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codeName="ThisWorkbook" autoCompressPictures="0"/>
  <mc:AlternateContent xmlns:mc="http://schemas.openxmlformats.org/markup-compatibility/2006">
    <mc:Choice Requires="x15">
      <x15ac:absPath xmlns:x15ac="http://schemas.microsoft.com/office/spreadsheetml/2010/11/ac" url="Z:\CORPORATE &amp; COMMUNITY\Finance\Purchasing\Stores\SPCA\TENDERS\2022 - 2023\T2223.30 Redevolpment of Workshop Office Facilities\"/>
    </mc:Choice>
  </mc:AlternateContent>
  <xr:revisionPtr revIDLastSave="0" documentId="8_{0AB922E4-51E4-476B-9880-EFEF3A0A6F2E}" xr6:coauthVersionLast="47" xr6:coauthVersionMax="47" xr10:uidLastSave="{00000000-0000-0000-0000-000000000000}"/>
  <workbookProtection workbookAlgorithmName="SHA-512" workbookHashValue="hhwuUiklXSv3S2nh3BXmnxsIEbX/J8CpvtdUIhWafkk2f1PYgaHlCVZHbH9KdxNG5AhvzYWWwC1XIWmFuMAVXw==" workbookSaltValue="OsqR2vQwxxz/RIAuOIFv7Q==" workbookSpinCount="100000" lockStructure="1"/>
  <bookViews>
    <workbookView xWindow="-120" yWindow="-120" windowWidth="29040" windowHeight="15840" tabRatio="856" xr2:uid="{00000000-000D-0000-FFFF-FFFF00000000}"/>
  </bookViews>
  <sheets>
    <sheet name="Quote" sheetId="224" r:id="rId1"/>
    <sheet name="Instructions" sheetId="184" r:id="rId2"/>
    <sheet name="Notes" sheetId="183" r:id="rId3"/>
    <sheet name="Construction Time" sheetId="225" state="hidden" r:id="rId4"/>
    <sheet name="Labour Rates" sheetId="231" state="hidden" r:id="rId5"/>
    <sheet name="SUMMARY" sheetId="164" r:id="rId6"/>
    <sheet name="SUMMARY (inc)" sheetId="218" r:id="rId7"/>
    <sheet name="BREAKDOWN" sheetId="3" r:id="rId8"/>
    <sheet name="COST CODES" sheetId="221" state="hidden" r:id="rId9"/>
    <sheet name="Preliminaries" sheetId="212" r:id="rId10"/>
    <sheet name="Home Warranty Insurance" sheetId="219" state="hidden" r:id="rId11"/>
    <sheet name="Scaffolding" sheetId="187" r:id="rId12"/>
    <sheet name="Demolition" sheetId="188" r:id="rId13"/>
    <sheet name="Demolition Rates" sheetId="227" state="hidden" r:id="rId14"/>
    <sheet name="Civil" sheetId="189" r:id="rId15"/>
    <sheet name="Detailed Excavation" sheetId="174" state="hidden" r:id="rId16"/>
    <sheet name="Concrete" sheetId="156" state="hidden" r:id="rId17"/>
    <sheet name="Concrete Rates" sheetId="246" state="hidden" r:id="rId18"/>
    <sheet name="Formwork" sheetId="233" state="hidden" r:id="rId19"/>
    <sheet name="Formwork Rates" sheetId="248" state="hidden" r:id="rId20"/>
    <sheet name="Reinforcement" sheetId="234" state="hidden" r:id="rId21"/>
    <sheet name="Reinforcement Rates" sheetId="249" state="hidden" r:id="rId22"/>
    <sheet name="Termite Protection" sheetId="190" state="hidden" r:id="rId23"/>
    <sheet name="Roofing &amp; Metal Cladding" sheetId="191" r:id="rId24"/>
    <sheet name="Roofing Rates" sheetId="245" state="hidden" r:id="rId25"/>
    <sheet name="External Cladding" sheetId="192" r:id="rId26"/>
    <sheet name="C&amp;P Calculations" sheetId="214" state="hidden" r:id="rId27"/>
    <sheet name="Ceilings &amp; Partitions" sheetId="193" r:id="rId28"/>
    <sheet name="C&amp;P Rates" sheetId="261" state="hidden" r:id="rId29"/>
    <sheet name="Carpentry" sheetId="194" r:id="rId30"/>
    <sheet name="Carpentry Rates" sheetId="256" state="hidden" r:id="rId31"/>
    <sheet name="Rates Template" sheetId="240" state="hidden" r:id="rId32"/>
    <sheet name="Structural Steel" sheetId="195" r:id="rId33"/>
    <sheet name="Structural Steel Rates" sheetId="254" state="hidden" r:id="rId34"/>
    <sheet name="Metalwork" sheetId="196" r:id="rId35"/>
    <sheet name="Unit" sheetId="215" state="hidden" r:id="rId36"/>
    <sheet name="Plumbing" sheetId="197" r:id="rId37"/>
    <sheet name="Plumbing PC Item" sheetId="236" r:id="rId38"/>
    <sheet name="Electrical" sheetId="228" r:id="rId39"/>
    <sheet name="Electrical PC Item" sheetId="237" r:id="rId40"/>
    <sheet name="Electrical Rates" sheetId="232" state="hidden" r:id="rId41"/>
    <sheet name="Mechanical" sheetId="229" r:id="rId42"/>
    <sheet name="Fire" sheetId="230" r:id="rId43"/>
    <sheet name="Blockwork" sheetId="198" r:id="rId44"/>
    <sheet name="Blockwork Rates" sheetId="255" state="hidden" r:id="rId45"/>
    <sheet name="Rendering" sheetId="257" r:id="rId46"/>
    <sheet name="Rendering Rates" sheetId="258" state="hidden" r:id="rId47"/>
    <sheet name="Painting" sheetId="199" r:id="rId48"/>
    <sheet name="Painting Rates" sheetId="260" state="hidden" r:id="rId49"/>
    <sheet name="Joinery" sheetId="200" r:id="rId50"/>
    <sheet name="Joinery Rates" sheetId="253" state="hidden" r:id="rId51"/>
    <sheet name="Windows &amp; Doors" sheetId="201" r:id="rId52"/>
    <sheet name="Windows&amp;Doors Rates" sheetId="250" state="hidden" r:id="rId53"/>
    <sheet name="Waterproofing" sheetId="202" r:id="rId54"/>
    <sheet name="Waterproofing Rates" sheetId="251" state="hidden" r:id="rId55"/>
    <sheet name="Tiling" sheetId="203" r:id="rId56"/>
    <sheet name="Tiling Rates" sheetId="247" state="hidden" r:id="rId57"/>
    <sheet name="Floor Finishes" sheetId="204" r:id="rId58"/>
    <sheet name="Floor Finishes Rates" sheetId="252" state="hidden" r:id="rId59"/>
    <sheet name="Lift" sheetId="205" state="hidden" r:id="rId60"/>
    <sheet name="Landscaping" sheetId="209" state="hidden" r:id="rId61"/>
    <sheet name="Fencing" sheetId="206" state="hidden" r:id="rId62"/>
    <sheet name="Fencing Rates" sheetId="242" state="hidden" r:id="rId63"/>
    <sheet name="Miscellaneous" sheetId="207" r:id="rId64"/>
    <sheet name="Standard Blank" sheetId="182" state="hidden" r:id="rId65"/>
  </sheets>
  <definedNames>
    <definedName name="_xlnm._FilterDatabase" localSheetId="7" hidden="1">BREAKDOWN!#REF!</definedName>
    <definedName name="A" localSheetId="64">#REF!</definedName>
    <definedName name="area" localSheetId="64">#REF!</definedName>
    <definedName name="B" localSheetId="64">#REF!</definedName>
    <definedName name="label" localSheetId="64">#REF!</definedName>
    <definedName name="_xlnm.Print_Area" localSheetId="43">Blockwork!$A$1:$L$42</definedName>
    <definedName name="_xlnm.Print_Area" localSheetId="7">BREAKDOWN!$A$1:$R$162</definedName>
    <definedName name="_xlnm.Print_Area" localSheetId="26">'C&amp;P Calculations'!$A$1:$AQ$241</definedName>
    <definedName name="_xlnm.Print_Area" localSheetId="29">Carpentry!$A$1:$L$77</definedName>
    <definedName name="_xlnm.Print_Area" localSheetId="27">'Ceilings &amp; Partitions'!$A$1:$L$39</definedName>
    <definedName name="_xlnm.Print_Area" localSheetId="14">Civil!$A$1:$L$8</definedName>
    <definedName name="_xlnm.Print_Area" localSheetId="16">Concrete!$A$1:$Z$3</definedName>
    <definedName name="_xlnm.Print_Area" localSheetId="12">Demolition!$A$1:$L$53</definedName>
    <definedName name="_xlnm.Print_Area" localSheetId="15">'Detailed Excavation'!$A$1:$Z$3</definedName>
    <definedName name="_xlnm.Print_Area" localSheetId="38">Electrical!$A$1:$L$23</definedName>
    <definedName name="_xlnm.Print_Area" localSheetId="39">'Electrical PC Item'!$A$1:$L$8</definedName>
    <definedName name="_xlnm.Print_Area" localSheetId="25">'External Cladding'!$A$1:$L$9</definedName>
    <definedName name="_xlnm.Print_Area" localSheetId="61">Fencing!$A$1:$Z$3</definedName>
    <definedName name="_xlnm.Print_Area" localSheetId="42">Fire!$A$1:$L$6</definedName>
    <definedName name="_xlnm.Print_Area" localSheetId="57">'Floor Finishes'!$A$1:$L$10</definedName>
    <definedName name="_xlnm.Print_Area" localSheetId="18">Formwork!$A$1:$Z$3</definedName>
    <definedName name="_xlnm.Print_Area" localSheetId="1">Instructions!$A$1:$D$79</definedName>
    <definedName name="_xlnm.Print_Area" localSheetId="49">Joinery!$A$1:$L$23</definedName>
    <definedName name="_xlnm.Print_Area" localSheetId="60">Landscaping!$A$1:$Z$3</definedName>
    <definedName name="_xlnm.Print_Area" localSheetId="59">Lift!$A$1:$Z$3</definedName>
    <definedName name="_xlnm.Print_Area" localSheetId="41">Mechanical!$A$1:$L$6</definedName>
    <definedName name="_xlnm.Print_Area" localSheetId="34">Metalwork!$A$1:$L$9</definedName>
    <definedName name="_xlnm.Print_Area" localSheetId="63">Miscellaneous!$A$1:$L$27</definedName>
    <definedName name="_xlnm.Print_Area" localSheetId="2">Notes!$A$1:$F$148</definedName>
    <definedName name="_xlnm.Print_Area" localSheetId="47">Painting!$A$1:$L$29</definedName>
    <definedName name="_xlnm.Print_Area" localSheetId="36">Plumbing!$A$1:$L$26</definedName>
    <definedName name="_xlnm.Print_Area" localSheetId="9">Preliminaries!$A$1:$L$255</definedName>
    <definedName name="_xlnm.Print_Area" localSheetId="0">Quote!$B$1:$J$108</definedName>
    <definedName name="_xlnm.Print_Area" localSheetId="20">Reinforcement!$A$1:$Z$3</definedName>
    <definedName name="_xlnm.Print_Area" localSheetId="45">Rendering!$A$1:$L$6</definedName>
    <definedName name="_xlnm.Print_Area" localSheetId="23">'Roofing &amp; Metal Cladding'!$A$1:$L$36</definedName>
    <definedName name="_xlnm.Print_Area" localSheetId="11">Scaffolding!$A$1:$L$6</definedName>
    <definedName name="_xlnm.Print_Area" localSheetId="64">'Standard Blank'!$A$1:$Z$113</definedName>
    <definedName name="_xlnm.Print_Area" localSheetId="32">'Structural Steel'!$A$1:$L$6</definedName>
    <definedName name="_xlnm.Print_Area" localSheetId="5">SUMMARY!$A$1:$D$44</definedName>
    <definedName name="_xlnm.Print_Area" localSheetId="6">'SUMMARY (inc)'!$A$1:$D$42</definedName>
    <definedName name="_xlnm.Print_Area" localSheetId="22">'Termite Protection'!$A$1:$Z$3</definedName>
    <definedName name="_xlnm.Print_Area" localSheetId="55">Tiling!$A$1:$L$6</definedName>
    <definedName name="_xlnm.Print_Area" localSheetId="53">Waterproofing!$A$1:$L$11</definedName>
    <definedName name="_xlnm.Print_Area" localSheetId="51">'Windows &amp; Doors'!$A$1:$L$23</definedName>
    <definedName name="qty" localSheetId="64">#REF!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4" i="224" l="1"/>
  <c r="C105" i="224"/>
  <c r="C106" i="224"/>
  <c r="C107" i="224"/>
  <c r="C102" i="224"/>
  <c r="C90" i="224"/>
  <c r="C92" i="224"/>
  <c r="C93" i="224"/>
  <c r="C94" i="224"/>
  <c r="C95" i="224"/>
  <c r="C96" i="224"/>
  <c r="C97" i="224"/>
  <c r="C98" i="224"/>
  <c r="C99" i="224"/>
  <c r="C101" i="224"/>
  <c r="C83" i="224"/>
  <c r="C84" i="224"/>
  <c r="C85" i="224"/>
  <c r="C86" i="224"/>
  <c r="C87" i="224"/>
  <c r="C88" i="224"/>
  <c r="C89" i="224"/>
  <c r="C72" i="224"/>
  <c r="C73" i="224"/>
  <c r="C75" i="224"/>
  <c r="C76" i="224"/>
  <c r="C77" i="224"/>
  <c r="C79" i="224"/>
  <c r="C80" i="224"/>
  <c r="C81" i="224"/>
  <c r="B43" i="183"/>
  <c r="C57" i="224" s="1"/>
  <c r="B40" i="183"/>
  <c r="C54" i="224" s="1"/>
  <c r="A73" i="194" l="1"/>
  <c r="P41" i="194"/>
  <c r="O41" i="194"/>
  <c r="A67" i="194" l="1"/>
  <c r="A65" i="194"/>
  <c r="A75" i="194"/>
  <c r="A74" i="194"/>
  <c r="A63" i="194"/>
  <c r="A71" i="194"/>
  <c r="A70" i="194"/>
  <c r="AE189" i="214"/>
  <c r="AD189" i="214"/>
  <c r="AG189" i="214"/>
  <c r="AF190" i="214"/>
  <c r="AF189" i="214" s="1"/>
  <c r="AC190" i="214"/>
  <c r="AC189" i="214" s="1"/>
  <c r="AG178" i="214"/>
  <c r="AE178" i="214"/>
  <c r="AD178" i="214"/>
  <c r="AB178" i="214"/>
  <c r="AA178" i="214"/>
  <c r="AB189" i="214"/>
  <c r="AA189" i="214"/>
  <c r="AF179" i="214"/>
  <c r="AF178" i="214" s="1"/>
  <c r="AC179" i="214"/>
  <c r="AC178" i="214" s="1"/>
  <c r="A244" i="261"/>
  <c r="L243" i="261"/>
  <c r="J243" i="261"/>
  <c r="I243" i="261"/>
  <c r="B243" i="261"/>
  <c r="L242" i="261"/>
  <c r="J242" i="261"/>
  <c r="I242" i="261"/>
  <c r="B242" i="261"/>
  <c r="L241" i="261"/>
  <c r="J241" i="261"/>
  <c r="I241" i="261"/>
  <c r="B241" i="261"/>
  <c r="L240" i="261"/>
  <c r="J240" i="261"/>
  <c r="I240" i="261"/>
  <c r="B240" i="261"/>
  <c r="L239" i="261"/>
  <c r="J239" i="261"/>
  <c r="I239" i="261"/>
  <c r="B239" i="261"/>
  <c r="L238" i="261"/>
  <c r="J238" i="261"/>
  <c r="I238" i="261"/>
  <c r="B238" i="261"/>
  <c r="L237" i="261"/>
  <c r="J237" i="261"/>
  <c r="I237" i="261"/>
  <c r="B237" i="261"/>
  <c r="L236" i="261"/>
  <c r="J236" i="261"/>
  <c r="I236" i="261"/>
  <c r="B236" i="261"/>
  <c r="L235" i="261"/>
  <c r="J235" i="261"/>
  <c r="I235" i="261"/>
  <c r="B235" i="261"/>
  <c r="L234" i="261"/>
  <c r="J234" i="261"/>
  <c r="I234" i="261"/>
  <c r="B234" i="261"/>
  <c r="AB233" i="261"/>
  <c r="AA233" i="261"/>
  <c r="Z233" i="261"/>
  <c r="Y233" i="261"/>
  <c r="X233" i="261"/>
  <c r="W233" i="261"/>
  <c r="V233" i="261"/>
  <c r="U233" i="261"/>
  <c r="L233" i="261"/>
  <c r="K233" i="261"/>
  <c r="L231" i="261"/>
  <c r="J231" i="261"/>
  <c r="I231" i="261"/>
  <c r="B231" i="261"/>
  <c r="L230" i="261"/>
  <c r="J230" i="261"/>
  <c r="I230" i="261"/>
  <c r="B230" i="261"/>
  <c r="L229" i="261"/>
  <c r="J229" i="261"/>
  <c r="I229" i="261"/>
  <c r="B229" i="261"/>
  <c r="L228" i="261"/>
  <c r="J228" i="261"/>
  <c r="I228" i="261"/>
  <c r="B228" i="261"/>
  <c r="L227" i="261"/>
  <c r="J227" i="261"/>
  <c r="I227" i="261"/>
  <c r="B227" i="261"/>
  <c r="L226" i="261"/>
  <c r="J226" i="261"/>
  <c r="I226" i="261"/>
  <c r="B226" i="261"/>
  <c r="L225" i="261"/>
  <c r="J225" i="261"/>
  <c r="I225" i="261"/>
  <c r="B225" i="261"/>
  <c r="L224" i="261"/>
  <c r="J224" i="261"/>
  <c r="I224" i="261"/>
  <c r="B224" i="261"/>
  <c r="L223" i="261"/>
  <c r="J223" i="261"/>
  <c r="I223" i="261"/>
  <c r="B223" i="261"/>
  <c r="L222" i="261"/>
  <c r="J222" i="261"/>
  <c r="I222" i="261"/>
  <c r="B222" i="261"/>
  <c r="AB221" i="261"/>
  <c r="AA221" i="261"/>
  <c r="Z221" i="261"/>
  <c r="Y221" i="261"/>
  <c r="X221" i="261"/>
  <c r="W221" i="261"/>
  <c r="V221" i="261"/>
  <c r="U221" i="261"/>
  <c r="L221" i="261"/>
  <c r="K221" i="261"/>
  <c r="L219" i="261"/>
  <c r="J219" i="261"/>
  <c r="I219" i="261"/>
  <c r="B219" i="261"/>
  <c r="L218" i="261"/>
  <c r="J218" i="261"/>
  <c r="I218" i="261"/>
  <c r="B218" i="261"/>
  <c r="L217" i="261"/>
  <c r="J217" i="261"/>
  <c r="I217" i="261"/>
  <c r="B217" i="261"/>
  <c r="L216" i="261"/>
  <c r="J216" i="261"/>
  <c r="I216" i="261"/>
  <c r="B216" i="261"/>
  <c r="L215" i="261"/>
  <c r="J215" i="261"/>
  <c r="I215" i="261"/>
  <c r="B215" i="261"/>
  <c r="L214" i="261"/>
  <c r="J214" i="261"/>
  <c r="I214" i="261"/>
  <c r="B214" i="261"/>
  <c r="L213" i="261"/>
  <c r="J213" i="261"/>
  <c r="I213" i="261"/>
  <c r="B213" i="261"/>
  <c r="L212" i="261"/>
  <c r="J212" i="261"/>
  <c r="I212" i="261"/>
  <c r="B212" i="261"/>
  <c r="L211" i="261"/>
  <c r="J211" i="261"/>
  <c r="I211" i="261"/>
  <c r="B211" i="261"/>
  <c r="L210" i="261"/>
  <c r="J210" i="261"/>
  <c r="I210" i="261"/>
  <c r="B210" i="261"/>
  <c r="AB209" i="261"/>
  <c r="AA209" i="261"/>
  <c r="Z209" i="261"/>
  <c r="Y209" i="261"/>
  <c r="X209" i="261"/>
  <c r="W209" i="261"/>
  <c r="V209" i="261"/>
  <c r="U209" i="261"/>
  <c r="L209" i="261"/>
  <c r="K209" i="261"/>
  <c r="K216" i="261" s="1"/>
  <c r="L207" i="261"/>
  <c r="J207" i="261"/>
  <c r="I207" i="261"/>
  <c r="B207" i="261"/>
  <c r="L206" i="261"/>
  <c r="J206" i="261"/>
  <c r="I206" i="261"/>
  <c r="B206" i="261"/>
  <c r="L205" i="261"/>
  <c r="J205" i="261"/>
  <c r="I205" i="261"/>
  <c r="B205" i="261"/>
  <c r="L204" i="261"/>
  <c r="J204" i="261"/>
  <c r="I204" i="261"/>
  <c r="B204" i="261"/>
  <c r="L203" i="261"/>
  <c r="J203" i="261"/>
  <c r="I203" i="261"/>
  <c r="B203" i="261"/>
  <c r="L202" i="261"/>
  <c r="J202" i="261"/>
  <c r="I202" i="261"/>
  <c r="B202" i="261"/>
  <c r="L201" i="261"/>
  <c r="J201" i="261"/>
  <c r="I201" i="261"/>
  <c r="B201" i="261"/>
  <c r="L200" i="261"/>
  <c r="J200" i="261"/>
  <c r="I200" i="261"/>
  <c r="B200" i="261"/>
  <c r="L199" i="261"/>
  <c r="J199" i="261"/>
  <c r="I199" i="261"/>
  <c r="B199" i="261"/>
  <c r="L198" i="261"/>
  <c r="J198" i="261"/>
  <c r="I198" i="261"/>
  <c r="B198" i="261"/>
  <c r="AB197" i="261"/>
  <c r="AA197" i="261"/>
  <c r="Z197" i="261"/>
  <c r="Y197" i="261"/>
  <c r="X197" i="261"/>
  <c r="W197" i="261"/>
  <c r="V197" i="261"/>
  <c r="U197" i="261"/>
  <c r="L197" i="261"/>
  <c r="K197" i="261"/>
  <c r="L195" i="261"/>
  <c r="J195" i="261"/>
  <c r="I195" i="261"/>
  <c r="B195" i="261"/>
  <c r="L194" i="261"/>
  <c r="J194" i="261"/>
  <c r="I194" i="261"/>
  <c r="B194" i="261"/>
  <c r="L193" i="261"/>
  <c r="J193" i="261"/>
  <c r="I193" i="261"/>
  <c r="B193" i="261"/>
  <c r="L192" i="261"/>
  <c r="J192" i="261"/>
  <c r="I192" i="261"/>
  <c r="B192" i="261"/>
  <c r="L191" i="261"/>
  <c r="J191" i="261"/>
  <c r="I191" i="261"/>
  <c r="B191" i="261"/>
  <c r="L190" i="261"/>
  <c r="J190" i="261"/>
  <c r="I190" i="261"/>
  <c r="B190" i="261"/>
  <c r="L189" i="261"/>
  <c r="J189" i="261"/>
  <c r="I189" i="261"/>
  <c r="B189" i="261"/>
  <c r="L188" i="261"/>
  <c r="J188" i="261"/>
  <c r="I188" i="261"/>
  <c r="B188" i="261"/>
  <c r="L187" i="261"/>
  <c r="J187" i="261"/>
  <c r="I187" i="261"/>
  <c r="B187" i="261"/>
  <c r="L186" i="261"/>
  <c r="J186" i="261"/>
  <c r="I186" i="261"/>
  <c r="B186" i="261"/>
  <c r="AB185" i="261"/>
  <c r="AA185" i="261"/>
  <c r="Z185" i="261"/>
  <c r="Y185" i="261"/>
  <c r="X185" i="261"/>
  <c r="W185" i="261"/>
  <c r="V185" i="261"/>
  <c r="U185" i="261"/>
  <c r="L185" i="261"/>
  <c r="K185" i="261"/>
  <c r="L183" i="261"/>
  <c r="J183" i="261"/>
  <c r="I183" i="261"/>
  <c r="B183" i="261"/>
  <c r="L182" i="261"/>
  <c r="J182" i="261"/>
  <c r="I182" i="261"/>
  <c r="B182" i="261"/>
  <c r="L181" i="261"/>
  <c r="J181" i="261"/>
  <c r="I181" i="261"/>
  <c r="B181" i="261"/>
  <c r="L180" i="261"/>
  <c r="J180" i="261"/>
  <c r="I180" i="261"/>
  <c r="B180" i="261"/>
  <c r="L179" i="261"/>
  <c r="J179" i="261"/>
  <c r="I179" i="261"/>
  <c r="B179" i="261"/>
  <c r="L178" i="261"/>
  <c r="J178" i="261"/>
  <c r="I178" i="261"/>
  <c r="B178" i="261"/>
  <c r="L177" i="261"/>
  <c r="J177" i="261"/>
  <c r="I177" i="261"/>
  <c r="B177" i="261"/>
  <c r="L176" i="261"/>
  <c r="J176" i="261"/>
  <c r="I176" i="261"/>
  <c r="B176" i="261"/>
  <c r="L175" i="261"/>
  <c r="J175" i="261"/>
  <c r="I175" i="261"/>
  <c r="B175" i="261"/>
  <c r="L174" i="261"/>
  <c r="J174" i="261"/>
  <c r="I174" i="261"/>
  <c r="B174" i="261"/>
  <c r="AB173" i="261"/>
  <c r="AA173" i="261"/>
  <c r="Z173" i="261"/>
  <c r="Y173" i="261"/>
  <c r="X173" i="261"/>
  <c r="W173" i="261"/>
  <c r="V173" i="261"/>
  <c r="U173" i="261"/>
  <c r="L173" i="261"/>
  <c r="K173" i="261"/>
  <c r="L171" i="261"/>
  <c r="J171" i="261"/>
  <c r="I171" i="261"/>
  <c r="B171" i="261"/>
  <c r="L170" i="261"/>
  <c r="J170" i="261"/>
  <c r="I170" i="261"/>
  <c r="B170" i="261"/>
  <c r="L169" i="261"/>
  <c r="J169" i="261"/>
  <c r="I169" i="261"/>
  <c r="B169" i="261"/>
  <c r="L168" i="261"/>
  <c r="J168" i="261"/>
  <c r="I168" i="261"/>
  <c r="B168" i="261"/>
  <c r="L167" i="261"/>
  <c r="J167" i="261"/>
  <c r="I167" i="261"/>
  <c r="B167" i="261"/>
  <c r="L166" i="261"/>
  <c r="J166" i="261"/>
  <c r="I166" i="261"/>
  <c r="B166" i="261"/>
  <c r="L165" i="261"/>
  <c r="J165" i="261"/>
  <c r="I165" i="261"/>
  <c r="B165" i="261"/>
  <c r="L164" i="261"/>
  <c r="J164" i="261"/>
  <c r="I164" i="261"/>
  <c r="B164" i="261"/>
  <c r="L163" i="261"/>
  <c r="J163" i="261"/>
  <c r="I163" i="261"/>
  <c r="B163" i="261"/>
  <c r="L162" i="261"/>
  <c r="J162" i="261"/>
  <c r="I162" i="261"/>
  <c r="B162" i="261"/>
  <c r="AB161" i="261"/>
  <c r="AA161" i="261"/>
  <c r="Z161" i="261"/>
  <c r="Y161" i="261"/>
  <c r="X161" i="261"/>
  <c r="W161" i="261"/>
  <c r="V161" i="261"/>
  <c r="U161" i="261"/>
  <c r="L161" i="261"/>
  <c r="K161" i="261"/>
  <c r="K168" i="261" s="1"/>
  <c r="L159" i="261"/>
  <c r="J159" i="261"/>
  <c r="I159" i="261"/>
  <c r="B159" i="261"/>
  <c r="L158" i="261"/>
  <c r="J158" i="261"/>
  <c r="I158" i="261"/>
  <c r="B158" i="261"/>
  <c r="L157" i="261"/>
  <c r="J157" i="261"/>
  <c r="I157" i="261"/>
  <c r="B157" i="261"/>
  <c r="L156" i="261"/>
  <c r="J156" i="261"/>
  <c r="I156" i="261"/>
  <c r="B156" i="261"/>
  <c r="L155" i="261"/>
  <c r="J155" i="261"/>
  <c r="I155" i="261"/>
  <c r="B155" i="261"/>
  <c r="L154" i="261"/>
  <c r="J154" i="261"/>
  <c r="I154" i="261"/>
  <c r="B154" i="261"/>
  <c r="L153" i="261"/>
  <c r="J153" i="261"/>
  <c r="I153" i="261"/>
  <c r="B153" i="261"/>
  <c r="L152" i="261"/>
  <c r="J152" i="261"/>
  <c r="I152" i="261"/>
  <c r="B152" i="261"/>
  <c r="L151" i="261"/>
  <c r="J151" i="261"/>
  <c r="I151" i="261"/>
  <c r="B151" i="261"/>
  <c r="L150" i="261"/>
  <c r="J150" i="261"/>
  <c r="I150" i="261"/>
  <c r="B150" i="261"/>
  <c r="AB149" i="261"/>
  <c r="AA149" i="261"/>
  <c r="Z149" i="261"/>
  <c r="Y149" i="261"/>
  <c r="X149" i="261"/>
  <c r="W149" i="261"/>
  <c r="V149" i="261"/>
  <c r="U149" i="261"/>
  <c r="L149" i="261"/>
  <c r="K149" i="261"/>
  <c r="L147" i="261"/>
  <c r="J147" i="261"/>
  <c r="I147" i="261"/>
  <c r="B147" i="261"/>
  <c r="L146" i="261"/>
  <c r="J146" i="261"/>
  <c r="I146" i="261"/>
  <c r="B146" i="261"/>
  <c r="L145" i="261"/>
  <c r="J145" i="261"/>
  <c r="I145" i="261"/>
  <c r="B145" i="261"/>
  <c r="L144" i="261"/>
  <c r="J144" i="261"/>
  <c r="I144" i="261"/>
  <c r="B144" i="261"/>
  <c r="L143" i="261"/>
  <c r="J143" i="261"/>
  <c r="I143" i="261"/>
  <c r="B143" i="261"/>
  <c r="L142" i="261"/>
  <c r="J142" i="261"/>
  <c r="I142" i="261"/>
  <c r="B142" i="261"/>
  <c r="L141" i="261"/>
  <c r="J141" i="261"/>
  <c r="I141" i="261"/>
  <c r="B141" i="261"/>
  <c r="L140" i="261"/>
  <c r="J140" i="261"/>
  <c r="I140" i="261"/>
  <c r="B140" i="261"/>
  <c r="L139" i="261"/>
  <c r="J139" i="261"/>
  <c r="I139" i="261"/>
  <c r="B139" i="261"/>
  <c r="L138" i="261"/>
  <c r="J138" i="261"/>
  <c r="I138" i="261"/>
  <c r="B138" i="261"/>
  <c r="AB137" i="261"/>
  <c r="AA137" i="261"/>
  <c r="Z137" i="261"/>
  <c r="Y137" i="261"/>
  <c r="X137" i="261"/>
  <c r="W137" i="261"/>
  <c r="V137" i="261"/>
  <c r="U137" i="261"/>
  <c r="L137" i="261"/>
  <c r="K137" i="261"/>
  <c r="L135" i="261"/>
  <c r="J135" i="261"/>
  <c r="I135" i="261"/>
  <c r="B135" i="261"/>
  <c r="L134" i="261"/>
  <c r="J134" i="261"/>
  <c r="I134" i="261"/>
  <c r="B134" i="261"/>
  <c r="L133" i="261"/>
  <c r="J133" i="261"/>
  <c r="I133" i="261"/>
  <c r="B133" i="261"/>
  <c r="L132" i="261"/>
  <c r="J132" i="261"/>
  <c r="I132" i="261"/>
  <c r="B132" i="261"/>
  <c r="L131" i="261"/>
  <c r="J131" i="261"/>
  <c r="I131" i="261"/>
  <c r="B131" i="261"/>
  <c r="L130" i="261"/>
  <c r="J130" i="261"/>
  <c r="I130" i="261"/>
  <c r="B130" i="261"/>
  <c r="L129" i="261"/>
  <c r="J129" i="261"/>
  <c r="I129" i="261"/>
  <c r="B129" i="261"/>
  <c r="L128" i="261"/>
  <c r="J128" i="261"/>
  <c r="I128" i="261"/>
  <c r="B128" i="261"/>
  <c r="L127" i="261"/>
  <c r="J127" i="261"/>
  <c r="I127" i="261"/>
  <c r="B127" i="261"/>
  <c r="L126" i="261"/>
  <c r="J126" i="261"/>
  <c r="I126" i="261"/>
  <c r="B126" i="261"/>
  <c r="AB125" i="261"/>
  <c r="AA125" i="261"/>
  <c r="Z125" i="261"/>
  <c r="Y125" i="261"/>
  <c r="X125" i="261"/>
  <c r="W125" i="261"/>
  <c r="V125" i="261"/>
  <c r="U125" i="261"/>
  <c r="L125" i="261"/>
  <c r="K125" i="261"/>
  <c r="L123" i="261"/>
  <c r="J123" i="261"/>
  <c r="I123" i="261"/>
  <c r="B123" i="261"/>
  <c r="L122" i="261"/>
  <c r="J122" i="261"/>
  <c r="I122" i="261"/>
  <c r="B122" i="261"/>
  <c r="L121" i="261"/>
  <c r="J121" i="261"/>
  <c r="I121" i="261"/>
  <c r="B121" i="261"/>
  <c r="L120" i="261"/>
  <c r="J120" i="261"/>
  <c r="I120" i="261"/>
  <c r="B120" i="261"/>
  <c r="L119" i="261"/>
  <c r="J119" i="261"/>
  <c r="I119" i="261"/>
  <c r="B119" i="261"/>
  <c r="L118" i="261"/>
  <c r="J118" i="261"/>
  <c r="I118" i="261"/>
  <c r="B118" i="261"/>
  <c r="L117" i="261"/>
  <c r="J117" i="261"/>
  <c r="I117" i="261"/>
  <c r="B117" i="261"/>
  <c r="L116" i="261"/>
  <c r="J116" i="261"/>
  <c r="I116" i="261"/>
  <c r="B116" i="261"/>
  <c r="L115" i="261"/>
  <c r="J115" i="261"/>
  <c r="I115" i="261"/>
  <c r="B115" i="261"/>
  <c r="L114" i="261"/>
  <c r="J114" i="261"/>
  <c r="I114" i="261"/>
  <c r="B114" i="261"/>
  <c r="AB113" i="261"/>
  <c r="AA113" i="261"/>
  <c r="Z113" i="261"/>
  <c r="Y113" i="261"/>
  <c r="X113" i="261"/>
  <c r="W113" i="261"/>
  <c r="V113" i="261"/>
  <c r="U113" i="261"/>
  <c r="L113" i="261"/>
  <c r="K113" i="261"/>
  <c r="L111" i="261"/>
  <c r="J111" i="261"/>
  <c r="I111" i="261"/>
  <c r="B111" i="261"/>
  <c r="L110" i="261"/>
  <c r="J110" i="261"/>
  <c r="I110" i="261"/>
  <c r="B110" i="261"/>
  <c r="L109" i="261"/>
  <c r="J109" i="261"/>
  <c r="I109" i="261"/>
  <c r="B109" i="261"/>
  <c r="L108" i="261"/>
  <c r="J108" i="261"/>
  <c r="I108" i="261"/>
  <c r="B108" i="261"/>
  <c r="L107" i="261"/>
  <c r="J107" i="261"/>
  <c r="I107" i="261"/>
  <c r="B107" i="261"/>
  <c r="L106" i="261"/>
  <c r="J106" i="261"/>
  <c r="I106" i="261"/>
  <c r="B106" i="261"/>
  <c r="L105" i="261"/>
  <c r="J105" i="261"/>
  <c r="I105" i="261"/>
  <c r="B105" i="261"/>
  <c r="L104" i="261"/>
  <c r="J104" i="261"/>
  <c r="I104" i="261"/>
  <c r="B104" i="261"/>
  <c r="L103" i="261"/>
  <c r="J103" i="261"/>
  <c r="I103" i="261"/>
  <c r="B103" i="261"/>
  <c r="L102" i="261"/>
  <c r="J102" i="261"/>
  <c r="I102" i="261"/>
  <c r="B102" i="261"/>
  <c r="AB101" i="261"/>
  <c r="AA101" i="261"/>
  <c r="Z101" i="261"/>
  <c r="Y101" i="261"/>
  <c r="X101" i="261"/>
  <c r="W101" i="261"/>
  <c r="V101" i="261"/>
  <c r="U101" i="261"/>
  <c r="L101" i="261"/>
  <c r="K101" i="261"/>
  <c r="L99" i="261"/>
  <c r="J99" i="261"/>
  <c r="I99" i="261"/>
  <c r="B99" i="261"/>
  <c r="L98" i="261"/>
  <c r="J98" i="261"/>
  <c r="I98" i="261"/>
  <c r="B98" i="261"/>
  <c r="L97" i="261"/>
  <c r="J97" i="261"/>
  <c r="I97" i="261"/>
  <c r="B97" i="261"/>
  <c r="L96" i="261"/>
  <c r="J96" i="261"/>
  <c r="I96" i="261"/>
  <c r="B96" i="261"/>
  <c r="L95" i="261"/>
  <c r="J95" i="261"/>
  <c r="I95" i="261"/>
  <c r="B95" i="261"/>
  <c r="L94" i="261"/>
  <c r="J94" i="261"/>
  <c r="I94" i="261"/>
  <c r="B94" i="261"/>
  <c r="L93" i="261"/>
  <c r="J93" i="261"/>
  <c r="I93" i="261"/>
  <c r="B93" i="261"/>
  <c r="L92" i="261"/>
  <c r="J92" i="261"/>
  <c r="I92" i="261"/>
  <c r="B92" i="261"/>
  <c r="L91" i="261"/>
  <c r="J91" i="261"/>
  <c r="I91" i="261"/>
  <c r="B91" i="261"/>
  <c r="L90" i="261"/>
  <c r="J90" i="261"/>
  <c r="I90" i="261"/>
  <c r="B90" i="261"/>
  <c r="AB89" i="261"/>
  <c r="AA89" i="261"/>
  <c r="Z89" i="261"/>
  <c r="Y89" i="261"/>
  <c r="X89" i="261"/>
  <c r="W89" i="261"/>
  <c r="V89" i="261"/>
  <c r="U89" i="261"/>
  <c r="L89" i="261"/>
  <c r="K89" i="261"/>
  <c r="L87" i="261"/>
  <c r="J87" i="261"/>
  <c r="I87" i="261"/>
  <c r="B87" i="261"/>
  <c r="L86" i="261"/>
  <c r="J86" i="261"/>
  <c r="I86" i="261"/>
  <c r="B86" i="261"/>
  <c r="L85" i="261"/>
  <c r="J85" i="261"/>
  <c r="I85" i="261"/>
  <c r="B85" i="261"/>
  <c r="L84" i="261"/>
  <c r="J84" i="261"/>
  <c r="I84" i="261"/>
  <c r="B84" i="261"/>
  <c r="L83" i="261"/>
  <c r="J83" i="261"/>
  <c r="I83" i="261"/>
  <c r="B83" i="261"/>
  <c r="L82" i="261"/>
  <c r="J82" i="261"/>
  <c r="I82" i="261"/>
  <c r="B82" i="261"/>
  <c r="L81" i="261"/>
  <c r="J81" i="261"/>
  <c r="I81" i="261"/>
  <c r="B81" i="261"/>
  <c r="L80" i="261"/>
  <c r="J80" i="261"/>
  <c r="I80" i="261"/>
  <c r="B80" i="261"/>
  <c r="L79" i="261"/>
  <c r="J79" i="261"/>
  <c r="I79" i="261"/>
  <c r="B79" i="261"/>
  <c r="L78" i="261"/>
  <c r="J78" i="261"/>
  <c r="I78" i="261"/>
  <c r="B78" i="261"/>
  <c r="AB77" i="261"/>
  <c r="AA77" i="261"/>
  <c r="Z77" i="261"/>
  <c r="Y77" i="261"/>
  <c r="X77" i="261"/>
  <c r="W77" i="261"/>
  <c r="V77" i="261"/>
  <c r="U77" i="261"/>
  <c r="L77" i="261"/>
  <c r="K77" i="261"/>
  <c r="L75" i="261"/>
  <c r="J75" i="261"/>
  <c r="I75" i="261"/>
  <c r="B75" i="261"/>
  <c r="L74" i="261"/>
  <c r="J74" i="261"/>
  <c r="I74" i="261"/>
  <c r="B74" i="261"/>
  <c r="L73" i="261"/>
  <c r="J73" i="261"/>
  <c r="I73" i="261"/>
  <c r="B73" i="261"/>
  <c r="L72" i="261"/>
  <c r="J72" i="261"/>
  <c r="I72" i="261"/>
  <c r="B72" i="261"/>
  <c r="L71" i="261"/>
  <c r="J71" i="261"/>
  <c r="I71" i="261"/>
  <c r="B71" i="261"/>
  <c r="L70" i="261"/>
  <c r="J70" i="261"/>
  <c r="I70" i="261"/>
  <c r="B70" i="261"/>
  <c r="L69" i="261"/>
  <c r="J69" i="261"/>
  <c r="I69" i="261"/>
  <c r="B69" i="261"/>
  <c r="L68" i="261"/>
  <c r="J68" i="261"/>
  <c r="I68" i="261"/>
  <c r="B68" i="261"/>
  <c r="L67" i="261"/>
  <c r="J67" i="261"/>
  <c r="I67" i="261"/>
  <c r="B67" i="261"/>
  <c r="L66" i="261"/>
  <c r="J66" i="261"/>
  <c r="I66" i="261"/>
  <c r="B66" i="261"/>
  <c r="AB65" i="261"/>
  <c r="AA65" i="261"/>
  <c r="Z65" i="261"/>
  <c r="Y65" i="261"/>
  <c r="X65" i="261"/>
  <c r="W65" i="261"/>
  <c r="V65" i="261"/>
  <c r="U65" i="261"/>
  <c r="L65" i="261"/>
  <c r="K65" i="261"/>
  <c r="L63" i="261"/>
  <c r="J63" i="261"/>
  <c r="I63" i="261"/>
  <c r="B63" i="261"/>
  <c r="L62" i="261"/>
  <c r="J62" i="261"/>
  <c r="I62" i="261"/>
  <c r="B62" i="261"/>
  <c r="L61" i="261"/>
  <c r="J61" i="261"/>
  <c r="I61" i="261"/>
  <c r="B61" i="261"/>
  <c r="L60" i="261"/>
  <c r="J60" i="261"/>
  <c r="I60" i="261"/>
  <c r="B60" i="261"/>
  <c r="L59" i="261"/>
  <c r="J59" i="261"/>
  <c r="I59" i="261"/>
  <c r="B59" i="261"/>
  <c r="L58" i="261"/>
  <c r="J58" i="261"/>
  <c r="I58" i="261"/>
  <c r="B58" i="261"/>
  <c r="L57" i="261"/>
  <c r="J57" i="261"/>
  <c r="I57" i="261"/>
  <c r="B57" i="261"/>
  <c r="L56" i="261"/>
  <c r="J56" i="261"/>
  <c r="I56" i="261"/>
  <c r="B56" i="261"/>
  <c r="L55" i="261"/>
  <c r="J55" i="261"/>
  <c r="I55" i="261"/>
  <c r="B55" i="261"/>
  <c r="L54" i="261"/>
  <c r="J54" i="261"/>
  <c r="I54" i="261"/>
  <c r="B54" i="261"/>
  <c r="AB53" i="261"/>
  <c r="AA53" i="261"/>
  <c r="Z53" i="261"/>
  <c r="Y53" i="261"/>
  <c r="X53" i="261"/>
  <c r="W53" i="261"/>
  <c r="V53" i="261"/>
  <c r="U53" i="261"/>
  <c r="L53" i="261"/>
  <c r="K53" i="261"/>
  <c r="K57" i="261" s="1"/>
  <c r="L51" i="261"/>
  <c r="J51" i="261"/>
  <c r="I51" i="261"/>
  <c r="B51" i="261"/>
  <c r="L50" i="261"/>
  <c r="J50" i="261"/>
  <c r="I50" i="261"/>
  <c r="B50" i="261"/>
  <c r="L49" i="261"/>
  <c r="J49" i="261"/>
  <c r="I49" i="261"/>
  <c r="B49" i="261"/>
  <c r="L48" i="261"/>
  <c r="J48" i="261"/>
  <c r="I48" i="261"/>
  <c r="B48" i="261"/>
  <c r="L47" i="261"/>
  <c r="J47" i="261"/>
  <c r="I47" i="261"/>
  <c r="B47" i="261"/>
  <c r="L46" i="261"/>
  <c r="J46" i="261"/>
  <c r="I46" i="261"/>
  <c r="B46" i="261"/>
  <c r="L45" i="261"/>
  <c r="J45" i="261"/>
  <c r="I45" i="261"/>
  <c r="B45" i="261"/>
  <c r="L44" i="261"/>
  <c r="J44" i="261"/>
  <c r="I44" i="261"/>
  <c r="B44" i="261"/>
  <c r="L43" i="261"/>
  <c r="J43" i="261"/>
  <c r="I43" i="261"/>
  <c r="B43" i="261"/>
  <c r="L42" i="261"/>
  <c r="J42" i="261"/>
  <c r="I42" i="261"/>
  <c r="B42" i="261"/>
  <c r="AB41" i="261"/>
  <c r="AA41" i="261"/>
  <c r="Z41" i="261"/>
  <c r="Y41" i="261"/>
  <c r="X41" i="261"/>
  <c r="W41" i="261"/>
  <c r="V41" i="261"/>
  <c r="U41" i="261"/>
  <c r="L41" i="261"/>
  <c r="K41" i="261"/>
  <c r="L39" i="261"/>
  <c r="J39" i="261"/>
  <c r="I39" i="261"/>
  <c r="B39" i="261"/>
  <c r="L38" i="261"/>
  <c r="J38" i="261"/>
  <c r="I38" i="261"/>
  <c r="B38" i="261"/>
  <c r="L37" i="261"/>
  <c r="J37" i="261"/>
  <c r="I37" i="261"/>
  <c r="B37" i="261"/>
  <c r="L36" i="261"/>
  <c r="J36" i="261"/>
  <c r="I36" i="261"/>
  <c r="B36" i="261"/>
  <c r="L35" i="261"/>
  <c r="J35" i="261"/>
  <c r="I35" i="261"/>
  <c r="B35" i="261"/>
  <c r="L34" i="261"/>
  <c r="J34" i="261"/>
  <c r="I34" i="261"/>
  <c r="B34" i="261"/>
  <c r="L33" i="261"/>
  <c r="J33" i="261"/>
  <c r="I33" i="261"/>
  <c r="B33" i="261"/>
  <c r="L32" i="261"/>
  <c r="J32" i="261"/>
  <c r="I32" i="261"/>
  <c r="B32" i="261"/>
  <c r="L31" i="261"/>
  <c r="J31" i="261"/>
  <c r="I31" i="261"/>
  <c r="B31" i="261"/>
  <c r="L30" i="261"/>
  <c r="J30" i="261"/>
  <c r="I30" i="261"/>
  <c r="B30" i="261"/>
  <c r="AB29" i="261"/>
  <c r="AA29" i="261"/>
  <c r="Z29" i="261"/>
  <c r="Y29" i="261"/>
  <c r="X29" i="261"/>
  <c r="W29" i="261"/>
  <c r="V29" i="261"/>
  <c r="U29" i="261"/>
  <c r="L29" i="261"/>
  <c r="K29" i="261"/>
  <c r="K35" i="261" s="1"/>
  <c r="L27" i="261"/>
  <c r="J27" i="261"/>
  <c r="I27" i="261"/>
  <c r="B27" i="261"/>
  <c r="L26" i="261"/>
  <c r="J26" i="261"/>
  <c r="I26" i="261"/>
  <c r="B26" i="261"/>
  <c r="L25" i="261"/>
  <c r="J25" i="261"/>
  <c r="I25" i="261"/>
  <c r="B25" i="261"/>
  <c r="L24" i="261"/>
  <c r="J24" i="261"/>
  <c r="I24" i="261"/>
  <c r="B24" i="261"/>
  <c r="L23" i="261"/>
  <c r="J23" i="261"/>
  <c r="I23" i="261"/>
  <c r="B23" i="261"/>
  <c r="L22" i="261"/>
  <c r="J22" i="261"/>
  <c r="I22" i="261"/>
  <c r="B22" i="261"/>
  <c r="L21" i="261"/>
  <c r="J21" i="261"/>
  <c r="I21" i="261"/>
  <c r="B21" i="261"/>
  <c r="L20" i="261"/>
  <c r="J20" i="261"/>
  <c r="I20" i="261"/>
  <c r="B20" i="261"/>
  <c r="L19" i="261"/>
  <c r="J19" i="261"/>
  <c r="I19" i="261"/>
  <c r="B19" i="261"/>
  <c r="L18" i="261"/>
  <c r="J18" i="261"/>
  <c r="I18" i="261"/>
  <c r="B18" i="261"/>
  <c r="AB17" i="261"/>
  <c r="AA17" i="261"/>
  <c r="Z17" i="261"/>
  <c r="Y17" i="261"/>
  <c r="X17" i="261"/>
  <c r="W17" i="261"/>
  <c r="V17" i="261"/>
  <c r="U17" i="261"/>
  <c r="L17" i="261"/>
  <c r="K17" i="261"/>
  <c r="L15" i="261"/>
  <c r="J15" i="261"/>
  <c r="I15" i="261"/>
  <c r="B15" i="261"/>
  <c r="L14" i="261"/>
  <c r="J14" i="261"/>
  <c r="I14" i="261"/>
  <c r="B14" i="261"/>
  <c r="L13" i="261"/>
  <c r="J13" i="261"/>
  <c r="I13" i="261"/>
  <c r="B13" i="261"/>
  <c r="L12" i="261"/>
  <c r="J12" i="261"/>
  <c r="I12" i="261"/>
  <c r="B12" i="261"/>
  <c r="L11" i="261"/>
  <c r="J11" i="261"/>
  <c r="I11" i="261"/>
  <c r="B11" i="261"/>
  <c r="L10" i="261"/>
  <c r="J10" i="261"/>
  <c r="I10" i="261"/>
  <c r="B10" i="261"/>
  <c r="L9" i="261"/>
  <c r="J9" i="261"/>
  <c r="I9" i="261"/>
  <c r="B9" i="261"/>
  <c r="L8" i="261"/>
  <c r="J8" i="261"/>
  <c r="I8" i="261"/>
  <c r="B8" i="261"/>
  <c r="L7" i="261"/>
  <c r="J7" i="261"/>
  <c r="I7" i="261"/>
  <c r="B7" i="261"/>
  <c r="J6" i="261"/>
  <c r="I6" i="261"/>
  <c r="B6" i="261"/>
  <c r="AB5" i="261"/>
  <c r="AA5" i="261"/>
  <c r="Z5" i="261"/>
  <c r="Y5" i="261"/>
  <c r="X5" i="261"/>
  <c r="W5" i="261"/>
  <c r="V5" i="261"/>
  <c r="U5" i="261"/>
  <c r="L5" i="261"/>
  <c r="K5" i="261"/>
  <c r="K128" i="261" l="1"/>
  <c r="K176" i="261"/>
  <c r="K224" i="261"/>
  <c r="K14" i="261"/>
  <c r="K6" i="261"/>
  <c r="L6" i="261" s="1"/>
  <c r="K8" i="261"/>
  <c r="K9" i="261"/>
  <c r="A19" i="200"/>
  <c r="K30" i="261"/>
  <c r="K32" i="261"/>
  <c r="K33" i="261"/>
  <c r="K38" i="261"/>
  <c r="K54" i="261"/>
  <c r="K62" i="261"/>
  <c r="K78" i="261"/>
  <c r="K81" i="261"/>
  <c r="K86" i="261"/>
  <c r="K102" i="261"/>
  <c r="K105" i="261"/>
  <c r="K110" i="261"/>
  <c r="K126" i="261"/>
  <c r="K129" i="261"/>
  <c r="K134" i="261"/>
  <c r="K150" i="261"/>
  <c r="K153" i="261"/>
  <c r="K158" i="261"/>
  <c r="K174" i="261"/>
  <c r="K177" i="261"/>
  <c r="K182" i="261"/>
  <c r="K198" i="261"/>
  <c r="K201" i="261"/>
  <c r="K206" i="261"/>
  <c r="K222" i="261"/>
  <c r="K225" i="261"/>
  <c r="K230" i="261"/>
  <c r="K144" i="261"/>
  <c r="K192" i="261"/>
  <c r="K104" i="261"/>
  <c r="K152" i="261"/>
  <c r="K72" i="261"/>
  <c r="K11" i="261"/>
  <c r="K80" i="261"/>
  <c r="K120" i="261"/>
  <c r="K48" i="261"/>
  <c r="K200" i="261"/>
  <c r="K240" i="261"/>
  <c r="K22" i="261"/>
  <c r="K56" i="261"/>
  <c r="K96" i="261"/>
  <c r="K49" i="261"/>
  <c r="K73" i="261"/>
  <c r="K97" i="261"/>
  <c r="K145" i="261"/>
  <c r="K94" i="261"/>
  <c r="K166" i="261"/>
  <c r="K190" i="261"/>
  <c r="K13" i="261"/>
  <c r="K69" i="261"/>
  <c r="K85" i="261"/>
  <c r="K93" i="261"/>
  <c r="K109" i="261"/>
  <c r="K117" i="261"/>
  <c r="K133" i="261"/>
  <c r="K141" i="261"/>
  <c r="K157" i="261"/>
  <c r="K165" i="261"/>
  <c r="K181" i="261"/>
  <c r="K189" i="261"/>
  <c r="K205" i="261"/>
  <c r="K213" i="261"/>
  <c r="K229" i="261"/>
  <c r="K237" i="261"/>
  <c r="K10" i="261"/>
  <c r="K18" i="261"/>
  <c r="K26" i="261"/>
  <c r="K34" i="261"/>
  <c r="K42" i="261"/>
  <c r="K50" i="261"/>
  <c r="K58" i="261"/>
  <c r="K66" i="261"/>
  <c r="K74" i="261"/>
  <c r="K82" i="261"/>
  <c r="K90" i="261"/>
  <c r="K98" i="261"/>
  <c r="K106" i="261"/>
  <c r="K114" i="261"/>
  <c r="K122" i="261"/>
  <c r="K130" i="261"/>
  <c r="K138" i="261"/>
  <c r="K146" i="261"/>
  <c r="K154" i="261"/>
  <c r="K162" i="261"/>
  <c r="K170" i="261"/>
  <c r="K178" i="261"/>
  <c r="K186" i="261"/>
  <c r="K194" i="261"/>
  <c r="K202" i="261"/>
  <c r="K210" i="261"/>
  <c r="K218" i="261"/>
  <c r="K226" i="261"/>
  <c r="K234" i="261"/>
  <c r="K242" i="261"/>
  <c r="K193" i="261"/>
  <c r="K46" i="261"/>
  <c r="K118" i="261"/>
  <c r="K21" i="261"/>
  <c r="K61" i="261"/>
  <c r="K15" i="261"/>
  <c r="K87" i="261"/>
  <c r="K95" i="261"/>
  <c r="K103" i="261"/>
  <c r="K111" i="261"/>
  <c r="K119" i="261"/>
  <c r="K127" i="261"/>
  <c r="K135" i="261"/>
  <c r="K143" i="261"/>
  <c r="K151" i="261"/>
  <c r="K159" i="261"/>
  <c r="K167" i="261"/>
  <c r="K175" i="261"/>
  <c r="K183" i="261"/>
  <c r="K191" i="261"/>
  <c r="K199" i="261"/>
  <c r="K207" i="261"/>
  <c r="K215" i="261"/>
  <c r="K223" i="261"/>
  <c r="K231" i="261"/>
  <c r="K239" i="261"/>
  <c r="K25" i="261"/>
  <c r="K121" i="261"/>
  <c r="K169" i="261"/>
  <c r="K217" i="261"/>
  <c r="K241" i="261"/>
  <c r="K70" i="261"/>
  <c r="K24" i="261"/>
  <c r="K37" i="261"/>
  <c r="K45" i="261"/>
  <c r="K7" i="261"/>
  <c r="K23" i="261"/>
  <c r="K31" i="261"/>
  <c r="K39" i="261"/>
  <c r="K47" i="261"/>
  <c r="K55" i="261"/>
  <c r="K63" i="261"/>
  <c r="K71" i="261"/>
  <c r="K79" i="261"/>
  <c r="K12" i="261"/>
  <c r="K20" i="261"/>
  <c r="K36" i="261"/>
  <c r="K44" i="261"/>
  <c r="K60" i="261"/>
  <c r="K68" i="261"/>
  <c r="K84" i="261"/>
  <c r="K92" i="261"/>
  <c r="K108" i="261"/>
  <c r="K116" i="261"/>
  <c r="K132" i="261"/>
  <c r="K140" i="261"/>
  <c r="K156" i="261"/>
  <c r="K164" i="261"/>
  <c r="K180" i="261"/>
  <c r="K188" i="261"/>
  <c r="K204" i="261"/>
  <c r="K212" i="261"/>
  <c r="K228" i="261"/>
  <c r="K236" i="261"/>
  <c r="K214" i="261"/>
  <c r="K238" i="261"/>
  <c r="K19" i="261"/>
  <c r="K27" i="261"/>
  <c r="K43" i="261"/>
  <c r="K51" i="261"/>
  <c r="K59" i="261"/>
  <c r="K67" i="261"/>
  <c r="K75" i="261"/>
  <c r="K83" i="261"/>
  <c r="K91" i="261"/>
  <c r="K99" i="261"/>
  <c r="K107" i="261"/>
  <c r="K115" i="261"/>
  <c r="K123" i="261"/>
  <c r="K131" i="261"/>
  <c r="K139" i="261"/>
  <c r="K147" i="261"/>
  <c r="K155" i="261"/>
  <c r="K163" i="261"/>
  <c r="K171" i="261"/>
  <c r="K179" i="261"/>
  <c r="K187" i="261"/>
  <c r="K195" i="261"/>
  <c r="K203" i="261"/>
  <c r="K211" i="261"/>
  <c r="K219" i="261"/>
  <c r="K227" i="261"/>
  <c r="K235" i="261"/>
  <c r="K243" i="261"/>
  <c r="K142" i="261"/>
  <c r="O852" i="254"/>
  <c r="O261" i="254"/>
  <c r="O190" i="254"/>
  <c r="O88" i="254"/>
  <c r="P50" i="254"/>
  <c r="O50" i="254"/>
  <c r="K17" i="248"/>
  <c r="AB5" i="249"/>
  <c r="AA5" i="249"/>
  <c r="Z5" i="249"/>
  <c r="Y5" i="249"/>
  <c r="X5" i="249"/>
  <c r="W5" i="249"/>
  <c r="V5" i="249"/>
  <c r="U5" i="249"/>
  <c r="A244" i="260"/>
  <c r="L243" i="260"/>
  <c r="J243" i="260"/>
  <c r="I243" i="260"/>
  <c r="B243" i="260"/>
  <c r="L242" i="260"/>
  <c r="J242" i="260"/>
  <c r="I242" i="260"/>
  <c r="B242" i="260"/>
  <c r="L241" i="260"/>
  <c r="J241" i="260"/>
  <c r="I241" i="260"/>
  <c r="B241" i="260"/>
  <c r="L240" i="260"/>
  <c r="J240" i="260"/>
  <c r="I240" i="260"/>
  <c r="B240" i="260"/>
  <c r="L239" i="260"/>
  <c r="J239" i="260"/>
  <c r="I239" i="260"/>
  <c r="B239" i="260"/>
  <c r="L238" i="260"/>
  <c r="J238" i="260"/>
  <c r="I238" i="260"/>
  <c r="B238" i="260"/>
  <c r="L237" i="260"/>
  <c r="J237" i="260"/>
  <c r="I237" i="260"/>
  <c r="B237" i="260"/>
  <c r="L236" i="260"/>
  <c r="J236" i="260"/>
  <c r="I236" i="260"/>
  <c r="B236" i="260"/>
  <c r="L235" i="260"/>
  <c r="J235" i="260"/>
  <c r="I235" i="260"/>
  <c r="B235" i="260"/>
  <c r="L234" i="260"/>
  <c r="J234" i="260"/>
  <c r="I234" i="260"/>
  <c r="B234" i="260"/>
  <c r="AB233" i="260"/>
  <c r="AA233" i="260"/>
  <c r="Z233" i="260"/>
  <c r="Y233" i="260"/>
  <c r="X233" i="260"/>
  <c r="W233" i="260"/>
  <c r="V233" i="260"/>
  <c r="U233" i="260"/>
  <c r="L233" i="260"/>
  <c r="K233" i="260"/>
  <c r="L231" i="260"/>
  <c r="J231" i="260"/>
  <c r="I231" i="260"/>
  <c r="B231" i="260"/>
  <c r="L230" i="260"/>
  <c r="J230" i="260"/>
  <c r="I230" i="260"/>
  <c r="B230" i="260"/>
  <c r="L229" i="260"/>
  <c r="J229" i="260"/>
  <c r="I229" i="260"/>
  <c r="B229" i="260"/>
  <c r="L228" i="260"/>
  <c r="J228" i="260"/>
  <c r="I228" i="260"/>
  <c r="B228" i="260"/>
  <c r="L227" i="260"/>
  <c r="J227" i="260"/>
  <c r="I227" i="260"/>
  <c r="B227" i="260"/>
  <c r="L226" i="260"/>
  <c r="J226" i="260"/>
  <c r="I226" i="260"/>
  <c r="B226" i="260"/>
  <c r="L225" i="260"/>
  <c r="J225" i="260"/>
  <c r="I225" i="260"/>
  <c r="B225" i="260"/>
  <c r="L224" i="260"/>
  <c r="J224" i="260"/>
  <c r="I224" i="260"/>
  <c r="B224" i="260"/>
  <c r="L223" i="260"/>
  <c r="J223" i="260"/>
  <c r="I223" i="260"/>
  <c r="B223" i="260"/>
  <c r="L222" i="260"/>
  <c r="J222" i="260"/>
  <c r="I222" i="260"/>
  <c r="B222" i="260"/>
  <c r="AB221" i="260"/>
  <c r="AA221" i="260"/>
  <c r="Z221" i="260"/>
  <c r="Y221" i="260"/>
  <c r="X221" i="260"/>
  <c r="W221" i="260"/>
  <c r="V221" i="260"/>
  <c r="U221" i="260"/>
  <c r="L221" i="260"/>
  <c r="K221" i="260"/>
  <c r="L219" i="260"/>
  <c r="J219" i="260"/>
  <c r="I219" i="260"/>
  <c r="B219" i="260"/>
  <c r="L218" i="260"/>
  <c r="J218" i="260"/>
  <c r="I218" i="260"/>
  <c r="B218" i="260"/>
  <c r="L217" i="260"/>
  <c r="J217" i="260"/>
  <c r="I217" i="260"/>
  <c r="B217" i="260"/>
  <c r="L216" i="260"/>
  <c r="J216" i="260"/>
  <c r="I216" i="260"/>
  <c r="B216" i="260"/>
  <c r="L215" i="260"/>
  <c r="J215" i="260"/>
  <c r="I215" i="260"/>
  <c r="B215" i="260"/>
  <c r="L214" i="260"/>
  <c r="J214" i="260"/>
  <c r="I214" i="260"/>
  <c r="B214" i="260"/>
  <c r="L213" i="260"/>
  <c r="J213" i="260"/>
  <c r="I213" i="260"/>
  <c r="B213" i="260"/>
  <c r="L212" i="260"/>
  <c r="J212" i="260"/>
  <c r="I212" i="260"/>
  <c r="B212" i="260"/>
  <c r="L211" i="260"/>
  <c r="J211" i="260"/>
  <c r="I211" i="260"/>
  <c r="B211" i="260"/>
  <c r="L210" i="260"/>
  <c r="J210" i="260"/>
  <c r="I210" i="260"/>
  <c r="B210" i="260"/>
  <c r="AB209" i="260"/>
  <c r="AA209" i="260"/>
  <c r="Z209" i="260"/>
  <c r="Y209" i="260"/>
  <c r="X209" i="260"/>
  <c r="W209" i="260"/>
  <c r="V209" i="260"/>
  <c r="U209" i="260"/>
  <c r="L209" i="260"/>
  <c r="K209" i="260"/>
  <c r="K219" i="260" s="1"/>
  <c r="L207" i="260"/>
  <c r="J207" i="260"/>
  <c r="I207" i="260"/>
  <c r="B207" i="260"/>
  <c r="L206" i="260"/>
  <c r="J206" i="260"/>
  <c r="I206" i="260"/>
  <c r="B206" i="260"/>
  <c r="L205" i="260"/>
  <c r="J205" i="260"/>
  <c r="I205" i="260"/>
  <c r="B205" i="260"/>
  <c r="L204" i="260"/>
  <c r="J204" i="260"/>
  <c r="I204" i="260"/>
  <c r="B204" i="260"/>
  <c r="L203" i="260"/>
  <c r="J203" i="260"/>
  <c r="I203" i="260"/>
  <c r="B203" i="260"/>
  <c r="L202" i="260"/>
  <c r="J202" i="260"/>
  <c r="I202" i="260"/>
  <c r="B202" i="260"/>
  <c r="L201" i="260"/>
  <c r="J201" i="260"/>
  <c r="I201" i="260"/>
  <c r="B201" i="260"/>
  <c r="L200" i="260"/>
  <c r="J200" i="260"/>
  <c r="I200" i="260"/>
  <c r="B200" i="260"/>
  <c r="L199" i="260"/>
  <c r="J199" i="260"/>
  <c r="I199" i="260"/>
  <c r="B199" i="260"/>
  <c r="L198" i="260"/>
  <c r="J198" i="260"/>
  <c r="I198" i="260"/>
  <c r="B198" i="260"/>
  <c r="AB197" i="260"/>
  <c r="AA197" i="260"/>
  <c r="Z197" i="260"/>
  <c r="Y197" i="260"/>
  <c r="X197" i="260"/>
  <c r="W197" i="260"/>
  <c r="V197" i="260"/>
  <c r="U197" i="260"/>
  <c r="L197" i="260"/>
  <c r="K197" i="260"/>
  <c r="L195" i="260"/>
  <c r="J195" i="260"/>
  <c r="I195" i="260"/>
  <c r="B195" i="260"/>
  <c r="L194" i="260"/>
  <c r="J194" i="260"/>
  <c r="I194" i="260"/>
  <c r="B194" i="260"/>
  <c r="L193" i="260"/>
  <c r="J193" i="260"/>
  <c r="I193" i="260"/>
  <c r="B193" i="260"/>
  <c r="L192" i="260"/>
  <c r="J192" i="260"/>
  <c r="I192" i="260"/>
  <c r="B192" i="260"/>
  <c r="L191" i="260"/>
  <c r="J191" i="260"/>
  <c r="I191" i="260"/>
  <c r="B191" i="260"/>
  <c r="L190" i="260"/>
  <c r="J190" i="260"/>
  <c r="I190" i="260"/>
  <c r="B190" i="260"/>
  <c r="L189" i="260"/>
  <c r="J189" i="260"/>
  <c r="I189" i="260"/>
  <c r="B189" i="260"/>
  <c r="L188" i="260"/>
  <c r="J188" i="260"/>
  <c r="I188" i="260"/>
  <c r="B188" i="260"/>
  <c r="L187" i="260"/>
  <c r="J187" i="260"/>
  <c r="I187" i="260"/>
  <c r="B187" i="260"/>
  <c r="L186" i="260"/>
  <c r="J186" i="260"/>
  <c r="I186" i="260"/>
  <c r="B186" i="260"/>
  <c r="AB185" i="260"/>
  <c r="AA185" i="260"/>
  <c r="Z185" i="260"/>
  <c r="Y185" i="260"/>
  <c r="X185" i="260"/>
  <c r="W185" i="260"/>
  <c r="V185" i="260"/>
  <c r="U185" i="260"/>
  <c r="L185" i="260"/>
  <c r="K185" i="260"/>
  <c r="K195" i="260" s="1"/>
  <c r="L183" i="260"/>
  <c r="J183" i="260"/>
  <c r="I183" i="260"/>
  <c r="B183" i="260"/>
  <c r="L182" i="260"/>
  <c r="J182" i="260"/>
  <c r="I182" i="260"/>
  <c r="B182" i="260"/>
  <c r="L181" i="260"/>
  <c r="J181" i="260"/>
  <c r="I181" i="260"/>
  <c r="B181" i="260"/>
  <c r="L180" i="260"/>
  <c r="J180" i="260"/>
  <c r="I180" i="260"/>
  <c r="B180" i="260"/>
  <c r="L179" i="260"/>
  <c r="J179" i="260"/>
  <c r="I179" i="260"/>
  <c r="B179" i="260"/>
  <c r="L178" i="260"/>
  <c r="J178" i="260"/>
  <c r="I178" i="260"/>
  <c r="B178" i="260"/>
  <c r="L177" i="260"/>
  <c r="J177" i="260"/>
  <c r="I177" i="260"/>
  <c r="B177" i="260"/>
  <c r="L176" i="260"/>
  <c r="J176" i="260"/>
  <c r="I176" i="260"/>
  <c r="B176" i="260"/>
  <c r="L175" i="260"/>
  <c r="J175" i="260"/>
  <c r="I175" i="260"/>
  <c r="B175" i="260"/>
  <c r="L174" i="260"/>
  <c r="J174" i="260"/>
  <c r="I174" i="260"/>
  <c r="B174" i="260"/>
  <c r="AB173" i="260"/>
  <c r="AA173" i="260"/>
  <c r="Z173" i="260"/>
  <c r="Y173" i="260"/>
  <c r="X173" i="260"/>
  <c r="W173" i="260"/>
  <c r="V173" i="260"/>
  <c r="U173" i="260"/>
  <c r="L173" i="260"/>
  <c r="K173" i="260"/>
  <c r="L171" i="260"/>
  <c r="J171" i="260"/>
  <c r="I171" i="260"/>
  <c r="B171" i="260"/>
  <c r="L170" i="260"/>
  <c r="J170" i="260"/>
  <c r="I170" i="260"/>
  <c r="B170" i="260"/>
  <c r="L169" i="260"/>
  <c r="J169" i="260"/>
  <c r="I169" i="260"/>
  <c r="B169" i="260"/>
  <c r="L168" i="260"/>
  <c r="J168" i="260"/>
  <c r="I168" i="260"/>
  <c r="B168" i="260"/>
  <c r="L167" i="260"/>
  <c r="J167" i="260"/>
  <c r="I167" i="260"/>
  <c r="B167" i="260"/>
  <c r="L166" i="260"/>
  <c r="J166" i="260"/>
  <c r="I166" i="260"/>
  <c r="B166" i="260"/>
  <c r="L165" i="260"/>
  <c r="J165" i="260"/>
  <c r="I165" i="260"/>
  <c r="B165" i="260"/>
  <c r="L164" i="260"/>
  <c r="J164" i="260"/>
  <c r="I164" i="260"/>
  <c r="B164" i="260"/>
  <c r="L163" i="260"/>
  <c r="J163" i="260"/>
  <c r="I163" i="260"/>
  <c r="B163" i="260"/>
  <c r="L162" i="260"/>
  <c r="J162" i="260"/>
  <c r="I162" i="260"/>
  <c r="B162" i="260"/>
  <c r="AB161" i="260"/>
  <c r="AA161" i="260"/>
  <c r="Z161" i="260"/>
  <c r="Y161" i="260"/>
  <c r="X161" i="260"/>
  <c r="W161" i="260"/>
  <c r="V161" i="260"/>
  <c r="U161" i="260"/>
  <c r="L161" i="260"/>
  <c r="K161" i="260"/>
  <c r="K171" i="260" s="1"/>
  <c r="L159" i="260"/>
  <c r="J159" i="260"/>
  <c r="I159" i="260"/>
  <c r="B159" i="260"/>
  <c r="L158" i="260"/>
  <c r="J158" i="260"/>
  <c r="I158" i="260"/>
  <c r="B158" i="260"/>
  <c r="L157" i="260"/>
  <c r="J157" i="260"/>
  <c r="I157" i="260"/>
  <c r="B157" i="260"/>
  <c r="L156" i="260"/>
  <c r="J156" i="260"/>
  <c r="I156" i="260"/>
  <c r="B156" i="260"/>
  <c r="L155" i="260"/>
  <c r="J155" i="260"/>
  <c r="I155" i="260"/>
  <c r="B155" i="260"/>
  <c r="L154" i="260"/>
  <c r="J154" i="260"/>
  <c r="I154" i="260"/>
  <c r="B154" i="260"/>
  <c r="L153" i="260"/>
  <c r="J153" i="260"/>
  <c r="I153" i="260"/>
  <c r="B153" i="260"/>
  <c r="L152" i="260"/>
  <c r="J152" i="260"/>
  <c r="I152" i="260"/>
  <c r="B152" i="260"/>
  <c r="L151" i="260"/>
  <c r="J151" i="260"/>
  <c r="I151" i="260"/>
  <c r="B151" i="260"/>
  <c r="L150" i="260"/>
  <c r="J150" i="260"/>
  <c r="I150" i="260"/>
  <c r="B150" i="260"/>
  <c r="AB149" i="260"/>
  <c r="AA149" i="260"/>
  <c r="Z149" i="260"/>
  <c r="Y149" i="260"/>
  <c r="X149" i="260"/>
  <c r="W149" i="260"/>
  <c r="V149" i="260"/>
  <c r="U149" i="260"/>
  <c r="L149" i="260"/>
  <c r="K149" i="260"/>
  <c r="L147" i="260"/>
  <c r="J147" i="260"/>
  <c r="I147" i="260"/>
  <c r="B147" i="260"/>
  <c r="L146" i="260"/>
  <c r="J146" i="260"/>
  <c r="I146" i="260"/>
  <c r="B146" i="260"/>
  <c r="L145" i="260"/>
  <c r="J145" i="260"/>
  <c r="I145" i="260"/>
  <c r="B145" i="260"/>
  <c r="L144" i="260"/>
  <c r="J144" i="260"/>
  <c r="I144" i="260"/>
  <c r="B144" i="260"/>
  <c r="L143" i="260"/>
  <c r="J143" i="260"/>
  <c r="I143" i="260"/>
  <c r="B143" i="260"/>
  <c r="L142" i="260"/>
  <c r="J142" i="260"/>
  <c r="I142" i="260"/>
  <c r="B142" i="260"/>
  <c r="L141" i="260"/>
  <c r="J141" i="260"/>
  <c r="I141" i="260"/>
  <c r="B141" i="260"/>
  <c r="L140" i="260"/>
  <c r="J140" i="260"/>
  <c r="I140" i="260"/>
  <c r="B140" i="260"/>
  <c r="L139" i="260"/>
  <c r="J139" i="260"/>
  <c r="I139" i="260"/>
  <c r="B139" i="260"/>
  <c r="L138" i="260"/>
  <c r="J138" i="260"/>
  <c r="I138" i="260"/>
  <c r="B138" i="260"/>
  <c r="AB137" i="260"/>
  <c r="AA137" i="260"/>
  <c r="Z137" i="260"/>
  <c r="Y137" i="260"/>
  <c r="X137" i="260"/>
  <c r="W137" i="260"/>
  <c r="V137" i="260"/>
  <c r="U137" i="260"/>
  <c r="L137" i="260"/>
  <c r="K137" i="260"/>
  <c r="K147" i="260" s="1"/>
  <c r="L135" i="260"/>
  <c r="J135" i="260"/>
  <c r="I135" i="260"/>
  <c r="B135" i="260"/>
  <c r="L134" i="260"/>
  <c r="J134" i="260"/>
  <c r="I134" i="260"/>
  <c r="B134" i="260"/>
  <c r="L133" i="260"/>
  <c r="J133" i="260"/>
  <c r="I133" i="260"/>
  <c r="B133" i="260"/>
  <c r="L132" i="260"/>
  <c r="J132" i="260"/>
  <c r="I132" i="260"/>
  <c r="B132" i="260"/>
  <c r="L131" i="260"/>
  <c r="J131" i="260"/>
  <c r="I131" i="260"/>
  <c r="B131" i="260"/>
  <c r="L130" i="260"/>
  <c r="J130" i="260"/>
  <c r="I130" i="260"/>
  <c r="B130" i="260"/>
  <c r="L129" i="260"/>
  <c r="J129" i="260"/>
  <c r="I129" i="260"/>
  <c r="B129" i="260"/>
  <c r="L128" i="260"/>
  <c r="J128" i="260"/>
  <c r="I128" i="260"/>
  <c r="B128" i="260"/>
  <c r="L127" i="260"/>
  <c r="J127" i="260"/>
  <c r="I127" i="260"/>
  <c r="B127" i="260"/>
  <c r="L126" i="260"/>
  <c r="J126" i="260"/>
  <c r="I126" i="260"/>
  <c r="B126" i="260"/>
  <c r="AB125" i="260"/>
  <c r="AA125" i="260"/>
  <c r="Z125" i="260"/>
  <c r="Y125" i="260"/>
  <c r="X125" i="260"/>
  <c r="W125" i="260"/>
  <c r="V125" i="260"/>
  <c r="U125" i="260"/>
  <c r="L125" i="260"/>
  <c r="K125" i="260"/>
  <c r="L123" i="260"/>
  <c r="J123" i="260"/>
  <c r="I123" i="260"/>
  <c r="B123" i="260"/>
  <c r="L122" i="260"/>
  <c r="J122" i="260"/>
  <c r="I122" i="260"/>
  <c r="B122" i="260"/>
  <c r="L121" i="260"/>
  <c r="J121" i="260"/>
  <c r="I121" i="260"/>
  <c r="B121" i="260"/>
  <c r="L120" i="260"/>
  <c r="J120" i="260"/>
  <c r="I120" i="260"/>
  <c r="B120" i="260"/>
  <c r="L119" i="260"/>
  <c r="J119" i="260"/>
  <c r="I119" i="260"/>
  <c r="B119" i="260"/>
  <c r="L118" i="260"/>
  <c r="J118" i="260"/>
  <c r="I118" i="260"/>
  <c r="B118" i="260"/>
  <c r="L117" i="260"/>
  <c r="J117" i="260"/>
  <c r="I117" i="260"/>
  <c r="B117" i="260"/>
  <c r="L116" i="260"/>
  <c r="J116" i="260"/>
  <c r="I116" i="260"/>
  <c r="B116" i="260"/>
  <c r="L115" i="260"/>
  <c r="J115" i="260"/>
  <c r="I115" i="260"/>
  <c r="B115" i="260"/>
  <c r="L114" i="260"/>
  <c r="J114" i="260"/>
  <c r="I114" i="260"/>
  <c r="B114" i="260"/>
  <c r="AB113" i="260"/>
  <c r="AA113" i="260"/>
  <c r="Z113" i="260"/>
  <c r="Y113" i="260"/>
  <c r="X113" i="260"/>
  <c r="W113" i="260"/>
  <c r="V113" i="260"/>
  <c r="U113" i="260"/>
  <c r="L113" i="260"/>
  <c r="K113" i="260"/>
  <c r="K123" i="260" s="1"/>
  <c r="L111" i="260"/>
  <c r="J111" i="260"/>
  <c r="I111" i="260"/>
  <c r="B111" i="260"/>
  <c r="L110" i="260"/>
  <c r="J110" i="260"/>
  <c r="I110" i="260"/>
  <c r="B110" i="260"/>
  <c r="L109" i="260"/>
  <c r="J109" i="260"/>
  <c r="I109" i="260"/>
  <c r="B109" i="260"/>
  <c r="L108" i="260"/>
  <c r="J108" i="260"/>
  <c r="I108" i="260"/>
  <c r="B108" i="260"/>
  <c r="L107" i="260"/>
  <c r="J107" i="260"/>
  <c r="I107" i="260"/>
  <c r="B107" i="260"/>
  <c r="L106" i="260"/>
  <c r="J106" i="260"/>
  <c r="I106" i="260"/>
  <c r="B106" i="260"/>
  <c r="L105" i="260"/>
  <c r="J105" i="260"/>
  <c r="I105" i="260"/>
  <c r="B105" i="260"/>
  <c r="L104" i="260"/>
  <c r="J104" i="260"/>
  <c r="I104" i="260"/>
  <c r="B104" i="260"/>
  <c r="L103" i="260"/>
  <c r="J103" i="260"/>
  <c r="I103" i="260"/>
  <c r="B103" i="260"/>
  <c r="L102" i="260"/>
  <c r="J102" i="260"/>
  <c r="I102" i="260"/>
  <c r="B102" i="260"/>
  <c r="AB101" i="260"/>
  <c r="AA101" i="260"/>
  <c r="Z101" i="260"/>
  <c r="Y101" i="260"/>
  <c r="X101" i="260"/>
  <c r="W101" i="260"/>
  <c r="V101" i="260"/>
  <c r="U101" i="260"/>
  <c r="L101" i="260"/>
  <c r="K101" i="260"/>
  <c r="L99" i="260"/>
  <c r="J99" i="260"/>
  <c r="I99" i="260"/>
  <c r="B99" i="260"/>
  <c r="L98" i="260"/>
  <c r="J98" i="260"/>
  <c r="I98" i="260"/>
  <c r="B98" i="260"/>
  <c r="L97" i="260"/>
  <c r="J97" i="260"/>
  <c r="I97" i="260"/>
  <c r="B97" i="260"/>
  <c r="L96" i="260"/>
  <c r="J96" i="260"/>
  <c r="I96" i="260"/>
  <c r="B96" i="260"/>
  <c r="L95" i="260"/>
  <c r="J95" i="260"/>
  <c r="I95" i="260"/>
  <c r="B95" i="260"/>
  <c r="L94" i="260"/>
  <c r="J94" i="260"/>
  <c r="I94" i="260"/>
  <c r="B94" i="260"/>
  <c r="L93" i="260"/>
  <c r="J93" i="260"/>
  <c r="I93" i="260"/>
  <c r="B93" i="260"/>
  <c r="L92" i="260"/>
  <c r="J92" i="260"/>
  <c r="I92" i="260"/>
  <c r="B92" i="260"/>
  <c r="L91" i="260"/>
  <c r="J91" i="260"/>
  <c r="I91" i="260"/>
  <c r="B91" i="260"/>
  <c r="L90" i="260"/>
  <c r="J90" i="260"/>
  <c r="I90" i="260"/>
  <c r="B90" i="260"/>
  <c r="AB89" i="260"/>
  <c r="AA89" i="260"/>
  <c r="Z89" i="260"/>
  <c r="Y89" i="260"/>
  <c r="X89" i="260"/>
  <c r="W89" i="260"/>
  <c r="V89" i="260"/>
  <c r="U89" i="260"/>
  <c r="L89" i="260"/>
  <c r="K89" i="260"/>
  <c r="K99" i="260" s="1"/>
  <c r="L87" i="260"/>
  <c r="J87" i="260"/>
  <c r="I87" i="260"/>
  <c r="B87" i="260"/>
  <c r="L86" i="260"/>
  <c r="J86" i="260"/>
  <c r="I86" i="260"/>
  <c r="B86" i="260"/>
  <c r="L85" i="260"/>
  <c r="J85" i="260"/>
  <c r="I85" i="260"/>
  <c r="B85" i="260"/>
  <c r="L84" i="260"/>
  <c r="J84" i="260"/>
  <c r="I84" i="260"/>
  <c r="B84" i="260"/>
  <c r="L83" i="260"/>
  <c r="J83" i="260"/>
  <c r="I83" i="260"/>
  <c r="B83" i="260"/>
  <c r="L82" i="260"/>
  <c r="J82" i="260"/>
  <c r="I82" i="260"/>
  <c r="B82" i="260"/>
  <c r="L81" i="260"/>
  <c r="J81" i="260"/>
  <c r="I81" i="260"/>
  <c r="B81" i="260"/>
  <c r="L80" i="260"/>
  <c r="J80" i="260"/>
  <c r="I80" i="260"/>
  <c r="B80" i="260"/>
  <c r="L79" i="260"/>
  <c r="J79" i="260"/>
  <c r="I79" i="260"/>
  <c r="B79" i="260"/>
  <c r="L78" i="260"/>
  <c r="J78" i="260"/>
  <c r="I78" i="260"/>
  <c r="B78" i="260"/>
  <c r="AB77" i="260"/>
  <c r="AA77" i="260"/>
  <c r="Z77" i="260"/>
  <c r="Y77" i="260"/>
  <c r="X77" i="260"/>
  <c r="W77" i="260"/>
  <c r="V77" i="260"/>
  <c r="U77" i="260"/>
  <c r="L77" i="260"/>
  <c r="K77" i="260"/>
  <c r="K83" i="260" s="1"/>
  <c r="L75" i="260"/>
  <c r="J75" i="260"/>
  <c r="I75" i="260"/>
  <c r="B75" i="260"/>
  <c r="L74" i="260"/>
  <c r="J74" i="260"/>
  <c r="I74" i="260"/>
  <c r="B74" i="260"/>
  <c r="L73" i="260"/>
  <c r="J73" i="260"/>
  <c r="I73" i="260"/>
  <c r="B73" i="260"/>
  <c r="L72" i="260"/>
  <c r="J72" i="260"/>
  <c r="I72" i="260"/>
  <c r="B72" i="260"/>
  <c r="L71" i="260"/>
  <c r="J71" i="260"/>
  <c r="I71" i="260"/>
  <c r="B71" i="260"/>
  <c r="L70" i="260"/>
  <c r="J70" i="260"/>
  <c r="I70" i="260"/>
  <c r="B70" i="260"/>
  <c r="L69" i="260"/>
  <c r="J69" i="260"/>
  <c r="I69" i="260"/>
  <c r="B69" i="260"/>
  <c r="L68" i="260"/>
  <c r="J68" i="260"/>
  <c r="I68" i="260"/>
  <c r="B68" i="260"/>
  <c r="L67" i="260"/>
  <c r="J67" i="260"/>
  <c r="I67" i="260"/>
  <c r="B67" i="260"/>
  <c r="L66" i="260"/>
  <c r="J66" i="260"/>
  <c r="I66" i="260"/>
  <c r="B66" i="260"/>
  <c r="AB65" i="260"/>
  <c r="AA65" i="260"/>
  <c r="Z65" i="260"/>
  <c r="Y65" i="260"/>
  <c r="X65" i="260"/>
  <c r="W65" i="260"/>
  <c r="V65" i="260"/>
  <c r="U65" i="260"/>
  <c r="L65" i="260"/>
  <c r="K65" i="260"/>
  <c r="L63" i="260"/>
  <c r="J63" i="260"/>
  <c r="I63" i="260"/>
  <c r="B63" i="260"/>
  <c r="L62" i="260"/>
  <c r="J62" i="260"/>
  <c r="I62" i="260"/>
  <c r="B62" i="260"/>
  <c r="L61" i="260"/>
  <c r="J61" i="260"/>
  <c r="I61" i="260"/>
  <c r="B61" i="260"/>
  <c r="L60" i="260"/>
  <c r="J60" i="260"/>
  <c r="I60" i="260"/>
  <c r="B60" i="260"/>
  <c r="L59" i="260"/>
  <c r="J59" i="260"/>
  <c r="I59" i="260"/>
  <c r="B59" i="260"/>
  <c r="L58" i="260"/>
  <c r="J58" i="260"/>
  <c r="I58" i="260"/>
  <c r="B58" i="260"/>
  <c r="L57" i="260"/>
  <c r="J57" i="260"/>
  <c r="I57" i="260"/>
  <c r="B57" i="260"/>
  <c r="L56" i="260"/>
  <c r="J56" i="260"/>
  <c r="I56" i="260"/>
  <c r="B56" i="260"/>
  <c r="L55" i="260"/>
  <c r="J55" i="260"/>
  <c r="I55" i="260"/>
  <c r="B55" i="260"/>
  <c r="L54" i="260"/>
  <c r="J54" i="260"/>
  <c r="I54" i="260"/>
  <c r="B54" i="260"/>
  <c r="AB53" i="260"/>
  <c r="AA53" i="260"/>
  <c r="Z53" i="260"/>
  <c r="Y53" i="260"/>
  <c r="X53" i="260"/>
  <c r="W53" i="260"/>
  <c r="V53" i="260"/>
  <c r="U53" i="260"/>
  <c r="L53" i="260"/>
  <c r="K53" i="260"/>
  <c r="L51" i="260"/>
  <c r="J51" i="260"/>
  <c r="I51" i="260"/>
  <c r="B51" i="260"/>
  <c r="L50" i="260"/>
  <c r="J50" i="260"/>
  <c r="I50" i="260"/>
  <c r="B50" i="260"/>
  <c r="L49" i="260"/>
  <c r="J49" i="260"/>
  <c r="I49" i="260"/>
  <c r="B49" i="260"/>
  <c r="L48" i="260"/>
  <c r="J48" i="260"/>
  <c r="I48" i="260"/>
  <c r="B48" i="260"/>
  <c r="L47" i="260"/>
  <c r="J47" i="260"/>
  <c r="I47" i="260"/>
  <c r="B47" i="260"/>
  <c r="L46" i="260"/>
  <c r="J46" i="260"/>
  <c r="I46" i="260"/>
  <c r="B46" i="260"/>
  <c r="L45" i="260"/>
  <c r="J45" i="260"/>
  <c r="I45" i="260"/>
  <c r="B45" i="260"/>
  <c r="L44" i="260"/>
  <c r="J44" i="260"/>
  <c r="I44" i="260"/>
  <c r="B44" i="260"/>
  <c r="L43" i="260"/>
  <c r="J43" i="260"/>
  <c r="I43" i="260"/>
  <c r="B43" i="260"/>
  <c r="L42" i="260"/>
  <c r="J42" i="260"/>
  <c r="I42" i="260"/>
  <c r="B42" i="260"/>
  <c r="AB41" i="260"/>
  <c r="AA41" i="260"/>
  <c r="Z41" i="260"/>
  <c r="Y41" i="260"/>
  <c r="X41" i="260"/>
  <c r="W41" i="260"/>
  <c r="V41" i="260"/>
  <c r="U41" i="260"/>
  <c r="L41" i="260"/>
  <c r="K41" i="260"/>
  <c r="K51" i="260" s="1"/>
  <c r="L39" i="260"/>
  <c r="J39" i="260"/>
  <c r="I39" i="260"/>
  <c r="B39" i="260"/>
  <c r="L38" i="260"/>
  <c r="J38" i="260"/>
  <c r="I38" i="260"/>
  <c r="B38" i="260"/>
  <c r="L37" i="260"/>
  <c r="J37" i="260"/>
  <c r="I37" i="260"/>
  <c r="B37" i="260"/>
  <c r="L36" i="260"/>
  <c r="J36" i="260"/>
  <c r="I36" i="260"/>
  <c r="B36" i="260"/>
  <c r="L35" i="260"/>
  <c r="J35" i="260"/>
  <c r="I35" i="260"/>
  <c r="B35" i="260"/>
  <c r="L34" i="260"/>
  <c r="J34" i="260"/>
  <c r="I34" i="260"/>
  <c r="B34" i="260"/>
  <c r="L33" i="260"/>
  <c r="J33" i="260"/>
  <c r="I33" i="260"/>
  <c r="B33" i="260"/>
  <c r="L32" i="260"/>
  <c r="J32" i="260"/>
  <c r="I32" i="260"/>
  <c r="B32" i="260"/>
  <c r="L31" i="260"/>
  <c r="J31" i="260"/>
  <c r="I31" i="260"/>
  <c r="B31" i="260"/>
  <c r="L30" i="260"/>
  <c r="J30" i="260"/>
  <c r="I30" i="260"/>
  <c r="B30" i="260"/>
  <c r="AB29" i="260"/>
  <c r="AA29" i="260"/>
  <c r="Z29" i="260"/>
  <c r="Y29" i="260"/>
  <c r="X29" i="260"/>
  <c r="W29" i="260"/>
  <c r="V29" i="260"/>
  <c r="U29" i="260"/>
  <c r="L29" i="260"/>
  <c r="K29" i="260"/>
  <c r="K35" i="260" s="1"/>
  <c r="L27" i="260"/>
  <c r="J27" i="260"/>
  <c r="I27" i="260"/>
  <c r="B27" i="260"/>
  <c r="L26" i="260"/>
  <c r="J26" i="260"/>
  <c r="I26" i="260"/>
  <c r="B26" i="260"/>
  <c r="L25" i="260"/>
  <c r="J25" i="260"/>
  <c r="I25" i="260"/>
  <c r="B25" i="260"/>
  <c r="L24" i="260"/>
  <c r="J24" i="260"/>
  <c r="I24" i="260"/>
  <c r="B24" i="260"/>
  <c r="L23" i="260"/>
  <c r="J23" i="260"/>
  <c r="I23" i="260"/>
  <c r="B23" i="260"/>
  <c r="L22" i="260"/>
  <c r="J22" i="260"/>
  <c r="I22" i="260"/>
  <c r="B22" i="260"/>
  <c r="L21" i="260"/>
  <c r="J21" i="260"/>
  <c r="I21" i="260"/>
  <c r="B21" i="260"/>
  <c r="L20" i="260"/>
  <c r="J20" i="260"/>
  <c r="I20" i="260"/>
  <c r="B20" i="260"/>
  <c r="L19" i="260"/>
  <c r="J19" i="260"/>
  <c r="I19" i="260"/>
  <c r="B19" i="260"/>
  <c r="L18" i="260"/>
  <c r="J18" i="260"/>
  <c r="I18" i="260"/>
  <c r="B18" i="260"/>
  <c r="AB17" i="260"/>
  <c r="AA17" i="260"/>
  <c r="Z17" i="260"/>
  <c r="Y17" i="260"/>
  <c r="X17" i="260"/>
  <c r="W17" i="260"/>
  <c r="V17" i="260"/>
  <c r="U17" i="260"/>
  <c r="L17" i="260"/>
  <c r="K17" i="260"/>
  <c r="L15" i="260"/>
  <c r="J15" i="260"/>
  <c r="I15" i="260"/>
  <c r="B15" i="260"/>
  <c r="L14" i="260"/>
  <c r="J14" i="260"/>
  <c r="I14" i="260"/>
  <c r="B14" i="260"/>
  <c r="L13" i="260"/>
  <c r="J13" i="260"/>
  <c r="I13" i="260"/>
  <c r="B13" i="260"/>
  <c r="L12" i="260"/>
  <c r="J12" i="260"/>
  <c r="I12" i="260"/>
  <c r="B12" i="260"/>
  <c r="L11" i="260"/>
  <c r="J11" i="260"/>
  <c r="I11" i="260"/>
  <c r="B11" i="260"/>
  <c r="L10" i="260"/>
  <c r="J10" i="260"/>
  <c r="I10" i="260"/>
  <c r="B10" i="260"/>
  <c r="L9" i="260"/>
  <c r="J9" i="260"/>
  <c r="I9" i="260"/>
  <c r="B9" i="260"/>
  <c r="J8" i="260"/>
  <c r="I8" i="260"/>
  <c r="K8" i="260" s="1"/>
  <c r="B8" i="260"/>
  <c r="J7" i="260"/>
  <c r="I7" i="260"/>
  <c r="B7" i="260"/>
  <c r="J6" i="260"/>
  <c r="I6" i="260"/>
  <c r="B6" i="260"/>
  <c r="AB5" i="260"/>
  <c r="AA5" i="260"/>
  <c r="Z5" i="260"/>
  <c r="Y5" i="260"/>
  <c r="X5" i="260"/>
  <c r="W5" i="260"/>
  <c r="V5" i="260"/>
  <c r="U5" i="260"/>
  <c r="L5" i="260"/>
  <c r="K5" i="260"/>
  <c r="L223" i="240"/>
  <c r="L224" i="240"/>
  <c r="L225" i="240"/>
  <c r="L226" i="240"/>
  <c r="L227" i="240"/>
  <c r="L228" i="240"/>
  <c r="L229" i="240"/>
  <c r="L230" i="240"/>
  <c r="L231" i="240"/>
  <c r="L222" i="240"/>
  <c r="J231" i="240"/>
  <c r="I231" i="240"/>
  <c r="B231" i="240"/>
  <c r="J230" i="240"/>
  <c r="I230" i="240"/>
  <c r="B230" i="240"/>
  <c r="J229" i="240"/>
  <c r="I229" i="240"/>
  <c r="B229" i="240"/>
  <c r="J228" i="240"/>
  <c r="I228" i="240"/>
  <c r="B228" i="240"/>
  <c r="J227" i="240"/>
  <c r="I227" i="240"/>
  <c r="B227" i="240"/>
  <c r="J226" i="240"/>
  <c r="I226" i="240"/>
  <c r="B226" i="240"/>
  <c r="J225" i="240"/>
  <c r="I225" i="240"/>
  <c r="B225" i="240"/>
  <c r="J224" i="240"/>
  <c r="I224" i="240"/>
  <c r="B224" i="240"/>
  <c r="J223" i="240"/>
  <c r="I223" i="240"/>
  <c r="B223" i="240"/>
  <c r="J222" i="240"/>
  <c r="I222" i="240"/>
  <c r="B222" i="240"/>
  <c r="AB221" i="240"/>
  <c r="AA221" i="240"/>
  <c r="Z221" i="240"/>
  <c r="Y221" i="240"/>
  <c r="X221" i="240"/>
  <c r="W221" i="240"/>
  <c r="V221" i="240"/>
  <c r="U221" i="240"/>
  <c r="L221" i="240"/>
  <c r="K221" i="240"/>
  <c r="K228" i="240" s="1"/>
  <c r="L211" i="240"/>
  <c r="L212" i="240"/>
  <c r="L213" i="240"/>
  <c r="L214" i="240"/>
  <c r="L215" i="240"/>
  <c r="L216" i="240"/>
  <c r="L217" i="240"/>
  <c r="L218" i="240"/>
  <c r="L219" i="240"/>
  <c r="L210" i="240"/>
  <c r="L202" i="240"/>
  <c r="L190" i="240"/>
  <c r="L199" i="240"/>
  <c r="L200" i="240"/>
  <c r="L201" i="240"/>
  <c r="L203" i="240"/>
  <c r="L204" i="240"/>
  <c r="L205" i="240"/>
  <c r="L206" i="240"/>
  <c r="L207" i="240"/>
  <c r="L198" i="240"/>
  <c r="J219" i="240"/>
  <c r="I219" i="240"/>
  <c r="B219" i="240"/>
  <c r="J218" i="240"/>
  <c r="I218" i="240"/>
  <c r="B218" i="240"/>
  <c r="J217" i="240"/>
  <c r="I217" i="240"/>
  <c r="B217" i="240"/>
  <c r="J216" i="240"/>
  <c r="I216" i="240"/>
  <c r="B216" i="240"/>
  <c r="J215" i="240"/>
  <c r="I215" i="240"/>
  <c r="B215" i="240"/>
  <c r="J214" i="240"/>
  <c r="I214" i="240"/>
  <c r="B214" i="240"/>
  <c r="J213" i="240"/>
  <c r="I213" i="240"/>
  <c r="B213" i="240"/>
  <c r="J212" i="240"/>
  <c r="I212" i="240"/>
  <c r="B212" i="240"/>
  <c r="J211" i="240"/>
  <c r="I211" i="240"/>
  <c r="B211" i="240"/>
  <c r="J210" i="240"/>
  <c r="I210" i="240"/>
  <c r="B210" i="240"/>
  <c r="AB209" i="240"/>
  <c r="AA209" i="240"/>
  <c r="Z209" i="240"/>
  <c r="Y209" i="240"/>
  <c r="X209" i="240"/>
  <c r="W209" i="240"/>
  <c r="V209" i="240"/>
  <c r="U209" i="240"/>
  <c r="L209" i="240"/>
  <c r="K209" i="240"/>
  <c r="J207" i="240"/>
  <c r="I207" i="240"/>
  <c r="B207" i="240"/>
  <c r="J206" i="240"/>
  <c r="I206" i="240"/>
  <c r="B206" i="240"/>
  <c r="J205" i="240"/>
  <c r="I205" i="240"/>
  <c r="B205" i="240"/>
  <c r="J204" i="240"/>
  <c r="I204" i="240"/>
  <c r="B204" i="240"/>
  <c r="J203" i="240"/>
  <c r="I203" i="240"/>
  <c r="B203" i="240"/>
  <c r="J202" i="240"/>
  <c r="I202" i="240"/>
  <c r="B202" i="240"/>
  <c r="J201" i="240"/>
  <c r="I201" i="240"/>
  <c r="B201" i="240"/>
  <c r="J200" i="240"/>
  <c r="I200" i="240"/>
  <c r="B200" i="240"/>
  <c r="J199" i="240"/>
  <c r="I199" i="240"/>
  <c r="B199" i="240"/>
  <c r="J198" i="240"/>
  <c r="I198" i="240"/>
  <c r="B198" i="240"/>
  <c r="AB197" i="240"/>
  <c r="AA197" i="240"/>
  <c r="Z197" i="240"/>
  <c r="Y197" i="240"/>
  <c r="X197" i="240"/>
  <c r="W197" i="240"/>
  <c r="V197" i="240"/>
  <c r="U197" i="240"/>
  <c r="L197" i="240"/>
  <c r="K197" i="240"/>
  <c r="L187" i="240"/>
  <c r="L188" i="240"/>
  <c r="L189" i="240"/>
  <c r="L191" i="240"/>
  <c r="L192" i="240"/>
  <c r="L193" i="240"/>
  <c r="L194" i="240"/>
  <c r="L195" i="240"/>
  <c r="L186" i="240"/>
  <c r="L175" i="240"/>
  <c r="L176" i="240"/>
  <c r="L177" i="240"/>
  <c r="L178" i="240"/>
  <c r="L179" i="240"/>
  <c r="L180" i="240"/>
  <c r="L181" i="240"/>
  <c r="L182" i="240"/>
  <c r="L183" i="240"/>
  <c r="L174" i="240"/>
  <c r="J195" i="240"/>
  <c r="I195" i="240"/>
  <c r="B195" i="240"/>
  <c r="J194" i="240"/>
  <c r="I194" i="240"/>
  <c r="B194" i="240"/>
  <c r="J193" i="240"/>
  <c r="I193" i="240"/>
  <c r="B193" i="240"/>
  <c r="J192" i="240"/>
  <c r="I192" i="240"/>
  <c r="B192" i="240"/>
  <c r="J191" i="240"/>
  <c r="I191" i="240"/>
  <c r="B191" i="240"/>
  <c r="J190" i="240"/>
  <c r="I190" i="240"/>
  <c r="B190" i="240"/>
  <c r="J189" i="240"/>
  <c r="I189" i="240"/>
  <c r="B189" i="240"/>
  <c r="J188" i="240"/>
  <c r="I188" i="240"/>
  <c r="B188" i="240"/>
  <c r="J187" i="240"/>
  <c r="I187" i="240"/>
  <c r="B187" i="240"/>
  <c r="J186" i="240"/>
  <c r="I186" i="240"/>
  <c r="B186" i="240"/>
  <c r="AB185" i="240"/>
  <c r="AA185" i="240"/>
  <c r="Z185" i="240"/>
  <c r="Y185" i="240"/>
  <c r="X185" i="240"/>
  <c r="W185" i="240"/>
  <c r="V185" i="240"/>
  <c r="U185" i="240"/>
  <c r="L185" i="240"/>
  <c r="K185" i="240"/>
  <c r="J183" i="240"/>
  <c r="I183" i="240"/>
  <c r="B183" i="240"/>
  <c r="J182" i="240"/>
  <c r="I182" i="240"/>
  <c r="B182" i="240"/>
  <c r="J181" i="240"/>
  <c r="I181" i="240"/>
  <c r="B181" i="240"/>
  <c r="J180" i="240"/>
  <c r="I180" i="240"/>
  <c r="B180" i="240"/>
  <c r="J179" i="240"/>
  <c r="I179" i="240"/>
  <c r="B179" i="240"/>
  <c r="J178" i="240"/>
  <c r="I178" i="240"/>
  <c r="B178" i="240"/>
  <c r="J177" i="240"/>
  <c r="I177" i="240"/>
  <c r="B177" i="240"/>
  <c r="J176" i="240"/>
  <c r="I176" i="240"/>
  <c r="B176" i="240"/>
  <c r="J175" i="240"/>
  <c r="I175" i="240"/>
  <c r="B175" i="240"/>
  <c r="J174" i="240"/>
  <c r="I174" i="240"/>
  <c r="B174" i="240"/>
  <c r="AB173" i="240"/>
  <c r="AA173" i="240"/>
  <c r="Z173" i="240"/>
  <c r="Y173" i="240"/>
  <c r="X173" i="240"/>
  <c r="W173" i="240"/>
  <c r="V173" i="240"/>
  <c r="U173" i="240"/>
  <c r="L173" i="240"/>
  <c r="K173" i="240"/>
  <c r="L163" i="240"/>
  <c r="L164" i="240"/>
  <c r="L165" i="240"/>
  <c r="L166" i="240"/>
  <c r="L167" i="240"/>
  <c r="L168" i="240"/>
  <c r="L169" i="240"/>
  <c r="L170" i="240"/>
  <c r="L171" i="240"/>
  <c r="L162" i="240"/>
  <c r="L151" i="240"/>
  <c r="L152" i="240"/>
  <c r="L153" i="240"/>
  <c r="L154" i="240"/>
  <c r="L155" i="240"/>
  <c r="L156" i="240"/>
  <c r="L157" i="240"/>
  <c r="L158" i="240"/>
  <c r="L159" i="240"/>
  <c r="L150" i="240"/>
  <c r="J171" i="240"/>
  <c r="I171" i="240"/>
  <c r="B171" i="240"/>
  <c r="J170" i="240"/>
  <c r="I170" i="240"/>
  <c r="B170" i="240"/>
  <c r="J169" i="240"/>
  <c r="I169" i="240"/>
  <c r="B169" i="240"/>
  <c r="J168" i="240"/>
  <c r="I168" i="240"/>
  <c r="B168" i="240"/>
  <c r="J167" i="240"/>
  <c r="I167" i="240"/>
  <c r="B167" i="240"/>
  <c r="J166" i="240"/>
  <c r="I166" i="240"/>
  <c r="B166" i="240"/>
  <c r="J165" i="240"/>
  <c r="I165" i="240"/>
  <c r="B165" i="240"/>
  <c r="J164" i="240"/>
  <c r="I164" i="240"/>
  <c r="B164" i="240"/>
  <c r="J163" i="240"/>
  <c r="I163" i="240"/>
  <c r="B163" i="240"/>
  <c r="J162" i="240"/>
  <c r="I162" i="240"/>
  <c r="B162" i="240"/>
  <c r="AB161" i="240"/>
  <c r="AA161" i="240"/>
  <c r="Z161" i="240"/>
  <c r="Y161" i="240"/>
  <c r="X161" i="240"/>
  <c r="W161" i="240"/>
  <c r="V161" i="240"/>
  <c r="U161" i="240"/>
  <c r="L161" i="240"/>
  <c r="K161" i="240"/>
  <c r="J159" i="240"/>
  <c r="I159" i="240"/>
  <c r="B159" i="240"/>
  <c r="J158" i="240"/>
  <c r="I158" i="240"/>
  <c r="B158" i="240"/>
  <c r="J157" i="240"/>
  <c r="I157" i="240"/>
  <c r="B157" i="240"/>
  <c r="J156" i="240"/>
  <c r="I156" i="240"/>
  <c r="B156" i="240"/>
  <c r="J155" i="240"/>
  <c r="I155" i="240"/>
  <c r="B155" i="240"/>
  <c r="J154" i="240"/>
  <c r="I154" i="240"/>
  <c r="B154" i="240"/>
  <c r="J153" i="240"/>
  <c r="I153" i="240"/>
  <c r="B153" i="240"/>
  <c r="J152" i="240"/>
  <c r="I152" i="240"/>
  <c r="B152" i="240"/>
  <c r="J151" i="240"/>
  <c r="I151" i="240"/>
  <c r="B151" i="240"/>
  <c r="J150" i="240"/>
  <c r="I150" i="240"/>
  <c r="B150" i="240"/>
  <c r="AB149" i="240"/>
  <c r="AA149" i="240"/>
  <c r="Z149" i="240"/>
  <c r="Y149" i="240"/>
  <c r="X149" i="240"/>
  <c r="W149" i="240"/>
  <c r="V149" i="240"/>
  <c r="U149" i="240"/>
  <c r="L149" i="240"/>
  <c r="K149" i="240"/>
  <c r="L127" i="240"/>
  <c r="L128" i="240"/>
  <c r="L129" i="240"/>
  <c r="L130" i="240"/>
  <c r="L131" i="240"/>
  <c r="L132" i="240"/>
  <c r="L133" i="240"/>
  <c r="L134" i="240"/>
  <c r="L135" i="240"/>
  <c r="L126" i="240"/>
  <c r="J135" i="240"/>
  <c r="I135" i="240"/>
  <c r="B135" i="240"/>
  <c r="J134" i="240"/>
  <c r="I134" i="240"/>
  <c r="B134" i="240"/>
  <c r="J133" i="240"/>
  <c r="I133" i="240"/>
  <c r="B133" i="240"/>
  <c r="J132" i="240"/>
  <c r="I132" i="240"/>
  <c r="B132" i="240"/>
  <c r="J131" i="240"/>
  <c r="I131" i="240"/>
  <c r="B131" i="240"/>
  <c r="J130" i="240"/>
  <c r="I130" i="240"/>
  <c r="B130" i="240"/>
  <c r="J129" i="240"/>
  <c r="I129" i="240"/>
  <c r="B129" i="240"/>
  <c r="J128" i="240"/>
  <c r="I128" i="240"/>
  <c r="B128" i="240"/>
  <c r="J127" i="240"/>
  <c r="I127" i="240"/>
  <c r="B127" i="240"/>
  <c r="J126" i="240"/>
  <c r="I126" i="240"/>
  <c r="B126" i="240"/>
  <c r="AB125" i="240"/>
  <c r="AA125" i="240"/>
  <c r="Z125" i="240"/>
  <c r="Y125" i="240"/>
  <c r="X125" i="240"/>
  <c r="W125" i="240"/>
  <c r="V125" i="240"/>
  <c r="U125" i="240"/>
  <c r="L125" i="240"/>
  <c r="K125" i="240"/>
  <c r="L139" i="240"/>
  <c r="L140" i="240"/>
  <c r="L141" i="240"/>
  <c r="L142" i="240"/>
  <c r="L143" i="240"/>
  <c r="L144" i="240"/>
  <c r="L145" i="240"/>
  <c r="L146" i="240"/>
  <c r="L147" i="240"/>
  <c r="L138" i="240"/>
  <c r="J147" i="240"/>
  <c r="I147" i="240"/>
  <c r="B147" i="240"/>
  <c r="J146" i="240"/>
  <c r="I146" i="240"/>
  <c r="B146" i="240"/>
  <c r="J145" i="240"/>
  <c r="I145" i="240"/>
  <c r="B145" i="240"/>
  <c r="J144" i="240"/>
  <c r="I144" i="240"/>
  <c r="B144" i="240"/>
  <c r="J143" i="240"/>
  <c r="I143" i="240"/>
  <c r="B143" i="240"/>
  <c r="J142" i="240"/>
  <c r="I142" i="240"/>
  <c r="B142" i="240"/>
  <c r="J141" i="240"/>
  <c r="I141" i="240"/>
  <c r="B141" i="240"/>
  <c r="J140" i="240"/>
  <c r="I140" i="240"/>
  <c r="B140" i="240"/>
  <c r="J139" i="240"/>
  <c r="I139" i="240"/>
  <c r="B139" i="240"/>
  <c r="J138" i="240"/>
  <c r="I138" i="240"/>
  <c r="B138" i="240"/>
  <c r="AB137" i="240"/>
  <c r="AA137" i="240"/>
  <c r="Z137" i="240"/>
  <c r="Y137" i="240"/>
  <c r="X137" i="240"/>
  <c r="W137" i="240"/>
  <c r="V137" i="240"/>
  <c r="U137" i="240"/>
  <c r="L137" i="240"/>
  <c r="K137" i="240"/>
  <c r="L115" i="240"/>
  <c r="L116" i="240"/>
  <c r="L117" i="240"/>
  <c r="L118" i="240"/>
  <c r="L119" i="240"/>
  <c r="L120" i="240"/>
  <c r="L121" i="240"/>
  <c r="L122" i="240"/>
  <c r="L123" i="240"/>
  <c r="L114" i="240"/>
  <c r="J123" i="240"/>
  <c r="I123" i="240"/>
  <c r="B123" i="240"/>
  <c r="J122" i="240"/>
  <c r="I122" i="240"/>
  <c r="B122" i="240"/>
  <c r="J121" i="240"/>
  <c r="I121" i="240"/>
  <c r="B121" i="240"/>
  <c r="J120" i="240"/>
  <c r="I120" i="240"/>
  <c r="B120" i="240"/>
  <c r="J119" i="240"/>
  <c r="I119" i="240"/>
  <c r="B119" i="240"/>
  <c r="J118" i="240"/>
  <c r="I118" i="240"/>
  <c r="B118" i="240"/>
  <c r="J117" i="240"/>
  <c r="I117" i="240"/>
  <c r="B117" i="240"/>
  <c r="J116" i="240"/>
  <c r="I116" i="240"/>
  <c r="B116" i="240"/>
  <c r="J115" i="240"/>
  <c r="I115" i="240"/>
  <c r="B115" i="240"/>
  <c r="J114" i="240"/>
  <c r="I114" i="240"/>
  <c r="B114" i="240"/>
  <c r="AB113" i="240"/>
  <c r="AA113" i="240"/>
  <c r="Z113" i="240"/>
  <c r="Y113" i="240"/>
  <c r="X113" i="240"/>
  <c r="W113" i="240"/>
  <c r="V113" i="240"/>
  <c r="U113" i="240"/>
  <c r="L113" i="240"/>
  <c r="K113" i="240"/>
  <c r="L235" i="240"/>
  <c r="L236" i="240"/>
  <c r="L237" i="240"/>
  <c r="L238" i="240"/>
  <c r="L239" i="240"/>
  <c r="L240" i="240"/>
  <c r="L241" i="240"/>
  <c r="L242" i="240"/>
  <c r="L243" i="240"/>
  <c r="L234" i="240"/>
  <c r="L103" i="240"/>
  <c r="L104" i="240"/>
  <c r="L105" i="240"/>
  <c r="L106" i="240"/>
  <c r="L107" i="240"/>
  <c r="L108" i="240"/>
  <c r="L109" i="240"/>
  <c r="L110" i="240"/>
  <c r="L111" i="240"/>
  <c r="L102" i="240"/>
  <c r="L91" i="240"/>
  <c r="L92" i="240"/>
  <c r="L93" i="240"/>
  <c r="L94" i="240"/>
  <c r="L95" i="240"/>
  <c r="L96" i="240"/>
  <c r="L97" i="240"/>
  <c r="L98" i="240"/>
  <c r="L99" i="240"/>
  <c r="L90" i="240"/>
  <c r="L79" i="240"/>
  <c r="L80" i="240"/>
  <c r="L81" i="240"/>
  <c r="L82" i="240"/>
  <c r="L83" i="240"/>
  <c r="L84" i="240"/>
  <c r="L85" i="240"/>
  <c r="L86" i="240"/>
  <c r="L87" i="240"/>
  <c r="L78" i="240"/>
  <c r="L67" i="240"/>
  <c r="L68" i="240"/>
  <c r="L69" i="240"/>
  <c r="L70" i="240"/>
  <c r="L71" i="240"/>
  <c r="L72" i="240"/>
  <c r="L73" i="240"/>
  <c r="L74" i="240"/>
  <c r="L75" i="240"/>
  <c r="L66" i="240"/>
  <c r="L55" i="240"/>
  <c r="L56" i="240"/>
  <c r="L57" i="240"/>
  <c r="L58" i="240"/>
  <c r="L59" i="240"/>
  <c r="L60" i="240"/>
  <c r="L61" i="240"/>
  <c r="L62" i="240"/>
  <c r="L63" i="240"/>
  <c r="L54" i="240"/>
  <c r="L43" i="240"/>
  <c r="L44" i="240"/>
  <c r="L45" i="240"/>
  <c r="L46" i="240"/>
  <c r="L47" i="240"/>
  <c r="L48" i="240"/>
  <c r="L49" i="240"/>
  <c r="L50" i="240"/>
  <c r="L51" i="240"/>
  <c r="L42" i="240"/>
  <c r="L34" i="240"/>
  <c r="L31" i="240"/>
  <c r="L32" i="240"/>
  <c r="L33" i="240"/>
  <c r="L35" i="240"/>
  <c r="L36" i="240"/>
  <c r="L37" i="240"/>
  <c r="L38" i="240"/>
  <c r="L39" i="240"/>
  <c r="L30" i="240"/>
  <c r="L19" i="240"/>
  <c r="L20" i="240"/>
  <c r="L21" i="240"/>
  <c r="L22" i="240"/>
  <c r="L23" i="240"/>
  <c r="L24" i="240"/>
  <c r="L25" i="240"/>
  <c r="L26" i="240"/>
  <c r="L27" i="240"/>
  <c r="L18" i="240"/>
  <c r="L7" i="240"/>
  <c r="L8" i="240"/>
  <c r="L9" i="240"/>
  <c r="L10" i="240"/>
  <c r="L11" i="240"/>
  <c r="L12" i="240"/>
  <c r="L13" i="240"/>
  <c r="L14" i="240"/>
  <c r="L15" i="240"/>
  <c r="L6" i="240"/>
  <c r="L165" i="255"/>
  <c r="L166" i="255"/>
  <c r="L167" i="255"/>
  <c r="L168" i="255"/>
  <c r="L169" i="255"/>
  <c r="L170" i="255"/>
  <c r="L171" i="255"/>
  <c r="L172" i="255"/>
  <c r="L173" i="255"/>
  <c r="L164" i="255"/>
  <c r="L153" i="255"/>
  <c r="L154" i="255"/>
  <c r="L155" i="255"/>
  <c r="L156" i="255"/>
  <c r="L157" i="255"/>
  <c r="L158" i="255"/>
  <c r="L159" i="255"/>
  <c r="L160" i="255"/>
  <c r="L161" i="255"/>
  <c r="L152" i="255"/>
  <c r="L142" i="255"/>
  <c r="L139" i="255"/>
  <c r="L136" i="255"/>
  <c r="L124" i="255"/>
  <c r="L123" i="255"/>
  <c r="L109" i="255"/>
  <c r="L106" i="255"/>
  <c r="L103" i="255"/>
  <c r="L70" i="255"/>
  <c r="L71" i="255"/>
  <c r="L72" i="255"/>
  <c r="L73" i="255"/>
  <c r="L74" i="255"/>
  <c r="L69" i="255"/>
  <c r="L54" i="255"/>
  <c r="L55" i="255"/>
  <c r="L56" i="255"/>
  <c r="L57" i="255"/>
  <c r="L58" i="255"/>
  <c r="L53" i="255"/>
  <c r="L31" i="255"/>
  <c r="L25" i="255"/>
  <c r="L26" i="255"/>
  <c r="L27" i="255"/>
  <c r="L28" i="255"/>
  <c r="L29" i="255"/>
  <c r="L30" i="255"/>
  <c r="L24" i="255"/>
  <c r="Z11" i="246"/>
  <c r="Z12" i="246" s="1"/>
  <c r="AA2" i="258"/>
  <c r="AA147" i="258" s="1"/>
  <c r="AB2" i="258"/>
  <c r="AB135" i="258" s="1"/>
  <c r="Z2" i="258"/>
  <c r="X2" i="258"/>
  <c r="X34" i="258" s="1"/>
  <c r="W2" i="258"/>
  <c r="W34" i="258" s="1"/>
  <c r="U2" i="258"/>
  <c r="U34" i="258" s="1"/>
  <c r="Y2" i="258"/>
  <c r="Y147" i="258" s="1"/>
  <c r="V2" i="258"/>
  <c r="V5" i="258" s="1"/>
  <c r="H61" i="258"/>
  <c r="J61" i="258" s="1"/>
  <c r="B61" i="258"/>
  <c r="H60" i="258"/>
  <c r="J60" i="258" s="1"/>
  <c r="B60" i="258"/>
  <c r="H59" i="258"/>
  <c r="I59" i="258" s="1"/>
  <c r="B59" i="258"/>
  <c r="J58" i="258"/>
  <c r="H58" i="258"/>
  <c r="I58" i="258" s="1"/>
  <c r="B58" i="258"/>
  <c r="H57" i="258"/>
  <c r="J57" i="258" s="1"/>
  <c r="B57" i="258"/>
  <c r="I56" i="258"/>
  <c r="H56" i="258"/>
  <c r="J56" i="258" s="1"/>
  <c r="B56" i="258"/>
  <c r="H55" i="258"/>
  <c r="J55" i="258" s="1"/>
  <c r="B55" i="258"/>
  <c r="J54" i="258"/>
  <c r="I54" i="258"/>
  <c r="H54" i="258"/>
  <c r="B54" i="258"/>
  <c r="H53" i="258"/>
  <c r="J53" i="258" s="1"/>
  <c r="B53" i="258"/>
  <c r="H35" i="258"/>
  <c r="J35" i="258" s="1"/>
  <c r="H43" i="258"/>
  <c r="J43" i="258" s="1"/>
  <c r="B43" i="258"/>
  <c r="H42" i="258"/>
  <c r="I42" i="258" s="1"/>
  <c r="B42" i="258"/>
  <c r="H41" i="258"/>
  <c r="J41" i="258" s="1"/>
  <c r="B41" i="258"/>
  <c r="H40" i="258"/>
  <c r="J40" i="258" s="1"/>
  <c r="B40" i="258"/>
  <c r="H39" i="258"/>
  <c r="I39" i="258" s="1"/>
  <c r="B39" i="258"/>
  <c r="H38" i="258"/>
  <c r="J38" i="258" s="1"/>
  <c r="B38" i="258"/>
  <c r="H37" i="258"/>
  <c r="I37" i="258" s="1"/>
  <c r="B37" i="258"/>
  <c r="H36" i="258"/>
  <c r="I36" i="258" s="1"/>
  <c r="B36" i="258"/>
  <c r="B35" i="258"/>
  <c r="O25" i="258"/>
  <c r="O26" i="258"/>
  <c r="O27" i="258"/>
  <c r="O28" i="258"/>
  <c r="O29" i="258"/>
  <c r="O30" i="258"/>
  <c r="O31" i="258"/>
  <c r="O32" i="258"/>
  <c r="O24" i="258"/>
  <c r="H25" i="258"/>
  <c r="H26" i="258"/>
  <c r="I26" i="258" s="1"/>
  <c r="H27" i="258"/>
  <c r="J27" i="258" s="1"/>
  <c r="H28" i="258"/>
  <c r="I28" i="258" s="1"/>
  <c r="H29" i="258"/>
  <c r="J29" i="258" s="1"/>
  <c r="H30" i="258"/>
  <c r="J30" i="258" s="1"/>
  <c r="H31" i="258"/>
  <c r="H32" i="258"/>
  <c r="J32" i="258" s="1"/>
  <c r="H24" i="258"/>
  <c r="J24" i="258" s="1"/>
  <c r="O7" i="258"/>
  <c r="O8" i="258"/>
  <c r="O9" i="258"/>
  <c r="O10" i="258"/>
  <c r="O11" i="258"/>
  <c r="O12" i="258"/>
  <c r="O13" i="258"/>
  <c r="O14" i="258"/>
  <c r="O6" i="258"/>
  <c r="H7" i="258"/>
  <c r="I7" i="258" s="1"/>
  <c r="H8" i="258"/>
  <c r="I8" i="258" s="1"/>
  <c r="H9" i="258"/>
  <c r="H10" i="258"/>
  <c r="J10" i="258" s="1"/>
  <c r="H11" i="258"/>
  <c r="I11" i="258" s="1"/>
  <c r="H12" i="258"/>
  <c r="I12" i="258" s="1"/>
  <c r="H13" i="258"/>
  <c r="J13" i="258" s="1"/>
  <c r="H14" i="258"/>
  <c r="I14" i="258" s="1"/>
  <c r="H6" i="258"/>
  <c r="J6" i="258" s="1"/>
  <c r="J8" i="258"/>
  <c r="J9" i="258"/>
  <c r="B32" i="258"/>
  <c r="J31" i="258"/>
  <c r="I31" i="258"/>
  <c r="B31" i="258"/>
  <c r="B30" i="258"/>
  <c r="B29" i="258"/>
  <c r="J28" i="258"/>
  <c r="B28" i="258"/>
  <c r="B27" i="258"/>
  <c r="B26" i="258"/>
  <c r="J25" i="258"/>
  <c r="I25" i="258"/>
  <c r="B25" i="258"/>
  <c r="I24" i="258"/>
  <c r="B24" i="258"/>
  <c r="B14" i="258"/>
  <c r="B13" i="258"/>
  <c r="B12" i="258"/>
  <c r="J11" i="258"/>
  <c r="B11" i="258"/>
  <c r="B10" i="258"/>
  <c r="B9" i="258"/>
  <c r="B8" i="258"/>
  <c r="B7" i="258"/>
  <c r="B6" i="258"/>
  <c r="O45" i="258"/>
  <c r="O36" i="258" s="1"/>
  <c r="O46" i="258"/>
  <c r="O37" i="258" s="1"/>
  <c r="O47" i="258"/>
  <c r="O38" i="258" s="1"/>
  <c r="O48" i="258"/>
  <c r="O39" i="258" s="1"/>
  <c r="O49" i="258"/>
  <c r="O40" i="258" s="1"/>
  <c r="O50" i="258"/>
  <c r="O41" i="258" s="1"/>
  <c r="O51" i="258"/>
  <c r="O42" i="258" s="1"/>
  <c r="O52" i="258"/>
  <c r="O43" i="258" s="1"/>
  <c r="O44" i="258"/>
  <c r="O53" i="258" s="1"/>
  <c r="I23" i="258"/>
  <c r="I20" i="258"/>
  <c r="A158" i="258"/>
  <c r="J157" i="258"/>
  <c r="I157" i="258"/>
  <c r="B157" i="258"/>
  <c r="J156" i="258"/>
  <c r="I156" i="258"/>
  <c r="B156" i="258"/>
  <c r="J155" i="258"/>
  <c r="I155" i="258"/>
  <c r="B155" i="258"/>
  <c r="J154" i="258"/>
  <c r="I154" i="258"/>
  <c r="B154" i="258"/>
  <c r="J153" i="258"/>
  <c r="I153" i="258"/>
  <c r="B153" i="258"/>
  <c r="J152" i="258"/>
  <c r="I152" i="258"/>
  <c r="B152" i="258"/>
  <c r="J151" i="258"/>
  <c r="I151" i="258"/>
  <c r="B151" i="258"/>
  <c r="J150" i="258"/>
  <c r="I150" i="258"/>
  <c r="B150" i="258"/>
  <c r="J149" i="258"/>
  <c r="I149" i="258"/>
  <c r="B149" i="258"/>
  <c r="J148" i="258"/>
  <c r="I148" i="258"/>
  <c r="B148" i="258"/>
  <c r="AB147" i="258"/>
  <c r="Z147" i="258"/>
  <c r="W147" i="258"/>
  <c r="L147" i="258"/>
  <c r="K147" i="258"/>
  <c r="J145" i="258"/>
  <c r="I145" i="258"/>
  <c r="B145" i="258"/>
  <c r="J144" i="258"/>
  <c r="I144" i="258"/>
  <c r="B144" i="258"/>
  <c r="J143" i="258"/>
  <c r="I143" i="258"/>
  <c r="B143" i="258"/>
  <c r="J142" i="258"/>
  <c r="I142" i="258"/>
  <c r="B142" i="258"/>
  <c r="J141" i="258"/>
  <c r="I141" i="258"/>
  <c r="B141" i="258"/>
  <c r="J140" i="258"/>
  <c r="I140" i="258"/>
  <c r="B140" i="258"/>
  <c r="J139" i="258"/>
  <c r="I139" i="258"/>
  <c r="B139" i="258"/>
  <c r="J138" i="258"/>
  <c r="I138" i="258"/>
  <c r="B138" i="258"/>
  <c r="J137" i="258"/>
  <c r="I137" i="258"/>
  <c r="B137" i="258"/>
  <c r="J136" i="258"/>
  <c r="I136" i="258"/>
  <c r="B136" i="258"/>
  <c r="Z135" i="258"/>
  <c r="Y135" i="258"/>
  <c r="X135" i="258"/>
  <c r="W135" i="258"/>
  <c r="L135" i="258"/>
  <c r="K135" i="258"/>
  <c r="J133" i="258"/>
  <c r="I133" i="258"/>
  <c r="B133" i="258"/>
  <c r="J132" i="258"/>
  <c r="I132" i="258"/>
  <c r="B132" i="258"/>
  <c r="J131" i="258"/>
  <c r="I131" i="258"/>
  <c r="B131" i="258"/>
  <c r="J130" i="258"/>
  <c r="I130" i="258"/>
  <c r="B130" i="258"/>
  <c r="J129" i="258"/>
  <c r="I129" i="258"/>
  <c r="B129" i="258"/>
  <c r="J128" i="258"/>
  <c r="I128" i="258"/>
  <c r="B128" i="258"/>
  <c r="J127" i="258"/>
  <c r="I127" i="258"/>
  <c r="B127" i="258"/>
  <c r="J126" i="258"/>
  <c r="I126" i="258"/>
  <c r="B126" i="258"/>
  <c r="J125" i="258"/>
  <c r="I125" i="258"/>
  <c r="B125" i="258"/>
  <c r="J124" i="258"/>
  <c r="I124" i="258"/>
  <c r="B124" i="258"/>
  <c r="Z123" i="258"/>
  <c r="Y123" i="258"/>
  <c r="X123" i="258"/>
  <c r="W123" i="258"/>
  <c r="V123" i="258"/>
  <c r="L123" i="258"/>
  <c r="K123" i="258"/>
  <c r="J121" i="258"/>
  <c r="I121" i="258"/>
  <c r="B121" i="258"/>
  <c r="J120" i="258"/>
  <c r="I120" i="258"/>
  <c r="B120" i="258"/>
  <c r="J119" i="258"/>
  <c r="I119" i="258"/>
  <c r="B119" i="258"/>
  <c r="J118" i="258"/>
  <c r="I118" i="258"/>
  <c r="B118" i="258"/>
  <c r="J117" i="258"/>
  <c r="I117" i="258"/>
  <c r="B117" i="258"/>
  <c r="J116" i="258"/>
  <c r="I116" i="258"/>
  <c r="B116" i="258"/>
  <c r="J115" i="258"/>
  <c r="I115" i="258"/>
  <c r="B115" i="258"/>
  <c r="J114" i="258"/>
  <c r="I114" i="258"/>
  <c r="B114" i="258"/>
  <c r="J113" i="258"/>
  <c r="I113" i="258"/>
  <c r="B113" i="258"/>
  <c r="J112" i="258"/>
  <c r="I112" i="258"/>
  <c r="B112" i="258"/>
  <c r="Z111" i="258"/>
  <c r="X111" i="258"/>
  <c r="W111" i="258"/>
  <c r="V111" i="258"/>
  <c r="L111" i="258"/>
  <c r="K111" i="258"/>
  <c r="J109" i="258"/>
  <c r="I109" i="258"/>
  <c r="B109" i="258"/>
  <c r="J108" i="258"/>
  <c r="I108" i="258"/>
  <c r="B108" i="258"/>
  <c r="J107" i="258"/>
  <c r="I107" i="258"/>
  <c r="B107" i="258"/>
  <c r="J106" i="258"/>
  <c r="I106" i="258"/>
  <c r="B106" i="258"/>
  <c r="J105" i="258"/>
  <c r="I105" i="258"/>
  <c r="B105" i="258"/>
  <c r="J104" i="258"/>
  <c r="I104" i="258"/>
  <c r="B104" i="258"/>
  <c r="J103" i="258"/>
  <c r="I103" i="258"/>
  <c r="B103" i="258"/>
  <c r="J102" i="258"/>
  <c r="I102" i="258"/>
  <c r="B102" i="258"/>
  <c r="J101" i="258"/>
  <c r="I101" i="258"/>
  <c r="B101" i="258"/>
  <c r="J100" i="258"/>
  <c r="I100" i="258"/>
  <c r="B100" i="258"/>
  <c r="Z99" i="258"/>
  <c r="X99" i="258"/>
  <c r="W99" i="258"/>
  <c r="U99" i="258"/>
  <c r="L99" i="258"/>
  <c r="K99" i="258"/>
  <c r="J97" i="258"/>
  <c r="I97" i="258"/>
  <c r="B97" i="258"/>
  <c r="J96" i="258"/>
  <c r="I96" i="258"/>
  <c r="B96" i="258"/>
  <c r="J95" i="258"/>
  <c r="I95" i="258"/>
  <c r="B95" i="258"/>
  <c r="J94" i="258"/>
  <c r="I94" i="258"/>
  <c r="B94" i="258"/>
  <c r="J93" i="258"/>
  <c r="I93" i="258"/>
  <c r="B93" i="258"/>
  <c r="J92" i="258"/>
  <c r="I92" i="258"/>
  <c r="B92" i="258"/>
  <c r="J91" i="258"/>
  <c r="I91" i="258"/>
  <c r="B91" i="258"/>
  <c r="J90" i="258"/>
  <c r="I90" i="258"/>
  <c r="B90" i="258"/>
  <c r="J89" i="258"/>
  <c r="I89" i="258"/>
  <c r="B89" i="258"/>
  <c r="J88" i="258"/>
  <c r="I88" i="258"/>
  <c r="B88" i="258"/>
  <c r="Z87" i="258"/>
  <c r="X87" i="258"/>
  <c r="W87" i="258"/>
  <c r="L87" i="258"/>
  <c r="K87" i="258"/>
  <c r="J85" i="258"/>
  <c r="I85" i="258"/>
  <c r="B85" i="258"/>
  <c r="J84" i="258"/>
  <c r="I84" i="258"/>
  <c r="B84" i="258"/>
  <c r="J83" i="258"/>
  <c r="I83" i="258"/>
  <c r="B83" i="258"/>
  <c r="J82" i="258"/>
  <c r="I82" i="258"/>
  <c r="B82" i="258"/>
  <c r="J81" i="258"/>
  <c r="I81" i="258"/>
  <c r="B81" i="258"/>
  <c r="J80" i="258"/>
  <c r="I80" i="258"/>
  <c r="B80" i="258"/>
  <c r="J79" i="258"/>
  <c r="I79" i="258"/>
  <c r="B79" i="258"/>
  <c r="J78" i="258"/>
  <c r="I78" i="258"/>
  <c r="B78" i="258"/>
  <c r="J77" i="258"/>
  <c r="I77" i="258"/>
  <c r="B77" i="258"/>
  <c r="J76" i="258"/>
  <c r="I76" i="258"/>
  <c r="B76" i="258"/>
  <c r="Z75" i="258"/>
  <c r="Y75" i="258"/>
  <c r="X75" i="258"/>
  <c r="W75" i="258"/>
  <c r="L75" i="258"/>
  <c r="K75" i="258"/>
  <c r="J73" i="258"/>
  <c r="I73" i="258"/>
  <c r="B73" i="258"/>
  <c r="J72" i="258"/>
  <c r="I72" i="258"/>
  <c r="B72" i="258"/>
  <c r="J71" i="258"/>
  <c r="I71" i="258"/>
  <c r="B71" i="258"/>
  <c r="J70" i="258"/>
  <c r="I70" i="258"/>
  <c r="B70" i="258"/>
  <c r="J69" i="258"/>
  <c r="I69" i="258"/>
  <c r="B69" i="258"/>
  <c r="J68" i="258"/>
  <c r="I68" i="258"/>
  <c r="B68" i="258"/>
  <c r="J67" i="258"/>
  <c r="I67" i="258"/>
  <c r="B67" i="258"/>
  <c r="J66" i="258"/>
  <c r="I66" i="258"/>
  <c r="B66" i="258"/>
  <c r="J65" i="258"/>
  <c r="I65" i="258"/>
  <c r="B65" i="258"/>
  <c r="J64" i="258"/>
  <c r="I64" i="258"/>
  <c r="B64" i="258"/>
  <c r="Z63" i="258"/>
  <c r="X63" i="258"/>
  <c r="W63" i="258"/>
  <c r="V63" i="258"/>
  <c r="U63" i="258"/>
  <c r="L63" i="258"/>
  <c r="K63" i="258"/>
  <c r="J52" i="258"/>
  <c r="I52" i="258"/>
  <c r="B52" i="258"/>
  <c r="J51" i="258"/>
  <c r="I51" i="258"/>
  <c r="B51" i="258"/>
  <c r="J50" i="258"/>
  <c r="I50" i="258"/>
  <c r="B50" i="258"/>
  <c r="J49" i="258"/>
  <c r="I49" i="258"/>
  <c r="B49" i="258"/>
  <c r="J48" i="258"/>
  <c r="I48" i="258"/>
  <c r="B48" i="258"/>
  <c r="J47" i="258"/>
  <c r="I47" i="258"/>
  <c r="B47" i="258"/>
  <c r="J46" i="258"/>
  <c r="I46" i="258"/>
  <c r="B46" i="258"/>
  <c r="J45" i="258"/>
  <c r="I45" i="258"/>
  <c r="B45" i="258"/>
  <c r="J44" i="258"/>
  <c r="I44" i="258"/>
  <c r="B44" i="258"/>
  <c r="AB34" i="258"/>
  <c r="Z34" i="258"/>
  <c r="L34" i="258"/>
  <c r="K34" i="258"/>
  <c r="J23" i="258"/>
  <c r="B23" i="258"/>
  <c r="J22" i="258"/>
  <c r="I22" i="258"/>
  <c r="B22" i="258"/>
  <c r="J21" i="258"/>
  <c r="I21" i="258"/>
  <c r="B21" i="258"/>
  <c r="J20" i="258"/>
  <c r="B20" i="258"/>
  <c r="J19" i="258"/>
  <c r="I19" i="258"/>
  <c r="B19" i="258"/>
  <c r="J18" i="258"/>
  <c r="I18" i="258"/>
  <c r="B18" i="258"/>
  <c r="J17" i="258"/>
  <c r="I17" i="258"/>
  <c r="B17" i="258"/>
  <c r="J16" i="258"/>
  <c r="I16" i="258"/>
  <c r="B16" i="258"/>
  <c r="J15" i="258"/>
  <c r="I15" i="258"/>
  <c r="B15" i="258"/>
  <c r="AB5" i="258"/>
  <c r="Z5" i="258"/>
  <c r="W5" i="258"/>
  <c r="L5" i="258"/>
  <c r="K5" i="258"/>
  <c r="D36" i="231"/>
  <c r="E134" i="183" s="1"/>
  <c r="E36" i="231" s="1"/>
  <c r="N112" i="182"/>
  <c r="M112" i="182"/>
  <c r="N111" i="182"/>
  <c r="M111" i="182"/>
  <c r="N110" i="182"/>
  <c r="M110" i="182"/>
  <c r="N109" i="182"/>
  <c r="M109" i="182"/>
  <c r="N108" i="182"/>
  <c r="M108" i="182"/>
  <c r="N107" i="182"/>
  <c r="M107" i="182"/>
  <c r="N106" i="182"/>
  <c r="M106" i="182"/>
  <c r="N105" i="182"/>
  <c r="M105" i="182"/>
  <c r="N104" i="182"/>
  <c r="M104" i="182"/>
  <c r="N103" i="182"/>
  <c r="M103" i="182"/>
  <c r="AG102" i="182"/>
  <c r="N101" i="182"/>
  <c r="M101" i="182"/>
  <c r="N100" i="182"/>
  <c r="M100" i="182"/>
  <c r="N99" i="182"/>
  <c r="M99" i="182"/>
  <c r="N98" i="182"/>
  <c r="M98" i="182"/>
  <c r="N97" i="182"/>
  <c r="M97" i="182"/>
  <c r="N96" i="182"/>
  <c r="M96" i="182"/>
  <c r="N95" i="182"/>
  <c r="M95" i="182"/>
  <c r="N94" i="182"/>
  <c r="M94" i="182"/>
  <c r="N93" i="182"/>
  <c r="M93" i="182"/>
  <c r="N92" i="182"/>
  <c r="M92" i="182"/>
  <c r="AG91" i="182"/>
  <c r="N90" i="182"/>
  <c r="M90" i="182"/>
  <c r="N89" i="182"/>
  <c r="M89" i="182"/>
  <c r="N88" i="182"/>
  <c r="M88" i="182"/>
  <c r="N87" i="182"/>
  <c r="M87" i="182"/>
  <c r="N86" i="182"/>
  <c r="M86" i="182"/>
  <c r="N85" i="182"/>
  <c r="M85" i="182"/>
  <c r="N84" i="182"/>
  <c r="M84" i="182"/>
  <c r="N83" i="182"/>
  <c r="M83" i="182"/>
  <c r="N82" i="182"/>
  <c r="M82" i="182"/>
  <c r="N81" i="182"/>
  <c r="M81" i="182"/>
  <c r="AG80" i="182"/>
  <c r="N79" i="182"/>
  <c r="M79" i="182"/>
  <c r="N78" i="182"/>
  <c r="M78" i="182"/>
  <c r="N77" i="182"/>
  <c r="M77" i="182"/>
  <c r="N76" i="182"/>
  <c r="M76" i="182"/>
  <c r="N75" i="182"/>
  <c r="M75" i="182"/>
  <c r="N74" i="182"/>
  <c r="M74" i="182"/>
  <c r="N73" i="182"/>
  <c r="M73" i="182"/>
  <c r="N72" i="182"/>
  <c r="M72" i="182"/>
  <c r="N71" i="182"/>
  <c r="M71" i="182"/>
  <c r="N70" i="182"/>
  <c r="M70" i="182"/>
  <c r="AG69" i="182"/>
  <c r="N68" i="182"/>
  <c r="M68" i="182"/>
  <c r="N67" i="182"/>
  <c r="M67" i="182"/>
  <c r="N66" i="182"/>
  <c r="M66" i="182"/>
  <c r="M58" i="182" s="1"/>
  <c r="N65" i="182"/>
  <c r="M65" i="182"/>
  <c r="N64" i="182"/>
  <c r="M64" i="182"/>
  <c r="N63" i="182"/>
  <c r="M63" i="182"/>
  <c r="N62" i="182"/>
  <c r="M62" i="182"/>
  <c r="N61" i="182"/>
  <c r="M61" i="182"/>
  <c r="N60" i="182"/>
  <c r="M60" i="182"/>
  <c r="N59" i="182"/>
  <c r="M59" i="182"/>
  <c r="AG58" i="182"/>
  <c r="N57" i="182"/>
  <c r="M57" i="182"/>
  <c r="N56" i="182"/>
  <c r="M56" i="182"/>
  <c r="N55" i="182"/>
  <c r="M55" i="182"/>
  <c r="N54" i="182"/>
  <c r="M54" i="182"/>
  <c r="N53" i="182"/>
  <c r="M53" i="182"/>
  <c r="N52" i="182"/>
  <c r="M52" i="182"/>
  <c r="N51" i="182"/>
  <c r="M51" i="182"/>
  <c r="N50" i="182"/>
  <c r="M50" i="182"/>
  <c r="M47" i="182" s="1"/>
  <c r="N49" i="182"/>
  <c r="M49" i="182"/>
  <c r="N48" i="182"/>
  <c r="M48" i="182"/>
  <c r="AG47" i="182"/>
  <c r="N46" i="182"/>
  <c r="M46" i="182"/>
  <c r="N45" i="182"/>
  <c r="M45" i="182"/>
  <c r="N44" i="182"/>
  <c r="M44" i="182"/>
  <c r="N43" i="182"/>
  <c r="M43" i="182"/>
  <c r="N42" i="182"/>
  <c r="M42" i="182"/>
  <c r="N41" i="182"/>
  <c r="M41" i="182"/>
  <c r="N40" i="182"/>
  <c r="M40" i="182"/>
  <c r="N39" i="182"/>
  <c r="M39" i="182"/>
  <c r="N38" i="182"/>
  <c r="M38" i="182"/>
  <c r="N37" i="182"/>
  <c r="M37" i="182"/>
  <c r="AG36" i="182"/>
  <c r="N35" i="182"/>
  <c r="M35" i="182"/>
  <c r="N34" i="182"/>
  <c r="M34" i="182"/>
  <c r="N33" i="182"/>
  <c r="M33" i="182"/>
  <c r="N32" i="182"/>
  <c r="M32" i="182"/>
  <c r="N31" i="182"/>
  <c r="M31" i="182"/>
  <c r="N30" i="182"/>
  <c r="M30" i="182"/>
  <c r="N29" i="182"/>
  <c r="M29" i="182"/>
  <c r="N28" i="182"/>
  <c r="M28" i="182"/>
  <c r="N27" i="182"/>
  <c r="M27" i="182"/>
  <c r="N26" i="182"/>
  <c r="M26" i="182"/>
  <c r="AG25" i="182"/>
  <c r="N24" i="182"/>
  <c r="M24" i="182"/>
  <c r="N23" i="182"/>
  <c r="M23" i="182"/>
  <c r="N22" i="182"/>
  <c r="M22" i="182"/>
  <c r="N21" i="182"/>
  <c r="M21" i="182"/>
  <c r="N20" i="182"/>
  <c r="M20" i="182"/>
  <c r="N19" i="182"/>
  <c r="M19" i="182"/>
  <c r="N18" i="182"/>
  <c r="M18" i="182"/>
  <c r="N17" i="182"/>
  <c r="M17" i="182"/>
  <c r="N16" i="182"/>
  <c r="M16" i="182"/>
  <c r="N15" i="182"/>
  <c r="M15" i="182"/>
  <c r="AG14" i="182"/>
  <c r="N13" i="182"/>
  <c r="M13" i="182"/>
  <c r="N12" i="182"/>
  <c r="M12" i="182"/>
  <c r="N11" i="182"/>
  <c r="M11" i="182"/>
  <c r="N10" i="182"/>
  <c r="M10" i="182"/>
  <c r="N9" i="182"/>
  <c r="M9" i="182"/>
  <c r="N8" i="182"/>
  <c r="M8" i="182"/>
  <c r="N7" i="182"/>
  <c r="M7" i="182"/>
  <c r="N6" i="182"/>
  <c r="M6" i="182"/>
  <c r="N5" i="182"/>
  <c r="M5" i="182"/>
  <c r="M4" i="182"/>
  <c r="N4" i="182" s="1"/>
  <c r="AG3" i="182"/>
  <c r="B113" i="182"/>
  <c r="B2" i="182" a="1"/>
  <c r="B2" i="182" s="1"/>
  <c r="J161" i="255"/>
  <c r="I161" i="255"/>
  <c r="B161" i="255"/>
  <c r="J160" i="255"/>
  <c r="I160" i="255"/>
  <c r="B160" i="255"/>
  <c r="J159" i="255"/>
  <c r="I159" i="255"/>
  <c r="B159" i="255"/>
  <c r="J158" i="255"/>
  <c r="I158" i="255"/>
  <c r="B158" i="255"/>
  <c r="J157" i="255"/>
  <c r="I157" i="255"/>
  <c r="B157" i="255"/>
  <c r="J156" i="255"/>
  <c r="I156" i="255"/>
  <c r="B156" i="255"/>
  <c r="J155" i="255"/>
  <c r="I155" i="255"/>
  <c r="B155" i="255"/>
  <c r="J154" i="255"/>
  <c r="I154" i="255"/>
  <c r="B154" i="255"/>
  <c r="J153" i="255"/>
  <c r="I153" i="255"/>
  <c r="B153" i="255"/>
  <c r="J152" i="255"/>
  <c r="I152" i="255"/>
  <c r="B152" i="255"/>
  <c r="AB151" i="255"/>
  <c r="AA151" i="255"/>
  <c r="Z151" i="255"/>
  <c r="Y151" i="255"/>
  <c r="X151" i="255"/>
  <c r="W151" i="255"/>
  <c r="V151" i="255"/>
  <c r="U151" i="255"/>
  <c r="L151" i="255"/>
  <c r="K151" i="255"/>
  <c r="K161" i="255" s="1"/>
  <c r="AB147" i="255"/>
  <c r="AA147" i="255"/>
  <c r="Z147" i="255"/>
  <c r="Y147" i="255"/>
  <c r="X147" i="255"/>
  <c r="W147" i="255"/>
  <c r="V147" i="255"/>
  <c r="U147" i="255"/>
  <c r="B149" i="255"/>
  <c r="B148" i="255"/>
  <c r="J139" i="255"/>
  <c r="I139" i="255"/>
  <c r="B139" i="255"/>
  <c r="L138" i="255"/>
  <c r="K138" i="255"/>
  <c r="J142" i="255"/>
  <c r="I142" i="255"/>
  <c r="B142" i="255"/>
  <c r="L141" i="255"/>
  <c r="K141" i="255"/>
  <c r="AA5" i="258" l="1"/>
  <c r="AA34" i="258"/>
  <c r="Y87" i="258"/>
  <c r="U111" i="258"/>
  <c r="K28" i="258"/>
  <c r="L28" i="258" s="1"/>
  <c r="J36" i="258"/>
  <c r="K36" i="258" s="1"/>
  <c r="L36" i="258" s="1"/>
  <c r="M102" i="182"/>
  <c r="A102" i="182" s="1"/>
  <c r="L8" i="260"/>
  <c r="K15" i="258"/>
  <c r="Y63" i="258"/>
  <c r="AA75" i="258"/>
  <c r="V99" i="258"/>
  <c r="U147" i="258"/>
  <c r="I41" i="258"/>
  <c r="U5" i="258"/>
  <c r="U87" i="258"/>
  <c r="Y111" i="258"/>
  <c r="AA123" i="258"/>
  <c r="V147" i="258"/>
  <c r="V34" i="258"/>
  <c r="U75" i="258"/>
  <c r="V87" i="258"/>
  <c r="U135" i="258"/>
  <c r="J7" i="258"/>
  <c r="I27" i="258"/>
  <c r="K117" i="240"/>
  <c r="Y5" i="258"/>
  <c r="Y34" i="258"/>
  <c r="V75" i="258"/>
  <c r="Y99" i="258"/>
  <c r="U123" i="258"/>
  <c r="V135" i="258"/>
  <c r="K152" i="260"/>
  <c r="K155" i="255"/>
  <c r="K153" i="255"/>
  <c r="K45" i="260"/>
  <c r="K93" i="260"/>
  <c r="K192" i="260"/>
  <c r="K212" i="260"/>
  <c r="K213" i="260"/>
  <c r="K216" i="260"/>
  <c r="K236" i="260"/>
  <c r="K237" i="260"/>
  <c r="K240" i="260"/>
  <c r="K241" i="260"/>
  <c r="K158" i="255"/>
  <c r="K202" i="240"/>
  <c r="K214" i="240"/>
  <c r="K56" i="260"/>
  <c r="K212" i="240"/>
  <c r="K20" i="260"/>
  <c r="K24" i="260"/>
  <c r="K68" i="260"/>
  <c r="K72" i="260"/>
  <c r="K120" i="260"/>
  <c r="K155" i="240"/>
  <c r="K198" i="240"/>
  <c r="K206" i="240"/>
  <c r="K210" i="240"/>
  <c r="K218" i="240"/>
  <c r="K32" i="260"/>
  <c r="K80" i="260"/>
  <c r="K116" i="260"/>
  <c r="K157" i="255"/>
  <c r="K162" i="240"/>
  <c r="K170" i="240"/>
  <c r="K201" i="240"/>
  <c r="K213" i="240"/>
  <c r="K154" i="255"/>
  <c r="K112" i="258"/>
  <c r="L112" i="258" s="1"/>
  <c r="K165" i="240"/>
  <c r="K204" i="240"/>
  <c r="K216" i="240"/>
  <c r="K21" i="260"/>
  <c r="K44" i="260"/>
  <c r="K48" i="260"/>
  <c r="K69" i="260"/>
  <c r="K92" i="260"/>
  <c r="K96" i="260"/>
  <c r="K199" i="240"/>
  <c r="K224" i="240"/>
  <c r="K188" i="260"/>
  <c r="K154" i="240"/>
  <c r="K166" i="240"/>
  <c r="K205" i="240"/>
  <c r="K217" i="240"/>
  <c r="K222" i="240"/>
  <c r="K230" i="240"/>
  <c r="K128" i="260"/>
  <c r="K168" i="260"/>
  <c r="K227" i="240"/>
  <c r="K225" i="240"/>
  <c r="K164" i="260"/>
  <c r="K189" i="260"/>
  <c r="K231" i="240"/>
  <c r="K141" i="260"/>
  <c r="K159" i="255"/>
  <c r="K229" i="240"/>
  <c r="K223" i="240"/>
  <c r="K117" i="260"/>
  <c r="K176" i="260"/>
  <c r="K104" i="260"/>
  <c r="K144" i="260"/>
  <c r="K226" i="240"/>
  <c r="K140" i="260"/>
  <c r="K165" i="260"/>
  <c r="P58" i="182"/>
  <c r="AD58" i="182" s="1"/>
  <c r="Q58" i="182"/>
  <c r="AE58" i="182" s="1"/>
  <c r="K107" i="260"/>
  <c r="K229" i="260"/>
  <c r="K27" i="260"/>
  <c r="K75" i="260"/>
  <c r="K243" i="260"/>
  <c r="K155" i="260"/>
  <c r="K11" i="260"/>
  <c r="K200" i="260"/>
  <c r="K131" i="260"/>
  <c r="K179" i="260"/>
  <c r="K59" i="260"/>
  <c r="K13" i="260"/>
  <c r="K37" i="260"/>
  <c r="K61" i="260"/>
  <c r="K85" i="260"/>
  <c r="K109" i="260"/>
  <c r="K133" i="260"/>
  <c r="K157" i="260"/>
  <c r="K181" i="260"/>
  <c r="K205" i="260"/>
  <c r="K10" i="260"/>
  <c r="K18" i="260"/>
  <c r="K26" i="260"/>
  <c r="K34" i="260"/>
  <c r="K42" i="260"/>
  <c r="K50" i="260"/>
  <c r="K58" i="260"/>
  <c r="K66" i="260"/>
  <c r="K74" i="260"/>
  <c r="K82" i="260"/>
  <c r="K90" i="260"/>
  <c r="K98" i="260"/>
  <c r="K106" i="260"/>
  <c r="K114" i="260"/>
  <c r="K122" i="260"/>
  <c r="K130" i="260"/>
  <c r="K138" i="260"/>
  <c r="K146" i="260"/>
  <c r="K154" i="260"/>
  <c r="K162" i="260"/>
  <c r="K170" i="260"/>
  <c r="K178" i="260"/>
  <c r="K186" i="260"/>
  <c r="K194" i="260"/>
  <c r="K202" i="260"/>
  <c r="K210" i="260"/>
  <c r="K218" i="260"/>
  <c r="K226" i="260"/>
  <c r="K234" i="260"/>
  <c r="K242" i="260"/>
  <c r="K7" i="260"/>
  <c r="L7" i="260" s="1"/>
  <c r="K15" i="260"/>
  <c r="K23" i="260"/>
  <c r="K31" i="260"/>
  <c r="K39" i="260"/>
  <c r="K47" i="260"/>
  <c r="K55" i="260"/>
  <c r="K63" i="260"/>
  <c r="K71" i="260"/>
  <c r="K79" i="260"/>
  <c r="K87" i="260"/>
  <c r="K95" i="260"/>
  <c r="K103" i="260"/>
  <c r="K111" i="260"/>
  <c r="K119" i="260"/>
  <c r="K127" i="260"/>
  <c r="K135" i="260"/>
  <c r="K143" i="260"/>
  <c r="K151" i="260"/>
  <c r="K159" i="260"/>
  <c r="K167" i="260"/>
  <c r="K175" i="260"/>
  <c r="K183" i="260"/>
  <c r="K191" i="260"/>
  <c r="K199" i="260"/>
  <c r="K207" i="260"/>
  <c r="K215" i="260"/>
  <c r="K223" i="260"/>
  <c r="K231" i="260"/>
  <c r="K239" i="260"/>
  <c r="K108" i="260"/>
  <c r="K204" i="260"/>
  <c r="K228" i="260"/>
  <c r="K57" i="260"/>
  <c r="K97" i="260"/>
  <c r="K6" i="260"/>
  <c r="L6" i="260" s="1"/>
  <c r="K14" i="260"/>
  <c r="K22" i="260"/>
  <c r="K30" i="260"/>
  <c r="K38" i="260"/>
  <c r="K46" i="260"/>
  <c r="K54" i="260"/>
  <c r="K62" i="260"/>
  <c r="K70" i="260"/>
  <c r="K78" i="260"/>
  <c r="K86" i="260"/>
  <c r="K94" i="260"/>
  <c r="K102" i="260"/>
  <c r="K110" i="260"/>
  <c r="K118" i="260"/>
  <c r="K126" i="260"/>
  <c r="K134" i="260"/>
  <c r="K142" i="260"/>
  <c r="K150" i="260"/>
  <c r="K158" i="260"/>
  <c r="K166" i="260"/>
  <c r="K174" i="260"/>
  <c r="K182" i="260"/>
  <c r="K190" i="260"/>
  <c r="K198" i="260"/>
  <c r="K206" i="260"/>
  <c r="K214" i="260"/>
  <c r="K222" i="260"/>
  <c r="K230" i="260"/>
  <c r="K238" i="260"/>
  <c r="K12" i="260"/>
  <c r="K36" i="260"/>
  <c r="K60" i="260"/>
  <c r="K84" i="260"/>
  <c r="K132" i="260"/>
  <c r="K156" i="260"/>
  <c r="K180" i="260"/>
  <c r="K9" i="260"/>
  <c r="K25" i="260"/>
  <c r="K33" i="260"/>
  <c r="K49" i="260"/>
  <c r="K73" i="260"/>
  <c r="K81" i="260"/>
  <c r="K105" i="260"/>
  <c r="K121" i="260"/>
  <c r="K129" i="260"/>
  <c r="K145" i="260"/>
  <c r="K153" i="260"/>
  <c r="K169" i="260"/>
  <c r="K177" i="260"/>
  <c r="K193" i="260"/>
  <c r="K201" i="260"/>
  <c r="K217" i="260"/>
  <c r="K225" i="260"/>
  <c r="K19" i="260"/>
  <c r="K43" i="260"/>
  <c r="K67" i="260"/>
  <c r="K91" i="260"/>
  <c r="K115" i="260"/>
  <c r="K139" i="260"/>
  <c r="K163" i="260"/>
  <c r="K187" i="260"/>
  <c r="K203" i="260"/>
  <c r="K211" i="260"/>
  <c r="K227" i="260"/>
  <c r="K235" i="260"/>
  <c r="K224" i="260"/>
  <c r="K203" i="240"/>
  <c r="K211" i="240"/>
  <c r="K181" i="240"/>
  <c r="K193" i="240"/>
  <c r="K140" i="240"/>
  <c r="K130" i="240"/>
  <c r="K176" i="240"/>
  <c r="K188" i="240"/>
  <c r="K133" i="240"/>
  <c r="K179" i="240"/>
  <c r="K191" i="240"/>
  <c r="K182" i="240"/>
  <c r="K186" i="240"/>
  <c r="K194" i="240"/>
  <c r="K200" i="240"/>
  <c r="K219" i="240"/>
  <c r="K215" i="240"/>
  <c r="K131" i="240"/>
  <c r="K180" i="240"/>
  <c r="K192" i="240"/>
  <c r="K175" i="240"/>
  <c r="K183" i="240"/>
  <c r="K187" i="240"/>
  <c r="K207" i="240"/>
  <c r="K132" i="240"/>
  <c r="K178" i="240"/>
  <c r="K190" i="240"/>
  <c r="K174" i="240"/>
  <c r="K156" i="240"/>
  <c r="K168" i="240"/>
  <c r="K189" i="240"/>
  <c r="K134" i="240"/>
  <c r="K157" i="240"/>
  <c r="K169" i="240"/>
  <c r="K139" i="240"/>
  <c r="K129" i="240"/>
  <c r="K152" i="240"/>
  <c r="K142" i="240"/>
  <c r="K177" i="240"/>
  <c r="K195" i="240"/>
  <c r="K127" i="240"/>
  <c r="K135" i="240"/>
  <c r="K159" i="240"/>
  <c r="K151" i="240"/>
  <c r="K150" i="240"/>
  <c r="K128" i="240"/>
  <c r="K158" i="240"/>
  <c r="K164" i="240"/>
  <c r="K153" i="240"/>
  <c r="K171" i="240"/>
  <c r="K167" i="240"/>
  <c r="K163" i="240"/>
  <c r="K145" i="240"/>
  <c r="K114" i="240"/>
  <c r="K122" i="240"/>
  <c r="K143" i="240"/>
  <c r="K126" i="240"/>
  <c r="K120" i="240"/>
  <c r="K146" i="240"/>
  <c r="K115" i="240"/>
  <c r="K141" i="240"/>
  <c r="K118" i="240"/>
  <c r="K144" i="240"/>
  <c r="K138" i="240"/>
  <c r="K147" i="240"/>
  <c r="K121" i="240"/>
  <c r="K116" i="240"/>
  <c r="K123" i="240"/>
  <c r="K119" i="240"/>
  <c r="K95" i="258"/>
  <c r="I10" i="258"/>
  <c r="J42" i="258"/>
  <c r="K42" i="258" s="1"/>
  <c r="L42" i="258" s="1"/>
  <c r="K136" i="258"/>
  <c r="L136" i="258" s="1"/>
  <c r="I57" i="258"/>
  <c r="J59" i="258"/>
  <c r="K143" i="258"/>
  <c r="L143" i="258" s="1"/>
  <c r="K84" i="258"/>
  <c r="I53" i="258"/>
  <c r="AA135" i="258"/>
  <c r="AA111" i="258"/>
  <c r="AA99" i="258"/>
  <c r="AA87" i="258"/>
  <c r="AA63" i="258"/>
  <c r="AB63" i="258"/>
  <c r="AB75" i="258"/>
  <c r="AB87" i="258"/>
  <c r="AB99" i="258"/>
  <c r="AB111" i="258"/>
  <c r="AB123" i="258"/>
  <c r="X147" i="258"/>
  <c r="X5" i="258"/>
  <c r="K58" i="258"/>
  <c r="O60" i="258"/>
  <c r="J37" i="258"/>
  <c r="K37" i="258" s="1"/>
  <c r="L37" i="258" s="1"/>
  <c r="J39" i="258"/>
  <c r="K39" i="258" s="1"/>
  <c r="L39" i="258" s="1"/>
  <c r="I55" i="258"/>
  <c r="K57" i="258"/>
  <c r="O59" i="258"/>
  <c r="K80" i="258"/>
  <c r="K128" i="258"/>
  <c r="L128" i="258" s="1"/>
  <c r="J12" i="258"/>
  <c r="K56" i="258"/>
  <c r="O58" i="258"/>
  <c r="K55" i="258"/>
  <c r="O57" i="258"/>
  <c r="I61" i="258"/>
  <c r="K61" i="258" s="1"/>
  <c r="I13" i="258"/>
  <c r="I38" i="258"/>
  <c r="K38" i="258" s="1"/>
  <c r="L38" i="258" s="1"/>
  <c r="K54" i="258"/>
  <c r="O56" i="258"/>
  <c r="I60" i="258"/>
  <c r="J26" i="258"/>
  <c r="K53" i="258"/>
  <c r="L53" i="258" s="1"/>
  <c r="O55" i="258"/>
  <c r="K100" i="258"/>
  <c r="L100" i="258" s="1"/>
  <c r="K120" i="258"/>
  <c r="L120" i="258" s="1"/>
  <c r="K124" i="258"/>
  <c r="L124" i="258" s="1"/>
  <c r="K132" i="258"/>
  <c r="L132" i="258" s="1"/>
  <c r="K148" i="258"/>
  <c r="L148" i="258" s="1"/>
  <c r="K156" i="258"/>
  <c r="L156" i="258" s="1"/>
  <c r="O54" i="258"/>
  <c r="K60" i="258"/>
  <c r="O35" i="258"/>
  <c r="K59" i="258"/>
  <c r="L59" i="258" s="1"/>
  <c r="O61" i="258"/>
  <c r="K21" i="258"/>
  <c r="L21" i="258" s="1"/>
  <c r="I35" i="258"/>
  <c r="K35" i="258" s="1"/>
  <c r="L35" i="258" s="1"/>
  <c r="I43" i="258"/>
  <c r="K43" i="258" s="1"/>
  <c r="L43" i="258" s="1"/>
  <c r="I29" i="258"/>
  <c r="I30" i="258"/>
  <c r="K26" i="258"/>
  <c r="L26" i="258" s="1"/>
  <c r="I40" i="258"/>
  <c r="K40" i="258" s="1"/>
  <c r="L40" i="258" s="1"/>
  <c r="K25" i="258"/>
  <c r="L25" i="258" s="1"/>
  <c r="K41" i="258"/>
  <c r="L41" i="258" s="1"/>
  <c r="I32" i="258"/>
  <c r="K32" i="258" s="1"/>
  <c r="L32" i="258" s="1"/>
  <c r="J14" i="258"/>
  <c r="I6" i="258"/>
  <c r="K6" i="258" s="1"/>
  <c r="L6" i="258" s="1"/>
  <c r="I9" i="258"/>
  <c r="K31" i="258"/>
  <c r="L31" i="258" s="1"/>
  <c r="K11" i="258"/>
  <c r="L11" i="258" s="1"/>
  <c r="K30" i="258"/>
  <c r="L30" i="258" s="1"/>
  <c r="K126" i="258"/>
  <c r="L126" i="258" s="1"/>
  <c r="K27" i="258"/>
  <c r="L27" i="258" s="1"/>
  <c r="K24" i="258"/>
  <c r="L24" i="258" s="1"/>
  <c r="K29" i="258"/>
  <c r="L29" i="258" s="1"/>
  <c r="K118" i="258"/>
  <c r="L118" i="258" s="1"/>
  <c r="K10" i="258"/>
  <c r="L10" i="258" s="1"/>
  <c r="K13" i="258"/>
  <c r="L13" i="258" s="1"/>
  <c r="K7" i="258"/>
  <c r="L7" i="258" s="1"/>
  <c r="K9" i="258"/>
  <c r="L9" i="258" s="1"/>
  <c r="K12" i="258"/>
  <c r="L12" i="258" s="1"/>
  <c r="K14" i="258"/>
  <c r="L14" i="258" s="1"/>
  <c r="K8" i="258"/>
  <c r="L8" i="258" s="1"/>
  <c r="K22" i="258"/>
  <c r="L22" i="258" s="1"/>
  <c r="K72" i="258"/>
  <c r="L72" i="258" s="1"/>
  <c r="K78" i="258"/>
  <c r="L15" i="258"/>
  <c r="K44" i="258"/>
  <c r="L44" i="258" s="1"/>
  <c r="K52" i="258"/>
  <c r="L52" i="258" s="1"/>
  <c r="K64" i="258"/>
  <c r="L64" i="258" s="1"/>
  <c r="K119" i="258"/>
  <c r="L119" i="258" s="1"/>
  <c r="K116" i="258"/>
  <c r="L116" i="258" s="1"/>
  <c r="K104" i="258"/>
  <c r="L104" i="258" s="1"/>
  <c r="K19" i="258"/>
  <c r="L19" i="258" s="1"/>
  <c r="K76" i="258"/>
  <c r="K102" i="258"/>
  <c r="L102" i="258" s="1"/>
  <c r="K140" i="258"/>
  <c r="L140" i="258" s="1"/>
  <c r="K70" i="258"/>
  <c r="L70" i="258" s="1"/>
  <c r="K88" i="258"/>
  <c r="K96" i="258"/>
  <c r="K108" i="258"/>
  <c r="L108" i="258" s="1"/>
  <c r="K48" i="258"/>
  <c r="L48" i="258" s="1"/>
  <c r="K68" i="258"/>
  <c r="L68" i="258" s="1"/>
  <c r="K94" i="258"/>
  <c r="K23" i="258"/>
  <c r="L23" i="258" s="1"/>
  <c r="K46" i="258"/>
  <c r="L46" i="258" s="1"/>
  <c r="K92" i="258"/>
  <c r="K79" i="258"/>
  <c r="K103" i="258"/>
  <c r="L103" i="258" s="1"/>
  <c r="K127" i="258"/>
  <c r="L127" i="258" s="1"/>
  <c r="K71" i="258"/>
  <c r="L71" i="258" s="1"/>
  <c r="K151" i="258"/>
  <c r="L151" i="258" s="1"/>
  <c r="K47" i="258"/>
  <c r="L47" i="258" s="1"/>
  <c r="K16" i="258"/>
  <c r="L16" i="258" s="1"/>
  <c r="K49" i="258"/>
  <c r="L49" i="258" s="1"/>
  <c r="K65" i="258"/>
  <c r="L65" i="258" s="1"/>
  <c r="K73" i="258"/>
  <c r="L73" i="258" s="1"/>
  <c r="K81" i="258"/>
  <c r="K89" i="258"/>
  <c r="K97" i="258"/>
  <c r="K105" i="258"/>
  <c r="L105" i="258" s="1"/>
  <c r="K113" i="258"/>
  <c r="L113" i="258" s="1"/>
  <c r="K121" i="258"/>
  <c r="L121" i="258" s="1"/>
  <c r="K129" i="258"/>
  <c r="L129" i="258" s="1"/>
  <c r="K137" i="258"/>
  <c r="L137" i="258" s="1"/>
  <c r="K145" i="258"/>
  <c r="L145" i="258" s="1"/>
  <c r="K153" i="258"/>
  <c r="L153" i="258" s="1"/>
  <c r="K142" i="258"/>
  <c r="L142" i="258" s="1"/>
  <c r="K150" i="258"/>
  <c r="L150" i="258" s="1"/>
  <c r="K18" i="258"/>
  <c r="L18" i="258" s="1"/>
  <c r="K51" i="258"/>
  <c r="L51" i="258" s="1"/>
  <c r="K67" i="258"/>
  <c r="L67" i="258" s="1"/>
  <c r="K83" i="258"/>
  <c r="L83" i="258" s="1"/>
  <c r="K91" i="258"/>
  <c r="K107" i="258"/>
  <c r="L107" i="258" s="1"/>
  <c r="K115" i="258"/>
  <c r="L115" i="258" s="1"/>
  <c r="K131" i="258"/>
  <c r="L131" i="258" s="1"/>
  <c r="K139" i="258"/>
  <c r="L139" i="258" s="1"/>
  <c r="K155" i="258"/>
  <c r="L155" i="258" s="1"/>
  <c r="K144" i="258"/>
  <c r="L144" i="258" s="1"/>
  <c r="K152" i="258"/>
  <c r="L152" i="258" s="1"/>
  <c r="K20" i="258"/>
  <c r="L20" i="258" s="1"/>
  <c r="K45" i="258"/>
  <c r="L45" i="258" s="1"/>
  <c r="K69" i="258"/>
  <c r="L69" i="258" s="1"/>
  <c r="K77" i="258"/>
  <c r="K85" i="258"/>
  <c r="K93" i="258"/>
  <c r="K101" i="258"/>
  <c r="L101" i="258" s="1"/>
  <c r="K109" i="258"/>
  <c r="L109" i="258" s="1"/>
  <c r="K117" i="258"/>
  <c r="L117" i="258" s="1"/>
  <c r="K125" i="258"/>
  <c r="L125" i="258" s="1"/>
  <c r="K133" i="258"/>
  <c r="L133" i="258" s="1"/>
  <c r="K141" i="258"/>
  <c r="L141" i="258" s="1"/>
  <c r="K149" i="258"/>
  <c r="L149" i="258" s="1"/>
  <c r="K157" i="258"/>
  <c r="L157" i="258" s="1"/>
  <c r="K17" i="258"/>
  <c r="L17" i="258" s="1"/>
  <c r="K50" i="258"/>
  <c r="L50" i="258" s="1"/>
  <c r="K66" i="258"/>
  <c r="L66" i="258" s="1"/>
  <c r="K82" i="258"/>
  <c r="K90" i="258"/>
  <c r="K106" i="258"/>
  <c r="L106" i="258" s="1"/>
  <c r="K114" i="258"/>
  <c r="L114" i="258" s="1"/>
  <c r="K130" i="258"/>
  <c r="L130" i="258" s="1"/>
  <c r="K138" i="258"/>
  <c r="L138" i="258" s="1"/>
  <c r="K154" i="258"/>
  <c r="L154" i="258" s="1"/>
  <c r="K152" i="255"/>
  <c r="K160" i="255"/>
  <c r="K156" i="255"/>
  <c r="F36" i="231"/>
  <c r="M3" i="182"/>
  <c r="Q3" i="182" s="1"/>
  <c r="AE3" i="182" s="1"/>
  <c r="M69" i="182"/>
  <c r="O69" i="182" s="1"/>
  <c r="R58" i="182"/>
  <c r="AF58" i="182" s="1"/>
  <c r="M80" i="182"/>
  <c r="P80" i="182" s="1"/>
  <c r="AG113" i="182"/>
  <c r="O58" i="182"/>
  <c r="M91" i="182"/>
  <c r="O91" i="182" s="1"/>
  <c r="A58" i="182"/>
  <c r="A47" i="182"/>
  <c r="O47" i="182"/>
  <c r="AC47" i="182" s="1"/>
  <c r="M14" i="182"/>
  <c r="R14" i="182" s="1"/>
  <c r="P47" i="182"/>
  <c r="AD47" i="182" s="1"/>
  <c r="Q47" i="182"/>
  <c r="AE47" i="182" s="1"/>
  <c r="M25" i="182"/>
  <c r="O25" i="182" s="1"/>
  <c r="R47" i="182"/>
  <c r="AF47" i="182" s="1"/>
  <c r="M36" i="182"/>
  <c r="P36" i="182" s="1"/>
  <c r="K139" i="255"/>
  <c r="K142" i="255"/>
  <c r="Q102" i="182" l="1"/>
  <c r="AE102" i="182" s="1"/>
  <c r="R102" i="182"/>
  <c r="AF102" i="182" s="1"/>
  <c r="L93" i="258"/>
  <c r="L92" i="258"/>
  <c r="L88" i="258"/>
  <c r="L95" i="258"/>
  <c r="L85" i="258"/>
  <c r="L58" i="258"/>
  <c r="L84" i="258"/>
  <c r="P102" i="182"/>
  <c r="AD102" i="182" s="1"/>
  <c r="L77" i="258"/>
  <c r="L80" i="258"/>
  <c r="L90" i="258"/>
  <c r="L97" i="258"/>
  <c r="L94" i="258"/>
  <c r="L60" i="258"/>
  <c r="L61" i="258"/>
  <c r="L79" i="258"/>
  <c r="L96" i="258"/>
  <c r="O102" i="182"/>
  <c r="AC102" i="182" s="1"/>
  <c r="L82" i="258"/>
  <c r="L89" i="258"/>
  <c r="L76" i="258"/>
  <c r="L57" i="258"/>
  <c r="L91" i="258"/>
  <c r="L81" i="258"/>
  <c r="L78" i="258"/>
  <c r="R91" i="182"/>
  <c r="AF91" i="182" s="1"/>
  <c r="P25" i="182"/>
  <c r="AD25" i="182" s="1"/>
  <c r="P3" i="182"/>
  <c r="AD3" i="182" s="1"/>
  <c r="R3" i="182"/>
  <c r="AF3" i="182" s="1"/>
  <c r="L56" i="258"/>
  <c r="L55" i="258"/>
  <c r="L54" i="258"/>
  <c r="Q14" i="182"/>
  <c r="AE14" i="182" s="1"/>
  <c r="O36" i="182"/>
  <c r="AC36" i="182" s="1"/>
  <c r="R36" i="182"/>
  <c r="AF36" i="182" s="1"/>
  <c r="S58" i="182"/>
  <c r="T58" i="182" s="1"/>
  <c r="O3" i="182"/>
  <c r="AC3" i="182" s="1"/>
  <c r="A3" i="182"/>
  <c r="P91" i="182"/>
  <c r="AD91" i="182" s="1"/>
  <c r="AC91" i="182"/>
  <c r="A91" i="182"/>
  <c r="Q91" i="182"/>
  <c r="AE91" i="182" s="1"/>
  <c r="A80" i="182"/>
  <c r="R80" i="182"/>
  <c r="AF80" i="182" s="1"/>
  <c r="AD80" i="182"/>
  <c r="P69" i="182"/>
  <c r="AD69" i="182" s="1"/>
  <c r="AC69" i="182"/>
  <c r="A69" i="182"/>
  <c r="O80" i="182"/>
  <c r="AC58" i="182"/>
  <c r="AH58" i="182" s="1"/>
  <c r="R69" i="182"/>
  <c r="AF69" i="182" s="1"/>
  <c r="Q69" i="182"/>
  <c r="AE69" i="182" s="1"/>
  <c r="Q80" i="182"/>
  <c r="AE80" i="182" s="1"/>
  <c r="AH47" i="182"/>
  <c r="A14" i="182"/>
  <c r="AF14" i="182"/>
  <c r="S47" i="182"/>
  <c r="T47" i="182" s="1"/>
  <c r="P14" i="182"/>
  <c r="AD14" i="182" s="1"/>
  <c r="AC25" i="182"/>
  <c r="A25" i="182"/>
  <c r="Q25" i="182"/>
  <c r="AE25" i="182" s="1"/>
  <c r="O14" i="182"/>
  <c r="R25" i="182"/>
  <c r="AF25" i="182" s="1"/>
  <c r="AD36" i="182"/>
  <c r="A36" i="182"/>
  <c r="Q36" i="182"/>
  <c r="AE36" i="182" s="1"/>
  <c r="AH102" i="182" l="1"/>
  <c r="S102" i="182"/>
  <c r="T102" i="182" s="1"/>
  <c r="S14" i="182"/>
  <c r="T14" i="182" s="1"/>
  <c r="F3" i="257"/>
  <c r="AH3" i="182"/>
  <c r="S3" i="182"/>
  <c r="T3" i="182" s="1"/>
  <c r="S91" i="182"/>
  <c r="T91" i="182" s="1"/>
  <c r="S36" i="182"/>
  <c r="T36" i="182" s="1"/>
  <c r="S69" i="182"/>
  <c r="T69" i="182" s="1"/>
  <c r="S80" i="182"/>
  <c r="T80" i="182" s="1"/>
  <c r="AH69" i="182"/>
  <c r="AC80" i="182"/>
  <c r="AH80" i="182" s="1"/>
  <c r="AH91" i="182"/>
  <c r="AF113" i="182"/>
  <c r="AH25" i="182"/>
  <c r="S25" i="182"/>
  <c r="T25" i="182" s="1"/>
  <c r="AC14" i="182"/>
  <c r="AH14" i="182" s="1"/>
  <c r="AH36" i="182"/>
  <c r="AE113" i="182"/>
  <c r="AD113" i="182"/>
  <c r="AC113" i="182" l="1"/>
  <c r="T113" i="182"/>
  <c r="F6" i="257"/>
  <c r="AH113" i="182"/>
  <c r="F11" i="257" l="1"/>
  <c r="T118" i="182"/>
  <c r="J114" i="255"/>
  <c r="I114" i="255"/>
  <c r="B114" i="255"/>
  <c r="J113" i="255"/>
  <c r="I113" i="255"/>
  <c r="B113" i="255"/>
  <c r="O112" i="255"/>
  <c r="O113" i="255" s="1"/>
  <c r="O114" i="255" l="1"/>
  <c r="J124" i="255" l="1"/>
  <c r="I124" i="255"/>
  <c r="B124" i="255"/>
  <c r="J123" i="255"/>
  <c r="I123" i="255"/>
  <c r="B123" i="255"/>
  <c r="AB122" i="255"/>
  <c r="AA122" i="255"/>
  <c r="Z122" i="255"/>
  <c r="Y122" i="255"/>
  <c r="X122" i="255"/>
  <c r="W122" i="255"/>
  <c r="V122" i="255"/>
  <c r="U122" i="255"/>
  <c r="L122" i="255"/>
  <c r="K122" i="255"/>
  <c r="J120" i="255"/>
  <c r="I120" i="255"/>
  <c r="B120" i="255"/>
  <c r="J119" i="255"/>
  <c r="I119" i="255"/>
  <c r="B119" i="255"/>
  <c r="J118" i="255"/>
  <c r="I118" i="255"/>
  <c r="B118" i="255"/>
  <c r="J117" i="255"/>
  <c r="I117" i="255"/>
  <c r="B117" i="255"/>
  <c r="AB116" i="255"/>
  <c r="AA116" i="255"/>
  <c r="Z116" i="255"/>
  <c r="Y116" i="255"/>
  <c r="X116" i="255"/>
  <c r="W116" i="255"/>
  <c r="V116" i="255"/>
  <c r="U116" i="255"/>
  <c r="L116" i="255"/>
  <c r="K116" i="255"/>
  <c r="K105" i="255"/>
  <c r="J106" i="255"/>
  <c r="I106" i="255"/>
  <c r="B106" i="255"/>
  <c r="L105" i="255"/>
  <c r="J103" i="255"/>
  <c r="I103" i="255"/>
  <c r="B103" i="255"/>
  <c r="L102" i="255"/>
  <c r="K102" i="255"/>
  <c r="J112" i="255"/>
  <c r="I112" i="255"/>
  <c r="B112" i="255"/>
  <c r="L111" i="255"/>
  <c r="K111" i="255"/>
  <c r="J109" i="255"/>
  <c r="I109" i="255"/>
  <c r="B109" i="255"/>
  <c r="L108" i="255"/>
  <c r="K108" i="255"/>
  <c r="O100" i="255"/>
  <c r="O99" i="255"/>
  <c r="O98" i="255"/>
  <c r="O97" i="255"/>
  <c r="J100" i="255"/>
  <c r="I100" i="255"/>
  <c r="B100" i="255"/>
  <c r="J99" i="255"/>
  <c r="I99" i="255"/>
  <c r="B99" i="255"/>
  <c r="J98" i="255"/>
  <c r="I98" i="255"/>
  <c r="B98" i="255"/>
  <c r="J97" i="255"/>
  <c r="I97" i="255"/>
  <c r="B97" i="255"/>
  <c r="L96" i="255"/>
  <c r="K96" i="255"/>
  <c r="J73" i="255"/>
  <c r="I73" i="255"/>
  <c r="B73" i="255"/>
  <c r="J72" i="255"/>
  <c r="I72" i="255"/>
  <c r="B72" i="255"/>
  <c r="J71" i="255"/>
  <c r="I71" i="255"/>
  <c r="B71" i="255"/>
  <c r="J65" i="255"/>
  <c r="I65" i="255"/>
  <c r="B65" i="255"/>
  <c r="J64" i="255"/>
  <c r="I64" i="255"/>
  <c r="B64" i="255"/>
  <c r="J62" i="255"/>
  <c r="I62" i="255"/>
  <c r="B62" i="255"/>
  <c r="J57" i="255"/>
  <c r="I57" i="255"/>
  <c r="B57" i="255"/>
  <c r="J56" i="255"/>
  <c r="I56" i="255"/>
  <c r="B56" i="255"/>
  <c r="J54" i="255"/>
  <c r="I54" i="255"/>
  <c r="B54" i="255"/>
  <c r="J50" i="255"/>
  <c r="I50" i="255"/>
  <c r="B50" i="255"/>
  <c r="J49" i="255"/>
  <c r="I49" i="255"/>
  <c r="B49" i="255"/>
  <c r="J48" i="255"/>
  <c r="I48" i="255"/>
  <c r="B48" i="255"/>
  <c r="J21" i="255"/>
  <c r="I21" i="255"/>
  <c r="B21" i="255"/>
  <c r="J20" i="255"/>
  <c r="I20" i="255"/>
  <c r="B20" i="255"/>
  <c r="J19" i="255"/>
  <c r="I19" i="255"/>
  <c r="B19" i="255"/>
  <c r="J18" i="255"/>
  <c r="I18" i="255"/>
  <c r="B18" i="255"/>
  <c r="J17" i="255"/>
  <c r="I17" i="255"/>
  <c r="B17" i="255"/>
  <c r="J16" i="255"/>
  <c r="I16" i="255"/>
  <c r="B16" i="255"/>
  <c r="J15" i="255"/>
  <c r="I15" i="255"/>
  <c r="B15" i="255"/>
  <c r="J14" i="255"/>
  <c r="I14" i="255"/>
  <c r="B14" i="255"/>
  <c r="O11" i="255"/>
  <c r="O12" i="255"/>
  <c r="O13" i="255"/>
  <c r="O10" i="255"/>
  <c r="H29" i="255"/>
  <c r="J29" i="255" s="1"/>
  <c r="H30" i="255"/>
  <c r="I30" i="255" s="1"/>
  <c r="H31" i="255"/>
  <c r="J31" i="255" s="1"/>
  <c r="H28" i="255"/>
  <c r="J28" i="255" s="1"/>
  <c r="B31" i="255"/>
  <c r="B30" i="255"/>
  <c r="B29" i="255"/>
  <c r="B28" i="255"/>
  <c r="J13" i="255"/>
  <c r="I13" i="255"/>
  <c r="B13" i="255"/>
  <c r="J12" i="255"/>
  <c r="I12" i="255"/>
  <c r="B12" i="255"/>
  <c r="J11" i="255"/>
  <c r="I11" i="255"/>
  <c r="B11" i="255"/>
  <c r="J10" i="255"/>
  <c r="I10" i="255"/>
  <c r="B10" i="255"/>
  <c r="O17" i="255" l="1"/>
  <c r="O16" i="255"/>
  <c r="O19" i="255"/>
  <c r="AB144" i="255"/>
  <c r="AB141" i="255"/>
  <c r="AB135" i="255"/>
  <c r="AB138" i="255"/>
  <c r="AA144" i="255"/>
  <c r="AA141" i="255"/>
  <c r="AA138" i="255"/>
  <c r="AA135" i="255"/>
  <c r="U135" i="255"/>
  <c r="U141" i="255"/>
  <c r="U144" i="255"/>
  <c r="U138" i="255"/>
  <c r="V144" i="255"/>
  <c r="V141" i="255"/>
  <c r="V138" i="255"/>
  <c r="V135" i="255"/>
  <c r="W135" i="255"/>
  <c r="W144" i="255"/>
  <c r="W141" i="255"/>
  <c r="W138" i="255"/>
  <c r="X135" i="255"/>
  <c r="X144" i="255"/>
  <c r="X141" i="255"/>
  <c r="X138" i="255"/>
  <c r="Y144" i="255"/>
  <c r="Y141" i="255"/>
  <c r="Y138" i="255"/>
  <c r="Y135" i="255"/>
  <c r="Z144" i="255"/>
  <c r="Z141" i="255"/>
  <c r="Z138" i="255"/>
  <c r="Z135" i="255"/>
  <c r="O18" i="255"/>
  <c r="O14" i="255"/>
  <c r="K114" i="255"/>
  <c r="K113" i="255"/>
  <c r="K106" i="255"/>
  <c r="K117" i="255"/>
  <c r="L117" i="255" s="1"/>
  <c r="K112" i="255"/>
  <c r="K103" i="255"/>
  <c r="K120" i="255"/>
  <c r="L120" i="255" s="1"/>
  <c r="K124" i="255"/>
  <c r="K109" i="255"/>
  <c r="K118" i="255"/>
  <c r="L118" i="255" s="1"/>
  <c r="K119" i="255"/>
  <c r="L119" i="255" s="1"/>
  <c r="K123" i="255"/>
  <c r="K97" i="255"/>
  <c r="K100" i="255"/>
  <c r="K98" i="255"/>
  <c r="K99" i="255"/>
  <c r="O21" i="255"/>
  <c r="O20" i="255"/>
  <c r="O15" i="255"/>
  <c r="I31" i="255"/>
  <c r="J30" i="255"/>
  <c r="I29" i="255"/>
  <c r="I28" i="255"/>
  <c r="K135" i="255" l="1"/>
  <c r="J145" i="255"/>
  <c r="I145" i="255"/>
  <c r="B145" i="255"/>
  <c r="L144" i="255"/>
  <c r="K144" i="255"/>
  <c r="J136" i="255"/>
  <c r="I136" i="255"/>
  <c r="B136" i="255"/>
  <c r="L135" i="255"/>
  <c r="K145" i="255" l="1"/>
  <c r="L145" i="255" s="1"/>
  <c r="K136" i="255"/>
  <c r="O132" i="255"/>
  <c r="O133" i="255"/>
  <c r="O130" i="255"/>
  <c r="J74" i="255"/>
  <c r="I74" i="255"/>
  <c r="B74" i="255"/>
  <c r="J70" i="255"/>
  <c r="I70" i="255"/>
  <c r="B70" i="255"/>
  <c r="J69" i="255"/>
  <c r="I69" i="255"/>
  <c r="B69" i="255"/>
  <c r="L68" i="255"/>
  <c r="K68" i="255"/>
  <c r="J66" i="255"/>
  <c r="I66" i="255"/>
  <c r="B66" i="255"/>
  <c r="J63" i="255"/>
  <c r="I63" i="255"/>
  <c r="B63" i="255"/>
  <c r="J61" i="255"/>
  <c r="I61" i="255"/>
  <c r="B61" i="255"/>
  <c r="AB60" i="255"/>
  <c r="AA60" i="255"/>
  <c r="Z60" i="255"/>
  <c r="Y60" i="255"/>
  <c r="X60" i="255"/>
  <c r="W60" i="255"/>
  <c r="V60" i="255"/>
  <c r="U60" i="255"/>
  <c r="L60" i="255"/>
  <c r="K60" i="255"/>
  <c r="K65" i="255" s="1"/>
  <c r="O83" i="255"/>
  <c r="O90" i="255"/>
  <c r="O91" i="255"/>
  <c r="O89" i="255"/>
  <c r="O87" i="255"/>
  <c r="O88" i="255"/>
  <c r="O86" i="255"/>
  <c r="O84" i="255"/>
  <c r="O85" i="255"/>
  <c r="O81" i="255"/>
  <c r="O82" i="255"/>
  <c r="O80" i="255"/>
  <c r="B91" i="255"/>
  <c r="B90" i="255"/>
  <c r="B89" i="255"/>
  <c r="M81" i="255"/>
  <c r="M84" i="255" s="1"/>
  <c r="M87" i="255" s="1"/>
  <c r="M90" i="255" s="1"/>
  <c r="M82" i="255"/>
  <c r="M85" i="255" s="1"/>
  <c r="M88" i="255" s="1"/>
  <c r="M91" i="255" s="1"/>
  <c r="M80" i="255"/>
  <c r="M83" i="255" s="1"/>
  <c r="M86" i="255" s="1"/>
  <c r="M89" i="255" s="1"/>
  <c r="H81" i="255"/>
  <c r="H84" i="255" s="1"/>
  <c r="H82" i="255"/>
  <c r="J82" i="255" s="1"/>
  <c r="H80" i="255"/>
  <c r="I80" i="255" s="1"/>
  <c r="B88" i="255"/>
  <c r="B87" i="255"/>
  <c r="B86" i="255"/>
  <c r="B85" i="255"/>
  <c r="B84" i="255"/>
  <c r="B83" i="255"/>
  <c r="B82" i="255"/>
  <c r="B81" i="255"/>
  <c r="B80" i="255"/>
  <c r="Y76" i="255"/>
  <c r="X76" i="255"/>
  <c r="W76" i="255"/>
  <c r="U76" i="255"/>
  <c r="V76" i="255"/>
  <c r="O8" i="246"/>
  <c r="L65" i="255" l="1"/>
  <c r="K73" i="255"/>
  <c r="K71" i="255"/>
  <c r="K72" i="255"/>
  <c r="K62" i="255"/>
  <c r="L62" i="255" s="1"/>
  <c r="K64" i="255"/>
  <c r="L64" i="255" s="1"/>
  <c r="K66" i="255"/>
  <c r="L66" i="255" s="1"/>
  <c r="K70" i="255"/>
  <c r="K61" i="255"/>
  <c r="L61" i="255" s="1"/>
  <c r="K74" i="255"/>
  <c r="K63" i="255"/>
  <c r="L63" i="255" s="1"/>
  <c r="K69" i="255"/>
  <c r="H83" i="255"/>
  <c r="J84" i="255"/>
  <c r="H87" i="255"/>
  <c r="H90" i="255" s="1"/>
  <c r="I84" i="255"/>
  <c r="I81" i="255"/>
  <c r="J81" i="255"/>
  <c r="I82" i="255"/>
  <c r="H85" i="255"/>
  <c r="J80" i="255"/>
  <c r="J90" i="255" l="1"/>
  <c r="I90" i="255"/>
  <c r="H86" i="255"/>
  <c r="J83" i="255"/>
  <c r="I83" i="255"/>
  <c r="J85" i="255"/>
  <c r="I85" i="255"/>
  <c r="H88" i="255"/>
  <c r="H91" i="255" s="1"/>
  <c r="J87" i="255"/>
  <c r="I87" i="255"/>
  <c r="J91" i="255" l="1"/>
  <c r="I91" i="255"/>
  <c r="H89" i="255"/>
  <c r="I86" i="255"/>
  <c r="J86" i="255"/>
  <c r="J88" i="255"/>
  <c r="I88" i="255"/>
  <c r="J89" i="255" l="1"/>
  <c r="I89" i="255"/>
  <c r="J79" i="255" l="1"/>
  <c r="I79" i="255"/>
  <c r="B79" i="255"/>
  <c r="J78" i="255"/>
  <c r="I78" i="255"/>
  <c r="B78" i="255"/>
  <c r="J77" i="255"/>
  <c r="I77" i="255"/>
  <c r="B77" i="255"/>
  <c r="L76" i="255"/>
  <c r="K76" i="255"/>
  <c r="AB44" i="255"/>
  <c r="AA44" i="255"/>
  <c r="Z44" i="255"/>
  <c r="Y44" i="255"/>
  <c r="X44" i="255"/>
  <c r="W44" i="255"/>
  <c r="V44" i="255"/>
  <c r="U44" i="255"/>
  <c r="K126" i="255"/>
  <c r="J133" i="255"/>
  <c r="I133" i="255"/>
  <c r="B133" i="255"/>
  <c r="J132" i="255"/>
  <c r="I132" i="255"/>
  <c r="B132" i="255"/>
  <c r="J131" i="255"/>
  <c r="I131" i="255"/>
  <c r="K131" i="255" s="1"/>
  <c r="L131" i="255" s="1"/>
  <c r="B131" i="255"/>
  <c r="J130" i="255"/>
  <c r="I130" i="255"/>
  <c r="B130" i="255"/>
  <c r="J129" i="255"/>
  <c r="I129" i="255"/>
  <c r="B129" i="255"/>
  <c r="J128" i="255"/>
  <c r="I128" i="255"/>
  <c r="B128" i="255"/>
  <c r="J127" i="255"/>
  <c r="I127" i="255"/>
  <c r="B127" i="255"/>
  <c r="L126" i="255"/>
  <c r="J94" i="255"/>
  <c r="I94" i="255"/>
  <c r="B94" i="255"/>
  <c r="L93" i="255"/>
  <c r="K93" i="255"/>
  <c r="J149" i="255"/>
  <c r="I149" i="255"/>
  <c r="J148" i="255"/>
  <c r="I148" i="255"/>
  <c r="L147" i="255"/>
  <c r="K147" i="255"/>
  <c r="AB33" i="255"/>
  <c r="AA33" i="255"/>
  <c r="Z33" i="255"/>
  <c r="Y33" i="255"/>
  <c r="X33" i="255"/>
  <c r="W33" i="255"/>
  <c r="U33" i="255"/>
  <c r="V33" i="255"/>
  <c r="J39" i="255"/>
  <c r="I39" i="255"/>
  <c r="B39" i="255"/>
  <c r="V37" i="255" l="1"/>
  <c r="AB41" i="255"/>
  <c r="X37" i="255"/>
  <c r="U37" i="255"/>
  <c r="W41" i="255"/>
  <c r="Y37" i="255"/>
  <c r="Z41" i="255"/>
  <c r="AA41" i="255"/>
  <c r="K129" i="255"/>
  <c r="L129" i="255" s="1"/>
  <c r="K127" i="255"/>
  <c r="L127" i="255" s="1"/>
  <c r="K130" i="255"/>
  <c r="L130" i="255" s="1"/>
  <c r="K133" i="255"/>
  <c r="L133" i="255" s="1"/>
  <c r="K128" i="255"/>
  <c r="L128" i="255" s="1"/>
  <c r="K89" i="255"/>
  <c r="L89" i="255" s="1"/>
  <c r="K90" i="255"/>
  <c r="L90" i="255" s="1"/>
  <c r="K91" i="255"/>
  <c r="L91" i="255" s="1"/>
  <c r="K78" i="255"/>
  <c r="L78" i="255" s="1"/>
  <c r="K88" i="255"/>
  <c r="L88" i="255" s="1"/>
  <c r="K83" i="255"/>
  <c r="L83" i="255" s="1"/>
  <c r="K86" i="255"/>
  <c r="L86" i="255" s="1"/>
  <c r="K84" i="255"/>
  <c r="L84" i="255" s="1"/>
  <c r="K81" i="255"/>
  <c r="L81" i="255" s="1"/>
  <c r="K87" i="255"/>
  <c r="L87" i="255" s="1"/>
  <c r="K80" i="255"/>
  <c r="L80" i="255" s="1"/>
  <c r="K82" i="255"/>
  <c r="L82" i="255" s="1"/>
  <c r="K85" i="255"/>
  <c r="L85" i="255" s="1"/>
  <c r="K77" i="255"/>
  <c r="L77" i="255" s="1"/>
  <c r="K79" i="255"/>
  <c r="L79" i="255" s="1"/>
  <c r="K132" i="255"/>
  <c r="L132" i="255" s="1"/>
  <c r="K149" i="255"/>
  <c r="L149" i="255" s="1"/>
  <c r="K94" i="255"/>
  <c r="K148" i="255"/>
  <c r="L148" i="255" s="1"/>
  <c r="W37" i="255"/>
  <c r="U41" i="255"/>
  <c r="AB37" i="255"/>
  <c r="V41" i="255"/>
  <c r="Z37" i="255"/>
  <c r="X41" i="255"/>
  <c r="Y41" i="255"/>
  <c r="AA37" i="255"/>
  <c r="X23" i="255"/>
  <c r="X111" i="255" s="1"/>
  <c r="X5" i="255"/>
  <c r="Y23" i="255"/>
  <c r="Y111" i="255" s="1"/>
  <c r="Z23" i="255"/>
  <c r="Z111" i="255" s="1"/>
  <c r="AB23" i="255"/>
  <c r="AB111" i="255" s="1"/>
  <c r="U5" i="255"/>
  <c r="V5" i="255"/>
  <c r="W5" i="255"/>
  <c r="Y5" i="255"/>
  <c r="AB5" i="255"/>
  <c r="AA5" i="255"/>
  <c r="Z5" i="255"/>
  <c r="W23" i="255"/>
  <c r="W111" i="255" s="1"/>
  <c r="U23" i="255"/>
  <c r="U111" i="255" s="1"/>
  <c r="AA23" i="255"/>
  <c r="AA111" i="255" s="1"/>
  <c r="V23" i="255"/>
  <c r="V111" i="255" s="1"/>
  <c r="L114" i="255" l="1"/>
  <c r="L113" i="255"/>
  <c r="L112" i="255"/>
  <c r="W52" i="255"/>
  <c r="W68" i="255"/>
  <c r="W93" i="255"/>
  <c r="W96" i="255"/>
  <c r="W102" i="255"/>
  <c r="W105" i="255"/>
  <c r="W108" i="255"/>
  <c r="AB52" i="255"/>
  <c r="AB96" i="255"/>
  <c r="AB105" i="255"/>
  <c r="AB108" i="255"/>
  <c r="AB68" i="255"/>
  <c r="AB93" i="255"/>
  <c r="AB102" i="255"/>
  <c r="Z52" i="255"/>
  <c r="Z68" i="255"/>
  <c r="Z93" i="255"/>
  <c r="Z96" i="255"/>
  <c r="Z102" i="255"/>
  <c r="Z105" i="255"/>
  <c r="Z108" i="255"/>
  <c r="AA52" i="255"/>
  <c r="AA108" i="255"/>
  <c r="AA68" i="255"/>
  <c r="AA96" i="255"/>
  <c r="AA105" i="255"/>
  <c r="AA93" i="255"/>
  <c r="AA102" i="255"/>
  <c r="U68" i="255"/>
  <c r="U93" i="255"/>
  <c r="U105" i="255"/>
  <c r="U52" i="255"/>
  <c r="U96" i="255"/>
  <c r="U102" i="255"/>
  <c r="U108" i="255"/>
  <c r="Y52" i="255"/>
  <c r="Y68" i="255"/>
  <c r="Y93" i="255"/>
  <c r="Y96" i="255"/>
  <c r="Y102" i="255"/>
  <c r="Y105" i="255"/>
  <c r="Y108" i="255"/>
  <c r="X108" i="255"/>
  <c r="X52" i="255"/>
  <c r="X96" i="255"/>
  <c r="X93" i="255"/>
  <c r="X105" i="255"/>
  <c r="X68" i="255"/>
  <c r="X102" i="255"/>
  <c r="V52" i="255"/>
  <c r="V68" i="255"/>
  <c r="V93" i="255"/>
  <c r="V96" i="255"/>
  <c r="V102" i="255"/>
  <c r="V105" i="255"/>
  <c r="V108" i="255"/>
  <c r="O725" i="256"/>
  <c r="O737" i="256" s="1"/>
  <c r="O724" i="256"/>
  <c r="O736" i="256" s="1"/>
  <c r="O726" i="256"/>
  <c r="O727" i="256"/>
  <c r="O733" i="256"/>
  <c r="O745" i="256" s="1"/>
  <c r="O732" i="256"/>
  <c r="O756" i="256" s="1"/>
  <c r="O731" i="256"/>
  <c r="O755" i="256" s="1"/>
  <c r="O743" i="256"/>
  <c r="O730" i="256"/>
  <c r="O742" i="256" s="1"/>
  <c r="O739" i="256"/>
  <c r="B759" i="256"/>
  <c r="B758" i="256"/>
  <c r="B757" i="256"/>
  <c r="B756" i="256"/>
  <c r="B755" i="256"/>
  <c r="B754" i="256"/>
  <c r="B753" i="256"/>
  <c r="B752" i="256"/>
  <c r="B751" i="256"/>
  <c r="B750" i="256"/>
  <c r="B749" i="256"/>
  <c r="B748" i="256"/>
  <c r="H747" i="256"/>
  <c r="I747" i="256" s="1"/>
  <c r="B747" i="256"/>
  <c r="H746" i="256"/>
  <c r="H758" i="256" s="1"/>
  <c r="B746" i="256"/>
  <c r="H745" i="256"/>
  <c r="H757" i="256" s="1"/>
  <c r="B745" i="256"/>
  <c r="O744" i="256"/>
  <c r="B744" i="256"/>
  <c r="H743" i="256"/>
  <c r="H755" i="256" s="1"/>
  <c r="B743" i="256"/>
  <c r="H742" i="256"/>
  <c r="H754" i="256" s="1"/>
  <c r="B742" i="256"/>
  <c r="H741" i="256"/>
  <c r="I741" i="256" s="1"/>
  <c r="B741" i="256"/>
  <c r="H740" i="256"/>
  <c r="H752" i="256" s="1"/>
  <c r="B740" i="256"/>
  <c r="H739" i="256"/>
  <c r="I739" i="256" s="1"/>
  <c r="B739" i="256"/>
  <c r="H738" i="256"/>
  <c r="H750" i="256" s="1"/>
  <c r="B738" i="256"/>
  <c r="H737" i="256"/>
  <c r="H749" i="256" s="1"/>
  <c r="B737" i="256"/>
  <c r="H736" i="256"/>
  <c r="H748" i="256" s="1"/>
  <c r="B736" i="256"/>
  <c r="J735" i="256"/>
  <c r="I735" i="256"/>
  <c r="K735" i="256" s="1"/>
  <c r="B735" i="256"/>
  <c r="J734" i="256"/>
  <c r="I734" i="256"/>
  <c r="K734" i="256" s="1"/>
  <c r="B734" i="256"/>
  <c r="J733" i="256"/>
  <c r="I733" i="256"/>
  <c r="K733" i="256" s="1"/>
  <c r="B733" i="256"/>
  <c r="I732" i="256"/>
  <c r="H744" i="256"/>
  <c r="B732" i="256"/>
  <c r="J731" i="256"/>
  <c r="I731" i="256"/>
  <c r="B731" i="256"/>
  <c r="J730" i="256"/>
  <c r="I730" i="256"/>
  <c r="K730" i="256" s="1"/>
  <c r="B730" i="256"/>
  <c r="J729" i="256"/>
  <c r="I729" i="256"/>
  <c r="K729" i="256" s="1"/>
  <c r="B729" i="256"/>
  <c r="J728" i="256"/>
  <c r="I728" i="256"/>
  <c r="B728" i="256"/>
  <c r="J727" i="256"/>
  <c r="I727" i="256"/>
  <c r="K727" i="256" s="1"/>
  <c r="B727" i="256"/>
  <c r="J726" i="256"/>
  <c r="I726" i="256"/>
  <c r="K726" i="256" s="1"/>
  <c r="B726" i="256"/>
  <c r="J725" i="256"/>
  <c r="I725" i="256"/>
  <c r="K725" i="256" s="1"/>
  <c r="B725" i="256"/>
  <c r="J724" i="256"/>
  <c r="I724" i="256"/>
  <c r="B724" i="256"/>
  <c r="L723" i="256"/>
  <c r="AA912" i="256"/>
  <c r="AA895" i="256"/>
  <c r="W1027" i="256"/>
  <c r="W1019" i="256"/>
  <c r="Y999" i="256"/>
  <c r="W999" i="256"/>
  <c r="W991" i="256"/>
  <c r="W983" i="256"/>
  <c r="V975" i="256"/>
  <c r="W975" i="256"/>
  <c r="Z975" i="256"/>
  <c r="Y925" i="256"/>
  <c r="Y975" i="256" s="1"/>
  <c r="X925" i="256"/>
  <c r="X1027" i="256" s="1"/>
  <c r="W925" i="256"/>
  <c r="U925" i="256"/>
  <c r="U1027" i="256" s="1"/>
  <c r="AB925" i="256"/>
  <c r="AB975" i="256" s="1"/>
  <c r="AA925" i="256"/>
  <c r="AA975" i="256" s="1"/>
  <c r="Z925" i="256"/>
  <c r="Z1027" i="256" s="1"/>
  <c r="V925" i="256"/>
  <c r="V1027" i="256" s="1"/>
  <c r="V819" i="256"/>
  <c r="AB796" i="256"/>
  <c r="AB819" i="256" s="1"/>
  <c r="AA796" i="256"/>
  <c r="AA819" i="256" s="1"/>
  <c r="Z796" i="256"/>
  <c r="Z860" i="256" s="1"/>
  <c r="Y796" i="256"/>
  <c r="Y860" i="256" s="1"/>
  <c r="X796" i="256"/>
  <c r="X860" i="256" s="1"/>
  <c r="W796" i="256"/>
  <c r="W860" i="256" s="1"/>
  <c r="U796" i="256"/>
  <c r="U860" i="256" s="1"/>
  <c r="V796" i="256"/>
  <c r="V860" i="256" s="1"/>
  <c r="AB787" i="256"/>
  <c r="AB792" i="256" s="1"/>
  <c r="AA787" i="256"/>
  <c r="AA792" i="256" s="1"/>
  <c r="Z787" i="256"/>
  <c r="Z792" i="256" s="1"/>
  <c r="Y787" i="256"/>
  <c r="Y792" i="256" s="1"/>
  <c r="X787" i="256"/>
  <c r="X792" i="256" s="1"/>
  <c r="W787" i="256"/>
  <c r="U787" i="256"/>
  <c r="V787" i="256"/>
  <c r="V792" i="256"/>
  <c r="W792" i="256"/>
  <c r="U792" i="256"/>
  <c r="Y1598" i="256"/>
  <c r="X1598" i="256"/>
  <c r="W1598" i="256"/>
  <c r="U1598" i="256"/>
  <c r="AB1598" i="256"/>
  <c r="AA1598" i="256"/>
  <c r="Z1598" i="256"/>
  <c r="V1598" i="256"/>
  <c r="U1593" i="256"/>
  <c r="U1579" i="256"/>
  <c r="AA1568" i="256"/>
  <c r="W1568" i="256"/>
  <c r="W1557" i="256"/>
  <c r="W1528" i="256"/>
  <c r="U1528" i="256"/>
  <c r="AA1499" i="256"/>
  <c r="W1441" i="256"/>
  <c r="U1441" i="256"/>
  <c r="U1412" i="256"/>
  <c r="U1383" i="256"/>
  <c r="AA1354" i="256"/>
  <c r="W1354" i="256"/>
  <c r="W1325" i="256"/>
  <c r="W1296" i="256"/>
  <c r="U1296" i="256"/>
  <c r="AA1267" i="256"/>
  <c r="W1209" i="256"/>
  <c r="U1209" i="256"/>
  <c r="AB1151" i="256"/>
  <c r="AB1180" i="256" s="1"/>
  <c r="AA1151" i="256"/>
  <c r="AA1180" i="256" s="1"/>
  <c r="Z1151" i="256"/>
  <c r="Z1180" i="256" s="1"/>
  <c r="Y1151" i="256"/>
  <c r="Y1180" i="256" s="1"/>
  <c r="X1151" i="256"/>
  <c r="X1180" i="256" s="1"/>
  <c r="W1151" i="256"/>
  <c r="W1180" i="256" s="1"/>
  <c r="U1151" i="256"/>
  <c r="U1180" i="256" s="1"/>
  <c r="V1151" i="256"/>
  <c r="V1180" i="256" s="1"/>
  <c r="Z1093" i="256"/>
  <c r="Z1593" i="256" s="1"/>
  <c r="Z1035" i="256"/>
  <c r="Z1064" i="256" s="1"/>
  <c r="AA1035" i="256"/>
  <c r="AA1064" i="256" s="1"/>
  <c r="AB1093" i="256"/>
  <c r="AB1122" i="256" s="1"/>
  <c r="AA1093" i="256"/>
  <c r="AA1593" i="256" s="1"/>
  <c r="Y1093" i="256"/>
  <c r="Y1593" i="256" s="1"/>
  <c r="X1093" i="256"/>
  <c r="X1593" i="256" s="1"/>
  <c r="W1093" i="256"/>
  <c r="W1122" i="256" s="1"/>
  <c r="U1093" i="256"/>
  <c r="U1122" i="256" s="1"/>
  <c r="Z1122" i="256"/>
  <c r="AA1122" i="256"/>
  <c r="V1093" i="256"/>
  <c r="V1593" i="256" s="1"/>
  <c r="AB1035" i="256"/>
  <c r="AB1064" i="256" s="1"/>
  <c r="Y1035" i="256"/>
  <c r="Y1064" i="256" s="1"/>
  <c r="X1035" i="256"/>
  <c r="X1064" i="256" s="1"/>
  <c r="W1035" i="256"/>
  <c r="W1064" i="256" s="1"/>
  <c r="U1035" i="256"/>
  <c r="U1064" i="256" s="1"/>
  <c r="V1035" i="256"/>
  <c r="V1064" i="256" s="1"/>
  <c r="Y2" i="256"/>
  <c r="Y895" i="256" s="1"/>
  <c r="X2" i="256"/>
  <c r="X920" i="256" s="1"/>
  <c r="W2" i="256"/>
  <c r="W920" i="256" s="1"/>
  <c r="U2" i="256"/>
  <c r="U920" i="256" s="1"/>
  <c r="V2" i="256"/>
  <c r="V723" i="256" s="1"/>
  <c r="AA2" i="256"/>
  <c r="AA723" i="256" s="1"/>
  <c r="AB2" i="256"/>
  <c r="AB723" i="256" s="1"/>
  <c r="Z2" i="256"/>
  <c r="Z723" i="256" s="1"/>
  <c r="D5" i="231"/>
  <c r="E103" i="183" s="1"/>
  <c r="D6" i="231"/>
  <c r="E104" i="183" s="1"/>
  <c r="D7" i="231"/>
  <c r="E105" i="183" s="1"/>
  <c r="D8" i="231"/>
  <c r="E106" i="183" s="1"/>
  <c r="D9" i="231"/>
  <c r="E107" i="183" s="1"/>
  <c r="D10" i="231"/>
  <c r="E108" i="183" s="1"/>
  <c r="D11" i="231"/>
  <c r="E109" i="183" s="1"/>
  <c r="D12" i="231"/>
  <c r="E110" i="183" s="1"/>
  <c r="D13" i="231"/>
  <c r="E111" i="183" s="1"/>
  <c r="D14" i="231"/>
  <c r="E112" i="183" s="1"/>
  <c r="D15" i="231"/>
  <c r="E113" i="183" s="1"/>
  <c r="D16" i="231"/>
  <c r="E114" i="183" s="1"/>
  <c r="D17" i="231"/>
  <c r="E115" i="183" s="1"/>
  <c r="D18" i="231"/>
  <c r="E116" i="183" s="1"/>
  <c r="D19" i="231"/>
  <c r="E117" i="183" s="1"/>
  <c r="D20" i="231"/>
  <c r="E118" i="183" s="1"/>
  <c r="D21" i="231"/>
  <c r="E119" i="183" s="1"/>
  <c r="D22" i="231"/>
  <c r="E120" i="183" s="1"/>
  <c r="D23" i="231"/>
  <c r="E121" i="183" s="1"/>
  <c r="D24" i="231"/>
  <c r="E122" i="183" s="1"/>
  <c r="D25" i="231"/>
  <c r="E123" i="183" s="1"/>
  <c r="D26" i="231"/>
  <c r="E124" i="183" s="1"/>
  <c r="D27" i="231"/>
  <c r="E125" i="183" s="1"/>
  <c r="D28" i="231"/>
  <c r="E126" i="183" s="1"/>
  <c r="D29" i="231"/>
  <c r="E127" i="183" s="1"/>
  <c r="D30" i="231"/>
  <c r="E128" i="183" s="1"/>
  <c r="D31" i="231"/>
  <c r="E129" i="183" s="1"/>
  <c r="D32" i="231"/>
  <c r="E130" i="183" s="1"/>
  <c r="D33" i="231"/>
  <c r="E131" i="183" s="1"/>
  <c r="D34" i="231"/>
  <c r="E132" i="183" s="1"/>
  <c r="D35" i="231"/>
  <c r="E133" i="183" s="1"/>
  <c r="D4" i="231"/>
  <c r="E102" i="183" s="1"/>
  <c r="E4" i="231" s="1"/>
  <c r="J1637" i="256"/>
  <c r="I1637" i="256"/>
  <c r="B1637" i="256"/>
  <c r="J1636" i="256"/>
  <c r="I1636" i="256"/>
  <c r="B1636" i="256"/>
  <c r="J1635" i="256"/>
  <c r="I1635" i="256"/>
  <c r="B1635" i="256"/>
  <c r="O1664" i="256"/>
  <c r="O1662" i="256"/>
  <c r="J1664" i="256"/>
  <c r="I1664" i="256"/>
  <c r="B1664" i="256"/>
  <c r="J1663" i="256"/>
  <c r="I1663" i="256"/>
  <c r="B1663" i="256"/>
  <c r="J1662" i="256"/>
  <c r="I1662" i="256"/>
  <c r="B1662" i="256"/>
  <c r="J1661" i="256"/>
  <c r="I1661" i="256"/>
  <c r="B1661" i="256"/>
  <c r="O1660" i="256"/>
  <c r="J1660" i="256"/>
  <c r="I1660" i="256"/>
  <c r="B1660" i="256"/>
  <c r="J1659" i="256"/>
  <c r="I1659" i="256"/>
  <c r="B1659" i="256"/>
  <c r="O1657" i="256"/>
  <c r="O1651" i="256"/>
  <c r="O1652" i="256" s="1"/>
  <c r="O1648" i="256"/>
  <c r="O1649" i="256" s="1"/>
  <c r="J1658" i="256"/>
  <c r="I1658" i="256"/>
  <c r="B1658" i="256"/>
  <c r="J1657" i="256"/>
  <c r="I1657" i="256"/>
  <c r="B1657" i="256"/>
  <c r="J1656" i="256"/>
  <c r="I1656" i="256"/>
  <c r="B1656" i="256"/>
  <c r="J1655" i="256"/>
  <c r="I1655" i="256"/>
  <c r="B1655" i="256"/>
  <c r="J1654" i="256"/>
  <c r="I1654" i="256"/>
  <c r="B1654" i="256"/>
  <c r="J1653" i="256"/>
  <c r="I1653" i="256"/>
  <c r="B1653" i="256"/>
  <c r="J1652" i="256"/>
  <c r="I1652" i="256"/>
  <c r="B1652" i="256"/>
  <c r="J1651" i="256"/>
  <c r="I1651" i="256"/>
  <c r="B1651" i="256"/>
  <c r="J1650" i="256"/>
  <c r="I1650" i="256"/>
  <c r="B1650" i="256"/>
  <c r="J1646" i="256"/>
  <c r="I1646" i="256"/>
  <c r="B1646" i="256"/>
  <c r="J1645" i="256"/>
  <c r="I1645" i="256"/>
  <c r="B1645" i="256"/>
  <c r="J1644" i="256"/>
  <c r="I1644" i="256"/>
  <c r="B1644" i="256"/>
  <c r="J1643" i="256"/>
  <c r="I1643" i="256"/>
  <c r="B1643" i="256"/>
  <c r="J1642" i="256"/>
  <c r="I1642" i="256"/>
  <c r="B1642" i="256"/>
  <c r="J1641" i="256"/>
  <c r="I1641" i="256"/>
  <c r="B1641" i="256"/>
  <c r="J1640" i="256"/>
  <c r="I1640" i="256"/>
  <c r="B1640" i="256"/>
  <c r="J1639" i="256"/>
  <c r="I1639" i="256"/>
  <c r="B1639" i="256"/>
  <c r="J1638" i="256"/>
  <c r="I1638" i="256"/>
  <c r="B1638" i="256"/>
  <c r="J1634" i="256"/>
  <c r="I1634" i="256"/>
  <c r="B1634" i="256"/>
  <c r="J1633" i="256"/>
  <c r="I1633" i="256"/>
  <c r="B1633" i="256"/>
  <c r="J1610" i="256"/>
  <c r="I1610" i="256"/>
  <c r="B1610" i="256"/>
  <c r="J1609" i="256"/>
  <c r="I1609" i="256"/>
  <c r="B1609" i="256"/>
  <c r="J1608" i="256"/>
  <c r="I1608" i="256"/>
  <c r="B1608" i="256"/>
  <c r="J1607" i="256"/>
  <c r="I1607" i="256"/>
  <c r="B1607" i="256"/>
  <c r="J1606" i="256"/>
  <c r="I1606" i="256"/>
  <c r="B1606" i="256"/>
  <c r="J1605" i="256"/>
  <c r="I1605" i="256"/>
  <c r="B1605" i="256"/>
  <c r="J1632" i="256"/>
  <c r="I1632" i="256"/>
  <c r="B1632" i="256"/>
  <c r="J1631" i="256"/>
  <c r="I1631" i="256"/>
  <c r="B1631" i="256"/>
  <c r="J1630" i="256"/>
  <c r="I1630" i="256"/>
  <c r="B1630" i="256"/>
  <c r="J1629" i="256"/>
  <c r="I1629" i="256"/>
  <c r="B1629" i="256"/>
  <c r="J1628" i="256"/>
  <c r="I1628" i="256"/>
  <c r="B1628" i="256"/>
  <c r="J1627" i="256"/>
  <c r="I1627" i="256"/>
  <c r="B1627" i="256"/>
  <c r="J1626" i="256"/>
  <c r="I1626" i="256"/>
  <c r="B1626" i="256"/>
  <c r="J1625" i="256"/>
  <c r="I1625" i="256"/>
  <c r="B1625" i="256"/>
  <c r="J1624" i="256"/>
  <c r="I1624" i="256"/>
  <c r="B1624" i="256"/>
  <c r="J1647" i="256"/>
  <c r="I1647" i="256"/>
  <c r="B1647" i="256"/>
  <c r="J1623" i="256"/>
  <c r="I1623" i="256"/>
  <c r="B1623" i="256"/>
  <c r="J1622" i="256"/>
  <c r="I1622" i="256"/>
  <c r="B1622" i="256"/>
  <c r="J1621" i="256"/>
  <c r="I1621" i="256"/>
  <c r="B1621" i="256"/>
  <c r="J1620" i="256"/>
  <c r="I1620" i="256"/>
  <c r="B1620" i="256"/>
  <c r="J1619" i="256"/>
  <c r="I1619" i="256"/>
  <c r="B1619" i="256"/>
  <c r="J1618" i="256"/>
  <c r="I1618" i="256"/>
  <c r="B1618" i="256"/>
  <c r="J1617" i="256"/>
  <c r="I1617" i="256"/>
  <c r="B1617" i="256"/>
  <c r="J1616" i="256"/>
  <c r="I1616" i="256"/>
  <c r="B1616" i="256"/>
  <c r="J1615" i="256"/>
  <c r="I1615" i="256"/>
  <c r="B1615" i="256"/>
  <c r="J1614" i="256"/>
  <c r="I1614" i="256"/>
  <c r="B1614" i="256"/>
  <c r="J1613" i="256"/>
  <c r="I1613" i="256"/>
  <c r="B1613" i="256"/>
  <c r="J1612" i="256"/>
  <c r="I1612" i="256"/>
  <c r="B1612" i="256"/>
  <c r="J877" i="256"/>
  <c r="I877" i="256"/>
  <c r="B877" i="256"/>
  <c r="O876" i="256"/>
  <c r="O877" i="256" s="1"/>
  <c r="J876" i="256"/>
  <c r="I876" i="256"/>
  <c r="B876" i="256"/>
  <c r="J875" i="256"/>
  <c r="I875" i="256"/>
  <c r="B875" i="256"/>
  <c r="J874" i="256"/>
  <c r="I874" i="256"/>
  <c r="B874" i="256"/>
  <c r="O873" i="256"/>
  <c r="O874" i="256" s="1"/>
  <c r="J873" i="256"/>
  <c r="I873" i="256"/>
  <c r="B873" i="256"/>
  <c r="J872" i="256"/>
  <c r="I872" i="256"/>
  <c r="B872" i="256"/>
  <c r="X871" i="256"/>
  <c r="W871" i="256"/>
  <c r="V871" i="256"/>
  <c r="U871" i="256"/>
  <c r="L871" i="256"/>
  <c r="K871" i="256"/>
  <c r="A69" i="194"/>
  <c r="A68" i="194"/>
  <c r="A64" i="194"/>
  <c r="O856" i="256"/>
  <c r="J856" i="256"/>
  <c r="I856" i="256"/>
  <c r="B856" i="256"/>
  <c r="O843" i="256"/>
  <c r="J843" i="256"/>
  <c r="I843" i="256"/>
  <c r="B843" i="256"/>
  <c r="O830" i="256"/>
  <c r="J830" i="256"/>
  <c r="I830" i="256"/>
  <c r="B830" i="256"/>
  <c r="O815" i="256"/>
  <c r="J815" i="256"/>
  <c r="I815" i="256"/>
  <c r="B815" i="256"/>
  <c r="O808" i="256"/>
  <c r="J808" i="256"/>
  <c r="I808" i="256"/>
  <c r="B808" i="256"/>
  <c r="O801" i="256"/>
  <c r="J801" i="256"/>
  <c r="I801" i="256"/>
  <c r="B801" i="256"/>
  <c r="O785" i="256"/>
  <c r="H785" i="256"/>
  <c r="J785" i="256" s="1"/>
  <c r="B785" i="256"/>
  <c r="O781" i="256"/>
  <c r="H781" i="256"/>
  <c r="J781" i="256" s="1"/>
  <c r="B781" i="256"/>
  <c r="AA1209" i="256" l="1"/>
  <c r="AA1441" i="256"/>
  <c r="AA920" i="256"/>
  <c r="Y1122" i="256"/>
  <c r="U1238" i="256"/>
  <c r="AA1296" i="256"/>
  <c r="W1383" i="256"/>
  <c r="U1470" i="256"/>
  <c r="AA1528" i="256"/>
  <c r="W1579" i="256"/>
  <c r="Z819" i="256"/>
  <c r="Y983" i="256"/>
  <c r="Y1019" i="256"/>
  <c r="K728" i="256"/>
  <c r="X1122" i="256"/>
  <c r="W1238" i="256"/>
  <c r="U1325" i="256"/>
  <c r="AA1383" i="256"/>
  <c r="W1470" i="256"/>
  <c r="U1557" i="256"/>
  <c r="AA1579" i="256"/>
  <c r="W819" i="256"/>
  <c r="AA983" i="256"/>
  <c r="U723" i="256"/>
  <c r="K731" i="256"/>
  <c r="Z871" i="256"/>
  <c r="V1122" i="256"/>
  <c r="AA1238" i="256"/>
  <c r="AA1470" i="256"/>
  <c r="Y1027" i="256"/>
  <c r="W723" i="256"/>
  <c r="AA871" i="256"/>
  <c r="U1267" i="256"/>
  <c r="AA1325" i="256"/>
  <c r="W1412" i="256"/>
  <c r="U1499" i="256"/>
  <c r="AA1557" i="256"/>
  <c r="W1593" i="256"/>
  <c r="Y991" i="256"/>
  <c r="AA879" i="256"/>
  <c r="AB871" i="256"/>
  <c r="W1267" i="256"/>
  <c r="U1354" i="256"/>
  <c r="AA1412" i="256"/>
  <c r="W1499" i="256"/>
  <c r="U1568" i="256"/>
  <c r="AA991" i="256"/>
  <c r="AA887" i="256"/>
  <c r="K724" i="256"/>
  <c r="L724" i="256" s="1"/>
  <c r="L94" i="255"/>
  <c r="L98" i="255"/>
  <c r="L100" i="255"/>
  <c r="L99" i="255"/>
  <c r="L97" i="255"/>
  <c r="I740" i="256"/>
  <c r="K740" i="256" s="1"/>
  <c r="I746" i="256"/>
  <c r="K746" i="256" s="1"/>
  <c r="O738" i="256"/>
  <c r="O750" i="256"/>
  <c r="J747" i="256"/>
  <c r="K747" i="256" s="1"/>
  <c r="J741" i="256"/>
  <c r="K741" i="256" s="1"/>
  <c r="I738" i="256"/>
  <c r="J739" i="256"/>
  <c r="K739" i="256" s="1"/>
  <c r="J740" i="256"/>
  <c r="H753" i="256"/>
  <c r="J753" i="256" s="1"/>
  <c r="I736" i="256"/>
  <c r="K736" i="256" s="1"/>
  <c r="J736" i="256"/>
  <c r="O754" i="256"/>
  <c r="O751" i="256"/>
  <c r="O748" i="256"/>
  <c r="H756" i="256"/>
  <c r="J744" i="256"/>
  <c r="I744" i="256"/>
  <c r="J748" i="256"/>
  <c r="I748" i="256"/>
  <c r="J758" i="256"/>
  <c r="I758" i="256"/>
  <c r="K758" i="256" s="1"/>
  <c r="I754" i="256"/>
  <c r="J754" i="256"/>
  <c r="I755" i="256"/>
  <c r="K755" i="256" s="1"/>
  <c r="J755" i="256"/>
  <c r="J750" i="256"/>
  <c r="I750" i="256"/>
  <c r="J757" i="256"/>
  <c r="I757" i="256"/>
  <c r="K757" i="256" s="1"/>
  <c r="J749" i="256"/>
  <c r="I749" i="256"/>
  <c r="K749" i="256" s="1"/>
  <c r="J752" i="256"/>
  <c r="I752" i="256"/>
  <c r="Y887" i="256"/>
  <c r="V1209" i="256"/>
  <c r="V1238" i="256"/>
  <c r="V1267" i="256"/>
  <c r="V1296" i="256"/>
  <c r="V1325" i="256"/>
  <c r="V1354" i="256"/>
  <c r="V1383" i="256"/>
  <c r="V1412" i="256"/>
  <c r="V1441" i="256"/>
  <c r="V1470" i="256"/>
  <c r="V1499" i="256"/>
  <c r="V1528" i="256"/>
  <c r="V1557" i="256"/>
  <c r="V1568" i="256"/>
  <c r="V1579" i="256"/>
  <c r="X819" i="256"/>
  <c r="X975" i="256"/>
  <c r="Z983" i="256"/>
  <c r="Z991" i="256"/>
  <c r="Z999" i="256"/>
  <c r="Z1019" i="256"/>
  <c r="Z879" i="256"/>
  <c r="Z887" i="256"/>
  <c r="Z895" i="256"/>
  <c r="Z912" i="256"/>
  <c r="Z920" i="256"/>
  <c r="X723" i="256"/>
  <c r="J732" i="256"/>
  <c r="K732" i="256" s="1"/>
  <c r="I737" i="256"/>
  <c r="J738" i="256"/>
  <c r="I745" i="256"/>
  <c r="K745" i="256" s="1"/>
  <c r="J746" i="256"/>
  <c r="O749" i="256"/>
  <c r="I753" i="256"/>
  <c r="K753" i="256" s="1"/>
  <c r="O757" i="256"/>
  <c r="Y871" i="256"/>
  <c r="AA860" i="256"/>
  <c r="AA999" i="256"/>
  <c r="AA1019" i="256"/>
  <c r="AA1027" i="256"/>
  <c r="Y723" i="256"/>
  <c r="J737" i="256"/>
  <c r="J745" i="256"/>
  <c r="H751" i="256"/>
  <c r="H759" i="256"/>
  <c r="Y920" i="256"/>
  <c r="X1209" i="256"/>
  <c r="X1238" i="256"/>
  <c r="X1267" i="256"/>
  <c r="X1296" i="256"/>
  <c r="X1325" i="256"/>
  <c r="X1354" i="256"/>
  <c r="X1383" i="256"/>
  <c r="X1412" i="256"/>
  <c r="X1441" i="256"/>
  <c r="X1470" i="256"/>
  <c r="X1499" i="256"/>
  <c r="X1528" i="256"/>
  <c r="X1557" i="256"/>
  <c r="X1568" i="256"/>
  <c r="X1579" i="256"/>
  <c r="AB860" i="256"/>
  <c r="AB983" i="256"/>
  <c r="AB991" i="256"/>
  <c r="AB999" i="256"/>
  <c r="AB1019" i="256"/>
  <c r="AB1027" i="256"/>
  <c r="AB879" i="256"/>
  <c r="AB887" i="256"/>
  <c r="AB895" i="256"/>
  <c r="AB912" i="256"/>
  <c r="AB920" i="256"/>
  <c r="I743" i="256"/>
  <c r="Y879" i="256"/>
  <c r="Y1209" i="256"/>
  <c r="Y1238" i="256"/>
  <c r="Y1267" i="256"/>
  <c r="Y1296" i="256"/>
  <c r="Y1325" i="256"/>
  <c r="Y1354" i="256"/>
  <c r="Y1383" i="256"/>
  <c r="Y1412" i="256"/>
  <c r="Y1441" i="256"/>
  <c r="Y1470" i="256"/>
  <c r="Y1499" i="256"/>
  <c r="Y1528" i="256"/>
  <c r="Y1557" i="256"/>
  <c r="Y1568" i="256"/>
  <c r="Y1579" i="256"/>
  <c r="U819" i="256"/>
  <c r="U975" i="256"/>
  <c r="U983" i="256"/>
  <c r="U991" i="256"/>
  <c r="U999" i="256"/>
  <c r="U1019" i="256"/>
  <c r="U879" i="256"/>
  <c r="U887" i="256"/>
  <c r="U895" i="256"/>
  <c r="U912" i="256"/>
  <c r="I742" i="256"/>
  <c r="K742" i="256" s="1"/>
  <c r="J743" i="256"/>
  <c r="Y819" i="256"/>
  <c r="Y912" i="256"/>
  <c r="Z1209" i="256"/>
  <c r="Z1238" i="256"/>
  <c r="Z1267" i="256"/>
  <c r="Z1296" i="256"/>
  <c r="Z1325" i="256"/>
  <c r="Z1354" i="256"/>
  <c r="Z1383" i="256"/>
  <c r="Z1412" i="256"/>
  <c r="Z1441" i="256"/>
  <c r="Z1470" i="256"/>
  <c r="Z1499" i="256"/>
  <c r="Z1528" i="256"/>
  <c r="Z1557" i="256"/>
  <c r="Z1568" i="256"/>
  <c r="Z1579" i="256"/>
  <c r="V983" i="256"/>
  <c r="V991" i="256"/>
  <c r="V999" i="256"/>
  <c r="V1019" i="256"/>
  <c r="V879" i="256"/>
  <c r="V887" i="256"/>
  <c r="V895" i="256"/>
  <c r="V912" i="256"/>
  <c r="V920" i="256"/>
  <c r="J742" i="256"/>
  <c r="W879" i="256"/>
  <c r="W887" i="256"/>
  <c r="W895" i="256"/>
  <c r="W912" i="256"/>
  <c r="AB1209" i="256"/>
  <c r="AB1238" i="256"/>
  <c r="AB1267" i="256"/>
  <c r="AB1296" i="256"/>
  <c r="AB1325" i="256"/>
  <c r="AB1354" i="256"/>
  <c r="AB1383" i="256"/>
  <c r="AB1412" i="256"/>
  <c r="AB1441" i="256"/>
  <c r="AB1470" i="256"/>
  <c r="AB1499" i="256"/>
  <c r="AB1528" i="256"/>
  <c r="AB1557" i="256"/>
  <c r="AB1568" i="256"/>
  <c r="AB1579" i="256"/>
  <c r="AB1593" i="256"/>
  <c r="X983" i="256"/>
  <c r="X991" i="256"/>
  <c r="X999" i="256"/>
  <c r="X1019" i="256"/>
  <c r="X879" i="256"/>
  <c r="X887" i="256"/>
  <c r="X895" i="256"/>
  <c r="X912" i="256"/>
  <c r="K873" i="256"/>
  <c r="L873" i="256" s="1"/>
  <c r="K872" i="256"/>
  <c r="L872" i="256" s="1"/>
  <c r="K877" i="256"/>
  <c r="L877" i="256" s="1"/>
  <c r="K876" i="256"/>
  <c r="L876" i="256" s="1"/>
  <c r="K875" i="256"/>
  <c r="L875" i="256" s="1"/>
  <c r="K874" i="256"/>
  <c r="L874" i="256" s="1"/>
  <c r="A72" i="194"/>
  <c r="A62" i="194"/>
  <c r="A66" i="194"/>
  <c r="I781" i="256"/>
  <c r="K781" i="256" s="1"/>
  <c r="I785" i="256"/>
  <c r="K785" i="256" s="1"/>
  <c r="J658" i="256"/>
  <c r="I658" i="256"/>
  <c r="B658" i="256"/>
  <c r="J657" i="256"/>
  <c r="I657" i="256"/>
  <c r="B657" i="256"/>
  <c r="J656" i="256"/>
  <c r="I656" i="256"/>
  <c r="K656" i="256" s="1"/>
  <c r="B656" i="256"/>
  <c r="J655" i="256"/>
  <c r="I655" i="256"/>
  <c r="K655" i="256" s="1"/>
  <c r="B655" i="256"/>
  <c r="J654" i="256"/>
  <c r="I654" i="256"/>
  <c r="K654" i="256" s="1"/>
  <c r="B654" i="256"/>
  <c r="J653" i="256"/>
  <c r="I653" i="256"/>
  <c r="B653" i="256"/>
  <c r="AB652" i="256"/>
  <c r="AA652" i="256"/>
  <c r="Z652" i="256"/>
  <c r="Y652" i="256"/>
  <c r="X652" i="256"/>
  <c r="W652" i="256"/>
  <c r="V652" i="256"/>
  <c r="U652" i="256"/>
  <c r="L652" i="256"/>
  <c r="H115" i="256"/>
  <c r="J115" i="256" s="1"/>
  <c r="H116" i="256"/>
  <c r="J116" i="256" s="1"/>
  <c r="H117" i="256"/>
  <c r="I117" i="256" s="1"/>
  <c r="H118" i="256"/>
  <c r="I118" i="256" s="1"/>
  <c r="H119" i="256"/>
  <c r="J119" i="256" s="1"/>
  <c r="H121" i="256"/>
  <c r="J121" i="256" s="1"/>
  <c r="H122" i="256"/>
  <c r="I122" i="256" s="1"/>
  <c r="H123" i="256"/>
  <c r="J123" i="256" s="1"/>
  <c r="H124" i="256"/>
  <c r="J124" i="256" s="1"/>
  <c r="H125" i="256"/>
  <c r="I125" i="256" s="1"/>
  <c r="H126" i="256"/>
  <c r="J126" i="256" s="1"/>
  <c r="H114" i="256"/>
  <c r="J114" i="256" s="1"/>
  <c r="O115" i="256"/>
  <c r="O116" i="256"/>
  <c r="O117" i="256"/>
  <c r="O118" i="256"/>
  <c r="O119" i="256"/>
  <c r="O120" i="256"/>
  <c r="O121" i="256"/>
  <c r="O122" i="256"/>
  <c r="O123" i="256"/>
  <c r="O124" i="256"/>
  <c r="O125" i="256"/>
  <c r="O126" i="256"/>
  <c r="O127" i="256"/>
  <c r="O114" i="256"/>
  <c r="B127" i="256"/>
  <c r="B126" i="256"/>
  <c r="B125" i="256"/>
  <c r="B124" i="256"/>
  <c r="B123" i="256"/>
  <c r="B122" i="256"/>
  <c r="B121" i="256"/>
  <c r="B120" i="256"/>
  <c r="B119" i="256"/>
  <c r="J118" i="256"/>
  <c r="B118" i="256"/>
  <c r="B117" i="256"/>
  <c r="B116" i="256"/>
  <c r="B115" i="256"/>
  <c r="B114" i="256"/>
  <c r="AB113" i="256"/>
  <c r="AA113" i="256"/>
  <c r="Z113" i="256"/>
  <c r="Y113" i="256"/>
  <c r="X113" i="256"/>
  <c r="W113" i="256"/>
  <c r="V113" i="256"/>
  <c r="U113" i="256"/>
  <c r="L113" i="256"/>
  <c r="J1700" i="256"/>
  <c r="I1700" i="256"/>
  <c r="B1700" i="256"/>
  <c r="J1699" i="256"/>
  <c r="I1699" i="256"/>
  <c r="B1699" i="256"/>
  <c r="J1698" i="256"/>
  <c r="I1698" i="256"/>
  <c r="B1698" i="256"/>
  <c r="J1697" i="256"/>
  <c r="I1697" i="256"/>
  <c r="B1697" i="256"/>
  <c r="J1696" i="256"/>
  <c r="I1696" i="256"/>
  <c r="B1696" i="256"/>
  <c r="J1695" i="256"/>
  <c r="I1695" i="256"/>
  <c r="B1695" i="256"/>
  <c r="J1694" i="256"/>
  <c r="I1694" i="256"/>
  <c r="B1694" i="256"/>
  <c r="J1693" i="256"/>
  <c r="I1693" i="256"/>
  <c r="B1693" i="256"/>
  <c r="J1692" i="256"/>
  <c r="I1692" i="256"/>
  <c r="B1692" i="256"/>
  <c r="J1691" i="256"/>
  <c r="I1691" i="256"/>
  <c r="B1691" i="256"/>
  <c r="AB1690" i="256"/>
  <c r="AA1690" i="256"/>
  <c r="Z1690" i="256"/>
  <c r="Y1690" i="256"/>
  <c r="X1690" i="256"/>
  <c r="W1690" i="256"/>
  <c r="V1690" i="256"/>
  <c r="U1690" i="256"/>
  <c r="L1690" i="256"/>
  <c r="K1690" i="256"/>
  <c r="J1676" i="256"/>
  <c r="I1676" i="256"/>
  <c r="B1676" i="256"/>
  <c r="J1675" i="256"/>
  <c r="I1675" i="256"/>
  <c r="B1675" i="256"/>
  <c r="J1674" i="256"/>
  <c r="I1674" i="256"/>
  <c r="B1674" i="256"/>
  <c r="J1673" i="256"/>
  <c r="I1673" i="256"/>
  <c r="B1673" i="256"/>
  <c r="J1672" i="256"/>
  <c r="I1672" i="256"/>
  <c r="B1672" i="256"/>
  <c r="J1671" i="256"/>
  <c r="I1671" i="256"/>
  <c r="B1671" i="256"/>
  <c r="J1670" i="256"/>
  <c r="I1670" i="256"/>
  <c r="B1670" i="256"/>
  <c r="J1669" i="256"/>
  <c r="I1669" i="256"/>
  <c r="B1669" i="256"/>
  <c r="J1668" i="256"/>
  <c r="I1668" i="256"/>
  <c r="B1668" i="256"/>
  <c r="J1667" i="256"/>
  <c r="I1667" i="256"/>
  <c r="B1667" i="256"/>
  <c r="AB1666" i="256"/>
  <c r="AA1666" i="256"/>
  <c r="Z1666" i="256"/>
  <c r="Y1666" i="256"/>
  <c r="X1666" i="256"/>
  <c r="W1666" i="256"/>
  <c r="V1666" i="256"/>
  <c r="U1666" i="256"/>
  <c r="L1666" i="256"/>
  <c r="K1666" i="256"/>
  <c r="J1649" i="256"/>
  <c r="I1649" i="256"/>
  <c r="B1649" i="256"/>
  <c r="J1648" i="256"/>
  <c r="I1648" i="256"/>
  <c r="B1648" i="256"/>
  <c r="J1611" i="256"/>
  <c r="I1611" i="256"/>
  <c r="B1611" i="256"/>
  <c r="J1604" i="256"/>
  <c r="I1604" i="256"/>
  <c r="B1604" i="256"/>
  <c r="J1603" i="256"/>
  <c r="I1603" i="256"/>
  <c r="B1603" i="256"/>
  <c r="J1602" i="256"/>
  <c r="I1602" i="256"/>
  <c r="B1602" i="256"/>
  <c r="J1601" i="256"/>
  <c r="I1601" i="256"/>
  <c r="B1601" i="256"/>
  <c r="J1600" i="256"/>
  <c r="I1600" i="256"/>
  <c r="B1600" i="256"/>
  <c r="J1599" i="256"/>
  <c r="I1599" i="256"/>
  <c r="B1599" i="256"/>
  <c r="L1598" i="256"/>
  <c r="K1598" i="256"/>
  <c r="J1688" i="256"/>
  <c r="I1688" i="256"/>
  <c r="B1688" i="256"/>
  <c r="J1687" i="256"/>
  <c r="I1687" i="256"/>
  <c r="B1687" i="256"/>
  <c r="J1686" i="256"/>
  <c r="I1686" i="256"/>
  <c r="B1686" i="256"/>
  <c r="J1685" i="256"/>
  <c r="I1685" i="256"/>
  <c r="B1685" i="256"/>
  <c r="J1684" i="256"/>
  <c r="I1684" i="256"/>
  <c r="B1684" i="256"/>
  <c r="J1683" i="256"/>
  <c r="I1683" i="256"/>
  <c r="B1683" i="256"/>
  <c r="J1682" i="256"/>
  <c r="I1682" i="256"/>
  <c r="B1682" i="256"/>
  <c r="J1681" i="256"/>
  <c r="I1681" i="256"/>
  <c r="B1681" i="256"/>
  <c r="J1680" i="256"/>
  <c r="I1680" i="256"/>
  <c r="B1680" i="256"/>
  <c r="J1679" i="256"/>
  <c r="I1679" i="256"/>
  <c r="B1679" i="256"/>
  <c r="AB1678" i="256"/>
  <c r="AA1678" i="256"/>
  <c r="Z1678" i="256"/>
  <c r="Y1678" i="256"/>
  <c r="X1678" i="256"/>
  <c r="W1678" i="256"/>
  <c r="V1678" i="256"/>
  <c r="U1678" i="256"/>
  <c r="L1678" i="256"/>
  <c r="K1678" i="256"/>
  <c r="J1596" i="256"/>
  <c r="I1596" i="256"/>
  <c r="B1596" i="256"/>
  <c r="J1595" i="256"/>
  <c r="I1595" i="256"/>
  <c r="B1595" i="256"/>
  <c r="J1594" i="256"/>
  <c r="I1594" i="256"/>
  <c r="B1594" i="256"/>
  <c r="L1593" i="256"/>
  <c r="K1593" i="256"/>
  <c r="P1563" i="256"/>
  <c r="P1562" i="256"/>
  <c r="P1561" i="256"/>
  <c r="P1560" i="256"/>
  <c r="P1559" i="256"/>
  <c r="P1574" i="256"/>
  <c r="P1573" i="256"/>
  <c r="P1572" i="256"/>
  <c r="P1571" i="256"/>
  <c r="P1570" i="256"/>
  <c r="P1569" i="256"/>
  <c r="P1585" i="256"/>
  <c r="P1584" i="256"/>
  <c r="P1583" i="256"/>
  <c r="P1582" i="256"/>
  <c r="P1581" i="256"/>
  <c r="P1580" i="256"/>
  <c r="J1591" i="256"/>
  <c r="I1591" i="256"/>
  <c r="B1591" i="256"/>
  <c r="J1590" i="256"/>
  <c r="I1590" i="256"/>
  <c r="B1590" i="256"/>
  <c r="J1589" i="256"/>
  <c r="I1589" i="256"/>
  <c r="B1589" i="256"/>
  <c r="J1588" i="256"/>
  <c r="I1588" i="256"/>
  <c r="B1588" i="256"/>
  <c r="J1587" i="256"/>
  <c r="I1587" i="256"/>
  <c r="B1587" i="256"/>
  <c r="J1586" i="256"/>
  <c r="I1586" i="256"/>
  <c r="B1586" i="256"/>
  <c r="J1585" i="256"/>
  <c r="I1585" i="256"/>
  <c r="B1585" i="256"/>
  <c r="J1584" i="256"/>
  <c r="I1584" i="256"/>
  <c r="B1584" i="256"/>
  <c r="O1550" i="256"/>
  <c r="O1553" i="256" s="1"/>
  <c r="O1549" i="256"/>
  <c r="O1552" i="256" s="1"/>
  <c r="O1555" i="256" s="1"/>
  <c r="O1548" i="256"/>
  <c r="O1551" i="256" s="1"/>
  <c r="O1554" i="256" s="1"/>
  <c r="O1541" i="256"/>
  <c r="O1544" i="256" s="1"/>
  <c r="O1540" i="256"/>
  <c r="O1543" i="256" s="1"/>
  <c r="O1546" i="256" s="1"/>
  <c r="O1539" i="256"/>
  <c r="O1542" i="256" s="1"/>
  <c r="O1545" i="256" s="1"/>
  <c r="O1532" i="256"/>
  <c r="O1535" i="256" s="1"/>
  <c r="O1531" i="256"/>
  <c r="O1534" i="256" s="1"/>
  <c r="O1537" i="256" s="1"/>
  <c r="O1530" i="256"/>
  <c r="O1533" i="256" s="1"/>
  <c r="O1536" i="256" s="1"/>
  <c r="J1555" i="256"/>
  <c r="I1555" i="256"/>
  <c r="B1555" i="256"/>
  <c r="J1554" i="256"/>
  <c r="I1554" i="256"/>
  <c r="B1554" i="256"/>
  <c r="J1553" i="256"/>
  <c r="I1553" i="256"/>
  <c r="B1553" i="256"/>
  <c r="J1552" i="256"/>
  <c r="I1552" i="256"/>
  <c r="B1552" i="256"/>
  <c r="J1551" i="256"/>
  <c r="I1551" i="256"/>
  <c r="B1551" i="256"/>
  <c r="J1550" i="256"/>
  <c r="I1550" i="256"/>
  <c r="B1550" i="256"/>
  <c r="J1549" i="256"/>
  <c r="I1549" i="256"/>
  <c r="B1549" i="256"/>
  <c r="J1548" i="256"/>
  <c r="I1548" i="256"/>
  <c r="B1548" i="256"/>
  <c r="J1547" i="256"/>
  <c r="I1547" i="256"/>
  <c r="B1547" i="256"/>
  <c r="J1546" i="256"/>
  <c r="I1546" i="256"/>
  <c r="B1546" i="256"/>
  <c r="J1545" i="256"/>
  <c r="I1545" i="256"/>
  <c r="B1545" i="256"/>
  <c r="J1544" i="256"/>
  <c r="I1544" i="256"/>
  <c r="B1544" i="256"/>
  <c r="J1543" i="256"/>
  <c r="I1543" i="256"/>
  <c r="B1543" i="256"/>
  <c r="J1542" i="256"/>
  <c r="I1542" i="256"/>
  <c r="B1542" i="256"/>
  <c r="J1541" i="256"/>
  <c r="I1541" i="256"/>
  <c r="B1541" i="256"/>
  <c r="J1540" i="256"/>
  <c r="I1540" i="256"/>
  <c r="B1540" i="256"/>
  <c r="J1539" i="256"/>
  <c r="I1539" i="256"/>
  <c r="B1539" i="256"/>
  <c r="J1538" i="256"/>
  <c r="I1538" i="256"/>
  <c r="B1538" i="256"/>
  <c r="J1537" i="256"/>
  <c r="I1537" i="256"/>
  <c r="B1537" i="256"/>
  <c r="J1536" i="256"/>
  <c r="I1536" i="256"/>
  <c r="B1536" i="256"/>
  <c r="J1535" i="256"/>
  <c r="I1535" i="256"/>
  <c r="B1535" i="256"/>
  <c r="J1534" i="256"/>
  <c r="I1534" i="256"/>
  <c r="B1534" i="256"/>
  <c r="J1533" i="256"/>
  <c r="I1533" i="256"/>
  <c r="B1533" i="256"/>
  <c r="O1521" i="256"/>
  <c r="O1524" i="256" s="1"/>
  <c r="O1520" i="256"/>
  <c r="O1523" i="256" s="1"/>
  <c r="O1526" i="256" s="1"/>
  <c r="O1519" i="256"/>
  <c r="O1522" i="256" s="1"/>
  <c r="O1525" i="256" s="1"/>
  <c r="O1512" i="256"/>
  <c r="O1515" i="256" s="1"/>
  <c r="O1511" i="256"/>
  <c r="O1514" i="256" s="1"/>
  <c r="O1517" i="256" s="1"/>
  <c r="O1510" i="256"/>
  <c r="O1513" i="256" s="1"/>
  <c r="O1516" i="256" s="1"/>
  <c r="O1503" i="256"/>
  <c r="O1506" i="256" s="1"/>
  <c r="O1502" i="256"/>
  <c r="O1505" i="256" s="1"/>
  <c r="O1508" i="256" s="1"/>
  <c r="O1501" i="256"/>
  <c r="O1504" i="256" s="1"/>
  <c r="O1507" i="256" s="1"/>
  <c r="J1526" i="256"/>
  <c r="I1526" i="256"/>
  <c r="B1526" i="256"/>
  <c r="J1525" i="256"/>
  <c r="I1525" i="256"/>
  <c r="B1525" i="256"/>
  <c r="J1524" i="256"/>
  <c r="I1524" i="256"/>
  <c r="B1524" i="256"/>
  <c r="J1523" i="256"/>
  <c r="I1523" i="256"/>
  <c r="B1523" i="256"/>
  <c r="J1522" i="256"/>
  <c r="I1522" i="256"/>
  <c r="B1522" i="256"/>
  <c r="J1521" i="256"/>
  <c r="I1521" i="256"/>
  <c r="B1521" i="256"/>
  <c r="J1520" i="256"/>
  <c r="I1520" i="256"/>
  <c r="B1520" i="256"/>
  <c r="J1519" i="256"/>
  <c r="I1519" i="256"/>
  <c r="B1519" i="256"/>
  <c r="J1518" i="256"/>
  <c r="I1518" i="256"/>
  <c r="B1518" i="256"/>
  <c r="J1517" i="256"/>
  <c r="I1517" i="256"/>
  <c r="B1517" i="256"/>
  <c r="J1516" i="256"/>
  <c r="I1516" i="256"/>
  <c r="B1516" i="256"/>
  <c r="J1515" i="256"/>
  <c r="I1515" i="256"/>
  <c r="B1515" i="256"/>
  <c r="J1514" i="256"/>
  <c r="I1514" i="256"/>
  <c r="B1514" i="256"/>
  <c r="J1513" i="256"/>
  <c r="I1513" i="256"/>
  <c r="B1513" i="256"/>
  <c r="J1512" i="256"/>
  <c r="I1512" i="256"/>
  <c r="B1512" i="256"/>
  <c r="J1511" i="256"/>
  <c r="I1511" i="256"/>
  <c r="B1511" i="256"/>
  <c r="J1510" i="256"/>
  <c r="I1510" i="256"/>
  <c r="B1510" i="256"/>
  <c r="J1509" i="256"/>
  <c r="I1509" i="256"/>
  <c r="B1509" i="256"/>
  <c r="J1508" i="256"/>
  <c r="I1508" i="256"/>
  <c r="B1508" i="256"/>
  <c r="J1507" i="256"/>
  <c r="I1507" i="256"/>
  <c r="B1507" i="256"/>
  <c r="J1506" i="256"/>
  <c r="I1506" i="256"/>
  <c r="B1506" i="256"/>
  <c r="J1505" i="256"/>
  <c r="I1505" i="256"/>
  <c r="B1505" i="256"/>
  <c r="J1504" i="256"/>
  <c r="I1504" i="256"/>
  <c r="B1504" i="256"/>
  <c r="J1503" i="256"/>
  <c r="I1503" i="256"/>
  <c r="B1503" i="256"/>
  <c r="O1492" i="256"/>
  <c r="O1495" i="256" s="1"/>
  <c r="O1490" i="256"/>
  <c r="O1493" i="256" s="1"/>
  <c r="O1496" i="256" s="1"/>
  <c r="O1483" i="256"/>
  <c r="O1486" i="256" s="1"/>
  <c r="O1481" i="256"/>
  <c r="O1484" i="256" s="1"/>
  <c r="O1487" i="256" s="1"/>
  <c r="O1474" i="256"/>
  <c r="O1477" i="256" s="1"/>
  <c r="O1472" i="256"/>
  <c r="O1475" i="256" s="1"/>
  <c r="O1478" i="256" s="1"/>
  <c r="J1577" i="256"/>
  <c r="I1577" i="256"/>
  <c r="B1577" i="256"/>
  <c r="J1576" i="256"/>
  <c r="I1576" i="256"/>
  <c r="B1576" i="256"/>
  <c r="J1575" i="256"/>
  <c r="I1575" i="256"/>
  <c r="B1575" i="256"/>
  <c r="J1574" i="256"/>
  <c r="I1574" i="256"/>
  <c r="B1574" i="256"/>
  <c r="J1573" i="256"/>
  <c r="I1573" i="256"/>
  <c r="B1573" i="256"/>
  <c r="J1572" i="256"/>
  <c r="I1572" i="256"/>
  <c r="B1572" i="256"/>
  <c r="J1571" i="256"/>
  <c r="I1571" i="256"/>
  <c r="B1571" i="256"/>
  <c r="J1570" i="256"/>
  <c r="I1570" i="256"/>
  <c r="B1570" i="256"/>
  <c r="J1569" i="256"/>
  <c r="I1569" i="256"/>
  <c r="B1569" i="256"/>
  <c r="L1568" i="256"/>
  <c r="K1568" i="256"/>
  <c r="J1566" i="256"/>
  <c r="I1566" i="256"/>
  <c r="B1566" i="256"/>
  <c r="J1565" i="256"/>
  <c r="I1565" i="256"/>
  <c r="B1565" i="256"/>
  <c r="J1564" i="256"/>
  <c r="I1564" i="256"/>
  <c r="B1564" i="256"/>
  <c r="J1563" i="256"/>
  <c r="I1563" i="256"/>
  <c r="B1563" i="256"/>
  <c r="J1562" i="256"/>
  <c r="I1562" i="256"/>
  <c r="B1562" i="256"/>
  <c r="J1561" i="256"/>
  <c r="I1561" i="256"/>
  <c r="B1561" i="256"/>
  <c r="J1560" i="256"/>
  <c r="I1560" i="256"/>
  <c r="B1560" i="256"/>
  <c r="J1559" i="256"/>
  <c r="I1559" i="256"/>
  <c r="B1559" i="256"/>
  <c r="J1558" i="256"/>
  <c r="I1558" i="256"/>
  <c r="B1558" i="256"/>
  <c r="L1557" i="256"/>
  <c r="K1557" i="256"/>
  <c r="J1532" i="256"/>
  <c r="I1532" i="256"/>
  <c r="B1532" i="256"/>
  <c r="J1531" i="256"/>
  <c r="I1531" i="256"/>
  <c r="B1531" i="256"/>
  <c r="J1530" i="256"/>
  <c r="I1530" i="256"/>
  <c r="B1530" i="256"/>
  <c r="J1529" i="256"/>
  <c r="I1529" i="256"/>
  <c r="B1529" i="256"/>
  <c r="L1528" i="256"/>
  <c r="K1528" i="256"/>
  <c r="J1502" i="256"/>
  <c r="I1502" i="256"/>
  <c r="B1502" i="256"/>
  <c r="J1501" i="256"/>
  <c r="I1501" i="256"/>
  <c r="B1501" i="256"/>
  <c r="J1500" i="256"/>
  <c r="I1500" i="256"/>
  <c r="B1500" i="256"/>
  <c r="L1499" i="256"/>
  <c r="K1499" i="256"/>
  <c r="J1583" i="256"/>
  <c r="I1583" i="256"/>
  <c r="B1583" i="256"/>
  <c r="J1582" i="256"/>
  <c r="I1582" i="256"/>
  <c r="B1582" i="256"/>
  <c r="J1581" i="256"/>
  <c r="I1581" i="256"/>
  <c r="B1581" i="256"/>
  <c r="J1580" i="256"/>
  <c r="I1580" i="256"/>
  <c r="B1580" i="256"/>
  <c r="L1579" i="256"/>
  <c r="K1579" i="256"/>
  <c r="J1497" i="256"/>
  <c r="I1497" i="256"/>
  <c r="B1497" i="256"/>
  <c r="J1496" i="256"/>
  <c r="I1496" i="256"/>
  <c r="B1496" i="256"/>
  <c r="J1495" i="256"/>
  <c r="I1495" i="256"/>
  <c r="B1495" i="256"/>
  <c r="J1494" i="256"/>
  <c r="I1494" i="256"/>
  <c r="B1494" i="256"/>
  <c r="J1493" i="256"/>
  <c r="I1493" i="256"/>
  <c r="B1493" i="256"/>
  <c r="J1492" i="256"/>
  <c r="I1492" i="256"/>
  <c r="B1492" i="256"/>
  <c r="J1491" i="256"/>
  <c r="I1491" i="256"/>
  <c r="B1491" i="256"/>
  <c r="J1490" i="256"/>
  <c r="I1490" i="256"/>
  <c r="B1490" i="256"/>
  <c r="J1489" i="256"/>
  <c r="I1489" i="256"/>
  <c r="B1489" i="256"/>
  <c r="J1488" i="256"/>
  <c r="I1488" i="256"/>
  <c r="B1488" i="256"/>
  <c r="J1487" i="256"/>
  <c r="I1487" i="256"/>
  <c r="B1487" i="256"/>
  <c r="J1486" i="256"/>
  <c r="I1486" i="256"/>
  <c r="B1486" i="256"/>
  <c r="J1485" i="256"/>
  <c r="I1485" i="256"/>
  <c r="B1485" i="256"/>
  <c r="J1484" i="256"/>
  <c r="I1484" i="256"/>
  <c r="B1484" i="256"/>
  <c r="J1483" i="256"/>
  <c r="I1483" i="256"/>
  <c r="B1483" i="256"/>
  <c r="J1482" i="256"/>
  <c r="I1482" i="256"/>
  <c r="B1482" i="256"/>
  <c r="J1481" i="256"/>
  <c r="I1481" i="256"/>
  <c r="B1481" i="256"/>
  <c r="J1480" i="256"/>
  <c r="I1480" i="256"/>
  <c r="B1480" i="256"/>
  <c r="J1479" i="256"/>
  <c r="I1479" i="256"/>
  <c r="B1479" i="256"/>
  <c r="J1478" i="256"/>
  <c r="I1478" i="256"/>
  <c r="B1478" i="256"/>
  <c r="J1477" i="256"/>
  <c r="I1477" i="256"/>
  <c r="B1477" i="256"/>
  <c r="J1476" i="256"/>
  <c r="I1476" i="256"/>
  <c r="B1476" i="256"/>
  <c r="J1475" i="256"/>
  <c r="I1475" i="256"/>
  <c r="B1475" i="256"/>
  <c r="J1474" i="256"/>
  <c r="I1474" i="256"/>
  <c r="B1474" i="256"/>
  <c r="J1473" i="256"/>
  <c r="I1473" i="256"/>
  <c r="B1473" i="256"/>
  <c r="O1462" i="256"/>
  <c r="O1465" i="256" s="1"/>
  <c r="O1468" i="256" s="1"/>
  <c r="O1461" i="256"/>
  <c r="O1464" i="256" s="1"/>
  <c r="O1467" i="256" s="1"/>
  <c r="O1460" i="256"/>
  <c r="O1463" i="256" s="1"/>
  <c r="O1466" i="256" s="1"/>
  <c r="O1453" i="256"/>
  <c r="O1456" i="256" s="1"/>
  <c r="O1459" i="256" s="1"/>
  <c r="O1452" i="256"/>
  <c r="O1455" i="256" s="1"/>
  <c r="O1458" i="256" s="1"/>
  <c r="O1451" i="256"/>
  <c r="O1454" i="256" s="1"/>
  <c r="O1457" i="256" s="1"/>
  <c r="O1444" i="256"/>
  <c r="O1447" i="256" s="1"/>
  <c r="O1450" i="256" s="1"/>
  <c r="O1443" i="256"/>
  <c r="O1446" i="256" s="1"/>
  <c r="O1449" i="256" s="1"/>
  <c r="O1442" i="256"/>
  <c r="O1445" i="256" s="1"/>
  <c r="O1448" i="256" s="1"/>
  <c r="J1468" i="256"/>
  <c r="I1468" i="256"/>
  <c r="B1468" i="256"/>
  <c r="J1467" i="256"/>
  <c r="I1467" i="256"/>
  <c r="B1467" i="256"/>
  <c r="J1466" i="256"/>
  <c r="I1466" i="256"/>
  <c r="B1466" i="256"/>
  <c r="J1465" i="256"/>
  <c r="I1465" i="256"/>
  <c r="B1465" i="256"/>
  <c r="J1464" i="256"/>
  <c r="I1464" i="256"/>
  <c r="B1464" i="256"/>
  <c r="J1463" i="256"/>
  <c r="I1463" i="256"/>
  <c r="B1463" i="256"/>
  <c r="J1462" i="256"/>
  <c r="I1462" i="256"/>
  <c r="B1462" i="256"/>
  <c r="J1461" i="256"/>
  <c r="I1461" i="256"/>
  <c r="B1461" i="256"/>
  <c r="J1460" i="256"/>
  <c r="I1460" i="256"/>
  <c r="B1460" i="256"/>
  <c r="J1459" i="256"/>
  <c r="I1459" i="256"/>
  <c r="B1459" i="256"/>
  <c r="J1458" i="256"/>
  <c r="I1458" i="256"/>
  <c r="B1458" i="256"/>
  <c r="J1457" i="256"/>
  <c r="I1457" i="256"/>
  <c r="B1457" i="256"/>
  <c r="J1456" i="256"/>
  <c r="I1456" i="256"/>
  <c r="B1456" i="256"/>
  <c r="J1455" i="256"/>
  <c r="I1455" i="256"/>
  <c r="B1455" i="256"/>
  <c r="J1454" i="256"/>
  <c r="I1454" i="256"/>
  <c r="B1454" i="256"/>
  <c r="J1453" i="256"/>
  <c r="I1453" i="256"/>
  <c r="B1453" i="256"/>
  <c r="J1452" i="256"/>
  <c r="I1452" i="256"/>
  <c r="B1452" i="256"/>
  <c r="J1451" i="256"/>
  <c r="I1451" i="256"/>
  <c r="B1451" i="256"/>
  <c r="J1450" i="256"/>
  <c r="I1450" i="256"/>
  <c r="B1450" i="256"/>
  <c r="J1449" i="256"/>
  <c r="I1449" i="256"/>
  <c r="B1449" i="256"/>
  <c r="J1448" i="256"/>
  <c r="I1448" i="256"/>
  <c r="B1448" i="256"/>
  <c r="J1447" i="256"/>
  <c r="I1447" i="256"/>
  <c r="B1447" i="256"/>
  <c r="J1446" i="256"/>
  <c r="I1446" i="256"/>
  <c r="B1446" i="256"/>
  <c r="J1445" i="256"/>
  <c r="I1445" i="256"/>
  <c r="B1445" i="256"/>
  <c r="O1413" i="256"/>
  <c r="O1436" i="256"/>
  <c r="O1435" i="256"/>
  <c r="O1434" i="256"/>
  <c r="O1433" i="256"/>
  <c r="O1432" i="256"/>
  <c r="O1431" i="256"/>
  <c r="O1427" i="256"/>
  <c r="O1426" i="256"/>
  <c r="O1425" i="256"/>
  <c r="O1424" i="256"/>
  <c r="O1423" i="256"/>
  <c r="O1422" i="256"/>
  <c r="O1418" i="256"/>
  <c r="O1417" i="256"/>
  <c r="O1416" i="256"/>
  <c r="O1415" i="256"/>
  <c r="O1414" i="256"/>
  <c r="J1439" i="256"/>
  <c r="I1439" i="256"/>
  <c r="B1439" i="256"/>
  <c r="J1438" i="256"/>
  <c r="I1438" i="256"/>
  <c r="B1438" i="256"/>
  <c r="J1437" i="256"/>
  <c r="I1437" i="256"/>
  <c r="B1437" i="256"/>
  <c r="J1436" i="256"/>
  <c r="I1436" i="256"/>
  <c r="B1436" i="256"/>
  <c r="J1435" i="256"/>
  <c r="I1435" i="256"/>
  <c r="B1435" i="256"/>
  <c r="J1434" i="256"/>
  <c r="I1434" i="256"/>
  <c r="B1434" i="256"/>
  <c r="J1433" i="256"/>
  <c r="I1433" i="256"/>
  <c r="B1433" i="256"/>
  <c r="J1432" i="256"/>
  <c r="I1432" i="256"/>
  <c r="B1432" i="256"/>
  <c r="J1431" i="256"/>
  <c r="I1431" i="256"/>
  <c r="B1431" i="256"/>
  <c r="J1430" i="256"/>
  <c r="I1430" i="256"/>
  <c r="B1430" i="256"/>
  <c r="J1429" i="256"/>
  <c r="I1429" i="256"/>
  <c r="B1429" i="256"/>
  <c r="J1428" i="256"/>
  <c r="I1428" i="256"/>
  <c r="B1428" i="256"/>
  <c r="J1427" i="256"/>
  <c r="I1427" i="256"/>
  <c r="B1427" i="256"/>
  <c r="J1426" i="256"/>
  <c r="I1426" i="256"/>
  <c r="B1426" i="256"/>
  <c r="J1425" i="256"/>
  <c r="I1425" i="256"/>
  <c r="B1425" i="256"/>
  <c r="J1424" i="256"/>
  <c r="I1424" i="256"/>
  <c r="B1424" i="256"/>
  <c r="J1423" i="256"/>
  <c r="I1423" i="256"/>
  <c r="B1423" i="256"/>
  <c r="J1422" i="256"/>
  <c r="I1422" i="256"/>
  <c r="B1422" i="256"/>
  <c r="J1421" i="256"/>
  <c r="I1421" i="256"/>
  <c r="B1421" i="256"/>
  <c r="J1420" i="256"/>
  <c r="I1420" i="256"/>
  <c r="B1420" i="256"/>
  <c r="J1419" i="256"/>
  <c r="I1419" i="256"/>
  <c r="B1419" i="256"/>
  <c r="J1418" i="256"/>
  <c r="I1418" i="256"/>
  <c r="B1418" i="256"/>
  <c r="J1417" i="256"/>
  <c r="I1417" i="256"/>
  <c r="B1417" i="256"/>
  <c r="J1444" i="256"/>
  <c r="I1444" i="256"/>
  <c r="B1444" i="256"/>
  <c r="J1443" i="256"/>
  <c r="I1443" i="256"/>
  <c r="B1443" i="256"/>
  <c r="J1442" i="256"/>
  <c r="I1442" i="256"/>
  <c r="B1442" i="256"/>
  <c r="L1441" i="256"/>
  <c r="K1441" i="256"/>
  <c r="J1416" i="256"/>
  <c r="I1416" i="256"/>
  <c r="B1416" i="256"/>
  <c r="J1415" i="256"/>
  <c r="I1415" i="256"/>
  <c r="B1415" i="256"/>
  <c r="J1414" i="256"/>
  <c r="I1414" i="256"/>
  <c r="B1414" i="256"/>
  <c r="J1413" i="256"/>
  <c r="I1413" i="256"/>
  <c r="B1413" i="256"/>
  <c r="L1412" i="256"/>
  <c r="K1412" i="256"/>
  <c r="J1472" i="256"/>
  <c r="I1472" i="256"/>
  <c r="B1472" i="256"/>
  <c r="J1471" i="256"/>
  <c r="I1471" i="256"/>
  <c r="B1471" i="256"/>
  <c r="L1470" i="256"/>
  <c r="K1470" i="256"/>
  <c r="O1407" i="256"/>
  <c r="O1406" i="256"/>
  <c r="O1409" i="256" s="1"/>
  <c r="O1405" i="256"/>
  <c r="O1408" i="256" s="1"/>
  <c r="O1398" i="256"/>
  <c r="O1397" i="256"/>
  <c r="O1400" i="256" s="1"/>
  <c r="O1396" i="256"/>
  <c r="O1399" i="256" s="1"/>
  <c r="O1391" i="256"/>
  <c r="O1390" i="256"/>
  <c r="O1386" i="256"/>
  <c r="O1392" i="256" s="1"/>
  <c r="J1410" i="256"/>
  <c r="I1410" i="256"/>
  <c r="B1410" i="256"/>
  <c r="J1409" i="256"/>
  <c r="I1409" i="256"/>
  <c r="B1409" i="256"/>
  <c r="J1408" i="256"/>
  <c r="I1408" i="256"/>
  <c r="B1408" i="256"/>
  <c r="J1407" i="256"/>
  <c r="I1407" i="256"/>
  <c r="B1407" i="256"/>
  <c r="J1406" i="256"/>
  <c r="I1406" i="256"/>
  <c r="B1406" i="256"/>
  <c r="J1405" i="256"/>
  <c r="I1405" i="256"/>
  <c r="B1405" i="256"/>
  <c r="J1404" i="256"/>
  <c r="I1404" i="256"/>
  <c r="B1404" i="256"/>
  <c r="J1403" i="256"/>
  <c r="I1403" i="256"/>
  <c r="B1403" i="256"/>
  <c r="J1402" i="256"/>
  <c r="I1402" i="256"/>
  <c r="B1402" i="256"/>
  <c r="J1401" i="256"/>
  <c r="I1401" i="256"/>
  <c r="B1401" i="256"/>
  <c r="J1400" i="256"/>
  <c r="I1400" i="256"/>
  <c r="B1400" i="256"/>
  <c r="J1399" i="256"/>
  <c r="I1399" i="256"/>
  <c r="B1399" i="256"/>
  <c r="J1398" i="256"/>
  <c r="I1398" i="256"/>
  <c r="B1398" i="256"/>
  <c r="J1397" i="256"/>
  <c r="I1397" i="256"/>
  <c r="B1397" i="256"/>
  <c r="J1396" i="256"/>
  <c r="I1396" i="256"/>
  <c r="B1396" i="256"/>
  <c r="J1395" i="256"/>
  <c r="I1395" i="256"/>
  <c r="B1395" i="256"/>
  <c r="J1394" i="256"/>
  <c r="I1394" i="256"/>
  <c r="B1394" i="256"/>
  <c r="J1393" i="256"/>
  <c r="I1393" i="256"/>
  <c r="B1393" i="256"/>
  <c r="J1392" i="256"/>
  <c r="I1392" i="256"/>
  <c r="B1392" i="256"/>
  <c r="J1391" i="256"/>
  <c r="I1391" i="256"/>
  <c r="B1391" i="256"/>
  <c r="J1390" i="256"/>
  <c r="I1390" i="256"/>
  <c r="B1390" i="256"/>
  <c r="J1389" i="256"/>
  <c r="I1389" i="256"/>
  <c r="B1389" i="256"/>
  <c r="J1388" i="256"/>
  <c r="I1388" i="256"/>
  <c r="B1388" i="256"/>
  <c r="J1387" i="256"/>
  <c r="I1387" i="256"/>
  <c r="B1387" i="256"/>
  <c r="O1381" i="256"/>
  <c r="O1380" i="256"/>
  <c r="O1379" i="256"/>
  <c r="O1372" i="256"/>
  <c r="O1371" i="256"/>
  <c r="O1370" i="256"/>
  <c r="O1363" i="256"/>
  <c r="O1362" i="256"/>
  <c r="O1361" i="256"/>
  <c r="J1381" i="256"/>
  <c r="I1381" i="256"/>
  <c r="B1381" i="256"/>
  <c r="J1380" i="256"/>
  <c r="I1380" i="256"/>
  <c r="B1380" i="256"/>
  <c r="J1379" i="256"/>
  <c r="I1379" i="256"/>
  <c r="B1379" i="256"/>
  <c r="J1378" i="256"/>
  <c r="I1378" i="256"/>
  <c r="B1378" i="256"/>
  <c r="J1377" i="256"/>
  <c r="I1377" i="256"/>
  <c r="B1377" i="256"/>
  <c r="J1376" i="256"/>
  <c r="I1376" i="256"/>
  <c r="B1376" i="256"/>
  <c r="J1375" i="256"/>
  <c r="I1375" i="256"/>
  <c r="B1375" i="256"/>
  <c r="J1374" i="256"/>
  <c r="I1374" i="256"/>
  <c r="B1374" i="256"/>
  <c r="J1373" i="256"/>
  <c r="I1373" i="256"/>
  <c r="B1373" i="256"/>
  <c r="J1372" i="256"/>
  <c r="I1372" i="256"/>
  <c r="B1372" i="256"/>
  <c r="J1371" i="256"/>
  <c r="I1371" i="256"/>
  <c r="B1371" i="256"/>
  <c r="J1370" i="256"/>
  <c r="I1370" i="256"/>
  <c r="B1370" i="256"/>
  <c r="J1369" i="256"/>
  <c r="I1369" i="256"/>
  <c r="B1369" i="256"/>
  <c r="J1368" i="256"/>
  <c r="I1368" i="256"/>
  <c r="B1368" i="256"/>
  <c r="J1367" i="256"/>
  <c r="I1367" i="256"/>
  <c r="B1367" i="256"/>
  <c r="J1366" i="256"/>
  <c r="I1366" i="256"/>
  <c r="B1366" i="256"/>
  <c r="J1365" i="256"/>
  <c r="I1365" i="256"/>
  <c r="B1365" i="256"/>
  <c r="J1364" i="256"/>
  <c r="I1364" i="256"/>
  <c r="B1364" i="256"/>
  <c r="J1363" i="256"/>
  <c r="I1363" i="256"/>
  <c r="B1363" i="256"/>
  <c r="J1362" i="256"/>
  <c r="I1362" i="256"/>
  <c r="B1362" i="256"/>
  <c r="J1361" i="256"/>
  <c r="I1361" i="256"/>
  <c r="B1361" i="256"/>
  <c r="J1360" i="256"/>
  <c r="I1360" i="256"/>
  <c r="B1360" i="256"/>
  <c r="J1359" i="256"/>
  <c r="I1359" i="256"/>
  <c r="B1359" i="256"/>
  <c r="J1358" i="256"/>
  <c r="I1358" i="256"/>
  <c r="B1358" i="256"/>
  <c r="O1352" i="256"/>
  <c r="O1439" i="256" s="1"/>
  <c r="O1351" i="256"/>
  <c r="O1438" i="256" s="1"/>
  <c r="O1350" i="256"/>
  <c r="O1437" i="256" s="1"/>
  <c r="O1343" i="256"/>
  <c r="O1430" i="256" s="1"/>
  <c r="O1342" i="256"/>
  <c r="O1429" i="256" s="1"/>
  <c r="O1341" i="256"/>
  <c r="O1428" i="256" s="1"/>
  <c r="O1334" i="256"/>
  <c r="O1421" i="256" s="1"/>
  <c r="O1333" i="256"/>
  <c r="O1420" i="256" s="1"/>
  <c r="O1332" i="256"/>
  <c r="O1419" i="256" s="1"/>
  <c r="B1352" i="256"/>
  <c r="B1351" i="256"/>
  <c r="B1350" i="256"/>
  <c r="B1349" i="256"/>
  <c r="B1348" i="256"/>
  <c r="B1347" i="256"/>
  <c r="B1346" i="256"/>
  <c r="B1345" i="256"/>
  <c r="B1344" i="256"/>
  <c r="B1343" i="256"/>
  <c r="B1342" i="256"/>
  <c r="B1341" i="256"/>
  <c r="B1340" i="256"/>
  <c r="B1339" i="256"/>
  <c r="B1338" i="256"/>
  <c r="B1337" i="256"/>
  <c r="B1336" i="256"/>
  <c r="B1335" i="256"/>
  <c r="B1334" i="256"/>
  <c r="B1333" i="256"/>
  <c r="B1332" i="256"/>
  <c r="B1331" i="256"/>
  <c r="B1330" i="256"/>
  <c r="B1329" i="256"/>
  <c r="O1306" i="256"/>
  <c r="O1315" i="256"/>
  <c r="O1297" i="256"/>
  <c r="O1294" i="256"/>
  <c r="O1323" i="256" s="1"/>
  <c r="O1293" i="256"/>
  <c r="O1322" i="256" s="1"/>
  <c r="O1292" i="256"/>
  <c r="O1321" i="256" s="1"/>
  <c r="O1291" i="256"/>
  <c r="O1320" i="256" s="1"/>
  <c r="O1290" i="256"/>
  <c r="O1319" i="256" s="1"/>
  <c r="O1289" i="256"/>
  <c r="O1318" i="256" s="1"/>
  <c r="O1288" i="256"/>
  <c r="O1317" i="256" s="1"/>
  <c r="O1287" i="256"/>
  <c r="O1316" i="256" s="1"/>
  <c r="O1285" i="256"/>
  <c r="O1314" i="256" s="1"/>
  <c r="O1284" i="256"/>
  <c r="O1313" i="256" s="1"/>
  <c r="O1283" i="256"/>
  <c r="O1312" i="256" s="1"/>
  <c r="O1282" i="256"/>
  <c r="O1311" i="256" s="1"/>
  <c r="O1281" i="256"/>
  <c r="O1310" i="256" s="1"/>
  <c r="O1280" i="256"/>
  <c r="O1309" i="256" s="1"/>
  <c r="O1279" i="256"/>
  <c r="O1308" i="256" s="1"/>
  <c r="O1278" i="256"/>
  <c r="O1307" i="256" s="1"/>
  <c r="O1276" i="256"/>
  <c r="O1305" i="256" s="1"/>
  <c r="O1275" i="256"/>
  <c r="O1304" i="256" s="1"/>
  <c r="O1274" i="256"/>
  <c r="O1303" i="256" s="1"/>
  <c r="O1273" i="256"/>
  <c r="O1302" i="256" s="1"/>
  <c r="O1272" i="256"/>
  <c r="O1301" i="256" s="1"/>
  <c r="O1271" i="256"/>
  <c r="O1300" i="256" s="1"/>
  <c r="O1270" i="256"/>
  <c r="O1299" i="256" s="1"/>
  <c r="O1269" i="256"/>
  <c r="O1298" i="256" s="1"/>
  <c r="J1323" i="256"/>
  <c r="I1323" i="256"/>
  <c r="B1323" i="256"/>
  <c r="J1322" i="256"/>
  <c r="I1322" i="256"/>
  <c r="B1322" i="256"/>
  <c r="J1321" i="256"/>
  <c r="I1321" i="256"/>
  <c r="B1321" i="256"/>
  <c r="J1320" i="256"/>
  <c r="I1320" i="256"/>
  <c r="B1320" i="256"/>
  <c r="J1319" i="256"/>
  <c r="I1319" i="256"/>
  <c r="B1319" i="256"/>
  <c r="J1318" i="256"/>
  <c r="I1318" i="256"/>
  <c r="B1318" i="256"/>
  <c r="J1317" i="256"/>
  <c r="I1317" i="256"/>
  <c r="B1317" i="256"/>
  <c r="J1316" i="256"/>
  <c r="I1316" i="256"/>
  <c r="B1316" i="256"/>
  <c r="J1315" i="256"/>
  <c r="I1315" i="256"/>
  <c r="B1315" i="256"/>
  <c r="J1314" i="256"/>
  <c r="I1314" i="256"/>
  <c r="B1314" i="256"/>
  <c r="J1313" i="256"/>
  <c r="I1313" i="256"/>
  <c r="B1313" i="256"/>
  <c r="J1312" i="256"/>
  <c r="I1312" i="256"/>
  <c r="B1312" i="256"/>
  <c r="J1311" i="256"/>
  <c r="I1311" i="256"/>
  <c r="B1311" i="256"/>
  <c r="J1310" i="256"/>
  <c r="I1310" i="256"/>
  <c r="B1310" i="256"/>
  <c r="J1309" i="256"/>
  <c r="I1309" i="256"/>
  <c r="B1309" i="256"/>
  <c r="J1308" i="256"/>
  <c r="I1308" i="256"/>
  <c r="B1308" i="256"/>
  <c r="J1307" i="256"/>
  <c r="I1307" i="256"/>
  <c r="B1307" i="256"/>
  <c r="J1306" i="256"/>
  <c r="I1306" i="256"/>
  <c r="B1306" i="256"/>
  <c r="J1305" i="256"/>
  <c r="I1305" i="256"/>
  <c r="B1305" i="256"/>
  <c r="J1304" i="256"/>
  <c r="I1304" i="256"/>
  <c r="B1304" i="256"/>
  <c r="J1303" i="256"/>
  <c r="I1303" i="256"/>
  <c r="B1303" i="256"/>
  <c r="J1302" i="256"/>
  <c r="I1302" i="256"/>
  <c r="B1302" i="256"/>
  <c r="J1301" i="256"/>
  <c r="I1301" i="256"/>
  <c r="B1301" i="256"/>
  <c r="J1300" i="256"/>
  <c r="I1300" i="256"/>
  <c r="B1300" i="256"/>
  <c r="J1294" i="256"/>
  <c r="I1294" i="256"/>
  <c r="B1294" i="256"/>
  <c r="J1293" i="256"/>
  <c r="I1293" i="256"/>
  <c r="B1293" i="256"/>
  <c r="J1292" i="256"/>
  <c r="I1292" i="256"/>
  <c r="B1292" i="256"/>
  <c r="J1291" i="256"/>
  <c r="I1291" i="256"/>
  <c r="B1291" i="256"/>
  <c r="J1290" i="256"/>
  <c r="I1290" i="256"/>
  <c r="B1290" i="256"/>
  <c r="J1289" i="256"/>
  <c r="I1289" i="256"/>
  <c r="B1289" i="256"/>
  <c r="J1288" i="256"/>
  <c r="I1288" i="256"/>
  <c r="B1288" i="256"/>
  <c r="J1287" i="256"/>
  <c r="I1287" i="256"/>
  <c r="B1287" i="256"/>
  <c r="J1286" i="256"/>
  <c r="I1286" i="256"/>
  <c r="B1286" i="256"/>
  <c r="J1285" i="256"/>
  <c r="I1285" i="256"/>
  <c r="B1285" i="256"/>
  <c r="J1284" i="256"/>
  <c r="I1284" i="256"/>
  <c r="B1284" i="256"/>
  <c r="J1283" i="256"/>
  <c r="I1283" i="256"/>
  <c r="B1283" i="256"/>
  <c r="J1282" i="256"/>
  <c r="I1282" i="256"/>
  <c r="B1282" i="256"/>
  <c r="J1281" i="256"/>
  <c r="I1281" i="256"/>
  <c r="B1281" i="256"/>
  <c r="J1280" i="256"/>
  <c r="I1280" i="256"/>
  <c r="B1280" i="256"/>
  <c r="J1279" i="256"/>
  <c r="I1279" i="256"/>
  <c r="B1279" i="256"/>
  <c r="J1278" i="256"/>
  <c r="I1278" i="256"/>
  <c r="B1278" i="256"/>
  <c r="J1277" i="256"/>
  <c r="I1277" i="256"/>
  <c r="B1277" i="256"/>
  <c r="J1276" i="256"/>
  <c r="I1276" i="256"/>
  <c r="B1276" i="256"/>
  <c r="J1275" i="256"/>
  <c r="I1275" i="256"/>
  <c r="B1275" i="256"/>
  <c r="J1274" i="256"/>
  <c r="I1274" i="256"/>
  <c r="B1274" i="256"/>
  <c r="J1273" i="256"/>
  <c r="I1273" i="256"/>
  <c r="B1273" i="256"/>
  <c r="J1272" i="256"/>
  <c r="I1272" i="256"/>
  <c r="B1272" i="256"/>
  <c r="J1357" i="256"/>
  <c r="I1357" i="256"/>
  <c r="B1357" i="256"/>
  <c r="J1356" i="256"/>
  <c r="I1356" i="256"/>
  <c r="B1356" i="256"/>
  <c r="J1355" i="256"/>
  <c r="I1355" i="256"/>
  <c r="B1355" i="256"/>
  <c r="L1354" i="256"/>
  <c r="K1354" i="256"/>
  <c r="B1328" i="256"/>
  <c r="B1327" i="256"/>
  <c r="B1326" i="256"/>
  <c r="L1325" i="256"/>
  <c r="K1325" i="256"/>
  <c r="J1299" i="256"/>
  <c r="I1299" i="256"/>
  <c r="B1299" i="256"/>
  <c r="J1298" i="256"/>
  <c r="I1298" i="256"/>
  <c r="B1298" i="256"/>
  <c r="J1297" i="256"/>
  <c r="I1297" i="256"/>
  <c r="B1297" i="256"/>
  <c r="L1296" i="256"/>
  <c r="K1296" i="256"/>
  <c r="J1271" i="256"/>
  <c r="I1271" i="256"/>
  <c r="B1271" i="256"/>
  <c r="J1270" i="256"/>
  <c r="I1270" i="256"/>
  <c r="B1270" i="256"/>
  <c r="J1269" i="256"/>
  <c r="I1269" i="256"/>
  <c r="B1269" i="256"/>
  <c r="J1268" i="256"/>
  <c r="I1268" i="256"/>
  <c r="B1268" i="256"/>
  <c r="L1267" i="256"/>
  <c r="K1267" i="256"/>
  <c r="J1386" i="256"/>
  <c r="I1386" i="256"/>
  <c r="B1386" i="256"/>
  <c r="J1385" i="256"/>
  <c r="I1385" i="256"/>
  <c r="B1385" i="256"/>
  <c r="J1384" i="256"/>
  <c r="I1384" i="256"/>
  <c r="B1384" i="256"/>
  <c r="L1383" i="256"/>
  <c r="K1383" i="256"/>
  <c r="O1248" i="256"/>
  <c r="O1257" i="256"/>
  <c r="O1239" i="256"/>
  <c r="J1265" i="256"/>
  <c r="I1265" i="256"/>
  <c r="B1265" i="256"/>
  <c r="J1264" i="256"/>
  <c r="I1264" i="256"/>
  <c r="B1264" i="256"/>
  <c r="J1263" i="256"/>
  <c r="I1263" i="256"/>
  <c r="B1263" i="256"/>
  <c r="J1262" i="256"/>
  <c r="I1262" i="256"/>
  <c r="B1262" i="256"/>
  <c r="J1261" i="256"/>
  <c r="I1261" i="256"/>
  <c r="B1261" i="256"/>
  <c r="J1260" i="256"/>
  <c r="I1260" i="256"/>
  <c r="B1260" i="256"/>
  <c r="J1259" i="256"/>
  <c r="I1259" i="256"/>
  <c r="B1259" i="256"/>
  <c r="J1258" i="256"/>
  <c r="I1258" i="256"/>
  <c r="B1258" i="256"/>
  <c r="J1257" i="256"/>
  <c r="I1257" i="256"/>
  <c r="B1257" i="256"/>
  <c r="J1256" i="256"/>
  <c r="I1256" i="256"/>
  <c r="B1256" i="256"/>
  <c r="J1255" i="256"/>
  <c r="I1255" i="256"/>
  <c r="B1255" i="256"/>
  <c r="J1254" i="256"/>
  <c r="I1254" i="256"/>
  <c r="B1254" i="256"/>
  <c r="J1253" i="256"/>
  <c r="I1253" i="256"/>
  <c r="B1253" i="256"/>
  <c r="J1252" i="256"/>
  <c r="I1252" i="256"/>
  <c r="B1252" i="256"/>
  <c r="J1251" i="256"/>
  <c r="I1251" i="256"/>
  <c r="B1251" i="256"/>
  <c r="J1250" i="256"/>
  <c r="I1250" i="256"/>
  <c r="B1250" i="256"/>
  <c r="J1249" i="256"/>
  <c r="I1249" i="256"/>
  <c r="B1249" i="256"/>
  <c r="J1248" i="256"/>
  <c r="I1248" i="256"/>
  <c r="B1248" i="256"/>
  <c r="J1247" i="256"/>
  <c r="I1247" i="256"/>
  <c r="B1247" i="256"/>
  <c r="J1246" i="256"/>
  <c r="I1246" i="256"/>
  <c r="B1246" i="256"/>
  <c r="J1245" i="256"/>
  <c r="I1245" i="256"/>
  <c r="B1245" i="256"/>
  <c r="J1244" i="256"/>
  <c r="I1244" i="256"/>
  <c r="B1244" i="256"/>
  <c r="J1243" i="256"/>
  <c r="I1243" i="256"/>
  <c r="B1243" i="256"/>
  <c r="J1242" i="256"/>
  <c r="I1242" i="256"/>
  <c r="B1242" i="256"/>
  <c r="J1241" i="256"/>
  <c r="I1241" i="256"/>
  <c r="B1241" i="256"/>
  <c r="O1236" i="256"/>
  <c r="O1265" i="256" s="1"/>
  <c r="O1235" i="256"/>
  <c r="O1264" i="256" s="1"/>
  <c r="O1234" i="256"/>
  <c r="O1263" i="256" s="1"/>
  <c r="O1233" i="256"/>
  <c r="O1262" i="256" s="1"/>
  <c r="O1232" i="256"/>
  <c r="O1261" i="256" s="1"/>
  <c r="O1231" i="256"/>
  <c r="O1260" i="256" s="1"/>
  <c r="O1230" i="256"/>
  <c r="O1259" i="256" s="1"/>
  <c r="O1229" i="256"/>
  <c r="O1258" i="256" s="1"/>
  <c r="O1227" i="256"/>
  <c r="O1256" i="256" s="1"/>
  <c r="O1226" i="256"/>
  <c r="O1255" i="256" s="1"/>
  <c r="O1225" i="256"/>
  <c r="O1254" i="256" s="1"/>
  <c r="O1224" i="256"/>
  <c r="O1253" i="256" s="1"/>
  <c r="O1223" i="256"/>
  <c r="O1252" i="256" s="1"/>
  <c r="O1222" i="256"/>
  <c r="O1251" i="256" s="1"/>
  <c r="O1221" i="256"/>
  <c r="O1250" i="256" s="1"/>
  <c r="O1220" i="256"/>
  <c r="O1249" i="256" s="1"/>
  <c r="O1218" i="256"/>
  <c r="O1247" i="256" s="1"/>
  <c r="O1217" i="256"/>
  <c r="O1246" i="256" s="1"/>
  <c r="O1216" i="256"/>
  <c r="O1245" i="256" s="1"/>
  <c r="O1215" i="256"/>
  <c r="O1244" i="256" s="1"/>
  <c r="O1214" i="256"/>
  <c r="O1243" i="256" s="1"/>
  <c r="O1213" i="256"/>
  <c r="O1242" i="256" s="1"/>
  <c r="O1212" i="256"/>
  <c r="O1241" i="256" s="1"/>
  <c r="O1211" i="256"/>
  <c r="O1240" i="256" s="1"/>
  <c r="J1236" i="256"/>
  <c r="I1236" i="256"/>
  <c r="B1236" i="256"/>
  <c r="J1235" i="256"/>
  <c r="I1235" i="256"/>
  <c r="B1235" i="256"/>
  <c r="J1234" i="256"/>
  <c r="I1234" i="256"/>
  <c r="B1234" i="256"/>
  <c r="J1233" i="256"/>
  <c r="I1233" i="256"/>
  <c r="B1233" i="256"/>
  <c r="J1232" i="256"/>
  <c r="I1232" i="256"/>
  <c r="B1232" i="256"/>
  <c r="J1231" i="256"/>
  <c r="I1231" i="256"/>
  <c r="B1231" i="256"/>
  <c r="J1230" i="256"/>
  <c r="I1230" i="256"/>
  <c r="B1230" i="256"/>
  <c r="J1229" i="256"/>
  <c r="I1229" i="256"/>
  <c r="B1229" i="256"/>
  <c r="J1228" i="256"/>
  <c r="I1228" i="256"/>
  <c r="B1228" i="256"/>
  <c r="J1227" i="256"/>
  <c r="I1227" i="256"/>
  <c r="B1227" i="256"/>
  <c r="J1226" i="256"/>
  <c r="I1226" i="256"/>
  <c r="B1226" i="256"/>
  <c r="J1225" i="256"/>
  <c r="I1225" i="256"/>
  <c r="B1225" i="256"/>
  <c r="J1224" i="256"/>
  <c r="I1224" i="256"/>
  <c r="B1224" i="256"/>
  <c r="J1223" i="256"/>
  <c r="I1223" i="256"/>
  <c r="B1223" i="256"/>
  <c r="J1222" i="256"/>
  <c r="I1222" i="256"/>
  <c r="B1222" i="256"/>
  <c r="J1221" i="256"/>
  <c r="I1221" i="256"/>
  <c r="B1221" i="256"/>
  <c r="J1220" i="256"/>
  <c r="I1220" i="256"/>
  <c r="B1220" i="256"/>
  <c r="J1219" i="256"/>
  <c r="I1219" i="256"/>
  <c r="B1219" i="256"/>
  <c r="J1218" i="256"/>
  <c r="I1218" i="256"/>
  <c r="B1218" i="256"/>
  <c r="J1217" i="256"/>
  <c r="I1217" i="256"/>
  <c r="B1217" i="256"/>
  <c r="J1216" i="256"/>
  <c r="I1216" i="256"/>
  <c r="B1216" i="256"/>
  <c r="J1215" i="256"/>
  <c r="I1215" i="256"/>
  <c r="B1215" i="256"/>
  <c r="J1214" i="256"/>
  <c r="I1214" i="256"/>
  <c r="B1214" i="256"/>
  <c r="J1213" i="256"/>
  <c r="I1213" i="256"/>
  <c r="B1213" i="256"/>
  <c r="O1204" i="256"/>
  <c r="O1203" i="256"/>
  <c r="O1202" i="256"/>
  <c r="O1201" i="256"/>
  <c r="O1200" i="256"/>
  <c r="O1199" i="256"/>
  <c r="O1195" i="256"/>
  <c r="O1194" i="256"/>
  <c r="O1193" i="256"/>
  <c r="O1192" i="256"/>
  <c r="O1191" i="256"/>
  <c r="O1190" i="256"/>
  <c r="O1186" i="256"/>
  <c r="O1185" i="256"/>
  <c r="O1184" i="256"/>
  <c r="O1183" i="256"/>
  <c r="O1182" i="256"/>
  <c r="O1181" i="256"/>
  <c r="J1207" i="256"/>
  <c r="I1207" i="256"/>
  <c r="B1207" i="256"/>
  <c r="J1206" i="256"/>
  <c r="I1206" i="256"/>
  <c r="B1206" i="256"/>
  <c r="J1205" i="256"/>
  <c r="I1205" i="256"/>
  <c r="B1205" i="256"/>
  <c r="J1204" i="256"/>
  <c r="I1204" i="256"/>
  <c r="B1204" i="256"/>
  <c r="J1203" i="256"/>
  <c r="I1203" i="256"/>
  <c r="B1203" i="256"/>
  <c r="J1202" i="256"/>
  <c r="I1202" i="256"/>
  <c r="B1202" i="256"/>
  <c r="J1201" i="256"/>
  <c r="I1201" i="256"/>
  <c r="B1201" i="256"/>
  <c r="J1200" i="256"/>
  <c r="I1200" i="256"/>
  <c r="B1200" i="256"/>
  <c r="J1199" i="256"/>
  <c r="I1199" i="256"/>
  <c r="B1199" i="256"/>
  <c r="J1198" i="256"/>
  <c r="I1198" i="256"/>
  <c r="B1198" i="256"/>
  <c r="J1197" i="256"/>
  <c r="I1197" i="256"/>
  <c r="B1197" i="256"/>
  <c r="J1196" i="256"/>
  <c r="I1196" i="256"/>
  <c r="B1196" i="256"/>
  <c r="J1195" i="256"/>
  <c r="I1195" i="256"/>
  <c r="B1195" i="256"/>
  <c r="J1194" i="256"/>
  <c r="I1194" i="256"/>
  <c r="B1194" i="256"/>
  <c r="J1193" i="256"/>
  <c r="I1193" i="256"/>
  <c r="B1193" i="256"/>
  <c r="J1192" i="256"/>
  <c r="I1192" i="256"/>
  <c r="B1192" i="256"/>
  <c r="J1191" i="256"/>
  <c r="I1191" i="256"/>
  <c r="B1191" i="256"/>
  <c r="J1190" i="256"/>
  <c r="I1190" i="256"/>
  <c r="B1190" i="256"/>
  <c r="J1189" i="256"/>
  <c r="I1189" i="256"/>
  <c r="B1189" i="256"/>
  <c r="J1188" i="256"/>
  <c r="I1188" i="256"/>
  <c r="B1188" i="256"/>
  <c r="J1187" i="256"/>
  <c r="I1187" i="256"/>
  <c r="B1187" i="256"/>
  <c r="J1186" i="256"/>
  <c r="I1186" i="256"/>
  <c r="B1186" i="256"/>
  <c r="J1185" i="256"/>
  <c r="I1185" i="256"/>
  <c r="B1185" i="256"/>
  <c r="J1184" i="256"/>
  <c r="I1184" i="256"/>
  <c r="B1184" i="256"/>
  <c r="O1178" i="256"/>
  <c r="O1207" i="256" s="1"/>
  <c r="O1177" i="256"/>
  <c r="O1206" i="256" s="1"/>
  <c r="O1176" i="256"/>
  <c r="O1205" i="256" s="1"/>
  <c r="O1169" i="256"/>
  <c r="O1198" i="256" s="1"/>
  <c r="O1168" i="256"/>
  <c r="O1197" i="256" s="1"/>
  <c r="O1167" i="256"/>
  <c r="O1196" i="256" s="1"/>
  <c r="O1160" i="256"/>
  <c r="O1189" i="256" s="1"/>
  <c r="O1159" i="256"/>
  <c r="O1188" i="256" s="1"/>
  <c r="O1158" i="256"/>
  <c r="O1187" i="256" s="1"/>
  <c r="J1178" i="256"/>
  <c r="I1178" i="256"/>
  <c r="B1178" i="256"/>
  <c r="J1177" i="256"/>
  <c r="I1177" i="256"/>
  <c r="B1177" i="256"/>
  <c r="J1176" i="256"/>
  <c r="I1176" i="256"/>
  <c r="B1176" i="256"/>
  <c r="J1175" i="256"/>
  <c r="I1175" i="256"/>
  <c r="B1175" i="256"/>
  <c r="J1174" i="256"/>
  <c r="I1174" i="256"/>
  <c r="B1174" i="256"/>
  <c r="J1173" i="256"/>
  <c r="I1173" i="256"/>
  <c r="B1173" i="256"/>
  <c r="J1172" i="256"/>
  <c r="I1172" i="256"/>
  <c r="B1172" i="256"/>
  <c r="J1171" i="256"/>
  <c r="I1171" i="256"/>
  <c r="B1171" i="256"/>
  <c r="J1170" i="256"/>
  <c r="I1170" i="256"/>
  <c r="B1170" i="256"/>
  <c r="J1169" i="256"/>
  <c r="I1169" i="256"/>
  <c r="B1169" i="256"/>
  <c r="J1168" i="256"/>
  <c r="I1168" i="256"/>
  <c r="B1168" i="256"/>
  <c r="J1167" i="256"/>
  <c r="I1167" i="256"/>
  <c r="B1167" i="256"/>
  <c r="J1166" i="256"/>
  <c r="I1166" i="256"/>
  <c r="B1166" i="256"/>
  <c r="J1165" i="256"/>
  <c r="I1165" i="256"/>
  <c r="B1165" i="256"/>
  <c r="J1164" i="256"/>
  <c r="I1164" i="256"/>
  <c r="B1164" i="256"/>
  <c r="J1163" i="256"/>
  <c r="I1163" i="256"/>
  <c r="B1163" i="256"/>
  <c r="J1162" i="256"/>
  <c r="I1162" i="256"/>
  <c r="B1162" i="256"/>
  <c r="J1161" i="256"/>
  <c r="I1161" i="256"/>
  <c r="B1161" i="256"/>
  <c r="J1160" i="256"/>
  <c r="I1160" i="256"/>
  <c r="B1160" i="256"/>
  <c r="J1159" i="256"/>
  <c r="I1159" i="256"/>
  <c r="B1159" i="256"/>
  <c r="J1158" i="256"/>
  <c r="I1158" i="256"/>
  <c r="B1158" i="256"/>
  <c r="J1157" i="256"/>
  <c r="I1157" i="256"/>
  <c r="B1157" i="256"/>
  <c r="J1156" i="256"/>
  <c r="I1156" i="256"/>
  <c r="B1156" i="256"/>
  <c r="J1155" i="256"/>
  <c r="I1155" i="256"/>
  <c r="B1155" i="256"/>
  <c r="J1212" i="256"/>
  <c r="I1212" i="256"/>
  <c r="B1212" i="256"/>
  <c r="J1211" i="256"/>
  <c r="I1211" i="256"/>
  <c r="B1211" i="256"/>
  <c r="J1210" i="256"/>
  <c r="I1210" i="256"/>
  <c r="B1210" i="256"/>
  <c r="L1209" i="256"/>
  <c r="K1209" i="256"/>
  <c r="J1183" i="256"/>
  <c r="I1183" i="256"/>
  <c r="B1183" i="256"/>
  <c r="J1182" i="256"/>
  <c r="I1182" i="256"/>
  <c r="B1182" i="256"/>
  <c r="J1181" i="256"/>
  <c r="I1181" i="256"/>
  <c r="B1181" i="256"/>
  <c r="L1180" i="256"/>
  <c r="K1180" i="256"/>
  <c r="J1240" i="256"/>
  <c r="I1240" i="256"/>
  <c r="B1240" i="256"/>
  <c r="J1239" i="256"/>
  <c r="I1239" i="256"/>
  <c r="B1239" i="256"/>
  <c r="L1238" i="256"/>
  <c r="K1238" i="256"/>
  <c r="O1123" i="256"/>
  <c r="O1146" i="256"/>
  <c r="O1145" i="256"/>
  <c r="O1144" i="256"/>
  <c r="O1142" i="256"/>
  <c r="O1141" i="256"/>
  <c r="O1137" i="256"/>
  <c r="O1136" i="256"/>
  <c r="O1135" i="256"/>
  <c r="O1133" i="256"/>
  <c r="O1132" i="256"/>
  <c r="O1128" i="256"/>
  <c r="O1127" i="256"/>
  <c r="O1126" i="256"/>
  <c r="O1124" i="256"/>
  <c r="J1149" i="256"/>
  <c r="I1149" i="256"/>
  <c r="B1149" i="256"/>
  <c r="J1148" i="256"/>
  <c r="I1148" i="256"/>
  <c r="B1148" i="256"/>
  <c r="J1147" i="256"/>
  <c r="I1147" i="256"/>
  <c r="B1147" i="256"/>
  <c r="J1146" i="256"/>
  <c r="I1146" i="256"/>
  <c r="B1146" i="256"/>
  <c r="J1145" i="256"/>
  <c r="I1145" i="256"/>
  <c r="B1145" i="256"/>
  <c r="J1144" i="256"/>
  <c r="I1144" i="256"/>
  <c r="B1144" i="256"/>
  <c r="J1143" i="256"/>
  <c r="I1143" i="256"/>
  <c r="B1143" i="256"/>
  <c r="J1142" i="256"/>
  <c r="I1142" i="256"/>
  <c r="B1142" i="256"/>
  <c r="J1141" i="256"/>
  <c r="I1141" i="256"/>
  <c r="B1141" i="256"/>
  <c r="J1140" i="256"/>
  <c r="I1140" i="256"/>
  <c r="B1140" i="256"/>
  <c r="J1139" i="256"/>
  <c r="I1139" i="256"/>
  <c r="B1139" i="256"/>
  <c r="J1138" i="256"/>
  <c r="I1138" i="256"/>
  <c r="B1138" i="256"/>
  <c r="J1137" i="256"/>
  <c r="I1137" i="256"/>
  <c r="B1137" i="256"/>
  <c r="J1136" i="256"/>
  <c r="I1136" i="256"/>
  <c r="B1136" i="256"/>
  <c r="J1135" i="256"/>
  <c r="I1135" i="256"/>
  <c r="B1135" i="256"/>
  <c r="J1134" i="256"/>
  <c r="I1134" i="256"/>
  <c r="B1134" i="256"/>
  <c r="J1133" i="256"/>
  <c r="I1133" i="256"/>
  <c r="B1133" i="256"/>
  <c r="J1132" i="256"/>
  <c r="I1132" i="256"/>
  <c r="B1132" i="256"/>
  <c r="J1131" i="256"/>
  <c r="I1131" i="256"/>
  <c r="B1131" i="256"/>
  <c r="J1130" i="256"/>
  <c r="I1130" i="256"/>
  <c r="B1130" i="256"/>
  <c r="J1129" i="256"/>
  <c r="I1129" i="256"/>
  <c r="B1129" i="256"/>
  <c r="J1128" i="256"/>
  <c r="I1128" i="256"/>
  <c r="B1128" i="256"/>
  <c r="J1127" i="256"/>
  <c r="I1127" i="256"/>
  <c r="B1127" i="256"/>
  <c r="J1126" i="256"/>
  <c r="I1126" i="256"/>
  <c r="B1126" i="256"/>
  <c r="O1119" i="256"/>
  <c r="O1148" i="256" s="1"/>
  <c r="O1118" i="256"/>
  <c r="O1147" i="256" s="1"/>
  <c r="O1114" i="256"/>
  <c r="O1120" i="256" s="1"/>
  <c r="O1149" i="256" s="1"/>
  <c r="O1110" i="256"/>
  <c r="O1139" i="256" s="1"/>
  <c r="O1109" i="256"/>
  <c r="O1138" i="256" s="1"/>
  <c r="O1105" i="256"/>
  <c r="O1111" i="256" s="1"/>
  <c r="O1140" i="256" s="1"/>
  <c r="O1101" i="256"/>
  <c r="O1130" i="256" s="1"/>
  <c r="O1100" i="256"/>
  <c r="O1129" i="256" s="1"/>
  <c r="O1096" i="256"/>
  <c r="O1102" i="256" s="1"/>
  <c r="O1131" i="256" s="1"/>
  <c r="J1120" i="256"/>
  <c r="I1120" i="256"/>
  <c r="B1120" i="256"/>
  <c r="J1119" i="256"/>
  <c r="I1119" i="256"/>
  <c r="B1119" i="256"/>
  <c r="J1118" i="256"/>
  <c r="I1118" i="256"/>
  <c r="B1118" i="256"/>
  <c r="J1117" i="256"/>
  <c r="I1117" i="256"/>
  <c r="B1117" i="256"/>
  <c r="J1116" i="256"/>
  <c r="I1116" i="256"/>
  <c r="B1116" i="256"/>
  <c r="J1115" i="256"/>
  <c r="I1115" i="256"/>
  <c r="B1115" i="256"/>
  <c r="J1114" i="256"/>
  <c r="I1114" i="256"/>
  <c r="B1114" i="256"/>
  <c r="J1113" i="256"/>
  <c r="I1113" i="256"/>
  <c r="B1113" i="256"/>
  <c r="J1112" i="256"/>
  <c r="I1112" i="256"/>
  <c r="B1112" i="256"/>
  <c r="J1111" i="256"/>
  <c r="I1111" i="256"/>
  <c r="B1111" i="256"/>
  <c r="J1110" i="256"/>
  <c r="I1110" i="256"/>
  <c r="B1110" i="256"/>
  <c r="J1109" i="256"/>
  <c r="I1109" i="256"/>
  <c r="B1109" i="256"/>
  <c r="J1108" i="256"/>
  <c r="I1108" i="256"/>
  <c r="B1108" i="256"/>
  <c r="J1107" i="256"/>
  <c r="I1107" i="256"/>
  <c r="B1107" i="256"/>
  <c r="J1106" i="256"/>
  <c r="I1106" i="256"/>
  <c r="B1106" i="256"/>
  <c r="J1105" i="256"/>
  <c r="I1105" i="256"/>
  <c r="B1105" i="256"/>
  <c r="J1104" i="256"/>
  <c r="I1104" i="256"/>
  <c r="B1104" i="256"/>
  <c r="J1103" i="256"/>
  <c r="I1103" i="256"/>
  <c r="B1103" i="256"/>
  <c r="J1102" i="256"/>
  <c r="I1102" i="256"/>
  <c r="B1102" i="256"/>
  <c r="J1101" i="256"/>
  <c r="I1101" i="256"/>
  <c r="B1101" i="256"/>
  <c r="J1100" i="256"/>
  <c r="I1100" i="256"/>
  <c r="B1100" i="256"/>
  <c r="J1099" i="256"/>
  <c r="I1099" i="256"/>
  <c r="B1099" i="256"/>
  <c r="J1098" i="256"/>
  <c r="I1098" i="256"/>
  <c r="B1098" i="256"/>
  <c r="O1065" i="256"/>
  <c r="O1088" i="256"/>
  <c r="O1087" i="256"/>
  <c r="O1086" i="256"/>
  <c r="O1084" i="256"/>
  <c r="O1083" i="256"/>
  <c r="O1079" i="256"/>
  <c r="O1077" i="256"/>
  <c r="O1075" i="256"/>
  <c r="O1074" i="256"/>
  <c r="O1070" i="256"/>
  <c r="O1068" i="256"/>
  <c r="O1066" i="256"/>
  <c r="J1087" i="256"/>
  <c r="I1087" i="256"/>
  <c r="B1087" i="256"/>
  <c r="J1086" i="256"/>
  <c r="I1086" i="256"/>
  <c r="B1086" i="256"/>
  <c r="J1085" i="256"/>
  <c r="I1085" i="256"/>
  <c r="B1085" i="256"/>
  <c r="J1084" i="256"/>
  <c r="I1084" i="256"/>
  <c r="B1084" i="256"/>
  <c r="J1083" i="256"/>
  <c r="I1083" i="256"/>
  <c r="B1083" i="256"/>
  <c r="J1082" i="256"/>
  <c r="I1082" i="256"/>
  <c r="B1082" i="256"/>
  <c r="J1081" i="256"/>
  <c r="I1081" i="256"/>
  <c r="B1081" i="256"/>
  <c r="J1080" i="256"/>
  <c r="I1080" i="256"/>
  <c r="B1080" i="256"/>
  <c r="J1079" i="256"/>
  <c r="I1079" i="256"/>
  <c r="B1079" i="256"/>
  <c r="J1078" i="256"/>
  <c r="I1078" i="256"/>
  <c r="B1078" i="256"/>
  <c r="J1077" i="256"/>
  <c r="I1077" i="256"/>
  <c r="B1077" i="256"/>
  <c r="J1076" i="256"/>
  <c r="I1076" i="256"/>
  <c r="B1076" i="256"/>
  <c r="J1075" i="256"/>
  <c r="I1075" i="256"/>
  <c r="B1075" i="256"/>
  <c r="J1074" i="256"/>
  <c r="I1074" i="256"/>
  <c r="B1074" i="256"/>
  <c r="J1073" i="256"/>
  <c r="I1073" i="256"/>
  <c r="B1073" i="256"/>
  <c r="J1072" i="256"/>
  <c r="I1072" i="256"/>
  <c r="B1072" i="256"/>
  <c r="J1071" i="256"/>
  <c r="I1071" i="256"/>
  <c r="B1071" i="256"/>
  <c r="J1070" i="256"/>
  <c r="I1070" i="256"/>
  <c r="B1070" i="256"/>
  <c r="J1069" i="256"/>
  <c r="I1069" i="256"/>
  <c r="B1069" i="256"/>
  <c r="J1068" i="256"/>
  <c r="I1068" i="256"/>
  <c r="B1068" i="256"/>
  <c r="J1067" i="256"/>
  <c r="I1067" i="256"/>
  <c r="B1067" i="256"/>
  <c r="O1061" i="256"/>
  <c r="O1090" i="256" s="1"/>
  <c r="O1060" i="256"/>
  <c r="O1089" i="256" s="1"/>
  <c r="O1056" i="256"/>
  <c r="O1062" i="256" s="1"/>
  <c r="O1091" i="256" s="1"/>
  <c r="O1051" i="256"/>
  <c r="O1080" i="256" s="1"/>
  <c r="O1049" i="256"/>
  <c r="O1052" i="256" s="1"/>
  <c r="O1081" i="256" s="1"/>
  <c r="O1047" i="256"/>
  <c r="O1053" i="256" s="1"/>
  <c r="O1082" i="256" s="1"/>
  <c r="O1042" i="256"/>
  <c r="O1071" i="256" s="1"/>
  <c r="O1040" i="256"/>
  <c r="O1043" i="256" s="1"/>
  <c r="O1072" i="256" s="1"/>
  <c r="O1038" i="256"/>
  <c r="O1067" i="256" s="1"/>
  <c r="J1047" i="256"/>
  <c r="I1047" i="256"/>
  <c r="B1047" i="256"/>
  <c r="J1046" i="256"/>
  <c r="I1046" i="256"/>
  <c r="B1046" i="256"/>
  <c r="J1045" i="256"/>
  <c r="I1045" i="256"/>
  <c r="B1045" i="256"/>
  <c r="J1044" i="256"/>
  <c r="I1044" i="256"/>
  <c r="B1044" i="256"/>
  <c r="J1043" i="256"/>
  <c r="I1043" i="256"/>
  <c r="B1043" i="256"/>
  <c r="J1042" i="256"/>
  <c r="I1042" i="256"/>
  <c r="B1042" i="256"/>
  <c r="J1041" i="256"/>
  <c r="I1041" i="256"/>
  <c r="B1041" i="256"/>
  <c r="J1040" i="256"/>
  <c r="I1040" i="256"/>
  <c r="B1040" i="256"/>
  <c r="J1039" i="256"/>
  <c r="I1039" i="256"/>
  <c r="B1039" i="256"/>
  <c r="J1060" i="256"/>
  <c r="I1060" i="256"/>
  <c r="B1060" i="256"/>
  <c r="J1059" i="256"/>
  <c r="I1059" i="256"/>
  <c r="B1059" i="256"/>
  <c r="J1058" i="256"/>
  <c r="I1058" i="256"/>
  <c r="B1058" i="256"/>
  <c r="J1057" i="256"/>
  <c r="I1057" i="256"/>
  <c r="B1057" i="256"/>
  <c r="J1056" i="256"/>
  <c r="I1056" i="256"/>
  <c r="B1056" i="256"/>
  <c r="J1055" i="256"/>
  <c r="I1055" i="256"/>
  <c r="B1055" i="256"/>
  <c r="J1054" i="256"/>
  <c r="I1054" i="256"/>
  <c r="B1054" i="256"/>
  <c r="J1053" i="256"/>
  <c r="I1053" i="256"/>
  <c r="B1053" i="256"/>
  <c r="J1052" i="256"/>
  <c r="I1052" i="256"/>
  <c r="B1052" i="256"/>
  <c r="J1051" i="256"/>
  <c r="I1051" i="256"/>
  <c r="B1051" i="256"/>
  <c r="J1050" i="256"/>
  <c r="I1050" i="256"/>
  <c r="B1050" i="256"/>
  <c r="J1049" i="256"/>
  <c r="I1049" i="256"/>
  <c r="B1049" i="256"/>
  <c r="J1048" i="256"/>
  <c r="I1048" i="256"/>
  <c r="B1048" i="256"/>
  <c r="J1125" i="256"/>
  <c r="I1125" i="256"/>
  <c r="B1125" i="256"/>
  <c r="J1124" i="256"/>
  <c r="I1124" i="256"/>
  <c r="B1124" i="256"/>
  <c r="J1123" i="256"/>
  <c r="I1123" i="256"/>
  <c r="B1123" i="256"/>
  <c r="L1122" i="256"/>
  <c r="K1122" i="256"/>
  <c r="J1097" i="256"/>
  <c r="I1097" i="256"/>
  <c r="B1097" i="256"/>
  <c r="J1096" i="256"/>
  <c r="I1096" i="256"/>
  <c r="B1096" i="256"/>
  <c r="J1095" i="256"/>
  <c r="I1095" i="256"/>
  <c r="B1095" i="256"/>
  <c r="J1094" i="256"/>
  <c r="I1094" i="256"/>
  <c r="B1094" i="256"/>
  <c r="L1093" i="256"/>
  <c r="K1093" i="256"/>
  <c r="K1035" i="256"/>
  <c r="J1091" i="256"/>
  <c r="I1091" i="256"/>
  <c r="B1091" i="256"/>
  <c r="J1090" i="256"/>
  <c r="I1090" i="256"/>
  <c r="B1090" i="256"/>
  <c r="J1089" i="256"/>
  <c r="I1089" i="256"/>
  <c r="B1089" i="256"/>
  <c r="J1088" i="256"/>
  <c r="I1088" i="256"/>
  <c r="B1088" i="256"/>
  <c r="J1066" i="256"/>
  <c r="I1066" i="256"/>
  <c r="B1066" i="256"/>
  <c r="J1065" i="256"/>
  <c r="I1065" i="256"/>
  <c r="B1065" i="256"/>
  <c r="L1064" i="256"/>
  <c r="K1064" i="256"/>
  <c r="J1062" i="256"/>
  <c r="I1062" i="256"/>
  <c r="B1062" i="256"/>
  <c r="J1061" i="256"/>
  <c r="I1061" i="256"/>
  <c r="B1061" i="256"/>
  <c r="J1038" i="256"/>
  <c r="I1038" i="256"/>
  <c r="B1038" i="256"/>
  <c r="J1037" i="256"/>
  <c r="I1037" i="256"/>
  <c r="B1037" i="256"/>
  <c r="J1036" i="256"/>
  <c r="I1036" i="256"/>
  <c r="B1036" i="256"/>
  <c r="L1035" i="256"/>
  <c r="J1154" i="256"/>
  <c r="I1154" i="256"/>
  <c r="B1154" i="256"/>
  <c r="J1153" i="256"/>
  <c r="I1153" i="256"/>
  <c r="B1153" i="256"/>
  <c r="J1152" i="256"/>
  <c r="I1152" i="256"/>
  <c r="B1152" i="256"/>
  <c r="L1151" i="256"/>
  <c r="K1151" i="256"/>
  <c r="O1032" i="256"/>
  <c r="O1033" i="256" s="1"/>
  <c r="O1029" i="256"/>
  <c r="O1030" i="256" s="1"/>
  <c r="H981" i="256"/>
  <c r="H980" i="256"/>
  <c r="H978" i="256"/>
  <c r="H977" i="256"/>
  <c r="H1025" i="256"/>
  <c r="H1024" i="256"/>
  <c r="H1022" i="256"/>
  <c r="H1021" i="256"/>
  <c r="O1024" i="256"/>
  <c r="O1025" i="256" s="1"/>
  <c r="O1021" i="256"/>
  <c r="O1022" i="256" s="1"/>
  <c r="H1017" i="256"/>
  <c r="H1016" i="256"/>
  <c r="H1014" i="256"/>
  <c r="H1013" i="256"/>
  <c r="H1011" i="256"/>
  <c r="I1011" i="256" s="1"/>
  <c r="H1010" i="256"/>
  <c r="J1010" i="256" s="1"/>
  <c r="H1008" i="256"/>
  <c r="J1008" i="256" s="1"/>
  <c r="H1007" i="256"/>
  <c r="J1007" i="256" s="1"/>
  <c r="H1005" i="256"/>
  <c r="J1005" i="256" s="1"/>
  <c r="H1004" i="256"/>
  <c r="I1004" i="256" s="1"/>
  <c r="H1002" i="256"/>
  <c r="J1002" i="256" s="1"/>
  <c r="H1001" i="256"/>
  <c r="J1001" i="256" s="1"/>
  <c r="O1016" i="256"/>
  <c r="O1017" i="256" s="1"/>
  <c r="O1013" i="256"/>
  <c r="O1014" i="256" s="1"/>
  <c r="O1010" i="256"/>
  <c r="O1011" i="256" s="1"/>
  <c r="O1007" i="256"/>
  <c r="O1008" i="256" s="1"/>
  <c r="O1004" i="256"/>
  <c r="O1005" i="256" s="1"/>
  <c r="O1001" i="256"/>
  <c r="O1002" i="256" s="1"/>
  <c r="I1009" i="256"/>
  <c r="B1009" i="256"/>
  <c r="B1011" i="256"/>
  <c r="B1010" i="256"/>
  <c r="B1008" i="256"/>
  <c r="B1007" i="256"/>
  <c r="J1006" i="256"/>
  <c r="I1006" i="256"/>
  <c r="B1006" i="256"/>
  <c r="B1005" i="256"/>
  <c r="B1004" i="256"/>
  <c r="J1003" i="256"/>
  <c r="I1003" i="256"/>
  <c r="B1003" i="256"/>
  <c r="B1002" i="256"/>
  <c r="B1001" i="256"/>
  <c r="J1000" i="256"/>
  <c r="I1000" i="256"/>
  <c r="B1000" i="256"/>
  <c r="K752" i="256" l="1"/>
  <c r="K744" i="256"/>
  <c r="K118" i="256"/>
  <c r="K657" i="256"/>
  <c r="K737" i="256"/>
  <c r="K754" i="256"/>
  <c r="K658" i="256"/>
  <c r="K743" i="256"/>
  <c r="K738" i="256"/>
  <c r="K653" i="256"/>
  <c r="K750" i="256"/>
  <c r="K748" i="256"/>
  <c r="J759" i="256"/>
  <c r="I759" i="256"/>
  <c r="K759" i="256" s="1"/>
  <c r="J751" i="256"/>
  <c r="I751" i="256"/>
  <c r="J756" i="256"/>
  <c r="I756" i="256"/>
  <c r="K1637" i="256"/>
  <c r="L1637" i="256" s="1"/>
  <c r="K1635" i="256"/>
  <c r="L1635" i="256" s="1"/>
  <c r="K1636" i="256"/>
  <c r="L1636" i="256" s="1"/>
  <c r="K1664" i="256"/>
  <c r="L1664" i="256" s="1"/>
  <c r="K1662" i="256"/>
  <c r="L1662" i="256" s="1"/>
  <c r="K1663" i="256"/>
  <c r="K1661" i="256"/>
  <c r="L1661" i="256" s="1"/>
  <c r="K1659" i="256"/>
  <c r="L1659" i="256" s="1"/>
  <c r="K1660" i="256"/>
  <c r="L1660" i="256" s="1"/>
  <c r="K1655" i="256"/>
  <c r="L1655" i="256" s="1"/>
  <c r="K1658" i="256"/>
  <c r="L1658" i="256" s="1"/>
  <c r="K1650" i="256"/>
  <c r="L1650" i="256" s="1"/>
  <c r="K1653" i="256"/>
  <c r="L1653" i="256" s="1"/>
  <c r="K1654" i="256"/>
  <c r="L1654" i="256" s="1"/>
  <c r="K1656" i="256"/>
  <c r="L1656" i="256" s="1"/>
  <c r="K1651" i="256"/>
  <c r="L1651" i="256" s="1"/>
  <c r="K1657" i="256"/>
  <c r="K1652" i="256"/>
  <c r="L1652" i="256" s="1"/>
  <c r="K1643" i="256"/>
  <c r="L1643" i="256" s="1"/>
  <c r="K1646" i="256"/>
  <c r="L1646" i="256" s="1"/>
  <c r="K1638" i="256"/>
  <c r="L1638" i="256" s="1"/>
  <c r="K1642" i="256"/>
  <c r="K1641" i="256"/>
  <c r="L1641" i="256" s="1"/>
  <c r="K1644" i="256"/>
  <c r="L1644" i="256" s="1"/>
  <c r="K1633" i="256"/>
  <c r="K1639" i="256"/>
  <c r="K1645" i="256"/>
  <c r="L1645" i="256" s="1"/>
  <c r="K1634" i="256"/>
  <c r="L1634" i="256" s="1"/>
  <c r="K1640" i="256"/>
  <c r="L1640" i="256" s="1"/>
  <c r="K1607" i="256"/>
  <c r="L1607" i="256" s="1"/>
  <c r="K1610" i="256"/>
  <c r="L1610" i="256" s="1"/>
  <c r="K1605" i="256"/>
  <c r="L1605" i="256" s="1"/>
  <c r="K1608" i="256"/>
  <c r="L1608" i="256" s="1"/>
  <c r="K1606" i="256"/>
  <c r="L1606" i="256" s="1"/>
  <c r="K1609" i="256"/>
  <c r="K1629" i="256"/>
  <c r="L1629" i="256" s="1"/>
  <c r="K1632" i="256"/>
  <c r="L1632" i="256" s="1"/>
  <c r="K1624" i="256"/>
  <c r="L1624" i="256" s="1"/>
  <c r="K1627" i="256"/>
  <c r="L1627" i="256" s="1"/>
  <c r="K1630" i="256"/>
  <c r="L1630" i="256" s="1"/>
  <c r="K1625" i="256"/>
  <c r="L1625" i="256" s="1"/>
  <c r="K1628" i="256"/>
  <c r="L1628" i="256" s="1"/>
  <c r="K1631" i="256"/>
  <c r="L1631" i="256" s="1"/>
  <c r="K1626" i="256"/>
  <c r="L1626" i="256" s="1"/>
  <c r="K1621" i="256"/>
  <c r="L1621" i="256" s="1"/>
  <c r="K1613" i="256"/>
  <c r="L1613" i="256" s="1"/>
  <c r="K1615" i="256"/>
  <c r="L1615" i="256" s="1"/>
  <c r="K1647" i="256"/>
  <c r="L1647" i="256" s="1"/>
  <c r="K1616" i="256"/>
  <c r="L1616" i="256" s="1"/>
  <c r="K1619" i="256"/>
  <c r="L1619" i="256" s="1"/>
  <c r="K1622" i="256"/>
  <c r="L1622" i="256" s="1"/>
  <c r="K1614" i="256"/>
  <c r="L1614" i="256" s="1"/>
  <c r="K1618" i="256"/>
  <c r="L1618" i="256" s="1"/>
  <c r="K1617" i="256"/>
  <c r="L1617" i="256" s="1"/>
  <c r="K1623" i="256"/>
  <c r="L1623" i="256" s="1"/>
  <c r="K1620" i="256"/>
  <c r="L1620" i="256" s="1"/>
  <c r="K1612" i="256"/>
  <c r="L1612" i="256" s="1"/>
  <c r="K1692" i="256"/>
  <c r="L1692" i="256" s="1"/>
  <c r="I116" i="256"/>
  <c r="K116" i="256" s="1"/>
  <c r="L116" i="256" s="1"/>
  <c r="I119" i="256"/>
  <c r="K119" i="256" s="1"/>
  <c r="L119" i="256" s="1"/>
  <c r="L658" i="256"/>
  <c r="K1697" i="256"/>
  <c r="L1697" i="256" s="1"/>
  <c r="L118" i="256"/>
  <c r="K1695" i="256"/>
  <c r="L1695" i="256" s="1"/>
  <c r="K1698" i="256"/>
  <c r="L1698" i="256" s="1"/>
  <c r="I121" i="256"/>
  <c r="K121" i="256" s="1"/>
  <c r="L121" i="256" s="1"/>
  <c r="L654" i="256"/>
  <c r="L656" i="256"/>
  <c r="K1649" i="256"/>
  <c r="L1649" i="256" s="1"/>
  <c r="K1667" i="256"/>
  <c r="L1667" i="256" s="1"/>
  <c r="K1675" i="256"/>
  <c r="L1675" i="256" s="1"/>
  <c r="K1699" i="256"/>
  <c r="L1699" i="256" s="1"/>
  <c r="I123" i="256"/>
  <c r="K123" i="256" s="1"/>
  <c r="L123" i="256" s="1"/>
  <c r="I124" i="256"/>
  <c r="K124" i="256" s="1"/>
  <c r="L124" i="256" s="1"/>
  <c r="J117" i="256"/>
  <c r="K117" i="256" s="1"/>
  <c r="L117" i="256" s="1"/>
  <c r="L655" i="256"/>
  <c r="I115" i="256"/>
  <c r="K115" i="256" s="1"/>
  <c r="L115" i="256" s="1"/>
  <c r="J125" i="256"/>
  <c r="K125" i="256" s="1"/>
  <c r="L125" i="256" s="1"/>
  <c r="L653" i="256"/>
  <c r="L657" i="256"/>
  <c r="K1680" i="256"/>
  <c r="L1680" i="256" s="1"/>
  <c r="K1600" i="256"/>
  <c r="L1600" i="256" s="1"/>
  <c r="K1668" i="256"/>
  <c r="L1668" i="256" s="1"/>
  <c r="K1676" i="256"/>
  <c r="L1676" i="256" s="1"/>
  <c r="K1671" i="256"/>
  <c r="L1671" i="256" s="1"/>
  <c r="K1691" i="256"/>
  <c r="L1691" i="256" s="1"/>
  <c r="I114" i="256"/>
  <c r="K114" i="256" s="1"/>
  <c r="L114" i="256" s="1"/>
  <c r="I126" i="256"/>
  <c r="K126" i="256" s="1"/>
  <c r="L126" i="256" s="1"/>
  <c r="J122" i="256"/>
  <c r="K122" i="256" s="1"/>
  <c r="L122" i="256" s="1"/>
  <c r="K1602" i="256"/>
  <c r="L1602" i="256" s="1"/>
  <c r="K1670" i="256"/>
  <c r="L1670" i="256" s="1"/>
  <c r="K1700" i="256"/>
  <c r="L1700" i="256" s="1"/>
  <c r="K1694" i="256"/>
  <c r="L1694" i="256" s="1"/>
  <c r="K1685" i="256"/>
  <c r="L1685" i="256" s="1"/>
  <c r="K1673" i="256"/>
  <c r="L1673" i="256" s="1"/>
  <c r="K1693" i="256"/>
  <c r="L1693" i="256" s="1"/>
  <c r="K1603" i="256"/>
  <c r="L1603" i="256" s="1"/>
  <c r="K1648" i="256"/>
  <c r="K1674" i="256"/>
  <c r="L1674" i="256" s="1"/>
  <c r="K1611" i="256"/>
  <c r="L1611" i="256" s="1"/>
  <c r="K1681" i="256"/>
  <c r="L1681" i="256" s="1"/>
  <c r="K1601" i="256"/>
  <c r="L1601" i="256" s="1"/>
  <c r="K1669" i="256"/>
  <c r="L1669" i="256" s="1"/>
  <c r="K1696" i="256"/>
  <c r="L1696" i="256" s="1"/>
  <c r="K1604" i="256"/>
  <c r="L1604" i="256" s="1"/>
  <c r="K1672" i="256"/>
  <c r="L1672" i="256" s="1"/>
  <c r="K1686" i="256"/>
  <c r="L1686" i="256" s="1"/>
  <c r="K1599" i="256"/>
  <c r="L1599" i="256" s="1"/>
  <c r="K1684" i="256"/>
  <c r="L1684" i="256" s="1"/>
  <c r="K1682" i="256"/>
  <c r="L1682" i="256" s="1"/>
  <c r="K1688" i="256"/>
  <c r="L1688" i="256" s="1"/>
  <c r="K1594" i="256"/>
  <c r="L1594" i="256" s="1"/>
  <c r="K1679" i="256"/>
  <c r="L1679" i="256" s="1"/>
  <c r="K1683" i="256"/>
  <c r="L1683" i="256" s="1"/>
  <c r="K1687" i="256"/>
  <c r="L1687" i="256" s="1"/>
  <c r="K1596" i="256"/>
  <c r="L1596" i="256" s="1"/>
  <c r="K1595" i="256"/>
  <c r="L1595" i="256" s="1"/>
  <c r="K1591" i="256"/>
  <c r="L1591" i="256" s="1"/>
  <c r="K1587" i="256"/>
  <c r="L1587" i="256" s="1"/>
  <c r="K1583" i="256"/>
  <c r="L1583" i="256" s="1"/>
  <c r="K1590" i="256"/>
  <c r="L1590" i="256" s="1"/>
  <c r="K1585" i="256"/>
  <c r="L1585" i="256" s="1"/>
  <c r="K1588" i="256"/>
  <c r="L1588" i="256" s="1"/>
  <c r="K1586" i="256"/>
  <c r="L1586" i="256" s="1"/>
  <c r="K1584" i="256"/>
  <c r="L1584" i="256" s="1"/>
  <c r="K1589" i="256"/>
  <c r="L1589" i="256" s="1"/>
  <c r="K1564" i="256"/>
  <c r="L1564" i="256" s="1"/>
  <c r="K1521" i="256"/>
  <c r="L1521" i="256" s="1"/>
  <c r="K1570" i="256"/>
  <c r="L1570" i="256" s="1"/>
  <c r="K1501" i="256"/>
  <c r="L1501" i="256" s="1"/>
  <c r="K1531" i="256"/>
  <c r="L1531" i="256" s="1"/>
  <c r="K1560" i="256"/>
  <c r="L1560" i="256" s="1"/>
  <c r="K1571" i="256"/>
  <c r="L1571" i="256" s="1"/>
  <c r="K1534" i="256"/>
  <c r="L1534" i="256" s="1"/>
  <c r="K1542" i="256"/>
  <c r="L1542" i="256" s="1"/>
  <c r="K1550" i="256"/>
  <c r="L1550" i="256" s="1"/>
  <c r="K1545" i="256"/>
  <c r="L1545" i="256" s="1"/>
  <c r="K1563" i="256"/>
  <c r="L1563" i="256" s="1"/>
  <c r="K1574" i="256"/>
  <c r="L1574" i="256" s="1"/>
  <c r="K1539" i="256"/>
  <c r="L1539" i="256" s="1"/>
  <c r="K1547" i="256"/>
  <c r="L1547" i="256" s="1"/>
  <c r="K1555" i="256"/>
  <c r="L1555" i="256" s="1"/>
  <c r="K1529" i="256"/>
  <c r="L1529" i="256" s="1"/>
  <c r="K1536" i="256"/>
  <c r="L1536" i="256" s="1"/>
  <c r="K1544" i="256"/>
  <c r="L1544" i="256" s="1"/>
  <c r="K1552" i="256"/>
  <c r="L1552" i="256" s="1"/>
  <c r="K1532" i="256"/>
  <c r="L1532" i="256" s="1"/>
  <c r="K1533" i="256"/>
  <c r="L1533" i="256" s="1"/>
  <c r="K1541" i="256"/>
  <c r="L1541" i="256" s="1"/>
  <c r="K1549" i="256"/>
  <c r="L1549" i="256" s="1"/>
  <c r="K1537" i="256"/>
  <c r="L1537" i="256" s="1"/>
  <c r="K1553" i="256"/>
  <c r="L1553" i="256" s="1"/>
  <c r="K1538" i="256"/>
  <c r="L1538" i="256" s="1"/>
  <c r="K1546" i="256"/>
  <c r="L1546" i="256" s="1"/>
  <c r="K1554" i="256"/>
  <c r="L1554" i="256" s="1"/>
  <c r="K1559" i="256"/>
  <c r="L1559" i="256" s="1"/>
  <c r="K1535" i="256"/>
  <c r="L1535" i="256" s="1"/>
  <c r="K1543" i="256"/>
  <c r="L1543" i="256" s="1"/>
  <c r="K1551" i="256"/>
  <c r="L1551" i="256" s="1"/>
  <c r="K1540" i="256"/>
  <c r="L1540" i="256" s="1"/>
  <c r="K1548" i="256"/>
  <c r="L1548" i="256" s="1"/>
  <c r="K1558" i="256"/>
  <c r="L1558" i="256" s="1"/>
  <c r="K1566" i="256"/>
  <c r="L1566" i="256" s="1"/>
  <c r="K1569" i="256"/>
  <c r="L1569" i="256" s="1"/>
  <c r="K1577" i="256"/>
  <c r="L1577" i="256" s="1"/>
  <c r="K1524" i="256"/>
  <c r="L1524" i="256" s="1"/>
  <c r="K1561" i="256"/>
  <c r="L1561" i="256" s="1"/>
  <c r="K1572" i="256"/>
  <c r="L1572" i="256" s="1"/>
  <c r="K1582" i="256"/>
  <c r="L1582" i="256" s="1"/>
  <c r="K1502" i="256"/>
  <c r="L1502" i="256" s="1"/>
  <c r="K1497" i="256"/>
  <c r="K1500" i="256"/>
  <c r="L1500" i="256" s="1"/>
  <c r="K1562" i="256"/>
  <c r="L1562" i="256" s="1"/>
  <c r="K1573" i="256"/>
  <c r="L1573" i="256" s="1"/>
  <c r="K1565" i="256"/>
  <c r="L1565" i="256" s="1"/>
  <c r="K1576" i="256"/>
  <c r="L1576" i="256" s="1"/>
  <c r="K1505" i="256"/>
  <c r="L1505" i="256" s="1"/>
  <c r="K1513" i="256"/>
  <c r="L1513" i="256" s="1"/>
  <c r="K1575" i="256"/>
  <c r="L1575" i="256" s="1"/>
  <c r="K1510" i="256"/>
  <c r="L1510" i="256" s="1"/>
  <c r="K1518" i="256"/>
  <c r="L1518" i="256" s="1"/>
  <c r="K1526" i="256"/>
  <c r="L1526" i="256" s="1"/>
  <c r="K1507" i="256"/>
  <c r="L1507" i="256" s="1"/>
  <c r="K1515" i="256"/>
  <c r="L1515" i="256" s="1"/>
  <c r="K1523" i="256"/>
  <c r="L1523" i="256" s="1"/>
  <c r="K1504" i="256"/>
  <c r="L1504" i="256" s="1"/>
  <c r="K1512" i="256"/>
  <c r="L1512" i="256" s="1"/>
  <c r="K1520" i="256"/>
  <c r="L1520" i="256" s="1"/>
  <c r="K1463" i="256"/>
  <c r="L1463" i="256" s="1"/>
  <c r="K1509" i="256"/>
  <c r="L1509" i="256" s="1"/>
  <c r="K1517" i="256"/>
  <c r="L1517" i="256" s="1"/>
  <c r="K1525" i="256"/>
  <c r="L1525" i="256" s="1"/>
  <c r="K1506" i="256"/>
  <c r="L1506" i="256" s="1"/>
  <c r="K1514" i="256"/>
  <c r="L1514" i="256" s="1"/>
  <c r="K1522" i="256"/>
  <c r="L1522" i="256" s="1"/>
  <c r="K1503" i="256"/>
  <c r="L1503" i="256" s="1"/>
  <c r="K1511" i="256"/>
  <c r="L1511" i="256" s="1"/>
  <c r="K1519" i="256"/>
  <c r="L1519" i="256" s="1"/>
  <c r="K1508" i="256"/>
  <c r="L1508" i="256" s="1"/>
  <c r="K1516" i="256"/>
  <c r="L1516" i="256" s="1"/>
  <c r="O1473" i="256"/>
  <c r="O1476" i="256" s="1"/>
  <c r="O1479" i="256" s="1"/>
  <c r="O1482" i="256"/>
  <c r="O1485" i="256" s="1"/>
  <c r="O1488" i="256" s="1"/>
  <c r="O1491" i="256"/>
  <c r="O1494" i="256" s="1"/>
  <c r="O1497" i="256" s="1"/>
  <c r="K1581" i="256"/>
  <c r="L1581" i="256" s="1"/>
  <c r="K1530" i="256"/>
  <c r="L1530" i="256" s="1"/>
  <c r="K1580" i="256"/>
  <c r="L1580" i="256" s="1"/>
  <c r="K1478" i="256"/>
  <c r="L1478" i="256" s="1"/>
  <c r="K1486" i="256"/>
  <c r="L1486" i="256" s="1"/>
  <c r="K1494" i="256"/>
  <c r="K1475" i="256"/>
  <c r="L1475" i="256" s="1"/>
  <c r="K1483" i="256"/>
  <c r="L1483" i="256" s="1"/>
  <c r="K1491" i="256"/>
  <c r="K1480" i="256"/>
  <c r="L1480" i="256" s="1"/>
  <c r="K1488" i="256"/>
  <c r="K1496" i="256"/>
  <c r="L1496" i="256" s="1"/>
  <c r="K1477" i="256"/>
  <c r="L1477" i="256" s="1"/>
  <c r="K1485" i="256"/>
  <c r="K1493" i="256"/>
  <c r="L1493" i="256" s="1"/>
  <c r="K1474" i="256"/>
  <c r="L1474" i="256" s="1"/>
  <c r="K1482" i="256"/>
  <c r="K1490" i="256"/>
  <c r="L1490" i="256" s="1"/>
  <c r="K1479" i="256"/>
  <c r="K1487" i="256"/>
  <c r="L1487" i="256" s="1"/>
  <c r="K1495" i="256"/>
  <c r="L1495" i="256" s="1"/>
  <c r="K1476" i="256"/>
  <c r="K1484" i="256"/>
  <c r="L1484" i="256" s="1"/>
  <c r="K1492" i="256"/>
  <c r="L1492" i="256" s="1"/>
  <c r="K1473" i="256"/>
  <c r="K1481" i="256"/>
  <c r="L1481" i="256" s="1"/>
  <c r="K1489" i="256"/>
  <c r="L1489" i="256" s="1"/>
  <c r="K1466" i="256"/>
  <c r="L1466" i="256" s="1"/>
  <c r="K1447" i="256"/>
  <c r="L1447" i="256" s="1"/>
  <c r="K1455" i="256"/>
  <c r="L1455" i="256" s="1"/>
  <c r="K1452" i="256"/>
  <c r="L1452" i="256" s="1"/>
  <c r="K1460" i="256"/>
  <c r="L1460" i="256" s="1"/>
  <c r="K1468" i="256"/>
  <c r="L1468" i="256" s="1"/>
  <c r="K1449" i="256"/>
  <c r="L1449" i="256" s="1"/>
  <c r="K1457" i="256"/>
  <c r="L1457" i="256" s="1"/>
  <c r="K1465" i="256"/>
  <c r="L1465" i="256" s="1"/>
  <c r="K1446" i="256"/>
  <c r="L1446" i="256" s="1"/>
  <c r="K1454" i="256"/>
  <c r="L1454" i="256" s="1"/>
  <c r="K1462" i="256"/>
  <c r="L1462" i="256" s="1"/>
  <c r="K1451" i="256"/>
  <c r="L1451" i="256" s="1"/>
  <c r="K1459" i="256"/>
  <c r="L1459" i="256" s="1"/>
  <c r="K1467" i="256"/>
  <c r="L1467" i="256" s="1"/>
  <c r="K1448" i="256"/>
  <c r="L1448" i="256" s="1"/>
  <c r="K1456" i="256"/>
  <c r="L1456" i="256" s="1"/>
  <c r="K1464" i="256"/>
  <c r="L1464" i="256" s="1"/>
  <c r="K1445" i="256"/>
  <c r="L1445" i="256" s="1"/>
  <c r="K1453" i="256"/>
  <c r="L1453" i="256" s="1"/>
  <c r="K1461" i="256"/>
  <c r="L1461" i="256" s="1"/>
  <c r="K1450" i="256"/>
  <c r="L1450" i="256" s="1"/>
  <c r="K1458" i="256"/>
  <c r="L1458" i="256" s="1"/>
  <c r="K1437" i="256"/>
  <c r="L1437" i="256" s="1"/>
  <c r="K1415" i="256"/>
  <c r="L1415" i="256" s="1"/>
  <c r="K1471" i="256"/>
  <c r="L1471" i="256" s="1"/>
  <c r="K1416" i="256"/>
  <c r="L1416" i="256" s="1"/>
  <c r="K1472" i="256"/>
  <c r="L1472" i="256" s="1"/>
  <c r="K1443" i="256"/>
  <c r="L1443" i="256" s="1"/>
  <c r="K1444" i="256"/>
  <c r="L1444" i="256" s="1"/>
  <c r="K1426" i="256"/>
  <c r="L1426" i="256" s="1"/>
  <c r="K1434" i="256"/>
  <c r="L1434" i="256" s="1"/>
  <c r="K1418" i="256"/>
  <c r="L1418" i="256" s="1"/>
  <c r="K1423" i="256"/>
  <c r="L1423" i="256" s="1"/>
  <c r="K1431" i="256"/>
  <c r="L1431" i="256" s="1"/>
  <c r="K1439" i="256"/>
  <c r="L1439" i="256" s="1"/>
  <c r="K1414" i="256"/>
  <c r="L1414" i="256" s="1"/>
  <c r="K1420" i="256"/>
  <c r="L1420" i="256" s="1"/>
  <c r="K1428" i="256"/>
  <c r="L1428" i="256" s="1"/>
  <c r="K1436" i="256"/>
  <c r="L1436" i="256" s="1"/>
  <c r="K1442" i="256"/>
  <c r="L1442" i="256" s="1"/>
  <c r="K1417" i="256"/>
  <c r="L1417" i="256" s="1"/>
  <c r="K1425" i="256"/>
  <c r="L1425" i="256" s="1"/>
  <c r="K1433" i="256"/>
  <c r="L1433" i="256" s="1"/>
  <c r="K1422" i="256"/>
  <c r="L1422" i="256" s="1"/>
  <c r="K1430" i="256"/>
  <c r="L1430" i="256" s="1"/>
  <c r="K1438" i="256"/>
  <c r="L1438" i="256" s="1"/>
  <c r="K1401" i="256"/>
  <c r="K1419" i="256"/>
  <c r="L1419" i="256" s="1"/>
  <c r="K1427" i="256"/>
  <c r="L1427" i="256" s="1"/>
  <c r="K1435" i="256"/>
  <c r="L1435" i="256" s="1"/>
  <c r="K1413" i="256"/>
  <c r="L1413" i="256" s="1"/>
  <c r="K1424" i="256"/>
  <c r="L1424" i="256" s="1"/>
  <c r="K1432" i="256"/>
  <c r="L1432" i="256" s="1"/>
  <c r="K1421" i="256"/>
  <c r="L1421" i="256" s="1"/>
  <c r="K1429" i="256"/>
  <c r="L1429" i="256" s="1"/>
  <c r="O1395" i="256"/>
  <c r="O1401" i="256" s="1"/>
  <c r="K1393" i="256"/>
  <c r="L1393" i="256" s="1"/>
  <c r="O1404" i="256"/>
  <c r="O1410" i="256" s="1"/>
  <c r="K1409" i="256"/>
  <c r="L1409" i="256" s="1"/>
  <c r="K1390" i="256"/>
  <c r="L1390" i="256" s="1"/>
  <c r="K1398" i="256"/>
  <c r="L1398" i="256" s="1"/>
  <c r="K1406" i="256"/>
  <c r="L1406" i="256" s="1"/>
  <c r="K1387" i="256"/>
  <c r="L1387" i="256" s="1"/>
  <c r="K1395" i="256"/>
  <c r="K1403" i="256"/>
  <c r="L1403" i="256" s="1"/>
  <c r="K1392" i="256"/>
  <c r="L1392" i="256" s="1"/>
  <c r="K1400" i="256"/>
  <c r="L1400" i="256" s="1"/>
  <c r="K1408" i="256"/>
  <c r="L1408" i="256" s="1"/>
  <c r="K1389" i="256"/>
  <c r="L1389" i="256" s="1"/>
  <c r="K1397" i="256"/>
  <c r="L1397" i="256" s="1"/>
  <c r="K1405" i="256"/>
  <c r="L1405" i="256" s="1"/>
  <c r="K1394" i="256"/>
  <c r="L1394" i="256" s="1"/>
  <c r="K1402" i="256"/>
  <c r="L1402" i="256" s="1"/>
  <c r="K1410" i="256"/>
  <c r="K1391" i="256"/>
  <c r="L1391" i="256" s="1"/>
  <c r="K1399" i="256"/>
  <c r="L1399" i="256" s="1"/>
  <c r="K1407" i="256"/>
  <c r="L1407" i="256" s="1"/>
  <c r="K1366" i="256"/>
  <c r="L1366" i="256" s="1"/>
  <c r="K1388" i="256"/>
  <c r="L1388" i="256" s="1"/>
  <c r="K1396" i="256"/>
  <c r="L1396" i="256" s="1"/>
  <c r="K1404" i="256"/>
  <c r="K1358" i="256"/>
  <c r="L1358" i="256" s="1"/>
  <c r="K1320" i="256"/>
  <c r="K1374" i="256"/>
  <c r="L1374" i="256" s="1"/>
  <c r="K1364" i="256"/>
  <c r="L1364" i="256" s="1"/>
  <c r="K1372" i="256"/>
  <c r="L1372" i="256" s="1"/>
  <c r="K1380" i="256"/>
  <c r="L1380" i="256" s="1"/>
  <c r="K1235" i="256"/>
  <c r="K1361" i="256"/>
  <c r="L1361" i="256" s="1"/>
  <c r="K1369" i="256"/>
  <c r="L1369" i="256" s="1"/>
  <c r="K1377" i="256"/>
  <c r="L1377" i="256" s="1"/>
  <c r="K1360" i="256"/>
  <c r="L1360" i="256" s="1"/>
  <c r="K1368" i="256"/>
  <c r="L1368" i="256" s="1"/>
  <c r="K1376" i="256"/>
  <c r="L1376" i="256" s="1"/>
  <c r="K1363" i="256"/>
  <c r="L1363" i="256" s="1"/>
  <c r="K1371" i="256"/>
  <c r="L1371" i="256" s="1"/>
  <c r="K1365" i="256"/>
  <c r="L1365" i="256" s="1"/>
  <c r="K1373" i="256"/>
  <c r="L1373" i="256" s="1"/>
  <c r="K1381" i="256"/>
  <c r="L1381" i="256" s="1"/>
  <c r="K1362" i="256"/>
  <c r="L1362" i="256" s="1"/>
  <c r="K1370" i="256"/>
  <c r="L1370" i="256" s="1"/>
  <c r="K1378" i="256"/>
  <c r="L1378" i="256" s="1"/>
  <c r="K1379" i="256"/>
  <c r="L1379" i="256" s="1"/>
  <c r="K1359" i="256"/>
  <c r="L1359" i="256" s="1"/>
  <c r="K1367" i="256"/>
  <c r="L1367" i="256" s="1"/>
  <c r="K1375" i="256"/>
  <c r="L1375" i="256" s="1"/>
  <c r="K1265" i="256"/>
  <c r="L1265" i="256" s="1"/>
  <c r="K1356" i="256"/>
  <c r="L1356" i="256" s="1"/>
  <c r="K1355" i="256"/>
  <c r="L1355" i="256" s="1"/>
  <c r="K1309" i="256"/>
  <c r="L1309" i="256" s="1"/>
  <c r="K1301" i="256"/>
  <c r="L1301" i="256" s="1"/>
  <c r="K1276" i="256"/>
  <c r="L1276" i="256" s="1"/>
  <c r="K1284" i="256"/>
  <c r="L1284" i="256" s="1"/>
  <c r="K1317" i="256"/>
  <c r="L1317" i="256" s="1"/>
  <c r="L1320" i="256"/>
  <c r="K1286" i="256"/>
  <c r="L1286" i="256" s="1"/>
  <c r="K1306" i="256"/>
  <c r="L1306" i="256" s="1"/>
  <c r="K1314" i="256"/>
  <c r="L1314" i="256" s="1"/>
  <c r="K1322" i="256"/>
  <c r="L1322" i="256" s="1"/>
  <c r="K1303" i="256"/>
  <c r="L1303" i="256" s="1"/>
  <c r="K1311" i="256"/>
  <c r="L1311" i="256" s="1"/>
  <c r="K1319" i="256"/>
  <c r="L1319" i="256" s="1"/>
  <c r="K1269" i="256"/>
  <c r="L1269" i="256" s="1"/>
  <c r="K1294" i="256"/>
  <c r="L1294" i="256" s="1"/>
  <c r="K1300" i="256"/>
  <c r="L1300" i="256" s="1"/>
  <c r="K1308" i="256"/>
  <c r="L1308" i="256" s="1"/>
  <c r="K1316" i="256"/>
  <c r="L1316" i="256" s="1"/>
  <c r="K1292" i="256"/>
  <c r="L1292" i="256" s="1"/>
  <c r="K1305" i="256"/>
  <c r="L1305" i="256" s="1"/>
  <c r="K1313" i="256"/>
  <c r="L1313" i="256" s="1"/>
  <c r="K1321" i="256"/>
  <c r="L1321" i="256" s="1"/>
  <c r="K1302" i="256"/>
  <c r="L1302" i="256" s="1"/>
  <c r="K1310" i="256"/>
  <c r="L1310" i="256" s="1"/>
  <c r="K1318" i="256"/>
  <c r="L1318" i="256" s="1"/>
  <c r="K1357" i="256"/>
  <c r="L1357" i="256" s="1"/>
  <c r="K1307" i="256"/>
  <c r="L1307" i="256" s="1"/>
  <c r="K1315" i="256"/>
  <c r="L1315" i="256" s="1"/>
  <c r="K1323" i="256"/>
  <c r="L1323" i="256" s="1"/>
  <c r="K1278" i="256"/>
  <c r="L1278" i="256" s="1"/>
  <c r="K1304" i="256"/>
  <c r="L1304" i="256" s="1"/>
  <c r="K1312" i="256"/>
  <c r="L1312" i="256" s="1"/>
  <c r="K1271" i="256"/>
  <c r="L1271" i="256" s="1"/>
  <c r="K1273" i="256"/>
  <c r="L1273" i="256" s="1"/>
  <c r="K1281" i="256"/>
  <c r="L1281" i="256" s="1"/>
  <c r="K1289" i="256"/>
  <c r="L1289" i="256" s="1"/>
  <c r="K1298" i="256"/>
  <c r="L1298" i="256" s="1"/>
  <c r="K1275" i="256"/>
  <c r="L1275" i="256" s="1"/>
  <c r="K1283" i="256"/>
  <c r="L1283" i="256" s="1"/>
  <c r="K1291" i="256"/>
  <c r="L1291" i="256" s="1"/>
  <c r="K1272" i="256"/>
  <c r="L1272" i="256" s="1"/>
  <c r="K1280" i="256"/>
  <c r="L1280" i="256" s="1"/>
  <c r="K1288" i="256"/>
  <c r="L1288" i="256" s="1"/>
  <c r="K1277" i="256"/>
  <c r="L1277" i="256" s="1"/>
  <c r="K1285" i="256"/>
  <c r="L1285" i="256" s="1"/>
  <c r="K1293" i="256"/>
  <c r="L1293" i="256" s="1"/>
  <c r="K1270" i="256"/>
  <c r="L1270" i="256" s="1"/>
  <c r="K1299" i="256"/>
  <c r="L1299" i="256" s="1"/>
  <c r="K1274" i="256"/>
  <c r="L1274" i="256" s="1"/>
  <c r="K1282" i="256"/>
  <c r="L1282" i="256" s="1"/>
  <c r="K1290" i="256"/>
  <c r="L1290" i="256" s="1"/>
  <c r="K1279" i="256"/>
  <c r="L1279" i="256" s="1"/>
  <c r="K1287" i="256"/>
  <c r="L1287" i="256" s="1"/>
  <c r="K1386" i="256"/>
  <c r="L1386" i="256" s="1"/>
  <c r="K1297" i="256"/>
  <c r="L1297" i="256" s="1"/>
  <c r="K1268" i="256"/>
  <c r="L1268" i="256" s="1"/>
  <c r="K1384" i="256"/>
  <c r="L1384" i="256" s="1"/>
  <c r="K1385" i="256"/>
  <c r="L1385" i="256" s="1"/>
  <c r="K1264" i="256"/>
  <c r="L1264" i="256" s="1"/>
  <c r="K1211" i="256"/>
  <c r="L1211" i="256" s="1"/>
  <c r="K1246" i="256"/>
  <c r="L1246" i="256" s="1"/>
  <c r="K1254" i="256"/>
  <c r="L1254" i="256" s="1"/>
  <c r="K1262" i="256"/>
  <c r="L1262" i="256" s="1"/>
  <c r="K1248" i="256"/>
  <c r="L1248" i="256" s="1"/>
  <c r="K1256" i="256"/>
  <c r="L1256" i="256" s="1"/>
  <c r="K1243" i="256"/>
  <c r="L1243" i="256" s="1"/>
  <c r="K1251" i="256"/>
  <c r="L1251" i="256" s="1"/>
  <c r="K1259" i="256"/>
  <c r="L1259" i="256" s="1"/>
  <c r="K1189" i="256"/>
  <c r="L1189" i="256" s="1"/>
  <c r="K1245" i="256"/>
  <c r="L1245" i="256" s="1"/>
  <c r="K1253" i="256"/>
  <c r="L1253" i="256" s="1"/>
  <c r="K1261" i="256"/>
  <c r="L1261" i="256" s="1"/>
  <c r="K1242" i="256"/>
  <c r="L1242" i="256" s="1"/>
  <c r="K1250" i="256"/>
  <c r="L1250" i="256" s="1"/>
  <c r="K1258" i="256"/>
  <c r="L1258" i="256" s="1"/>
  <c r="K1229" i="256"/>
  <c r="L1229" i="256" s="1"/>
  <c r="K1247" i="256"/>
  <c r="L1247" i="256" s="1"/>
  <c r="K1255" i="256"/>
  <c r="L1255" i="256" s="1"/>
  <c r="K1263" i="256"/>
  <c r="L1263" i="256" s="1"/>
  <c r="K1232" i="256"/>
  <c r="L1232" i="256" s="1"/>
  <c r="K1244" i="256"/>
  <c r="L1244" i="256" s="1"/>
  <c r="K1252" i="256"/>
  <c r="L1252" i="256" s="1"/>
  <c r="K1260" i="256"/>
  <c r="L1260" i="256" s="1"/>
  <c r="K1241" i="256"/>
  <c r="L1241" i="256" s="1"/>
  <c r="K1249" i="256"/>
  <c r="L1249" i="256" s="1"/>
  <c r="K1257" i="256"/>
  <c r="L1257" i="256" s="1"/>
  <c r="K1216" i="256"/>
  <c r="L1216" i="256" s="1"/>
  <c r="K1221" i="256"/>
  <c r="L1221" i="256" s="1"/>
  <c r="K1224" i="256"/>
  <c r="L1224" i="256" s="1"/>
  <c r="K1213" i="256"/>
  <c r="L1213" i="256" s="1"/>
  <c r="L1235" i="256"/>
  <c r="K1174" i="256"/>
  <c r="L1174" i="256" s="1"/>
  <c r="K1218" i="256"/>
  <c r="L1218" i="256" s="1"/>
  <c r="K1226" i="256"/>
  <c r="L1226" i="256" s="1"/>
  <c r="K1234" i="256"/>
  <c r="L1234" i="256" s="1"/>
  <c r="K1215" i="256"/>
  <c r="L1215" i="256" s="1"/>
  <c r="K1223" i="256"/>
  <c r="L1223" i="256" s="1"/>
  <c r="K1231" i="256"/>
  <c r="L1231" i="256" s="1"/>
  <c r="K1220" i="256"/>
  <c r="L1220" i="256" s="1"/>
  <c r="K1228" i="256"/>
  <c r="L1228" i="256" s="1"/>
  <c r="K1236" i="256"/>
  <c r="L1236" i="256" s="1"/>
  <c r="K1210" i="256"/>
  <c r="L1210" i="256" s="1"/>
  <c r="K1195" i="256"/>
  <c r="L1195" i="256" s="1"/>
  <c r="K1217" i="256"/>
  <c r="L1217" i="256" s="1"/>
  <c r="K1225" i="256"/>
  <c r="L1225" i="256" s="1"/>
  <c r="K1233" i="256"/>
  <c r="L1233" i="256" s="1"/>
  <c r="K1214" i="256"/>
  <c r="L1214" i="256" s="1"/>
  <c r="K1222" i="256"/>
  <c r="L1222" i="256" s="1"/>
  <c r="K1230" i="256"/>
  <c r="L1230" i="256" s="1"/>
  <c r="K1219" i="256"/>
  <c r="L1219" i="256" s="1"/>
  <c r="K1227" i="256"/>
  <c r="L1227" i="256" s="1"/>
  <c r="K1205" i="256"/>
  <c r="L1205" i="256" s="1"/>
  <c r="K1187" i="256"/>
  <c r="L1187" i="256" s="1"/>
  <c r="K1239" i="256"/>
  <c r="L1239" i="256" s="1"/>
  <c r="K1203" i="256"/>
  <c r="L1203" i="256" s="1"/>
  <c r="K1240" i="256"/>
  <c r="L1240" i="256" s="1"/>
  <c r="K1182" i="256"/>
  <c r="L1182" i="256" s="1"/>
  <c r="K1197" i="256"/>
  <c r="L1197" i="256" s="1"/>
  <c r="K1207" i="256"/>
  <c r="L1207" i="256" s="1"/>
  <c r="K1184" i="256"/>
  <c r="L1184" i="256" s="1"/>
  <c r="K1192" i="256"/>
  <c r="L1192" i="256" s="1"/>
  <c r="K1200" i="256"/>
  <c r="L1200" i="256" s="1"/>
  <c r="K1186" i="256"/>
  <c r="L1186" i="256" s="1"/>
  <c r="K1194" i="256"/>
  <c r="L1194" i="256" s="1"/>
  <c r="K1202" i="256"/>
  <c r="L1202" i="256" s="1"/>
  <c r="K1143" i="256"/>
  <c r="K1191" i="256"/>
  <c r="L1191" i="256" s="1"/>
  <c r="K1199" i="256"/>
  <c r="L1199" i="256" s="1"/>
  <c r="K1188" i="256"/>
  <c r="L1188" i="256" s="1"/>
  <c r="K1196" i="256"/>
  <c r="L1196" i="256" s="1"/>
  <c r="K1204" i="256"/>
  <c r="L1204" i="256" s="1"/>
  <c r="K1185" i="256"/>
  <c r="L1185" i="256" s="1"/>
  <c r="K1193" i="256"/>
  <c r="L1193" i="256" s="1"/>
  <c r="K1201" i="256"/>
  <c r="L1201" i="256" s="1"/>
  <c r="K1158" i="256"/>
  <c r="L1158" i="256" s="1"/>
  <c r="K1166" i="256"/>
  <c r="L1166" i="256" s="1"/>
  <c r="K1190" i="256"/>
  <c r="L1190" i="256" s="1"/>
  <c r="K1198" i="256"/>
  <c r="L1198" i="256" s="1"/>
  <c r="K1206" i="256"/>
  <c r="L1206" i="256" s="1"/>
  <c r="K1212" i="256"/>
  <c r="L1212" i="256" s="1"/>
  <c r="K1177" i="256"/>
  <c r="L1177" i="256" s="1"/>
  <c r="K1181" i="256"/>
  <c r="L1181" i="256" s="1"/>
  <c r="K1155" i="256"/>
  <c r="L1155" i="256" s="1"/>
  <c r="K1163" i="256"/>
  <c r="L1163" i="256" s="1"/>
  <c r="K1171" i="256"/>
  <c r="L1171" i="256" s="1"/>
  <c r="K1160" i="256"/>
  <c r="L1160" i="256" s="1"/>
  <c r="K1168" i="256"/>
  <c r="L1168" i="256" s="1"/>
  <c r="K1176" i="256"/>
  <c r="L1176" i="256" s="1"/>
  <c r="K1183" i="256"/>
  <c r="L1183" i="256" s="1"/>
  <c r="K1157" i="256"/>
  <c r="L1157" i="256" s="1"/>
  <c r="K1165" i="256"/>
  <c r="L1165" i="256" s="1"/>
  <c r="K1173" i="256"/>
  <c r="L1173" i="256" s="1"/>
  <c r="K1162" i="256"/>
  <c r="L1162" i="256" s="1"/>
  <c r="K1170" i="256"/>
  <c r="L1170" i="256" s="1"/>
  <c r="K1178" i="256"/>
  <c r="L1178" i="256" s="1"/>
  <c r="K1159" i="256"/>
  <c r="L1159" i="256" s="1"/>
  <c r="K1167" i="256"/>
  <c r="L1167" i="256" s="1"/>
  <c r="K1175" i="256"/>
  <c r="L1175" i="256" s="1"/>
  <c r="K1119" i="256"/>
  <c r="L1119" i="256" s="1"/>
  <c r="K1156" i="256"/>
  <c r="L1156" i="256" s="1"/>
  <c r="K1164" i="256"/>
  <c r="L1164" i="256" s="1"/>
  <c r="K1172" i="256"/>
  <c r="L1172" i="256" s="1"/>
  <c r="K1161" i="256"/>
  <c r="L1161" i="256" s="1"/>
  <c r="K1169" i="256"/>
  <c r="L1169" i="256" s="1"/>
  <c r="K1131" i="256"/>
  <c r="L1131" i="256" s="1"/>
  <c r="K1139" i="256"/>
  <c r="L1139" i="256" s="1"/>
  <c r="K1147" i="256"/>
  <c r="L1147" i="256" s="1"/>
  <c r="O1125" i="256"/>
  <c r="O1134" i="256"/>
  <c r="K1127" i="256"/>
  <c r="L1127" i="256" s="1"/>
  <c r="O1143" i="256"/>
  <c r="K1135" i="256"/>
  <c r="L1135" i="256" s="1"/>
  <c r="K1136" i="256"/>
  <c r="L1136" i="256" s="1"/>
  <c r="K1128" i="256"/>
  <c r="L1128" i="256" s="1"/>
  <c r="K1144" i="256"/>
  <c r="L1144" i="256" s="1"/>
  <c r="K1133" i="256"/>
  <c r="L1133" i="256" s="1"/>
  <c r="K1141" i="256"/>
  <c r="L1141" i="256" s="1"/>
  <c r="K1149" i="256"/>
  <c r="L1149" i="256" s="1"/>
  <c r="K1130" i="256"/>
  <c r="L1130" i="256" s="1"/>
  <c r="K1138" i="256"/>
  <c r="L1138" i="256" s="1"/>
  <c r="K1146" i="256"/>
  <c r="L1146" i="256" s="1"/>
  <c r="K1140" i="256"/>
  <c r="L1140" i="256" s="1"/>
  <c r="K1148" i="256"/>
  <c r="L1148" i="256" s="1"/>
  <c r="K1103" i="256"/>
  <c r="L1103" i="256" s="1"/>
  <c r="K1129" i="256"/>
  <c r="L1129" i="256" s="1"/>
  <c r="K1137" i="256"/>
  <c r="L1137" i="256" s="1"/>
  <c r="K1145" i="256"/>
  <c r="L1145" i="256" s="1"/>
  <c r="K1132" i="256"/>
  <c r="L1132" i="256" s="1"/>
  <c r="K1126" i="256"/>
  <c r="L1126" i="256" s="1"/>
  <c r="K1134" i="256"/>
  <c r="K1142" i="256"/>
  <c r="L1142" i="256" s="1"/>
  <c r="K1111" i="256"/>
  <c r="L1111" i="256" s="1"/>
  <c r="K1100" i="256"/>
  <c r="L1100" i="256" s="1"/>
  <c r="K1108" i="256"/>
  <c r="L1108" i="256" s="1"/>
  <c r="K1116" i="256"/>
  <c r="L1116" i="256" s="1"/>
  <c r="K1105" i="256"/>
  <c r="L1105" i="256" s="1"/>
  <c r="K1113" i="256"/>
  <c r="L1113" i="256" s="1"/>
  <c r="O1078" i="256"/>
  <c r="K1102" i="256"/>
  <c r="L1102" i="256" s="1"/>
  <c r="K1110" i="256"/>
  <c r="L1110" i="256" s="1"/>
  <c r="K1118" i="256"/>
  <c r="L1118" i="256" s="1"/>
  <c r="K1099" i="256"/>
  <c r="L1099" i="256" s="1"/>
  <c r="K1107" i="256"/>
  <c r="L1107" i="256" s="1"/>
  <c r="K1115" i="256"/>
  <c r="L1115" i="256" s="1"/>
  <c r="O1044" i="256"/>
  <c r="O1073" i="256" s="1"/>
  <c r="O1069" i="256"/>
  <c r="K1104" i="256"/>
  <c r="L1104" i="256" s="1"/>
  <c r="K1112" i="256"/>
  <c r="L1112" i="256" s="1"/>
  <c r="K1120" i="256"/>
  <c r="L1120" i="256" s="1"/>
  <c r="K1101" i="256"/>
  <c r="L1101" i="256" s="1"/>
  <c r="K1109" i="256"/>
  <c r="L1109" i="256" s="1"/>
  <c r="K1117" i="256"/>
  <c r="L1117" i="256" s="1"/>
  <c r="O1085" i="256"/>
  <c r="K1098" i="256"/>
  <c r="L1098" i="256" s="1"/>
  <c r="K1106" i="256"/>
  <c r="L1106" i="256" s="1"/>
  <c r="K1114" i="256"/>
  <c r="L1114" i="256" s="1"/>
  <c r="K1084" i="256"/>
  <c r="L1084" i="256" s="1"/>
  <c r="O1076" i="256"/>
  <c r="K1073" i="256"/>
  <c r="K1081" i="256"/>
  <c r="L1081" i="256" s="1"/>
  <c r="K1070" i="256"/>
  <c r="L1070" i="256" s="1"/>
  <c r="K1078" i="256"/>
  <c r="K1086" i="256"/>
  <c r="L1086" i="256" s="1"/>
  <c r="K1043" i="256"/>
  <c r="L1043" i="256" s="1"/>
  <c r="K1067" i="256"/>
  <c r="L1067" i="256" s="1"/>
  <c r="K1075" i="256"/>
  <c r="L1075" i="256" s="1"/>
  <c r="K1083" i="256"/>
  <c r="L1083" i="256" s="1"/>
  <c r="K1072" i="256"/>
  <c r="L1072" i="256" s="1"/>
  <c r="K1080" i="256"/>
  <c r="L1080" i="256" s="1"/>
  <c r="K1069" i="256"/>
  <c r="L1069" i="256" s="1"/>
  <c r="K1077" i="256"/>
  <c r="L1077" i="256" s="1"/>
  <c r="K1085" i="256"/>
  <c r="K1044" i="256"/>
  <c r="K1074" i="256"/>
  <c r="L1074" i="256" s="1"/>
  <c r="K1082" i="256"/>
  <c r="L1082" i="256" s="1"/>
  <c r="K1071" i="256"/>
  <c r="L1071" i="256" s="1"/>
  <c r="K1079" i="256"/>
  <c r="L1079" i="256" s="1"/>
  <c r="K1087" i="256"/>
  <c r="L1087" i="256" s="1"/>
  <c r="K1045" i="256"/>
  <c r="L1045" i="256" s="1"/>
  <c r="K1068" i="256"/>
  <c r="L1068" i="256" s="1"/>
  <c r="K1076" i="256"/>
  <c r="K1041" i="256"/>
  <c r="L1041" i="256" s="1"/>
  <c r="K1039" i="256"/>
  <c r="L1039" i="256" s="1"/>
  <c r="K1040" i="256"/>
  <c r="L1040" i="256" s="1"/>
  <c r="K1047" i="256"/>
  <c r="L1047" i="256" s="1"/>
  <c r="K1046" i="256"/>
  <c r="K1153" i="256"/>
  <c r="L1153" i="256" s="1"/>
  <c r="K1095" i="256"/>
  <c r="L1095" i="256" s="1"/>
  <c r="K1057" i="256"/>
  <c r="L1057" i="256" s="1"/>
  <c r="K1042" i="256"/>
  <c r="L1042" i="256" s="1"/>
  <c r="K1054" i="256"/>
  <c r="L1054" i="256" s="1"/>
  <c r="K1051" i="256"/>
  <c r="L1051" i="256" s="1"/>
  <c r="K1059" i="256"/>
  <c r="L1059" i="256" s="1"/>
  <c r="K1048" i="256"/>
  <c r="L1048" i="256" s="1"/>
  <c r="K1056" i="256"/>
  <c r="L1056" i="256" s="1"/>
  <c r="K1053" i="256"/>
  <c r="L1053" i="256" s="1"/>
  <c r="K1050" i="256"/>
  <c r="L1050" i="256" s="1"/>
  <c r="K1058" i="256"/>
  <c r="L1058" i="256" s="1"/>
  <c r="K1055" i="256"/>
  <c r="L1055" i="256" s="1"/>
  <c r="K1052" i="256"/>
  <c r="L1052" i="256" s="1"/>
  <c r="K1060" i="256"/>
  <c r="L1060" i="256" s="1"/>
  <c r="K1049" i="256"/>
  <c r="L1049" i="256" s="1"/>
  <c r="K1094" i="256"/>
  <c r="L1094" i="256" s="1"/>
  <c r="K1123" i="256"/>
  <c r="L1123" i="256" s="1"/>
  <c r="K1152" i="256"/>
  <c r="L1152" i="256" s="1"/>
  <c r="K1088" i="256"/>
  <c r="L1088" i="256" s="1"/>
  <c r="K1154" i="256"/>
  <c r="L1154" i="256" s="1"/>
  <c r="K1096" i="256"/>
  <c r="L1096" i="256" s="1"/>
  <c r="K1125" i="256"/>
  <c r="K1097" i="256"/>
  <c r="L1097" i="256" s="1"/>
  <c r="K1089" i="256"/>
  <c r="L1089" i="256" s="1"/>
  <c r="K1038" i="256"/>
  <c r="L1038" i="256" s="1"/>
  <c r="K1091" i="256"/>
  <c r="L1091" i="256" s="1"/>
  <c r="K1124" i="256"/>
  <c r="L1124" i="256" s="1"/>
  <c r="K1036" i="256"/>
  <c r="L1036" i="256" s="1"/>
  <c r="K1065" i="256"/>
  <c r="L1065" i="256" s="1"/>
  <c r="K1061" i="256"/>
  <c r="L1061" i="256" s="1"/>
  <c r="K1037" i="256"/>
  <c r="L1037" i="256" s="1"/>
  <c r="K1066" i="256"/>
  <c r="L1066" i="256" s="1"/>
  <c r="K1062" i="256"/>
  <c r="L1062" i="256" s="1"/>
  <c r="K1090" i="256"/>
  <c r="L1090" i="256" s="1"/>
  <c r="I1001" i="256"/>
  <c r="I1002" i="256"/>
  <c r="J1011" i="256"/>
  <c r="I1007" i="256"/>
  <c r="J1004" i="256"/>
  <c r="I1008" i="256"/>
  <c r="I1005" i="256"/>
  <c r="I1010" i="256"/>
  <c r="J1009" i="256"/>
  <c r="K756" i="256" l="1"/>
  <c r="K751" i="256"/>
  <c r="L1639" i="256"/>
  <c r="L1648" i="256"/>
  <c r="L1633" i="256"/>
  <c r="L1657" i="256"/>
  <c r="L1609" i="256"/>
  <c r="L1642" i="256"/>
  <c r="L1663" i="256"/>
  <c r="L1046" i="256"/>
  <c r="L1482" i="256"/>
  <c r="L1473" i="256"/>
  <c r="L1497" i="256"/>
  <c r="L1476" i="256"/>
  <c r="L1485" i="256"/>
  <c r="L1488" i="256"/>
  <c r="L1479" i="256"/>
  <c r="L1491" i="256"/>
  <c r="L1494" i="256"/>
  <c r="L1404" i="256"/>
  <c r="L1401" i="256"/>
  <c r="L1395" i="256"/>
  <c r="L1410" i="256"/>
  <c r="L1125" i="256"/>
  <c r="L1143" i="256"/>
  <c r="L1085" i="256"/>
  <c r="L1134" i="256"/>
  <c r="L1073" i="256"/>
  <c r="L1076" i="256"/>
  <c r="L1044" i="256"/>
  <c r="L1078" i="256"/>
  <c r="J1025" i="256"/>
  <c r="I1025" i="256"/>
  <c r="B1025" i="256"/>
  <c r="J1024" i="256"/>
  <c r="I1024" i="256"/>
  <c r="B1024" i="256"/>
  <c r="J1023" i="256"/>
  <c r="I1023" i="256"/>
  <c r="B1023" i="256"/>
  <c r="J1022" i="256"/>
  <c r="I1022" i="256"/>
  <c r="B1022" i="256"/>
  <c r="J1021" i="256"/>
  <c r="I1021" i="256"/>
  <c r="B1021" i="256"/>
  <c r="J1020" i="256"/>
  <c r="I1020" i="256"/>
  <c r="B1020" i="256"/>
  <c r="L1019" i="256"/>
  <c r="K1019" i="256"/>
  <c r="J1017" i="256"/>
  <c r="I1017" i="256"/>
  <c r="B1017" i="256"/>
  <c r="J1016" i="256"/>
  <c r="I1016" i="256"/>
  <c r="B1016" i="256"/>
  <c r="J1015" i="256"/>
  <c r="I1015" i="256"/>
  <c r="B1015" i="256"/>
  <c r="J1014" i="256"/>
  <c r="I1014" i="256"/>
  <c r="B1014" i="256"/>
  <c r="J1013" i="256"/>
  <c r="I1013" i="256"/>
  <c r="B1013" i="256"/>
  <c r="J1012" i="256"/>
  <c r="I1012" i="256"/>
  <c r="B1012" i="256"/>
  <c r="L999" i="256"/>
  <c r="K999" i="256"/>
  <c r="O996" i="256"/>
  <c r="O997" i="256" s="1"/>
  <c r="O993" i="256"/>
  <c r="O994" i="256" s="1"/>
  <c r="O892" i="256"/>
  <c r="O893" i="256" s="1"/>
  <c r="O987" i="256"/>
  <c r="O984" i="256"/>
  <c r="J612" i="256"/>
  <c r="I612" i="256"/>
  <c r="K612" i="256" s="1"/>
  <c r="B612" i="256"/>
  <c r="AB611" i="256"/>
  <c r="AA611" i="256"/>
  <c r="Z611" i="256"/>
  <c r="Y611" i="256"/>
  <c r="X611" i="256"/>
  <c r="W611" i="256"/>
  <c r="V611" i="256"/>
  <c r="U611" i="256"/>
  <c r="L611" i="256"/>
  <c r="O980" i="256"/>
  <c r="O981" i="256" s="1"/>
  <c r="B981" i="256"/>
  <c r="B980" i="256"/>
  <c r="O977" i="256"/>
  <c r="O978" i="256" s="1"/>
  <c r="J978" i="256"/>
  <c r="I978" i="256"/>
  <c r="B978" i="256"/>
  <c r="J977" i="256"/>
  <c r="I977" i="256"/>
  <c r="B977" i="256"/>
  <c r="J979" i="256"/>
  <c r="B979" i="256"/>
  <c r="O972" i="256"/>
  <c r="O973" i="256" s="1"/>
  <c r="H973" i="256"/>
  <c r="J973" i="256" s="1"/>
  <c r="B973" i="256"/>
  <c r="H972" i="256"/>
  <c r="J972" i="256" s="1"/>
  <c r="B972" i="256"/>
  <c r="O969" i="256"/>
  <c r="O970" i="256" s="1"/>
  <c r="H970" i="256"/>
  <c r="J970" i="256" s="1"/>
  <c r="B970" i="256"/>
  <c r="H969" i="256"/>
  <c r="I969" i="256" s="1"/>
  <c r="B969" i="256"/>
  <c r="O966" i="256"/>
  <c r="O967" i="256" s="1"/>
  <c r="H967" i="256"/>
  <c r="J967" i="256" s="1"/>
  <c r="B967" i="256"/>
  <c r="H966" i="256"/>
  <c r="J966" i="256" s="1"/>
  <c r="B966" i="256"/>
  <c r="O963" i="256"/>
  <c r="O964" i="256" s="1"/>
  <c r="H964" i="256"/>
  <c r="J964" i="256" s="1"/>
  <c r="B964" i="256"/>
  <c r="H963" i="256"/>
  <c r="J963" i="256" s="1"/>
  <c r="B963" i="256"/>
  <c r="O960" i="256"/>
  <c r="O961" i="256" s="1"/>
  <c r="H961" i="256"/>
  <c r="J961" i="256" s="1"/>
  <c r="B961" i="256"/>
  <c r="H960" i="256"/>
  <c r="J960" i="256" s="1"/>
  <c r="B960" i="256"/>
  <c r="O957" i="256"/>
  <c r="O958" i="256" s="1"/>
  <c r="H958" i="256"/>
  <c r="J958" i="256" s="1"/>
  <c r="B958" i="256"/>
  <c r="H957" i="256"/>
  <c r="J957" i="256" s="1"/>
  <c r="B957" i="256"/>
  <c r="O954" i="256"/>
  <c r="O955" i="256" s="1"/>
  <c r="H955" i="256"/>
  <c r="J955" i="256" s="1"/>
  <c r="B955" i="256"/>
  <c r="H954" i="256"/>
  <c r="J954" i="256" s="1"/>
  <c r="B954" i="256"/>
  <c r="O951" i="256"/>
  <c r="O952" i="256" s="1"/>
  <c r="H952" i="256"/>
  <c r="I952" i="256" s="1"/>
  <c r="B952" i="256"/>
  <c r="H951" i="256"/>
  <c r="J951" i="256" s="1"/>
  <c r="B951" i="256"/>
  <c r="O948" i="256"/>
  <c r="O949" i="256" s="1"/>
  <c r="J949" i="256"/>
  <c r="I949" i="256"/>
  <c r="B949" i="256"/>
  <c r="J948" i="256"/>
  <c r="I948" i="256"/>
  <c r="B948" i="256"/>
  <c r="O945" i="256"/>
  <c r="O946" i="256" s="1"/>
  <c r="J946" i="256"/>
  <c r="I946" i="256"/>
  <c r="B946" i="256"/>
  <c r="J945" i="256"/>
  <c r="I945" i="256"/>
  <c r="B945" i="256"/>
  <c r="O942" i="256"/>
  <c r="O943" i="256" s="1"/>
  <c r="J943" i="256"/>
  <c r="I943" i="256"/>
  <c r="B943" i="256"/>
  <c r="J942" i="256"/>
  <c r="I942" i="256"/>
  <c r="B942" i="256"/>
  <c r="O939" i="256"/>
  <c r="O940" i="256" s="1"/>
  <c r="J940" i="256"/>
  <c r="I940" i="256"/>
  <c r="B940" i="256"/>
  <c r="J939" i="256"/>
  <c r="I939" i="256"/>
  <c r="B939" i="256"/>
  <c r="O936" i="256"/>
  <c r="O937" i="256" s="1"/>
  <c r="O933" i="256"/>
  <c r="O934" i="256" s="1"/>
  <c r="O930" i="256"/>
  <c r="O931" i="256" s="1"/>
  <c r="O927" i="256"/>
  <c r="O928" i="256" s="1"/>
  <c r="J937" i="256"/>
  <c r="I937" i="256"/>
  <c r="B937" i="256"/>
  <c r="J936" i="256"/>
  <c r="I936" i="256"/>
  <c r="B936" i="256"/>
  <c r="J934" i="256"/>
  <c r="I934" i="256"/>
  <c r="B934" i="256"/>
  <c r="J933" i="256"/>
  <c r="I933" i="256"/>
  <c r="B933" i="256"/>
  <c r="J931" i="256"/>
  <c r="I931" i="256"/>
  <c r="B931" i="256"/>
  <c r="J930" i="256"/>
  <c r="I930" i="256"/>
  <c r="B930" i="256"/>
  <c r="J928" i="256"/>
  <c r="I928" i="256"/>
  <c r="B928" i="256"/>
  <c r="J927" i="256"/>
  <c r="I927" i="256"/>
  <c r="B927" i="256"/>
  <c r="H953" i="256"/>
  <c r="J953" i="256" s="1"/>
  <c r="H956" i="256"/>
  <c r="I956" i="256" s="1"/>
  <c r="H959" i="256"/>
  <c r="J959" i="256" s="1"/>
  <c r="H962" i="256"/>
  <c r="J962" i="256" s="1"/>
  <c r="H965" i="256"/>
  <c r="J965" i="256" s="1"/>
  <c r="H968" i="256"/>
  <c r="J968" i="256" s="1"/>
  <c r="H971" i="256"/>
  <c r="J971" i="256" s="1"/>
  <c r="H950" i="256"/>
  <c r="I950" i="256" s="1"/>
  <c r="B971" i="256"/>
  <c r="B968" i="256"/>
  <c r="B965" i="256"/>
  <c r="B962" i="256"/>
  <c r="B959" i="256"/>
  <c r="B956" i="256"/>
  <c r="B953" i="256"/>
  <c r="J1033" i="256"/>
  <c r="I1033" i="256"/>
  <c r="B1033" i="256"/>
  <c r="J1032" i="256"/>
  <c r="I1032" i="256"/>
  <c r="B1032" i="256"/>
  <c r="J1031" i="256"/>
  <c r="I1031" i="256"/>
  <c r="B1031" i="256"/>
  <c r="J1030" i="256"/>
  <c r="I1030" i="256"/>
  <c r="B1030" i="256"/>
  <c r="J1029" i="256"/>
  <c r="I1029" i="256"/>
  <c r="B1029" i="256"/>
  <c r="J1028" i="256"/>
  <c r="I1028" i="256"/>
  <c r="B1028" i="256"/>
  <c r="L1027" i="256"/>
  <c r="K1027" i="256"/>
  <c r="J997" i="256"/>
  <c r="I997" i="256"/>
  <c r="B997" i="256"/>
  <c r="J996" i="256"/>
  <c r="I996" i="256"/>
  <c r="B996" i="256"/>
  <c r="J995" i="256"/>
  <c r="I995" i="256"/>
  <c r="B995" i="256"/>
  <c r="J994" i="256"/>
  <c r="I994" i="256"/>
  <c r="B994" i="256"/>
  <c r="J993" i="256"/>
  <c r="I993" i="256"/>
  <c r="B993" i="256"/>
  <c r="J992" i="256"/>
  <c r="I992" i="256"/>
  <c r="B992" i="256"/>
  <c r="L991" i="256"/>
  <c r="K991" i="256"/>
  <c r="O762" i="256"/>
  <c r="J762" i="256"/>
  <c r="I762" i="256"/>
  <c r="K762" i="256" s="1"/>
  <c r="B762" i="256"/>
  <c r="AB761" i="256"/>
  <c r="AA761" i="256"/>
  <c r="Z761" i="256"/>
  <c r="Y761" i="256"/>
  <c r="X761" i="256"/>
  <c r="W761" i="256"/>
  <c r="V761" i="256"/>
  <c r="U761" i="256"/>
  <c r="L761" i="256"/>
  <c r="O906" i="256"/>
  <c r="O898" i="256"/>
  <c r="J910" i="256"/>
  <c r="I910" i="256"/>
  <c r="B910" i="256"/>
  <c r="J909" i="256"/>
  <c r="I909" i="256"/>
  <c r="B909" i="256"/>
  <c r="J908" i="256"/>
  <c r="I908" i="256"/>
  <c r="B908" i="256"/>
  <c r="J907" i="256"/>
  <c r="I907" i="256"/>
  <c r="B907" i="256"/>
  <c r="J906" i="256"/>
  <c r="I906" i="256"/>
  <c r="B906" i="256"/>
  <c r="J905" i="256"/>
  <c r="I905" i="256"/>
  <c r="B905" i="256"/>
  <c r="J904" i="256"/>
  <c r="I904" i="256"/>
  <c r="B904" i="256"/>
  <c r="J903" i="256"/>
  <c r="I903" i="256"/>
  <c r="B903" i="256"/>
  <c r="J902" i="256"/>
  <c r="I902" i="256"/>
  <c r="B902" i="256"/>
  <c r="J901" i="256"/>
  <c r="I901" i="256"/>
  <c r="B901" i="256"/>
  <c r="J900" i="256"/>
  <c r="I900" i="256"/>
  <c r="B900" i="256"/>
  <c r="J899" i="256"/>
  <c r="I899" i="256"/>
  <c r="B899" i="256"/>
  <c r="J898" i="256"/>
  <c r="I898" i="256"/>
  <c r="B898" i="256"/>
  <c r="J897" i="256"/>
  <c r="I897" i="256"/>
  <c r="B897" i="256"/>
  <c r="J896" i="256"/>
  <c r="I896" i="256"/>
  <c r="B896" i="256"/>
  <c r="L895" i="256"/>
  <c r="K895" i="256"/>
  <c r="J869" i="256"/>
  <c r="I869" i="256"/>
  <c r="B869" i="256"/>
  <c r="J868" i="256"/>
  <c r="I868" i="256"/>
  <c r="B868" i="256"/>
  <c r="J867" i="256"/>
  <c r="I867" i="256"/>
  <c r="B867" i="256"/>
  <c r="J866" i="256"/>
  <c r="I866" i="256"/>
  <c r="B866" i="256"/>
  <c r="J865" i="256"/>
  <c r="I865" i="256"/>
  <c r="B865" i="256"/>
  <c r="J864" i="256"/>
  <c r="I864" i="256"/>
  <c r="B864" i="256"/>
  <c r="J863" i="256"/>
  <c r="I863" i="256"/>
  <c r="B863" i="256"/>
  <c r="J862" i="256"/>
  <c r="I862" i="256"/>
  <c r="B862" i="256"/>
  <c r="J861" i="256"/>
  <c r="I861" i="256"/>
  <c r="B861" i="256"/>
  <c r="L860" i="256"/>
  <c r="K860" i="256"/>
  <c r="O922" i="256"/>
  <c r="O923" i="256" s="1"/>
  <c r="J923" i="256"/>
  <c r="I923" i="256"/>
  <c r="B923" i="256"/>
  <c r="J922" i="256"/>
  <c r="I922" i="256"/>
  <c r="B922" i="256"/>
  <c r="O917" i="256"/>
  <c r="O918" i="256" s="1"/>
  <c r="O914" i="256"/>
  <c r="O915" i="256" s="1"/>
  <c r="J917" i="256"/>
  <c r="I917" i="256"/>
  <c r="B917" i="256"/>
  <c r="J916" i="256"/>
  <c r="I916" i="256"/>
  <c r="B916" i="256"/>
  <c r="J915" i="256"/>
  <c r="I915" i="256"/>
  <c r="B915" i="256"/>
  <c r="J914" i="256"/>
  <c r="I914" i="256"/>
  <c r="B914" i="256"/>
  <c r="O889" i="256"/>
  <c r="O890" i="256" s="1"/>
  <c r="O884" i="256"/>
  <c r="O885" i="256" s="1"/>
  <c r="O881" i="256"/>
  <c r="O882" i="256" s="1"/>
  <c r="J884" i="256"/>
  <c r="I884" i="256"/>
  <c r="B884" i="256"/>
  <c r="J883" i="256"/>
  <c r="I883" i="256"/>
  <c r="B883" i="256"/>
  <c r="J882" i="256"/>
  <c r="I882" i="256"/>
  <c r="B882" i="256"/>
  <c r="J881" i="256"/>
  <c r="I881" i="256"/>
  <c r="B881" i="256"/>
  <c r="J893" i="256"/>
  <c r="I893" i="256"/>
  <c r="B893" i="256"/>
  <c r="J892" i="256"/>
  <c r="I892" i="256"/>
  <c r="B892" i="256"/>
  <c r="J891" i="256"/>
  <c r="I891" i="256"/>
  <c r="B891" i="256"/>
  <c r="J890" i="256"/>
  <c r="I890" i="256"/>
  <c r="B890" i="256"/>
  <c r="J889" i="256"/>
  <c r="I889" i="256"/>
  <c r="B889" i="256"/>
  <c r="J888" i="256"/>
  <c r="I888" i="256"/>
  <c r="B888" i="256"/>
  <c r="L887" i="256"/>
  <c r="K887" i="256"/>
  <c r="J832" i="256"/>
  <c r="I832" i="256"/>
  <c r="B832" i="256"/>
  <c r="J831" i="256"/>
  <c r="I831" i="256"/>
  <c r="B831" i="256"/>
  <c r="J829" i="256"/>
  <c r="I829" i="256"/>
  <c r="B829" i="256"/>
  <c r="J828" i="256"/>
  <c r="I828" i="256"/>
  <c r="B828" i="256"/>
  <c r="J827" i="256"/>
  <c r="I827" i="256"/>
  <c r="B827" i="256"/>
  <c r="J826" i="256"/>
  <c r="I826" i="256"/>
  <c r="B826" i="256"/>
  <c r="J825" i="256"/>
  <c r="I825" i="256"/>
  <c r="B825" i="256"/>
  <c r="J824" i="256"/>
  <c r="I824" i="256"/>
  <c r="B824" i="256"/>
  <c r="J823" i="256"/>
  <c r="I823" i="256"/>
  <c r="B823" i="256"/>
  <c r="J822" i="256"/>
  <c r="I822" i="256"/>
  <c r="B822" i="256"/>
  <c r="J821" i="256"/>
  <c r="I821" i="256"/>
  <c r="B821" i="256"/>
  <c r="J820" i="256"/>
  <c r="I820" i="256"/>
  <c r="B820" i="256"/>
  <c r="B950" i="256"/>
  <c r="J947" i="256"/>
  <c r="I947" i="256"/>
  <c r="B947" i="256"/>
  <c r="J944" i="256"/>
  <c r="I944" i="256"/>
  <c r="B944" i="256"/>
  <c r="J941" i="256"/>
  <c r="I941" i="256"/>
  <c r="B941" i="256"/>
  <c r="J938" i="256"/>
  <c r="I938" i="256"/>
  <c r="B938" i="256"/>
  <c r="J935" i="256"/>
  <c r="I935" i="256"/>
  <c r="B935" i="256"/>
  <c r="J932" i="256"/>
  <c r="I932" i="256"/>
  <c r="B932" i="256"/>
  <c r="J929" i="256"/>
  <c r="I929" i="256"/>
  <c r="B929" i="256"/>
  <c r="J926" i="256"/>
  <c r="I926" i="256"/>
  <c r="B926" i="256"/>
  <c r="L925" i="256"/>
  <c r="K925" i="256"/>
  <c r="J989" i="256"/>
  <c r="I989" i="256"/>
  <c r="B989" i="256"/>
  <c r="J988" i="256"/>
  <c r="I988" i="256"/>
  <c r="B988" i="256"/>
  <c r="J987" i="256"/>
  <c r="I987" i="256"/>
  <c r="B987" i="256"/>
  <c r="J986" i="256"/>
  <c r="I986" i="256"/>
  <c r="B986" i="256"/>
  <c r="J985" i="256"/>
  <c r="I985" i="256"/>
  <c r="B985" i="256"/>
  <c r="J984" i="256"/>
  <c r="I984" i="256"/>
  <c r="B984" i="256"/>
  <c r="L983" i="256"/>
  <c r="K983" i="256"/>
  <c r="J976" i="256"/>
  <c r="I976" i="256"/>
  <c r="B976" i="256"/>
  <c r="L975" i="256"/>
  <c r="K975" i="256"/>
  <c r="J918" i="256"/>
  <c r="I918" i="256"/>
  <c r="B918" i="256"/>
  <c r="J913" i="256"/>
  <c r="I913" i="256"/>
  <c r="B913" i="256"/>
  <c r="L912" i="256"/>
  <c r="K912" i="256"/>
  <c r="J885" i="256"/>
  <c r="I885" i="256"/>
  <c r="B885" i="256"/>
  <c r="J880" i="256"/>
  <c r="I880" i="256"/>
  <c r="B880" i="256"/>
  <c r="L879" i="256"/>
  <c r="K879" i="256"/>
  <c r="J921" i="256"/>
  <c r="I921" i="256"/>
  <c r="B921" i="256"/>
  <c r="L920" i="256"/>
  <c r="K920" i="256"/>
  <c r="J851" i="256"/>
  <c r="I851" i="256"/>
  <c r="B851" i="256"/>
  <c r="J848" i="256"/>
  <c r="I848" i="256"/>
  <c r="B848" i="256"/>
  <c r="J838" i="256"/>
  <c r="I838" i="256"/>
  <c r="B838" i="256"/>
  <c r="J835" i="256"/>
  <c r="I835" i="256"/>
  <c r="B835" i="256"/>
  <c r="J858" i="256"/>
  <c r="I858" i="256"/>
  <c r="B858" i="256"/>
  <c r="J857" i="256"/>
  <c r="I857" i="256"/>
  <c r="B857" i="256"/>
  <c r="J855" i="256"/>
  <c r="I855" i="256"/>
  <c r="B855" i="256"/>
  <c r="J854" i="256"/>
  <c r="I854" i="256"/>
  <c r="B854" i="256"/>
  <c r="J853" i="256"/>
  <c r="I853" i="256"/>
  <c r="B853" i="256"/>
  <c r="J852" i="256"/>
  <c r="I852" i="256"/>
  <c r="B852" i="256"/>
  <c r="J850" i="256"/>
  <c r="I850" i="256"/>
  <c r="B850" i="256"/>
  <c r="J849" i="256"/>
  <c r="I849" i="256"/>
  <c r="B849" i="256"/>
  <c r="J847" i="256"/>
  <c r="I847" i="256"/>
  <c r="B847" i="256"/>
  <c r="J846" i="256"/>
  <c r="I846" i="256"/>
  <c r="B846" i="256"/>
  <c r="J845" i="256"/>
  <c r="I845" i="256"/>
  <c r="B845" i="256"/>
  <c r="J817" i="256"/>
  <c r="I817" i="256"/>
  <c r="B817" i="256"/>
  <c r="J816" i="256"/>
  <c r="I816" i="256"/>
  <c r="B816" i="256"/>
  <c r="J814" i="256"/>
  <c r="I814" i="256"/>
  <c r="B814" i="256"/>
  <c r="J813" i="256"/>
  <c r="I813" i="256"/>
  <c r="B813" i="256"/>
  <c r="J812" i="256"/>
  <c r="I812" i="256"/>
  <c r="B812" i="256"/>
  <c r="J811" i="256"/>
  <c r="I811" i="256"/>
  <c r="B811" i="256"/>
  <c r="J810" i="256"/>
  <c r="I810" i="256"/>
  <c r="B810" i="256"/>
  <c r="J809" i="256"/>
  <c r="I809" i="256"/>
  <c r="B809" i="256"/>
  <c r="J807" i="256"/>
  <c r="I807" i="256"/>
  <c r="B807" i="256"/>
  <c r="J806" i="256"/>
  <c r="I806" i="256"/>
  <c r="B806" i="256"/>
  <c r="J805" i="256"/>
  <c r="I805" i="256"/>
  <c r="B805" i="256"/>
  <c r="J804" i="256"/>
  <c r="I804" i="256"/>
  <c r="B804" i="256"/>
  <c r="J803" i="256"/>
  <c r="I803" i="256"/>
  <c r="B803" i="256"/>
  <c r="J802" i="256"/>
  <c r="I802" i="256"/>
  <c r="B802" i="256"/>
  <c r="J800" i="256"/>
  <c r="I800" i="256"/>
  <c r="B800" i="256"/>
  <c r="J799" i="256"/>
  <c r="I799" i="256"/>
  <c r="B799" i="256"/>
  <c r="K819" i="256"/>
  <c r="K856" i="256" s="1"/>
  <c r="L819" i="256"/>
  <c r="B833" i="256"/>
  <c r="I833" i="256"/>
  <c r="J833" i="256"/>
  <c r="B834" i="256"/>
  <c r="I834" i="256"/>
  <c r="J834" i="256"/>
  <c r="B836" i="256"/>
  <c r="I836" i="256"/>
  <c r="J836" i="256"/>
  <c r="B837" i="256"/>
  <c r="I837" i="256"/>
  <c r="J837" i="256"/>
  <c r="B839" i="256"/>
  <c r="I839" i="256"/>
  <c r="J839" i="256"/>
  <c r="B840" i="256"/>
  <c r="I840" i="256"/>
  <c r="J840" i="256"/>
  <c r="B841" i="256"/>
  <c r="I841" i="256"/>
  <c r="J841" i="256"/>
  <c r="B842" i="256"/>
  <c r="I842" i="256"/>
  <c r="J842" i="256"/>
  <c r="B790" i="256"/>
  <c r="J664" i="256"/>
  <c r="I664" i="256"/>
  <c r="K664" i="256" s="1"/>
  <c r="B664" i="256"/>
  <c r="I780" i="256"/>
  <c r="J236" i="256"/>
  <c r="I236" i="256"/>
  <c r="B236" i="256"/>
  <c r="AB235" i="256"/>
  <c r="AA235" i="256"/>
  <c r="Z235" i="256"/>
  <c r="Y235" i="256"/>
  <c r="X235" i="256"/>
  <c r="W235" i="256"/>
  <c r="V235" i="256"/>
  <c r="U235" i="256"/>
  <c r="L235" i="256"/>
  <c r="J774" i="256"/>
  <c r="I774" i="256"/>
  <c r="K774" i="256" s="1"/>
  <c r="B774" i="256"/>
  <c r="J773" i="256"/>
  <c r="I773" i="256"/>
  <c r="K773" i="256" s="1"/>
  <c r="B773" i="256"/>
  <c r="J772" i="256"/>
  <c r="I772" i="256"/>
  <c r="B772" i="256"/>
  <c r="J771" i="256"/>
  <c r="I771" i="256"/>
  <c r="K771" i="256" s="1"/>
  <c r="B771" i="256"/>
  <c r="J770" i="256"/>
  <c r="I770" i="256"/>
  <c r="B770" i="256"/>
  <c r="K770" i="256" l="1"/>
  <c r="K842" i="256"/>
  <c r="K772" i="256"/>
  <c r="L856" i="256"/>
  <c r="K830" i="256"/>
  <c r="L830" i="256" s="1"/>
  <c r="K843" i="256"/>
  <c r="L843" i="256" s="1"/>
  <c r="K1020" i="256"/>
  <c r="L1020" i="256" s="1"/>
  <c r="K1025" i="256"/>
  <c r="L1025" i="256" s="1"/>
  <c r="K1024" i="256"/>
  <c r="L1024" i="256" s="1"/>
  <c r="K1013" i="256"/>
  <c r="L1013" i="256" s="1"/>
  <c r="K1022" i="256"/>
  <c r="L1022" i="256" s="1"/>
  <c r="K1009" i="256"/>
  <c r="L1009" i="256" s="1"/>
  <c r="K1017" i="256"/>
  <c r="L1017" i="256" s="1"/>
  <c r="K1012" i="256"/>
  <c r="L1012" i="256" s="1"/>
  <c r="K1023" i="256"/>
  <c r="L1023" i="256" s="1"/>
  <c r="K1015" i="256"/>
  <c r="L1015" i="256" s="1"/>
  <c r="K1016" i="256"/>
  <c r="L1016" i="256" s="1"/>
  <c r="K1014" i="256"/>
  <c r="L1014" i="256" s="1"/>
  <c r="K1021" i="256"/>
  <c r="L1021" i="256" s="1"/>
  <c r="K1010" i="256"/>
  <c r="L1010" i="256" s="1"/>
  <c r="K1006" i="256"/>
  <c r="L1006" i="256" s="1"/>
  <c r="K1001" i="256"/>
  <c r="L1001" i="256" s="1"/>
  <c r="K1004" i="256"/>
  <c r="L1004" i="256" s="1"/>
  <c r="K1011" i="256"/>
  <c r="L1011" i="256" s="1"/>
  <c r="K1007" i="256"/>
  <c r="L1007" i="256" s="1"/>
  <c r="K1002" i="256"/>
  <c r="L1002" i="256" s="1"/>
  <c r="K1005" i="256"/>
  <c r="L1005" i="256" s="1"/>
  <c r="K1000" i="256"/>
  <c r="L1000" i="256" s="1"/>
  <c r="K1008" i="256"/>
  <c r="L1008" i="256" s="1"/>
  <c r="K1003" i="256"/>
  <c r="L1003" i="256" s="1"/>
  <c r="L612" i="256"/>
  <c r="I972" i="256"/>
  <c r="K972" i="256" s="1"/>
  <c r="L972" i="256" s="1"/>
  <c r="J969" i="256"/>
  <c r="K978" i="256"/>
  <c r="L978" i="256" s="1"/>
  <c r="I980" i="256"/>
  <c r="K977" i="256"/>
  <c r="L977" i="256" s="1"/>
  <c r="I960" i="256"/>
  <c r="K960" i="256" s="1"/>
  <c r="L960" i="256" s="1"/>
  <c r="I966" i="256"/>
  <c r="K966" i="256" s="1"/>
  <c r="L966" i="256" s="1"/>
  <c r="I979" i="256"/>
  <c r="K979" i="256" s="1"/>
  <c r="L979" i="256" s="1"/>
  <c r="I973" i="256"/>
  <c r="K973" i="256" s="1"/>
  <c r="L973" i="256" s="1"/>
  <c r="I970" i="256"/>
  <c r="K970" i="256" s="1"/>
  <c r="L970" i="256" s="1"/>
  <c r="K969" i="256"/>
  <c r="L969" i="256" s="1"/>
  <c r="I963" i="256"/>
  <c r="K963" i="256" s="1"/>
  <c r="L963" i="256" s="1"/>
  <c r="J950" i="256"/>
  <c r="K950" i="256" s="1"/>
  <c r="L950" i="256" s="1"/>
  <c r="I964" i="256"/>
  <c r="K964" i="256" s="1"/>
  <c r="L964" i="256" s="1"/>
  <c r="I967" i="256"/>
  <c r="K967" i="256" s="1"/>
  <c r="L967" i="256" s="1"/>
  <c r="I957" i="256"/>
  <c r="K957" i="256" s="1"/>
  <c r="L957" i="256" s="1"/>
  <c r="I961" i="256"/>
  <c r="K961" i="256" s="1"/>
  <c r="L961" i="256" s="1"/>
  <c r="I968" i="256"/>
  <c r="K968" i="256" s="1"/>
  <c r="L968" i="256" s="1"/>
  <c r="J952" i="256"/>
  <c r="K952" i="256" s="1"/>
  <c r="L952" i="256" s="1"/>
  <c r="I958" i="256"/>
  <c r="K958" i="256" s="1"/>
  <c r="L958" i="256" s="1"/>
  <c r="I954" i="256"/>
  <c r="K954" i="256" s="1"/>
  <c r="L954" i="256" s="1"/>
  <c r="I955" i="256"/>
  <c r="K955" i="256" s="1"/>
  <c r="L955" i="256" s="1"/>
  <c r="K996" i="256"/>
  <c r="L996" i="256" s="1"/>
  <c r="I951" i="256"/>
  <c r="K951" i="256" s="1"/>
  <c r="L951" i="256" s="1"/>
  <c r="K948" i="256"/>
  <c r="L948" i="256" s="1"/>
  <c r="K949" i="256"/>
  <c r="L949" i="256" s="1"/>
  <c r="K945" i="256"/>
  <c r="L945" i="256" s="1"/>
  <c r="K946" i="256"/>
  <c r="L946" i="256" s="1"/>
  <c r="K942" i="256"/>
  <c r="L942" i="256" s="1"/>
  <c r="K943" i="256"/>
  <c r="L943" i="256" s="1"/>
  <c r="K939" i="256"/>
  <c r="L939" i="256" s="1"/>
  <c r="K940" i="256"/>
  <c r="L940" i="256" s="1"/>
  <c r="K936" i="256"/>
  <c r="L936" i="256" s="1"/>
  <c r="K937" i="256"/>
  <c r="L937" i="256" s="1"/>
  <c r="K933" i="256"/>
  <c r="L933" i="256" s="1"/>
  <c r="I953" i="256"/>
  <c r="K953" i="256" s="1"/>
  <c r="L953" i="256" s="1"/>
  <c r="J956" i="256"/>
  <c r="K956" i="256" s="1"/>
  <c r="L956" i="256" s="1"/>
  <c r="K934" i="256"/>
  <c r="L934" i="256" s="1"/>
  <c r="I971" i="256"/>
  <c r="K971" i="256" s="1"/>
  <c r="L971" i="256" s="1"/>
  <c r="K930" i="256"/>
  <c r="L930" i="256" s="1"/>
  <c r="K993" i="256"/>
  <c r="L993" i="256" s="1"/>
  <c r="K1029" i="256"/>
  <c r="L1029" i="256" s="1"/>
  <c r="K931" i="256"/>
  <c r="L931" i="256" s="1"/>
  <c r="K1032" i="256"/>
  <c r="L1032" i="256" s="1"/>
  <c r="I965" i="256"/>
  <c r="K965" i="256" s="1"/>
  <c r="L965" i="256" s="1"/>
  <c r="K927" i="256"/>
  <c r="L927" i="256" s="1"/>
  <c r="K994" i="256"/>
  <c r="L994" i="256" s="1"/>
  <c r="K1030" i="256"/>
  <c r="L1030" i="256" s="1"/>
  <c r="K997" i="256"/>
  <c r="L997" i="256" s="1"/>
  <c r="K1033" i="256"/>
  <c r="L1033" i="256" s="1"/>
  <c r="I959" i="256"/>
  <c r="K959" i="256" s="1"/>
  <c r="L959" i="256" s="1"/>
  <c r="K992" i="256"/>
  <c r="L992" i="256" s="1"/>
  <c r="K1028" i="256"/>
  <c r="L1028" i="256" s="1"/>
  <c r="K995" i="256"/>
  <c r="L995" i="256" s="1"/>
  <c r="K1031" i="256"/>
  <c r="L1031" i="256" s="1"/>
  <c r="K928" i="256"/>
  <c r="L928" i="256" s="1"/>
  <c r="I962" i="256"/>
  <c r="K962" i="256" s="1"/>
  <c r="L962" i="256" s="1"/>
  <c r="K908" i="256"/>
  <c r="L908" i="256" s="1"/>
  <c r="K898" i="256"/>
  <c r="L898" i="256" s="1"/>
  <c r="K901" i="256"/>
  <c r="L901" i="256" s="1"/>
  <c r="K869" i="256"/>
  <c r="L869" i="256" s="1"/>
  <c r="K896" i="256"/>
  <c r="L896" i="256" s="1"/>
  <c r="K906" i="256"/>
  <c r="L906" i="256" s="1"/>
  <c r="L762" i="256"/>
  <c r="K897" i="256"/>
  <c r="L897" i="256" s="1"/>
  <c r="K899" i="256"/>
  <c r="L899" i="256" s="1"/>
  <c r="K902" i="256"/>
  <c r="L902" i="256" s="1"/>
  <c r="K915" i="256"/>
  <c r="L915" i="256" s="1"/>
  <c r="K905" i="256"/>
  <c r="L905" i="256" s="1"/>
  <c r="K866" i="256"/>
  <c r="L866" i="256" s="1"/>
  <c r="K910" i="256"/>
  <c r="L910" i="256" s="1"/>
  <c r="K907" i="256"/>
  <c r="L907" i="256" s="1"/>
  <c r="K904" i="256"/>
  <c r="L904" i="256" s="1"/>
  <c r="K867" i="256"/>
  <c r="L867" i="256" s="1"/>
  <c r="K909" i="256"/>
  <c r="L909" i="256" s="1"/>
  <c r="K900" i="256"/>
  <c r="L900" i="256" s="1"/>
  <c r="K903" i="256"/>
  <c r="L903" i="256" s="1"/>
  <c r="K863" i="256"/>
  <c r="L863" i="256" s="1"/>
  <c r="K861" i="256"/>
  <c r="L861" i="256" s="1"/>
  <c r="K864" i="256"/>
  <c r="L864" i="256" s="1"/>
  <c r="K923" i="256"/>
  <c r="L923" i="256" s="1"/>
  <c r="K862" i="256"/>
  <c r="L862" i="256" s="1"/>
  <c r="K865" i="256"/>
  <c r="L865" i="256" s="1"/>
  <c r="K868" i="256"/>
  <c r="L868" i="256" s="1"/>
  <c r="K922" i="256"/>
  <c r="L922" i="256" s="1"/>
  <c r="K884" i="256"/>
  <c r="L884" i="256" s="1"/>
  <c r="K916" i="256"/>
  <c r="L916" i="256" s="1"/>
  <c r="K917" i="256"/>
  <c r="L917" i="256" s="1"/>
  <c r="K828" i="256"/>
  <c r="L828" i="256" s="1"/>
  <c r="K914" i="256"/>
  <c r="L914" i="256" s="1"/>
  <c r="K893" i="256"/>
  <c r="L893" i="256" s="1"/>
  <c r="K889" i="256"/>
  <c r="L889" i="256" s="1"/>
  <c r="K882" i="256"/>
  <c r="L882" i="256" s="1"/>
  <c r="K890" i="256"/>
  <c r="L890" i="256" s="1"/>
  <c r="K883" i="256"/>
  <c r="L883" i="256" s="1"/>
  <c r="K892" i="256"/>
  <c r="L892" i="256" s="1"/>
  <c r="K888" i="256"/>
  <c r="L888" i="256" s="1"/>
  <c r="K881" i="256"/>
  <c r="L881" i="256" s="1"/>
  <c r="K891" i="256"/>
  <c r="L891" i="256" s="1"/>
  <c r="K932" i="256"/>
  <c r="L932" i="256" s="1"/>
  <c r="K926" i="256"/>
  <c r="L926" i="256" s="1"/>
  <c r="K935" i="256"/>
  <c r="L935" i="256" s="1"/>
  <c r="K825" i="256"/>
  <c r="L825" i="256" s="1"/>
  <c r="K944" i="256"/>
  <c r="L944" i="256" s="1"/>
  <c r="K822" i="256"/>
  <c r="L822" i="256" s="1"/>
  <c r="K831" i="256"/>
  <c r="L831" i="256" s="1"/>
  <c r="K827" i="256"/>
  <c r="L827" i="256" s="1"/>
  <c r="K824" i="256"/>
  <c r="L824" i="256" s="1"/>
  <c r="K880" i="256"/>
  <c r="L880" i="256" s="1"/>
  <c r="K929" i="256"/>
  <c r="L929" i="256" s="1"/>
  <c r="K947" i="256"/>
  <c r="L947" i="256" s="1"/>
  <c r="K821" i="256"/>
  <c r="L821" i="256" s="1"/>
  <c r="K829" i="256"/>
  <c r="L829" i="256" s="1"/>
  <c r="K826" i="256"/>
  <c r="L826" i="256" s="1"/>
  <c r="K823" i="256"/>
  <c r="L823" i="256" s="1"/>
  <c r="K832" i="256"/>
  <c r="L832" i="256" s="1"/>
  <c r="K820" i="256"/>
  <c r="L820" i="256" s="1"/>
  <c r="K941" i="256"/>
  <c r="L941" i="256" s="1"/>
  <c r="K988" i="256"/>
  <c r="L988" i="256" s="1"/>
  <c r="K938" i="256"/>
  <c r="L938" i="256" s="1"/>
  <c r="K987" i="256"/>
  <c r="L987" i="256" s="1"/>
  <c r="K986" i="256"/>
  <c r="L986" i="256" s="1"/>
  <c r="K989" i="256"/>
  <c r="L989" i="256" s="1"/>
  <c r="K976" i="256"/>
  <c r="L976" i="256" s="1"/>
  <c r="K984" i="256"/>
  <c r="L984" i="256" s="1"/>
  <c r="K985" i="256"/>
  <c r="L985" i="256" s="1"/>
  <c r="L842" i="256"/>
  <c r="K921" i="256"/>
  <c r="L921" i="256" s="1"/>
  <c r="K913" i="256"/>
  <c r="L913" i="256" s="1"/>
  <c r="K885" i="256"/>
  <c r="L885" i="256" s="1"/>
  <c r="K918" i="256"/>
  <c r="L918" i="256" s="1"/>
  <c r="K837" i="256"/>
  <c r="L837" i="256" s="1"/>
  <c r="K840" i="256"/>
  <c r="L840" i="256" s="1"/>
  <c r="K835" i="256"/>
  <c r="L835" i="256" s="1"/>
  <c r="K851" i="256"/>
  <c r="L851" i="256" s="1"/>
  <c r="K839" i="256"/>
  <c r="L839" i="256" s="1"/>
  <c r="K841" i="256"/>
  <c r="L841" i="256" s="1"/>
  <c r="K848" i="256"/>
  <c r="L848" i="256" s="1"/>
  <c r="K854" i="256"/>
  <c r="L854" i="256" s="1"/>
  <c r="K838" i="256"/>
  <c r="L838" i="256" s="1"/>
  <c r="K858" i="256"/>
  <c r="L858" i="256" s="1"/>
  <c r="K850" i="256"/>
  <c r="L850" i="256" s="1"/>
  <c r="K846" i="256"/>
  <c r="L846" i="256" s="1"/>
  <c r="K857" i="256"/>
  <c r="L857" i="256" s="1"/>
  <c r="K853" i="256"/>
  <c r="L853" i="256" s="1"/>
  <c r="K849" i="256"/>
  <c r="L849" i="256" s="1"/>
  <c r="K845" i="256"/>
  <c r="L845" i="256" s="1"/>
  <c r="K855" i="256"/>
  <c r="L855" i="256" s="1"/>
  <c r="K852" i="256"/>
  <c r="L852" i="256" s="1"/>
  <c r="K847" i="256"/>
  <c r="L847" i="256" s="1"/>
  <c r="K834" i="256"/>
  <c r="L834" i="256" s="1"/>
  <c r="K833" i="256"/>
  <c r="L833" i="256" s="1"/>
  <c r="K836" i="256"/>
  <c r="L836" i="256" s="1"/>
  <c r="K236" i="256"/>
  <c r="L236" i="256" s="1"/>
  <c r="A4" i="231"/>
  <c r="E20" i="231"/>
  <c r="E21" i="231"/>
  <c r="E22" i="231"/>
  <c r="E23" i="231"/>
  <c r="E24" i="231"/>
  <c r="E25" i="231"/>
  <c r="E26" i="231"/>
  <c r="E27" i="231"/>
  <c r="E28" i="231"/>
  <c r="E29" i="231"/>
  <c r="E30" i="231"/>
  <c r="E31" i="231"/>
  <c r="E32" i="231"/>
  <c r="E33" i="231"/>
  <c r="E34" i="231"/>
  <c r="E35" i="231"/>
  <c r="E6" i="231"/>
  <c r="F6" i="231" s="1"/>
  <c r="E7" i="231"/>
  <c r="E8" i="231"/>
  <c r="E9" i="231"/>
  <c r="E10" i="231"/>
  <c r="E11" i="231"/>
  <c r="E12" i="231"/>
  <c r="E13" i="231"/>
  <c r="E14" i="231"/>
  <c r="E15" i="231"/>
  <c r="E16" i="231"/>
  <c r="E17" i="231"/>
  <c r="E18" i="231"/>
  <c r="E19" i="231"/>
  <c r="K4" i="231"/>
  <c r="E5" i="231"/>
  <c r="K980" i="256" l="1"/>
  <c r="L980" i="256" s="1"/>
  <c r="F16" i="231"/>
  <c r="F8" i="231"/>
  <c r="F10" i="231"/>
  <c r="J980" i="256"/>
  <c r="F18" i="231"/>
  <c r="F12" i="231"/>
  <c r="F14" i="231"/>
  <c r="F19" i="231"/>
  <c r="F11" i="231"/>
  <c r="F34" i="231"/>
  <c r="F30" i="231"/>
  <c r="F26" i="231"/>
  <c r="F17" i="231"/>
  <c r="F9" i="231"/>
  <c r="F33" i="231"/>
  <c r="F29" i="231"/>
  <c r="F25" i="231"/>
  <c r="F21" i="231"/>
  <c r="F15" i="231"/>
  <c r="F7" i="231"/>
  <c r="F32" i="231"/>
  <c r="F28" i="231"/>
  <c r="F24" i="231"/>
  <c r="F5" i="231"/>
  <c r="F13" i="231"/>
  <c r="F35" i="231"/>
  <c r="F31" i="231"/>
  <c r="F27" i="231"/>
  <c r="F23" i="231"/>
  <c r="K21" i="231"/>
  <c r="K20" i="231"/>
  <c r="K19" i="231"/>
  <c r="K18" i="231"/>
  <c r="K17" i="231"/>
  <c r="K16" i="231"/>
  <c r="K15" i="231"/>
  <c r="K14" i="231"/>
  <c r="K13" i="231"/>
  <c r="K12" i="231"/>
  <c r="K11" i="231"/>
  <c r="K10" i="231"/>
  <c r="B721" i="256"/>
  <c r="B720" i="256"/>
  <c r="B719" i="256"/>
  <c r="B718" i="256"/>
  <c r="B717" i="256"/>
  <c r="B716" i="256"/>
  <c r="B715" i="256"/>
  <c r="B714" i="256"/>
  <c r="B713" i="256"/>
  <c r="B712" i="256"/>
  <c r="B711" i="256"/>
  <c r="B710" i="256"/>
  <c r="H709" i="256"/>
  <c r="I709" i="256" s="1"/>
  <c r="B709" i="256"/>
  <c r="H708" i="256"/>
  <c r="H720" i="256" s="1"/>
  <c r="B708" i="256"/>
  <c r="B707" i="256"/>
  <c r="B706" i="256"/>
  <c r="H705" i="256"/>
  <c r="H717" i="256" s="1"/>
  <c r="B705" i="256"/>
  <c r="H704" i="256"/>
  <c r="H716" i="256" s="1"/>
  <c r="B704" i="256"/>
  <c r="H703" i="256"/>
  <c r="J703" i="256" s="1"/>
  <c r="B703" i="256"/>
  <c r="H702" i="256"/>
  <c r="H714" i="256" s="1"/>
  <c r="J714" i="256" s="1"/>
  <c r="B702" i="256"/>
  <c r="H701" i="256"/>
  <c r="I701" i="256" s="1"/>
  <c r="B701" i="256"/>
  <c r="H700" i="256"/>
  <c r="H712" i="256" s="1"/>
  <c r="B700" i="256"/>
  <c r="H699" i="256"/>
  <c r="H711" i="256" s="1"/>
  <c r="B699" i="256"/>
  <c r="H698" i="256"/>
  <c r="H710" i="256" s="1"/>
  <c r="B698" i="256"/>
  <c r="O697" i="256"/>
  <c r="J697" i="256"/>
  <c r="I697" i="256"/>
  <c r="B697" i="256"/>
  <c r="O696" i="256"/>
  <c r="J696" i="256"/>
  <c r="I696" i="256"/>
  <c r="B696" i="256"/>
  <c r="O695" i="256"/>
  <c r="O707" i="256" s="1"/>
  <c r="H695" i="256"/>
  <c r="H707" i="256" s="1"/>
  <c r="H719" i="256" s="1"/>
  <c r="B695" i="256"/>
  <c r="O694" i="256"/>
  <c r="O706" i="256" s="1"/>
  <c r="H694" i="256"/>
  <c r="H706" i="256" s="1"/>
  <c r="H718" i="256" s="1"/>
  <c r="B694" i="256"/>
  <c r="O693" i="256"/>
  <c r="O705" i="256" s="1"/>
  <c r="J693" i="256"/>
  <c r="I693" i="256"/>
  <c r="B693" i="256"/>
  <c r="O692" i="256"/>
  <c r="O716" i="256" s="1"/>
  <c r="J692" i="256"/>
  <c r="I692" i="256"/>
  <c r="K692" i="256" s="1"/>
  <c r="B692" i="256"/>
  <c r="O691" i="256"/>
  <c r="J691" i="256"/>
  <c r="I691" i="256"/>
  <c r="B691" i="256"/>
  <c r="O690" i="256"/>
  <c r="J690" i="256"/>
  <c r="I690" i="256"/>
  <c r="K690" i="256" s="1"/>
  <c r="B690" i="256"/>
  <c r="O689" i="256"/>
  <c r="O713" i="256" s="1"/>
  <c r="J689" i="256"/>
  <c r="I689" i="256"/>
  <c r="B689" i="256"/>
  <c r="O688" i="256"/>
  <c r="O700" i="256" s="1"/>
  <c r="J688" i="256"/>
  <c r="I688" i="256"/>
  <c r="K688" i="256" s="1"/>
  <c r="B688" i="256"/>
  <c r="O687" i="256"/>
  <c r="O699" i="256" s="1"/>
  <c r="J687" i="256"/>
  <c r="I687" i="256"/>
  <c r="B687" i="256"/>
  <c r="O686" i="256"/>
  <c r="O698" i="256" s="1"/>
  <c r="J686" i="256"/>
  <c r="I686" i="256"/>
  <c r="K686" i="256" s="1"/>
  <c r="B686" i="256"/>
  <c r="AB685" i="256"/>
  <c r="AA685" i="256"/>
  <c r="Z685" i="256"/>
  <c r="Y685" i="256"/>
  <c r="X685" i="256"/>
  <c r="W685" i="256"/>
  <c r="V685" i="256"/>
  <c r="U685" i="256"/>
  <c r="L685" i="256"/>
  <c r="B681" i="256"/>
  <c r="J671" i="256"/>
  <c r="I671" i="256"/>
  <c r="K671" i="256" s="1"/>
  <c r="B671" i="256"/>
  <c r="J670" i="256"/>
  <c r="I670" i="256"/>
  <c r="K670" i="256" s="1"/>
  <c r="B670" i="256"/>
  <c r="J669" i="256"/>
  <c r="I669" i="256"/>
  <c r="K669" i="256" s="1"/>
  <c r="B669" i="256"/>
  <c r="J668" i="256"/>
  <c r="I668" i="256"/>
  <c r="B668" i="256"/>
  <c r="J667" i="256"/>
  <c r="I667" i="256"/>
  <c r="K667" i="256" s="1"/>
  <c r="B667" i="256"/>
  <c r="J666" i="256"/>
  <c r="I666" i="256"/>
  <c r="B666" i="256"/>
  <c r="J665" i="256"/>
  <c r="I665" i="256"/>
  <c r="K665" i="256" s="1"/>
  <c r="B665" i="256"/>
  <c r="J663" i="256"/>
  <c r="I663" i="256"/>
  <c r="B663" i="256"/>
  <c r="J662" i="256"/>
  <c r="I662" i="256"/>
  <c r="K662" i="256" s="1"/>
  <c r="B662" i="256"/>
  <c r="J661" i="256"/>
  <c r="I661" i="256"/>
  <c r="K661" i="256" s="1"/>
  <c r="B661" i="256"/>
  <c r="AB660" i="256"/>
  <c r="AA660" i="256"/>
  <c r="Z660" i="256"/>
  <c r="Y660" i="256"/>
  <c r="X660" i="256"/>
  <c r="W660" i="256"/>
  <c r="V660" i="256"/>
  <c r="U660" i="256"/>
  <c r="L660" i="256"/>
  <c r="J574" i="256"/>
  <c r="I574" i="256"/>
  <c r="B574" i="256"/>
  <c r="H414" i="256"/>
  <c r="H415" i="256"/>
  <c r="J415" i="256" s="1"/>
  <c r="H416" i="256"/>
  <c r="J416" i="256" s="1"/>
  <c r="H417" i="256"/>
  <c r="I417" i="256" s="1"/>
  <c r="H418" i="256"/>
  <c r="J418" i="256" s="1"/>
  <c r="H419" i="256"/>
  <c r="I419" i="256" s="1"/>
  <c r="H420" i="256"/>
  <c r="J420" i="256" s="1"/>
  <c r="H421" i="256"/>
  <c r="J421" i="256" s="1"/>
  <c r="H422" i="256"/>
  <c r="J422" i="256" s="1"/>
  <c r="H423" i="256"/>
  <c r="J423" i="256" s="1"/>
  <c r="H424" i="256"/>
  <c r="J424" i="256" s="1"/>
  <c r="H425" i="256"/>
  <c r="J425" i="256" s="1"/>
  <c r="H426" i="256"/>
  <c r="J426" i="256" s="1"/>
  <c r="H427" i="256"/>
  <c r="J427" i="256" s="1"/>
  <c r="H428" i="256"/>
  <c r="J428" i="256" s="1"/>
  <c r="H429" i="256"/>
  <c r="J429" i="256" s="1"/>
  <c r="H430" i="256"/>
  <c r="J430" i="256" s="1"/>
  <c r="H431" i="256"/>
  <c r="I431" i="256" s="1"/>
  <c r="H432" i="256"/>
  <c r="J432" i="256" s="1"/>
  <c r="H433" i="256"/>
  <c r="J433" i="256" s="1"/>
  <c r="H434" i="256"/>
  <c r="J434" i="256" s="1"/>
  <c r="H457" i="256"/>
  <c r="J457" i="256" s="1"/>
  <c r="H458" i="256"/>
  <c r="I458" i="256" s="1"/>
  <c r="H459" i="256"/>
  <c r="J459" i="256" s="1"/>
  <c r="H460" i="256"/>
  <c r="J460" i="256" s="1"/>
  <c r="H461" i="256"/>
  <c r="J461" i="256" s="1"/>
  <c r="H462" i="256"/>
  <c r="J462" i="256" s="1"/>
  <c r="H463" i="256"/>
  <c r="J463" i="256" s="1"/>
  <c r="H464" i="256"/>
  <c r="J464" i="256" s="1"/>
  <c r="H465" i="256"/>
  <c r="J465" i="256" s="1"/>
  <c r="H466" i="256"/>
  <c r="I466" i="256" s="1"/>
  <c r="H467" i="256"/>
  <c r="J467" i="256" s="1"/>
  <c r="H468" i="256"/>
  <c r="J468" i="256" s="1"/>
  <c r="H469" i="256"/>
  <c r="J469" i="256" s="1"/>
  <c r="H470" i="256"/>
  <c r="J470" i="256" s="1"/>
  <c r="H471" i="256"/>
  <c r="J471" i="256" s="1"/>
  <c r="H472" i="256"/>
  <c r="J472" i="256" s="1"/>
  <c r="H473" i="256"/>
  <c r="I473" i="256" s="1"/>
  <c r="H474" i="256"/>
  <c r="I474" i="256" s="1"/>
  <c r="H475" i="256"/>
  <c r="J475" i="256" s="1"/>
  <c r="H476" i="256"/>
  <c r="J476" i="256" s="1"/>
  <c r="H477" i="256"/>
  <c r="J477" i="256" s="1"/>
  <c r="H478" i="256"/>
  <c r="J478" i="256" s="1"/>
  <c r="H479" i="256"/>
  <c r="I479" i="256" s="1"/>
  <c r="H480" i="256"/>
  <c r="J480" i="256" s="1"/>
  <c r="H481" i="256"/>
  <c r="J481" i="256" s="1"/>
  <c r="H482" i="256"/>
  <c r="J482" i="256" s="1"/>
  <c r="H483" i="256"/>
  <c r="J483" i="256" s="1"/>
  <c r="H484" i="256"/>
  <c r="J484" i="256" s="1"/>
  <c r="H485" i="256"/>
  <c r="J485" i="256" s="1"/>
  <c r="H515" i="256"/>
  <c r="I515" i="256" s="1"/>
  <c r="H516" i="256"/>
  <c r="J516" i="256" s="1"/>
  <c r="H517" i="256"/>
  <c r="I517" i="256" s="1"/>
  <c r="H518" i="256"/>
  <c r="J518" i="256" s="1"/>
  <c r="H519" i="256"/>
  <c r="J519" i="256" s="1"/>
  <c r="H520" i="256"/>
  <c r="J520" i="256" s="1"/>
  <c r="H521" i="256"/>
  <c r="J521" i="256" s="1"/>
  <c r="H522" i="256"/>
  <c r="J522" i="256" s="1"/>
  <c r="H523" i="256"/>
  <c r="J523" i="256" s="1"/>
  <c r="H524" i="256"/>
  <c r="J524" i="256" s="1"/>
  <c r="H525" i="256"/>
  <c r="J525" i="256" s="1"/>
  <c r="H526" i="256"/>
  <c r="J526" i="256" s="1"/>
  <c r="H527" i="256"/>
  <c r="J527" i="256" s="1"/>
  <c r="H528" i="256"/>
  <c r="J528" i="256" s="1"/>
  <c r="H529" i="256"/>
  <c r="J529" i="256" s="1"/>
  <c r="H530" i="256"/>
  <c r="J530" i="256" s="1"/>
  <c r="H531" i="256"/>
  <c r="I531" i="256" s="1"/>
  <c r="H532" i="256"/>
  <c r="J532" i="256" s="1"/>
  <c r="H533" i="256"/>
  <c r="J533" i="256" s="1"/>
  <c r="H534" i="256"/>
  <c r="J534" i="256" s="1"/>
  <c r="H535" i="256"/>
  <c r="I535" i="256" s="1"/>
  <c r="H536" i="256"/>
  <c r="J536" i="256" s="1"/>
  <c r="H537" i="256"/>
  <c r="J537" i="256" s="1"/>
  <c r="H538" i="256"/>
  <c r="J538" i="256" s="1"/>
  <c r="H539" i="256"/>
  <c r="J539" i="256" s="1"/>
  <c r="H540" i="256"/>
  <c r="J540" i="256" s="1"/>
  <c r="H541" i="256"/>
  <c r="I541" i="256" s="1"/>
  <c r="H542" i="256"/>
  <c r="J542" i="256" s="1"/>
  <c r="H543" i="256"/>
  <c r="J543" i="256" s="1"/>
  <c r="H413" i="256"/>
  <c r="O414" i="256"/>
  <c r="O415" i="256"/>
  <c r="O416" i="256"/>
  <c r="O417" i="256"/>
  <c r="O418" i="256"/>
  <c r="O419" i="256"/>
  <c r="O420" i="256"/>
  <c r="O421" i="256"/>
  <c r="O422" i="256"/>
  <c r="O425" i="256"/>
  <c r="O426" i="256"/>
  <c r="O427" i="256"/>
  <c r="O428" i="256"/>
  <c r="O429" i="256"/>
  <c r="O430" i="256"/>
  <c r="O431" i="256"/>
  <c r="O432" i="256"/>
  <c r="O433" i="256"/>
  <c r="O457" i="256"/>
  <c r="O458" i="256"/>
  <c r="O459" i="256"/>
  <c r="O460" i="256"/>
  <c r="O461" i="256"/>
  <c r="O462" i="256"/>
  <c r="O463" i="256"/>
  <c r="O464" i="256"/>
  <c r="O465" i="256"/>
  <c r="O466" i="256"/>
  <c r="O467" i="256"/>
  <c r="O468" i="256"/>
  <c r="O469" i="256"/>
  <c r="O470" i="256"/>
  <c r="O471" i="256"/>
  <c r="O472" i="256"/>
  <c r="O473" i="256"/>
  <c r="O474" i="256"/>
  <c r="O475" i="256"/>
  <c r="O476" i="256"/>
  <c r="O477" i="256"/>
  <c r="O478" i="256"/>
  <c r="O479" i="256"/>
  <c r="O480" i="256"/>
  <c r="O481" i="256"/>
  <c r="O482" i="256"/>
  <c r="O483" i="256"/>
  <c r="O484" i="256"/>
  <c r="O485" i="256"/>
  <c r="O515" i="256"/>
  <c r="O516" i="256"/>
  <c r="O517" i="256"/>
  <c r="O518" i="256"/>
  <c r="O519" i="256"/>
  <c r="O520" i="256"/>
  <c r="O521" i="256"/>
  <c r="O522" i="256"/>
  <c r="O523" i="256"/>
  <c r="O524" i="256"/>
  <c r="O525" i="256"/>
  <c r="O526" i="256"/>
  <c r="O527" i="256"/>
  <c r="O528" i="256"/>
  <c r="O529" i="256"/>
  <c r="O530" i="256"/>
  <c r="O531" i="256"/>
  <c r="O532" i="256"/>
  <c r="O533" i="256"/>
  <c r="O534" i="256"/>
  <c r="O535" i="256"/>
  <c r="O536" i="256"/>
  <c r="O537" i="256"/>
  <c r="O538" i="256"/>
  <c r="O539" i="256"/>
  <c r="O540" i="256"/>
  <c r="O541" i="256"/>
  <c r="O542" i="256"/>
  <c r="O543" i="256"/>
  <c r="O413" i="256"/>
  <c r="E414" i="256"/>
  <c r="E415" i="256"/>
  <c r="E416" i="256"/>
  <c r="E417" i="256"/>
  <c r="E418" i="256"/>
  <c r="E419" i="256"/>
  <c r="E420" i="256"/>
  <c r="E421" i="256"/>
  <c r="E422" i="256"/>
  <c r="E423" i="256"/>
  <c r="E424" i="256"/>
  <c r="E425" i="256"/>
  <c r="E426" i="256"/>
  <c r="E427" i="256"/>
  <c r="E428" i="256"/>
  <c r="E429" i="256"/>
  <c r="E430" i="256"/>
  <c r="E431" i="256"/>
  <c r="E432" i="256"/>
  <c r="E433" i="256"/>
  <c r="E434" i="256"/>
  <c r="E435" i="256"/>
  <c r="E436" i="256"/>
  <c r="E437" i="256"/>
  <c r="E438" i="256"/>
  <c r="E439" i="256"/>
  <c r="E440" i="256"/>
  <c r="E441" i="256"/>
  <c r="E442" i="256"/>
  <c r="E443" i="256"/>
  <c r="E444" i="256"/>
  <c r="E445" i="256"/>
  <c r="E446" i="256"/>
  <c r="E447" i="256"/>
  <c r="E448" i="256"/>
  <c r="E449" i="256"/>
  <c r="E450" i="256"/>
  <c r="E451" i="256"/>
  <c r="E452" i="256"/>
  <c r="E453" i="256"/>
  <c r="E454" i="256"/>
  <c r="E455" i="256"/>
  <c r="E456" i="256"/>
  <c r="E457" i="256"/>
  <c r="E458" i="256"/>
  <c r="E459" i="256"/>
  <c r="E460" i="256"/>
  <c r="E461" i="256"/>
  <c r="E462" i="256"/>
  <c r="E463" i="256"/>
  <c r="E464" i="256"/>
  <c r="E465" i="256"/>
  <c r="E466" i="256"/>
  <c r="E467" i="256"/>
  <c r="E468" i="256"/>
  <c r="E469" i="256"/>
  <c r="E470" i="256"/>
  <c r="E471" i="256"/>
  <c r="E472" i="256"/>
  <c r="E473" i="256"/>
  <c r="E474" i="256"/>
  <c r="E475" i="256"/>
  <c r="E476" i="256"/>
  <c r="E477" i="256"/>
  <c r="E478" i="256"/>
  <c r="E479" i="256"/>
  <c r="E480" i="256"/>
  <c r="E481" i="256"/>
  <c r="E482" i="256"/>
  <c r="E483" i="256"/>
  <c r="E484" i="256"/>
  <c r="E485" i="256"/>
  <c r="E486" i="256"/>
  <c r="E487" i="256"/>
  <c r="E488" i="256"/>
  <c r="E489" i="256"/>
  <c r="E490" i="256"/>
  <c r="E491" i="256"/>
  <c r="E492" i="256"/>
  <c r="E493" i="256"/>
  <c r="E494" i="256"/>
  <c r="E495" i="256"/>
  <c r="E496" i="256"/>
  <c r="E497" i="256"/>
  <c r="E498" i="256"/>
  <c r="E499" i="256"/>
  <c r="E500" i="256"/>
  <c r="E501" i="256"/>
  <c r="E502" i="256"/>
  <c r="E503" i="256"/>
  <c r="E504" i="256"/>
  <c r="E505" i="256"/>
  <c r="E506" i="256"/>
  <c r="E507" i="256"/>
  <c r="E508" i="256"/>
  <c r="E509" i="256"/>
  <c r="E510" i="256"/>
  <c r="E511" i="256"/>
  <c r="E512" i="256"/>
  <c r="E513" i="256"/>
  <c r="E514" i="256"/>
  <c r="E515" i="256"/>
  <c r="E516" i="256"/>
  <c r="E517" i="256"/>
  <c r="E518" i="256"/>
  <c r="B518" i="256" s="1"/>
  <c r="E519" i="256"/>
  <c r="E520" i="256"/>
  <c r="E521" i="256"/>
  <c r="E522" i="256"/>
  <c r="E523" i="256"/>
  <c r="E524" i="256"/>
  <c r="E525" i="256"/>
  <c r="E526" i="256"/>
  <c r="E527" i="256"/>
  <c r="E528" i="256"/>
  <c r="E529" i="256"/>
  <c r="E530" i="256"/>
  <c r="E531" i="256"/>
  <c r="E532" i="256"/>
  <c r="E533" i="256"/>
  <c r="E534" i="256"/>
  <c r="E535" i="256"/>
  <c r="E536" i="256"/>
  <c r="E537" i="256"/>
  <c r="E538" i="256"/>
  <c r="E539" i="256"/>
  <c r="E540" i="256"/>
  <c r="E541" i="256"/>
  <c r="E542" i="256"/>
  <c r="E543" i="256"/>
  <c r="E544" i="256"/>
  <c r="E545" i="256"/>
  <c r="E546" i="256"/>
  <c r="E547" i="256"/>
  <c r="E548" i="256"/>
  <c r="E549" i="256"/>
  <c r="E550" i="256"/>
  <c r="E551" i="256"/>
  <c r="E552" i="256"/>
  <c r="E553" i="256"/>
  <c r="E554" i="256"/>
  <c r="E555" i="256"/>
  <c r="E556" i="256"/>
  <c r="E557" i="256"/>
  <c r="E558" i="256"/>
  <c r="E559" i="256"/>
  <c r="E560" i="256"/>
  <c r="E561" i="256"/>
  <c r="E562" i="256"/>
  <c r="E563" i="256"/>
  <c r="E564" i="256"/>
  <c r="E565" i="256"/>
  <c r="E566" i="256"/>
  <c r="E567" i="256"/>
  <c r="E568" i="256"/>
  <c r="E569" i="256"/>
  <c r="E570" i="256"/>
  <c r="E571" i="256"/>
  <c r="E572" i="256"/>
  <c r="B573" i="256"/>
  <c r="B578" i="256"/>
  <c r="B586" i="256"/>
  <c r="B590" i="256"/>
  <c r="B594" i="256"/>
  <c r="B598" i="256"/>
  <c r="B602" i="256"/>
  <c r="B606" i="256"/>
  <c r="E413" i="256"/>
  <c r="J609" i="256"/>
  <c r="I609" i="256"/>
  <c r="B609" i="256"/>
  <c r="J608" i="256"/>
  <c r="I608" i="256"/>
  <c r="K608" i="256" s="1"/>
  <c r="J607" i="256"/>
  <c r="I607" i="256"/>
  <c r="K607" i="256" s="1"/>
  <c r="B607" i="256"/>
  <c r="J606" i="256"/>
  <c r="I606" i="256"/>
  <c r="J605" i="256"/>
  <c r="I605" i="256"/>
  <c r="B605" i="256"/>
  <c r="J604" i="256"/>
  <c r="I604" i="256"/>
  <c r="K604" i="256" s="1"/>
  <c r="J603" i="256"/>
  <c r="I603" i="256"/>
  <c r="K603" i="256" s="1"/>
  <c r="B603" i="256"/>
  <c r="J602" i="256"/>
  <c r="I602" i="256"/>
  <c r="K602" i="256" s="1"/>
  <c r="J601" i="256"/>
  <c r="I601" i="256"/>
  <c r="K601" i="256" s="1"/>
  <c r="B601" i="256"/>
  <c r="J600" i="256"/>
  <c r="I600" i="256"/>
  <c r="K600" i="256" s="1"/>
  <c r="J599" i="256"/>
  <c r="I599" i="256"/>
  <c r="K599" i="256" s="1"/>
  <c r="B599" i="256"/>
  <c r="J598" i="256"/>
  <c r="I598" i="256"/>
  <c r="K598" i="256" s="1"/>
  <c r="J597" i="256"/>
  <c r="I597" i="256"/>
  <c r="B597" i="256"/>
  <c r="J596" i="256"/>
  <c r="I596" i="256"/>
  <c r="K596" i="256" s="1"/>
  <c r="J595" i="256"/>
  <c r="I595" i="256"/>
  <c r="K595" i="256" s="1"/>
  <c r="B595" i="256"/>
  <c r="J594" i="256"/>
  <c r="I594" i="256"/>
  <c r="J593" i="256"/>
  <c r="I593" i="256"/>
  <c r="B593" i="256"/>
  <c r="J592" i="256"/>
  <c r="I592" i="256"/>
  <c r="K592" i="256" s="1"/>
  <c r="J591" i="256"/>
  <c r="I591" i="256"/>
  <c r="K591" i="256" s="1"/>
  <c r="B591" i="256"/>
  <c r="J590" i="256"/>
  <c r="I590" i="256"/>
  <c r="J589" i="256"/>
  <c r="I589" i="256"/>
  <c r="K589" i="256" s="1"/>
  <c r="B589" i="256"/>
  <c r="J588" i="256"/>
  <c r="I588" i="256"/>
  <c r="K588" i="256" s="1"/>
  <c r="J587" i="256"/>
  <c r="I587" i="256"/>
  <c r="K587" i="256" s="1"/>
  <c r="B587" i="256"/>
  <c r="J586" i="256"/>
  <c r="I586" i="256"/>
  <c r="K586" i="256" s="1"/>
  <c r="J585" i="256"/>
  <c r="I585" i="256"/>
  <c r="K585" i="256" s="1"/>
  <c r="B585" i="256"/>
  <c r="J584" i="256"/>
  <c r="I584" i="256"/>
  <c r="K584" i="256" s="1"/>
  <c r="J583" i="256"/>
  <c r="I583" i="256"/>
  <c r="B583" i="256"/>
  <c r="J582" i="256"/>
  <c r="I582" i="256"/>
  <c r="K582" i="256" s="1"/>
  <c r="B582" i="256"/>
  <c r="J581" i="256"/>
  <c r="I581" i="256"/>
  <c r="K581" i="256" s="1"/>
  <c r="B581" i="256"/>
  <c r="J580" i="256"/>
  <c r="I580" i="256"/>
  <c r="K580" i="256" s="1"/>
  <c r="J579" i="256"/>
  <c r="I579" i="256"/>
  <c r="K579" i="256" s="1"/>
  <c r="B579" i="256"/>
  <c r="J578" i="256"/>
  <c r="I578" i="256"/>
  <c r="K578" i="256" s="1"/>
  <c r="J577" i="256"/>
  <c r="I577" i="256"/>
  <c r="K577" i="256" s="1"/>
  <c r="B577" i="256"/>
  <c r="J576" i="256"/>
  <c r="I576" i="256"/>
  <c r="K576" i="256" s="1"/>
  <c r="B576" i="256"/>
  <c r="J575" i="256"/>
  <c r="I575" i="256"/>
  <c r="K575" i="256" s="1"/>
  <c r="B575" i="256"/>
  <c r="J573" i="256"/>
  <c r="I573" i="256"/>
  <c r="K573" i="256" s="1"/>
  <c r="O628" i="256"/>
  <c r="O629" i="256"/>
  <c r="O630" i="256"/>
  <c r="O631" i="256"/>
  <c r="O632" i="256"/>
  <c r="O633" i="256"/>
  <c r="O635" i="256"/>
  <c r="O637" i="256"/>
  <c r="O627" i="256"/>
  <c r="O640" i="256"/>
  <c r="O639" i="256"/>
  <c r="O626" i="256"/>
  <c r="O638" i="256" s="1"/>
  <c r="O624" i="256"/>
  <c r="O636" i="256" s="1"/>
  <c r="O622" i="256"/>
  <c r="O634" i="256" s="1"/>
  <c r="J630" i="256"/>
  <c r="I630" i="256"/>
  <c r="B630" i="256"/>
  <c r="J629" i="256"/>
  <c r="I629" i="256"/>
  <c r="B629" i="256"/>
  <c r="J626" i="256"/>
  <c r="I626" i="256"/>
  <c r="B626" i="256"/>
  <c r="J622" i="256"/>
  <c r="I622" i="256"/>
  <c r="B622" i="256"/>
  <c r="J625" i="256"/>
  <c r="I625" i="256"/>
  <c r="B625" i="256"/>
  <c r="J620" i="256"/>
  <c r="I620" i="256"/>
  <c r="B620" i="256"/>
  <c r="J619" i="256"/>
  <c r="I619" i="256"/>
  <c r="B619" i="256"/>
  <c r="J616" i="256"/>
  <c r="I616" i="256"/>
  <c r="B616" i="256"/>
  <c r="J618" i="256"/>
  <c r="I618" i="256"/>
  <c r="B618" i="256"/>
  <c r="J650" i="256"/>
  <c r="I650" i="256"/>
  <c r="B650" i="256"/>
  <c r="J649" i="256"/>
  <c r="I649" i="256"/>
  <c r="B649" i="256"/>
  <c r="J648" i="256"/>
  <c r="I648" i="256"/>
  <c r="B648" i="256"/>
  <c r="J647" i="256"/>
  <c r="I647" i="256"/>
  <c r="B647" i="256"/>
  <c r="J646" i="256"/>
  <c r="I646" i="256"/>
  <c r="B646" i="256"/>
  <c r="J645" i="256"/>
  <c r="I645" i="256"/>
  <c r="B645" i="256"/>
  <c r="J644" i="256"/>
  <c r="I644" i="256"/>
  <c r="B644" i="256"/>
  <c r="J643" i="256"/>
  <c r="I643" i="256"/>
  <c r="B643" i="256"/>
  <c r="J642" i="256"/>
  <c r="I642" i="256"/>
  <c r="B642" i="256"/>
  <c r="J641" i="256"/>
  <c r="I641" i="256"/>
  <c r="B641" i="256"/>
  <c r="J640" i="256"/>
  <c r="I640" i="256"/>
  <c r="B640" i="256"/>
  <c r="J639" i="256"/>
  <c r="I639" i="256"/>
  <c r="B639" i="256"/>
  <c r="J638" i="256"/>
  <c r="I638" i="256"/>
  <c r="B638" i="256"/>
  <c r="J637" i="256"/>
  <c r="I637" i="256"/>
  <c r="B637" i="256"/>
  <c r="J636" i="256"/>
  <c r="I636" i="256"/>
  <c r="B636" i="256"/>
  <c r="J635" i="256"/>
  <c r="I635" i="256"/>
  <c r="B635" i="256"/>
  <c r="J634" i="256"/>
  <c r="I634" i="256"/>
  <c r="B634" i="256"/>
  <c r="J633" i="256"/>
  <c r="I633" i="256"/>
  <c r="B633" i="256"/>
  <c r="J632" i="256"/>
  <c r="I632" i="256"/>
  <c r="B632" i="256"/>
  <c r="J631" i="256"/>
  <c r="I631" i="256"/>
  <c r="B631" i="256"/>
  <c r="J628" i="256"/>
  <c r="I628" i="256"/>
  <c r="B628" i="256"/>
  <c r="J627" i="256"/>
  <c r="I627" i="256"/>
  <c r="B627" i="256"/>
  <c r="J624" i="256"/>
  <c r="I624" i="256"/>
  <c r="B624" i="256"/>
  <c r="O383" i="256"/>
  <c r="O545" i="256" s="1"/>
  <c r="O384" i="256"/>
  <c r="O546" i="256" s="1"/>
  <c r="O385" i="256"/>
  <c r="O547" i="256" s="1"/>
  <c r="O386" i="256"/>
  <c r="O548" i="256" s="1"/>
  <c r="O387" i="256"/>
  <c r="O549" i="256" s="1"/>
  <c r="O388" i="256"/>
  <c r="O550" i="256" s="1"/>
  <c r="O389" i="256"/>
  <c r="O551" i="256" s="1"/>
  <c r="O390" i="256"/>
  <c r="O552" i="256" s="1"/>
  <c r="O391" i="256"/>
  <c r="O553" i="256" s="1"/>
  <c r="O392" i="256"/>
  <c r="O554" i="256" s="1"/>
  <c r="O393" i="256"/>
  <c r="O555" i="256" s="1"/>
  <c r="O394" i="256"/>
  <c r="O556" i="256" s="1"/>
  <c r="O395" i="256"/>
  <c r="O557" i="256" s="1"/>
  <c r="O396" i="256"/>
  <c r="O558" i="256" s="1"/>
  <c r="O397" i="256"/>
  <c r="O559" i="256" s="1"/>
  <c r="O398" i="256"/>
  <c r="O560" i="256" s="1"/>
  <c r="O399" i="256"/>
  <c r="O561" i="256" s="1"/>
  <c r="O400" i="256"/>
  <c r="O562" i="256" s="1"/>
  <c r="O401" i="256"/>
  <c r="O563" i="256" s="1"/>
  <c r="O402" i="256"/>
  <c r="O564" i="256" s="1"/>
  <c r="O403" i="256"/>
  <c r="O565" i="256" s="1"/>
  <c r="O404" i="256"/>
  <c r="O566" i="256" s="1"/>
  <c r="O405" i="256"/>
  <c r="O567" i="256" s="1"/>
  <c r="O406" i="256"/>
  <c r="O568" i="256" s="1"/>
  <c r="O407" i="256"/>
  <c r="O569" i="256" s="1"/>
  <c r="O408" i="256"/>
  <c r="O570" i="256" s="1"/>
  <c r="O409" i="256"/>
  <c r="O571" i="256" s="1"/>
  <c r="O410" i="256"/>
  <c r="O572" i="256" s="1"/>
  <c r="O382" i="256"/>
  <c r="O544" i="256" s="1"/>
  <c r="H383" i="256"/>
  <c r="H545" i="256" s="1"/>
  <c r="H384" i="256"/>
  <c r="H546" i="256" s="1"/>
  <c r="H385" i="256"/>
  <c r="H547" i="256" s="1"/>
  <c r="H386" i="256"/>
  <c r="H548" i="256" s="1"/>
  <c r="J548" i="256" s="1"/>
  <c r="H387" i="256"/>
  <c r="H549" i="256" s="1"/>
  <c r="H388" i="256"/>
  <c r="H550" i="256" s="1"/>
  <c r="H389" i="256"/>
  <c r="H551" i="256" s="1"/>
  <c r="H390" i="256"/>
  <c r="H552" i="256" s="1"/>
  <c r="J552" i="256" s="1"/>
  <c r="H391" i="256"/>
  <c r="H553" i="256" s="1"/>
  <c r="I553" i="256" s="1"/>
  <c r="H392" i="256"/>
  <c r="H554" i="256" s="1"/>
  <c r="H393" i="256"/>
  <c r="H555" i="256" s="1"/>
  <c r="H394" i="256"/>
  <c r="H556" i="256" s="1"/>
  <c r="J556" i="256" s="1"/>
  <c r="H395" i="256"/>
  <c r="H557" i="256" s="1"/>
  <c r="H396" i="256"/>
  <c r="H558" i="256" s="1"/>
  <c r="H397" i="256"/>
  <c r="H559" i="256" s="1"/>
  <c r="H398" i="256"/>
  <c r="H560" i="256" s="1"/>
  <c r="H399" i="256"/>
  <c r="H561" i="256" s="1"/>
  <c r="J561" i="256" s="1"/>
  <c r="H400" i="256"/>
  <c r="H562" i="256" s="1"/>
  <c r="H401" i="256"/>
  <c r="H563" i="256" s="1"/>
  <c r="H402" i="256"/>
  <c r="H564" i="256" s="1"/>
  <c r="J564" i="256" s="1"/>
  <c r="H403" i="256"/>
  <c r="H565" i="256" s="1"/>
  <c r="H404" i="256"/>
  <c r="H566" i="256" s="1"/>
  <c r="H405" i="256"/>
  <c r="H567" i="256" s="1"/>
  <c r="H406" i="256"/>
  <c r="H568" i="256" s="1"/>
  <c r="H407" i="256"/>
  <c r="H569" i="256" s="1"/>
  <c r="J569" i="256" s="1"/>
  <c r="H408" i="256"/>
  <c r="H570" i="256" s="1"/>
  <c r="H409" i="256"/>
  <c r="H571" i="256" s="1"/>
  <c r="H410" i="256"/>
  <c r="H572" i="256" s="1"/>
  <c r="J572" i="256" s="1"/>
  <c r="H382" i="256"/>
  <c r="H544" i="256" s="1"/>
  <c r="J544" i="256" s="1"/>
  <c r="K605" i="256" l="1"/>
  <c r="K668" i="256"/>
  <c r="O714" i="256"/>
  <c r="O728" i="256"/>
  <c r="K697" i="256"/>
  <c r="L697" i="256" s="1"/>
  <c r="K709" i="256"/>
  <c r="K583" i="256"/>
  <c r="O708" i="256"/>
  <c r="O734" i="256"/>
  <c r="K590" i="256"/>
  <c r="K593" i="256"/>
  <c r="K606" i="256"/>
  <c r="K609" i="256"/>
  <c r="K574" i="256"/>
  <c r="K666" i="256"/>
  <c r="K687" i="256"/>
  <c r="L687" i="256" s="1"/>
  <c r="K689" i="256"/>
  <c r="L689" i="256" s="1"/>
  <c r="K691" i="256"/>
  <c r="L691" i="256" s="1"/>
  <c r="K693" i="256"/>
  <c r="O721" i="256"/>
  <c r="O735" i="256"/>
  <c r="K419" i="256"/>
  <c r="K594" i="256"/>
  <c r="K597" i="256"/>
  <c r="K663" i="256"/>
  <c r="L663" i="256" s="1"/>
  <c r="O715" i="256"/>
  <c r="O729" i="256"/>
  <c r="K696" i="256"/>
  <c r="L696" i="256" s="1"/>
  <c r="L725" i="256"/>
  <c r="L729" i="256"/>
  <c r="L734" i="256"/>
  <c r="L735" i="256"/>
  <c r="L730" i="256"/>
  <c r="L732" i="256"/>
  <c r="L727" i="256"/>
  <c r="L733" i="256"/>
  <c r="L728" i="256"/>
  <c r="L738" i="256"/>
  <c r="L739" i="256"/>
  <c r="L726" i="256"/>
  <c r="L736" i="256"/>
  <c r="L731" i="256"/>
  <c r="L749" i="256"/>
  <c r="L754" i="256"/>
  <c r="L755" i="256"/>
  <c r="L737" i="256"/>
  <c r="L743" i="256"/>
  <c r="L744" i="256"/>
  <c r="L748" i="256"/>
  <c r="L742" i="256"/>
  <c r="L757" i="256"/>
  <c r="L745" i="256"/>
  <c r="L750" i="256"/>
  <c r="L756" i="256"/>
  <c r="L751" i="256"/>
  <c r="J981" i="256"/>
  <c r="I981" i="256"/>
  <c r="K981" i="256" s="1"/>
  <c r="L981" i="256" s="1"/>
  <c r="I420" i="256"/>
  <c r="K420" i="256" s="1"/>
  <c r="I478" i="256"/>
  <c r="K478" i="256" s="1"/>
  <c r="J515" i="256"/>
  <c r="K515" i="256" s="1"/>
  <c r="J531" i="256"/>
  <c r="K531" i="256" s="1"/>
  <c r="L664" i="256"/>
  <c r="J458" i="256"/>
  <c r="K458" i="256" s="1"/>
  <c r="J474" i="256"/>
  <c r="K474" i="256" s="1"/>
  <c r="B454" i="256"/>
  <c r="B446" i="256"/>
  <c r="B422" i="256"/>
  <c r="B418" i="256"/>
  <c r="I695" i="256"/>
  <c r="K695" i="256" s="1"/>
  <c r="L695" i="256" s="1"/>
  <c r="I539" i="256"/>
  <c r="K539" i="256" s="1"/>
  <c r="I462" i="256"/>
  <c r="K462" i="256" s="1"/>
  <c r="B470" i="256"/>
  <c r="B466" i="256"/>
  <c r="B458" i="256"/>
  <c r="J695" i="256"/>
  <c r="L688" i="256"/>
  <c r="J431" i="256"/>
  <c r="K431" i="256" s="1"/>
  <c r="B542" i="256"/>
  <c r="B526" i="256"/>
  <c r="B522" i="256"/>
  <c r="B510" i="256"/>
  <c r="B502" i="256"/>
  <c r="B442" i="256"/>
  <c r="B438" i="256"/>
  <c r="B430" i="256"/>
  <c r="I708" i="256"/>
  <c r="K708" i="256" s="1"/>
  <c r="L708" i="256" s="1"/>
  <c r="L692" i="256"/>
  <c r="J709" i="256"/>
  <c r="B562" i="256"/>
  <c r="B534" i="256"/>
  <c r="B478" i="256"/>
  <c r="B450" i="256"/>
  <c r="B434" i="256"/>
  <c r="B426" i="256"/>
  <c r="L668" i="256"/>
  <c r="I523" i="256"/>
  <c r="K523" i="256" s="1"/>
  <c r="I430" i="256"/>
  <c r="K430" i="256" s="1"/>
  <c r="L662" i="256"/>
  <c r="J702" i="256"/>
  <c r="J517" i="256"/>
  <c r="K517" i="256" s="1"/>
  <c r="J701" i="256"/>
  <c r="K701" i="256" s="1"/>
  <c r="L693" i="256"/>
  <c r="J700" i="256"/>
  <c r="I470" i="256"/>
  <c r="K470" i="256" s="1"/>
  <c r="I704" i="256"/>
  <c r="H715" i="256"/>
  <c r="I715" i="256" s="1"/>
  <c r="O720" i="256"/>
  <c r="O704" i="256"/>
  <c r="I700" i="256"/>
  <c r="I702" i="256"/>
  <c r="K702" i="256" s="1"/>
  <c r="L690" i="256"/>
  <c r="O712" i="256"/>
  <c r="L686" i="256"/>
  <c r="I694" i="256"/>
  <c r="K694" i="256" s="1"/>
  <c r="L694" i="256" s="1"/>
  <c r="J705" i="256"/>
  <c r="J708" i="256"/>
  <c r="J694" i="256"/>
  <c r="O719" i="256"/>
  <c r="J720" i="256"/>
  <c r="I720" i="256"/>
  <c r="K720" i="256" s="1"/>
  <c r="I717" i="256"/>
  <c r="K717" i="256" s="1"/>
  <c r="J717" i="256"/>
  <c r="J711" i="256"/>
  <c r="I711" i="256"/>
  <c r="K711" i="256" s="1"/>
  <c r="J718" i="256"/>
  <c r="I718" i="256"/>
  <c r="K718" i="256" s="1"/>
  <c r="I716" i="256"/>
  <c r="J716" i="256"/>
  <c r="J710" i="256"/>
  <c r="I710" i="256"/>
  <c r="J712" i="256"/>
  <c r="I712" i="256"/>
  <c r="K712" i="256" s="1"/>
  <c r="J719" i="256"/>
  <c r="I719" i="256"/>
  <c r="K719" i="256" s="1"/>
  <c r="L719" i="256" s="1"/>
  <c r="I707" i="256"/>
  <c r="O711" i="256"/>
  <c r="J479" i="256"/>
  <c r="K479" i="256" s="1"/>
  <c r="L666" i="256"/>
  <c r="I698" i="256"/>
  <c r="J699" i="256"/>
  <c r="O702" i="256"/>
  <c r="I706" i="256"/>
  <c r="K706" i="256" s="1"/>
  <c r="L706" i="256" s="1"/>
  <c r="J707" i="256"/>
  <c r="O710" i="256"/>
  <c r="H713" i="256"/>
  <c r="I714" i="256"/>
  <c r="K714" i="256" s="1"/>
  <c r="L714" i="256" s="1"/>
  <c r="O718" i="256"/>
  <c r="H721" i="256"/>
  <c r="I699" i="256"/>
  <c r="O703" i="256"/>
  <c r="I422" i="256"/>
  <c r="K422" i="256" s="1"/>
  <c r="J698" i="256"/>
  <c r="O701" i="256"/>
  <c r="I705" i="256"/>
  <c r="K705" i="256" s="1"/>
  <c r="L705" i="256" s="1"/>
  <c r="J706" i="256"/>
  <c r="O709" i="256"/>
  <c r="O717" i="256"/>
  <c r="L667" i="256"/>
  <c r="I703" i="256"/>
  <c r="K703" i="256" s="1"/>
  <c r="J704" i="256"/>
  <c r="L661" i="256"/>
  <c r="L670" i="256"/>
  <c r="L665" i="256"/>
  <c r="I527" i="256"/>
  <c r="K527" i="256" s="1"/>
  <c r="I519" i="256"/>
  <c r="K519" i="256" s="1"/>
  <c r="J466" i="256"/>
  <c r="K466" i="256" s="1"/>
  <c r="B570" i="256"/>
  <c r="B566" i="256"/>
  <c r="B554" i="256"/>
  <c r="B546" i="256"/>
  <c r="B538" i="256"/>
  <c r="B494" i="256"/>
  <c r="B486" i="256"/>
  <c r="B482" i="256"/>
  <c r="B474" i="256"/>
  <c r="J535" i="256"/>
  <c r="K535" i="256" s="1"/>
  <c r="L669" i="256"/>
  <c r="I471" i="256"/>
  <c r="K471" i="256" s="1"/>
  <c r="I463" i="256"/>
  <c r="K463" i="256" s="1"/>
  <c r="L671" i="256"/>
  <c r="I426" i="256"/>
  <c r="K426" i="256" s="1"/>
  <c r="I542" i="256"/>
  <c r="K542" i="256" s="1"/>
  <c r="I423" i="256"/>
  <c r="K423" i="256" s="1"/>
  <c r="J473" i="256"/>
  <c r="K473" i="256" s="1"/>
  <c r="B567" i="256"/>
  <c r="B555" i="256"/>
  <c r="B539" i="256"/>
  <c r="B507" i="256"/>
  <c r="B503" i="256"/>
  <c r="B483" i="256"/>
  <c r="B475" i="256"/>
  <c r="B431" i="256"/>
  <c r="I534" i="256"/>
  <c r="K534" i="256" s="1"/>
  <c r="I415" i="256"/>
  <c r="K415" i="256" s="1"/>
  <c r="I518" i="256"/>
  <c r="K518" i="256" s="1"/>
  <c r="I526" i="256"/>
  <c r="K526" i="256" s="1"/>
  <c r="B550" i="256"/>
  <c r="B490" i="256"/>
  <c r="B572" i="256"/>
  <c r="B568" i="256"/>
  <c r="B564" i="256"/>
  <c r="B560" i="256"/>
  <c r="B556" i="256"/>
  <c r="B552" i="256"/>
  <c r="B548" i="256"/>
  <c r="B544" i="256"/>
  <c r="B540" i="256"/>
  <c r="B536" i="256"/>
  <c r="B532" i="256"/>
  <c r="B528" i="256"/>
  <c r="B524" i="256"/>
  <c r="B520" i="256"/>
  <c r="B516" i="256"/>
  <c r="B512" i="256"/>
  <c r="B508" i="256"/>
  <c r="B496" i="256"/>
  <c r="B484" i="256"/>
  <c r="B456" i="256"/>
  <c r="B444" i="256"/>
  <c r="B428" i="256"/>
  <c r="I525" i="256"/>
  <c r="K525" i="256" s="1"/>
  <c r="I533" i="256"/>
  <c r="K533" i="256" s="1"/>
  <c r="B558" i="256"/>
  <c r="B530" i="256"/>
  <c r="B514" i="256"/>
  <c r="B506" i="256"/>
  <c r="B498" i="256"/>
  <c r="B462" i="256"/>
  <c r="J541" i="256"/>
  <c r="K541" i="256" s="1"/>
  <c r="I480" i="256"/>
  <c r="K480" i="256" s="1"/>
  <c r="I485" i="256"/>
  <c r="K485" i="256" s="1"/>
  <c r="B441" i="256"/>
  <c r="B425" i="256"/>
  <c r="J419" i="256"/>
  <c r="I530" i="256"/>
  <c r="K530" i="256" s="1"/>
  <c r="I427" i="256"/>
  <c r="K427" i="256" s="1"/>
  <c r="I434" i="256"/>
  <c r="K434" i="256" s="1"/>
  <c r="I469" i="256"/>
  <c r="K469" i="256" s="1"/>
  <c r="I461" i="256"/>
  <c r="K461" i="256" s="1"/>
  <c r="I468" i="256"/>
  <c r="K468" i="256" s="1"/>
  <c r="I538" i="256"/>
  <c r="K538" i="256" s="1"/>
  <c r="I418" i="256"/>
  <c r="K418" i="256" s="1"/>
  <c r="I477" i="256"/>
  <c r="K477" i="256" s="1"/>
  <c r="I522" i="256"/>
  <c r="K522" i="256" s="1"/>
  <c r="I433" i="256"/>
  <c r="K433" i="256" s="1"/>
  <c r="I467" i="256"/>
  <c r="K467" i="256" s="1"/>
  <c r="I425" i="256"/>
  <c r="K425" i="256" s="1"/>
  <c r="J417" i="256"/>
  <c r="K417" i="256" s="1"/>
  <c r="B553" i="256"/>
  <c r="B517" i="256"/>
  <c r="B493" i="256"/>
  <c r="B477" i="256"/>
  <c r="B461" i="256"/>
  <c r="B504" i="256"/>
  <c r="B500" i="256"/>
  <c r="B492" i="256"/>
  <c r="B488" i="256"/>
  <c r="B480" i="256"/>
  <c r="B476" i="256"/>
  <c r="B472" i="256"/>
  <c r="B468" i="256"/>
  <c r="B464" i="256"/>
  <c r="B460" i="256"/>
  <c r="B452" i="256"/>
  <c r="B448" i="256"/>
  <c r="B440" i="256"/>
  <c r="B436" i="256"/>
  <c r="B432" i="256"/>
  <c r="B424" i="256"/>
  <c r="B420" i="256"/>
  <c r="B416" i="256"/>
  <c r="I459" i="256"/>
  <c r="K459" i="256" s="1"/>
  <c r="I548" i="256"/>
  <c r="K548" i="256" s="1"/>
  <c r="I475" i="256"/>
  <c r="K475" i="256" s="1"/>
  <c r="I482" i="256"/>
  <c r="K482" i="256" s="1"/>
  <c r="B571" i="256"/>
  <c r="B563" i="256"/>
  <c r="B559" i="256"/>
  <c r="B551" i="256"/>
  <c r="B547" i="256"/>
  <c r="B543" i="256"/>
  <c r="B535" i="256"/>
  <c r="B531" i="256"/>
  <c r="B527" i="256"/>
  <c r="B523" i="256"/>
  <c r="B519" i="256"/>
  <c r="B515" i="256"/>
  <c r="B511" i="256"/>
  <c r="B499" i="256"/>
  <c r="B495" i="256"/>
  <c r="B491" i="256"/>
  <c r="B487" i="256"/>
  <c r="B479" i="256"/>
  <c r="B471" i="256"/>
  <c r="B467" i="256"/>
  <c r="B463" i="256"/>
  <c r="B459" i="256"/>
  <c r="B455" i="256"/>
  <c r="B451" i="256"/>
  <c r="B447" i="256"/>
  <c r="B443" i="256"/>
  <c r="B439" i="256"/>
  <c r="B435" i="256"/>
  <c r="B427" i="256"/>
  <c r="B423" i="256"/>
  <c r="B419" i="256"/>
  <c r="B415" i="256"/>
  <c r="I543" i="256"/>
  <c r="K543" i="256" s="1"/>
  <c r="I483" i="256"/>
  <c r="K483" i="256" s="1"/>
  <c r="I424" i="256"/>
  <c r="K424" i="256" s="1"/>
  <c r="B541" i="256"/>
  <c r="B513" i="256"/>
  <c r="B505" i="256"/>
  <c r="B489" i="256"/>
  <c r="B473" i="256"/>
  <c r="B457" i="256"/>
  <c r="B453" i="256"/>
  <c r="J555" i="256"/>
  <c r="I555" i="256"/>
  <c r="K555" i="256" s="1"/>
  <c r="I560" i="256"/>
  <c r="K560" i="256" s="1"/>
  <c r="J560" i="256"/>
  <c r="I551" i="256"/>
  <c r="K551" i="256" s="1"/>
  <c r="J551" i="256"/>
  <c r="J566" i="256"/>
  <c r="I566" i="256"/>
  <c r="K566" i="256" s="1"/>
  <c r="J558" i="256"/>
  <c r="I558" i="256"/>
  <c r="K558" i="256" s="1"/>
  <c r="J550" i="256"/>
  <c r="I550" i="256"/>
  <c r="J547" i="256"/>
  <c r="I547" i="256"/>
  <c r="K547" i="256" s="1"/>
  <c r="J568" i="256"/>
  <c r="I568" i="256"/>
  <c r="K568" i="256" s="1"/>
  <c r="J567" i="256"/>
  <c r="I567" i="256"/>
  <c r="K567" i="256" s="1"/>
  <c r="J559" i="256"/>
  <c r="I559" i="256"/>
  <c r="J565" i="256"/>
  <c r="I565" i="256"/>
  <c r="K565" i="256" s="1"/>
  <c r="I557" i="256"/>
  <c r="J557" i="256"/>
  <c r="J549" i="256"/>
  <c r="I549" i="256"/>
  <c r="K549" i="256" s="1"/>
  <c r="J570" i="256"/>
  <c r="I570" i="256"/>
  <c r="J562" i="256"/>
  <c r="I562" i="256"/>
  <c r="K562" i="256" s="1"/>
  <c r="J554" i="256"/>
  <c r="I554" i="256"/>
  <c r="K554" i="256" s="1"/>
  <c r="J546" i="256"/>
  <c r="I546" i="256"/>
  <c r="K546" i="256" s="1"/>
  <c r="J571" i="256"/>
  <c r="I571" i="256"/>
  <c r="I545" i="256"/>
  <c r="J545" i="256"/>
  <c r="J563" i="256"/>
  <c r="I563" i="256"/>
  <c r="K563" i="256" s="1"/>
  <c r="I516" i="256"/>
  <c r="K516" i="256" s="1"/>
  <c r="I564" i="256"/>
  <c r="K564" i="256" s="1"/>
  <c r="I532" i="256"/>
  <c r="K532" i="256" s="1"/>
  <c r="I416" i="256"/>
  <c r="K416" i="256" s="1"/>
  <c r="I460" i="256"/>
  <c r="K460" i="256" s="1"/>
  <c r="I540" i="256"/>
  <c r="K540" i="256" s="1"/>
  <c r="I556" i="256"/>
  <c r="K556" i="256" s="1"/>
  <c r="I432" i="256"/>
  <c r="K432" i="256" s="1"/>
  <c r="I484" i="256"/>
  <c r="K484" i="256" s="1"/>
  <c r="B569" i="256"/>
  <c r="B565" i="256"/>
  <c r="B561" i="256"/>
  <c r="B557" i="256"/>
  <c r="B549" i="256"/>
  <c r="B545" i="256"/>
  <c r="B537" i="256"/>
  <c r="B533" i="256"/>
  <c r="B529" i="256"/>
  <c r="B525" i="256"/>
  <c r="B521" i="256"/>
  <c r="B509" i="256"/>
  <c r="B501" i="256"/>
  <c r="B497" i="256"/>
  <c r="B485" i="256"/>
  <c r="B481" i="256"/>
  <c r="B469" i="256"/>
  <c r="B465" i="256"/>
  <c r="I572" i="256"/>
  <c r="K572" i="256" s="1"/>
  <c r="I476" i="256"/>
  <c r="K476" i="256" s="1"/>
  <c r="I524" i="256"/>
  <c r="K524" i="256" s="1"/>
  <c r="I520" i="256"/>
  <c r="K520" i="256" s="1"/>
  <c r="J553" i="256"/>
  <c r="K553" i="256" s="1"/>
  <c r="I561" i="256"/>
  <c r="K561" i="256" s="1"/>
  <c r="I457" i="256"/>
  <c r="K457" i="256" s="1"/>
  <c r="I481" i="256"/>
  <c r="K481" i="256" s="1"/>
  <c r="I528" i="256"/>
  <c r="K528" i="256" s="1"/>
  <c r="I569" i="256"/>
  <c r="K569" i="256" s="1"/>
  <c r="I421" i="256"/>
  <c r="K421" i="256" s="1"/>
  <c r="I464" i="256"/>
  <c r="K464" i="256" s="1"/>
  <c r="I521" i="256"/>
  <c r="K521" i="256" s="1"/>
  <c r="I536" i="256"/>
  <c r="K536" i="256" s="1"/>
  <c r="I428" i="256"/>
  <c r="K428" i="256" s="1"/>
  <c r="I529" i="256"/>
  <c r="K529" i="256" s="1"/>
  <c r="I544" i="256"/>
  <c r="K544" i="256" s="1"/>
  <c r="I465" i="256"/>
  <c r="K465" i="256" s="1"/>
  <c r="I472" i="256"/>
  <c r="K472" i="256" s="1"/>
  <c r="I537" i="256"/>
  <c r="K537" i="256" s="1"/>
  <c r="I552" i="256"/>
  <c r="K552" i="256" s="1"/>
  <c r="I429" i="256"/>
  <c r="K429" i="256" s="1"/>
  <c r="B608" i="256"/>
  <c r="B604" i="256"/>
  <c r="B600" i="256"/>
  <c r="B596" i="256"/>
  <c r="B592" i="256"/>
  <c r="B588" i="256"/>
  <c r="B584" i="256"/>
  <c r="B580" i="256"/>
  <c r="B421" i="256"/>
  <c r="B437" i="256"/>
  <c r="B417" i="256"/>
  <c r="B433" i="256"/>
  <c r="B449" i="256"/>
  <c r="B429" i="256"/>
  <c r="B445" i="256"/>
  <c r="J386" i="256"/>
  <c r="I386" i="256"/>
  <c r="K386" i="256" s="1"/>
  <c r="B386" i="256"/>
  <c r="J385" i="256"/>
  <c r="I385" i="256"/>
  <c r="B385" i="256"/>
  <c r="J368" i="256"/>
  <c r="I368" i="256"/>
  <c r="K368" i="256" s="1"/>
  <c r="B368" i="256"/>
  <c r="J367" i="256"/>
  <c r="I367" i="256"/>
  <c r="K367" i="256" s="1"/>
  <c r="B367" i="256"/>
  <c r="O325" i="256"/>
  <c r="O487" i="256" s="1"/>
  <c r="O326" i="256"/>
  <c r="O488" i="256" s="1"/>
  <c r="O327" i="256"/>
  <c r="O489" i="256" s="1"/>
  <c r="O328" i="256"/>
  <c r="O490" i="256" s="1"/>
  <c r="O329" i="256"/>
  <c r="O491" i="256" s="1"/>
  <c r="O330" i="256"/>
  <c r="O492" i="256" s="1"/>
  <c r="O331" i="256"/>
  <c r="O493" i="256" s="1"/>
  <c r="O332" i="256"/>
  <c r="O494" i="256" s="1"/>
  <c r="O333" i="256"/>
  <c r="O495" i="256" s="1"/>
  <c r="O334" i="256"/>
  <c r="O496" i="256" s="1"/>
  <c r="O335" i="256"/>
  <c r="O497" i="256" s="1"/>
  <c r="O336" i="256"/>
  <c r="O498" i="256" s="1"/>
  <c r="O337" i="256"/>
  <c r="O499" i="256" s="1"/>
  <c r="O338" i="256"/>
  <c r="O500" i="256" s="1"/>
  <c r="O339" i="256"/>
  <c r="O501" i="256" s="1"/>
  <c r="O340" i="256"/>
  <c r="O502" i="256" s="1"/>
  <c r="O341" i="256"/>
  <c r="O503" i="256" s="1"/>
  <c r="O342" i="256"/>
  <c r="O504" i="256" s="1"/>
  <c r="O343" i="256"/>
  <c r="O505" i="256" s="1"/>
  <c r="O344" i="256"/>
  <c r="O506" i="256" s="1"/>
  <c r="O345" i="256"/>
  <c r="O507" i="256" s="1"/>
  <c r="O346" i="256"/>
  <c r="O508" i="256" s="1"/>
  <c r="O347" i="256"/>
  <c r="O509" i="256" s="1"/>
  <c r="O348" i="256"/>
  <c r="O510" i="256" s="1"/>
  <c r="O349" i="256"/>
  <c r="O511" i="256" s="1"/>
  <c r="O350" i="256"/>
  <c r="O512" i="256" s="1"/>
  <c r="O351" i="256"/>
  <c r="O513" i="256" s="1"/>
  <c r="O352" i="256"/>
  <c r="O514" i="256" s="1"/>
  <c r="O324" i="256"/>
  <c r="O486" i="256" s="1"/>
  <c r="H352" i="256"/>
  <c r="H351" i="256"/>
  <c r="H350" i="256"/>
  <c r="H349" i="256"/>
  <c r="H348" i="256"/>
  <c r="H347" i="256"/>
  <c r="H346" i="256"/>
  <c r="H508" i="256" s="1"/>
  <c r="H345" i="256"/>
  <c r="H344" i="256"/>
  <c r="H343" i="256"/>
  <c r="H342" i="256"/>
  <c r="H341" i="256"/>
  <c r="H340" i="256"/>
  <c r="H339" i="256"/>
  <c r="H338" i="256"/>
  <c r="H500" i="256" s="1"/>
  <c r="H337" i="256"/>
  <c r="H336" i="256"/>
  <c r="H335" i="256"/>
  <c r="H497" i="256" s="1"/>
  <c r="H334" i="256"/>
  <c r="H333" i="256"/>
  <c r="H332" i="256"/>
  <c r="H331" i="256"/>
  <c r="H330" i="256"/>
  <c r="H492" i="256" s="1"/>
  <c r="H329" i="256"/>
  <c r="H328" i="256"/>
  <c r="I328" i="256" s="1"/>
  <c r="H327" i="256"/>
  <c r="J327" i="256" s="1"/>
  <c r="H326" i="256"/>
  <c r="H325" i="256"/>
  <c r="H324" i="256"/>
  <c r="H282" i="256"/>
  <c r="H456" i="256" s="1"/>
  <c r="O281" i="256"/>
  <c r="O455" i="256" s="1"/>
  <c r="O280" i="256"/>
  <c r="O454" i="256" s="1"/>
  <c r="O279" i="256"/>
  <c r="O453" i="256" s="1"/>
  <c r="O278" i="256"/>
  <c r="O452" i="256" s="1"/>
  <c r="O277" i="256"/>
  <c r="O451" i="256" s="1"/>
  <c r="O276" i="256"/>
  <c r="O450" i="256" s="1"/>
  <c r="O275" i="256"/>
  <c r="O449" i="256" s="1"/>
  <c r="O274" i="256"/>
  <c r="O448" i="256" s="1"/>
  <c r="O273" i="256"/>
  <c r="O447" i="256" s="1"/>
  <c r="O270" i="256"/>
  <c r="O444" i="256" s="1"/>
  <c r="O269" i="256"/>
  <c r="O443" i="256" s="1"/>
  <c r="O268" i="256"/>
  <c r="O442" i="256" s="1"/>
  <c r="O267" i="256"/>
  <c r="O441" i="256" s="1"/>
  <c r="O266" i="256"/>
  <c r="O440" i="256" s="1"/>
  <c r="O265" i="256"/>
  <c r="O439" i="256" s="1"/>
  <c r="O264" i="256"/>
  <c r="O438" i="256" s="1"/>
  <c r="O263" i="256"/>
  <c r="O437" i="256" s="1"/>
  <c r="O262" i="256"/>
  <c r="O436" i="256" s="1"/>
  <c r="O261" i="256"/>
  <c r="O435" i="256" s="1"/>
  <c r="H281" i="256"/>
  <c r="H280" i="256"/>
  <c r="H279" i="256"/>
  <c r="I279" i="256" s="1"/>
  <c r="H278" i="256"/>
  <c r="H277" i="256"/>
  <c r="H276" i="256"/>
  <c r="H275" i="256"/>
  <c r="H274" i="256"/>
  <c r="H273" i="256"/>
  <c r="H272" i="256"/>
  <c r="H271" i="256"/>
  <c r="H270" i="256"/>
  <c r="H269" i="256"/>
  <c r="H268" i="256"/>
  <c r="H267" i="256"/>
  <c r="H266" i="256"/>
  <c r="H265" i="256"/>
  <c r="H264" i="256"/>
  <c r="H263" i="256"/>
  <c r="H262" i="256"/>
  <c r="H261" i="256"/>
  <c r="J261" i="256" s="1"/>
  <c r="B282" i="256"/>
  <c r="B281" i="256"/>
  <c r="B280" i="256"/>
  <c r="B279" i="256"/>
  <c r="B278" i="256"/>
  <c r="B277" i="256"/>
  <c r="B276" i="256"/>
  <c r="B275" i="256"/>
  <c r="B274" i="256"/>
  <c r="B273" i="256"/>
  <c r="B272" i="256"/>
  <c r="B271" i="256"/>
  <c r="B270" i="256"/>
  <c r="B269" i="256"/>
  <c r="B268" i="256"/>
  <c r="B267" i="256"/>
  <c r="B266" i="256"/>
  <c r="B265" i="256"/>
  <c r="B264" i="256"/>
  <c r="B263" i="256"/>
  <c r="B262" i="256"/>
  <c r="B261" i="256"/>
  <c r="O260" i="256"/>
  <c r="O250" i="256"/>
  <c r="O249" i="256"/>
  <c r="B239" i="256"/>
  <c r="J410" i="256"/>
  <c r="I410" i="256"/>
  <c r="B410" i="256"/>
  <c r="J409" i="256"/>
  <c r="I409" i="256"/>
  <c r="K409" i="256" s="1"/>
  <c r="B409" i="256"/>
  <c r="J408" i="256"/>
  <c r="I408" i="256"/>
  <c r="K408" i="256" s="1"/>
  <c r="B408" i="256"/>
  <c r="J407" i="256"/>
  <c r="I407" i="256"/>
  <c r="K407" i="256" s="1"/>
  <c r="B407" i="256"/>
  <c r="J406" i="256"/>
  <c r="I406" i="256"/>
  <c r="K406" i="256" s="1"/>
  <c r="B406" i="256"/>
  <c r="J405" i="256"/>
  <c r="I405" i="256"/>
  <c r="K405" i="256" s="1"/>
  <c r="B405" i="256"/>
  <c r="J404" i="256"/>
  <c r="I404" i="256"/>
  <c r="K404" i="256" s="1"/>
  <c r="B404" i="256"/>
  <c r="J403" i="256"/>
  <c r="I403" i="256"/>
  <c r="K403" i="256" s="1"/>
  <c r="B403" i="256"/>
  <c r="J402" i="256"/>
  <c r="I402" i="256"/>
  <c r="B402" i="256"/>
  <c r="J401" i="256"/>
  <c r="I401" i="256"/>
  <c r="K401" i="256" s="1"/>
  <c r="B401" i="256"/>
  <c r="J400" i="256"/>
  <c r="I400" i="256"/>
  <c r="K400" i="256" s="1"/>
  <c r="B400" i="256"/>
  <c r="J399" i="256"/>
  <c r="I399" i="256"/>
  <c r="K399" i="256" s="1"/>
  <c r="B399" i="256"/>
  <c r="J398" i="256"/>
  <c r="I398" i="256"/>
  <c r="B398" i="256"/>
  <c r="J397" i="256"/>
  <c r="I397" i="256"/>
  <c r="K397" i="256" s="1"/>
  <c r="B397" i="256"/>
  <c r="J396" i="256"/>
  <c r="I396" i="256"/>
  <c r="K396" i="256" s="1"/>
  <c r="B396" i="256"/>
  <c r="J395" i="256"/>
  <c r="I395" i="256"/>
  <c r="K395" i="256" s="1"/>
  <c r="B395" i="256"/>
  <c r="J394" i="256"/>
  <c r="I394" i="256"/>
  <c r="B394" i="256"/>
  <c r="J393" i="256"/>
  <c r="I393" i="256"/>
  <c r="K393" i="256" s="1"/>
  <c r="B393" i="256"/>
  <c r="J392" i="256"/>
  <c r="I392" i="256"/>
  <c r="K392" i="256" s="1"/>
  <c r="B392" i="256"/>
  <c r="J391" i="256"/>
  <c r="I391" i="256"/>
  <c r="K391" i="256" s="1"/>
  <c r="B391" i="256"/>
  <c r="J390" i="256"/>
  <c r="I390" i="256"/>
  <c r="B390" i="256"/>
  <c r="J389" i="256"/>
  <c r="I389" i="256"/>
  <c r="K389" i="256" s="1"/>
  <c r="B389" i="256"/>
  <c r="J388" i="256"/>
  <c r="I388" i="256"/>
  <c r="K388" i="256" s="1"/>
  <c r="B388" i="256"/>
  <c r="J387" i="256"/>
  <c r="I387" i="256"/>
  <c r="K387" i="256" s="1"/>
  <c r="B387" i="256"/>
  <c r="J384" i="256"/>
  <c r="I384" i="256"/>
  <c r="B384" i="256"/>
  <c r="J383" i="256"/>
  <c r="I383" i="256"/>
  <c r="K383" i="256" s="1"/>
  <c r="B383" i="256"/>
  <c r="J382" i="256"/>
  <c r="I382" i="256"/>
  <c r="K382" i="256" s="1"/>
  <c r="B382" i="256"/>
  <c r="J381" i="256"/>
  <c r="I381" i="256"/>
  <c r="B381" i="256"/>
  <c r="J380" i="256"/>
  <c r="I380" i="256"/>
  <c r="B380" i="256"/>
  <c r="J379" i="256"/>
  <c r="I379" i="256"/>
  <c r="K379" i="256" s="1"/>
  <c r="B379" i="256"/>
  <c r="J378" i="256"/>
  <c r="I378" i="256"/>
  <c r="K378" i="256" s="1"/>
  <c r="B378" i="256"/>
  <c r="J377" i="256"/>
  <c r="I377" i="256"/>
  <c r="K377" i="256" s="1"/>
  <c r="B377" i="256"/>
  <c r="J376" i="256"/>
  <c r="I376" i="256"/>
  <c r="B376" i="256"/>
  <c r="J375" i="256"/>
  <c r="I375" i="256"/>
  <c r="K375" i="256" s="1"/>
  <c r="B375" i="256"/>
  <c r="J374" i="256"/>
  <c r="I374" i="256"/>
  <c r="K374" i="256" s="1"/>
  <c r="B374" i="256"/>
  <c r="J373" i="256"/>
  <c r="I373" i="256"/>
  <c r="B373" i="256"/>
  <c r="J372" i="256"/>
  <c r="I372" i="256"/>
  <c r="B372" i="256"/>
  <c r="J371" i="256"/>
  <c r="I371" i="256"/>
  <c r="K371" i="256" s="1"/>
  <c r="B371" i="256"/>
  <c r="J370" i="256"/>
  <c r="I370" i="256"/>
  <c r="B370" i="256"/>
  <c r="J369" i="256"/>
  <c r="I369" i="256"/>
  <c r="K369" i="256" s="1"/>
  <c r="B369" i="256"/>
  <c r="J366" i="256"/>
  <c r="I366" i="256"/>
  <c r="B366" i="256"/>
  <c r="J365" i="256"/>
  <c r="I365" i="256"/>
  <c r="K365" i="256" s="1"/>
  <c r="B365" i="256"/>
  <c r="J364" i="256"/>
  <c r="I364" i="256"/>
  <c r="K364" i="256" s="1"/>
  <c r="B364" i="256"/>
  <c r="J363" i="256"/>
  <c r="I363" i="256"/>
  <c r="B363" i="256"/>
  <c r="J362" i="256"/>
  <c r="I362" i="256"/>
  <c r="B362" i="256"/>
  <c r="J361" i="256"/>
  <c r="I361" i="256"/>
  <c r="K361" i="256" s="1"/>
  <c r="B361" i="256"/>
  <c r="J360" i="256"/>
  <c r="I360" i="256"/>
  <c r="K360" i="256" s="1"/>
  <c r="B360" i="256"/>
  <c r="J359" i="256"/>
  <c r="I359" i="256"/>
  <c r="K359" i="256" s="1"/>
  <c r="B359" i="256"/>
  <c r="J358" i="256"/>
  <c r="I358" i="256"/>
  <c r="B358" i="256"/>
  <c r="J357" i="256"/>
  <c r="I357" i="256"/>
  <c r="K357" i="256" s="1"/>
  <c r="B357" i="256"/>
  <c r="J356" i="256"/>
  <c r="I356" i="256"/>
  <c r="K356" i="256" s="1"/>
  <c r="B356" i="256"/>
  <c r="J355" i="256"/>
  <c r="I355" i="256"/>
  <c r="B355" i="256"/>
  <c r="J354" i="256"/>
  <c r="I354" i="256"/>
  <c r="B354" i="256"/>
  <c r="J353" i="256"/>
  <c r="I353" i="256"/>
  <c r="K353" i="256" s="1"/>
  <c r="B353" i="256"/>
  <c r="B352" i="256"/>
  <c r="B351" i="256"/>
  <c r="B350" i="256"/>
  <c r="B349" i="256"/>
  <c r="B348" i="256"/>
  <c r="B347" i="256"/>
  <c r="B346" i="256"/>
  <c r="B345" i="256"/>
  <c r="B344" i="256"/>
  <c r="B343" i="256"/>
  <c r="B342" i="256"/>
  <c r="B341" i="256"/>
  <c r="B340" i="256"/>
  <c r="B339" i="256"/>
  <c r="B338" i="256"/>
  <c r="B337" i="256"/>
  <c r="B336" i="256"/>
  <c r="B335" i="256"/>
  <c r="B334" i="256"/>
  <c r="B333" i="256"/>
  <c r="B332" i="256"/>
  <c r="B331" i="256"/>
  <c r="B330" i="256"/>
  <c r="B329" i="256"/>
  <c r="B328" i="256"/>
  <c r="B327" i="256"/>
  <c r="B326" i="256"/>
  <c r="B325" i="256"/>
  <c r="B324" i="256"/>
  <c r="J323" i="256"/>
  <c r="I323" i="256"/>
  <c r="K323" i="256" s="1"/>
  <c r="B323" i="256"/>
  <c r="J322" i="256"/>
  <c r="I322" i="256"/>
  <c r="K322" i="256" s="1"/>
  <c r="B322" i="256"/>
  <c r="J321" i="256"/>
  <c r="I321" i="256"/>
  <c r="K321" i="256" s="1"/>
  <c r="B321" i="256"/>
  <c r="J320" i="256"/>
  <c r="I320" i="256"/>
  <c r="B320" i="256"/>
  <c r="J319" i="256"/>
  <c r="I319" i="256"/>
  <c r="K319" i="256" s="1"/>
  <c r="B319" i="256"/>
  <c r="J318" i="256"/>
  <c r="I318" i="256"/>
  <c r="K318" i="256" s="1"/>
  <c r="B318" i="256"/>
  <c r="J317" i="256"/>
  <c r="I317" i="256"/>
  <c r="B317" i="256"/>
  <c r="J316" i="256"/>
  <c r="I316" i="256"/>
  <c r="B316" i="256"/>
  <c r="J315" i="256"/>
  <c r="I315" i="256"/>
  <c r="K315" i="256" s="1"/>
  <c r="B315" i="256"/>
  <c r="J314" i="256"/>
  <c r="I314" i="256"/>
  <c r="B314" i="256"/>
  <c r="J313" i="256"/>
  <c r="I313" i="256"/>
  <c r="K313" i="256" s="1"/>
  <c r="B313" i="256"/>
  <c r="J312" i="256"/>
  <c r="I312" i="256"/>
  <c r="B312" i="256"/>
  <c r="J311" i="256"/>
  <c r="I311" i="256"/>
  <c r="K311" i="256" s="1"/>
  <c r="B311" i="256"/>
  <c r="J310" i="256"/>
  <c r="I310" i="256"/>
  <c r="K310" i="256" s="1"/>
  <c r="B310" i="256"/>
  <c r="J309" i="256"/>
  <c r="I309" i="256"/>
  <c r="B309" i="256"/>
  <c r="J308" i="256"/>
  <c r="I308" i="256"/>
  <c r="B308" i="256"/>
  <c r="J307" i="256"/>
  <c r="I307" i="256"/>
  <c r="K307" i="256" s="1"/>
  <c r="B307" i="256"/>
  <c r="J306" i="256"/>
  <c r="I306" i="256"/>
  <c r="K306" i="256" s="1"/>
  <c r="B306" i="256"/>
  <c r="J305" i="256"/>
  <c r="I305" i="256"/>
  <c r="K305" i="256" s="1"/>
  <c r="B305" i="256"/>
  <c r="J304" i="256"/>
  <c r="I304" i="256"/>
  <c r="B304" i="256"/>
  <c r="J303" i="256"/>
  <c r="I303" i="256"/>
  <c r="K303" i="256" s="1"/>
  <c r="B303" i="256"/>
  <c r="J302" i="256"/>
  <c r="I302" i="256"/>
  <c r="K302" i="256" s="1"/>
  <c r="B302" i="256"/>
  <c r="J301" i="256"/>
  <c r="I301" i="256"/>
  <c r="B301" i="256"/>
  <c r="J300" i="256"/>
  <c r="I300" i="256"/>
  <c r="B300" i="256"/>
  <c r="J299" i="256"/>
  <c r="I299" i="256"/>
  <c r="K299" i="256" s="1"/>
  <c r="B299" i="256"/>
  <c r="J298" i="256"/>
  <c r="I298" i="256"/>
  <c r="K298" i="256" s="1"/>
  <c r="B298" i="256"/>
  <c r="J297" i="256"/>
  <c r="I297" i="256"/>
  <c r="K297" i="256" s="1"/>
  <c r="B297" i="256"/>
  <c r="J296" i="256"/>
  <c r="I296" i="256"/>
  <c r="B296" i="256"/>
  <c r="J295" i="256"/>
  <c r="I295" i="256"/>
  <c r="K295" i="256" s="1"/>
  <c r="B295" i="256"/>
  <c r="J294" i="256"/>
  <c r="I294" i="256"/>
  <c r="K294" i="256" s="1"/>
  <c r="B294" i="256"/>
  <c r="J293" i="256"/>
  <c r="I293" i="256"/>
  <c r="B293" i="256"/>
  <c r="J292" i="256"/>
  <c r="I292" i="256"/>
  <c r="B292" i="256"/>
  <c r="J291" i="256"/>
  <c r="I291" i="256"/>
  <c r="K291" i="256" s="1"/>
  <c r="B291" i="256"/>
  <c r="J290" i="256"/>
  <c r="I290" i="256"/>
  <c r="K290" i="256" s="1"/>
  <c r="B290" i="256"/>
  <c r="J289" i="256"/>
  <c r="I289" i="256"/>
  <c r="K289" i="256" s="1"/>
  <c r="B289" i="256"/>
  <c r="J288" i="256"/>
  <c r="I288" i="256"/>
  <c r="B288" i="256"/>
  <c r="J287" i="256"/>
  <c r="I287" i="256"/>
  <c r="K287" i="256" s="1"/>
  <c r="B287" i="256"/>
  <c r="J286" i="256"/>
  <c r="I286" i="256"/>
  <c r="K286" i="256" s="1"/>
  <c r="B286" i="256"/>
  <c r="J285" i="256"/>
  <c r="I285" i="256"/>
  <c r="B285" i="256"/>
  <c r="J284" i="256"/>
  <c r="I284" i="256"/>
  <c r="B284" i="256"/>
  <c r="J283" i="256"/>
  <c r="I283" i="256"/>
  <c r="K283" i="256" s="1"/>
  <c r="B283" i="256"/>
  <c r="J260" i="256"/>
  <c r="I260" i="256"/>
  <c r="K260" i="256" s="1"/>
  <c r="B260" i="256"/>
  <c r="J259" i="256"/>
  <c r="I259" i="256"/>
  <c r="K259" i="256" s="1"/>
  <c r="B259" i="256"/>
  <c r="J258" i="256"/>
  <c r="I258" i="256"/>
  <c r="B258" i="256"/>
  <c r="J257" i="256"/>
  <c r="I257" i="256"/>
  <c r="K257" i="256" s="1"/>
  <c r="B257" i="256"/>
  <c r="J256" i="256"/>
  <c r="I256" i="256"/>
  <c r="K256" i="256" s="1"/>
  <c r="B256" i="256"/>
  <c r="J255" i="256"/>
  <c r="I255" i="256"/>
  <c r="B255" i="256"/>
  <c r="J254" i="256"/>
  <c r="I254" i="256"/>
  <c r="B254" i="256"/>
  <c r="J253" i="256"/>
  <c r="I253" i="256"/>
  <c r="K253" i="256" s="1"/>
  <c r="B253" i="256"/>
  <c r="J252" i="256"/>
  <c r="I252" i="256"/>
  <c r="K252" i="256" s="1"/>
  <c r="B252" i="256"/>
  <c r="J251" i="256"/>
  <c r="I251" i="256"/>
  <c r="K251" i="256" s="1"/>
  <c r="B251" i="256"/>
  <c r="J250" i="256"/>
  <c r="I250" i="256"/>
  <c r="B250" i="256"/>
  <c r="J249" i="256"/>
  <c r="I249" i="256"/>
  <c r="K249" i="256" s="1"/>
  <c r="B249" i="256"/>
  <c r="J248" i="256"/>
  <c r="I248" i="256"/>
  <c r="K248" i="256" s="1"/>
  <c r="B248" i="256"/>
  <c r="J247" i="256"/>
  <c r="I247" i="256"/>
  <c r="B247" i="256"/>
  <c r="J246" i="256"/>
  <c r="I246" i="256"/>
  <c r="B246" i="256"/>
  <c r="J245" i="256"/>
  <c r="I245" i="256"/>
  <c r="K245" i="256" s="1"/>
  <c r="B245" i="256"/>
  <c r="J244" i="256"/>
  <c r="I244" i="256"/>
  <c r="K244" i="256" s="1"/>
  <c r="B244" i="256"/>
  <c r="J243" i="256"/>
  <c r="I243" i="256"/>
  <c r="K243" i="256" s="1"/>
  <c r="B243" i="256"/>
  <c r="J242" i="256"/>
  <c r="I242" i="256"/>
  <c r="B242" i="256"/>
  <c r="J241" i="256"/>
  <c r="I241" i="256"/>
  <c r="K241" i="256" s="1"/>
  <c r="B241" i="256"/>
  <c r="O224" i="256"/>
  <c r="O222" i="256"/>
  <c r="O196" i="256"/>
  <c r="O194" i="256"/>
  <c r="O168" i="256"/>
  <c r="O166" i="256"/>
  <c r="O210" i="256"/>
  <c r="O208" i="256"/>
  <c r="O182" i="256"/>
  <c r="O180" i="256"/>
  <c r="O154" i="256"/>
  <c r="O152" i="256"/>
  <c r="J233" i="256"/>
  <c r="I233" i="256"/>
  <c r="K233" i="256" s="1"/>
  <c r="B233" i="256"/>
  <c r="J232" i="256"/>
  <c r="I232" i="256"/>
  <c r="K232" i="256" s="1"/>
  <c r="B232" i="256"/>
  <c r="J231" i="256"/>
  <c r="I231" i="256"/>
  <c r="B231" i="256"/>
  <c r="J230" i="256"/>
  <c r="I230" i="256"/>
  <c r="K230" i="256" s="1"/>
  <c r="B230" i="256"/>
  <c r="J229" i="256"/>
  <c r="I229" i="256"/>
  <c r="K229" i="256" s="1"/>
  <c r="B229" i="256"/>
  <c r="J228" i="256"/>
  <c r="I228" i="256"/>
  <c r="B228" i="256"/>
  <c r="J227" i="256"/>
  <c r="I227" i="256"/>
  <c r="K227" i="256" s="1"/>
  <c r="B227" i="256"/>
  <c r="J226" i="256"/>
  <c r="I226" i="256"/>
  <c r="K226" i="256" s="1"/>
  <c r="B226" i="256"/>
  <c r="J225" i="256"/>
  <c r="I225" i="256"/>
  <c r="K225" i="256" s="1"/>
  <c r="B225" i="256"/>
  <c r="J224" i="256"/>
  <c r="I224" i="256"/>
  <c r="K224" i="256" s="1"/>
  <c r="B224" i="256"/>
  <c r="J223" i="256"/>
  <c r="I223" i="256"/>
  <c r="B223" i="256"/>
  <c r="J222" i="256"/>
  <c r="I222" i="256"/>
  <c r="B222" i="256"/>
  <c r="J221" i="256"/>
  <c r="I221" i="256"/>
  <c r="K221" i="256" s="1"/>
  <c r="B221" i="256"/>
  <c r="J220" i="256"/>
  <c r="I220" i="256"/>
  <c r="B220" i="256"/>
  <c r="J219" i="256"/>
  <c r="I219" i="256"/>
  <c r="K219" i="256" s="1"/>
  <c r="B219" i="256"/>
  <c r="J218" i="256"/>
  <c r="I218" i="256"/>
  <c r="K218" i="256" s="1"/>
  <c r="B218" i="256"/>
  <c r="J217" i="256"/>
  <c r="I217" i="256"/>
  <c r="K217" i="256" s="1"/>
  <c r="B217" i="256"/>
  <c r="J216" i="256"/>
  <c r="I216" i="256"/>
  <c r="K216" i="256" s="1"/>
  <c r="B216" i="256"/>
  <c r="J215" i="256"/>
  <c r="I215" i="256"/>
  <c r="B215" i="256"/>
  <c r="J214" i="256"/>
  <c r="I214" i="256"/>
  <c r="K214" i="256" s="1"/>
  <c r="B214" i="256"/>
  <c r="J213" i="256"/>
  <c r="I213" i="256"/>
  <c r="K213" i="256" s="1"/>
  <c r="B213" i="256"/>
  <c r="J212" i="256"/>
  <c r="I212" i="256"/>
  <c r="B212" i="256"/>
  <c r="J211" i="256"/>
  <c r="I211" i="256"/>
  <c r="K211" i="256" s="1"/>
  <c r="B211" i="256"/>
  <c r="J210" i="256"/>
  <c r="I210" i="256"/>
  <c r="K210" i="256" s="1"/>
  <c r="B210" i="256"/>
  <c r="J209" i="256"/>
  <c r="I209" i="256"/>
  <c r="K209" i="256" s="1"/>
  <c r="B209" i="256"/>
  <c r="J208" i="256"/>
  <c r="I208" i="256"/>
  <c r="K208" i="256" s="1"/>
  <c r="B208" i="256"/>
  <c r="J207" i="256"/>
  <c r="I207" i="256"/>
  <c r="B207" i="256"/>
  <c r="J206" i="256"/>
  <c r="I206" i="256"/>
  <c r="K206" i="256" s="1"/>
  <c r="B206" i="256"/>
  <c r="J205" i="256"/>
  <c r="I205" i="256"/>
  <c r="K205" i="256" s="1"/>
  <c r="B205" i="256"/>
  <c r="J204" i="256"/>
  <c r="I204" i="256"/>
  <c r="B204" i="256"/>
  <c r="J203" i="256"/>
  <c r="I203" i="256"/>
  <c r="K203" i="256" s="1"/>
  <c r="B203" i="256"/>
  <c r="J202" i="256"/>
  <c r="I202" i="256"/>
  <c r="K202" i="256" s="1"/>
  <c r="B202" i="256"/>
  <c r="J201" i="256"/>
  <c r="I201" i="256"/>
  <c r="K201" i="256" s="1"/>
  <c r="B201" i="256"/>
  <c r="J200" i="256"/>
  <c r="I200" i="256"/>
  <c r="K200" i="256" s="1"/>
  <c r="B200" i="256"/>
  <c r="J199" i="256"/>
  <c r="I199" i="256"/>
  <c r="B199" i="256"/>
  <c r="J198" i="256"/>
  <c r="I198" i="256"/>
  <c r="K198" i="256" s="1"/>
  <c r="B198" i="256"/>
  <c r="J197" i="256"/>
  <c r="I197" i="256"/>
  <c r="K197" i="256" s="1"/>
  <c r="B197" i="256"/>
  <c r="J196" i="256"/>
  <c r="I196" i="256"/>
  <c r="B196" i="256"/>
  <c r="J195" i="256"/>
  <c r="I195" i="256"/>
  <c r="K195" i="256" s="1"/>
  <c r="B195" i="256"/>
  <c r="J194" i="256"/>
  <c r="I194" i="256"/>
  <c r="K194" i="256" s="1"/>
  <c r="B194" i="256"/>
  <c r="J193" i="256"/>
  <c r="I193" i="256"/>
  <c r="K193" i="256" s="1"/>
  <c r="B193" i="256"/>
  <c r="J192" i="256"/>
  <c r="I192" i="256"/>
  <c r="K192" i="256" s="1"/>
  <c r="B192" i="256"/>
  <c r="J191" i="256"/>
  <c r="I191" i="256"/>
  <c r="B191" i="256"/>
  <c r="J190" i="256"/>
  <c r="I190" i="256"/>
  <c r="K190" i="256" s="1"/>
  <c r="B190" i="256"/>
  <c r="J189" i="256"/>
  <c r="I189" i="256"/>
  <c r="K189" i="256" s="1"/>
  <c r="B189" i="256"/>
  <c r="J188" i="256"/>
  <c r="I188" i="256"/>
  <c r="B188" i="256"/>
  <c r="J187" i="256"/>
  <c r="I187" i="256"/>
  <c r="K187" i="256" s="1"/>
  <c r="B187" i="256"/>
  <c r="J186" i="256"/>
  <c r="I186" i="256"/>
  <c r="K186" i="256" s="1"/>
  <c r="B186" i="256"/>
  <c r="J185" i="256"/>
  <c r="I185" i="256"/>
  <c r="K185" i="256" s="1"/>
  <c r="B185" i="256"/>
  <c r="J184" i="256"/>
  <c r="I184" i="256"/>
  <c r="K184" i="256" s="1"/>
  <c r="B184" i="256"/>
  <c r="J183" i="256"/>
  <c r="I183" i="256"/>
  <c r="B183" i="256"/>
  <c r="J182" i="256"/>
  <c r="I182" i="256"/>
  <c r="K182" i="256" s="1"/>
  <c r="B182" i="256"/>
  <c r="J181" i="256"/>
  <c r="I181" i="256"/>
  <c r="K181" i="256" s="1"/>
  <c r="B181" i="256"/>
  <c r="J180" i="256"/>
  <c r="I180" i="256"/>
  <c r="B180" i="256"/>
  <c r="J179" i="256"/>
  <c r="I179" i="256"/>
  <c r="K179" i="256" s="1"/>
  <c r="B179" i="256"/>
  <c r="J178" i="256"/>
  <c r="I178" i="256"/>
  <c r="K178" i="256" s="1"/>
  <c r="B178" i="256"/>
  <c r="J177" i="256"/>
  <c r="I177" i="256"/>
  <c r="K177" i="256" s="1"/>
  <c r="B177" i="256"/>
  <c r="J176" i="256"/>
  <c r="I176" i="256"/>
  <c r="K176" i="256" s="1"/>
  <c r="B176" i="256"/>
  <c r="J175" i="256"/>
  <c r="I175" i="256"/>
  <c r="B175" i="256"/>
  <c r="J174" i="256"/>
  <c r="I174" i="256"/>
  <c r="K174" i="256" s="1"/>
  <c r="B174" i="256"/>
  <c r="J173" i="256"/>
  <c r="I173" i="256"/>
  <c r="K173" i="256" s="1"/>
  <c r="B173" i="256"/>
  <c r="J172" i="256"/>
  <c r="I172" i="256"/>
  <c r="B172" i="256"/>
  <c r="J171" i="256"/>
  <c r="I171" i="256"/>
  <c r="K171" i="256" s="1"/>
  <c r="B171" i="256"/>
  <c r="J170" i="256"/>
  <c r="I170" i="256"/>
  <c r="K170" i="256" s="1"/>
  <c r="B170" i="256"/>
  <c r="J169" i="256"/>
  <c r="I169" i="256"/>
  <c r="K169" i="256" s="1"/>
  <c r="B169" i="256"/>
  <c r="J168" i="256"/>
  <c r="I168" i="256"/>
  <c r="K168" i="256" s="1"/>
  <c r="B168" i="256"/>
  <c r="J167" i="256"/>
  <c r="I167" i="256"/>
  <c r="B167" i="256"/>
  <c r="J166" i="256"/>
  <c r="I166" i="256"/>
  <c r="K166" i="256" s="1"/>
  <c r="B166" i="256"/>
  <c r="J165" i="256"/>
  <c r="I165" i="256"/>
  <c r="K165" i="256" s="1"/>
  <c r="B165" i="256"/>
  <c r="J164" i="256"/>
  <c r="I164" i="256"/>
  <c r="B164" i="256"/>
  <c r="J163" i="256"/>
  <c r="I163" i="256"/>
  <c r="K163" i="256" s="1"/>
  <c r="B163" i="256"/>
  <c r="J162" i="256"/>
  <c r="I162" i="256"/>
  <c r="K162" i="256" s="1"/>
  <c r="B162" i="256"/>
  <c r="J161" i="256"/>
  <c r="I161" i="256"/>
  <c r="K161" i="256" s="1"/>
  <c r="B161" i="256"/>
  <c r="J160" i="256"/>
  <c r="I160" i="256"/>
  <c r="K160" i="256" s="1"/>
  <c r="B160" i="256"/>
  <c r="J159" i="256"/>
  <c r="I159" i="256"/>
  <c r="B159" i="256"/>
  <c r="J158" i="256"/>
  <c r="I158" i="256"/>
  <c r="K158" i="256" s="1"/>
  <c r="B158" i="256"/>
  <c r="J157" i="256"/>
  <c r="I157" i="256"/>
  <c r="K157" i="256" s="1"/>
  <c r="B157" i="256"/>
  <c r="O147" i="256"/>
  <c r="O137" i="256"/>
  <c r="O132" i="256"/>
  <c r="O139" i="256"/>
  <c r="O134" i="256"/>
  <c r="O111" i="256"/>
  <c r="O106" i="256"/>
  <c r="L701" i="256" l="1"/>
  <c r="K707" i="256"/>
  <c r="L707" i="256" s="1"/>
  <c r="K716" i="256"/>
  <c r="L716" i="256" s="1"/>
  <c r="O752" i="256"/>
  <c r="L752" i="256" s="1"/>
  <c r="O740" i="256"/>
  <c r="L740" i="256" s="1"/>
  <c r="K246" i="256"/>
  <c r="K254" i="256"/>
  <c r="K284" i="256"/>
  <c r="K292" i="256"/>
  <c r="K300" i="256"/>
  <c r="K308" i="256"/>
  <c r="K316" i="256"/>
  <c r="K354" i="256"/>
  <c r="K362" i="256"/>
  <c r="K372" i="256"/>
  <c r="K380" i="256"/>
  <c r="K390" i="256"/>
  <c r="K398" i="256"/>
  <c r="K704" i="256"/>
  <c r="L704" i="256" s="1"/>
  <c r="K222" i="256"/>
  <c r="K557" i="256"/>
  <c r="K699" i="256"/>
  <c r="L699" i="256" s="1"/>
  <c r="K700" i="256"/>
  <c r="L700" i="256" s="1"/>
  <c r="K314" i="256"/>
  <c r="K370" i="256"/>
  <c r="L709" i="256"/>
  <c r="O759" i="256"/>
  <c r="L759" i="256" s="1"/>
  <c r="O747" i="256"/>
  <c r="L747" i="256" s="1"/>
  <c r="O758" i="256"/>
  <c r="L758" i="256" s="1"/>
  <c r="O746" i="256"/>
  <c r="L746" i="256" s="1"/>
  <c r="K164" i="256"/>
  <c r="K172" i="256"/>
  <c r="K180" i="256"/>
  <c r="K188" i="256"/>
  <c r="K196" i="256"/>
  <c r="K204" i="256"/>
  <c r="K212" i="256"/>
  <c r="K220" i="256"/>
  <c r="K228" i="256"/>
  <c r="K247" i="256"/>
  <c r="K255" i="256"/>
  <c r="K285" i="256"/>
  <c r="K293" i="256"/>
  <c r="K301" i="256"/>
  <c r="K309" i="256"/>
  <c r="K317" i="256"/>
  <c r="K355" i="256"/>
  <c r="K363" i="256"/>
  <c r="K373" i="256"/>
  <c r="K381" i="256"/>
  <c r="K385" i="256"/>
  <c r="K545" i="256"/>
  <c r="K698" i="256"/>
  <c r="L698" i="256" s="1"/>
  <c r="K159" i="256"/>
  <c r="K167" i="256"/>
  <c r="K175" i="256"/>
  <c r="K183" i="256"/>
  <c r="K191" i="256"/>
  <c r="K199" i="256"/>
  <c r="K207" i="256"/>
  <c r="K215" i="256"/>
  <c r="K223" i="256"/>
  <c r="K231" i="256"/>
  <c r="K242" i="256"/>
  <c r="K250" i="256"/>
  <c r="K258" i="256"/>
  <c r="K288" i="256"/>
  <c r="K296" i="256"/>
  <c r="K304" i="256"/>
  <c r="K312" i="256"/>
  <c r="K320" i="256"/>
  <c r="K358" i="256"/>
  <c r="K366" i="256"/>
  <c r="K376" i="256"/>
  <c r="K384" i="256"/>
  <c r="K394" i="256"/>
  <c r="K402" i="256"/>
  <c r="K410" i="256"/>
  <c r="K571" i="256"/>
  <c r="K570" i="256"/>
  <c r="K559" i="256"/>
  <c r="K550" i="256"/>
  <c r="K710" i="256"/>
  <c r="L710" i="256" s="1"/>
  <c r="K715" i="256"/>
  <c r="L715" i="256" s="1"/>
  <c r="O753" i="256"/>
  <c r="L753" i="256" s="1"/>
  <c r="O741" i="256"/>
  <c r="L741" i="256" s="1"/>
  <c r="I335" i="256"/>
  <c r="K335" i="256" s="1"/>
  <c r="L712" i="256"/>
  <c r="J715" i="256"/>
  <c r="L718" i="256"/>
  <c r="L702" i="256"/>
  <c r="L720" i="256"/>
  <c r="L703" i="256"/>
  <c r="L717" i="256"/>
  <c r="L711" i="256"/>
  <c r="J713" i="256"/>
  <c r="I713" i="256"/>
  <c r="K713" i="256" s="1"/>
  <c r="L713" i="256" s="1"/>
  <c r="J721" i="256"/>
  <c r="I721" i="256"/>
  <c r="I282" i="256"/>
  <c r="J338" i="256"/>
  <c r="J346" i="256"/>
  <c r="J335" i="256"/>
  <c r="J267" i="256"/>
  <c r="H441" i="256"/>
  <c r="I346" i="256"/>
  <c r="K346" i="256" s="1"/>
  <c r="J282" i="256"/>
  <c r="I268" i="256"/>
  <c r="K268" i="256" s="1"/>
  <c r="H442" i="256"/>
  <c r="J276" i="256"/>
  <c r="H450" i="256"/>
  <c r="J329" i="256"/>
  <c r="H491" i="256"/>
  <c r="J337" i="256"/>
  <c r="H499" i="256"/>
  <c r="J345" i="256"/>
  <c r="H507" i="256"/>
  <c r="J269" i="256"/>
  <c r="H443" i="256"/>
  <c r="I277" i="256"/>
  <c r="H451" i="256"/>
  <c r="J456" i="256"/>
  <c r="I456" i="256"/>
  <c r="I500" i="256"/>
  <c r="K500" i="256" s="1"/>
  <c r="J500" i="256"/>
  <c r="I330" i="256"/>
  <c r="J262" i="256"/>
  <c r="H436" i="256"/>
  <c r="I270" i="256"/>
  <c r="K270" i="256" s="1"/>
  <c r="H444" i="256"/>
  <c r="J278" i="256"/>
  <c r="H452" i="256"/>
  <c r="J331" i="256"/>
  <c r="H493" i="256"/>
  <c r="J339" i="256"/>
  <c r="H501" i="256"/>
  <c r="I347" i="256"/>
  <c r="K347" i="256" s="1"/>
  <c r="H509" i="256"/>
  <c r="J330" i="256"/>
  <c r="J347" i="256"/>
  <c r="I263" i="256"/>
  <c r="H437" i="256"/>
  <c r="J271" i="256"/>
  <c r="H445" i="256"/>
  <c r="J279" i="256"/>
  <c r="K279" i="256" s="1"/>
  <c r="H453" i="256"/>
  <c r="J324" i="256"/>
  <c r="H486" i="256"/>
  <c r="J332" i="256"/>
  <c r="H494" i="256"/>
  <c r="J340" i="256"/>
  <c r="H502" i="256"/>
  <c r="J348" i="256"/>
  <c r="H510" i="256"/>
  <c r="J328" i="256"/>
  <c r="K328" i="256" s="1"/>
  <c r="H490" i="256"/>
  <c r="J344" i="256"/>
  <c r="H506" i="256"/>
  <c r="I261" i="256"/>
  <c r="K261" i="256" s="1"/>
  <c r="H435" i="256"/>
  <c r="J492" i="256"/>
  <c r="I492" i="256"/>
  <c r="K492" i="256" s="1"/>
  <c r="J508" i="256"/>
  <c r="I508" i="256"/>
  <c r="O271" i="256"/>
  <c r="O445" i="256" s="1"/>
  <c r="O423" i="256"/>
  <c r="J264" i="256"/>
  <c r="H438" i="256"/>
  <c r="I272" i="256"/>
  <c r="K272" i="256" s="1"/>
  <c r="H446" i="256"/>
  <c r="J280" i="256"/>
  <c r="H454" i="256"/>
  <c r="J325" i="256"/>
  <c r="H487" i="256"/>
  <c r="J333" i="256"/>
  <c r="H495" i="256"/>
  <c r="J341" i="256"/>
  <c r="H503" i="256"/>
  <c r="J349" i="256"/>
  <c r="H511" i="256"/>
  <c r="J336" i="256"/>
  <c r="H498" i="256"/>
  <c r="I352" i="256"/>
  <c r="H514" i="256"/>
  <c r="O272" i="256"/>
  <c r="O446" i="256" s="1"/>
  <c r="O424" i="256"/>
  <c r="I265" i="256"/>
  <c r="H439" i="256"/>
  <c r="J273" i="256"/>
  <c r="H447" i="256"/>
  <c r="J281" i="256"/>
  <c r="H455" i="256"/>
  <c r="J326" i="256"/>
  <c r="H488" i="256"/>
  <c r="I334" i="256"/>
  <c r="H496" i="256"/>
  <c r="I342" i="256"/>
  <c r="K342" i="256" s="1"/>
  <c r="H504" i="256"/>
  <c r="I350" i="256"/>
  <c r="H512" i="256"/>
  <c r="J275" i="256"/>
  <c r="H449" i="256"/>
  <c r="I338" i="256"/>
  <c r="K338" i="256" s="1"/>
  <c r="O282" i="256"/>
  <c r="O456" i="256" s="1"/>
  <c r="O434" i="256"/>
  <c r="I266" i="256"/>
  <c r="H440" i="256"/>
  <c r="J274" i="256"/>
  <c r="H448" i="256"/>
  <c r="I327" i="256"/>
  <c r="K327" i="256" s="1"/>
  <c r="H489" i="256"/>
  <c r="I497" i="256"/>
  <c r="K497" i="256" s="1"/>
  <c r="J497" i="256"/>
  <c r="J343" i="256"/>
  <c r="H505" i="256"/>
  <c r="J351" i="256"/>
  <c r="H513" i="256"/>
  <c r="J350" i="256"/>
  <c r="I344" i="256"/>
  <c r="K344" i="256" s="1"/>
  <c r="I339" i="256"/>
  <c r="K339" i="256" s="1"/>
  <c r="I331" i="256"/>
  <c r="K331" i="256" s="1"/>
  <c r="J268" i="256"/>
  <c r="J342" i="256"/>
  <c r="J270" i="256"/>
  <c r="I332" i="256"/>
  <c r="K332" i="256" s="1"/>
  <c r="J263" i="256"/>
  <c r="J334" i="256"/>
  <c r="I273" i="256"/>
  <c r="K273" i="256" s="1"/>
  <c r="I326" i="256"/>
  <c r="I343" i="256"/>
  <c r="K343" i="256" s="1"/>
  <c r="I351" i="256"/>
  <c r="K351" i="256" s="1"/>
  <c r="I340" i="256"/>
  <c r="K340" i="256" s="1"/>
  <c r="J266" i="256"/>
  <c r="I271" i="256"/>
  <c r="K271" i="256" s="1"/>
  <c r="I264" i="256"/>
  <c r="K264" i="256" s="1"/>
  <c r="J272" i="256"/>
  <c r="I262" i="256"/>
  <c r="K262" i="256" s="1"/>
  <c r="I278" i="256"/>
  <c r="I274" i="256"/>
  <c r="K274" i="256" s="1"/>
  <c r="J352" i="256"/>
  <c r="J265" i="256"/>
  <c r="I269" i="256"/>
  <c r="K269" i="256" s="1"/>
  <c r="I336" i="256"/>
  <c r="K336" i="256" s="1"/>
  <c r="I276" i="256"/>
  <c r="K276" i="256" s="1"/>
  <c r="I337" i="256"/>
  <c r="J277" i="256"/>
  <c r="I341" i="256"/>
  <c r="I333" i="256"/>
  <c r="K333" i="256" s="1"/>
  <c r="I280" i="256"/>
  <c r="K280" i="256" s="1"/>
  <c r="I325" i="256"/>
  <c r="K325" i="256" s="1"/>
  <c r="I349" i="256"/>
  <c r="K349" i="256" s="1"/>
  <c r="I275" i="256"/>
  <c r="I267" i="256"/>
  <c r="K267" i="256" s="1"/>
  <c r="I345" i="256"/>
  <c r="I348" i="256"/>
  <c r="I329" i="256"/>
  <c r="K329" i="256" s="1"/>
  <c r="I324" i="256"/>
  <c r="K324" i="256" s="1"/>
  <c r="I281" i="256"/>
  <c r="K281" i="256" s="1"/>
  <c r="O87" i="256"/>
  <c r="O82" i="256"/>
  <c r="O99" i="256"/>
  <c r="O94" i="256"/>
  <c r="H111" i="256"/>
  <c r="J111" i="256" s="1"/>
  <c r="B111" i="256"/>
  <c r="H110" i="256"/>
  <c r="J110" i="256" s="1"/>
  <c r="B110" i="256"/>
  <c r="H109" i="256"/>
  <c r="J109" i="256" s="1"/>
  <c r="B109" i="256"/>
  <c r="H108" i="256"/>
  <c r="I108" i="256" s="1"/>
  <c r="B108" i="256"/>
  <c r="H107" i="256"/>
  <c r="J107" i="256" s="1"/>
  <c r="B107" i="256"/>
  <c r="J106" i="256"/>
  <c r="I106" i="256"/>
  <c r="K106" i="256" s="1"/>
  <c r="B106" i="256"/>
  <c r="J105" i="256"/>
  <c r="I105" i="256"/>
  <c r="B105" i="256"/>
  <c r="J104" i="256"/>
  <c r="I104" i="256"/>
  <c r="K104" i="256" s="1"/>
  <c r="B104" i="256"/>
  <c r="J103" i="256"/>
  <c r="I103" i="256"/>
  <c r="K103" i="256" s="1"/>
  <c r="B103" i="256"/>
  <c r="J102" i="256"/>
  <c r="I102" i="256"/>
  <c r="B102" i="256"/>
  <c r="AB101" i="256"/>
  <c r="AA101" i="256"/>
  <c r="Z101" i="256"/>
  <c r="Y101" i="256"/>
  <c r="X101" i="256"/>
  <c r="W101" i="256"/>
  <c r="V101" i="256"/>
  <c r="U101" i="256"/>
  <c r="L101" i="256"/>
  <c r="H87" i="256"/>
  <c r="I87" i="256" s="1"/>
  <c r="B87" i="256"/>
  <c r="J86" i="256"/>
  <c r="I86" i="256"/>
  <c r="B86" i="256"/>
  <c r="J85" i="256"/>
  <c r="I85" i="256"/>
  <c r="B85" i="256"/>
  <c r="J84" i="256"/>
  <c r="I84" i="256"/>
  <c r="K84" i="256" s="1"/>
  <c r="B84" i="256"/>
  <c r="J83" i="256"/>
  <c r="I83" i="256"/>
  <c r="B83" i="256"/>
  <c r="H82" i="256"/>
  <c r="J82" i="256" s="1"/>
  <c r="B82" i="256"/>
  <c r="J81" i="256"/>
  <c r="I81" i="256"/>
  <c r="K81" i="256" s="1"/>
  <c r="B81" i="256"/>
  <c r="J80" i="256"/>
  <c r="I80" i="256"/>
  <c r="B80" i="256"/>
  <c r="J79" i="256"/>
  <c r="I79" i="256"/>
  <c r="K79" i="256" s="1"/>
  <c r="B79" i="256"/>
  <c r="J78" i="256"/>
  <c r="I78" i="256"/>
  <c r="K78" i="256" s="1"/>
  <c r="B78" i="256"/>
  <c r="AB77" i="256"/>
  <c r="AA77" i="256"/>
  <c r="Z77" i="256"/>
  <c r="Y77" i="256"/>
  <c r="X77" i="256"/>
  <c r="W77" i="256"/>
  <c r="V77" i="256"/>
  <c r="U77" i="256"/>
  <c r="L77" i="256"/>
  <c r="H96" i="256"/>
  <c r="J96" i="256" s="1"/>
  <c r="H97" i="256"/>
  <c r="J97" i="256" s="1"/>
  <c r="H98" i="256"/>
  <c r="J98" i="256" s="1"/>
  <c r="H99" i="256"/>
  <c r="J99" i="256" s="1"/>
  <c r="H95" i="256"/>
  <c r="J95" i="256" s="1"/>
  <c r="J794" i="256"/>
  <c r="I794" i="256"/>
  <c r="B794" i="256"/>
  <c r="J793" i="256"/>
  <c r="I793" i="256"/>
  <c r="B793" i="256"/>
  <c r="L792" i="256"/>
  <c r="K792" i="256"/>
  <c r="J790" i="256"/>
  <c r="I790" i="256"/>
  <c r="J789" i="256"/>
  <c r="I789" i="256"/>
  <c r="B789" i="256"/>
  <c r="J788" i="256"/>
  <c r="I788" i="256"/>
  <c r="B788" i="256"/>
  <c r="L787" i="256"/>
  <c r="K787" i="256"/>
  <c r="J784" i="256"/>
  <c r="I784" i="256"/>
  <c r="B784" i="256"/>
  <c r="AB783" i="256"/>
  <c r="AA783" i="256"/>
  <c r="Z783" i="256"/>
  <c r="Y783" i="256"/>
  <c r="X783" i="256"/>
  <c r="W783" i="256"/>
  <c r="V783" i="256"/>
  <c r="U783" i="256"/>
  <c r="L783" i="256"/>
  <c r="J780" i="256"/>
  <c r="B780" i="256"/>
  <c r="AB779" i="256"/>
  <c r="AA779" i="256"/>
  <c r="Z779" i="256"/>
  <c r="Y779" i="256"/>
  <c r="X779" i="256"/>
  <c r="W779" i="256"/>
  <c r="V779" i="256"/>
  <c r="U779" i="256"/>
  <c r="L779" i="256"/>
  <c r="J777" i="256"/>
  <c r="I777" i="256"/>
  <c r="B777" i="256"/>
  <c r="AB776" i="256"/>
  <c r="AA776" i="256"/>
  <c r="Z776" i="256"/>
  <c r="Y776" i="256"/>
  <c r="X776" i="256"/>
  <c r="W776" i="256"/>
  <c r="V776" i="256"/>
  <c r="U776" i="256"/>
  <c r="L776" i="256"/>
  <c r="J769" i="256"/>
  <c r="I769" i="256"/>
  <c r="B769" i="256"/>
  <c r="J768" i="256"/>
  <c r="I768" i="256"/>
  <c r="B768" i="256"/>
  <c r="J767" i="256"/>
  <c r="I767" i="256"/>
  <c r="B767" i="256"/>
  <c r="J766" i="256"/>
  <c r="I766" i="256"/>
  <c r="B766" i="256"/>
  <c r="J765" i="256"/>
  <c r="I765" i="256"/>
  <c r="B765" i="256"/>
  <c r="AB764" i="256"/>
  <c r="AA764" i="256"/>
  <c r="Z764" i="256"/>
  <c r="Y764" i="256"/>
  <c r="X764" i="256"/>
  <c r="W764" i="256"/>
  <c r="V764" i="256"/>
  <c r="U764" i="256"/>
  <c r="L764" i="256"/>
  <c r="J683" i="256"/>
  <c r="I683" i="256"/>
  <c r="B683" i="256"/>
  <c r="J682" i="256"/>
  <c r="I682" i="256"/>
  <c r="B682" i="256"/>
  <c r="J681" i="256"/>
  <c r="I681" i="256"/>
  <c r="J680" i="256"/>
  <c r="I680" i="256"/>
  <c r="B680" i="256"/>
  <c r="J679" i="256"/>
  <c r="I679" i="256"/>
  <c r="B679" i="256"/>
  <c r="J678" i="256"/>
  <c r="I678" i="256"/>
  <c r="B678" i="256"/>
  <c r="AB677" i="256"/>
  <c r="AA677" i="256"/>
  <c r="Z677" i="256"/>
  <c r="Y677" i="256"/>
  <c r="X677" i="256"/>
  <c r="W677" i="256"/>
  <c r="V677" i="256"/>
  <c r="U677" i="256"/>
  <c r="L677" i="256"/>
  <c r="J675" i="256"/>
  <c r="I675" i="256"/>
  <c r="B675" i="256"/>
  <c r="J674" i="256"/>
  <c r="I674" i="256"/>
  <c r="B674" i="256"/>
  <c r="AB673" i="256"/>
  <c r="AA673" i="256"/>
  <c r="Z673" i="256"/>
  <c r="Y673" i="256"/>
  <c r="X673" i="256"/>
  <c r="W673" i="256"/>
  <c r="V673" i="256"/>
  <c r="U673" i="256"/>
  <c r="L673" i="256"/>
  <c r="J623" i="256"/>
  <c r="I623" i="256"/>
  <c r="B623" i="256"/>
  <c r="J621" i="256"/>
  <c r="I621" i="256"/>
  <c r="B621" i="256"/>
  <c r="J617" i="256"/>
  <c r="I617" i="256"/>
  <c r="B617" i="256"/>
  <c r="J615" i="256"/>
  <c r="I615" i="256"/>
  <c r="B615" i="256"/>
  <c r="AB614" i="256"/>
  <c r="AA614" i="256"/>
  <c r="Z614" i="256"/>
  <c r="Y614" i="256"/>
  <c r="X614" i="256"/>
  <c r="W614" i="256"/>
  <c r="V614" i="256"/>
  <c r="U614" i="256"/>
  <c r="L614" i="256"/>
  <c r="J414" i="256"/>
  <c r="I414" i="256"/>
  <c r="B414" i="256"/>
  <c r="J413" i="256"/>
  <c r="I413" i="256"/>
  <c r="B413" i="256"/>
  <c r="AB412" i="256"/>
  <c r="AA412" i="256"/>
  <c r="Z412" i="256"/>
  <c r="Y412" i="256"/>
  <c r="X412" i="256"/>
  <c r="W412" i="256"/>
  <c r="V412" i="256"/>
  <c r="U412" i="256"/>
  <c r="L412" i="256"/>
  <c r="J240" i="256"/>
  <c r="I240" i="256"/>
  <c r="B240" i="256"/>
  <c r="J239" i="256"/>
  <c r="I239" i="256"/>
  <c r="AB238" i="256"/>
  <c r="AA238" i="256"/>
  <c r="Z238" i="256"/>
  <c r="Y238" i="256"/>
  <c r="X238" i="256"/>
  <c r="W238" i="256"/>
  <c r="V238" i="256"/>
  <c r="U238" i="256"/>
  <c r="L238" i="256"/>
  <c r="H75" i="256"/>
  <c r="H68" i="256"/>
  <c r="B75" i="256"/>
  <c r="J74" i="256"/>
  <c r="I74" i="256"/>
  <c r="B74" i="256"/>
  <c r="J73" i="256"/>
  <c r="I73" i="256"/>
  <c r="B73" i="256"/>
  <c r="J72" i="256"/>
  <c r="I72" i="256"/>
  <c r="B72" i="256"/>
  <c r="J71" i="256"/>
  <c r="I71" i="256"/>
  <c r="B71" i="256"/>
  <c r="J70" i="256"/>
  <c r="I70" i="256"/>
  <c r="K70" i="256" s="1"/>
  <c r="B70" i="256"/>
  <c r="J69" i="256"/>
  <c r="I69" i="256"/>
  <c r="B69" i="256"/>
  <c r="B68" i="256"/>
  <c r="J67" i="256"/>
  <c r="I67" i="256"/>
  <c r="B67" i="256"/>
  <c r="J66" i="256"/>
  <c r="I66" i="256"/>
  <c r="B66" i="256"/>
  <c r="J65" i="256"/>
  <c r="I65" i="256"/>
  <c r="B65" i="256"/>
  <c r="O59" i="256"/>
  <c r="O54" i="256"/>
  <c r="H59" i="256"/>
  <c r="J59" i="256" s="1"/>
  <c r="H54" i="256"/>
  <c r="J54" i="256" s="1"/>
  <c r="H47" i="256"/>
  <c r="J47" i="256" s="1"/>
  <c r="H40" i="256"/>
  <c r="I40" i="256" s="1"/>
  <c r="O47" i="256"/>
  <c r="O40" i="256"/>
  <c r="B47" i="256"/>
  <c r="J46" i="256"/>
  <c r="I46" i="256"/>
  <c r="B46" i="256"/>
  <c r="J45" i="256"/>
  <c r="I45" i="256"/>
  <c r="K45" i="256" s="1"/>
  <c r="B45" i="256"/>
  <c r="J44" i="256"/>
  <c r="I44" i="256"/>
  <c r="K44" i="256" s="1"/>
  <c r="B44" i="256"/>
  <c r="J43" i="256"/>
  <c r="I43" i="256"/>
  <c r="B43" i="256"/>
  <c r="J42" i="256"/>
  <c r="I42" i="256"/>
  <c r="K42" i="256" s="1"/>
  <c r="B42" i="256"/>
  <c r="J41" i="256"/>
  <c r="I41" i="256"/>
  <c r="K41" i="256" s="1"/>
  <c r="B41" i="256"/>
  <c r="B40" i="256"/>
  <c r="J39" i="256"/>
  <c r="I39" i="256"/>
  <c r="B39" i="256"/>
  <c r="J38" i="256"/>
  <c r="I38" i="256"/>
  <c r="K38" i="256" s="1"/>
  <c r="B38" i="256"/>
  <c r="J37" i="256"/>
  <c r="I37" i="256"/>
  <c r="B37" i="256"/>
  <c r="J36" i="256"/>
  <c r="I36" i="256"/>
  <c r="K36" i="256" s="1"/>
  <c r="B36" i="256"/>
  <c r="J35" i="256"/>
  <c r="I35" i="256"/>
  <c r="K35" i="256" s="1"/>
  <c r="B35" i="256"/>
  <c r="H33" i="256"/>
  <c r="J33" i="256" s="1"/>
  <c r="H19" i="256"/>
  <c r="I19" i="256" s="1"/>
  <c r="H12" i="256"/>
  <c r="I12" i="256" s="1"/>
  <c r="H26" i="256"/>
  <c r="J26" i="256" s="1"/>
  <c r="O19" i="256"/>
  <c r="O12" i="256"/>
  <c r="O33" i="256"/>
  <c r="O26" i="256"/>
  <c r="J34" i="256"/>
  <c r="I34" i="256"/>
  <c r="B34" i="256"/>
  <c r="B33" i="256"/>
  <c r="J32" i="256"/>
  <c r="I32" i="256"/>
  <c r="K32" i="256" s="1"/>
  <c r="B32" i="256"/>
  <c r="J31" i="256"/>
  <c r="I31" i="256"/>
  <c r="B31" i="256"/>
  <c r="J30" i="256"/>
  <c r="I30" i="256"/>
  <c r="B30" i="256"/>
  <c r="J29" i="256"/>
  <c r="I29" i="256"/>
  <c r="B29" i="256"/>
  <c r="J28" i="256"/>
  <c r="I28" i="256"/>
  <c r="B28" i="256"/>
  <c r="J27" i="256"/>
  <c r="I27" i="256"/>
  <c r="B27" i="256"/>
  <c r="B26" i="256"/>
  <c r="J25" i="256"/>
  <c r="I25" i="256"/>
  <c r="B25" i="256"/>
  <c r="J24" i="256"/>
  <c r="I24" i="256"/>
  <c r="K24" i="256" s="1"/>
  <c r="B24" i="256"/>
  <c r="J23" i="256"/>
  <c r="I23" i="256"/>
  <c r="B23" i="256"/>
  <c r="J22" i="256"/>
  <c r="I22" i="256"/>
  <c r="B22" i="256"/>
  <c r="J21" i="256"/>
  <c r="I21" i="256"/>
  <c r="B21" i="256"/>
  <c r="J20" i="256"/>
  <c r="I20" i="256"/>
  <c r="B20" i="256"/>
  <c r="B19" i="256"/>
  <c r="J18" i="256"/>
  <c r="I18" i="256"/>
  <c r="B18" i="256"/>
  <c r="J17" i="256"/>
  <c r="I17" i="256"/>
  <c r="B17" i="256"/>
  <c r="J16" i="256"/>
  <c r="I16" i="256"/>
  <c r="B16" i="256"/>
  <c r="J15" i="256"/>
  <c r="I15" i="256"/>
  <c r="B15" i="256"/>
  <c r="J14" i="256"/>
  <c r="I14" i="256"/>
  <c r="B14" i="256"/>
  <c r="A1713" i="256"/>
  <c r="J1712" i="256"/>
  <c r="I1712" i="256"/>
  <c r="B1712" i="256"/>
  <c r="J1711" i="256"/>
  <c r="I1711" i="256"/>
  <c r="B1711" i="256"/>
  <c r="J1710" i="256"/>
  <c r="I1710" i="256"/>
  <c r="B1710" i="256"/>
  <c r="J1709" i="256"/>
  <c r="I1709" i="256"/>
  <c r="B1709" i="256"/>
  <c r="J1708" i="256"/>
  <c r="I1708" i="256"/>
  <c r="B1708" i="256"/>
  <c r="J1707" i="256"/>
  <c r="I1707" i="256"/>
  <c r="B1707" i="256"/>
  <c r="J1706" i="256"/>
  <c r="I1706" i="256"/>
  <c r="B1706" i="256"/>
  <c r="J1705" i="256"/>
  <c r="I1705" i="256"/>
  <c r="B1705" i="256"/>
  <c r="J1704" i="256"/>
  <c r="I1704" i="256"/>
  <c r="B1704" i="256"/>
  <c r="J1703" i="256"/>
  <c r="I1703" i="256"/>
  <c r="B1703" i="256"/>
  <c r="AB1702" i="256"/>
  <c r="AA1702" i="256"/>
  <c r="Z1702" i="256"/>
  <c r="Y1702" i="256"/>
  <c r="X1702" i="256"/>
  <c r="W1702" i="256"/>
  <c r="V1702" i="256"/>
  <c r="U1702" i="256"/>
  <c r="L1702" i="256"/>
  <c r="K1702" i="256"/>
  <c r="J844" i="256"/>
  <c r="I844" i="256"/>
  <c r="B844" i="256"/>
  <c r="J798" i="256"/>
  <c r="I798" i="256"/>
  <c r="B798" i="256"/>
  <c r="J797" i="256"/>
  <c r="I797" i="256"/>
  <c r="B797" i="256"/>
  <c r="L796" i="256"/>
  <c r="K796" i="256"/>
  <c r="K815" i="256" s="1"/>
  <c r="J156" i="256"/>
  <c r="I156" i="256"/>
  <c r="B156" i="256"/>
  <c r="J155" i="256"/>
  <c r="I155" i="256"/>
  <c r="B155" i="256"/>
  <c r="J154" i="256"/>
  <c r="I154" i="256"/>
  <c r="B154" i="256"/>
  <c r="J153" i="256"/>
  <c r="I153" i="256"/>
  <c r="B153" i="256"/>
  <c r="J152" i="256"/>
  <c r="I152" i="256"/>
  <c r="B152" i="256"/>
  <c r="J151" i="256"/>
  <c r="I151" i="256"/>
  <c r="B151" i="256"/>
  <c r="J150" i="256"/>
  <c r="I150" i="256"/>
  <c r="B150" i="256"/>
  <c r="AB149" i="256"/>
  <c r="AA149" i="256"/>
  <c r="Z149" i="256"/>
  <c r="Y149" i="256"/>
  <c r="X149" i="256"/>
  <c r="W149" i="256"/>
  <c r="V149" i="256"/>
  <c r="U149" i="256"/>
  <c r="L149" i="256"/>
  <c r="J147" i="256"/>
  <c r="I147" i="256"/>
  <c r="B147" i="256"/>
  <c r="J146" i="256"/>
  <c r="I146" i="256"/>
  <c r="B146" i="256"/>
  <c r="J145" i="256"/>
  <c r="I145" i="256"/>
  <c r="B145" i="256"/>
  <c r="J144" i="256"/>
  <c r="I144" i="256"/>
  <c r="B144" i="256"/>
  <c r="J143" i="256"/>
  <c r="I143" i="256"/>
  <c r="B143" i="256"/>
  <c r="J142" i="256"/>
  <c r="I142" i="256"/>
  <c r="B142" i="256"/>
  <c r="AB141" i="256"/>
  <c r="AA141" i="256"/>
  <c r="Z141" i="256"/>
  <c r="Y141" i="256"/>
  <c r="X141" i="256"/>
  <c r="W141" i="256"/>
  <c r="V141" i="256"/>
  <c r="U141" i="256"/>
  <c r="L141" i="256"/>
  <c r="J139" i="256"/>
  <c r="I139" i="256"/>
  <c r="B139" i="256"/>
  <c r="J138" i="256"/>
  <c r="I138" i="256"/>
  <c r="B138" i="256"/>
  <c r="J137" i="256"/>
  <c r="I137" i="256"/>
  <c r="K137" i="256" s="1"/>
  <c r="B137" i="256"/>
  <c r="J136" i="256"/>
  <c r="I136" i="256"/>
  <c r="B136" i="256"/>
  <c r="J135" i="256"/>
  <c r="I135" i="256"/>
  <c r="B135" i="256"/>
  <c r="J134" i="256"/>
  <c r="I134" i="256"/>
  <c r="B134" i="256"/>
  <c r="J133" i="256"/>
  <c r="I133" i="256"/>
  <c r="B133" i="256"/>
  <c r="J132" i="256"/>
  <c r="I132" i="256"/>
  <c r="B132" i="256"/>
  <c r="J131" i="256"/>
  <c r="I131" i="256"/>
  <c r="B131" i="256"/>
  <c r="J130" i="256"/>
  <c r="I130" i="256"/>
  <c r="B130" i="256"/>
  <c r="AB129" i="256"/>
  <c r="AA129" i="256"/>
  <c r="Z129" i="256"/>
  <c r="Y129" i="256"/>
  <c r="X129" i="256"/>
  <c r="W129" i="256"/>
  <c r="V129" i="256"/>
  <c r="U129" i="256"/>
  <c r="L129" i="256"/>
  <c r="B99" i="256"/>
  <c r="B98" i="256"/>
  <c r="B97" i="256"/>
  <c r="B96" i="256"/>
  <c r="B95" i="256"/>
  <c r="J94" i="256"/>
  <c r="I94" i="256"/>
  <c r="B94" i="256"/>
  <c r="J93" i="256"/>
  <c r="I93" i="256"/>
  <c r="B93" i="256"/>
  <c r="J92" i="256"/>
  <c r="I92" i="256"/>
  <c r="B92" i="256"/>
  <c r="J91" i="256"/>
  <c r="I91" i="256"/>
  <c r="B91" i="256"/>
  <c r="J90" i="256"/>
  <c r="I90" i="256"/>
  <c r="B90" i="256"/>
  <c r="AB89" i="256"/>
  <c r="AA89" i="256"/>
  <c r="Z89" i="256"/>
  <c r="Y89" i="256"/>
  <c r="X89" i="256"/>
  <c r="W89" i="256"/>
  <c r="V89" i="256"/>
  <c r="U89" i="256"/>
  <c r="L89" i="256"/>
  <c r="J64" i="256"/>
  <c r="I64" i="256"/>
  <c r="B64" i="256"/>
  <c r="J63" i="256"/>
  <c r="I63" i="256"/>
  <c r="B63" i="256"/>
  <c r="J62" i="256"/>
  <c r="I62" i="256"/>
  <c r="B62" i="256"/>
  <c r="AB61" i="256"/>
  <c r="AA61" i="256"/>
  <c r="Z61" i="256"/>
  <c r="Y61" i="256"/>
  <c r="X61" i="256"/>
  <c r="W61" i="256"/>
  <c r="V61" i="256"/>
  <c r="U61" i="256"/>
  <c r="L61" i="256"/>
  <c r="B59" i="256"/>
  <c r="J58" i="256"/>
  <c r="I58" i="256"/>
  <c r="B58" i="256"/>
  <c r="J57" i="256"/>
  <c r="I57" i="256"/>
  <c r="B57" i="256"/>
  <c r="J56" i="256"/>
  <c r="I56" i="256"/>
  <c r="B56" i="256"/>
  <c r="J55" i="256"/>
  <c r="I55" i="256"/>
  <c r="B55" i="256"/>
  <c r="B54" i="256"/>
  <c r="J53" i="256"/>
  <c r="I53" i="256"/>
  <c r="B53" i="256"/>
  <c r="J52" i="256"/>
  <c r="I52" i="256"/>
  <c r="B52" i="256"/>
  <c r="J51" i="256"/>
  <c r="I51" i="256"/>
  <c r="B51" i="256"/>
  <c r="J50" i="256"/>
  <c r="I50" i="256"/>
  <c r="B50" i="256"/>
  <c r="AB49" i="256"/>
  <c r="AA49" i="256"/>
  <c r="Z49" i="256"/>
  <c r="Y49" i="256"/>
  <c r="X49" i="256"/>
  <c r="W49" i="256"/>
  <c r="V49" i="256"/>
  <c r="U49" i="256"/>
  <c r="L49" i="256"/>
  <c r="J13" i="256"/>
  <c r="I13" i="256"/>
  <c r="B13" i="256"/>
  <c r="B12" i="256"/>
  <c r="J11" i="256"/>
  <c r="I11" i="256"/>
  <c r="B11" i="256"/>
  <c r="J10" i="256"/>
  <c r="I10" i="256"/>
  <c r="B10" i="256"/>
  <c r="J9" i="256"/>
  <c r="I9" i="256"/>
  <c r="K9" i="256" s="1"/>
  <c r="B9" i="256"/>
  <c r="J8" i="256"/>
  <c r="I8" i="256"/>
  <c r="K8" i="256" s="1"/>
  <c r="B8" i="256"/>
  <c r="J7" i="256"/>
  <c r="I7" i="256"/>
  <c r="B7" i="256"/>
  <c r="J6" i="256"/>
  <c r="I6" i="256"/>
  <c r="B6" i="256"/>
  <c r="AB5" i="256"/>
  <c r="AA5" i="256"/>
  <c r="Z5" i="256"/>
  <c r="Y5" i="256"/>
  <c r="X5" i="256"/>
  <c r="W5" i="256"/>
  <c r="V5" i="256"/>
  <c r="U5" i="256"/>
  <c r="L5" i="256"/>
  <c r="J936" i="254"/>
  <c r="I936" i="254"/>
  <c r="B936" i="254"/>
  <c r="J935" i="254"/>
  <c r="I935" i="254"/>
  <c r="B935" i="254"/>
  <c r="J934" i="254"/>
  <c r="I934" i="254"/>
  <c r="B934" i="254"/>
  <c r="J933" i="254"/>
  <c r="I933" i="254"/>
  <c r="B933" i="254"/>
  <c r="J932" i="254"/>
  <c r="I932" i="254"/>
  <c r="B932" i="254"/>
  <c r="J931" i="254"/>
  <c r="I931" i="254"/>
  <c r="B931" i="254"/>
  <c r="J930" i="254"/>
  <c r="I930" i="254"/>
  <c r="B930" i="254"/>
  <c r="J929" i="254"/>
  <c r="I929" i="254"/>
  <c r="B929" i="254"/>
  <c r="J928" i="254"/>
  <c r="I928" i="254"/>
  <c r="B928" i="254"/>
  <c r="J927" i="254"/>
  <c r="I927" i="254"/>
  <c r="B927" i="254"/>
  <c r="AB926" i="254"/>
  <c r="AA926" i="254"/>
  <c r="Z926" i="254"/>
  <c r="Y926" i="254"/>
  <c r="X926" i="254"/>
  <c r="W926" i="254"/>
  <c r="V926" i="254"/>
  <c r="U926" i="254"/>
  <c r="L926" i="254"/>
  <c r="K926" i="254"/>
  <c r="A174" i="255"/>
  <c r="J173" i="255"/>
  <c r="I173" i="255"/>
  <c r="B173" i="255"/>
  <c r="J172" i="255"/>
  <c r="I172" i="255"/>
  <c r="B172" i="255"/>
  <c r="J171" i="255"/>
  <c r="I171" i="255"/>
  <c r="B171" i="255"/>
  <c r="J170" i="255"/>
  <c r="I170" i="255"/>
  <c r="B170" i="255"/>
  <c r="J169" i="255"/>
  <c r="I169" i="255"/>
  <c r="B169" i="255"/>
  <c r="J168" i="255"/>
  <c r="I168" i="255"/>
  <c r="B168" i="255"/>
  <c r="J167" i="255"/>
  <c r="I167" i="255"/>
  <c r="B167" i="255"/>
  <c r="J166" i="255"/>
  <c r="I166" i="255"/>
  <c r="B166" i="255"/>
  <c r="J165" i="255"/>
  <c r="I165" i="255"/>
  <c r="B165" i="255"/>
  <c r="J164" i="255"/>
  <c r="I164" i="255"/>
  <c r="B164" i="255"/>
  <c r="AB163" i="255"/>
  <c r="AA163" i="255"/>
  <c r="Z163" i="255"/>
  <c r="Y163" i="255"/>
  <c r="X163" i="255"/>
  <c r="W163" i="255"/>
  <c r="V163" i="255"/>
  <c r="U163" i="255"/>
  <c r="L163" i="255"/>
  <c r="K163" i="255"/>
  <c r="J58" i="255"/>
  <c r="I58" i="255"/>
  <c r="B58" i="255"/>
  <c r="J55" i="255"/>
  <c r="I55" i="255"/>
  <c r="B55" i="255"/>
  <c r="J53" i="255"/>
  <c r="I53" i="255"/>
  <c r="B53" i="255"/>
  <c r="L52" i="255"/>
  <c r="K52" i="255"/>
  <c r="K57" i="255" s="1"/>
  <c r="J47" i="255"/>
  <c r="I47" i="255"/>
  <c r="B47" i="255"/>
  <c r="J46" i="255"/>
  <c r="I46" i="255"/>
  <c r="B46" i="255"/>
  <c r="J45" i="255"/>
  <c r="I45" i="255"/>
  <c r="B45" i="255"/>
  <c r="L44" i="255"/>
  <c r="K44" i="255"/>
  <c r="J42" i="255"/>
  <c r="I42" i="255"/>
  <c r="B42" i="255"/>
  <c r="L41" i="255"/>
  <c r="K41" i="255"/>
  <c r="J38" i="255"/>
  <c r="I38" i="255"/>
  <c r="B38" i="255"/>
  <c r="L37" i="255"/>
  <c r="K37" i="255"/>
  <c r="J35" i="255"/>
  <c r="I35" i="255"/>
  <c r="B35" i="255"/>
  <c r="J34" i="255"/>
  <c r="I34" i="255"/>
  <c r="B34" i="255"/>
  <c r="L33" i="255"/>
  <c r="K33" i="255"/>
  <c r="J27" i="255"/>
  <c r="I27" i="255"/>
  <c r="B27" i="255"/>
  <c r="J26" i="255"/>
  <c r="I26" i="255"/>
  <c r="B26" i="255"/>
  <c r="J25" i="255"/>
  <c r="I25" i="255"/>
  <c r="B25" i="255"/>
  <c r="J24" i="255"/>
  <c r="I24" i="255"/>
  <c r="B24" i="255"/>
  <c r="L23" i="255"/>
  <c r="K23" i="255"/>
  <c r="J9" i="255"/>
  <c r="I9" i="255"/>
  <c r="B9" i="255"/>
  <c r="J8" i="255"/>
  <c r="I8" i="255"/>
  <c r="B8" i="255"/>
  <c r="J7" i="255"/>
  <c r="I7" i="255"/>
  <c r="B7" i="255"/>
  <c r="J6" i="255"/>
  <c r="I6" i="255"/>
  <c r="B6" i="255"/>
  <c r="L5" i="255"/>
  <c r="K5" i="255"/>
  <c r="B424" i="254"/>
  <c r="B432" i="254"/>
  <c r="B440" i="254"/>
  <c r="B448" i="254"/>
  <c r="B456" i="254"/>
  <c r="B464" i="254"/>
  <c r="B472" i="254"/>
  <c r="B480" i="254"/>
  <c r="B488" i="254"/>
  <c r="B496" i="254"/>
  <c r="B504" i="254"/>
  <c r="B512" i="254"/>
  <c r="B513" i="254"/>
  <c r="B520" i="254"/>
  <c r="B528" i="254"/>
  <c r="B536" i="254"/>
  <c r="B544" i="254"/>
  <c r="B545" i="254"/>
  <c r="B552" i="254"/>
  <c r="B560" i="254"/>
  <c r="B568" i="254"/>
  <c r="B576" i="254"/>
  <c r="B584" i="254"/>
  <c r="B592" i="254"/>
  <c r="B593" i="254"/>
  <c r="B600" i="254"/>
  <c r="B601" i="254"/>
  <c r="B608" i="254"/>
  <c r="B616" i="254"/>
  <c r="B617" i="254"/>
  <c r="B624" i="254"/>
  <c r="B625" i="254"/>
  <c r="B632" i="254"/>
  <c r="B640" i="254"/>
  <c r="B648" i="254"/>
  <c r="B649" i="254"/>
  <c r="B656" i="254"/>
  <c r="B657" i="254"/>
  <c r="B664" i="254"/>
  <c r="B665" i="254"/>
  <c r="B672" i="254"/>
  <c r="B673" i="254"/>
  <c r="B680" i="254"/>
  <c r="B681" i="254"/>
  <c r="B688" i="254"/>
  <c r="B689" i="254"/>
  <c r="B693" i="254"/>
  <c r="B696" i="254"/>
  <c r="B704" i="254"/>
  <c r="B712" i="254"/>
  <c r="B713" i="254"/>
  <c r="B720" i="254"/>
  <c r="B721" i="254"/>
  <c r="B728" i="254"/>
  <c r="B729" i="254"/>
  <c r="B736" i="254"/>
  <c r="B737" i="254"/>
  <c r="B741" i="254"/>
  <c r="B744" i="254"/>
  <c r="B745" i="254"/>
  <c r="B749" i="254"/>
  <c r="B752" i="254"/>
  <c r="B753" i="254"/>
  <c r="B757" i="254"/>
  <c r="B760" i="254"/>
  <c r="B761" i="254"/>
  <c r="B765" i="254"/>
  <c r="B768" i="254"/>
  <c r="B769" i="254"/>
  <c r="B773" i="254"/>
  <c r="B776" i="254"/>
  <c r="B777" i="254"/>
  <c r="B781" i="254"/>
  <c r="B783" i="254"/>
  <c r="B784" i="254"/>
  <c r="B785" i="254"/>
  <c r="B789" i="254"/>
  <c r="B792" i="254"/>
  <c r="B793" i="254"/>
  <c r="B797" i="254"/>
  <c r="B800" i="254"/>
  <c r="B801" i="254"/>
  <c r="B805" i="254"/>
  <c r="B806" i="254"/>
  <c r="B808" i="254"/>
  <c r="B809" i="254"/>
  <c r="B813" i="254"/>
  <c r="B815" i="254"/>
  <c r="A914" i="254"/>
  <c r="A913" i="254"/>
  <c r="H912" i="254"/>
  <c r="H915" i="254" s="1"/>
  <c r="A918" i="254"/>
  <c r="A917" i="254"/>
  <c r="A916" i="254"/>
  <c r="A915" i="254"/>
  <c r="P912" i="254"/>
  <c r="P917" i="254" s="1"/>
  <c r="O912" i="254"/>
  <c r="O917" i="254" s="1"/>
  <c r="J924" i="254"/>
  <c r="I924" i="254"/>
  <c r="B924" i="254"/>
  <c r="AB923" i="254"/>
  <c r="AA923" i="254"/>
  <c r="Z923" i="254"/>
  <c r="Y923" i="254"/>
  <c r="X923" i="254"/>
  <c r="W923" i="254"/>
  <c r="V923" i="254"/>
  <c r="U923" i="254"/>
  <c r="L923" i="254"/>
  <c r="K923" i="254"/>
  <c r="AB920" i="254"/>
  <c r="AA920" i="254"/>
  <c r="Z920" i="254"/>
  <c r="Y920" i="254"/>
  <c r="X920" i="254"/>
  <c r="W920" i="254"/>
  <c r="V920" i="254"/>
  <c r="U920" i="254"/>
  <c r="J921" i="254"/>
  <c r="I921" i="254"/>
  <c r="B921" i="254"/>
  <c r="L920" i="254"/>
  <c r="K920" i="254"/>
  <c r="P860" i="254"/>
  <c r="P879" i="254" s="1"/>
  <c r="H860" i="254"/>
  <c r="H864" i="254" s="1"/>
  <c r="B910" i="254"/>
  <c r="B909" i="254"/>
  <c r="B908" i="254"/>
  <c r="B907" i="254"/>
  <c r="B906" i="254"/>
  <c r="B905" i="254"/>
  <c r="B904" i="254"/>
  <c r="B903" i="254"/>
  <c r="B902" i="254"/>
  <c r="B901" i="254"/>
  <c r="B900" i="254"/>
  <c r="B899" i="254"/>
  <c r="B898" i="254"/>
  <c r="B897" i="254"/>
  <c r="B896" i="254"/>
  <c r="B895" i="254"/>
  <c r="B894" i="254"/>
  <c r="B893" i="254"/>
  <c r="B892" i="254"/>
  <c r="B891" i="254"/>
  <c r="B890" i="254"/>
  <c r="B889" i="254"/>
  <c r="B888" i="254"/>
  <c r="B887" i="254"/>
  <c r="B886" i="254"/>
  <c r="O860" i="254"/>
  <c r="O909" i="254" s="1"/>
  <c r="B885" i="254"/>
  <c r="B882" i="254"/>
  <c r="B884" i="254"/>
  <c r="B883" i="254"/>
  <c r="B880" i="254"/>
  <c r="B868" i="254"/>
  <c r="B864" i="254"/>
  <c r="B863" i="254"/>
  <c r="B862" i="254"/>
  <c r="AB860" i="254"/>
  <c r="AB912" i="254" s="1"/>
  <c r="AA860" i="254"/>
  <c r="AA912" i="254" s="1"/>
  <c r="Z860" i="254"/>
  <c r="Z912" i="254" s="1"/>
  <c r="Y860" i="254"/>
  <c r="X860" i="254"/>
  <c r="W860" i="254"/>
  <c r="V860" i="254"/>
  <c r="U860" i="254"/>
  <c r="Y912" i="254"/>
  <c r="X912" i="254"/>
  <c r="W912" i="254"/>
  <c r="V912" i="254"/>
  <c r="U912" i="254"/>
  <c r="B881" i="254"/>
  <c r="B879" i="254"/>
  <c r="B878" i="254"/>
  <c r="B877" i="254"/>
  <c r="B876" i="254"/>
  <c r="B875" i="254"/>
  <c r="B874" i="254"/>
  <c r="B873" i="254"/>
  <c r="B872" i="254"/>
  <c r="B871" i="254"/>
  <c r="B870" i="254"/>
  <c r="B869" i="254"/>
  <c r="B867" i="254"/>
  <c r="B866" i="254"/>
  <c r="B865" i="254"/>
  <c r="B861" i="254"/>
  <c r="L860" i="254"/>
  <c r="K860" i="254"/>
  <c r="B918" i="254"/>
  <c r="B917" i="254"/>
  <c r="B916" i="254"/>
  <c r="B915" i="254"/>
  <c r="B914" i="254"/>
  <c r="B913" i="254"/>
  <c r="L912" i="254"/>
  <c r="K912" i="254"/>
  <c r="H852" i="254"/>
  <c r="H854" i="254" s="1"/>
  <c r="H817" i="254"/>
  <c r="H825" i="254" s="1"/>
  <c r="H415" i="254"/>
  <c r="H394" i="254"/>
  <c r="H345" i="254"/>
  <c r="H261" i="254"/>
  <c r="H190" i="254"/>
  <c r="H108" i="254"/>
  <c r="B850" i="254"/>
  <c r="B849" i="254"/>
  <c r="B848" i="254"/>
  <c r="B847" i="254"/>
  <c r="B846" i="254"/>
  <c r="B845" i="254"/>
  <c r="B844" i="254"/>
  <c r="B843" i="254"/>
  <c r="B842" i="254"/>
  <c r="B841" i="254"/>
  <c r="B840" i="254"/>
  <c r="B839" i="254"/>
  <c r="B838" i="254"/>
  <c r="B837" i="254"/>
  <c r="B836" i="254"/>
  <c r="B835" i="254"/>
  <c r="B834" i="254"/>
  <c r="B833" i="254"/>
  <c r="B832" i="254"/>
  <c r="B831" i="254"/>
  <c r="B830" i="254"/>
  <c r="B829" i="254"/>
  <c r="B828" i="254"/>
  <c r="B827" i="254"/>
  <c r="P852" i="254"/>
  <c r="P854" i="254" s="1"/>
  <c r="O856" i="254"/>
  <c r="O821" i="254"/>
  <c r="P817" i="254"/>
  <c r="B858" i="254"/>
  <c r="B857" i="254"/>
  <c r="B856" i="254"/>
  <c r="B855" i="254"/>
  <c r="B854" i="254"/>
  <c r="B853" i="254"/>
  <c r="L852" i="254"/>
  <c r="K852" i="254"/>
  <c r="B826" i="254"/>
  <c r="B825" i="254"/>
  <c r="B824" i="254"/>
  <c r="B823" i="254"/>
  <c r="B822" i="254"/>
  <c r="B821" i="254"/>
  <c r="B820" i="254"/>
  <c r="B819" i="254"/>
  <c r="B818" i="254"/>
  <c r="L817" i="254"/>
  <c r="K817" i="254"/>
  <c r="B814" i="254"/>
  <c r="B812" i="254"/>
  <c r="B811" i="254"/>
  <c r="B810" i="254"/>
  <c r="B807" i="254"/>
  <c r="B804" i="254"/>
  <c r="B803" i="254"/>
  <c r="B802" i="254"/>
  <c r="B799" i="254"/>
  <c r="B798" i="254"/>
  <c r="B796" i="254"/>
  <c r="B795" i="254"/>
  <c r="B794" i="254"/>
  <c r="B791" i="254"/>
  <c r="B790" i="254"/>
  <c r="B788" i="254"/>
  <c r="B787" i="254"/>
  <c r="B786" i="254"/>
  <c r="B782" i="254"/>
  <c r="B780" i="254"/>
  <c r="B779" i="254"/>
  <c r="B778" i="254"/>
  <c r="B775" i="254"/>
  <c r="B774" i="254"/>
  <c r="B772" i="254"/>
  <c r="B771" i="254"/>
  <c r="B770" i="254"/>
  <c r="B767" i="254"/>
  <c r="B766" i="254"/>
  <c r="B764" i="254"/>
  <c r="B763" i="254"/>
  <c r="B762" i="254"/>
  <c r="B759" i="254"/>
  <c r="B758" i="254"/>
  <c r="B756" i="254"/>
  <c r="B755" i="254"/>
  <c r="B754" i="254"/>
  <c r="B751" i="254"/>
  <c r="B750" i="254"/>
  <c r="B748" i="254"/>
  <c r="B747" i="254"/>
  <c r="B746" i="254"/>
  <c r="B743" i="254"/>
  <c r="B742" i="254"/>
  <c r="B740" i="254"/>
  <c r="B739" i="254"/>
  <c r="B738" i="254"/>
  <c r="B735" i="254"/>
  <c r="B734" i="254"/>
  <c r="B733" i="254"/>
  <c r="B732" i="254"/>
  <c r="B731" i="254"/>
  <c r="B730" i="254"/>
  <c r="B727" i="254"/>
  <c r="B726" i="254"/>
  <c r="B725" i="254"/>
  <c r="B724" i="254"/>
  <c r="B723" i="254"/>
  <c r="B722" i="254"/>
  <c r="B719" i="254"/>
  <c r="B718" i="254"/>
  <c r="B717" i="254"/>
  <c r="B716" i="254"/>
  <c r="B700" i="254"/>
  <c r="B699" i="254"/>
  <c r="B698" i="254"/>
  <c r="B697" i="254"/>
  <c r="B695" i="254"/>
  <c r="B694" i="254"/>
  <c r="B692" i="254"/>
  <c r="B691" i="254"/>
  <c r="B690" i="254"/>
  <c r="B687" i="254"/>
  <c r="B686" i="254"/>
  <c r="B685" i="254"/>
  <c r="B684" i="254"/>
  <c r="B683" i="254"/>
  <c r="B682" i="254"/>
  <c r="B679" i="254"/>
  <c r="B678" i="254"/>
  <c r="B677" i="254"/>
  <c r="B676" i="254"/>
  <c r="B675" i="254"/>
  <c r="B674" i="254"/>
  <c r="B671" i="254"/>
  <c r="B670" i="254"/>
  <c r="B669" i="254"/>
  <c r="B668" i="254"/>
  <c r="B667" i="254"/>
  <c r="B666" i="254"/>
  <c r="B663" i="254"/>
  <c r="B662" i="254"/>
  <c r="B661" i="254"/>
  <c r="B660" i="254"/>
  <c r="B659" i="254"/>
  <c r="B658" i="254"/>
  <c r="B655" i="254"/>
  <c r="B654" i="254"/>
  <c r="B653" i="254"/>
  <c r="B652" i="254"/>
  <c r="B651" i="254"/>
  <c r="B650" i="254"/>
  <c r="B647" i="254"/>
  <c r="B646" i="254"/>
  <c r="B645" i="254"/>
  <c r="B644" i="254"/>
  <c r="B643" i="254"/>
  <c r="B642" i="254"/>
  <c r="B641" i="254"/>
  <c r="B639" i="254"/>
  <c r="B638" i="254"/>
  <c r="B637" i="254"/>
  <c r="B636" i="254"/>
  <c r="B635" i="254"/>
  <c r="B634" i="254"/>
  <c r="B633" i="254"/>
  <c r="B631" i="254"/>
  <c r="B630" i="254"/>
  <c r="B629" i="254"/>
  <c r="B628" i="254"/>
  <c r="B627" i="254"/>
  <c r="B626" i="254"/>
  <c r="B623" i="254"/>
  <c r="B622" i="254"/>
  <c r="B621" i="254"/>
  <c r="B620" i="254"/>
  <c r="B619" i="254"/>
  <c r="B618" i="254"/>
  <c r="B615" i="254"/>
  <c r="B614" i="254"/>
  <c r="B613" i="254"/>
  <c r="B612" i="254"/>
  <c r="B611" i="254"/>
  <c r="B610" i="254"/>
  <c r="B609" i="254"/>
  <c r="B607" i="254"/>
  <c r="B606" i="254"/>
  <c r="B605" i="254"/>
  <c r="B604" i="254"/>
  <c r="B603" i="254"/>
  <c r="B602" i="254"/>
  <c r="B599" i="254"/>
  <c r="B598" i="254"/>
  <c r="B597" i="254"/>
  <c r="B596" i="254"/>
  <c r="B595" i="254"/>
  <c r="B594" i="254"/>
  <c r="B591" i="254"/>
  <c r="B590" i="254"/>
  <c r="B589" i="254"/>
  <c r="B588" i="254"/>
  <c r="B587" i="254"/>
  <c r="B586" i="254"/>
  <c r="B585" i="254"/>
  <c r="B583" i="254"/>
  <c r="B582" i="254"/>
  <c r="B581" i="254"/>
  <c r="B580" i="254"/>
  <c r="B579" i="254"/>
  <c r="B578" i="254"/>
  <c r="B577" i="254"/>
  <c r="B575" i="254"/>
  <c r="B574" i="254"/>
  <c r="B573" i="254"/>
  <c r="B572" i="254"/>
  <c r="B571" i="254"/>
  <c r="B715" i="254"/>
  <c r="B714" i="254"/>
  <c r="B711" i="254"/>
  <c r="B710" i="254"/>
  <c r="B709" i="254"/>
  <c r="B708" i="254"/>
  <c r="B707" i="254"/>
  <c r="B706" i="254"/>
  <c r="B705" i="254"/>
  <c r="B703" i="254"/>
  <c r="B702" i="254"/>
  <c r="B701" i="254"/>
  <c r="B570" i="254"/>
  <c r="B569" i="254"/>
  <c r="B567" i="254"/>
  <c r="B566" i="254"/>
  <c r="B565" i="254"/>
  <c r="B564" i="254"/>
  <c r="B563" i="254"/>
  <c r="B562" i="254"/>
  <c r="B561" i="254"/>
  <c r="B559" i="254"/>
  <c r="B558" i="254"/>
  <c r="B557" i="254"/>
  <c r="B556" i="254"/>
  <c r="B555" i="254"/>
  <c r="B554" i="254"/>
  <c r="B553" i="254"/>
  <c r="B551" i="254"/>
  <c r="B550" i="254"/>
  <c r="B549" i="254"/>
  <c r="B548" i="254"/>
  <c r="B547" i="254"/>
  <c r="B546" i="254"/>
  <c r="B543" i="254"/>
  <c r="B542" i="254"/>
  <c r="B541" i="254"/>
  <c r="B540" i="254"/>
  <c r="B539" i="254"/>
  <c r="B538" i="254"/>
  <c r="B537" i="254"/>
  <c r="B535" i="254"/>
  <c r="B534" i="254"/>
  <c r="B533" i="254"/>
  <c r="B532" i="254"/>
  <c r="B531" i="254"/>
  <c r="B530" i="254"/>
  <c r="B529" i="254"/>
  <c r="B527" i="254"/>
  <c r="B526" i="254"/>
  <c r="B525" i="254"/>
  <c r="B524" i="254"/>
  <c r="B523" i="254"/>
  <c r="B522" i="254"/>
  <c r="B521" i="254"/>
  <c r="B519" i="254"/>
  <c r="B518" i="254"/>
  <c r="B517" i="254"/>
  <c r="B516" i="254"/>
  <c r="B515" i="254"/>
  <c r="B514" i="254"/>
  <c r="B511" i="254"/>
  <c r="B510" i="254"/>
  <c r="B509" i="254"/>
  <c r="B508" i="254"/>
  <c r="B507" i="254"/>
  <c r="B506" i="254"/>
  <c r="B505" i="254"/>
  <c r="B503" i="254"/>
  <c r="B502" i="254"/>
  <c r="B501" i="254"/>
  <c r="B500" i="254"/>
  <c r="B499" i="254"/>
  <c r="B498" i="254"/>
  <c r="B497" i="254"/>
  <c r="B495" i="254"/>
  <c r="B494" i="254"/>
  <c r="B493" i="254"/>
  <c r="B492" i="254"/>
  <c r="B491" i="254"/>
  <c r="B490" i="254"/>
  <c r="B489" i="254"/>
  <c r="B487" i="254"/>
  <c r="B486" i="254"/>
  <c r="B485" i="254"/>
  <c r="B484" i="254"/>
  <c r="B483" i="254"/>
  <c r="B482" i="254"/>
  <c r="B481" i="254"/>
  <c r="B479" i="254"/>
  <c r="B478" i="254"/>
  <c r="B477" i="254"/>
  <c r="B476" i="254"/>
  <c r="B475" i="254"/>
  <c r="B474" i="254"/>
  <c r="B473" i="254"/>
  <c r="B471" i="254"/>
  <c r="B470" i="254"/>
  <c r="B469" i="254"/>
  <c r="B468" i="254"/>
  <c r="B467" i="254"/>
  <c r="B466" i="254"/>
  <c r="B465" i="254"/>
  <c r="B463" i="254"/>
  <c r="B462" i="254"/>
  <c r="B461" i="254"/>
  <c r="B460" i="254"/>
  <c r="B459" i="254"/>
  <c r="B458" i="254"/>
  <c r="B457" i="254"/>
  <c r="B455" i="254"/>
  <c r="B454" i="254"/>
  <c r="B453" i="254"/>
  <c r="B452" i="254"/>
  <c r="B451" i="254"/>
  <c r="B450" i="254"/>
  <c r="B449" i="254"/>
  <c r="B447" i="254"/>
  <c r="B446" i="254"/>
  <c r="B445" i="254"/>
  <c r="B444" i="254"/>
  <c r="B443" i="254"/>
  <c r="B442" i="254"/>
  <c r="B441" i="254"/>
  <c r="B439" i="254"/>
  <c r="B438" i="254"/>
  <c r="B437" i="254"/>
  <c r="B436" i="254"/>
  <c r="B435" i="254"/>
  <c r="B434" i="254"/>
  <c r="B433" i="254"/>
  <c r="B431" i="254"/>
  <c r="B430" i="254"/>
  <c r="B429" i="254"/>
  <c r="B428" i="254"/>
  <c r="B427" i="254"/>
  <c r="B426" i="254"/>
  <c r="B425" i="254"/>
  <c r="B423" i="254"/>
  <c r="B422" i="254"/>
  <c r="B421" i="254"/>
  <c r="B420" i="254"/>
  <c r="B419" i="254"/>
  <c r="B418" i="254"/>
  <c r="P415" i="254"/>
  <c r="O913" i="254" l="1"/>
  <c r="K277" i="256"/>
  <c r="L277" i="256" s="1"/>
  <c r="K348" i="256"/>
  <c r="L348" i="256" s="1"/>
  <c r="K341" i="256"/>
  <c r="L341" i="256" s="1"/>
  <c r="K350" i="256"/>
  <c r="K352" i="256"/>
  <c r="K39" i="256"/>
  <c r="L39" i="256" s="1"/>
  <c r="K678" i="256"/>
  <c r="L678" i="256" s="1"/>
  <c r="K85" i="256"/>
  <c r="K345" i="256"/>
  <c r="L345" i="256" s="1"/>
  <c r="K278" i="256"/>
  <c r="K266" i="256"/>
  <c r="K330" i="256"/>
  <c r="L330" i="256" s="1"/>
  <c r="K16" i="256"/>
  <c r="K102" i="256"/>
  <c r="L102" i="256" s="1"/>
  <c r="K337" i="256"/>
  <c r="K326" i="256"/>
  <c r="K263" i="256"/>
  <c r="O918" i="254"/>
  <c r="K13" i="256"/>
  <c r="K37" i="256"/>
  <c r="L37" i="256" s="1"/>
  <c r="K43" i="256"/>
  <c r="K80" i="256"/>
  <c r="K83" i="256"/>
  <c r="K105" i="256"/>
  <c r="L105" i="256" s="1"/>
  <c r="K275" i="256"/>
  <c r="L275" i="256" s="1"/>
  <c r="K508" i="256"/>
  <c r="K282" i="256"/>
  <c r="K10" i="256"/>
  <c r="K46" i="256"/>
  <c r="K86" i="256"/>
  <c r="L86" i="256" s="1"/>
  <c r="K334" i="256"/>
  <c r="K265" i="256"/>
  <c r="L265" i="256" s="1"/>
  <c r="K456" i="256"/>
  <c r="K721" i="256"/>
  <c r="L721" i="256" s="1"/>
  <c r="V415" i="254"/>
  <c r="AB415" i="254"/>
  <c r="U415" i="254"/>
  <c r="AA415" i="254"/>
  <c r="Y415" i="254"/>
  <c r="Z415" i="254"/>
  <c r="X415" i="254"/>
  <c r="W415" i="254"/>
  <c r="P824" i="254"/>
  <c r="AB817" i="254"/>
  <c r="AB852" i="254" s="1"/>
  <c r="X817" i="254"/>
  <c r="X852" i="254" s="1"/>
  <c r="AA817" i="254"/>
  <c r="AA852" i="254" s="1"/>
  <c r="W817" i="254"/>
  <c r="W852" i="254" s="1"/>
  <c r="Z817" i="254"/>
  <c r="Z852" i="254" s="1"/>
  <c r="V817" i="254"/>
  <c r="V852" i="254" s="1"/>
  <c r="U817" i="254"/>
  <c r="U852" i="254" s="1"/>
  <c r="Y817" i="254"/>
  <c r="Y852" i="254" s="1"/>
  <c r="K39" i="255"/>
  <c r="L39" i="255" s="1"/>
  <c r="K54" i="255"/>
  <c r="K56" i="255"/>
  <c r="K50" i="255"/>
  <c r="L50" i="255" s="1"/>
  <c r="K48" i="255"/>
  <c r="L48" i="255" s="1"/>
  <c r="K49" i="255"/>
  <c r="L49" i="255" s="1"/>
  <c r="K20" i="255"/>
  <c r="L20" i="255" s="1"/>
  <c r="K21" i="255"/>
  <c r="L21" i="255" s="1"/>
  <c r="K18" i="255"/>
  <c r="L18" i="255" s="1"/>
  <c r="K19" i="255"/>
  <c r="L19" i="255" s="1"/>
  <c r="K16" i="255"/>
  <c r="K17" i="255"/>
  <c r="K14" i="255"/>
  <c r="K15" i="255"/>
  <c r="K28" i="255"/>
  <c r="K31" i="255"/>
  <c r="K29" i="255"/>
  <c r="K30" i="255"/>
  <c r="K13" i="255"/>
  <c r="L13" i="255" s="1"/>
  <c r="K11" i="255"/>
  <c r="L11" i="255" s="1"/>
  <c r="K12" i="255"/>
  <c r="L12" i="255" s="1"/>
  <c r="K10" i="255"/>
  <c r="L10" i="255" s="1"/>
  <c r="L781" i="256"/>
  <c r="L815" i="256"/>
  <c r="L785" i="256"/>
  <c r="K801" i="256"/>
  <c r="L801" i="256" s="1"/>
  <c r="K808" i="256"/>
  <c r="L808" i="256" s="1"/>
  <c r="J68" i="256"/>
  <c r="H120" i="256"/>
  <c r="J75" i="256"/>
  <c r="H127" i="256"/>
  <c r="K1703" i="256"/>
  <c r="L1703" i="256" s="1"/>
  <c r="K814" i="256"/>
  <c r="L814" i="256" s="1"/>
  <c r="K805" i="256"/>
  <c r="L805" i="256" s="1"/>
  <c r="K809" i="256"/>
  <c r="L809" i="256" s="1"/>
  <c r="K799" i="256"/>
  <c r="L799" i="256" s="1"/>
  <c r="K812" i="256"/>
  <c r="L812" i="256" s="1"/>
  <c r="K803" i="256"/>
  <c r="L803" i="256" s="1"/>
  <c r="K816" i="256"/>
  <c r="L816" i="256" s="1"/>
  <c r="K806" i="256"/>
  <c r="L806" i="256" s="1"/>
  <c r="K810" i="256"/>
  <c r="L810" i="256" s="1"/>
  <c r="K800" i="256"/>
  <c r="L800" i="256" s="1"/>
  <c r="K813" i="256"/>
  <c r="L813" i="256" s="1"/>
  <c r="K804" i="256"/>
  <c r="L804" i="256" s="1"/>
  <c r="K817" i="256"/>
  <c r="L817" i="256" s="1"/>
  <c r="K807" i="256"/>
  <c r="L807" i="256" s="1"/>
  <c r="K811" i="256"/>
  <c r="L811" i="256" s="1"/>
  <c r="K802" i="256"/>
  <c r="L802" i="256" s="1"/>
  <c r="L771" i="256"/>
  <c r="L773" i="256"/>
  <c r="L770" i="256"/>
  <c r="L772" i="256"/>
  <c r="L774" i="256"/>
  <c r="K24" i="255"/>
  <c r="K38" i="255"/>
  <c r="K172" i="255"/>
  <c r="K927" i="254"/>
  <c r="L927" i="254" s="1"/>
  <c r="K921" i="254"/>
  <c r="L921" i="254" s="1"/>
  <c r="K164" i="255"/>
  <c r="K26" i="255"/>
  <c r="L574" i="256"/>
  <c r="J505" i="256"/>
  <c r="I505" i="256"/>
  <c r="K505" i="256" s="1"/>
  <c r="L505" i="256" s="1"/>
  <c r="J440" i="256"/>
  <c r="I440" i="256"/>
  <c r="K440" i="256" s="1"/>
  <c r="L440" i="256" s="1"/>
  <c r="J443" i="256"/>
  <c r="I443" i="256"/>
  <c r="I450" i="256"/>
  <c r="K450" i="256" s="1"/>
  <c r="L450" i="256" s="1"/>
  <c r="J450" i="256"/>
  <c r="I504" i="256"/>
  <c r="J504" i="256"/>
  <c r="J447" i="256"/>
  <c r="I447" i="256"/>
  <c r="K447" i="256" s="1"/>
  <c r="L447" i="256" s="1"/>
  <c r="I498" i="256"/>
  <c r="K498" i="256" s="1"/>
  <c r="J498" i="256"/>
  <c r="J487" i="256"/>
  <c r="I487" i="256"/>
  <c r="I506" i="256"/>
  <c r="J506" i="256"/>
  <c r="I494" i="256"/>
  <c r="J494" i="256"/>
  <c r="J437" i="256"/>
  <c r="I437" i="256"/>
  <c r="J493" i="256"/>
  <c r="I493" i="256"/>
  <c r="J439" i="256"/>
  <c r="I439" i="256"/>
  <c r="K439" i="256" s="1"/>
  <c r="L439" i="256" s="1"/>
  <c r="J511" i="256"/>
  <c r="I511" i="256"/>
  <c r="K511" i="256" s="1"/>
  <c r="L511" i="256" s="1"/>
  <c r="I454" i="256"/>
  <c r="K454" i="256" s="1"/>
  <c r="L454" i="256" s="1"/>
  <c r="J454" i="256"/>
  <c r="J490" i="256"/>
  <c r="I490" i="256"/>
  <c r="K490" i="256" s="1"/>
  <c r="L490" i="256" s="1"/>
  <c r="J486" i="256"/>
  <c r="I486" i="256"/>
  <c r="K486" i="256" s="1"/>
  <c r="L486" i="256" s="1"/>
  <c r="J452" i="256"/>
  <c r="I452" i="256"/>
  <c r="K452" i="256" s="1"/>
  <c r="L452" i="256" s="1"/>
  <c r="J489" i="256"/>
  <c r="I489" i="256"/>
  <c r="J499" i="256"/>
  <c r="I499" i="256"/>
  <c r="K499" i="256" s="1"/>
  <c r="L499" i="256" s="1"/>
  <c r="J507" i="256"/>
  <c r="I507" i="256"/>
  <c r="K507" i="256" s="1"/>
  <c r="L507" i="256" s="1"/>
  <c r="J496" i="256"/>
  <c r="I496" i="256"/>
  <c r="K496" i="256" s="1"/>
  <c r="L496" i="256" s="1"/>
  <c r="J449" i="256"/>
  <c r="I449" i="256"/>
  <c r="J488" i="256"/>
  <c r="I488" i="256"/>
  <c r="K488" i="256" s="1"/>
  <c r="L488" i="256" s="1"/>
  <c r="J503" i="256"/>
  <c r="I503" i="256"/>
  <c r="K503" i="256" s="1"/>
  <c r="L503" i="256" s="1"/>
  <c r="J446" i="256"/>
  <c r="I446" i="256"/>
  <c r="K446" i="256" s="1"/>
  <c r="L446" i="256" s="1"/>
  <c r="J510" i="256"/>
  <c r="I510" i="256"/>
  <c r="J453" i="256"/>
  <c r="I453" i="256"/>
  <c r="K453" i="256" s="1"/>
  <c r="L453" i="256" s="1"/>
  <c r="I509" i="256"/>
  <c r="J509" i="256"/>
  <c r="J444" i="256"/>
  <c r="I444" i="256"/>
  <c r="K444" i="256" s="1"/>
  <c r="L444" i="256" s="1"/>
  <c r="J513" i="256"/>
  <c r="I513" i="256"/>
  <c r="J448" i="256"/>
  <c r="I448" i="256"/>
  <c r="K448" i="256" s="1"/>
  <c r="L448" i="256" s="1"/>
  <c r="J451" i="256"/>
  <c r="I451" i="256"/>
  <c r="K451" i="256" s="1"/>
  <c r="L451" i="256" s="1"/>
  <c r="J491" i="256"/>
  <c r="I491" i="256"/>
  <c r="K491" i="256" s="1"/>
  <c r="L491" i="256" s="1"/>
  <c r="J441" i="256"/>
  <c r="I441" i="256"/>
  <c r="J442" i="256"/>
  <c r="I442" i="256"/>
  <c r="K442" i="256" s="1"/>
  <c r="L442" i="256" s="1"/>
  <c r="J512" i="256"/>
  <c r="I512" i="256"/>
  <c r="K512" i="256" s="1"/>
  <c r="L512" i="256" s="1"/>
  <c r="J455" i="256"/>
  <c r="I455" i="256"/>
  <c r="K455" i="256" s="1"/>
  <c r="L455" i="256" s="1"/>
  <c r="J514" i="256"/>
  <c r="I514" i="256"/>
  <c r="J495" i="256"/>
  <c r="I495" i="256"/>
  <c r="K495" i="256" s="1"/>
  <c r="L495" i="256" s="1"/>
  <c r="J438" i="256"/>
  <c r="I438" i="256"/>
  <c r="K438" i="256" s="1"/>
  <c r="L438" i="256" s="1"/>
  <c r="J435" i="256"/>
  <c r="I435" i="256"/>
  <c r="K435" i="256" s="1"/>
  <c r="L435" i="256" s="1"/>
  <c r="J502" i="256"/>
  <c r="I502" i="256"/>
  <c r="J445" i="256"/>
  <c r="I445" i="256"/>
  <c r="K445" i="256" s="1"/>
  <c r="L445" i="256" s="1"/>
  <c r="J501" i="256"/>
  <c r="I501" i="256"/>
  <c r="K501" i="256" s="1"/>
  <c r="L501" i="256" s="1"/>
  <c r="J436" i="256"/>
  <c r="I436" i="256"/>
  <c r="K436" i="256" s="1"/>
  <c r="L436" i="256" s="1"/>
  <c r="L498" i="256"/>
  <c r="L482" i="256"/>
  <c r="L474" i="256"/>
  <c r="L466" i="256"/>
  <c r="L458" i="256"/>
  <c r="L430" i="256"/>
  <c r="L422" i="256"/>
  <c r="L419" i="256"/>
  <c r="L479" i="256"/>
  <c r="L471" i="256"/>
  <c r="L463" i="256"/>
  <c r="L427" i="256"/>
  <c r="L415" i="256"/>
  <c r="L433" i="256"/>
  <c r="L476" i="256"/>
  <c r="L424" i="256"/>
  <c r="L425" i="256"/>
  <c r="L459" i="256"/>
  <c r="L500" i="256"/>
  <c r="L462" i="256"/>
  <c r="L465" i="256"/>
  <c r="L483" i="256"/>
  <c r="L470" i="256"/>
  <c r="L457" i="256"/>
  <c r="L464" i="256"/>
  <c r="L428" i="256"/>
  <c r="L478" i="256"/>
  <c r="L481" i="256"/>
  <c r="L473" i="256"/>
  <c r="L468" i="256"/>
  <c r="L469" i="256"/>
  <c r="L497" i="256"/>
  <c r="L492" i="256"/>
  <c r="L456" i="256"/>
  <c r="L461" i="256"/>
  <c r="L475" i="256"/>
  <c r="L423" i="256"/>
  <c r="L485" i="256"/>
  <c r="L467" i="256"/>
  <c r="L420" i="256"/>
  <c r="L477" i="256"/>
  <c r="L480" i="256"/>
  <c r="L418" i="256"/>
  <c r="L431" i="256"/>
  <c r="L416" i="256"/>
  <c r="L484" i="256"/>
  <c r="L426" i="256"/>
  <c r="L429" i="256"/>
  <c r="L460" i="256"/>
  <c r="L434" i="256"/>
  <c r="L421" i="256"/>
  <c r="L432" i="256"/>
  <c r="L417" i="256"/>
  <c r="L472" i="256"/>
  <c r="L535" i="256"/>
  <c r="L584" i="256"/>
  <c r="L527" i="256"/>
  <c r="L608" i="256"/>
  <c r="L600" i="256"/>
  <c r="L592" i="256"/>
  <c r="L576" i="256"/>
  <c r="L567" i="256"/>
  <c r="L559" i="256"/>
  <c r="L551" i="256"/>
  <c r="L543" i="256"/>
  <c r="L519" i="256"/>
  <c r="L575" i="256"/>
  <c r="L598" i="256"/>
  <c r="L585" i="256"/>
  <c r="L524" i="256"/>
  <c r="L545" i="256"/>
  <c r="L563" i="256"/>
  <c r="L532" i="256"/>
  <c r="L571" i="256"/>
  <c r="L604" i="256"/>
  <c r="L526" i="256"/>
  <c r="L536" i="256"/>
  <c r="L590" i="256"/>
  <c r="L586" i="256"/>
  <c r="L523" i="256"/>
  <c r="L591" i="256"/>
  <c r="L529" i="256"/>
  <c r="L587" i="256"/>
  <c r="L518" i="256"/>
  <c r="L525" i="256"/>
  <c r="L521" i="256"/>
  <c r="L544" i="256"/>
  <c r="L577" i="256"/>
  <c r="L609" i="256"/>
  <c r="L549" i="256"/>
  <c r="L583" i="256"/>
  <c r="L538" i="256"/>
  <c r="L560" i="256"/>
  <c r="L530" i="256"/>
  <c r="L607" i="256"/>
  <c r="L508" i="256"/>
  <c r="L589" i="256"/>
  <c r="L534" i="256"/>
  <c r="L578" i="256"/>
  <c r="L541" i="256"/>
  <c r="L515" i="256"/>
  <c r="L537" i="256"/>
  <c r="L546" i="256"/>
  <c r="L579" i="256"/>
  <c r="L570" i="256"/>
  <c r="L593" i="256"/>
  <c r="L539" i="256"/>
  <c r="L517" i="256"/>
  <c r="L540" i="256"/>
  <c r="L596" i="256"/>
  <c r="L550" i="256"/>
  <c r="L594" i="256"/>
  <c r="L557" i="256"/>
  <c r="L522" i="256"/>
  <c r="L553" i="256"/>
  <c r="L548" i="256"/>
  <c r="L581" i="256"/>
  <c r="L533" i="256"/>
  <c r="L554" i="256"/>
  <c r="L601" i="256"/>
  <c r="L566" i="256"/>
  <c r="L520" i="256"/>
  <c r="L573" i="256"/>
  <c r="L531" i="256"/>
  <c r="L569" i="256"/>
  <c r="L555" i="256"/>
  <c r="L588" i="256"/>
  <c r="L603" i="256"/>
  <c r="L542" i="256"/>
  <c r="L565" i="256"/>
  <c r="L572" i="256"/>
  <c r="L605" i="256"/>
  <c r="L599" i="256"/>
  <c r="L552" i="256"/>
  <c r="L606" i="256"/>
  <c r="L547" i="256"/>
  <c r="L602" i="256"/>
  <c r="L562" i="256"/>
  <c r="L595" i="256"/>
  <c r="L558" i="256"/>
  <c r="L582" i="256"/>
  <c r="L580" i="256"/>
  <c r="L561" i="256"/>
  <c r="L568" i="256"/>
  <c r="L528" i="256"/>
  <c r="L556" i="256"/>
  <c r="L516" i="256"/>
  <c r="L564" i="256"/>
  <c r="L597" i="256"/>
  <c r="K626" i="256"/>
  <c r="L626" i="256" s="1"/>
  <c r="K630" i="256"/>
  <c r="L630" i="256" s="1"/>
  <c r="K629" i="256"/>
  <c r="L629" i="256" s="1"/>
  <c r="K625" i="256"/>
  <c r="L625" i="256" s="1"/>
  <c r="K622" i="256"/>
  <c r="L622" i="256" s="1"/>
  <c r="I95" i="256"/>
  <c r="K95" i="256" s="1"/>
  <c r="L95" i="256" s="1"/>
  <c r="K620" i="256"/>
  <c r="L620" i="256" s="1"/>
  <c r="K619" i="256"/>
  <c r="L619" i="256" s="1"/>
  <c r="K618" i="256"/>
  <c r="L618" i="256" s="1"/>
  <c r="K616" i="256"/>
  <c r="L616" i="256" s="1"/>
  <c r="I96" i="256"/>
  <c r="K96" i="256" s="1"/>
  <c r="L96" i="256" s="1"/>
  <c r="J19" i="256"/>
  <c r="L272" i="256"/>
  <c r="K650" i="256"/>
  <c r="L650" i="256" s="1"/>
  <c r="K642" i="256"/>
  <c r="L642" i="256" s="1"/>
  <c r="K634" i="256"/>
  <c r="L634" i="256" s="1"/>
  <c r="K645" i="256"/>
  <c r="L645" i="256" s="1"/>
  <c r="K637" i="256"/>
  <c r="L637" i="256" s="1"/>
  <c r="K627" i="256"/>
  <c r="L627" i="256" s="1"/>
  <c r="K648" i="256"/>
  <c r="L648" i="256" s="1"/>
  <c r="K640" i="256"/>
  <c r="L640" i="256" s="1"/>
  <c r="K632" i="256"/>
  <c r="L632" i="256" s="1"/>
  <c r="K638" i="256"/>
  <c r="L638" i="256" s="1"/>
  <c r="K628" i="256"/>
  <c r="L628" i="256" s="1"/>
  <c r="K643" i="256"/>
  <c r="L643" i="256" s="1"/>
  <c r="K635" i="256"/>
  <c r="L635" i="256" s="1"/>
  <c r="K646" i="256"/>
  <c r="L646" i="256" s="1"/>
  <c r="K649" i="256"/>
  <c r="L649" i="256" s="1"/>
  <c r="K641" i="256"/>
  <c r="L641" i="256" s="1"/>
  <c r="K633" i="256"/>
  <c r="L633" i="256" s="1"/>
  <c r="K644" i="256"/>
  <c r="L644" i="256" s="1"/>
  <c r="K636" i="256"/>
  <c r="L636" i="256" s="1"/>
  <c r="K624" i="256"/>
  <c r="L624" i="256" s="1"/>
  <c r="K647" i="256"/>
  <c r="L647" i="256" s="1"/>
  <c r="K639" i="256"/>
  <c r="L639" i="256" s="1"/>
  <c r="K631" i="256"/>
  <c r="L631" i="256" s="1"/>
  <c r="L266" i="256"/>
  <c r="L355" i="256"/>
  <c r="L352" i="256"/>
  <c r="L403" i="256"/>
  <c r="L386" i="256"/>
  <c r="L385" i="256"/>
  <c r="L359" i="256"/>
  <c r="L276" i="256"/>
  <c r="L283" i="256"/>
  <c r="L335" i="256"/>
  <c r="L278" i="256"/>
  <c r="L262" i="256"/>
  <c r="L368" i="256"/>
  <c r="L367" i="256"/>
  <c r="L295" i="256"/>
  <c r="L249" i="256"/>
  <c r="L264" i="256"/>
  <c r="L401" i="256"/>
  <c r="L280" i="256"/>
  <c r="L270" i="256"/>
  <c r="L409" i="256"/>
  <c r="L347" i="256"/>
  <c r="L267" i="256"/>
  <c r="L281" i="256"/>
  <c r="L400" i="256"/>
  <c r="L292" i="256"/>
  <c r="L273" i="256"/>
  <c r="L296" i="256"/>
  <c r="L282" i="256"/>
  <c r="L274" i="256"/>
  <c r="L268" i="256"/>
  <c r="L271" i="256"/>
  <c r="L263" i="256"/>
  <c r="L279" i="256"/>
  <c r="L246" i="256"/>
  <c r="L269" i="256"/>
  <c r="L261" i="256"/>
  <c r="L344" i="256"/>
  <c r="L373" i="256"/>
  <c r="L307" i="256"/>
  <c r="L300" i="256"/>
  <c r="L377" i="256"/>
  <c r="L311" i="256"/>
  <c r="L388" i="256"/>
  <c r="L363" i="256"/>
  <c r="L299" i="256"/>
  <c r="L324" i="256"/>
  <c r="L256" i="256"/>
  <c r="L351" i="256"/>
  <c r="L287" i="256"/>
  <c r="L312" i="256"/>
  <c r="L366" i="256"/>
  <c r="L253" i="256"/>
  <c r="L284" i="256"/>
  <c r="L372" i="256"/>
  <c r="L306" i="256"/>
  <c r="L370" i="256"/>
  <c r="L410" i="256"/>
  <c r="L358" i="256"/>
  <c r="L294" i="256"/>
  <c r="L308" i="256"/>
  <c r="L346" i="256"/>
  <c r="L260" i="256"/>
  <c r="L407" i="256"/>
  <c r="L350" i="256"/>
  <c r="L382" i="256"/>
  <c r="L288" i="256"/>
  <c r="L354" i="256"/>
  <c r="L290" i="256"/>
  <c r="L336" i="256"/>
  <c r="L399" i="256"/>
  <c r="L342" i="256"/>
  <c r="L408" i="256"/>
  <c r="L254" i="256"/>
  <c r="L398" i="256"/>
  <c r="L244" i="256"/>
  <c r="L402" i="256"/>
  <c r="L339" i="256"/>
  <c r="L364" i="256"/>
  <c r="L343" i="256"/>
  <c r="L257" i="256"/>
  <c r="L320" i="256"/>
  <c r="L394" i="256"/>
  <c r="L331" i="256"/>
  <c r="L392" i="256"/>
  <c r="L258" i="256"/>
  <c r="L387" i="256"/>
  <c r="L319" i="256"/>
  <c r="L328" i="256"/>
  <c r="L215" i="256"/>
  <c r="L396" i="256"/>
  <c r="L393" i="256"/>
  <c r="L334" i="256"/>
  <c r="L406" i="256"/>
  <c r="L338" i="256"/>
  <c r="L252" i="256"/>
  <c r="L304" i="256"/>
  <c r="L383" i="256"/>
  <c r="L326" i="256"/>
  <c r="L374" i="256"/>
  <c r="L302" i="256"/>
  <c r="L380" i="256"/>
  <c r="L314" i="256"/>
  <c r="L251" i="256"/>
  <c r="L243" i="256"/>
  <c r="L255" i="256"/>
  <c r="L375" i="256"/>
  <c r="L365" i="256"/>
  <c r="L357" i="256"/>
  <c r="L349" i="256"/>
  <c r="L333" i="256"/>
  <c r="L325" i="256"/>
  <c r="L317" i="256"/>
  <c r="L309" i="256"/>
  <c r="L301" i="256"/>
  <c r="L293" i="256"/>
  <c r="L285" i="256"/>
  <c r="L247" i="256"/>
  <c r="L329" i="256"/>
  <c r="L389" i="256"/>
  <c r="L371" i="256"/>
  <c r="L289" i="256"/>
  <c r="L405" i="256"/>
  <c r="L397" i="256"/>
  <c r="L379" i="256"/>
  <c r="L361" i="256"/>
  <c r="L353" i="256"/>
  <c r="L337" i="256"/>
  <c r="L321" i="256"/>
  <c r="L313" i="256"/>
  <c r="L305" i="256"/>
  <c r="L297" i="256"/>
  <c r="L259" i="256"/>
  <c r="L378" i="256"/>
  <c r="L391" i="256"/>
  <c r="L323" i="256"/>
  <c r="L332" i="256"/>
  <c r="L395" i="256"/>
  <c r="L327" i="256"/>
  <c r="L241" i="256"/>
  <c r="L250" i="256"/>
  <c r="L381" i="256"/>
  <c r="L315" i="256"/>
  <c r="L356" i="256"/>
  <c r="L286" i="256"/>
  <c r="L369" i="256"/>
  <c r="L303" i="256"/>
  <c r="L242" i="256"/>
  <c r="L360" i="256"/>
  <c r="L384" i="256"/>
  <c r="L318" i="256"/>
  <c r="L316" i="256"/>
  <c r="L390" i="256"/>
  <c r="L322" i="256"/>
  <c r="L404" i="256"/>
  <c r="L245" i="256"/>
  <c r="L376" i="256"/>
  <c r="L310" i="256"/>
  <c r="L340" i="256"/>
  <c r="L248" i="256"/>
  <c r="L362" i="256"/>
  <c r="L298" i="256"/>
  <c r="L291" i="256"/>
  <c r="L199" i="256"/>
  <c r="L209" i="256"/>
  <c r="L222" i="256"/>
  <c r="L203" i="256"/>
  <c r="L179" i="256"/>
  <c r="L227" i="256"/>
  <c r="L220" i="256"/>
  <c r="L206" i="256"/>
  <c r="L187" i="256"/>
  <c r="L201" i="256"/>
  <c r="L226" i="256"/>
  <c r="L225" i="256"/>
  <c r="L211" i="256"/>
  <c r="L183" i="256"/>
  <c r="L185" i="256"/>
  <c r="L196" i="256"/>
  <c r="L210" i="256"/>
  <c r="L223" i="256"/>
  <c r="L213" i="256"/>
  <c r="L197" i="256"/>
  <c r="L180" i="256"/>
  <c r="L228" i="256"/>
  <c r="L198" i="256"/>
  <c r="L194" i="256"/>
  <c r="L207" i="256"/>
  <c r="L232" i="256"/>
  <c r="L224" i="256"/>
  <c r="L216" i="256"/>
  <c r="L208" i="256"/>
  <c r="L200" i="256"/>
  <c r="L192" i="256"/>
  <c r="L184" i="256"/>
  <c r="L193" i="256"/>
  <c r="L221" i="256"/>
  <c r="L189" i="256"/>
  <c r="L191" i="256"/>
  <c r="L204" i="256"/>
  <c r="L190" i="256"/>
  <c r="L219" i="256"/>
  <c r="L182" i="256"/>
  <c r="L188" i="256"/>
  <c r="L195" i="256"/>
  <c r="L218" i="256"/>
  <c r="L231" i="256"/>
  <c r="L212" i="256"/>
  <c r="L233" i="256"/>
  <c r="L230" i="256"/>
  <c r="L186" i="256"/>
  <c r="L202" i="256"/>
  <c r="L205" i="256"/>
  <c r="L217" i="256"/>
  <c r="L214" i="256"/>
  <c r="L229" i="256"/>
  <c r="L181" i="256"/>
  <c r="L175" i="256"/>
  <c r="L167" i="256"/>
  <c r="L173" i="256"/>
  <c r="L170" i="256"/>
  <c r="L166" i="256"/>
  <c r="L177" i="256"/>
  <c r="J108" i="256"/>
  <c r="K108" i="256" s="1"/>
  <c r="L108" i="256" s="1"/>
  <c r="L164" i="256"/>
  <c r="L174" i="256"/>
  <c r="L78" i="256"/>
  <c r="L162" i="256"/>
  <c r="L159" i="256"/>
  <c r="L178" i="256"/>
  <c r="L160" i="256"/>
  <c r="L165" i="256"/>
  <c r="L158" i="256"/>
  <c r="L172" i="256"/>
  <c r="L163" i="256"/>
  <c r="L171" i="256"/>
  <c r="L168" i="256"/>
  <c r="L176" i="256"/>
  <c r="L169" i="256"/>
  <c r="L157" i="256"/>
  <c r="L161" i="256"/>
  <c r="K924" i="254"/>
  <c r="L924" i="254" s="1"/>
  <c r="I99" i="256"/>
  <c r="K99" i="256" s="1"/>
  <c r="L99" i="256" s="1"/>
  <c r="J12" i="256"/>
  <c r="K12" i="256" s="1"/>
  <c r="L12" i="256" s="1"/>
  <c r="I98" i="256"/>
  <c r="K98" i="256" s="1"/>
  <c r="L98" i="256" s="1"/>
  <c r="K767" i="256"/>
  <c r="L767" i="256" s="1"/>
  <c r="K680" i="256"/>
  <c r="L680" i="256" s="1"/>
  <c r="K790" i="256"/>
  <c r="L790" i="256" s="1"/>
  <c r="K683" i="256"/>
  <c r="L683" i="256" s="1"/>
  <c r="L103" i="256"/>
  <c r="K681" i="256"/>
  <c r="L681" i="256" s="1"/>
  <c r="L106" i="256"/>
  <c r="K679" i="256"/>
  <c r="L679" i="256" s="1"/>
  <c r="L81" i="256"/>
  <c r="L104" i="256"/>
  <c r="L85" i="256"/>
  <c r="K239" i="256"/>
  <c r="L239" i="256" s="1"/>
  <c r="K413" i="256"/>
  <c r="L413" i="256" s="1"/>
  <c r="K615" i="256"/>
  <c r="L615" i="256" s="1"/>
  <c r="K623" i="256"/>
  <c r="L623" i="256" s="1"/>
  <c r="K674" i="256"/>
  <c r="L674" i="256" s="1"/>
  <c r="K765" i="256"/>
  <c r="L765" i="256" s="1"/>
  <c r="K777" i="256"/>
  <c r="L777" i="256" s="1"/>
  <c r="K780" i="256"/>
  <c r="L83" i="256"/>
  <c r="I109" i="256"/>
  <c r="K109" i="256" s="1"/>
  <c r="L109" i="256" s="1"/>
  <c r="I82" i="256"/>
  <c r="K82" i="256" s="1"/>
  <c r="L82" i="256" s="1"/>
  <c r="K797" i="256"/>
  <c r="L797" i="256" s="1"/>
  <c r="K675" i="256"/>
  <c r="L675" i="256" s="1"/>
  <c r="K766" i="256"/>
  <c r="L766" i="256" s="1"/>
  <c r="L80" i="256"/>
  <c r="L84" i="256"/>
  <c r="L79" i="256"/>
  <c r="I110" i="256"/>
  <c r="K110" i="256" s="1"/>
  <c r="L110" i="256" s="1"/>
  <c r="K784" i="256"/>
  <c r="L784" i="256" s="1"/>
  <c r="K788" i="256"/>
  <c r="L788" i="256" s="1"/>
  <c r="K793" i="256"/>
  <c r="L793" i="256" s="1"/>
  <c r="J87" i="256"/>
  <c r="K87" i="256" s="1"/>
  <c r="L87" i="256" s="1"/>
  <c r="K789" i="256"/>
  <c r="L789" i="256" s="1"/>
  <c r="K794" i="256"/>
  <c r="L794" i="256" s="1"/>
  <c r="I107" i="256"/>
  <c r="K107" i="256" s="1"/>
  <c r="L107" i="256" s="1"/>
  <c r="I111" i="256"/>
  <c r="K111" i="256" s="1"/>
  <c r="L111" i="256" s="1"/>
  <c r="K768" i="256"/>
  <c r="L768" i="256" s="1"/>
  <c r="K769" i="256"/>
  <c r="L769" i="256" s="1"/>
  <c r="K414" i="256"/>
  <c r="L414" i="256" s="1"/>
  <c r="I97" i="256"/>
  <c r="K97" i="256" s="1"/>
  <c r="L97" i="256" s="1"/>
  <c r="K617" i="256"/>
  <c r="L617" i="256" s="1"/>
  <c r="K682" i="256"/>
  <c r="L682" i="256" s="1"/>
  <c r="K621" i="256"/>
  <c r="L621" i="256" s="1"/>
  <c r="K240" i="256"/>
  <c r="L240" i="256" s="1"/>
  <c r="I68" i="256"/>
  <c r="K68" i="256" s="1"/>
  <c r="L68" i="256" s="1"/>
  <c r="I75" i="256"/>
  <c r="K154" i="256"/>
  <c r="L154" i="256" s="1"/>
  <c r="L70" i="256"/>
  <c r="J40" i="256"/>
  <c r="K40" i="256" s="1"/>
  <c r="L40" i="256" s="1"/>
  <c r="I47" i="256"/>
  <c r="K47" i="256" s="1"/>
  <c r="L47" i="256" s="1"/>
  <c r="K67" i="256"/>
  <c r="L67" i="256" s="1"/>
  <c r="K72" i="256"/>
  <c r="L72" i="256" s="1"/>
  <c r="K69" i="256"/>
  <c r="L69" i="256" s="1"/>
  <c r="K66" i="256"/>
  <c r="L66" i="256" s="1"/>
  <c r="K74" i="256"/>
  <c r="L74" i="256" s="1"/>
  <c r="K153" i="256"/>
  <c r="L153" i="256" s="1"/>
  <c r="K71" i="256"/>
  <c r="L71" i="256" s="1"/>
  <c r="L41" i="256"/>
  <c r="K65" i="256"/>
  <c r="L65" i="256" s="1"/>
  <c r="K73" i="256"/>
  <c r="L73" i="256" s="1"/>
  <c r="I54" i="256"/>
  <c r="K54" i="256" s="1"/>
  <c r="L54" i="256" s="1"/>
  <c r="I59" i="256"/>
  <c r="K59" i="256" s="1"/>
  <c r="L59" i="256" s="1"/>
  <c r="L42" i="256"/>
  <c r="L44" i="256"/>
  <c r="L32" i="256"/>
  <c r="L35" i="256"/>
  <c r="L45" i="256"/>
  <c r="L24" i="256"/>
  <c r="L38" i="256"/>
  <c r="L43" i="256"/>
  <c r="I33" i="256"/>
  <c r="K33" i="256" s="1"/>
  <c r="L33" i="256" s="1"/>
  <c r="L36" i="256"/>
  <c r="L46" i="256"/>
  <c r="L137" i="256"/>
  <c r="L8" i="256"/>
  <c r="L16" i="256"/>
  <c r="K50" i="256"/>
  <c r="L50" i="256" s="1"/>
  <c r="K58" i="256"/>
  <c r="L58" i="256" s="1"/>
  <c r="K90" i="256"/>
  <c r="L90" i="256" s="1"/>
  <c r="I26" i="256"/>
  <c r="K26" i="256" s="1"/>
  <c r="L26" i="256" s="1"/>
  <c r="K21" i="256"/>
  <c r="L21" i="256" s="1"/>
  <c r="K29" i="256"/>
  <c r="L29" i="256" s="1"/>
  <c r="K18" i="256"/>
  <c r="L18" i="256" s="1"/>
  <c r="K34" i="256"/>
  <c r="L34" i="256" s="1"/>
  <c r="L9" i="256"/>
  <c r="K142" i="256"/>
  <c r="L142" i="256" s="1"/>
  <c r="K15" i="256"/>
  <c r="L15" i="256" s="1"/>
  <c r="K23" i="256"/>
  <c r="L23" i="256" s="1"/>
  <c r="K31" i="256"/>
  <c r="L31" i="256" s="1"/>
  <c r="K133" i="256"/>
  <c r="L133" i="256" s="1"/>
  <c r="K20" i="256"/>
  <c r="L20" i="256" s="1"/>
  <c r="K28" i="256"/>
  <c r="L28" i="256" s="1"/>
  <c r="K1711" i="256"/>
  <c r="L1711" i="256" s="1"/>
  <c r="K17" i="256"/>
  <c r="L17" i="256" s="1"/>
  <c r="K25" i="256"/>
  <c r="L25" i="256" s="1"/>
  <c r="L10" i="256"/>
  <c r="K14" i="256"/>
  <c r="L14" i="256" s="1"/>
  <c r="K22" i="256"/>
  <c r="L22" i="256" s="1"/>
  <c r="K30" i="256"/>
  <c r="L30" i="256" s="1"/>
  <c r="L13" i="256"/>
  <c r="K134" i="256"/>
  <c r="L134" i="256" s="1"/>
  <c r="K19" i="256"/>
  <c r="L19" i="256" s="1"/>
  <c r="K27" i="256"/>
  <c r="L27" i="256" s="1"/>
  <c r="K93" i="256"/>
  <c r="L93" i="256" s="1"/>
  <c r="K53" i="256"/>
  <c r="L53" i="256" s="1"/>
  <c r="K145" i="256"/>
  <c r="L145" i="256" s="1"/>
  <c r="K1706" i="256"/>
  <c r="L1706" i="256" s="1"/>
  <c r="K7" i="256"/>
  <c r="L7" i="256" s="1"/>
  <c r="K55" i="256"/>
  <c r="L55" i="256" s="1"/>
  <c r="K63" i="256"/>
  <c r="L63" i="256" s="1"/>
  <c r="K131" i="256"/>
  <c r="L131" i="256" s="1"/>
  <c r="K139" i="256"/>
  <c r="L139" i="256" s="1"/>
  <c r="K147" i="256"/>
  <c r="L147" i="256" s="1"/>
  <c r="K151" i="256"/>
  <c r="L151" i="256" s="1"/>
  <c r="K1708" i="256"/>
  <c r="L1708" i="256" s="1"/>
  <c r="K52" i="256"/>
  <c r="L52" i="256" s="1"/>
  <c r="K92" i="256"/>
  <c r="L92" i="256" s="1"/>
  <c r="K136" i="256"/>
  <c r="L136" i="256" s="1"/>
  <c r="K144" i="256"/>
  <c r="L144" i="256" s="1"/>
  <c r="K156" i="256"/>
  <c r="L156" i="256" s="1"/>
  <c r="K1705" i="256"/>
  <c r="L1705" i="256" s="1"/>
  <c r="K57" i="256"/>
  <c r="L57" i="256" s="1"/>
  <c r="K1710" i="256"/>
  <c r="L1710" i="256" s="1"/>
  <c r="K6" i="256"/>
  <c r="L6" i="256" s="1"/>
  <c r="K62" i="256"/>
  <c r="L62" i="256" s="1"/>
  <c r="K94" i="256"/>
  <c r="L94" i="256" s="1"/>
  <c r="K130" i="256"/>
  <c r="L130" i="256" s="1"/>
  <c r="K138" i="256"/>
  <c r="L138" i="256" s="1"/>
  <c r="K146" i="256"/>
  <c r="L146" i="256" s="1"/>
  <c r="K150" i="256"/>
  <c r="L150" i="256" s="1"/>
  <c r="K844" i="256"/>
  <c r="L844" i="256" s="1"/>
  <c r="K1707" i="256"/>
  <c r="L1707" i="256" s="1"/>
  <c r="K11" i="256"/>
  <c r="L11" i="256" s="1"/>
  <c r="K51" i="256"/>
  <c r="L51" i="256" s="1"/>
  <c r="K91" i="256"/>
  <c r="L91" i="256" s="1"/>
  <c r="K135" i="256"/>
  <c r="L135" i="256" s="1"/>
  <c r="K143" i="256"/>
  <c r="L143" i="256" s="1"/>
  <c r="K155" i="256"/>
  <c r="L155" i="256" s="1"/>
  <c r="K798" i="256"/>
  <c r="L798" i="256" s="1"/>
  <c r="K1704" i="256"/>
  <c r="L1704" i="256" s="1"/>
  <c r="K1712" i="256"/>
  <c r="L1712" i="256" s="1"/>
  <c r="K56" i="256"/>
  <c r="L56" i="256" s="1"/>
  <c r="K64" i="256"/>
  <c r="L64" i="256" s="1"/>
  <c r="K132" i="256"/>
  <c r="L132" i="256" s="1"/>
  <c r="K152" i="256"/>
  <c r="L152" i="256" s="1"/>
  <c r="K1709" i="256"/>
  <c r="L1709" i="256" s="1"/>
  <c r="P915" i="254"/>
  <c r="P913" i="254"/>
  <c r="H916" i="254"/>
  <c r="J916" i="254" s="1"/>
  <c r="O915" i="254"/>
  <c r="H914" i="254"/>
  <c r="O916" i="254"/>
  <c r="K45" i="255"/>
  <c r="L45" i="255" s="1"/>
  <c r="K27" i="255"/>
  <c r="K167" i="255"/>
  <c r="K7" i="255"/>
  <c r="K35" i="255"/>
  <c r="L35" i="255" s="1"/>
  <c r="K55" i="255"/>
  <c r="K169" i="255"/>
  <c r="K47" i="255"/>
  <c r="L47" i="255" s="1"/>
  <c r="K166" i="255"/>
  <c r="K9" i="255"/>
  <c r="K171" i="255"/>
  <c r="K6" i="255"/>
  <c r="K34" i="255"/>
  <c r="K42" i="255"/>
  <c r="K53" i="255"/>
  <c r="K168" i="255"/>
  <c r="K25" i="255"/>
  <c r="K46" i="255"/>
  <c r="K165" i="255"/>
  <c r="K173" i="255"/>
  <c r="K8" i="255"/>
  <c r="K58" i="255"/>
  <c r="K170" i="255"/>
  <c r="P621" i="254"/>
  <c r="J914" i="254"/>
  <c r="I914" i="254"/>
  <c r="K914" i="254" s="1"/>
  <c r="P914" i="254"/>
  <c r="O914" i="254"/>
  <c r="I915" i="254"/>
  <c r="J915" i="254"/>
  <c r="K915" i="254" s="1"/>
  <c r="H913" i="254"/>
  <c r="I916" i="254"/>
  <c r="K916" i="254" s="1"/>
  <c r="H918" i="254"/>
  <c r="H917" i="254"/>
  <c r="P918" i="254"/>
  <c r="P916" i="254"/>
  <c r="P893" i="254"/>
  <c r="H893" i="254"/>
  <c r="J893" i="254" s="1"/>
  <c r="H887" i="254"/>
  <c r="J887" i="254" s="1"/>
  <c r="H885" i="254"/>
  <c r="J885" i="254" s="1"/>
  <c r="H861" i="254"/>
  <c r="J861" i="254" s="1"/>
  <c r="H879" i="254"/>
  <c r="J879" i="254" s="1"/>
  <c r="H909" i="254"/>
  <c r="J909" i="254" s="1"/>
  <c r="H877" i="254"/>
  <c r="J877" i="254" s="1"/>
  <c r="H903" i="254"/>
  <c r="J903" i="254" s="1"/>
  <c r="H871" i="254"/>
  <c r="J871" i="254" s="1"/>
  <c r="H901" i="254"/>
  <c r="I901" i="254" s="1"/>
  <c r="H869" i="254"/>
  <c r="J869" i="254" s="1"/>
  <c r="H895" i="254"/>
  <c r="J895" i="254" s="1"/>
  <c r="H863" i="254"/>
  <c r="J863" i="254" s="1"/>
  <c r="J864" i="254"/>
  <c r="I864" i="254"/>
  <c r="K864" i="254" s="1"/>
  <c r="H910" i="254"/>
  <c r="J910" i="254" s="1"/>
  <c r="H902" i="254"/>
  <c r="J902" i="254" s="1"/>
  <c r="H894" i="254"/>
  <c r="J894" i="254" s="1"/>
  <c r="H886" i="254"/>
  <c r="J886" i="254" s="1"/>
  <c r="H878" i="254"/>
  <c r="H870" i="254"/>
  <c r="H862" i="254"/>
  <c r="H908" i="254"/>
  <c r="J908" i="254" s="1"/>
  <c r="H900" i="254"/>
  <c r="J900" i="254" s="1"/>
  <c r="H892" i="254"/>
  <c r="J892" i="254" s="1"/>
  <c r="H884" i="254"/>
  <c r="H876" i="254"/>
  <c r="H868" i="254"/>
  <c r="H907" i="254"/>
  <c r="H899" i="254"/>
  <c r="H891" i="254"/>
  <c r="H883" i="254"/>
  <c r="H875" i="254"/>
  <c r="H867" i="254"/>
  <c r="H906" i="254"/>
  <c r="H898" i="254"/>
  <c r="H890" i="254"/>
  <c r="H882" i="254"/>
  <c r="H874" i="254"/>
  <c r="H866" i="254"/>
  <c r="H905" i="254"/>
  <c r="H897" i="254"/>
  <c r="H889" i="254"/>
  <c r="H881" i="254"/>
  <c r="H873" i="254"/>
  <c r="H865" i="254"/>
  <c r="H904" i="254"/>
  <c r="H896" i="254"/>
  <c r="H888" i="254"/>
  <c r="H880" i="254"/>
  <c r="H872" i="254"/>
  <c r="P873" i="254"/>
  <c r="P910" i="254"/>
  <c r="P878" i="254"/>
  <c r="P865" i="254"/>
  <c r="P883" i="254"/>
  <c r="O879" i="254"/>
  <c r="P871" i="254"/>
  <c r="O884" i="254"/>
  <c r="P901" i="254"/>
  <c r="O871" i="254"/>
  <c r="O892" i="254"/>
  <c r="O908" i="254"/>
  <c r="O861" i="254"/>
  <c r="O878" i="254"/>
  <c r="P870" i="254"/>
  <c r="O880" i="254"/>
  <c r="P861" i="254"/>
  <c r="P877" i="254"/>
  <c r="P869" i="254"/>
  <c r="P909" i="254"/>
  <c r="P864" i="254"/>
  <c r="P875" i="254"/>
  <c r="P867" i="254"/>
  <c r="O900" i="254"/>
  <c r="O864" i="254"/>
  <c r="O875" i="254"/>
  <c r="O867" i="254"/>
  <c r="P863" i="254"/>
  <c r="P874" i="254"/>
  <c r="P866" i="254"/>
  <c r="O891" i="254"/>
  <c r="P892" i="254"/>
  <c r="O899" i="254"/>
  <c r="P900" i="254"/>
  <c r="O907" i="254"/>
  <c r="P908" i="254"/>
  <c r="O874" i="254"/>
  <c r="O870" i="254"/>
  <c r="O866" i="254"/>
  <c r="O883" i="254"/>
  <c r="O890" i="254"/>
  <c r="P891" i="254"/>
  <c r="O898" i="254"/>
  <c r="P899" i="254"/>
  <c r="O906" i="254"/>
  <c r="P907" i="254"/>
  <c r="P882" i="254"/>
  <c r="O889" i="254"/>
  <c r="P890" i="254"/>
  <c r="O897" i="254"/>
  <c r="P898" i="254"/>
  <c r="O905" i="254"/>
  <c r="P906" i="254"/>
  <c r="O863" i="254"/>
  <c r="O877" i="254"/>
  <c r="O873" i="254"/>
  <c r="O869" i="254"/>
  <c r="O865" i="254"/>
  <c r="O882" i="254"/>
  <c r="O888" i="254"/>
  <c r="P889" i="254"/>
  <c r="O896" i="254"/>
  <c r="P897" i="254"/>
  <c r="O904" i="254"/>
  <c r="P905" i="254"/>
  <c r="P862" i="254"/>
  <c r="P876" i="254"/>
  <c r="P872" i="254"/>
  <c r="P868" i="254"/>
  <c r="P885" i="254"/>
  <c r="P881" i="254"/>
  <c r="O887" i="254"/>
  <c r="P888" i="254"/>
  <c r="O895" i="254"/>
  <c r="P896" i="254"/>
  <c r="O903" i="254"/>
  <c r="P904" i="254"/>
  <c r="O862" i="254"/>
  <c r="O876" i="254"/>
  <c r="O872" i="254"/>
  <c r="O868" i="254"/>
  <c r="O885" i="254"/>
  <c r="O881" i="254"/>
  <c r="O886" i="254"/>
  <c r="P887" i="254"/>
  <c r="O894" i="254"/>
  <c r="P895" i="254"/>
  <c r="O902" i="254"/>
  <c r="P903" i="254"/>
  <c r="O910" i="254"/>
  <c r="P884" i="254"/>
  <c r="P880" i="254"/>
  <c r="P886" i="254"/>
  <c r="O893" i="254"/>
  <c r="P894" i="254"/>
  <c r="O901" i="254"/>
  <c r="P902" i="254"/>
  <c r="O627" i="254"/>
  <c r="O853" i="254"/>
  <c r="P820" i="254"/>
  <c r="O818" i="254"/>
  <c r="O826" i="254"/>
  <c r="O825" i="254"/>
  <c r="O858" i="254"/>
  <c r="O822" i="254"/>
  <c r="P857" i="254"/>
  <c r="O855" i="254"/>
  <c r="O854" i="254"/>
  <c r="H826" i="254"/>
  <c r="J826" i="254" s="1"/>
  <c r="P818" i="254"/>
  <c r="O824" i="254"/>
  <c r="O820" i="254"/>
  <c r="O857" i="254"/>
  <c r="H827" i="254"/>
  <c r="H828" i="254"/>
  <c r="H829" i="254"/>
  <c r="H830" i="254"/>
  <c r="H831" i="254"/>
  <c r="H832" i="254"/>
  <c r="H833" i="254"/>
  <c r="H834" i="254"/>
  <c r="H835" i="254"/>
  <c r="H836" i="254"/>
  <c r="H837" i="254"/>
  <c r="H838" i="254"/>
  <c r="H839" i="254"/>
  <c r="H840" i="254"/>
  <c r="H841" i="254"/>
  <c r="H842" i="254"/>
  <c r="H843" i="254"/>
  <c r="H844" i="254"/>
  <c r="H845" i="254"/>
  <c r="H846" i="254"/>
  <c r="H847" i="254"/>
  <c r="H848" i="254"/>
  <c r="H849" i="254"/>
  <c r="H850" i="254"/>
  <c r="H824" i="254"/>
  <c r="P823" i="254"/>
  <c r="P819" i="254"/>
  <c r="P856" i="254"/>
  <c r="H823" i="254"/>
  <c r="J823" i="254" s="1"/>
  <c r="O823" i="254"/>
  <c r="O819" i="254"/>
  <c r="H822" i="254"/>
  <c r="H857" i="254"/>
  <c r="P826" i="254"/>
  <c r="P822" i="254"/>
  <c r="P855" i="254"/>
  <c r="H821" i="254"/>
  <c r="P853" i="254"/>
  <c r="H820" i="254"/>
  <c r="J820" i="254" s="1"/>
  <c r="P825" i="254"/>
  <c r="P821" i="254"/>
  <c r="P858" i="254"/>
  <c r="O827" i="254"/>
  <c r="O828" i="254"/>
  <c r="O829" i="254"/>
  <c r="O830" i="254"/>
  <c r="O831" i="254"/>
  <c r="O832" i="254"/>
  <c r="O833" i="254"/>
  <c r="O834" i="254"/>
  <c r="O835" i="254"/>
  <c r="O836" i="254"/>
  <c r="O837" i="254"/>
  <c r="O838" i="254"/>
  <c r="O839" i="254"/>
  <c r="O840" i="254"/>
  <c r="O841" i="254"/>
  <c r="O842" i="254"/>
  <c r="O843" i="254"/>
  <c r="O844" i="254"/>
  <c r="O845" i="254"/>
  <c r="O846" i="254"/>
  <c r="O847" i="254"/>
  <c r="O848" i="254"/>
  <c r="O849" i="254"/>
  <c r="O850" i="254"/>
  <c r="H818" i="254"/>
  <c r="P827" i="254"/>
  <c r="P828" i="254"/>
  <c r="P829" i="254"/>
  <c r="P830" i="254"/>
  <c r="P831" i="254"/>
  <c r="P832" i="254"/>
  <c r="P833" i="254"/>
  <c r="P834" i="254"/>
  <c r="P835" i="254"/>
  <c r="P836" i="254"/>
  <c r="P837" i="254"/>
  <c r="P838" i="254"/>
  <c r="P839" i="254"/>
  <c r="P840" i="254"/>
  <c r="P841" i="254"/>
  <c r="P842" i="254"/>
  <c r="P843" i="254"/>
  <c r="P844" i="254"/>
  <c r="P845" i="254"/>
  <c r="P846" i="254"/>
  <c r="P847" i="254"/>
  <c r="P848" i="254"/>
  <c r="P849" i="254"/>
  <c r="P850" i="254"/>
  <c r="J854" i="254"/>
  <c r="I854" i="254"/>
  <c r="K854" i="254" s="1"/>
  <c r="H858" i="254"/>
  <c r="H856" i="254"/>
  <c r="H853" i="254"/>
  <c r="H855" i="254"/>
  <c r="J825" i="254"/>
  <c r="I825" i="254"/>
  <c r="H819" i="254"/>
  <c r="H780" i="254"/>
  <c r="J780" i="254" s="1"/>
  <c r="H615" i="254"/>
  <c r="J615" i="254" s="1"/>
  <c r="P737" i="254"/>
  <c r="O753" i="254"/>
  <c r="H773" i="254"/>
  <c r="J773" i="254" s="1"/>
  <c r="O796" i="254"/>
  <c r="P790" i="254"/>
  <c r="H793" i="254"/>
  <c r="J793" i="254" s="1"/>
  <c r="H727" i="254"/>
  <c r="J727" i="254" s="1"/>
  <c r="H771" i="254"/>
  <c r="I771" i="254" s="1"/>
  <c r="H812" i="254"/>
  <c r="J812" i="254" s="1"/>
  <c r="O724" i="254"/>
  <c r="P748" i="254"/>
  <c r="O809" i="254"/>
  <c r="P760" i="254"/>
  <c r="P764" i="254"/>
  <c r="H718" i="254"/>
  <c r="J718" i="254" s="1"/>
  <c r="H722" i="254"/>
  <c r="J722" i="254" s="1"/>
  <c r="O725" i="254"/>
  <c r="P728" i="254"/>
  <c r="P731" i="254"/>
  <c r="P734" i="254"/>
  <c r="P741" i="254"/>
  <c r="H745" i="254"/>
  <c r="J745" i="254" s="1"/>
  <c r="H751" i="254"/>
  <c r="J751" i="254" s="1"/>
  <c r="P754" i="254"/>
  <c r="P757" i="254"/>
  <c r="H768" i="254"/>
  <c r="J768" i="254" s="1"/>
  <c r="O773" i="254"/>
  <c r="H777" i="254"/>
  <c r="J777" i="254" s="1"/>
  <c r="P783" i="254"/>
  <c r="H787" i="254"/>
  <c r="I787" i="254" s="1"/>
  <c r="H794" i="254"/>
  <c r="J794" i="254" s="1"/>
  <c r="P797" i="254"/>
  <c r="O800" i="254"/>
  <c r="P804" i="254"/>
  <c r="H806" i="254"/>
  <c r="J806" i="254" s="1"/>
  <c r="H810" i="254"/>
  <c r="I810" i="254" s="1"/>
  <c r="P813" i="254"/>
  <c r="P716" i="254"/>
  <c r="H719" i="254"/>
  <c r="I719" i="254" s="1"/>
  <c r="H737" i="254"/>
  <c r="I737" i="254" s="1"/>
  <c r="H748" i="254"/>
  <c r="J748" i="254" s="1"/>
  <c r="H761" i="254"/>
  <c r="I761" i="254" s="1"/>
  <c r="P765" i="254"/>
  <c r="O771" i="254"/>
  <c r="P774" i="254"/>
  <c r="P781" i="254"/>
  <c r="P784" i="254"/>
  <c r="P791" i="254"/>
  <c r="P807" i="254"/>
  <c r="P723" i="254"/>
  <c r="P726" i="254"/>
  <c r="H728" i="254"/>
  <c r="J728" i="254" s="1"/>
  <c r="O731" i="254"/>
  <c r="H734" i="254"/>
  <c r="J734" i="254" s="1"/>
  <c r="P738" i="254"/>
  <c r="O742" i="254"/>
  <c r="P746" i="254"/>
  <c r="O748" i="254"/>
  <c r="O751" i="254"/>
  <c r="H754" i="254"/>
  <c r="O757" i="254"/>
  <c r="O768" i="254"/>
  <c r="H772" i="254"/>
  <c r="I772" i="254" s="1"/>
  <c r="H778" i="254"/>
  <c r="J778" i="254" s="1"/>
  <c r="H788" i="254"/>
  <c r="J788" i="254" s="1"/>
  <c r="H795" i="254"/>
  <c r="J795" i="254" s="1"/>
  <c r="H797" i="254"/>
  <c r="P801" i="254"/>
  <c r="P805" i="254"/>
  <c r="H811" i="254"/>
  <c r="J811" i="254" s="1"/>
  <c r="O813" i="254"/>
  <c r="O716" i="254"/>
  <c r="P720" i="254"/>
  <c r="O728" i="254"/>
  <c r="P732" i="254"/>
  <c r="P735" i="254"/>
  <c r="P749" i="254"/>
  <c r="P752" i="254"/>
  <c r="O758" i="254"/>
  <c r="P762" i="254"/>
  <c r="P766" i="254"/>
  <c r="H769" i="254"/>
  <c r="I769" i="254" s="1"/>
  <c r="O775" i="254"/>
  <c r="H781" i="254"/>
  <c r="J781" i="254" s="1"/>
  <c r="H784" i="254"/>
  <c r="J784" i="254" s="1"/>
  <c r="O792" i="254"/>
  <c r="O808" i="254"/>
  <c r="P814" i="254"/>
  <c r="O717" i="254"/>
  <c r="H723" i="254"/>
  <c r="J723" i="254" s="1"/>
  <c r="O726" i="254"/>
  <c r="P729" i="254"/>
  <c r="P739" i="254"/>
  <c r="H743" i="254"/>
  <c r="J743" i="254" s="1"/>
  <c r="O746" i="254"/>
  <c r="H755" i="254"/>
  <c r="J755" i="254" s="1"/>
  <c r="O772" i="254"/>
  <c r="O778" i="254"/>
  <c r="P782" i="254"/>
  <c r="H785" i="254"/>
  <c r="I785" i="254" s="1"/>
  <c r="O788" i="254"/>
  <c r="P796" i="254"/>
  <c r="P798" i="254"/>
  <c r="H802" i="254"/>
  <c r="J802" i="254" s="1"/>
  <c r="H805" i="254"/>
  <c r="O811" i="254"/>
  <c r="O720" i="254"/>
  <c r="P724" i="254"/>
  <c r="P727" i="254"/>
  <c r="O732" i="254"/>
  <c r="P736" i="254"/>
  <c r="H747" i="254"/>
  <c r="I747" i="254" s="1"/>
  <c r="H749" i="254"/>
  <c r="J749" i="254" s="1"/>
  <c r="H753" i="254"/>
  <c r="J753" i="254" s="1"/>
  <c r="H759" i="254"/>
  <c r="J759" i="254" s="1"/>
  <c r="H763" i="254"/>
  <c r="J763" i="254" s="1"/>
  <c r="O766" i="254"/>
  <c r="H770" i="254"/>
  <c r="J770" i="254" s="1"/>
  <c r="P773" i="254"/>
  <c r="P775" i="254"/>
  <c r="H779" i="254"/>
  <c r="I779" i="254" s="1"/>
  <c r="P789" i="254"/>
  <c r="P793" i="254"/>
  <c r="P809" i="254"/>
  <c r="P812" i="254"/>
  <c r="P815" i="254"/>
  <c r="P718" i="254"/>
  <c r="P721" i="254"/>
  <c r="H730" i="254"/>
  <c r="J730" i="254" s="1"/>
  <c r="O733" i="254"/>
  <c r="P740" i="254"/>
  <c r="H744" i="254"/>
  <c r="J744" i="254" s="1"/>
  <c r="O750" i="254"/>
  <c r="P756" i="254"/>
  <c r="O767" i="254"/>
  <c r="H776" i="254"/>
  <c r="J776" i="254" s="1"/>
  <c r="O783" i="254"/>
  <c r="H786" i="254"/>
  <c r="I786" i="254" s="1"/>
  <c r="H796" i="254"/>
  <c r="J796" i="254" s="1"/>
  <c r="P799" i="254"/>
  <c r="H803" i="254"/>
  <c r="J803" i="254" s="1"/>
  <c r="P806" i="254"/>
  <c r="O793" i="254"/>
  <c r="H801" i="254"/>
  <c r="J801" i="254" s="1"/>
  <c r="H804" i="254"/>
  <c r="H813" i="254"/>
  <c r="H798" i="254"/>
  <c r="J798" i="254" s="1"/>
  <c r="O801" i="254"/>
  <c r="H809" i="254"/>
  <c r="J809" i="254" s="1"/>
  <c r="O804" i="254"/>
  <c r="O812" i="254"/>
  <c r="H814" i="254"/>
  <c r="J814" i="254" s="1"/>
  <c r="O769" i="254"/>
  <c r="O776" i="254"/>
  <c r="O781" i="254"/>
  <c r="O786" i="254"/>
  <c r="P769" i="254"/>
  <c r="H774" i="254"/>
  <c r="I774" i="254" s="1"/>
  <c r="O779" i="254"/>
  <c r="H789" i="254"/>
  <c r="J789" i="254" s="1"/>
  <c r="O774" i="254"/>
  <c r="O789" i="254"/>
  <c r="O777" i="254"/>
  <c r="H782" i="254"/>
  <c r="J782" i="254" s="1"/>
  <c r="O784" i="254"/>
  <c r="O787" i="254"/>
  <c r="O770" i="254"/>
  <c r="O780" i="254"/>
  <c r="O782" i="254"/>
  <c r="H790" i="254"/>
  <c r="H766" i="254"/>
  <c r="I766" i="254" s="1"/>
  <c r="O754" i="254"/>
  <c r="O759" i="254"/>
  <c r="H762" i="254"/>
  <c r="O745" i="254"/>
  <c r="O749" i="254"/>
  <c r="H757" i="254"/>
  <c r="H764" i="254"/>
  <c r="J764" i="254" s="1"/>
  <c r="O764" i="254"/>
  <c r="O743" i="254"/>
  <c r="H746" i="254"/>
  <c r="O762" i="254"/>
  <c r="H756" i="254"/>
  <c r="J756" i="254" s="1"/>
  <c r="O761" i="254"/>
  <c r="H765" i="254"/>
  <c r="O756" i="254"/>
  <c r="H741" i="254"/>
  <c r="I741" i="254" s="1"/>
  <c r="O741" i="254"/>
  <c r="O718" i="254"/>
  <c r="O723" i="254"/>
  <c r="H726" i="254"/>
  <c r="H729" i="254"/>
  <c r="H739" i="254"/>
  <c r="J739" i="254" s="1"/>
  <c r="H721" i="254"/>
  <c r="H736" i="254"/>
  <c r="O734" i="254"/>
  <c r="H738" i="254"/>
  <c r="H720" i="254"/>
  <c r="J720" i="254" s="1"/>
  <c r="O738" i="254"/>
  <c r="H731" i="254"/>
  <c r="J731" i="254" s="1"/>
  <c r="H735" i="254"/>
  <c r="J735" i="254" s="1"/>
  <c r="P792" i="254"/>
  <c r="P800" i="254"/>
  <c r="P808" i="254"/>
  <c r="H791" i="254"/>
  <c r="O794" i="254"/>
  <c r="H799" i="254"/>
  <c r="O802" i="254"/>
  <c r="H807" i="254"/>
  <c r="O810" i="254"/>
  <c r="H815" i="254"/>
  <c r="H792" i="254"/>
  <c r="P794" i="254"/>
  <c r="O795" i="254"/>
  <c r="H800" i="254"/>
  <c r="P802" i="254"/>
  <c r="O803" i="254"/>
  <c r="H808" i="254"/>
  <c r="P810" i="254"/>
  <c r="P795" i="254"/>
  <c r="P803" i="254"/>
  <c r="P811" i="254"/>
  <c r="O797" i="254"/>
  <c r="O805" i="254"/>
  <c r="O798" i="254"/>
  <c r="O806" i="254"/>
  <c r="O814" i="254"/>
  <c r="O791" i="254"/>
  <c r="O799" i="254"/>
  <c r="O807" i="254"/>
  <c r="O815" i="254"/>
  <c r="P768" i="254"/>
  <c r="P776" i="254"/>
  <c r="O785" i="254"/>
  <c r="H775" i="254"/>
  <c r="P777" i="254"/>
  <c r="H783" i="254"/>
  <c r="P785" i="254"/>
  <c r="P770" i="254"/>
  <c r="P778" i="254"/>
  <c r="P786" i="254"/>
  <c r="H767" i="254"/>
  <c r="P771" i="254"/>
  <c r="P779" i="254"/>
  <c r="P787" i="254"/>
  <c r="P772" i="254"/>
  <c r="P780" i="254"/>
  <c r="P788" i="254"/>
  <c r="P767" i="254"/>
  <c r="O790" i="254"/>
  <c r="P750" i="254"/>
  <c r="P758" i="254"/>
  <c r="P743" i="254"/>
  <c r="O744" i="254"/>
  <c r="P751" i="254"/>
  <c r="O752" i="254"/>
  <c r="P759" i="254"/>
  <c r="O760" i="254"/>
  <c r="P745" i="254"/>
  <c r="P753" i="254"/>
  <c r="P761" i="254"/>
  <c r="H742" i="254"/>
  <c r="P744" i="254"/>
  <c r="O747" i="254"/>
  <c r="H752" i="254"/>
  <c r="O755" i="254"/>
  <c r="H760" i="254"/>
  <c r="O763" i="254"/>
  <c r="P747" i="254"/>
  <c r="P755" i="254"/>
  <c r="P763" i="254"/>
  <c r="P742" i="254"/>
  <c r="H750" i="254"/>
  <c r="O765" i="254"/>
  <c r="H758" i="254"/>
  <c r="P717" i="254"/>
  <c r="P725" i="254"/>
  <c r="P733" i="254"/>
  <c r="H716" i="254"/>
  <c r="O719" i="254"/>
  <c r="H724" i="254"/>
  <c r="O727" i="254"/>
  <c r="H732" i="254"/>
  <c r="O735" i="254"/>
  <c r="H740" i="254"/>
  <c r="H717" i="254"/>
  <c r="P719" i="254"/>
  <c r="H725" i="254"/>
  <c r="H733" i="254"/>
  <c r="O736" i="254"/>
  <c r="O721" i="254"/>
  <c r="O729" i="254"/>
  <c r="O737" i="254"/>
  <c r="O722" i="254"/>
  <c r="O730" i="254"/>
  <c r="P722" i="254"/>
  <c r="P730" i="254"/>
  <c r="O739" i="254"/>
  <c r="O740" i="254"/>
  <c r="H571" i="254"/>
  <c r="H572" i="254"/>
  <c r="H573" i="254"/>
  <c r="H574" i="254"/>
  <c r="H575" i="254"/>
  <c r="H576" i="254"/>
  <c r="H577" i="254"/>
  <c r="H578" i="254"/>
  <c r="H579" i="254"/>
  <c r="H580" i="254"/>
  <c r="H581" i="254"/>
  <c r="H582" i="254"/>
  <c r="H583" i="254"/>
  <c r="H584" i="254"/>
  <c r="H585" i="254"/>
  <c r="H586" i="254"/>
  <c r="H587" i="254"/>
  <c r="H588" i="254"/>
  <c r="H589" i="254"/>
  <c r="H590" i="254"/>
  <c r="H591" i="254"/>
  <c r="H592" i="254"/>
  <c r="H593" i="254"/>
  <c r="H594" i="254"/>
  <c r="H595" i="254"/>
  <c r="H596" i="254"/>
  <c r="H597" i="254"/>
  <c r="H598" i="254"/>
  <c r="H599" i="254"/>
  <c r="H600" i="254"/>
  <c r="H601" i="254"/>
  <c r="H602" i="254"/>
  <c r="H603" i="254"/>
  <c r="H604" i="254"/>
  <c r="H605" i="254"/>
  <c r="H606" i="254"/>
  <c r="H607" i="254"/>
  <c r="H608" i="254"/>
  <c r="H609" i="254"/>
  <c r="H610" i="254"/>
  <c r="H611" i="254"/>
  <c r="H612" i="254"/>
  <c r="H613" i="254"/>
  <c r="H614" i="254"/>
  <c r="O620" i="254"/>
  <c r="P700" i="254"/>
  <c r="P699" i="254"/>
  <c r="P698" i="254"/>
  <c r="P697" i="254"/>
  <c r="P696" i="254"/>
  <c r="P695" i="254"/>
  <c r="P694" i="254"/>
  <c r="P693" i="254"/>
  <c r="P692" i="254"/>
  <c r="P691" i="254"/>
  <c r="P690" i="254"/>
  <c r="P689" i="254"/>
  <c r="P688" i="254"/>
  <c r="P687" i="254"/>
  <c r="P686" i="254"/>
  <c r="P685" i="254"/>
  <c r="P684" i="254"/>
  <c r="P683" i="254"/>
  <c r="P682" i="254"/>
  <c r="P681" i="254"/>
  <c r="P680" i="254"/>
  <c r="P679" i="254"/>
  <c r="P678" i="254"/>
  <c r="P677" i="254"/>
  <c r="P676" i="254"/>
  <c r="P675" i="254"/>
  <c r="P674" i="254"/>
  <c r="P673" i="254"/>
  <c r="P672" i="254"/>
  <c r="P671" i="254"/>
  <c r="P670" i="254"/>
  <c r="P669" i="254"/>
  <c r="P668" i="254"/>
  <c r="P667" i="254"/>
  <c r="P666" i="254"/>
  <c r="P665" i="254"/>
  <c r="P664" i="254"/>
  <c r="P663" i="254"/>
  <c r="P662" i="254"/>
  <c r="P661" i="254"/>
  <c r="P660" i="254"/>
  <c r="P659" i="254"/>
  <c r="P658" i="254"/>
  <c r="P657" i="254"/>
  <c r="P656" i="254"/>
  <c r="P655" i="254"/>
  <c r="P654" i="254"/>
  <c r="P653" i="254"/>
  <c r="P652" i="254"/>
  <c r="P651" i="254"/>
  <c r="P650" i="254"/>
  <c r="P649" i="254"/>
  <c r="P648" i="254"/>
  <c r="P647" i="254"/>
  <c r="P646" i="254"/>
  <c r="P645" i="254"/>
  <c r="P644" i="254"/>
  <c r="P643" i="254"/>
  <c r="P642" i="254"/>
  <c r="P641" i="254"/>
  <c r="P640" i="254"/>
  <c r="P639" i="254"/>
  <c r="P638" i="254"/>
  <c r="P637" i="254"/>
  <c r="P636" i="254"/>
  <c r="P635" i="254"/>
  <c r="P634" i="254"/>
  <c r="P633" i="254"/>
  <c r="P632" i="254"/>
  <c r="P631" i="254"/>
  <c r="P630" i="254"/>
  <c r="P629" i="254"/>
  <c r="P628" i="254"/>
  <c r="P627" i="254"/>
  <c r="O495" i="254"/>
  <c r="O517" i="254"/>
  <c r="O619" i="254"/>
  <c r="P620" i="254"/>
  <c r="O568" i="254"/>
  <c r="O700" i="254"/>
  <c r="O699" i="254"/>
  <c r="O698" i="254"/>
  <c r="O697" i="254"/>
  <c r="O696" i="254"/>
  <c r="O695" i="254"/>
  <c r="O694" i="254"/>
  <c r="O693" i="254"/>
  <c r="O692" i="254"/>
  <c r="O691" i="254"/>
  <c r="O690" i="254"/>
  <c r="O689" i="254"/>
  <c r="O688" i="254"/>
  <c r="O687" i="254"/>
  <c r="O686" i="254"/>
  <c r="O685" i="254"/>
  <c r="O684" i="254"/>
  <c r="O683" i="254"/>
  <c r="O682" i="254"/>
  <c r="O681" i="254"/>
  <c r="O680" i="254"/>
  <c r="O679" i="254"/>
  <c r="O678" i="254"/>
  <c r="O677" i="254"/>
  <c r="O676" i="254"/>
  <c r="O675" i="254"/>
  <c r="O674" i="254"/>
  <c r="O673" i="254"/>
  <c r="O672" i="254"/>
  <c r="O671" i="254"/>
  <c r="O670" i="254"/>
  <c r="O669" i="254"/>
  <c r="O668" i="254"/>
  <c r="O667" i="254"/>
  <c r="O666" i="254"/>
  <c r="O665" i="254"/>
  <c r="O664" i="254"/>
  <c r="O663" i="254"/>
  <c r="O662" i="254"/>
  <c r="O661" i="254"/>
  <c r="O660" i="254"/>
  <c r="O659" i="254"/>
  <c r="O658" i="254"/>
  <c r="O657" i="254"/>
  <c r="O656" i="254"/>
  <c r="O655" i="254"/>
  <c r="O654" i="254"/>
  <c r="O653" i="254"/>
  <c r="O652" i="254"/>
  <c r="O651" i="254"/>
  <c r="O650" i="254"/>
  <c r="O649" i="254"/>
  <c r="O648" i="254"/>
  <c r="O647" i="254"/>
  <c r="O646" i="254"/>
  <c r="O645" i="254"/>
  <c r="O644" i="254"/>
  <c r="O643" i="254"/>
  <c r="O642" i="254"/>
  <c r="O641" i="254"/>
  <c r="O640" i="254"/>
  <c r="O639" i="254"/>
  <c r="O638" i="254"/>
  <c r="O637" i="254"/>
  <c r="O636" i="254"/>
  <c r="O635" i="254"/>
  <c r="O634" i="254"/>
  <c r="O633" i="254"/>
  <c r="O632" i="254"/>
  <c r="O631" i="254"/>
  <c r="O630" i="254"/>
  <c r="O629" i="254"/>
  <c r="O628" i="254"/>
  <c r="H700" i="254"/>
  <c r="H699" i="254"/>
  <c r="H698" i="254"/>
  <c r="H697" i="254"/>
  <c r="H696" i="254"/>
  <c r="H695" i="254"/>
  <c r="H694" i="254"/>
  <c r="H693" i="254"/>
  <c r="H692" i="254"/>
  <c r="H691" i="254"/>
  <c r="H690" i="254"/>
  <c r="H689" i="254"/>
  <c r="H688" i="254"/>
  <c r="H687" i="254"/>
  <c r="H686" i="254"/>
  <c r="H685" i="254"/>
  <c r="H684" i="254"/>
  <c r="H683" i="254"/>
  <c r="H682" i="254"/>
  <c r="H681" i="254"/>
  <c r="H680" i="254"/>
  <c r="H679" i="254"/>
  <c r="H678" i="254"/>
  <c r="H677" i="254"/>
  <c r="H676" i="254"/>
  <c r="H675" i="254"/>
  <c r="H674" i="254"/>
  <c r="H673" i="254"/>
  <c r="H672" i="254"/>
  <c r="H671" i="254"/>
  <c r="H670" i="254"/>
  <c r="H669" i="254"/>
  <c r="H668" i="254"/>
  <c r="H667" i="254"/>
  <c r="H666" i="254"/>
  <c r="H665" i="254"/>
  <c r="H664" i="254"/>
  <c r="H663" i="254"/>
  <c r="H662" i="254"/>
  <c r="H661" i="254"/>
  <c r="H660" i="254"/>
  <c r="H659" i="254"/>
  <c r="H658" i="254"/>
  <c r="H657" i="254"/>
  <c r="H656" i="254"/>
  <c r="H655" i="254"/>
  <c r="H654" i="254"/>
  <c r="H653" i="254"/>
  <c r="H652" i="254"/>
  <c r="H651" i="254"/>
  <c r="H650" i="254"/>
  <c r="H649" i="254"/>
  <c r="H648" i="254"/>
  <c r="H647" i="254"/>
  <c r="H646" i="254"/>
  <c r="H645" i="254"/>
  <c r="H644" i="254"/>
  <c r="H643" i="254"/>
  <c r="H642" i="254"/>
  <c r="H641" i="254"/>
  <c r="H640" i="254"/>
  <c r="H639" i="254"/>
  <c r="H638" i="254"/>
  <c r="H637" i="254"/>
  <c r="H636" i="254"/>
  <c r="H635" i="254"/>
  <c r="H634" i="254"/>
  <c r="H633" i="254"/>
  <c r="H632" i="254"/>
  <c r="H631" i="254"/>
  <c r="H630" i="254"/>
  <c r="H629" i="254"/>
  <c r="H628" i="254"/>
  <c r="H627" i="254"/>
  <c r="H626" i="254"/>
  <c r="H625" i="254"/>
  <c r="H624" i="254"/>
  <c r="H623" i="254"/>
  <c r="H622" i="254"/>
  <c r="H621" i="254"/>
  <c r="H620" i="254"/>
  <c r="H619" i="254"/>
  <c r="H618" i="254"/>
  <c r="H617" i="254"/>
  <c r="H616" i="254"/>
  <c r="O503" i="254"/>
  <c r="O549" i="254"/>
  <c r="O618" i="254"/>
  <c r="P619" i="254"/>
  <c r="O626" i="254"/>
  <c r="O617" i="254"/>
  <c r="P618" i="254"/>
  <c r="O625" i="254"/>
  <c r="P626" i="254"/>
  <c r="O616" i="254"/>
  <c r="P617" i="254"/>
  <c r="O624" i="254"/>
  <c r="P625" i="254"/>
  <c r="O571" i="254"/>
  <c r="O572" i="254"/>
  <c r="O573" i="254"/>
  <c r="O574" i="254"/>
  <c r="O575" i="254"/>
  <c r="O576" i="254"/>
  <c r="O577" i="254"/>
  <c r="O578" i="254"/>
  <c r="O579" i="254"/>
  <c r="O580" i="254"/>
  <c r="O581" i="254"/>
  <c r="O582" i="254"/>
  <c r="O583" i="254"/>
  <c r="O584" i="254"/>
  <c r="O585" i="254"/>
  <c r="O586" i="254"/>
  <c r="O587" i="254"/>
  <c r="O588" i="254"/>
  <c r="O589" i="254"/>
  <c r="O590" i="254"/>
  <c r="O591" i="254"/>
  <c r="O592" i="254"/>
  <c r="O593" i="254"/>
  <c r="O594" i="254"/>
  <c r="O595" i="254"/>
  <c r="O596" i="254"/>
  <c r="O597" i="254"/>
  <c r="O598" i="254"/>
  <c r="O599" i="254"/>
  <c r="O600" i="254"/>
  <c r="O601" i="254"/>
  <c r="O602" i="254"/>
  <c r="O603" i="254"/>
  <c r="O604" i="254"/>
  <c r="O605" i="254"/>
  <c r="O606" i="254"/>
  <c r="O607" i="254"/>
  <c r="O608" i="254"/>
  <c r="O609" i="254"/>
  <c r="O610" i="254"/>
  <c r="O611" i="254"/>
  <c r="O612" i="254"/>
  <c r="O613" i="254"/>
  <c r="O614" i="254"/>
  <c r="O615" i="254"/>
  <c r="P616" i="254"/>
  <c r="O623" i="254"/>
  <c r="P624" i="254"/>
  <c r="P571" i="254"/>
  <c r="P572" i="254"/>
  <c r="P573" i="254"/>
  <c r="P574" i="254"/>
  <c r="P575" i="254"/>
  <c r="P576" i="254"/>
  <c r="P577" i="254"/>
  <c r="P578" i="254"/>
  <c r="P579" i="254"/>
  <c r="P580" i="254"/>
  <c r="P581" i="254"/>
  <c r="P582" i="254"/>
  <c r="P583" i="254"/>
  <c r="P584" i="254"/>
  <c r="P585" i="254"/>
  <c r="P586" i="254"/>
  <c r="P587" i="254"/>
  <c r="P588" i="254"/>
  <c r="P589" i="254"/>
  <c r="P590" i="254"/>
  <c r="P591" i="254"/>
  <c r="P592" i="254"/>
  <c r="P593" i="254"/>
  <c r="P594" i="254"/>
  <c r="P595" i="254"/>
  <c r="P596" i="254"/>
  <c r="P597" i="254"/>
  <c r="P598" i="254"/>
  <c r="P599" i="254"/>
  <c r="P600" i="254"/>
  <c r="P601" i="254"/>
  <c r="P602" i="254"/>
  <c r="P603" i="254"/>
  <c r="P604" i="254"/>
  <c r="P605" i="254"/>
  <c r="P606" i="254"/>
  <c r="P607" i="254"/>
  <c r="P608" i="254"/>
  <c r="P609" i="254"/>
  <c r="P610" i="254"/>
  <c r="P611" i="254"/>
  <c r="P612" i="254"/>
  <c r="P613" i="254"/>
  <c r="P614" i="254"/>
  <c r="P615" i="254"/>
  <c r="O622" i="254"/>
  <c r="P623" i="254"/>
  <c r="O621" i="254"/>
  <c r="P622" i="254"/>
  <c r="O511" i="254"/>
  <c r="O537" i="254"/>
  <c r="O569" i="254"/>
  <c r="O499" i="254"/>
  <c r="O525" i="254"/>
  <c r="O557" i="254"/>
  <c r="O545" i="254"/>
  <c r="O507" i="254"/>
  <c r="O533" i="254"/>
  <c r="O565" i="254"/>
  <c r="O521" i="254"/>
  <c r="O553" i="254"/>
  <c r="O541" i="254"/>
  <c r="O529" i="254"/>
  <c r="O561" i="254"/>
  <c r="P715" i="254"/>
  <c r="P714" i="254"/>
  <c r="P713" i="254"/>
  <c r="P712" i="254"/>
  <c r="P711" i="254"/>
  <c r="P710" i="254"/>
  <c r="P709" i="254"/>
  <c r="P708" i="254"/>
  <c r="P707" i="254"/>
  <c r="P706" i="254"/>
  <c r="P705" i="254"/>
  <c r="P704" i="254"/>
  <c r="P703" i="254"/>
  <c r="P702" i="254"/>
  <c r="P701" i="254"/>
  <c r="P570" i="254"/>
  <c r="P569" i="254"/>
  <c r="P568" i="254"/>
  <c r="P567" i="254"/>
  <c r="P566" i="254"/>
  <c r="P565" i="254"/>
  <c r="P564" i="254"/>
  <c r="P563" i="254"/>
  <c r="P562" i="254"/>
  <c r="P561" i="254"/>
  <c r="P560" i="254"/>
  <c r="P559" i="254"/>
  <c r="P558" i="254"/>
  <c r="P557" i="254"/>
  <c r="P556" i="254"/>
  <c r="P555" i="254"/>
  <c r="P554" i="254"/>
  <c r="P553" i="254"/>
  <c r="P552" i="254"/>
  <c r="P551" i="254"/>
  <c r="P550" i="254"/>
  <c r="P549" i="254"/>
  <c r="P548" i="254"/>
  <c r="P547" i="254"/>
  <c r="P546" i="254"/>
  <c r="P545" i="254"/>
  <c r="P544" i="254"/>
  <c r="P543" i="254"/>
  <c r="P542" i="254"/>
  <c r="P541" i="254"/>
  <c r="P540" i="254"/>
  <c r="P539" i="254"/>
  <c r="P538" i="254"/>
  <c r="P537" i="254"/>
  <c r="P536" i="254"/>
  <c r="P535" i="254"/>
  <c r="P534" i="254"/>
  <c r="P533" i="254"/>
  <c r="P532" i="254"/>
  <c r="P531" i="254"/>
  <c r="P530" i="254"/>
  <c r="P529" i="254"/>
  <c r="P528" i="254"/>
  <c r="P527" i="254"/>
  <c r="P526" i="254"/>
  <c r="P525" i="254"/>
  <c r="P524" i="254"/>
  <c r="P523" i="254"/>
  <c r="P522" i="254"/>
  <c r="P521" i="254"/>
  <c r="P520" i="254"/>
  <c r="P519" i="254"/>
  <c r="P518" i="254"/>
  <c r="P517" i="254"/>
  <c r="P516" i="254"/>
  <c r="P515" i="254"/>
  <c r="P514" i="254"/>
  <c r="P513" i="254"/>
  <c r="P512" i="254"/>
  <c r="P511" i="254"/>
  <c r="P510" i="254"/>
  <c r="P509" i="254"/>
  <c r="P508" i="254"/>
  <c r="P507" i="254"/>
  <c r="P506" i="254"/>
  <c r="P505" i="254"/>
  <c r="P504" i="254"/>
  <c r="P503" i="254"/>
  <c r="P502" i="254"/>
  <c r="P501" i="254"/>
  <c r="P500" i="254"/>
  <c r="P499" i="254"/>
  <c r="P498" i="254"/>
  <c r="P497" i="254"/>
  <c r="P496" i="254"/>
  <c r="P495" i="254"/>
  <c r="P494" i="254"/>
  <c r="P493" i="254"/>
  <c r="P492" i="254"/>
  <c r="P491" i="254"/>
  <c r="P490" i="254"/>
  <c r="P489" i="254"/>
  <c r="P488" i="254"/>
  <c r="P487" i="254"/>
  <c r="P486" i="254"/>
  <c r="P485" i="254"/>
  <c r="P484" i="254"/>
  <c r="P483" i="254"/>
  <c r="P482" i="254"/>
  <c r="P481" i="254"/>
  <c r="P480" i="254"/>
  <c r="P479" i="254"/>
  <c r="P478" i="254"/>
  <c r="P477" i="254"/>
  <c r="P476" i="254"/>
  <c r="P475" i="254"/>
  <c r="P474" i="254"/>
  <c r="P473" i="254"/>
  <c r="P472" i="254"/>
  <c r="P471" i="254"/>
  <c r="P470" i="254"/>
  <c r="P469" i="254"/>
  <c r="P468" i="254"/>
  <c r="P467" i="254"/>
  <c r="P466" i="254"/>
  <c r="P465" i="254"/>
  <c r="P464" i="254"/>
  <c r="P463" i="254"/>
  <c r="P462" i="254"/>
  <c r="P461" i="254"/>
  <c r="P460" i="254"/>
  <c r="P459" i="254"/>
  <c r="P458" i="254"/>
  <c r="P457" i="254"/>
  <c r="P456" i="254"/>
  <c r="P455" i="254"/>
  <c r="P454" i="254"/>
  <c r="P453" i="254"/>
  <c r="H416" i="254"/>
  <c r="O514" i="254"/>
  <c r="O518" i="254"/>
  <c r="O522" i="254"/>
  <c r="O526" i="254"/>
  <c r="O530" i="254"/>
  <c r="O534" i="254"/>
  <c r="O538" i="254"/>
  <c r="O542" i="254"/>
  <c r="O546" i="254"/>
  <c r="O550" i="254"/>
  <c r="O554" i="254"/>
  <c r="O558" i="254"/>
  <c r="O562" i="254"/>
  <c r="O566" i="254"/>
  <c r="O570" i="254"/>
  <c r="O453" i="254"/>
  <c r="O454" i="254"/>
  <c r="O455" i="254"/>
  <c r="O456" i="254"/>
  <c r="O457" i="254"/>
  <c r="O458" i="254"/>
  <c r="O459" i="254"/>
  <c r="O460" i="254"/>
  <c r="O461" i="254"/>
  <c r="O462" i="254"/>
  <c r="O463" i="254"/>
  <c r="O464" i="254"/>
  <c r="O465" i="254"/>
  <c r="O466" i="254"/>
  <c r="O467" i="254"/>
  <c r="O468" i="254"/>
  <c r="O469" i="254"/>
  <c r="O470" i="254"/>
  <c r="O471" i="254"/>
  <c r="O472" i="254"/>
  <c r="O473" i="254"/>
  <c r="O474" i="254"/>
  <c r="O475" i="254"/>
  <c r="O476" i="254"/>
  <c r="O477" i="254"/>
  <c r="O478" i="254"/>
  <c r="O479" i="254"/>
  <c r="O480" i="254"/>
  <c r="O481" i="254"/>
  <c r="O482" i="254"/>
  <c r="O483" i="254"/>
  <c r="O484" i="254"/>
  <c r="O485" i="254"/>
  <c r="O486" i="254"/>
  <c r="O487" i="254"/>
  <c r="O488" i="254"/>
  <c r="O489" i="254"/>
  <c r="O490" i="254"/>
  <c r="O491" i="254"/>
  <c r="O492" i="254"/>
  <c r="O493" i="254"/>
  <c r="O494" i="254"/>
  <c r="O498" i="254"/>
  <c r="O502" i="254"/>
  <c r="O506" i="254"/>
  <c r="O509" i="254"/>
  <c r="O512" i="254"/>
  <c r="O515" i="254"/>
  <c r="O519" i="254"/>
  <c r="O523" i="254"/>
  <c r="O527" i="254"/>
  <c r="O531" i="254"/>
  <c r="O535" i="254"/>
  <c r="O539" i="254"/>
  <c r="O543" i="254"/>
  <c r="O547" i="254"/>
  <c r="O551" i="254"/>
  <c r="O555" i="254"/>
  <c r="O559" i="254"/>
  <c r="O563" i="254"/>
  <c r="O567" i="254"/>
  <c r="H715" i="254"/>
  <c r="H714" i="254"/>
  <c r="H713" i="254"/>
  <c r="H712" i="254"/>
  <c r="H711" i="254"/>
  <c r="H710" i="254"/>
  <c r="H709" i="254"/>
  <c r="H708" i="254"/>
  <c r="H707" i="254"/>
  <c r="H706" i="254"/>
  <c r="H705" i="254"/>
  <c r="H704" i="254"/>
  <c r="H703" i="254"/>
  <c r="H702" i="254"/>
  <c r="H701" i="254"/>
  <c r="H570" i="254"/>
  <c r="H569" i="254"/>
  <c r="H568" i="254"/>
  <c r="H567" i="254"/>
  <c r="H566" i="254"/>
  <c r="H565" i="254"/>
  <c r="H564" i="254"/>
  <c r="H563" i="254"/>
  <c r="H562" i="254"/>
  <c r="H561" i="254"/>
  <c r="H560" i="254"/>
  <c r="H559" i="254"/>
  <c r="H558" i="254"/>
  <c r="H557" i="254"/>
  <c r="H556" i="254"/>
  <c r="H555" i="254"/>
  <c r="H554" i="254"/>
  <c r="H553" i="254"/>
  <c r="H552" i="254"/>
  <c r="H551" i="254"/>
  <c r="H550" i="254"/>
  <c r="H549" i="254"/>
  <c r="H548" i="254"/>
  <c r="H547" i="254"/>
  <c r="H546" i="254"/>
  <c r="H545" i="254"/>
  <c r="H544" i="254"/>
  <c r="H543" i="254"/>
  <c r="H542" i="254"/>
  <c r="H541" i="254"/>
  <c r="H540" i="254"/>
  <c r="H539" i="254"/>
  <c r="H538" i="254"/>
  <c r="H537" i="254"/>
  <c r="H536" i="254"/>
  <c r="H535" i="254"/>
  <c r="H534" i="254"/>
  <c r="H533" i="254"/>
  <c r="H532" i="254"/>
  <c r="H531" i="254"/>
  <c r="H530" i="254"/>
  <c r="H529" i="254"/>
  <c r="H528" i="254"/>
  <c r="H527" i="254"/>
  <c r="H526" i="254"/>
  <c r="H525" i="254"/>
  <c r="H524" i="254"/>
  <c r="H523" i="254"/>
  <c r="H522" i="254"/>
  <c r="H521" i="254"/>
  <c r="H520" i="254"/>
  <c r="H519" i="254"/>
  <c r="H518" i="254"/>
  <c r="H517" i="254"/>
  <c r="H516" i="254"/>
  <c r="H515" i="254"/>
  <c r="H514" i="254"/>
  <c r="H513" i="254"/>
  <c r="H512" i="254"/>
  <c r="H511" i="254"/>
  <c r="H510" i="254"/>
  <c r="H509" i="254"/>
  <c r="H508" i="254"/>
  <c r="H507" i="254"/>
  <c r="H506" i="254"/>
  <c r="H505" i="254"/>
  <c r="H504" i="254"/>
  <c r="H503" i="254"/>
  <c r="H502" i="254"/>
  <c r="H501" i="254"/>
  <c r="H500" i="254"/>
  <c r="H499" i="254"/>
  <c r="H498" i="254"/>
  <c r="H497" i="254"/>
  <c r="H496" i="254"/>
  <c r="H495" i="254"/>
  <c r="O497" i="254"/>
  <c r="O501" i="254"/>
  <c r="O505" i="254"/>
  <c r="H453" i="254"/>
  <c r="H454" i="254"/>
  <c r="H455" i="254"/>
  <c r="H456" i="254"/>
  <c r="H457" i="254"/>
  <c r="H458" i="254"/>
  <c r="H459" i="254"/>
  <c r="H460" i="254"/>
  <c r="H461" i="254"/>
  <c r="H462" i="254"/>
  <c r="H463" i="254"/>
  <c r="H464" i="254"/>
  <c r="H465" i="254"/>
  <c r="H466" i="254"/>
  <c r="H467" i="254"/>
  <c r="H468" i="254"/>
  <c r="H469" i="254"/>
  <c r="H470" i="254"/>
  <c r="H471" i="254"/>
  <c r="H472" i="254"/>
  <c r="H473" i="254"/>
  <c r="H474" i="254"/>
  <c r="H475" i="254"/>
  <c r="H476" i="254"/>
  <c r="H477" i="254"/>
  <c r="H478" i="254"/>
  <c r="H479" i="254"/>
  <c r="H480" i="254"/>
  <c r="H481" i="254"/>
  <c r="H482" i="254"/>
  <c r="H483" i="254"/>
  <c r="H484" i="254"/>
  <c r="H485" i="254"/>
  <c r="H486" i="254"/>
  <c r="H487" i="254"/>
  <c r="H488" i="254"/>
  <c r="H489" i="254"/>
  <c r="H490" i="254"/>
  <c r="H491" i="254"/>
  <c r="H492" i="254"/>
  <c r="H493" i="254"/>
  <c r="H494" i="254"/>
  <c r="O510" i="254"/>
  <c r="O516" i="254"/>
  <c r="O520" i="254"/>
  <c r="O524" i="254"/>
  <c r="O528" i="254"/>
  <c r="O532" i="254"/>
  <c r="O536" i="254"/>
  <c r="O540" i="254"/>
  <c r="O544" i="254"/>
  <c r="O548" i="254"/>
  <c r="O552" i="254"/>
  <c r="O556" i="254"/>
  <c r="O560" i="254"/>
  <c r="O564" i="254"/>
  <c r="O417" i="254"/>
  <c r="O715" i="254"/>
  <c r="O714" i="254"/>
  <c r="O713" i="254"/>
  <c r="O712" i="254"/>
  <c r="O711" i="254"/>
  <c r="O710" i="254"/>
  <c r="O709" i="254"/>
  <c r="O708" i="254"/>
  <c r="O707" i="254"/>
  <c r="O706" i="254"/>
  <c r="O705" i="254"/>
  <c r="O704" i="254"/>
  <c r="O703" i="254"/>
  <c r="O702" i="254"/>
  <c r="O701" i="254"/>
  <c r="O416" i="254"/>
  <c r="O496" i="254"/>
  <c r="O500" i="254"/>
  <c r="O504" i="254"/>
  <c r="O508" i="254"/>
  <c r="O513" i="254"/>
  <c r="P452" i="254"/>
  <c r="P451" i="254"/>
  <c r="P450" i="254"/>
  <c r="P449" i="254"/>
  <c r="P448" i="254"/>
  <c r="P447" i="254"/>
  <c r="P446" i="254"/>
  <c r="P445" i="254"/>
  <c r="P444" i="254"/>
  <c r="P443" i="254"/>
  <c r="P442" i="254"/>
  <c r="P441" i="254"/>
  <c r="P440" i="254"/>
  <c r="P439" i="254"/>
  <c r="P438" i="254"/>
  <c r="P437" i="254"/>
  <c r="P436" i="254"/>
  <c r="P435" i="254"/>
  <c r="P434" i="254"/>
  <c r="P433" i="254"/>
  <c r="P432" i="254"/>
  <c r="P431" i="254"/>
  <c r="P430" i="254"/>
  <c r="P429" i="254"/>
  <c r="P428" i="254"/>
  <c r="P427" i="254"/>
  <c r="P426" i="254"/>
  <c r="P425" i="254"/>
  <c r="P424" i="254"/>
  <c r="P423" i="254"/>
  <c r="P422" i="254"/>
  <c r="P421" i="254"/>
  <c r="P420" i="254"/>
  <c r="P419" i="254"/>
  <c r="P418" i="254"/>
  <c r="P417" i="254"/>
  <c r="P416" i="254"/>
  <c r="H418" i="254"/>
  <c r="H419" i="254"/>
  <c r="H420" i="254"/>
  <c r="H421" i="254"/>
  <c r="H422" i="254"/>
  <c r="H423" i="254"/>
  <c r="H424" i="254"/>
  <c r="H425" i="254"/>
  <c r="H426" i="254"/>
  <c r="H427" i="254"/>
  <c r="H428" i="254"/>
  <c r="H429" i="254"/>
  <c r="H430" i="254"/>
  <c r="H431" i="254"/>
  <c r="H432" i="254"/>
  <c r="H433" i="254"/>
  <c r="H434" i="254"/>
  <c r="H435" i="254"/>
  <c r="H436" i="254"/>
  <c r="H437" i="254"/>
  <c r="H438" i="254"/>
  <c r="H439" i="254"/>
  <c r="H440" i="254"/>
  <c r="H441" i="254"/>
  <c r="H442" i="254"/>
  <c r="H443" i="254"/>
  <c r="H444" i="254"/>
  <c r="H445" i="254"/>
  <c r="H446" i="254"/>
  <c r="H447" i="254"/>
  <c r="H448" i="254"/>
  <c r="H449" i="254"/>
  <c r="H450" i="254"/>
  <c r="H451" i="254"/>
  <c r="H452" i="254"/>
  <c r="H417" i="254"/>
  <c r="O418" i="254"/>
  <c r="O419" i="254"/>
  <c r="O420" i="254"/>
  <c r="O421" i="254"/>
  <c r="O422" i="254"/>
  <c r="O423" i="254"/>
  <c r="O424" i="254"/>
  <c r="O425" i="254"/>
  <c r="O426" i="254"/>
  <c r="O427" i="254"/>
  <c r="O428" i="254"/>
  <c r="O429" i="254"/>
  <c r="O430" i="254"/>
  <c r="O431" i="254"/>
  <c r="O432" i="254"/>
  <c r="O433" i="254"/>
  <c r="O434" i="254"/>
  <c r="O435" i="254"/>
  <c r="O436" i="254"/>
  <c r="O437" i="254"/>
  <c r="O438" i="254"/>
  <c r="O439" i="254"/>
  <c r="O440" i="254"/>
  <c r="O441" i="254"/>
  <c r="O442" i="254"/>
  <c r="O443" i="254"/>
  <c r="O444" i="254"/>
  <c r="O445" i="254"/>
  <c r="O446" i="254"/>
  <c r="O447" i="254"/>
  <c r="O448" i="254"/>
  <c r="O449" i="254"/>
  <c r="O450" i="254"/>
  <c r="O451" i="254"/>
  <c r="O452" i="254"/>
  <c r="P394" i="254"/>
  <c r="B413" i="254"/>
  <c r="B412" i="254"/>
  <c r="B411" i="254"/>
  <c r="B410" i="254"/>
  <c r="B409" i="254"/>
  <c r="B408" i="254"/>
  <c r="B407" i="254"/>
  <c r="B406" i="254"/>
  <c r="B405" i="254"/>
  <c r="B404" i="254"/>
  <c r="B403" i="254"/>
  <c r="B402" i="254"/>
  <c r="B401" i="254"/>
  <c r="B400" i="254"/>
  <c r="B399" i="254"/>
  <c r="B384" i="254"/>
  <c r="B388" i="254"/>
  <c r="B387" i="254"/>
  <c r="B386" i="254"/>
  <c r="B385" i="254"/>
  <c r="B389" i="254"/>
  <c r="B346" i="254"/>
  <c r="B391" i="254"/>
  <c r="B390" i="254"/>
  <c r="B383" i="254"/>
  <c r="B382" i="254"/>
  <c r="B381" i="254"/>
  <c r="B380" i="254"/>
  <c r="B379" i="254"/>
  <c r="B378" i="254"/>
  <c r="B377" i="254"/>
  <c r="B376" i="254"/>
  <c r="B375" i="254"/>
  <c r="B374" i="254"/>
  <c r="B373" i="254"/>
  <c r="B372" i="254"/>
  <c r="B371" i="254"/>
  <c r="B370" i="254"/>
  <c r="B369" i="254"/>
  <c r="B368" i="254"/>
  <c r="B367" i="254"/>
  <c r="B366" i="254"/>
  <c r="B365" i="254"/>
  <c r="B364" i="254"/>
  <c r="B363" i="254"/>
  <c r="B362" i="254"/>
  <c r="B361" i="254"/>
  <c r="B360" i="254"/>
  <c r="B359" i="254"/>
  <c r="B358" i="254"/>
  <c r="B357" i="254"/>
  <c r="B356" i="254"/>
  <c r="B51" i="254"/>
  <c r="O345" i="254"/>
  <c r="O394" i="254" s="1"/>
  <c r="K345" i="254"/>
  <c r="P261" i="254"/>
  <c r="P190" i="254"/>
  <c r="P108" i="254"/>
  <c r="P345" i="254"/>
  <c r="B105" i="254"/>
  <c r="B104" i="254"/>
  <c r="B103" i="254"/>
  <c r="B102" i="254"/>
  <c r="B101" i="254"/>
  <c r="B100" i="254"/>
  <c r="B99" i="254"/>
  <c r="B98" i="254"/>
  <c r="B86" i="254"/>
  <c r="B85" i="254"/>
  <c r="B84" i="254"/>
  <c r="B83" i="254"/>
  <c r="B82" i="254"/>
  <c r="B81" i="254"/>
  <c r="B80" i="254"/>
  <c r="B79" i="254"/>
  <c r="B78" i="254"/>
  <c r="B77" i="254"/>
  <c r="B76" i="254"/>
  <c r="B75" i="254"/>
  <c r="B74" i="254"/>
  <c r="B73" i="254"/>
  <c r="B106" i="254"/>
  <c r="B97" i="254"/>
  <c r="B96" i="254"/>
  <c r="B95" i="254"/>
  <c r="B94" i="254"/>
  <c r="B93" i="254"/>
  <c r="B92" i="254"/>
  <c r="B91" i="254"/>
  <c r="B90" i="254"/>
  <c r="B89" i="254"/>
  <c r="P88" i="254"/>
  <c r="L88" i="254"/>
  <c r="K88" i="254"/>
  <c r="H88" i="254"/>
  <c r="B72" i="254"/>
  <c r="B71" i="254"/>
  <c r="B70" i="254"/>
  <c r="B69" i="254"/>
  <c r="B68" i="254"/>
  <c r="B67" i="254"/>
  <c r="B66" i="254"/>
  <c r="B65" i="254"/>
  <c r="B64" i="254"/>
  <c r="P63" i="254"/>
  <c r="L63" i="254"/>
  <c r="K63" i="254"/>
  <c r="H63" i="254"/>
  <c r="B61" i="254"/>
  <c r="B60" i="254"/>
  <c r="B59" i="254"/>
  <c r="B58" i="254"/>
  <c r="B57" i="254"/>
  <c r="B56" i="254"/>
  <c r="B55" i="254"/>
  <c r="B54" i="254"/>
  <c r="B53" i="254"/>
  <c r="B52" i="254"/>
  <c r="L50" i="254"/>
  <c r="K50" i="254"/>
  <c r="H50" i="254"/>
  <c r="B48" i="254"/>
  <c r="B47" i="254"/>
  <c r="B46" i="254"/>
  <c r="B45" i="254"/>
  <c r="B44" i="254"/>
  <c r="B43" i="254"/>
  <c r="B42" i="254"/>
  <c r="B41" i="254"/>
  <c r="B40" i="254"/>
  <c r="B39" i="254"/>
  <c r="B38" i="254"/>
  <c r="B37" i="254"/>
  <c r="B36" i="254"/>
  <c r="P35" i="254"/>
  <c r="L35" i="254"/>
  <c r="K35" i="254"/>
  <c r="H35" i="254"/>
  <c r="B33" i="254"/>
  <c r="B32" i="254"/>
  <c r="B31" i="254"/>
  <c r="B30" i="254"/>
  <c r="B29" i="254"/>
  <c r="B28" i="254"/>
  <c r="B27" i="254"/>
  <c r="B26" i="254"/>
  <c r="B25" i="254"/>
  <c r="B24" i="254"/>
  <c r="B23" i="254"/>
  <c r="B22" i="254"/>
  <c r="B21" i="254"/>
  <c r="B20" i="254"/>
  <c r="B19" i="254"/>
  <c r="B18" i="254"/>
  <c r="B17" i="254"/>
  <c r="B16" i="254"/>
  <c r="B15" i="254"/>
  <c r="B14" i="254"/>
  <c r="B13" i="254"/>
  <c r="B12" i="254"/>
  <c r="B11" i="254"/>
  <c r="B10" i="254"/>
  <c r="B9" i="254"/>
  <c r="B8" i="254"/>
  <c r="B7" i="254"/>
  <c r="B6" i="254"/>
  <c r="P5" i="254"/>
  <c r="L5" i="254"/>
  <c r="K5" i="254"/>
  <c r="H5" i="254"/>
  <c r="B337" i="254"/>
  <c r="B336" i="254"/>
  <c r="B334" i="254"/>
  <c r="B333" i="254"/>
  <c r="B332" i="254"/>
  <c r="B331" i="254"/>
  <c r="B330" i="254"/>
  <c r="B329" i="254"/>
  <c r="B335" i="254"/>
  <c r="B328" i="254"/>
  <c r="B327" i="254"/>
  <c r="B326" i="254"/>
  <c r="B325" i="254"/>
  <c r="B324" i="254"/>
  <c r="B323" i="254"/>
  <c r="B322" i="254"/>
  <c r="B321" i="254"/>
  <c r="B320" i="254"/>
  <c r="B311" i="254"/>
  <c r="B309" i="254"/>
  <c r="B300" i="254"/>
  <c r="B298" i="254"/>
  <c r="B264" i="254"/>
  <c r="B263" i="254"/>
  <c r="B317" i="254"/>
  <c r="B316" i="254"/>
  <c r="B313" i="254"/>
  <c r="B312" i="254"/>
  <c r="B307" i="254"/>
  <c r="B306" i="254"/>
  <c r="B303" i="254"/>
  <c r="B302" i="254"/>
  <c r="B296" i="254"/>
  <c r="B295" i="254"/>
  <c r="B291" i="254"/>
  <c r="B290" i="254"/>
  <c r="B286" i="254"/>
  <c r="B285" i="254"/>
  <c r="B284" i="254"/>
  <c r="B281" i="254"/>
  <c r="B279" i="254"/>
  <c r="B278" i="254"/>
  <c r="B274" i="254"/>
  <c r="B273" i="254"/>
  <c r="B269" i="254"/>
  <c r="B268" i="254"/>
  <c r="B340" i="254"/>
  <c r="B339" i="254"/>
  <c r="B338" i="254"/>
  <c r="B319" i="254"/>
  <c r="B318" i="254"/>
  <c r="B315" i="254"/>
  <c r="B314" i="254"/>
  <c r="B310" i="254"/>
  <c r="B308" i="254"/>
  <c r="B305" i="254"/>
  <c r="B304" i="254"/>
  <c r="B301" i="254"/>
  <c r="B299" i="254"/>
  <c r="B297" i="254"/>
  <c r="B294" i="254"/>
  <c r="B293" i="254"/>
  <c r="B292" i="254"/>
  <c r="B289" i="254"/>
  <c r="B288" i="254"/>
  <c r="B287" i="254"/>
  <c r="B283" i="254"/>
  <c r="B282" i="254"/>
  <c r="B280" i="254"/>
  <c r="B277" i="254"/>
  <c r="B276" i="254"/>
  <c r="B275" i="254"/>
  <c r="B272" i="254"/>
  <c r="B271" i="254"/>
  <c r="B270" i="254"/>
  <c r="B267" i="254"/>
  <c r="B266" i="254"/>
  <c r="B265" i="254"/>
  <c r="B256" i="254"/>
  <c r="B255" i="254"/>
  <c r="B250" i="254"/>
  <c r="B249" i="254"/>
  <c r="B246" i="254"/>
  <c r="B245" i="254"/>
  <c r="B244" i="254"/>
  <c r="B243" i="254"/>
  <c r="B235" i="254"/>
  <c r="B231" i="254"/>
  <c r="B227" i="254"/>
  <c r="B226" i="254"/>
  <c r="B221" i="254"/>
  <c r="B213" i="254"/>
  <c r="B212" i="254"/>
  <c r="B206" i="254"/>
  <c r="B199" i="254"/>
  <c r="B259" i="254"/>
  <c r="B258" i="254"/>
  <c r="B257" i="254"/>
  <c r="B254" i="254"/>
  <c r="B253" i="254"/>
  <c r="B252" i="254"/>
  <c r="B251" i="254"/>
  <c r="B248" i="254"/>
  <c r="B247" i="254"/>
  <c r="B242" i="254"/>
  <c r="B241" i="254"/>
  <c r="B240" i="254"/>
  <c r="B239" i="254"/>
  <c r="B238" i="254"/>
  <c r="B237" i="254"/>
  <c r="B236" i="254"/>
  <c r="B234" i="254"/>
  <c r="B233" i="254"/>
  <c r="B232" i="254"/>
  <c r="B230" i="254"/>
  <c r="B229" i="254"/>
  <c r="B228" i="254"/>
  <c r="B225" i="254"/>
  <c r="B224" i="254"/>
  <c r="B223" i="254"/>
  <c r="B222" i="254"/>
  <c r="B220" i="254"/>
  <c r="B219" i="254"/>
  <c r="B218" i="254"/>
  <c r="B217" i="254"/>
  <c r="B216" i="254"/>
  <c r="B215" i="254"/>
  <c r="B214" i="254"/>
  <c r="B211" i="254"/>
  <c r="B210" i="254"/>
  <c r="B209" i="254"/>
  <c r="B208" i="254"/>
  <c r="B207" i="254"/>
  <c r="B205" i="254"/>
  <c r="B204" i="254"/>
  <c r="B203" i="254"/>
  <c r="B202" i="254"/>
  <c r="B201" i="254"/>
  <c r="B200" i="254"/>
  <c r="B198" i="254"/>
  <c r="B197" i="254"/>
  <c r="B196" i="254"/>
  <c r="B195" i="254"/>
  <c r="B194" i="254"/>
  <c r="B193" i="254"/>
  <c r="B154" i="254"/>
  <c r="B155" i="254"/>
  <c r="B150" i="254"/>
  <c r="B143" i="254"/>
  <c r="B136" i="254"/>
  <c r="B135" i="254"/>
  <c r="B119" i="254"/>
  <c r="B118" i="254"/>
  <c r="B183" i="254"/>
  <c r="B179" i="254"/>
  <c r="B171" i="254"/>
  <c r="B172" i="254"/>
  <c r="B146" i="254"/>
  <c r="B188" i="254"/>
  <c r="B187" i="254"/>
  <c r="B186" i="254"/>
  <c r="B185" i="254"/>
  <c r="B184" i="254"/>
  <c r="K494" i="256" l="1"/>
  <c r="L494" i="256" s="1"/>
  <c r="K509" i="256"/>
  <c r="L509" i="256" s="1"/>
  <c r="K506" i="256"/>
  <c r="L506" i="256" s="1"/>
  <c r="K504" i="256"/>
  <c r="L504" i="256" s="1"/>
  <c r="K493" i="256"/>
  <c r="L493" i="256" s="1"/>
  <c r="K487" i="256"/>
  <c r="L487" i="256" s="1"/>
  <c r="K502" i="256"/>
  <c r="L502" i="256" s="1"/>
  <c r="K514" i="256"/>
  <c r="L514" i="256" s="1"/>
  <c r="K441" i="256"/>
  <c r="L441" i="256" s="1"/>
  <c r="K513" i="256"/>
  <c r="L513" i="256" s="1"/>
  <c r="K510" i="256"/>
  <c r="L510" i="256" s="1"/>
  <c r="K449" i="256"/>
  <c r="L449" i="256" s="1"/>
  <c r="K489" i="256"/>
  <c r="L489" i="256" s="1"/>
  <c r="K437" i="256"/>
  <c r="L437" i="256" s="1"/>
  <c r="K443" i="256"/>
  <c r="L443" i="256" s="1"/>
  <c r="K825" i="254"/>
  <c r="K75" i="256"/>
  <c r="L75" i="256" s="1"/>
  <c r="L780" i="256"/>
  <c r="Y108" i="254"/>
  <c r="Y190" i="254" s="1"/>
  <c r="AA108" i="254"/>
  <c r="AA190" i="254" s="1"/>
  <c r="X108" i="254"/>
  <c r="X190" i="254" s="1"/>
  <c r="AB108" i="254"/>
  <c r="AB190" i="254" s="1"/>
  <c r="W108" i="254"/>
  <c r="W190" i="254" s="1"/>
  <c r="Z108" i="254"/>
  <c r="Z190" i="254" s="1"/>
  <c r="U108" i="254"/>
  <c r="U190" i="254" s="1"/>
  <c r="V108" i="254"/>
  <c r="V190" i="254" s="1"/>
  <c r="AB261" i="254"/>
  <c r="X261" i="254"/>
  <c r="AA261" i="254"/>
  <c r="V261" i="254"/>
  <c r="Z261" i="254"/>
  <c r="U261" i="254"/>
  <c r="Y261" i="254"/>
  <c r="W261" i="254"/>
  <c r="X5" i="254"/>
  <c r="X50" i="254" s="1"/>
  <c r="W5" i="254"/>
  <c r="W50" i="254" s="1"/>
  <c r="U5" i="254"/>
  <c r="U50" i="254" s="1"/>
  <c r="V5" i="254"/>
  <c r="V50" i="254" s="1"/>
  <c r="Z5" i="254"/>
  <c r="Z50" i="254" s="1"/>
  <c r="AB5" i="254"/>
  <c r="AB50" i="254" s="1"/>
  <c r="AA5" i="254"/>
  <c r="AA50" i="254" s="1"/>
  <c r="Y5" i="254"/>
  <c r="Y50" i="254" s="1"/>
  <c r="AB35" i="254"/>
  <c r="Y35" i="254"/>
  <c r="AA35" i="254"/>
  <c r="X35" i="254"/>
  <c r="Z35" i="254"/>
  <c r="W35" i="254"/>
  <c r="V35" i="254"/>
  <c r="U35" i="254"/>
  <c r="AA63" i="254"/>
  <c r="AA88" i="254" s="1"/>
  <c r="X63" i="254"/>
  <c r="X88" i="254" s="1"/>
  <c r="Z63" i="254"/>
  <c r="Z88" i="254" s="1"/>
  <c r="W63" i="254"/>
  <c r="W88" i="254" s="1"/>
  <c r="U63" i="254"/>
  <c r="U88" i="254" s="1"/>
  <c r="AB63" i="254"/>
  <c r="AB88" i="254" s="1"/>
  <c r="V63" i="254"/>
  <c r="V88" i="254" s="1"/>
  <c r="Y63" i="254"/>
  <c r="Y88" i="254" s="1"/>
  <c r="Z345" i="254"/>
  <c r="Z394" i="254" s="1"/>
  <c r="AB345" i="254"/>
  <c r="AB394" i="254" s="1"/>
  <c r="AA345" i="254"/>
  <c r="AA394" i="254" s="1"/>
  <c r="L42" i="255"/>
  <c r="L8" i="255"/>
  <c r="L34" i="255"/>
  <c r="L15" i="255"/>
  <c r="L6" i="255"/>
  <c r="L7" i="255"/>
  <c r="L14" i="255"/>
  <c r="L17" i="255"/>
  <c r="L46" i="255"/>
  <c r="L9" i="255"/>
  <c r="L38" i="255"/>
  <c r="L16" i="255"/>
  <c r="F39" i="198"/>
  <c r="F30" i="198"/>
  <c r="F33" i="198"/>
  <c r="F27" i="198"/>
  <c r="I885" i="254"/>
  <c r="K885" i="254" s="1"/>
  <c r="L885" i="254" s="1"/>
  <c r="J127" i="256"/>
  <c r="I127" i="256"/>
  <c r="K127" i="256" s="1"/>
  <c r="L127" i="256" s="1"/>
  <c r="J120" i="256"/>
  <c r="I120" i="256"/>
  <c r="L915" i="254"/>
  <c r="L916" i="254"/>
  <c r="L914" i="254"/>
  <c r="I893" i="254"/>
  <c r="K893" i="254" s="1"/>
  <c r="L893" i="254" s="1"/>
  <c r="J901" i="254"/>
  <c r="K901" i="254" s="1"/>
  <c r="L901" i="254" s="1"/>
  <c r="I903" i="254"/>
  <c r="K903" i="254" s="1"/>
  <c r="L903" i="254" s="1"/>
  <c r="I908" i="254"/>
  <c r="K908" i="254" s="1"/>
  <c r="L908" i="254" s="1"/>
  <c r="J917" i="254"/>
  <c r="I917" i="254"/>
  <c r="J918" i="254"/>
  <c r="I918" i="254"/>
  <c r="J913" i="254"/>
  <c r="I913" i="254"/>
  <c r="I902" i="254"/>
  <c r="K902" i="254" s="1"/>
  <c r="L902" i="254" s="1"/>
  <c r="I871" i="254"/>
  <c r="K871" i="254" s="1"/>
  <c r="L871" i="254" s="1"/>
  <c r="I887" i="254"/>
  <c r="K887" i="254" s="1"/>
  <c r="L887" i="254" s="1"/>
  <c r="I861" i="254"/>
  <c r="K861" i="254" s="1"/>
  <c r="L861" i="254" s="1"/>
  <c r="I895" i="254"/>
  <c r="K895" i="254" s="1"/>
  <c r="L895" i="254" s="1"/>
  <c r="I801" i="254"/>
  <c r="I892" i="254"/>
  <c r="K892" i="254" s="1"/>
  <c r="L892" i="254" s="1"/>
  <c r="I886" i="254"/>
  <c r="K886" i="254" s="1"/>
  <c r="L886" i="254" s="1"/>
  <c r="I900" i="254"/>
  <c r="K900" i="254" s="1"/>
  <c r="L900" i="254" s="1"/>
  <c r="I879" i="254"/>
  <c r="K879" i="254" s="1"/>
  <c r="L879" i="254" s="1"/>
  <c r="I894" i="254"/>
  <c r="K894" i="254" s="1"/>
  <c r="L894" i="254" s="1"/>
  <c r="L864" i="254"/>
  <c r="I910" i="254"/>
  <c r="K910" i="254" s="1"/>
  <c r="L910" i="254" s="1"/>
  <c r="I877" i="254"/>
  <c r="K877" i="254" s="1"/>
  <c r="L877" i="254" s="1"/>
  <c r="I869" i="254"/>
  <c r="K869" i="254" s="1"/>
  <c r="L869" i="254" s="1"/>
  <c r="I909" i="254"/>
  <c r="K909" i="254" s="1"/>
  <c r="L909" i="254" s="1"/>
  <c r="I863" i="254"/>
  <c r="K863" i="254" s="1"/>
  <c r="L863" i="254" s="1"/>
  <c r="J890" i="254"/>
  <c r="I890" i="254"/>
  <c r="J888" i="254"/>
  <c r="I888" i="254"/>
  <c r="K888" i="254" s="1"/>
  <c r="L888" i="254" s="1"/>
  <c r="I897" i="254"/>
  <c r="J897" i="254"/>
  <c r="J898" i="254"/>
  <c r="I898" i="254"/>
  <c r="I896" i="254"/>
  <c r="K896" i="254" s="1"/>
  <c r="L896" i="254" s="1"/>
  <c r="J896" i="254"/>
  <c r="I905" i="254"/>
  <c r="J905" i="254"/>
  <c r="I906" i="254"/>
  <c r="J906" i="254"/>
  <c r="J907" i="254"/>
  <c r="I907" i="254"/>
  <c r="J904" i="254"/>
  <c r="I904" i="254"/>
  <c r="I867" i="254"/>
  <c r="J867" i="254"/>
  <c r="J878" i="254"/>
  <c r="I878" i="254"/>
  <c r="K878" i="254" s="1"/>
  <c r="L878" i="254" s="1"/>
  <c r="J875" i="254"/>
  <c r="I875" i="254"/>
  <c r="I868" i="254"/>
  <c r="K868" i="254" s="1"/>
  <c r="L868" i="254" s="1"/>
  <c r="J868" i="254"/>
  <c r="J880" i="254"/>
  <c r="I880" i="254"/>
  <c r="K880" i="254" s="1"/>
  <c r="L880" i="254" s="1"/>
  <c r="J865" i="254"/>
  <c r="I865" i="254"/>
  <c r="K865" i="254" s="1"/>
  <c r="L865" i="254" s="1"/>
  <c r="J866" i="254"/>
  <c r="I866" i="254"/>
  <c r="I883" i="254"/>
  <c r="K883" i="254" s="1"/>
  <c r="L883" i="254" s="1"/>
  <c r="J883" i="254"/>
  <c r="J876" i="254"/>
  <c r="I876" i="254"/>
  <c r="K876" i="254" s="1"/>
  <c r="L876" i="254" s="1"/>
  <c r="J873" i="254"/>
  <c r="I873" i="254"/>
  <c r="K873" i="254" s="1"/>
  <c r="L873" i="254" s="1"/>
  <c r="I874" i="254"/>
  <c r="K874" i="254" s="1"/>
  <c r="L874" i="254" s="1"/>
  <c r="J874" i="254"/>
  <c r="J891" i="254"/>
  <c r="I891" i="254"/>
  <c r="I884" i="254"/>
  <c r="J884" i="254"/>
  <c r="I862" i="254"/>
  <c r="J862" i="254"/>
  <c r="I889" i="254"/>
  <c r="K889" i="254" s="1"/>
  <c r="L889" i="254" s="1"/>
  <c r="J889" i="254"/>
  <c r="J872" i="254"/>
  <c r="I872" i="254"/>
  <c r="I881" i="254"/>
  <c r="J881" i="254"/>
  <c r="J882" i="254"/>
  <c r="I882" i="254"/>
  <c r="K882" i="254" s="1"/>
  <c r="L882" i="254" s="1"/>
  <c r="I899" i="254"/>
  <c r="K899" i="254" s="1"/>
  <c r="L899" i="254" s="1"/>
  <c r="J899" i="254"/>
  <c r="J870" i="254"/>
  <c r="I870" i="254"/>
  <c r="Y345" i="254"/>
  <c r="Y394" i="254" s="1"/>
  <c r="X345" i="254"/>
  <c r="X394" i="254" s="1"/>
  <c r="W345" i="254"/>
  <c r="W394" i="254" s="1"/>
  <c r="V345" i="254"/>
  <c r="V394" i="254" s="1"/>
  <c r="U345" i="254"/>
  <c r="U394" i="254" s="1"/>
  <c r="I777" i="254"/>
  <c r="I826" i="254"/>
  <c r="K826" i="254" s="1"/>
  <c r="L826" i="254" s="1"/>
  <c r="I727" i="254"/>
  <c r="L825" i="254"/>
  <c r="I748" i="254"/>
  <c r="I788" i="254"/>
  <c r="I780" i="254"/>
  <c r="I730" i="254"/>
  <c r="I723" i="254"/>
  <c r="J771" i="254"/>
  <c r="I781" i="254"/>
  <c r="J810" i="254"/>
  <c r="J785" i="254"/>
  <c r="I763" i="254"/>
  <c r="I615" i="254"/>
  <c r="I744" i="254"/>
  <c r="J779" i="254"/>
  <c r="J761" i="254"/>
  <c r="I784" i="254"/>
  <c r="J786" i="254"/>
  <c r="I768" i="254"/>
  <c r="I795" i="254"/>
  <c r="I753" i="254"/>
  <c r="J769" i="254"/>
  <c r="L854" i="254"/>
  <c r="I803" i="254"/>
  <c r="I759" i="254"/>
  <c r="I749" i="254"/>
  <c r="J843" i="254"/>
  <c r="I843" i="254"/>
  <c r="K843" i="254" s="1"/>
  <c r="L843" i="254" s="1"/>
  <c r="J857" i="254"/>
  <c r="I857" i="254"/>
  <c r="J850" i="254"/>
  <c r="I850" i="254"/>
  <c r="J842" i="254"/>
  <c r="I842" i="254"/>
  <c r="J834" i="254"/>
  <c r="I834" i="254"/>
  <c r="K834" i="254" s="1"/>
  <c r="L834" i="254" s="1"/>
  <c r="J835" i="254"/>
  <c r="I835" i="254"/>
  <c r="I806" i="254"/>
  <c r="I794" i="254"/>
  <c r="I823" i="254"/>
  <c r="K823" i="254" s="1"/>
  <c r="I822" i="254"/>
  <c r="K822" i="254" s="1"/>
  <c r="L822" i="254" s="1"/>
  <c r="J822" i="254"/>
  <c r="J849" i="254"/>
  <c r="I849" i="254"/>
  <c r="J841" i="254"/>
  <c r="I841" i="254"/>
  <c r="K841" i="254" s="1"/>
  <c r="L841" i="254" s="1"/>
  <c r="J833" i="254"/>
  <c r="I833" i="254"/>
  <c r="K833" i="254" s="1"/>
  <c r="L833" i="254" s="1"/>
  <c r="J827" i="254"/>
  <c r="I827" i="254"/>
  <c r="I793" i="254"/>
  <c r="I820" i="254"/>
  <c r="K820" i="254" s="1"/>
  <c r="L820" i="254" s="1"/>
  <c r="J848" i="254"/>
  <c r="I848" i="254"/>
  <c r="K848" i="254" s="1"/>
  <c r="L848" i="254" s="1"/>
  <c r="J840" i="254"/>
  <c r="I840" i="254"/>
  <c r="K840" i="254" s="1"/>
  <c r="L840" i="254" s="1"/>
  <c r="J832" i="254"/>
  <c r="I832" i="254"/>
  <c r="J719" i="254"/>
  <c r="I818" i="254"/>
  <c r="K818" i="254" s="1"/>
  <c r="L818" i="254" s="1"/>
  <c r="J818" i="254"/>
  <c r="J821" i="254"/>
  <c r="I821" i="254"/>
  <c r="J847" i="254"/>
  <c r="I847" i="254"/>
  <c r="J839" i="254"/>
  <c r="I839" i="254"/>
  <c r="K839" i="254" s="1"/>
  <c r="L839" i="254" s="1"/>
  <c r="J831" i="254"/>
  <c r="I831" i="254"/>
  <c r="J846" i="254"/>
  <c r="I846" i="254"/>
  <c r="J838" i="254"/>
  <c r="I838" i="254"/>
  <c r="J830" i="254"/>
  <c r="I830" i="254"/>
  <c r="K830" i="254" s="1"/>
  <c r="L830" i="254" s="1"/>
  <c r="I764" i="254"/>
  <c r="J766" i="254"/>
  <c r="I773" i="254"/>
  <c r="J845" i="254"/>
  <c r="I845" i="254"/>
  <c r="K845" i="254" s="1"/>
  <c r="L845" i="254" s="1"/>
  <c r="J837" i="254"/>
  <c r="I837" i="254"/>
  <c r="J829" i="254"/>
  <c r="I829" i="254"/>
  <c r="I812" i="254"/>
  <c r="I796" i="254"/>
  <c r="J824" i="254"/>
  <c r="I824" i="254"/>
  <c r="K824" i="254" s="1"/>
  <c r="L824" i="254" s="1"/>
  <c r="J844" i="254"/>
  <c r="I844" i="254"/>
  <c r="J836" i="254"/>
  <c r="I836" i="254"/>
  <c r="J828" i="254"/>
  <c r="I828" i="254"/>
  <c r="K828" i="254" s="1"/>
  <c r="L828" i="254" s="1"/>
  <c r="J853" i="254"/>
  <c r="I853" i="254"/>
  <c r="K853" i="254" s="1"/>
  <c r="L853" i="254" s="1"/>
  <c r="J855" i="254"/>
  <c r="I855" i="254"/>
  <c r="I856" i="254"/>
  <c r="K856" i="254" s="1"/>
  <c r="L856" i="254" s="1"/>
  <c r="J856" i="254"/>
  <c r="J858" i="254"/>
  <c r="I858" i="254"/>
  <c r="K858" i="254" s="1"/>
  <c r="L858" i="254" s="1"/>
  <c r="I819" i="254"/>
  <c r="J819" i="254"/>
  <c r="I756" i="254"/>
  <c r="I722" i="254"/>
  <c r="J747" i="254"/>
  <c r="I776" i="254"/>
  <c r="J737" i="254"/>
  <c r="I728" i="254"/>
  <c r="I778" i="254"/>
  <c r="J772" i="254"/>
  <c r="I734" i="254"/>
  <c r="J741" i="254"/>
  <c r="I743" i="254"/>
  <c r="I718" i="254"/>
  <c r="I735" i="254"/>
  <c r="I755" i="254"/>
  <c r="I751" i="254"/>
  <c r="I782" i="254"/>
  <c r="I811" i="254"/>
  <c r="I754" i="254"/>
  <c r="J754" i="254"/>
  <c r="I770" i="254"/>
  <c r="J797" i="254"/>
  <c r="I797" i="254"/>
  <c r="I745" i="254"/>
  <c r="J774" i="254"/>
  <c r="I802" i="254"/>
  <c r="J787" i="254"/>
  <c r="I814" i="254"/>
  <c r="J805" i="254"/>
  <c r="I805" i="254"/>
  <c r="I798" i="254"/>
  <c r="I809" i="254"/>
  <c r="J813" i="254"/>
  <c r="I813" i="254"/>
  <c r="J804" i="254"/>
  <c r="I804" i="254"/>
  <c r="I789" i="254"/>
  <c r="J790" i="254"/>
  <c r="I790" i="254"/>
  <c r="J765" i="254"/>
  <c r="I765" i="254"/>
  <c r="J757" i="254"/>
  <c r="I757" i="254"/>
  <c r="J762" i="254"/>
  <c r="I762" i="254"/>
  <c r="I746" i="254"/>
  <c r="J746" i="254"/>
  <c r="I731" i="254"/>
  <c r="I729" i="254"/>
  <c r="J729" i="254"/>
  <c r="J738" i="254"/>
  <c r="I738" i="254"/>
  <c r="J726" i="254"/>
  <c r="I726" i="254"/>
  <c r="J736" i="254"/>
  <c r="I736" i="254"/>
  <c r="I720" i="254"/>
  <c r="I739" i="254"/>
  <c r="I721" i="254"/>
  <c r="J721" i="254"/>
  <c r="J800" i="254"/>
  <c r="I800" i="254"/>
  <c r="J792" i="254"/>
  <c r="I792" i="254"/>
  <c r="J815" i="254"/>
  <c r="I815" i="254"/>
  <c r="J808" i="254"/>
  <c r="I808" i="254"/>
  <c r="J791" i="254"/>
  <c r="I791" i="254"/>
  <c r="J799" i="254"/>
  <c r="I799" i="254"/>
  <c r="J807" i="254"/>
  <c r="I807" i="254"/>
  <c r="I767" i="254"/>
  <c r="J767" i="254"/>
  <c r="J783" i="254"/>
  <c r="I783" i="254"/>
  <c r="J775" i="254"/>
  <c r="I775" i="254"/>
  <c r="J742" i="254"/>
  <c r="I742" i="254"/>
  <c r="J758" i="254"/>
  <c r="I758" i="254"/>
  <c r="J760" i="254"/>
  <c r="I760" i="254"/>
  <c r="J750" i="254"/>
  <c r="I750" i="254"/>
  <c r="J752" i="254"/>
  <c r="I752" i="254"/>
  <c r="J716" i="254"/>
  <c r="I716" i="254"/>
  <c r="J732" i="254"/>
  <c r="I732" i="254"/>
  <c r="J733" i="254"/>
  <c r="I733" i="254"/>
  <c r="J725" i="254"/>
  <c r="I725" i="254"/>
  <c r="J724" i="254"/>
  <c r="I724" i="254"/>
  <c r="J717" i="254"/>
  <c r="I717" i="254"/>
  <c r="J740" i="254"/>
  <c r="I740" i="254"/>
  <c r="J620" i="254"/>
  <c r="I620" i="254"/>
  <c r="J628" i="254"/>
  <c r="I628" i="254"/>
  <c r="J636" i="254"/>
  <c r="I636" i="254"/>
  <c r="J644" i="254"/>
  <c r="I644" i="254"/>
  <c r="J652" i="254"/>
  <c r="I652" i="254"/>
  <c r="J660" i="254"/>
  <c r="I660" i="254"/>
  <c r="J668" i="254"/>
  <c r="I668" i="254"/>
  <c r="J676" i="254"/>
  <c r="I676" i="254"/>
  <c r="J684" i="254"/>
  <c r="I684" i="254"/>
  <c r="J692" i="254"/>
  <c r="I692" i="254"/>
  <c r="J700" i="254"/>
  <c r="I700" i="254"/>
  <c r="J608" i="254"/>
  <c r="I608" i="254"/>
  <c r="J600" i="254"/>
  <c r="I600" i="254"/>
  <c r="J592" i="254"/>
  <c r="I592" i="254"/>
  <c r="J584" i="254"/>
  <c r="I584" i="254"/>
  <c r="J576" i="254"/>
  <c r="I576" i="254"/>
  <c r="J621" i="254"/>
  <c r="I621" i="254"/>
  <c r="J629" i="254"/>
  <c r="I629" i="254"/>
  <c r="J637" i="254"/>
  <c r="I637" i="254"/>
  <c r="J645" i="254"/>
  <c r="I645" i="254"/>
  <c r="J653" i="254"/>
  <c r="I653" i="254"/>
  <c r="J661" i="254"/>
  <c r="I661" i="254"/>
  <c r="J669" i="254"/>
  <c r="I669" i="254"/>
  <c r="J677" i="254"/>
  <c r="I677" i="254"/>
  <c r="J685" i="254"/>
  <c r="I685" i="254"/>
  <c r="J693" i="254"/>
  <c r="I693" i="254"/>
  <c r="J607" i="254"/>
  <c r="I607" i="254"/>
  <c r="J599" i="254"/>
  <c r="I599" i="254"/>
  <c r="J591" i="254"/>
  <c r="I591" i="254"/>
  <c r="J583" i="254"/>
  <c r="I583" i="254"/>
  <c r="J575" i="254"/>
  <c r="I575" i="254"/>
  <c r="J622" i="254"/>
  <c r="I622" i="254"/>
  <c r="J630" i="254"/>
  <c r="I630" i="254"/>
  <c r="J638" i="254"/>
  <c r="I638" i="254"/>
  <c r="J646" i="254"/>
  <c r="I646" i="254"/>
  <c r="J654" i="254"/>
  <c r="I654" i="254"/>
  <c r="J662" i="254"/>
  <c r="I662" i="254"/>
  <c r="J670" i="254"/>
  <c r="I670" i="254"/>
  <c r="J678" i="254"/>
  <c r="I678" i="254"/>
  <c r="J686" i="254"/>
  <c r="I686" i="254"/>
  <c r="J694" i="254"/>
  <c r="I694" i="254"/>
  <c r="J614" i="254"/>
  <c r="I614" i="254"/>
  <c r="J606" i="254"/>
  <c r="I606" i="254"/>
  <c r="J598" i="254"/>
  <c r="I598" i="254"/>
  <c r="J590" i="254"/>
  <c r="I590" i="254"/>
  <c r="J582" i="254"/>
  <c r="I582" i="254"/>
  <c r="J574" i="254"/>
  <c r="I574" i="254"/>
  <c r="J623" i="254"/>
  <c r="I623" i="254"/>
  <c r="J631" i="254"/>
  <c r="I631" i="254"/>
  <c r="J639" i="254"/>
  <c r="I639" i="254"/>
  <c r="J647" i="254"/>
  <c r="I647" i="254"/>
  <c r="J655" i="254"/>
  <c r="I655" i="254"/>
  <c r="J663" i="254"/>
  <c r="I663" i="254"/>
  <c r="J671" i="254"/>
  <c r="I671" i="254"/>
  <c r="J679" i="254"/>
  <c r="I679" i="254"/>
  <c r="J687" i="254"/>
  <c r="I687" i="254"/>
  <c r="J695" i="254"/>
  <c r="I695" i="254"/>
  <c r="J613" i="254"/>
  <c r="I613" i="254"/>
  <c r="J605" i="254"/>
  <c r="I605" i="254"/>
  <c r="J597" i="254"/>
  <c r="I597" i="254"/>
  <c r="J589" i="254"/>
  <c r="I589" i="254"/>
  <c r="J581" i="254"/>
  <c r="I581" i="254"/>
  <c r="J573" i="254"/>
  <c r="I573" i="254"/>
  <c r="J616" i="254"/>
  <c r="I616" i="254"/>
  <c r="J624" i="254"/>
  <c r="I624" i="254"/>
  <c r="I632" i="254"/>
  <c r="J632" i="254"/>
  <c r="J640" i="254"/>
  <c r="I640" i="254"/>
  <c r="J648" i="254"/>
  <c r="I648" i="254"/>
  <c r="J656" i="254"/>
  <c r="I656" i="254"/>
  <c r="J664" i="254"/>
  <c r="I664" i="254"/>
  <c r="J672" i="254"/>
  <c r="I672" i="254"/>
  <c r="J680" i="254"/>
  <c r="I680" i="254"/>
  <c r="J688" i="254"/>
  <c r="I688" i="254"/>
  <c r="J696" i="254"/>
  <c r="I696" i="254"/>
  <c r="J612" i="254"/>
  <c r="I612" i="254"/>
  <c r="J604" i="254"/>
  <c r="I604" i="254"/>
  <c r="J596" i="254"/>
  <c r="I596" i="254"/>
  <c r="J588" i="254"/>
  <c r="I588" i="254"/>
  <c r="J580" i="254"/>
  <c r="I580" i="254"/>
  <c r="J572" i="254"/>
  <c r="I572" i="254"/>
  <c r="I617" i="254"/>
  <c r="J617" i="254"/>
  <c r="I625" i="254"/>
  <c r="J625" i="254"/>
  <c r="I633" i="254"/>
  <c r="J633" i="254"/>
  <c r="J641" i="254"/>
  <c r="I641" i="254"/>
  <c r="J649" i="254"/>
  <c r="I649" i="254"/>
  <c r="J657" i="254"/>
  <c r="I657" i="254"/>
  <c r="J665" i="254"/>
  <c r="I665" i="254"/>
  <c r="J673" i="254"/>
  <c r="I673" i="254"/>
  <c r="J681" i="254"/>
  <c r="I681" i="254"/>
  <c r="J689" i="254"/>
  <c r="I689" i="254"/>
  <c r="J697" i="254"/>
  <c r="I697" i="254"/>
  <c r="J611" i="254"/>
  <c r="I611" i="254"/>
  <c r="J603" i="254"/>
  <c r="I603" i="254"/>
  <c r="J595" i="254"/>
  <c r="I595" i="254"/>
  <c r="J587" i="254"/>
  <c r="I587" i="254"/>
  <c r="J579" i="254"/>
  <c r="I579" i="254"/>
  <c r="J571" i="254"/>
  <c r="I571" i="254"/>
  <c r="J618" i="254"/>
  <c r="I618" i="254"/>
  <c r="J626" i="254"/>
  <c r="I626" i="254"/>
  <c r="J634" i="254"/>
  <c r="I634" i="254"/>
  <c r="J642" i="254"/>
  <c r="I642" i="254"/>
  <c r="J650" i="254"/>
  <c r="I650" i="254"/>
  <c r="J658" i="254"/>
  <c r="I658" i="254"/>
  <c r="J666" i="254"/>
  <c r="I666" i="254"/>
  <c r="J674" i="254"/>
  <c r="I674" i="254"/>
  <c r="J682" i="254"/>
  <c r="I682" i="254"/>
  <c r="J690" i="254"/>
  <c r="I690" i="254"/>
  <c r="J698" i="254"/>
  <c r="I698" i="254"/>
  <c r="J610" i="254"/>
  <c r="I610" i="254"/>
  <c r="J602" i="254"/>
  <c r="I602" i="254"/>
  <c r="J594" i="254"/>
  <c r="I594" i="254"/>
  <c r="J586" i="254"/>
  <c r="I586" i="254"/>
  <c r="J578" i="254"/>
  <c r="I578" i="254"/>
  <c r="J619" i="254"/>
  <c r="I619" i="254"/>
  <c r="J627" i="254"/>
  <c r="I627" i="254"/>
  <c r="J635" i="254"/>
  <c r="I635" i="254"/>
  <c r="J643" i="254"/>
  <c r="I643" i="254"/>
  <c r="J651" i="254"/>
  <c r="I651" i="254"/>
  <c r="J659" i="254"/>
  <c r="I659" i="254"/>
  <c r="J667" i="254"/>
  <c r="I667" i="254"/>
  <c r="J675" i="254"/>
  <c r="I675" i="254"/>
  <c r="J683" i="254"/>
  <c r="I683" i="254"/>
  <c r="J691" i="254"/>
  <c r="I691" i="254"/>
  <c r="J699" i="254"/>
  <c r="I699" i="254"/>
  <c r="J609" i="254"/>
  <c r="I609" i="254"/>
  <c r="J601" i="254"/>
  <c r="I601" i="254"/>
  <c r="J593" i="254"/>
  <c r="I593" i="254"/>
  <c r="J585" i="254"/>
  <c r="I585" i="254"/>
  <c r="J577" i="254"/>
  <c r="I577" i="254"/>
  <c r="I491" i="254"/>
  <c r="J491" i="254"/>
  <c r="I483" i="254"/>
  <c r="J483" i="254"/>
  <c r="I475" i="254"/>
  <c r="J475" i="254"/>
  <c r="I467" i="254"/>
  <c r="J467" i="254"/>
  <c r="I459" i="254"/>
  <c r="J459" i="254"/>
  <c r="J499" i="254"/>
  <c r="I499" i="254"/>
  <c r="J507" i="254"/>
  <c r="I507" i="254"/>
  <c r="J515" i="254"/>
  <c r="I515" i="254"/>
  <c r="J523" i="254"/>
  <c r="I523" i="254"/>
  <c r="J531" i="254"/>
  <c r="I531" i="254"/>
  <c r="J539" i="254"/>
  <c r="I539" i="254"/>
  <c r="J547" i="254"/>
  <c r="I547" i="254"/>
  <c r="J555" i="254"/>
  <c r="I555" i="254"/>
  <c r="J563" i="254"/>
  <c r="I563" i="254"/>
  <c r="J701" i="254"/>
  <c r="I701" i="254"/>
  <c r="J709" i="254"/>
  <c r="I709" i="254"/>
  <c r="I476" i="254"/>
  <c r="J476" i="254"/>
  <c r="I460" i="254"/>
  <c r="J460" i="254"/>
  <c r="I498" i="254"/>
  <c r="J498" i="254"/>
  <c r="J514" i="254"/>
  <c r="I514" i="254"/>
  <c r="J530" i="254"/>
  <c r="I530" i="254"/>
  <c r="J546" i="254"/>
  <c r="I546" i="254"/>
  <c r="J562" i="254"/>
  <c r="I562" i="254"/>
  <c r="J708" i="254"/>
  <c r="I708" i="254"/>
  <c r="I490" i="254"/>
  <c r="J490" i="254"/>
  <c r="I482" i="254"/>
  <c r="J482" i="254"/>
  <c r="I474" i="254"/>
  <c r="J474" i="254"/>
  <c r="I466" i="254"/>
  <c r="J466" i="254"/>
  <c r="I458" i="254"/>
  <c r="J458" i="254"/>
  <c r="J500" i="254"/>
  <c r="I500" i="254"/>
  <c r="J508" i="254"/>
  <c r="I508" i="254"/>
  <c r="J516" i="254"/>
  <c r="I516" i="254"/>
  <c r="J524" i="254"/>
  <c r="I524" i="254"/>
  <c r="J532" i="254"/>
  <c r="I532" i="254"/>
  <c r="J540" i="254"/>
  <c r="I540" i="254"/>
  <c r="J548" i="254"/>
  <c r="I548" i="254"/>
  <c r="J556" i="254"/>
  <c r="I556" i="254"/>
  <c r="J564" i="254"/>
  <c r="I564" i="254"/>
  <c r="J702" i="254"/>
  <c r="I702" i="254"/>
  <c r="J710" i="254"/>
  <c r="I710" i="254"/>
  <c r="I484" i="254"/>
  <c r="J484" i="254"/>
  <c r="I468" i="254"/>
  <c r="J468" i="254"/>
  <c r="I506" i="254"/>
  <c r="J506" i="254"/>
  <c r="J522" i="254"/>
  <c r="I522" i="254"/>
  <c r="J538" i="254"/>
  <c r="I538" i="254"/>
  <c r="J554" i="254"/>
  <c r="I554" i="254"/>
  <c r="J570" i="254"/>
  <c r="I570" i="254"/>
  <c r="I489" i="254"/>
  <c r="J489" i="254"/>
  <c r="I481" i="254"/>
  <c r="J481" i="254"/>
  <c r="I473" i="254"/>
  <c r="J473" i="254"/>
  <c r="I465" i="254"/>
  <c r="J465" i="254"/>
  <c r="I457" i="254"/>
  <c r="J457" i="254"/>
  <c r="I501" i="254"/>
  <c r="J501" i="254"/>
  <c r="J509" i="254"/>
  <c r="I509" i="254"/>
  <c r="J517" i="254"/>
  <c r="I517" i="254"/>
  <c r="J525" i="254"/>
  <c r="I525" i="254"/>
  <c r="J533" i="254"/>
  <c r="I533" i="254"/>
  <c r="J541" i="254"/>
  <c r="I541" i="254"/>
  <c r="J549" i="254"/>
  <c r="I549" i="254"/>
  <c r="J557" i="254"/>
  <c r="I557" i="254"/>
  <c r="J565" i="254"/>
  <c r="I565" i="254"/>
  <c r="I703" i="254"/>
  <c r="J703" i="254"/>
  <c r="I711" i="254"/>
  <c r="J711" i="254"/>
  <c r="I492" i="254"/>
  <c r="J492" i="254"/>
  <c r="I488" i="254"/>
  <c r="J488" i="254"/>
  <c r="I480" i="254"/>
  <c r="J480" i="254"/>
  <c r="I472" i="254"/>
  <c r="J472" i="254"/>
  <c r="I464" i="254"/>
  <c r="J464" i="254"/>
  <c r="I456" i="254"/>
  <c r="J456" i="254"/>
  <c r="I502" i="254"/>
  <c r="J502" i="254"/>
  <c r="J510" i="254"/>
  <c r="I510" i="254"/>
  <c r="J518" i="254"/>
  <c r="I518" i="254"/>
  <c r="J526" i="254"/>
  <c r="I526" i="254"/>
  <c r="J534" i="254"/>
  <c r="I534" i="254"/>
  <c r="J542" i="254"/>
  <c r="I542" i="254"/>
  <c r="J550" i="254"/>
  <c r="I550" i="254"/>
  <c r="J558" i="254"/>
  <c r="I558" i="254"/>
  <c r="J566" i="254"/>
  <c r="I566" i="254"/>
  <c r="J704" i="254"/>
  <c r="I704" i="254"/>
  <c r="J712" i="254"/>
  <c r="I712" i="254"/>
  <c r="I487" i="254"/>
  <c r="J487" i="254"/>
  <c r="I479" i="254"/>
  <c r="J479" i="254"/>
  <c r="I471" i="254"/>
  <c r="J471" i="254"/>
  <c r="I463" i="254"/>
  <c r="J463" i="254"/>
  <c r="I455" i="254"/>
  <c r="J455" i="254"/>
  <c r="J495" i="254"/>
  <c r="I495" i="254"/>
  <c r="J503" i="254"/>
  <c r="I503" i="254"/>
  <c r="J511" i="254"/>
  <c r="I511" i="254"/>
  <c r="J519" i="254"/>
  <c r="I519" i="254"/>
  <c r="J527" i="254"/>
  <c r="I527" i="254"/>
  <c r="J535" i="254"/>
  <c r="I535" i="254"/>
  <c r="J543" i="254"/>
  <c r="I543" i="254"/>
  <c r="J551" i="254"/>
  <c r="I551" i="254"/>
  <c r="J559" i="254"/>
  <c r="I559" i="254"/>
  <c r="J567" i="254"/>
  <c r="I567" i="254"/>
  <c r="I705" i="254"/>
  <c r="J705" i="254"/>
  <c r="I713" i="254"/>
  <c r="J713" i="254"/>
  <c r="I494" i="254"/>
  <c r="J494" i="254"/>
  <c r="I486" i="254"/>
  <c r="J486" i="254"/>
  <c r="I478" i="254"/>
  <c r="J478" i="254"/>
  <c r="I470" i="254"/>
  <c r="J470" i="254"/>
  <c r="I462" i="254"/>
  <c r="J462" i="254"/>
  <c r="I454" i="254"/>
  <c r="J454" i="254"/>
  <c r="J496" i="254"/>
  <c r="I496" i="254"/>
  <c r="J504" i="254"/>
  <c r="I504" i="254"/>
  <c r="J512" i="254"/>
  <c r="I512" i="254"/>
  <c r="J520" i="254"/>
  <c r="I520" i="254"/>
  <c r="J528" i="254"/>
  <c r="I528" i="254"/>
  <c r="J536" i="254"/>
  <c r="I536" i="254"/>
  <c r="J544" i="254"/>
  <c r="I544" i="254"/>
  <c r="J552" i="254"/>
  <c r="I552" i="254"/>
  <c r="J560" i="254"/>
  <c r="I560" i="254"/>
  <c r="J568" i="254"/>
  <c r="I568" i="254"/>
  <c r="J706" i="254"/>
  <c r="I706" i="254"/>
  <c r="J714" i="254"/>
  <c r="I714" i="254"/>
  <c r="I493" i="254"/>
  <c r="J493" i="254"/>
  <c r="I485" i="254"/>
  <c r="J485" i="254"/>
  <c r="I477" i="254"/>
  <c r="J477" i="254"/>
  <c r="I469" i="254"/>
  <c r="J469" i="254"/>
  <c r="I461" i="254"/>
  <c r="J461" i="254"/>
  <c r="I453" i="254"/>
  <c r="J453" i="254"/>
  <c r="I497" i="254"/>
  <c r="J497" i="254"/>
  <c r="J505" i="254"/>
  <c r="I505" i="254"/>
  <c r="J513" i="254"/>
  <c r="I513" i="254"/>
  <c r="J521" i="254"/>
  <c r="I521" i="254"/>
  <c r="J529" i="254"/>
  <c r="I529" i="254"/>
  <c r="J537" i="254"/>
  <c r="I537" i="254"/>
  <c r="J545" i="254"/>
  <c r="I545" i="254"/>
  <c r="J553" i="254"/>
  <c r="I553" i="254"/>
  <c r="J561" i="254"/>
  <c r="I561" i="254"/>
  <c r="J569" i="254"/>
  <c r="I569" i="254"/>
  <c r="J707" i="254"/>
  <c r="I707" i="254"/>
  <c r="J715" i="254"/>
  <c r="I715" i="254"/>
  <c r="H195" i="254"/>
  <c r="H203" i="254"/>
  <c r="H211" i="254"/>
  <c r="H219" i="254"/>
  <c r="H227" i="254"/>
  <c r="J227" i="254" s="1"/>
  <c r="H235" i="254"/>
  <c r="J235" i="254" s="1"/>
  <c r="H243" i="254"/>
  <c r="H251" i="254"/>
  <c r="H256" i="254"/>
  <c r="H196" i="254"/>
  <c r="H204" i="254"/>
  <c r="H212" i="254"/>
  <c r="J212" i="254" s="1"/>
  <c r="H220" i="254"/>
  <c r="H228" i="254"/>
  <c r="H236" i="254"/>
  <c r="H244" i="254"/>
  <c r="J244" i="254" s="1"/>
  <c r="H252" i="254"/>
  <c r="H258" i="254"/>
  <c r="H198" i="254"/>
  <c r="H206" i="254"/>
  <c r="J206" i="254" s="1"/>
  <c r="H214" i="254"/>
  <c r="H259" i="254"/>
  <c r="H199" i="254"/>
  <c r="J199" i="254" s="1"/>
  <c r="H207" i="254"/>
  <c r="H215" i="254"/>
  <c r="H223" i="254"/>
  <c r="H231" i="254"/>
  <c r="H239" i="254"/>
  <c r="H247" i="254"/>
  <c r="H255" i="254"/>
  <c r="H192" i="254"/>
  <c r="J192" i="254" s="1"/>
  <c r="H200" i="254"/>
  <c r="H208" i="254"/>
  <c r="H216" i="254"/>
  <c r="H224" i="254"/>
  <c r="H232" i="254"/>
  <c r="H240" i="254"/>
  <c r="H248" i="254"/>
  <c r="H191" i="254"/>
  <c r="J191" i="254" s="1"/>
  <c r="H193" i="254"/>
  <c r="H201" i="254"/>
  <c r="H209" i="254"/>
  <c r="H217" i="254"/>
  <c r="H225" i="254"/>
  <c r="H233" i="254"/>
  <c r="H241" i="254"/>
  <c r="H249" i="254"/>
  <c r="H194" i="254"/>
  <c r="H202" i="254"/>
  <c r="H210" i="254"/>
  <c r="H218" i="254"/>
  <c r="H226" i="254"/>
  <c r="H234" i="254"/>
  <c r="H242" i="254"/>
  <c r="H250" i="254"/>
  <c r="J250" i="254" s="1"/>
  <c r="H230" i="254"/>
  <c r="H257" i="254"/>
  <c r="H237" i="254"/>
  <c r="H197" i="254"/>
  <c r="H238" i="254"/>
  <c r="H205" i="254"/>
  <c r="H245" i="254"/>
  <c r="H213" i="254"/>
  <c r="H246" i="254"/>
  <c r="H221" i="254"/>
  <c r="J221" i="254" s="1"/>
  <c r="H253" i="254"/>
  <c r="H222" i="254"/>
  <c r="H254" i="254"/>
  <c r="H229" i="254"/>
  <c r="O44" i="254"/>
  <c r="O41" i="254"/>
  <c r="O37" i="254"/>
  <c r="O45" i="254"/>
  <c r="O48" i="254"/>
  <c r="O38" i="254"/>
  <c r="O46" i="254"/>
  <c r="O39" i="254"/>
  <c r="O47" i="254"/>
  <c r="O40" i="254"/>
  <c r="O42" i="254"/>
  <c r="O43" i="254"/>
  <c r="O36" i="254"/>
  <c r="P90" i="254"/>
  <c r="P94" i="254"/>
  <c r="P98" i="254"/>
  <c r="P102" i="254"/>
  <c r="P106" i="254"/>
  <c r="P89" i="254"/>
  <c r="P91" i="254"/>
  <c r="P95" i="254"/>
  <c r="P99" i="254"/>
  <c r="P103" i="254"/>
  <c r="P92" i="254"/>
  <c r="P96" i="254"/>
  <c r="P100" i="254"/>
  <c r="P104" i="254"/>
  <c r="P93" i="254"/>
  <c r="P97" i="254"/>
  <c r="P101" i="254"/>
  <c r="P105" i="254"/>
  <c r="O265" i="254"/>
  <c r="O270" i="254"/>
  <c r="O266" i="254"/>
  <c r="O271" i="254"/>
  <c r="O275" i="254"/>
  <c r="O279" i="254"/>
  <c r="O283" i="254"/>
  <c r="O287" i="254"/>
  <c r="O291" i="254"/>
  <c r="O295" i="254"/>
  <c r="O299" i="254"/>
  <c r="O303" i="254"/>
  <c r="O307" i="254"/>
  <c r="O311" i="254"/>
  <c r="O315" i="254"/>
  <c r="O319" i="254"/>
  <c r="O323" i="254"/>
  <c r="O327" i="254"/>
  <c r="O331" i="254"/>
  <c r="O335" i="254"/>
  <c r="O339" i="254"/>
  <c r="O343" i="254"/>
  <c r="O267" i="254"/>
  <c r="O272" i="254"/>
  <c r="O276" i="254"/>
  <c r="O280" i="254"/>
  <c r="O284" i="254"/>
  <c r="O288" i="254"/>
  <c r="O292" i="254"/>
  <c r="O296" i="254"/>
  <c r="O300" i="254"/>
  <c r="O304" i="254"/>
  <c r="O308" i="254"/>
  <c r="O312" i="254"/>
  <c r="O316" i="254"/>
  <c r="O320" i="254"/>
  <c r="O324" i="254"/>
  <c r="O328" i="254"/>
  <c r="O332" i="254"/>
  <c r="O336" i="254"/>
  <c r="O340" i="254"/>
  <c r="O263" i="254"/>
  <c r="O268" i="254"/>
  <c r="O262" i="254"/>
  <c r="O273" i="254"/>
  <c r="O277" i="254"/>
  <c r="O281" i="254"/>
  <c r="O285" i="254"/>
  <c r="O289" i="254"/>
  <c r="O293" i="254"/>
  <c r="O297" i="254"/>
  <c r="O301" i="254"/>
  <c r="O305" i="254"/>
  <c r="O309" i="254"/>
  <c r="O313" i="254"/>
  <c r="O317" i="254"/>
  <c r="O321" i="254"/>
  <c r="O325" i="254"/>
  <c r="O329" i="254"/>
  <c r="O333" i="254"/>
  <c r="O337" i="254"/>
  <c r="O341" i="254"/>
  <c r="O264" i="254"/>
  <c r="O269" i="254"/>
  <c r="O274" i="254"/>
  <c r="O278" i="254"/>
  <c r="O282" i="254"/>
  <c r="O286" i="254"/>
  <c r="O290" i="254"/>
  <c r="O294" i="254"/>
  <c r="O298" i="254"/>
  <c r="O302" i="254"/>
  <c r="O306" i="254"/>
  <c r="O310" i="254"/>
  <c r="O314" i="254"/>
  <c r="O318" i="254"/>
  <c r="O322" i="254"/>
  <c r="O326" i="254"/>
  <c r="O330" i="254"/>
  <c r="O334" i="254"/>
  <c r="O338" i="254"/>
  <c r="O342" i="254"/>
  <c r="J449" i="254"/>
  <c r="I449" i="254"/>
  <c r="J441" i="254"/>
  <c r="I441" i="254"/>
  <c r="J433" i="254"/>
  <c r="I433" i="254"/>
  <c r="J425" i="254"/>
  <c r="I425" i="254"/>
  <c r="O191" i="254"/>
  <c r="O193" i="254"/>
  <c r="O197" i="254"/>
  <c r="O201" i="254"/>
  <c r="O205" i="254"/>
  <c r="O209" i="254"/>
  <c r="O213" i="254"/>
  <c r="O217" i="254"/>
  <c r="O221" i="254"/>
  <c r="O225" i="254"/>
  <c r="O229" i="254"/>
  <c r="O233" i="254"/>
  <c r="O237" i="254"/>
  <c r="O241" i="254"/>
  <c r="O245" i="254"/>
  <c r="O249" i="254"/>
  <c r="O253" i="254"/>
  <c r="O257" i="254"/>
  <c r="O194" i="254"/>
  <c r="O198" i="254"/>
  <c r="O202" i="254"/>
  <c r="O206" i="254"/>
  <c r="O210" i="254"/>
  <c r="O214" i="254"/>
  <c r="O218" i="254"/>
  <c r="O222" i="254"/>
  <c r="O226" i="254"/>
  <c r="O230" i="254"/>
  <c r="O234" i="254"/>
  <c r="O238" i="254"/>
  <c r="O242" i="254"/>
  <c r="O246" i="254"/>
  <c r="O250" i="254"/>
  <c r="O254" i="254"/>
  <c r="O258" i="254"/>
  <c r="O195" i="254"/>
  <c r="O199" i="254"/>
  <c r="O203" i="254"/>
  <c r="O207" i="254"/>
  <c r="O211" i="254"/>
  <c r="O215" i="254"/>
  <c r="O219" i="254"/>
  <c r="O223" i="254"/>
  <c r="O227" i="254"/>
  <c r="O231" i="254"/>
  <c r="O235" i="254"/>
  <c r="O239" i="254"/>
  <c r="O243" i="254"/>
  <c r="O247" i="254"/>
  <c r="O251" i="254"/>
  <c r="O255" i="254"/>
  <c r="O259" i="254"/>
  <c r="O192" i="254"/>
  <c r="O196" i="254"/>
  <c r="O200" i="254"/>
  <c r="O204" i="254"/>
  <c r="O208" i="254"/>
  <c r="O212" i="254"/>
  <c r="O216" i="254"/>
  <c r="O220" i="254"/>
  <c r="O224" i="254"/>
  <c r="O228" i="254"/>
  <c r="O232" i="254"/>
  <c r="O236" i="254"/>
  <c r="O240" i="254"/>
  <c r="O244" i="254"/>
  <c r="O248" i="254"/>
  <c r="O252" i="254"/>
  <c r="O256" i="254"/>
  <c r="P40" i="254"/>
  <c r="P48" i="254"/>
  <c r="P41" i="254"/>
  <c r="P42" i="254"/>
  <c r="P43" i="254"/>
  <c r="P44" i="254"/>
  <c r="P36" i="254"/>
  <c r="P37" i="254"/>
  <c r="P45" i="254"/>
  <c r="P38" i="254"/>
  <c r="P46" i="254"/>
  <c r="P39" i="254"/>
  <c r="P47" i="254"/>
  <c r="P65" i="254"/>
  <c r="P73" i="254"/>
  <c r="P81" i="254"/>
  <c r="P66" i="254"/>
  <c r="P74" i="254"/>
  <c r="P82" i="254"/>
  <c r="P67" i="254"/>
  <c r="P75" i="254"/>
  <c r="P83" i="254"/>
  <c r="P68" i="254"/>
  <c r="P76" i="254"/>
  <c r="P84" i="254"/>
  <c r="P69" i="254"/>
  <c r="P77" i="254"/>
  <c r="P85" i="254"/>
  <c r="P70" i="254"/>
  <c r="P78" i="254"/>
  <c r="P86" i="254"/>
  <c r="P71" i="254"/>
  <c r="P79" i="254"/>
  <c r="P64" i="254"/>
  <c r="P72" i="254"/>
  <c r="P80" i="254"/>
  <c r="P350" i="254"/>
  <c r="P354" i="254"/>
  <c r="P358" i="254"/>
  <c r="P362" i="254"/>
  <c r="P366" i="254"/>
  <c r="P370" i="254"/>
  <c r="P374" i="254"/>
  <c r="P378" i="254"/>
  <c r="P382" i="254"/>
  <c r="P386" i="254"/>
  <c r="P390" i="254"/>
  <c r="P347" i="254"/>
  <c r="P351" i="254"/>
  <c r="P355" i="254"/>
  <c r="P359" i="254"/>
  <c r="P363" i="254"/>
  <c r="P367" i="254"/>
  <c r="P371" i="254"/>
  <c r="P375" i="254"/>
  <c r="P379" i="254"/>
  <c r="P383" i="254"/>
  <c r="P387" i="254"/>
  <c r="P391" i="254"/>
  <c r="P348" i="254"/>
  <c r="P352" i="254"/>
  <c r="P356" i="254"/>
  <c r="P360" i="254"/>
  <c r="P346" i="254"/>
  <c r="P349" i="254"/>
  <c r="P353" i="254"/>
  <c r="P357" i="254"/>
  <c r="P361" i="254"/>
  <c r="P365" i="254"/>
  <c r="P369" i="254"/>
  <c r="P373" i="254"/>
  <c r="P368" i="254"/>
  <c r="P381" i="254"/>
  <c r="P372" i="254"/>
  <c r="P384" i="254"/>
  <c r="P392" i="254"/>
  <c r="P385" i="254"/>
  <c r="P376" i="254"/>
  <c r="P377" i="254"/>
  <c r="P364" i="254"/>
  <c r="P388" i="254"/>
  <c r="P380" i="254"/>
  <c r="P389" i="254"/>
  <c r="J448" i="254"/>
  <c r="I448" i="254"/>
  <c r="J440" i="254"/>
  <c r="I440" i="254"/>
  <c r="J432" i="254"/>
  <c r="I432" i="254"/>
  <c r="J424" i="254"/>
  <c r="I424" i="254"/>
  <c r="H266" i="254"/>
  <c r="H274" i="254"/>
  <c r="H282" i="254"/>
  <c r="H290" i="254"/>
  <c r="H298" i="254"/>
  <c r="J298" i="254" s="1"/>
  <c r="H306" i="254"/>
  <c r="H314" i="254"/>
  <c r="H322" i="254"/>
  <c r="H330" i="254"/>
  <c r="H338" i="254"/>
  <c r="H267" i="254"/>
  <c r="H275" i="254"/>
  <c r="H283" i="254"/>
  <c r="H291" i="254"/>
  <c r="H299" i="254"/>
  <c r="H307" i="254"/>
  <c r="J307" i="254" s="1"/>
  <c r="H315" i="254"/>
  <c r="H323" i="254"/>
  <c r="H331" i="254"/>
  <c r="H339" i="254"/>
  <c r="H268" i="254"/>
  <c r="H276" i="254"/>
  <c r="J276" i="254" s="1"/>
  <c r="H284" i="254"/>
  <c r="H292" i="254"/>
  <c r="J292" i="254" s="1"/>
  <c r="H300" i="254"/>
  <c r="H308" i="254"/>
  <c r="J308" i="254" s="1"/>
  <c r="H316" i="254"/>
  <c r="H324" i="254"/>
  <c r="H332" i="254"/>
  <c r="H269" i="254"/>
  <c r="H277" i="254"/>
  <c r="H285" i="254"/>
  <c r="J285" i="254" s="1"/>
  <c r="H293" i="254"/>
  <c r="H301" i="254"/>
  <c r="H309" i="254"/>
  <c r="H317" i="254"/>
  <c r="J317" i="254" s="1"/>
  <c r="H325" i="254"/>
  <c r="H333" i="254"/>
  <c r="H341" i="254"/>
  <c r="J341" i="254" s="1"/>
  <c r="H270" i="254"/>
  <c r="H278" i="254"/>
  <c r="H286" i="254"/>
  <c r="H294" i="254"/>
  <c r="H302" i="254"/>
  <c r="H310" i="254"/>
  <c r="H318" i="254"/>
  <c r="H326" i="254"/>
  <c r="H334" i="254"/>
  <c r="H342" i="254"/>
  <c r="I342" i="254" s="1"/>
  <c r="H263" i="254"/>
  <c r="J263" i="254" s="1"/>
  <c r="H271" i="254"/>
  <c r="H279" i="254"/>
  <c r="J279" i="254" s="1"/>
  <c r="H287" i="254"/>
  <c r="H295" i="254"/>
  <c r="H303" i="254"/>
  <c r="H311" i="254"/>
  <c r="H319" i="254"/>
  <c r="H327" i="254"/>
  <c r="H335" i="254"/>
  <c r="H343" i="254"/>
  <c r="J343" i="254" s="1"/>
  <c r="H264" i="254"/>
  <c r="J264" i="254" s="1"/>
  <c r="H272" i="254"/>
  <c r="H280" i="254"/>
  <c r="H288" i="254"/>
  <c r="H296" i="254"/>
  <c r="J296" i="254" s="1"/>
  <c r="H304" i="254"/>
  <c r="H312" i="254"/>
  <c r="H320" i="254"/>
  <c r="H328" i="254"/>
  <c r="H336" i="254"/>
  <c r="H262" i="254"/>
  <c r="J262" i="254" s="1"/>
  <c r="H265" i="254"/>
  <c r="H273" i="254"/>
  <c r="H281" i="254"/>
  <c r="H289" i="254"/>
  <c r="H297" i="254"/>
  <c r="H305" i="254"/>
  <c r="H313" i="254"/>
  <c r="H321" i="254"/>
  <c r="H329" i="254"/>
  <c r="H337" i="254"/>
  <c r="H340" i="254"/>
  <c r="J340" i="254" s="1"/>
  <c r="O54" i="254"/>
  <c r="O51" i="254"/>
  <c r="O55" i="254"/>
  <c r="O56" i="254"/>
  <c r="O57" i="254"/>
  <c r="O58" i="254"/>
  <c r="O59" i="254"/>
  <c r="O52" i="254"/>
  <c r="O60" i="254"/>
  <c r="O53" i="254"/>
  <c r="O61" i="254"/>
  <c r="H348" i="254"/>
  <c r="J348" i="254" s="1"/>
  <c r="H356" i="254"/>
  <c r="H350" i="254"/>
  <c r="I350" i="254" s="1"/>
  <c r="H351" i="254"/>
  <c r="J351" i="254" s="1"/>
  <c r="H359" i="254"/>
  <c r="H367" i="254"/>
  <c r="H375" i="254"/>
  <c r="H383" i="254"/>
  <c r="H391" i="254"/>
  <c r="H353" i="254"/>
  <c r="J353" i="254" s="1"/>
  <c r="H361" i="254"/>
  <c r="H369" i="254"/>
  <c r="H377" i="254"/>
  <c r="H385" i="254"/>
  <c r="H346" i="254"/>
  <c r="H355" i="254"/>
  <c r="I355" i="254" s="1"/>
  <c r="H366" i="254"/>
  <c r="H378" i="254"/>
  <c r="H388" i="254"/>
  <c r="H357" i="254"/>
  <c r="H368" i="254"/>
  <c r="H379" i="254"/>
  <c r="H389" i="254"/>
  <c r="H358" i="254"/>
  <c r="H370" i="254"/>
  <c r="H380" i="254"/>
  <c r="H390" i="254"/>
  <c r="H360" i="254"/>
  <c r="H371" i="254"/>
  <c r="H381" i="254"/>
  <c r="H392" i="254"/>
  <c r="J392" i="254" s="1"/>
  <c r="H347" i="254"/>
  <c r="J347" i="254" s="1"/>
  <c r="H362" i="254"/>
  <c r="H372" i="254"/>
  <c r="H382" i="254"/>
  <c r="H349" i="254"/>
  <c r="J349" i="254" s="1"/>
  <c r="H363" i="254"/>
  <c r="H373" i="254"/>
  <c r="H384" i="254"/>
  <c r="H352" i="254"/>
  <c r="I352" i="254" s="1"/>
  <c r="H364" i="254"/>
  <c r="H374" i="254"/>
  <c r="H386" i="254"/>
  <c r="H354" i="254"/>
  <c r="J354" i="254" s="1"/>
  <c r="H365" i="254"/>
  <c r="H376" i="254"/>
  <c r="H387" i="254"/>
  <c r="J447" i="254"/>
  <c r="I447" i="254"/>
  <c r="J439" i="254"/>
  <c r="I439" i="254"/>
  <c r="J431" i="254"/>
  <c r="I431" i="254"/>
  <c r="J423" i="254"/>
  <c r="I423" i="254"/>
  <c r="P56" i="254"/>
  <c r="P57" i="254"/>
  <c r="P58" i="254"/>
  <c r="P51" i="254"/>
  <c r="P59" i="254"/>
  <c r="P52" i="254"/>
  <c r="P60" i="254"/>
  <c r="P53" i="254"/>
  <c r="P61" i="254"/>
  <c r="P54" i="254"/>
  <c r="P55" i="254"/>
  <c r="O67" i="254"/>
  <c r="O76" i="254"/>
  <c r="O84" i="254"/>
  <c r="O68" i="254"/>
  <c r="O77" i="254"/>
  <c r="O85" i="254"/>
  <c r="O69" i="254"/>
  <c r="O78" i="254"/>
  <c r="O86" i="254"/>
  <c r="O71" i="254"/>
  <c r="O79" i="254"/>
  <c r="O64" i="254"/>
  <c r="O72" i="254"/>
  <c r="O80" i="254"/>
  <c r="O73" i="254"/>
  <c r="O81" i="254"/>
  <c r="O70" i="254"/>
  <c r="O65" i="254"/>
  <c r="O74" i="254"/>
  <c r="O82" i="254"/>
  <c r="O66" i="254"/>
  <c r="O75" i="254"/>
  <c r="O83" i="254"/>
  <c r="P111" i="254"/>
  <c r="P115" i="254"/>
  <c r="P119" i="254"/>
  <c r="P123" i="254"/>
  <c r="P127" i="254"/>
  <c r="P131" i="254"/>
  <c r="P135" i="254"/>
  <c r="P139" i="254"/>
  <c r="P143" i="254"/>
  <c r="P147" i="254"/>
  <c r="P151" i="254"/>
  <c r="P155" i="254"/>
  <c r="P159" i="254"/>
  <c r="P163" i="254"/>
  <c r="P167" i="254"/>
  <c r="P171" i="254"/>
  <c r="P109" i="254"/>
  <c r="P113" i="254"/>
  <c r="P117" i="254"/>
  <c r="P121" i="254"/>
  <c r="P125" i="254"/>
  <c r="P129" i="254"/>
  <c r="P133" i="254"/>
  <c r="P137" i="254"/>
  <c r="P141" i="254"/>
  <c r="P145" i="254"/>
  <c r="P149" i="254"/>
  <c r="P153" i="254"/>
  <c r="P157" i="254"/>
  <c r="P161" i="254"/>
  <c r="P165" i="254"/>
  <c r="P169" i="254"/>
  <c r="P173" i="254"/>
  <c r="P177" i="254"/>
  <c r="P181" i="254"/>
  <c r="P185" i="254"/>
  <c r="P110" i="254"/>
  <c r="P114" i="254"/>
  <c r="P118" i="254"/>
  <c r="P122" i="254"/>
  <c r="P126" i="254"/>
  <c r="P130" i="254"/>
  <c r="P134" i="254"/>
  <c r="P138" i="254"/>
  <c r="P142" i="254"/>
  <c r="P146" i="254"/>
  <c r="P150" i="254"/>
  <c r="P154" i="254"/>
  <c r="P112" i="254"/>
  <c r="P128" i="254"/>
  <c r="P144" i="254"/>
  <c r="P158" i="254"/>
  <c r="P166" i="254"/>
  <c r="P174" i="254"/>
  <c r="P179" i="254"/>
  <c r="P184" i="254"/>
  <c r="P116" i="254"/>
  <c r="P132" i="254"/>
  <c r="P148" i="254"/>
  <c r="P160" i="254"/>
  <c r="P168" i="254"/>
  <c r="P175" i="254"/>
  <c r="P180" i="254"/>
  <c r="P186" i="254"/>
  <c r="P120" i="254"/>
  <c r="P136" i="254"/>
  <c r="P152" i="254"/>
  <c r="P162" i="254"/>
  <c r="P170" i="254"/>
  <c r="P176" i="254"/>
  <c r="P182" i="254"/>
  <c r="P187" i="254"/>
  <c r="P124" i="254"/>
  <c r="P140" i="254"/>
  <c r="P156" i="254"/>
  <c r="P164" i="254"/>
  <c r="P172" i="254"/>
  <c r="P178" i="254"/>
  <c r="P183" i="254"/>
  <c r="P188" i="254"/>
  <c r="H398" i="254"/>
  <c r="J398" i="254" s="1"/>
  <c r="H406" i="254"/>
  <c r="I406" i="254" s="1"/>
  <c r="H395" i="254"/>
  <c r="J395" i="254" s="1"/>
  <c r="H399" i="254"/>
  <c r="H407" i="254"/>
  <c r="H400" i="254"/>
  <c r="I400" i="254" s="1"/>
  <c r="H408" i="254"/>
  <c r="H401" i="254"/>
  <c r="H409" i="254"/>
  <c r="H402" i="254"/>
  <c r="H410" i="254"/>
  <c r="H403" i="254"/>
  <c r="H411" i="254"/>
  <c r="H396" i="254"/>
  <c r="J396" i="254" s="1"/>
  <c r="H404" i="254"/>
  <c r="H412" i="254"/>
  <c r="H405" i="254"/>
  <c r="H413" i="254"/>
  <c r="I413" i="254" s="1"/>
  <c r="H397" i="254"/>
  <c r="J397" i="254" s="1"/>
  <c r="J446" i="254"/>
  <c r="I446" i="254"/>
  <c r="J438" i="254"/>
  <c r="I438" i="254"/>
  <c r="J430" i="254"/>
  <c r="I430" i="254"/>
  <c r="J422" i="254"/>
  <c r="I422" i="254"/>
  <c r="H94" i="254"/>
  <c r="H102" i="254"/>
  <c r="H95" i="254"/>
  <c r="H103" i="254"/>
  <c r="H96" i="254"/>
  <c r="H104" i="254"/>
  <c r="J104" i="254" s="1"/>
  <c r="H97" i="254"/>
  <c r="J97" i="254" s="1"/>
  <c r="H105" i="254"/>
  <c r="H90" i="254"/>
  <c r="H98" i="254"/>
  <c r="H106" i="254"/>
  <c r="H91" i="254"/>
  <c r="H99" i="254"/>
  <c r="J99" i="254" s="1"/>
  <c r="H89" i="254"/>
  <c r="H92" i="254"/>
  <c r="H100" i="254"/>
  <c r="H93" i="254"/>
  <c r="H101" i="254"/>
  <c r="P192" i="254"/>
  <c r="P196" i="254"/>
  <c r="P200" i="254"/>
  <c r="P204" i="254"/>
  <c r="P208" i="254"/>
  <c r="P212" i="254"/>
  <c r="P216" i="254"/>
  <c r="P220" i="254"/>
  <c r="P224" i="254"/>
  <c r="P228" i="254"/>
  <c r="P232" i="254"/>
  <c r="P236" i="254"/>
  <c r="P240" i="254"/>
  <c r="P244" i="254"/>
  <c r="P248" i="254"/>
  <c r="P252" i="254"/>
  <c r="P256" i="254"/>
  <c r="P194" i="254"/>
  <c r="P198" i="254"/>
  <c r="P202" i="254"/>
  <c r="P206" i="254"/>
  <c r="P210" i="254"/>
  <c r="P214" i="254"/>
  <c r="P218" i="254"/>
  <c r="P222" i="254"/>
  <c r="P226" i="254"/>
  <c r="P230" i="254"/>
  <c r="P234" i="254"/>
  <c r="P238" i="254"/>
  <c r="P242" i="254"/>
  <c r="P246" i="254"/>
  <c r="P250" i="254"/>
  <c r="P254" i="254"/>
  <c r="P258" i="254"/>
  <c r="P195" i="254"/>
  <c r="P199" i="254"/>
  <c r="P203" i="254"/>
  <c r="P207" i="254"/>
  <c r="P211" i="254"/>
  <c r="P215" i="254"/>
  <c r="P219" i="254"/>
  <c r="P223" i="254"/>
  <c r="P227" i="254"/>
  <c r="P231" i="254"/>
  <c r="P235" i="254"/>
  <c r="P239" i="254"/>
  <c r="P243" i="254"/>
  <c r="P247" i="254"/>
  <c r="P251" i="254"/>
  <c r="P255" i="254"/>
  <c r="P259" i="254"/>
  <c r="P191" i="254"/>
  <c r="P193" i="254"/>
  <c r="P225" i="254"/>
  <c r="P257" i="254"/>
  <c r="P197" i="254"/>
  <c r="P229" i="254"/>
  <c r="P201" i="254"/>
  <c r="P233" i="254"/>
  <c r="P205" i="254"/>
  <c r="P237" i="254"/>
  <c r="P209" i="254"/>
  <c r="P241" i="254"/>
  <c r="P213" i="254"/>
  <c r="P245" i="254"/>
  <c r="P217" i="254"/>
  <c r="P249" i="254"/>
  <c r="P221" i="254"/>
  <c r="P253" i="254"/>
  <c r="O396" i="254"/>
  <c r="O400" i="254"/>
  <c r="O404" i="254"/>
  <c r="O408" i="254"/>
  <c r="O412" i="254"/>
  <c r="O397" i="254"/>
  <c r="O401" i="254"/>
  <c r="O405" i="254"/>
  <c r="O409" i="254"/>
  <c r="O413" i="254"/>
  <c r="O398" i="254"/>
  <c r="O402" i="254"/>
  <c r="O406" i="254"/>
  <c r="O410" i="254"/>
  <c r="O395" i="254"/>
  <c r="O399" i="254"/>
  <c r="O403" i="254"/>
  <c r="O407" i="254"/>
  <c r="O411" i="254"/>
  <c r="J445" i="254"/>
  <c r="I445" i="254"/>
  <c r="J437" i="254"/>
  <c r="I437" i="254"/>
  <c r="J429" i="254"/>
  <c r="I429" i="254"/>
  <c r="J421" i="254"/>
  <c r="I421" i="254"/>
  <c r="H39" i="254"/>
  <c r="H47" i="254"/>
  <c r="H40" i="254"/>
  <c r="H48" i="254"/>
  <c r="H41" i="254"/>
  <c r="H36" i="254"/>
  <c r="H44" i="254"/>
  <c r="H42" i="254"/>
  <c r="H45" i="254"/>
  <c r="H43" i="254"/>
  <c r="H37" i="254"/>
  <c r="H38" i="254"/>
  <c r="H46" i="254"/>
  <c r="P265" i="254"/>
  <c r="P266" i="254"/>
  <c r="P270" i="254"/>
  <c r="P274" i="254"/>
  <c r="P278" i="254"/>
  <c r="P282" i="254"/>
  <c r="P286" i="254"/>
  <c r="P290" i="254"/>
  <c r="P294" i="254"/>
  <c r="P298" i="254"/>
  <c r="P302" i="254"/>
  <c r="P306" i="254"/>
  <c r="P310" i="254"/>
  <c r="P314" i="254"/>
  <c r="P318" i="254"/>
  <c r="P322" i="254"/>
  <c r="P326" i="254"/>
  <c r="P330" i="254"/>
  <c r="P334" i="254"/>
  <c r="P338" i="254"/>
  <c r="P342" i="254"/>
  <c r="P271" i="254"/>
  <c r="P275" i="254"/>
  <c r="P279" i="254"/>
  <c r="P283" i="254"/>
  <c r="P287" i="254"/>
  <c r="P291" i="254"/>
  <c r="P295" i="254"/>
  <c r="P299" i="254"/>
  <c r="P303" i="254"/>
  <c r="P307" i="254"/>
  <c r="P311" i="254"/>
  <c r="P315" i="254"/>
  <c r="P319" i="254"/>
  <c r="P323" i="254"/>
  <c r="P327" i="254"/>
  <c r="P331" i="254"/>
  <c r="P335" i="254"/>
  <c r="P339" i="254"/>
  <c r="P343" i="254"/>
  <c r="P267" i="254"/>
  <c r="P262" i="254"/>
  <c r="P272" i="254"/>
  <c r="P276" i="254"/>
  <c r="P280" i="254"/>
  <c r="P284" i="254"/>
  <c r="P288" i="254"/>
  <c r="P292" i="254"/>
  <c r="P296" i="254"/>
  <c r="P300" i="254"/>
  <c r="P304" i="254"/>
  <c r="P308" i="254"/>
  <c r="P312" i="254"/>
  <c r="P316" i="254"/>
  <c r="P320" i="254"/>
  <c r="P324" i="254"/>
  <c r="P328" i="254"/>
  <c r="P332" i="254"/>
  <c r="P336" i="254"/>
  <c r="P340" i="254"/>
  <c r="P263" i="254"/>
  <c r="P268" i="254"/>
  <c r="P273" i="254"/>
  <c r="P277" i="254"/>
  <c r="P281" i="254"/>
  <c r="P285" i="254"/>
  <c r="P289" i="254"/>
  <c r="P293" i="254"/>
  <c r="P297" i="254"/>
  <c r="P301" i="254"/>
  <c r="P305" i="254"/>
  <c r="P309" i="254"/>
  <c r="P313" i="254"/>
  <c r="P317" i="254"/>
  <c r="P321" i="254"/>
  <c r="P325" i="254"/>
  <c r="P329" i="254"/>
  <c r="P333" i="254"/>
  <c r="P337" i="254"/>
  <c r="P341" i="254"/>
  <c r="P264" i="254"/>
  <c r="P269" i="254"/>
  <c r="P396" i="254"/>
  <c r="P400" i="254"/>
  <c r="P404" i="254"/>
  <c r="P408" i="254"/>
  <c r="P412" i="254"/>
  <c r="P397" i="254"/>
  <c r="P401" i="254"/>
  <c r="P405" i="254"/>
  <c r="P409" i="254"/>
  <c r="P413" i="254"/>
  <c r="P395" i="254"/>
  <c r="P398" i="254"/>
  <c r="P402" i="254"/>
  <c r="P406" i="254"/>
  <c r="P410" i="254"/>
  <c r="P399" i="254"/>
  <c r="P403" i="254"/>
  <c r="P407" i="254"/>
  <c r="P411" i="254"/>
  <c r="J452" i="254"/>
  <c r="I452" i="254"/>
  <c r="J444" i="254"/>
  <c r="I444" i="254"/>
  <c r="J436" i="254"/>
  <c r="I436" i="254"/>
  <c r="J428" i="254"/>
  <c r="I428" i="254"/>
  <c r="J420" i="254"/>
  <c r="I420" i="254"/>
  <c r="H69" i="254"/>
  <c r="H77" i="254"/>
  <c r="H85" i="254"/>
  <c r="H70" i="254"/>
  <c r="H78" i="254"/>
  <c r="H86" i="254"/>
  <c r="H71" i="254"/>
  <c r="H79" i="254"/>
  <c r="H64" i="254"/>
  <c r="J64" i="254" s="1"/>
  <c r="H72" i="254"/>
  <c r="J72" i="254" s="1"/>
  <c r="H80" i="254"/>
  <c r="H65" i="254"/>
  <c r="J65" i="254" s="1"/>
  <c r="H73" i="254"/>
  <c r="H81" i="254"/>
  <c r="H66" i="254"/>
  <c r="H74" i="254"/>
  <c r="H82" i="254"/>
  <c r="H67" i="254"/>
  <c r="H75" i="254"/>
  <c r="J75" i="254" s="1"/>
  <c r="H83" i="254"/>
  <c r="H68" i="254"/>
  <c r="H76" i="254"/>
  <c r="J76" i="254" s="1"/>
  <c r="H84" i="254"/>
  <c r="J84" i="254" s="1"/>
  <c r="J451" i="254"/>
  <c r="I451" i="254"/>
  <c r="J443" i="254"/>
  <c r="I443" i="254"/>
  <c r="J435" i="254"/>
  <c r="I435" i="254"/>
  <c r="J427" i="254"/>
  <c r="I427" i="254"/>
  <c r="J419" i="254"/>
  <c r="I419" i="254"/>
  <c r="H110" i="254"/>
  <c r="J110" i="254" s="1"/>
  <c r="H118" i="254"/>
  <c r="I118" i="254" s="1"/>
  <c r="H126" i="254"/>
  <c r="J126" i="254" s="1"/>
  <c r="H134" i="254"/>
  <c r="J134" i="254" s="1"/>
  <c r="H142" i="254"/>
  <c r="J142" i="254" s="1"/>
  <c r="H150" i="254"/>
  <c r="J150" i="254" s="1"/>
  <c r="H158" i="254"/>
  <c r="J158" i="254" s="1"/>
  <c r="H166" i="254"/>
  <c r="J166" i="254" s="1"/>
  <c r="H174" i="254"/>
  <c r="J174" i="254" s="1"/>
  <c r="H182" i="254"/>
  <c r="J182" i="254" s="1"/>
  <c r="H111" i="254"/>
  <c r="J111" i="254" s="1"/>
  <c r="H119" i="254"/>
  <c r="H127" i="254"/>
  <c r="J127" i="254" s="1"/>
  <c r="H135" i="254"/>
  <c r="H143" i="254"/>
  <c r="H151" i="254"/>
  <c r="I151" i="254" s="1"/>
  <c r="H159" i="254"/>
  <c r="J159" i="254" s="1"/>
  <c r="H167" i="254"/>
  <c r="I167" i="254" s="1"/>
  <c r="H175" i="254"/>
  <c r="J175" i="254" s="1"/>
  <c r="H183" i="254"/>
  <c r="H112" i="254"/>
  <c r="I112" i="254" s="1"/>
  <c r="H120" i="254"/>
  <c r="I120" i="254" s="1"/>
  <c r="H128" i="254"/>
  <c r="J128" i="254" s="1"/>
  <c r="H136" i="254"/>
  <c r="H144" i="254"/>
  <c r="J144" i="254" s="1"/>
  <c r="H152" i="254"/>
  <c r="J152" i="254" s="1"/>
  <c r="H160" i="254"/>
  <c r="J160" i="254" s="1"/>
  <c r="H168" i="254"/>
  <c r="J168" i="254" s="1"/>
  <c r="H176" i="254"/>
  <c r="J176" i="254" s="1"/>
  <c r="H184" i="254"/>
  <c r="H113" i="254"/>
  <c r="J113" i="254" s="1"/>
  <c r="H121" i="254"/>
  <c r="J121" i="254" s="1"/>
  <c r="H129" i="254"/>
  <c r="I129" i="254" s="1"/>
  <c r="H137" i="254"/>
  <c r="I137" i="254" s="1"/>
  <c r="H145" i="254"/>
  <c r="J145" i="254" s="1"/>
  <c r="H153" i="254"/>
  <c r="J153" i="254" s="1"/>
  <c r="H161" i="254"/>
  <c r="J161" i="254" s="1"/>
  <c r="H169" i="254"/>
  <c r="J169" i="254" s="1"/>
  <c r="H177" i="254"/>
  <c r="J177" i="254" s="1"/>
  <c r="H185" i="254"/>
  <c r="J185" i="254" s="1"/>
  <c r="H114" i="254"/>
  <c r="J114" i="254" s="1"/>
  <c r="H122" i="254"/>
  <c r="J122" i="254" s="1"/>
  <c r="H130" i="254"/>
  <c r="J130" i="254" s="1"/>
  <c r="H138" i="254"/>
  <c r="J138" i="254" s="1"/>
  <c r="H146" i="254"/>
  <c r="H154" i="254"/>
  <c r="J154" i="254" s="1"/>
  <c r="H162" i="254"/>
  <c r="J162" i="254" s="1"/>
  <c r="H170" i="254"/>
  <c r="J170" i="254" s="1"/>
  <c r="H178" i="254"/>
  <c r="I178" i="254" s="1"/>
  <c r="H186" i="254"/>
  <c r="J186" i="254" s="1"/>
  <c r="H115" i="254"/>
  <c r="J115" i="254" s="1"/>
  <c r="H123" i="254"/>
  <c r="J123" i="254" s="1"/>
  <c r="H131" i="254"/>
  <c r="J131" i="254" s="1"/>
  <c r="H139" i="254"/>
  <c r="J139" i="254" s="1"/>
  <c r="H147" i="254"/>
  <c r="I147" i="254" s="1"/>
  <c r="H155" i="254"/>
  <c r="H163" i="254"/>
  <c r="J163" i="254" s="1"/>
  <c r="H171" i="254"/>
  <c r="H179" i="254"/>
  <c r="H187" i="254"/>
  <c r="H116" i="254"/>
  <c r="J116" i="254" s="1"/>
  <c r="H124" i="254"/>
  <c r="J124" i="254" s="1"/>
  <c r="H132" i="254"/>
  <c r="J132" i="254" s="1"/>
  <c r="H140" i="254"/>
  <c r="J140" i="254" s="1"/>
  <c r="H148" i="254"/>
  <c r="J148" i="254" s="1"/>
  <c r="H156" i="254"/>
  <c r="J156" i="254" s="1"/>
  <c r="H164" i="254"/>
  <c r="J164" i="254" s="1"/>
  <c r="H172" i="254"/>
  <c r="H180" i="254"/>
  <c r="J180" i="254" s="1"/>
  <c r="H188" i="254"/>
  <c r="H117" i="254"/>
  <c r="J117" i="254" s="1"/>
  <c r="H125" i="254"/>
  <c r="J125" i="254" s="1"/>
  <c r="H133" i="254"/>
  <c r="J133" i="254" s="1"/>
  <c r="H141" i="254"/>
  <c r="J141" i="254" s="1"/>
  <c r="H149" i="254"/>
  <c r="J149" i="254" s="1"/>
  <c r="H157" i="254"/>
  <c r="J157" i="254" s="1"/>
  <c r="H165" i="254"/>
  <c r="J165" i="254" s="1"/>
  <c r="H173" i="254"/>
  <c r="I173" i="254" s="1"/>
  <c r="H181" i="254"/>
  <c r="J181" i="254" s="1"/>
  <c r="H109" i="254"/>
  <c r="H54" i="254"/>
  <c r="H61" i="254"/>
  <c r="H53" i="254"/>
  <c r="H60" i="254"/>
  <c r="H52" i="254"/>
  <c r="H59" i="254"/>
  <c r="H51" i="254"/>
  <c r="I51" i="254" s="1"/>
  <c r="H58" i="254"/>
  <c r="H57" i="254"/>
  <c r="H56" i="254"/>
  <c r="H55" i="254"/>
  <c r="O90" i="254"/>
  <c r="O94" i="254"/>
  <c r="O98" i="254"/>
  <c r="O102" i="254"/>
  <c r="O106" i="254"/>
  <c r="O91" i="254"/>
  <c r="O95" i="254"/>
  <c r="O99" i="254"/>
  <c r="O103" i="254"/>
  <c r="O89" i="254"/>
  <c r="O92" i="254"/>
  <c r="O96" i="254"/>
  <c r="O100" i="254"/>
  <c r="O104" i="254"/>
  <c r="O93" i="254"/>
  <c r="O97" i="254"/>
  <c r="O101" i="254"/>
  <c r="O105" i="254"/>
  <c r="O347" i="254"/>
  <c r="O351" i="254"/>
  <c r="O355" i="254"/>
  <c r="O359" i="254"/>
  <c r="O363" i="254"/>
  <c r="O367" i="254"/>
  <c r="O371" i="254"/>
  <c r="O375" i="254"/>
  <c r="O379" i="254"/>
  <c r="O383" i="254"/>
  <c r="O348" i="254"/>
  <c r="O352" i="254"/>
  <c r="O356" i="254"/>
  <c r="O360" i="254"/>
  <c r="O364" i="254"/>
  <c r="O368" i="254"/>
  <c r="O372" i="254"/>
  <c r="O376" i="254"/>
  <c r="O380" i="254"/>
  <c r="O384" i="254"/>
  <c r="O388" i="254"/>
  <c r="O392" i="254"/>
  <c r="O349" i="254"/>
  <c r="O353" i="254"/>
  <c r="O357" i="254"/>
  <c r="O361" i="254"/>
  <c r="O365" i="254"/>
  <c r="O369" i="254"/>
  <c r="O373" i="254"/>
  <c r="O377" i="254"/>
  <c r="O381" i="254"/>
  <c r="O385" i="254"/>
  <c r="O389" i="254"/>
  <c r="O390" i="254"/>
  <c r="O370" i="254"/>
  <c r="O382" i="254"/>
  <c r="O391" i="254"/>
  <c r="O350" i="254"/>
  <c r="O354" i="254"/>
  <c r="O374" i="254"/>
  <c r="O346" i="254"/>
  <c r="O358" i="254"/>
  <c r="O386" i="254"/>
  <c r="O362" i="254"/>
  <c r="O387" i="254"/>
  <c r="O378" i="254"/>
  <c r="O366" i="254"/>
  <c r="J450" i="254"/>
  <c r="I450" i="254"/>
  <c r="J442" i="254"/>
  <c r="I442" i="254"/>
  <c r="J434" i="254"/>
  <c r="I434" i="254"/>
  <c r="J426" i="254"/>
  <c r="I426" i="254"/>
  <c r="J418" i="254"/>
  <c r="I418" i="254"/>
  <c r="P6" i="254"/>
  <c r="P14" i="254"/>
  <c r="P22" i="254"/>
  <c r="P30" i="254"/>
  <c r="P7" i="254"/>
  <c r="P15" i="254"/>
  <c r="P23" i="254"/>
  <c r="P31" i="254"/>
  <c r="P27" i="254"/>
  <c r="P8" i="254"/>
  <c r="P16" i="254"/>
  <c r="P24" i="254"/>
  <c r="P32" i="254"/>
  <c r="P19" i="254"/>
  <c r="P9" i="254"/>
  <c r="P17" i="254"/>
  <c r="P25" i="254"/>
  <c r="P33" i="254"/>
  <c r="P11" i="254"/>
  <c r="P10" i="254"/>
  <c r="P18" i="254"/>
  <c r="P26" i="254"/>
  <c r="P12" i="254"/>
  <c r="P20" i="254"/>
  <c r="P28" i="254"/>
  <c r="P13" i="254"/>
  <c r="P21" i="254"/>
  <c r="P29" i="254"/>
  <c r="H7" i="254"/>
  <c r="H15" i="254"/>
  <c r="H23" i="254"/>
  <c r="H31" i="254"/>
  <c r="J31" i="254" s="1"/>
  <c r="H8" i="254"/>
  <c r="J8" i="254" s="1"/>
  <c r="H16" i="254"/>
  <c r="I16" i="254" s="1"/>
  <c r="H24" i="254"/>
  <c r="J24" i="254" s="1"/>
  <c r="H32" i="254"/>
  <c r="J32" i="254" s="1"/>
  <c r="H9" i="254"/>
  <c r="I9" i="254" s="1"/>
  <c r="H17" i="254"/>
  <c r="J17" i="254" s="1"/>
  <c r="H25" i="254"/>
  <c r="I25" i="254" s="1"/>
  <c r="H33" i="254"/>
  <c r="J33" i="254" s="1"/>
  <c r="H12" i="254"/>
  <c r="H20" i="254"/>
  <c r="H10" i="254"/>
  <c r="H18" i="254"/>
  <c r="H26" i="254"/>
  <c r="H6" i="254"/>
  <c r="I6" i="254" s="1"/>
  <c r="H28" i="254"/>
  <c r="H11" i="254"/>
  <c r="H19" i="254"/>
  <c r="H27" i="254"/>
  <c r="H13" i="254"/>
  <c r="H21" i="254"/>
  <c r="H29" i="254"/>
  <c r="H14" i="254"/>
  <c r="H22" i="254"/>
  <c r="H30" i="254"/>
  <c r="O11" i="254"/>
  <c r="O19" i="254"/>
  <c r="O27" i="254"/>
  <c r="O16" i="254"/>
  <c r="O12" i="254"/>
  <c r="O20" i="254"/>
  <c r="O28" i="254"/>
  <c r="O13" i="254"/>
  <c r="O21" i="254"/>
  <c r="O29" i="254"/>
  <c r="O24" i="254"/>
  <c r="O14" i="254"/>
  <c r="O22" i="254"/>
  <c r="O30" i="254"/>
  <c r="O32" i="254"/>
  <c r="O7" i="254"/>
  <c r="O15" i="254"/>
  <c r="O23" i="254"/>
  <c r="O31" i="254"/>
  <c r="O8" i="254"/>
  <c r="O9" i="254"/>
  <c r="O17" i="254"/>
  <c r="O25" i="254"/>
  <c r="O33" i="254"/>
  <c r="O10" i="254"/>
  <c r="O18" i="254"/>
  <c r="O26" i="254"/>
  <c r="O6" i="254"/>
  <c r="B182" i="254"/>
  <c r="B181" i="254"/>
  <c r="B180" i="254"/>
  <c r="B178" i="254"/>
  <c r="B177" i="254"/>
  <c r="B176" i="254"/>
  <c r="B175" i="254"/>
  <c r="B174" i="254"/>
  <c r="B173" i="254"/>
  <c r="B170" i="254"/>
  <c r="B169" i="254"/>
  <c r="B168" i="254"/>
  <c r="B167" i="254"/>
  <c r="B166" i="254"/>
  <c r="B165" i="254"/>
  <c r="B164" i="254"/>
  <c r="B163" i="254"/>
  <c r="B162" i="254"/>
  <c r="B161" i="254"/>
  <c r="B160" i="254"/>
  <c r="B159" i="254"/>
  <c r="B158" i="254"/>
  <c r="B157" i="254"/>
  <c r="B156" i="254"/>
  <c r="B149" i="254"/>
  <c r="B148" i="254"/>
  <c r="B147" i="254"/>
  <c r="B145" i="254"/>
  <c r="B144" i="254"/>
  <c r="B142" i="254"/>
  <c r="B141" i="254"/>
  <c r="B140" i="254"/>
  <c r="B139" i="254"/>
  <c r="B138" i="254"/>
  <c r="B137" i="254"/>
  <c r="B134" i="254"/>
  <c r="B133" i="254"/>
  <c r="B132" i="254"/>
  <c r="B131" i="254"/>
  <c r="B130" i="254"/>
  <c r="B129" i="254"/>
  <c r="B128" i="254"/>
  <c r="B127" i="254"/>
  <c r="B126" i="254"/>
  <c r="B125" i="254"/>
  <c r="B124" i="254"/>
  <c r="B123" i="254"/>
  <c r="B122" i="254"/>
  <c r="B121" i="254"/>
  <c r="B120" i="254"/>
  <c r="B117" i="254"/>
  <c r="B116" i="254"/>
  <c r="B115" i="254"/>
  <c r="B114" i="254"/>
  <c r="B113" i="254"/>
  <c r="B112" i="254"/>
  <c r="B111" i="254"/>
  <c r="A949" i="254"/>
  <c r="J948" i="254"/>
  <c r="I948" i="254"/>
  <c r="B948" i="254"/>
  <c r="J947" i="254"/>
  <c r="I947" i="254"/>
  <c r="B947" i="254"/>
  <c r="J946" i="254"/>
  <c r="I946" i="254"/>
  <c r="B946" i="254"/>
  <c r="J945" i="254"/>
  <c r="I945" i="254"/>
  <c r="B945" i="254"/>
  <c r="J944" i="254"/>
  <c r="I944" i="254"/>
  <c r="B944" i="254"/>
  <c r="J943" i="254"/>
  <c r="I943" i="254"/>
  <c r="B943" i="254"/>
  <c r="J942" i="254"/>
  <c r="I942" i="254"/>
  <c r="B942" i="254"/>
  <c r="J941" i="254"/>
  <c r="I941" i="254"/>
  <c r="B941" i="254"/>
  <c r="J940" i="254"/>
  <c r="I940" i="254"/>
  <c r="B940" i="254"/>
  <c r="J939" i="254"/>
  <c r="I939" i="254"/>
  <c r="B939" i="254"/>
  <c r="AB938" i="254"/>
  <c r="AA938" i="254"/>
  <c r="Z938" i="254"/>
  <c r="Y938" i="254"/>
  <c r="X938" i="254"/>
  <c r="W938" i="254"/>
  <c r="V938" i="254"/>
  <c r="U938" i="254"/>
  <c r="L938" i="254"/>
  <c r="K938" i="254"/>
  <c r="J417" i="254"/>
  <c r="I417" i="254"/>
  <c r="B417" i="254"/>
  <c r="J416" i="254"/>
  <c r="I416" i="254"/>
  <c r="B416" i="254"/>
  <c r="L415" i="254"/>
  <c r="K415" i="254"/>
  <c r="K787" i="254" s="1"/>
  <c r="B398" i="254"/>
  <c r="B397" i="254"/>
  <c r="B396" i="254"/>
  <c r="B395" i="254"/>
  <c r="L394" i="254"/>
  <c r="K394" i="254"/>
  <c r="B392" i="254"/>
  <c r="B355" i="254"/>
  <c r="B354" i="254"/>
  <c r="B353" i="254"/>
  <c r="B352" i="254"/>
  <c r="B351" i="254"/>
  <c r="B350" i="254"/>
  <c r="B349" i="254"/>
  <c r="B348" i="254"/>
  <c r="B347" i="254"/>
  <c r="L345" i="254"/>
  <c r="B343" i="254"/>
  <c r="B342" i="254"/>
  <c r="B341" i="254"/>
  <c r="B262" i="254"/>
  <c r="L261" i="254"/>
  <c r="K261" i="254"/>
  <c r="B192" i="254"/>
  <c r="B191" i="254"/>
  <c r="L190" i="254"/>
  <c r="K190" i="254"/>
  <c r="B153" i="254"/>
  <c r="B152" i="254"/>
  <c r="B151" i="254"/>
  <c r="B110" i="254"/>
  <c r="B109" i="254"/>
  <c r="L108" i="254"/>
  <c r="K108" i="254"/>
  <c r="K819" i="254" l="1"/>
  <c r="L819" i="254" s="1"/>
  <c r="K846" i="254"/>
  <c r="L846" i="254" s="1"/>
  <c r="K821" i="254"/>
  <c r="K850" i="254"/>
  <c r="L850" i="254" s="1"/>
  <c r="K862" i="254"/>
  <c r="L862" i="254" s="1"/>
  <c r="K906" i="254"/>
  <c r="L906" i="254" s="1"/>
  <c r="K897" i="254"/>
  <c r="L897" i="254" s="1"/>
  <c r="K918" i="254"/>
  <c r="L918" i="254" s="1"/>
  <c r="K831" i="254"/>
  <c r="L831" i="254" s="1"/>
  <c r="K835" i="254"/>
  <c r="L835" i="254" s="1"/>
  <c r="K857" i="254"/>
  <c r="L857" i="254" s="1"/>
  <c r="K881" i="254"/>
  <c r="L881" i="254" s="1"/>
  <c r="K884" i="254"/>
  <c r="L884" i="254" s="1"/>
  <c r="K867" i="254"/>
  <c r="L867" i="254" s="1"/>
  <c r="K905" i="254"/>
  <c r="L905" i="254" s="1"/>
  <c r="K917" i="254"/>
  <c r="L917" i="254" s="1"/>
  <c r="K836" i="254"/>
  <c r="L836" i="254" s="1"/>
  <c r="K829" i="254"/>
  <c r="L829" i="254" s="1"/>
  <c r="K849" i="254"/>
  <c r="L849" i="254" s="1"/>
  <c r="K870" i="254"/>
  <c r="L870" i="254" s="1"/>
  <c r="K872" i="254"/>
  <c r="L872" i="254" s="1"/>
  <c r="K891" i="254"/>
  <c r="L891" i="254" s="1"/>
  <c r="K904" i="254"/>
  <c r="L904" i="254" s="1"/>
  <c r="K890" i="254"/>
  <c r="L890" i="254" s="1"/>
  <c r="K120" i="256"/>
  <c r="L120" i="256" s="1"/>
  <c r="K855" i="254"/>
  <c r="L855" i="254" s="1"/>
  <c r="K844" i="254"/>
  <c r="L844" i="254" s="1"/>
  <c r="K837" i="254"/>
  <c r="L837" i="254" s="1"/>
  <c r="K832" i="254"/>
  <c r="L832" i="254" s="1"/>
  <c r="K827" i="254"/>
  <c r="L827" i="254" s="1"/>
  <c r="K866" i="254"/>
  <c r="L866" i="254" s="1"/>
  <c r="K875" i="254"/>
  <c r="L875" i="254" s="1"/>
  <c r="K907" i="254"/>
  <c r="L907" i="254" s="1"/>
  <c r="K898" i="254"/>
  <c r="L898" i="254" s="1"/>
  <c r="K9" i="254"/>
  <c r="K838" i="254"/>
  <c r="L838" i="254" s="1"/>
  <c r="K847" i="254"/>
  <c r="L847" i="254" s="1"/>
  <c r="K842" i="254"/>
  <c r="L842" i="254" s="1"/>
  <c r="K913" i="254"/>
  <c r="L913" i="254" s="1"/>
  <c r="F21" i="198"/>
  <c r="F15" i="198"/>
  <c r="F18" i="198"/>
  <c r="F12" i="198"/>
  <c r="F61" i="194"/>
  <c r="K933" i="254"/>
  <c r="L933" i="254" s="1"/>
  <c r="K936" i="254"/>
  <c r="L936" i="254" s="1"/>
  <c r="K928" i="254"/>
  <c r="L928" i="254" s="1"/>
  <c r="K931" i="254"/>
  <c r="L931" i="254" s="1"/>
  <c r="K934" i="254"/>
  <c r="L934" i="254" s="1"/>
  <c r="K929" i="254"/>
  <c r="L929" i="254" s="1"/>
  <c r="K932" i="254"/>
  <c r="L932" i="254" s="1"/>
  <c r="K930" i="254"/>
  <c r="L930" i="254" s="1"/>
  <c r="K935" i="254"/>
  <c r="L935" i="254" s="1"/>
  <c r="J352" i="254"/>
  <c r="L823" i="254"/>
  <c r="L821" i="254"/>
  <c r="I398" i="254"/>
  <c r="K398" i="254" s="1"/>
  <c r="L398" i="254" s="1"/>
  <c r="I177" i="254"/>
  <c r="K177" i="254" s="1"/>
  <c r="J51" i="254"/>
  <c r="K51" i="254" s="1"/>
  <c r="L51" i="254" s="1"/>
  <c r="I347" i="254"/>
  <c r="K347" i="254" s="1"/>
  <c r="L347" i="254" s="1"/>
  <c r="J355" i="254"/>
  <c r="L787" i="254"/>
  <c r="I395" i="254"/>
  <c r="K395" i="254" s="1"/>
  <c r="L395" i="254" s="1"/>
  <c r="K733" i="254"/>
  <c r="L733" i="254" s="1"/>
  <c r="K752" i="254"/>
  <c r="L752" i="254" s="1"/>
  <c r="K758" i="254"/>
  <c r="L758" i="254" s="1"/>
  <c r="K783" i="254"/>
  <c r="L783" i="254" s="1"/>
  <c r="K807" i="254"/>
  <c r="L807" i="254" s="1"/>
  <c r="K736" i="254"/>
  <c r="L736" i="254" s="1"/>
  <c r="K762" i="254"/>
  <c r="L762" i="254" s="1"/>
  <c r="K809" i="254"/>
  <c r="L809" i="254" s="1"/>
  <c r="K747" i="254"/>
  <c r="L747" i="254" s="1"/>
  <c r="K803" i="254"/>
  <c r="L803" i="254" s="1"/>
  <c r="K802" i="254"/>
  <c r="L802" i="254" s="1"/>
  <c r="K795" i="254"/>
  <c r="L795" i="254" s="1"/>
  <c r="K811" i="254"/>
  <c r="L811" i="254" s="1"/>
  <c r="K788" i="254"/>
  <c r="L788" i="254" s="1"/>
  <c r="K806" i="254"/>
  <c r="L806" i="254" s="1"/>
  <c r="I396" i="254"/>
  <c r="K396" i="254" s="1"/>
  <c r="L396" i="254" s="1"/>
  <c r="K717" i="254"/>
  <c r="L717" i="254" s="1"/>
  <c r="K808" i="254"/>
  <c r="L808" i="254" s="1"/>
  <c r="K800" i="254"/>
  <c r="L800" i="254" s="1"/>
  <c r="K729" i="254"/>
  <c r="L729" i="254" s="1"/>
  <c r="K789" i="254"/>
  <c r="L789" i="254" s="1"/>
  <c r="K798" i="254"/>
  <c r="L798" i="254" s="1"/>
  <c r="K748" i="254"/>
  <c r="L748" i="254" s="1"/>
  <c r="K801" i="254"/>
  <c r="L801" i="254" s="1"/>
  <c r="K779" i="254"/>
  <c r="L779" i="254" s="1"/>
  <c r="K772" i="254"/>
  <c r="L772" i="254" s="1"/>
  <c r="K780" i="254"/>
  <c r="L780" i="254" s="1"/>
  <c r="K786" i="254"/>
  <c r="L786" i="254" s="1"/>
  <c r="K793" i="254"/>
  <c r="L793" i="254" s="1"/>
  <c r="K755" i="254"/>
  <c r="L755" i="254" s="1"/>
  <c r="K799" i="254"/>
  <c r="L799" i="254" s="1"/>
  <c r="K726" i="254"/>
  <c r="L726" i="254" s="1"/>
  <c r="K741" i="254"/>
  <c r="L741" i="254" s="1"/>
  <c r="K735" i="254"/>
  <c r="L735" i="254" s="1"/>
  <c r="K753" i="254"/>
  <c r="L753" i="254" s="1"/>
  <c r="K778" i="254"/>
  <c r="L778" i="254" s="1"/>
  <c r="K761" i="254"/>
  <c r="L761" i="254" s="1"/>
  <c r="K785" i="254"/>
  <c r="L785" i="254" s="1"/>
  <c r="K751" i="254"/>
  <c r="L751" i="254" s="1"/>
  <c r="K764" i="254"/>
  <c r="L764" i="254" s="1"/>
  <c r="K743" i="254"/>
  <c r="L743" i="254" s="1"/>
  <c r="K750" i="254"/>
  <c r="L750" i="254" s="1"/>
  <c r="K731" i="254"/>
  <c r="L731" i="254" s="1"/>
  <c r="K757" i="254"/>
  <c r="L757" i="254" s="1"/>
  <c r="K784" i="254"/>
  <c r="L784" i="254" s="1"/>
  <c r="K745" i="254"/>
  <c r="L745" i="254" s="1"/>
  <c r="K770" i="254"/>
  <c r="L770" i="254" s="1"/>
  <c r="K771" i="254"/>
  <c r="L771" i="254" s="1"/>
  <c r="K724" i="254"/>
  <c r="L724" i="254" s="1"/>
  <c r="K716" i="254"/>
  <c r="L716" i="254" s="1"/>
  <c r="K815" i="254"/>
  <c r="L815" i="254" s="1"/>
  <c r="K721" i="254"/>
  <c r="L721" i="254" s="1"/>
  <c r="K765" i="254"/>
  <c r="L765" i="254" s="1"/>
  <c r="K804" i="254"/>
  <c r="L804" i="254" s="1"/>
  <c r="K737" i="254"/>
  <c r="L737" i="254" s="1"/>
  <c r="K763" i="254"/>
  <c r="L763" i="254" s="1"/>
  <c r="K769" i="254"/>
  <c r="L769" i="254" s="1"/>
  <c r="K759" i="254"/>
  <c r="L759" i="254" s="1"/>
  <c r="K776" i="254"/>
  <c r="L776" i="254" s="1"/>
  <c r="K719" i="254"/>
  <c r="L719" i="254" s="1"/>
  <c r="K723" i="254"/>
  <c r="L723" i="254" s="1"/>
  <c r="K744" i="254"/>
  <c r="L744" i="254" s="1"/>
  <c r="K732" i="254"/>
  <c r="L732" i="254" s="1"/>
  <c r="K782" i="254"/>
  <c r="L782" i="254" s="1"/>
  <c r="K739" i="254"/>
  <c r="L739" i="254" s="1"/>
  <c r="K777" i="254"/>
  <c r="L777" i="254" s="1"/>
  <c r="K796" i="254"/>
  <c r="L796" i="254" s="1"/>
  <c r="K805" i="254"/>
  <c r="L805" i="254" s="1"/>
  <c r="K781" i="254"/>
  <c r="L781" i="254" s="1"/>
  <c r="K756" i="254"/>
  <c r="L756" i="254" s="1"/>
  <c r="K766" i="254"/>
  <c r="L766" i="254" s="1"/>
  <c r="K749" i="254"/>
  <c r="L749" i="254" s="1"/>
  <c r="K730" i="254"/>
  <c r="L730" i="254" s="1"/>
  <c r="K740" i="254"/>
  <c r="L740" i="254" s="1"/>
  <c r="K725" i="254"/>
  <c r="L725" i="254" s="1"/>
  <c r="K760" i="254"/>
  <c r="L760" i="254" s="1"/>
  <c r="K742" i="254"/>
  <c r="L742" i="254" s="1"/>
  <c r="K775" i="254"/>
  <c r="L775" i="254" s="1"/>
  <c r="K767" i="254"/>
  <c r="L767" i="254" s="1"/>
  <c r="K791" i="254"/>
  <c r="L791" i="254" s="1"/>
  <c r="K738" i="254"/>
  <c r="L738" i="254" s="1"/>
  <c r="K790" i="254"/>
  <c r="L790" i="254" s="1"/>
  <c r="K813" i="254"/>
  <c r="L813" i="254" s="1"/>
  <c r="K768" i="254"/>
  <c r="L768" i="254" s="1"/>
  <c r="K812" i="254"/>
  <c r="L812" i="254" s="1"/>
  <c r="K722" i="254"/>
  <c r="L722" i="254" s="1"/>
  <c r="K797" i="254"/>
  <c r="L797" i="254" s="1"/>
  <c r="K754" i="254"/>
  <c r="L754" i="254" s="1"/>
  <c r="K718" i="254"/>
  <c r="L718" i="254" s="1"/>
  <c r="K734" i="254"/>
  <c r="L734" i="254" s="1"/>
  <c r="K792" i="254"/>
  <c r="L792" i="254" s="1"/>
  <c r="K720" i="254"/>
  <c r="L720" i="254" s="1"/>
  <c r="K746" i="254"/>
  <c r="L746" i="254" s="1"/>
  <c r="K773" i="254"/>
  <c r="L773" i="254" s="1"/>
  <c r="K774" i="254"/>
  <c r="L774" i="254" s="1"/>
  <c r="K814" i="254"/>
  <c r="L814" i="254" s="1"/>
  <c r="K728" i="254"/>
  <c r="L728" i="254" s="1"/>
  <c r="K727" i="254"/>
  <c r="L727" i="254" s="1"/>
  <c r="K810" i="254"/>
  <c r="L810" i="254" s="1"/>
  <c r="K794" i="254"/>
  <c r="L794" i="254" s="1"/>
  <c r="J406" i="254"/>
  <c r="I397" i="254"/>
  <c r="K397" i="254" s="1"/>
  <c r="L397" i="254" s="1"/>
  <c r="K700" i="254"/>
  <c r="L700" i="254" s="1"/>
  <c r="K699" i="254"/>
  <c r="L699" i="254" s="1"/>
  <c r="K698" i="254"/>
  <c r="L698" i="254" s="1"/>
  <c r="K697" i="254"/>
  <c r="L697" i="254" s="1"/>
  <c r="K696" i="254"/>
  <c r="L696" i="254" s="1"/>
  <c r="K695" i="254"/>
  <c r="L695" i="254" s="1"/>
  <c r="K694" i="254"/>
  <c r="L694" i="254" s="1"/>
  <c r="K693" i="254"/>
  <c r="L693" i="254" s="1"/>
  <c r="K692" i="254"/>
  <c r="L692" i="254" s="1"/>
  <c r="K691" i="254"/>
  <c r="L691" i="254" s="1"/>
  <c r="K690" i="254"/>
  <c r="L690" i="254" s="1"/>
  <c r="K689" i="254"/>
  <c r="L689" i="254" s="1"/>
  <c r="K688" i="254"/>
  <c r="L688" i="254" s="1"/>
  <c r="K687" i="254"/>
  <c r="L687" i="254" s="1"/>
  <c r="K686" i="254"/>
  <c r="L686" i="254" s="1"/>
  <c r="K685" i="254"/>
  <c r="L685" i="254" s="1"/>
  <c r="K684" i="254"/>
  <c r="L684" i="254" s="1"/>
  <c r="K683" i="254"/>
  <c r="L683" i="254" s="1"/>
  <c r="K682" i="254"/>
  <c r="L682" i="254" s="1"/>
  <c r="K681" i="254"/>
  <c r="L681" i="254" s="1"/>
  <c r="K680" i="254"/>
  <c r="L680" i="254" s="1"/>
  <c r="K679" i="254"/>
  <c r="L679" i="254" s="1"/>
  <c r="K678" i="254"/>
  <c r="L678" i="254" s="1"/>
  <c r="K677" i="254"/>
  <c r="L677" i="254" s="1"/>
  <c r="K676" i="254"/>
  <c r="L676" i="254" s="1"/>
  <c r="K675" i="254"/>
  <c r="L675" i="254" s="1"/>
  <c r="K674" i="254"/>
  <c r="L674" i="254" s="1"/>
  <c r="K673" i="254"/>
  <c r="L673" i="254" s="1"/>
  <c r="K672" i="254"/>
  <c r="L672" i="254" s="1"/>
  <c r="K671" i="254"/>
  <c r="L671" i="254" s="1"/>
  <c r="K670" i="254"/>
  <c r="L670" i="254" s="1"/>
  <c r="K669" i="254"/>
  <c r="L669" i="254" s="1"/>
  <c r="K668" i="254"/>
  <c r="L668" i="254" s="1"/>
  <c r="K667" i="254"/>
  <c r="L667" i="254" s="1"/>
  <c r="K666" i="254"/>
  <c r="L666" i="254" s="1"/>
  <c r="K665" i="254"/>
  <c r="L665" i="254" s="1"/>
  <c r="K664" i="254"/>
  <c r="L664" i="254" s="1"/>
  <c r="K663" i="254"/>
  <c r="L663" i="254" s="1"/>
  <c r="K662" i="254"/>
  <c r="L662" i="254" s="1"/>
  <c r="K661" i="254"/>
  <c r="L661" i="254" s="1"/>
  <c r="K660" i="254"/>
  <c r="L660" i="254" s="1"/>
  <c r="K659" i="254"/>
  <c r="L659" i="254" s="1"/>
  <c r="K658" i="254"/>
  <c r="L658" i="254" s="1"/>
  <c r="K657" i="254"/>
  <c r="L657" i="254" s="1"/>
  <c r="K656" i="254"/>
  <c r="L656" i="254" s="1"/>
  <c r="K655" i="254"/>
  <c r="L655" i="254" s="1"/>
  <c r="K654" i="254"/>
  <c r="L654" i="254" s="1"/>
  <c r="K653" i="254"/>
  <c r="L653" i="254" s="1"/>
  <c r="K652" i="254"/>
  <c r="L652" i="254" s="1"/>
  <c r="K651" i="254"/>
  <c r="L651" i="254" s="1"/>
  <c r="K650" i="254"/>
  <c r="L650" i="254" s="1"/>
  <c r="K649" i="254"/>
  <c r="L649" i="254" s="1"/>
  <c r="K648" i="254"/>
  <c r="L648" i="254" s="1"/>
  <c r="K647" i="254"/>
  <c r="L647" i="254" s="1"/>
  <c r="K646" i="254"/>
  <c r="L646" i="254" s="1"/>
  <c r="K645" i="254"/>
  <c r="L645" i="254" s="1"/>
  <c r="K644" i="254"/>
  <c r="L644" i="254" s="1"/>
  <c r="K643" i="254"/>
  <c r="L643" i="254" s="1"/>
  <c r="K634" i="254"/>
  <c r="L634" i="254" s="1"/>
  <c r="K630" i="254"/>
  <c r="L630" i="254" s="1"/>
  <c r="K627" i="254"/>
  <c r="L627" i="254" s="1"/>
  <c r="K619" i="254"/>
  <c r="L619" i="254" s="1"/>
  <c r="K639" i="254"/>
  <c r="L639" i="254" s="1"/>
  <c r="K620" i="254"/>
  <c r="L620" i="254" s="1"/>
  <c r="K642" i="254"/>
  <c r="L642" i="254" s="1"/>
  <c r="K636" i="254"/>
  <c r="L636" i="254" s="1"/>
  <c r="K628" i="254"/>
  <c r="L628" i="254" s="1"/>
  <c r="K621" i="254"/>
  <c r="L621" i="254" s="1"/>
  <c r="K633" i="254"/>
  <c r="L633" i="254" s="1"/>
  <c r="K631" i="254"/>
  <c r="L631" i="254" s="1"/>
  <c r="K622" i="254"/>
  <c r="L622" i="254" s="1"/>
  <c r="K641" i="254"/>
  <c r="L641" i="254" s="1"/>
  <c r="K638" i="254"/>
  <c r="L638" i="254" s="1"/>
  <c r="K623" i="254"/>
  <c r="L623" i="254" s="1"/>
  <c r="K615" i="254"/>
  <c r="L615" i="254" s="1"/>
  <c r="K614" i="254"/>
  <c r="L614" i="254" s="1"/>
  <c r="K613" i="254"/>
  <c r="L613" i="254" s="1"/>
  <c r="K612" i="254"/>
  <c r="L612" i="254" s="1"/>
  <c r="K611" i="254"/>
  <c r="L611" i="254" s="1"/>
  <c r="K610" i="254"/>
  <c r="L610" i="254" s="1"/>
  <c r="K609" i="254"/>
  <c r="L609" i="254" s="1"/>
  <c r="K608" i="254"/>
  <c r="L608" i="254" s="1"/>
  <c r="K607" i="254"/>
  <c r="L607" i="254" s="1"/>
  <c r="K606" i="254"/>
  <c r="L606" i="254" s="1"/>
  <c r="K605" i="254"/>
  <c r="L605" i="254" s="1"/>
  <c r="K604" i="254"/>
  <c r="L604" i="254" s="1"/>
  <c r="K603" i="254"/>
  <c r="L603" i="254" s="1"/>
  <c r="K602" i="254"/>
  <c r="L602" i="254" s="1"/>
  <c r="K601" i="254"/>
  <c r="L601" i="254" s="1"/>
  <c r="K600" i="254"/>
  <c r="L600" i="254" s="1"/>
  <c r="K599" i="254"/>
  <c r="L599" i="254" s="1"/>
  <c r="K598" i="254"/>
  <c r="L598" i="254" s="1"/>
  <c r="K597" i="254"/>
  <c r="L597" i="254" s="1"/>
  <c r="K596" i="254"/>
  <c r="L596" i="254" s="1"/>
  <c r="K595" i="254"/>
  <c r="L595" i="254" s="1"/>
  <c r="K594" i="254"/>
  <c r="L594" i="254" s="1"/>
  <c r="K593" i="254"/>
  <c r="L593" i="254" s="1"/>
  <c r="K592" i="254"/>
  <c r="L592" i="254" s="1"/>
  <c r="K591" i="254"/>
  <c r="L591" i="254" s="1"/>
  <c r="K590" i="254"/>
  <c r="L590" i="254" s="1"/>
  <c r="K589" i="254"/>
  <c r="L589" i="254" s="1"/>
  <c r="K588" i="254"/>
  <c r="L588" i="254" s="1"/>
  <c r="K587" i="254"/>
  <c r="L587" i="254" s="1"/>
  <c r="K586" i="254"/>
  <c r="L586" i="254" s="1"/>
  <c r="K585" i="254"/>
  <c r="L585" i="254" s="1"/>
  <c r="K584" i="254"/>
  <c r="L584" i="254" s="1"/>
  <c r="K583" i="254"/>
  <c r="L583" i="254" s="1"/>
  <c r="K582" i="254"/>
  <c r="L582" i="254" s="1"/>
  <c r="K581" i="254"/>
  <c r="L581" i="254" s="1"/>
  <c r="K580" i="254"/>
  <c r="L580" i="254" s="1"/>
  <c r="K579" i="254"/>
  <c r="L579" i="254" s="1"/>
  <c r="K578" i="254"/>
  <c r="L578" i="254" s="1"/>
  <c r="K577" i="254"/>
  <c r="L577" i="254" s="1"/>
  <c r="K576" i="254"/>
  <c r="L576" i="254" s="1"/>
  <c r="K575" i="254"/>
  <c r="L575" i="254" s="1"/>
  <c r="K574" i="254"/>
  <c r="L574" i="254" s="1"/>
  <c r="K573" i="254"/>
  <c r="L573" i="254" s="1"/>
  <c r="K572" i="254"/>
  <c r="L572" i="254" s="1"/>
  <c r="K571" i="254"/>
  <c r="L571" i="254" s="1"/>
  <c r="K635" i="254"/>
  <c r="L635" i="254" s="1"/>
  <c r="K629" i="254"/>
  <c r="L629" i="254" s="1"/>
  <c r="K624" i="254"/>
  <c r="L624" i="254" s="1"/>
  <c r="K616" i="254"/>
  <c r="L616" i="254" s="1"/>
  <c r="K640" i="254"/>
  <c r="L640" i="254" s="1"/>
  <c r="K625" i="254"/>
  <c r="L625" i="254" s="1"/>
  <c r="K617" i="254"/>
  <c r="L617" i="254" s="1"/>
  <c r="K637" i="254"/>
  <c r="L637" i="254" s="1"/>
  <c r="K632" i="254"/>
  <c r="L632" i="254" s="1"/>
  <c r="K626" i="254"/>
  <c r="L626" i="254" s="1"/>
  <c r="K618" i="254"/>
  <c r="L618" i="254" s="1"/>
  <c r="J400" i="254"/>
  <c r="J413" i="254"/>
  <c r="K711" i="254"/>
  <c r="L711" i="254" s="1"/>
  <c r="K703" i="254"/>
  <c r="L703" i="254" s="1"/>
  <c r="K709" i="254"/>
  <c r="L709" i="254" s="1"/>
  <c r="K712" i="254"/>
  <c r="L712" i="254" s="1"/>
  <c r="K704" i="254"/>
  <c r="L704" i="254" s="1"/>
  <c r="K701" i="254"/>
  <c r="L701" i="254" s="1"/>
  <c r="K570" i="254"/>
  <c r="L570" i="254" s="1"/>
  <c r="K569" i="254"/>
  <c r="L569" i="254" s="1"/>
  <c r="K568" i="254"/>
  <c r="L568" i="254" s="1"/>
  <c r="K567" i="254"/>
  <c r="L567" i="254" s="1"/>
  <c r="K566" i="254"/>
  <c r="L566" i="254" s="1"/>
  <c r="K565" i="254"/>
  <c r="L565" i="254" s="1"/>
  <c r="K564" i="254"/>
  <c r="L564" i="254" s="1"/>
  <c r="K563" i="254"/>
  <c r="L563" i="254" s="1"/>
  <c r="K562" i="254"/>
  <c r="L562" i="254" s="1"/>
  <c r="K561" i="254"/>
  <c r="L561" i="254" s="1"/>
  <c r="K560" i="254"/>
  <c r="L560" i="254" s="1"/>
  <c r="K559" i="254"/>
  <c r="L559" i="254" s="1"/>
  <c r="K558" i="254"/>
  <c r="L558" i="254" s="1"/>
  <c r="K557" i="254"/>
  <c r="L557" i="254" s="1"/>
  <c r="K556" i="254"/>
  <c r="L556" i="254" s="1"/>
  <c r="K555" i="254"/>
  <c r="L555" i="254" s="1"/>
  <c r="K554" i="254"/>
  <c r="L554" i="254" s="1"/>
  <c r="K553" i="254"/>
  <c r="L553" i="254" s="1"/>
  <c r="K552" i="254"/>
  <c r="L552" i="254" s="1"/>
  <c r="K551" i="254"/>
  <c r="L551" i="254" s="1"/>
  <c r="K550" i="254"/>
  <c r="L550" i="254" s="1"/>
  <c r="K549" i="254"/>
  <c r="L549" i="254" s="1"/>
  <c r="K548" i="254"/>
  <c r="L548" i="254" s="1"/>
  <c r="K547" i="254"/>
  <c r="L547" i="254" s="1"/>
  <c r="K546" i="254"/>
  <c r="L546" i="254" s="1"/>
  <c r="K545" i="254"/>
  <c r="L545" i="254" s="1"/>
  <c r="K544" i="254"/>
  <c r="L544" i="254" s="1"/>
  <c r="K543" i="254"/>
  <c r="L543" i="254" s="1"/>
  <c r="K542" i="254"/>
  <c r="L542" i="254" s="1"/>
  <c r="K541" i="254"/>
  <c r="L541" i="254" s="1"/>
  <c r="K540" i="254"/>
  <c r="L540" i="254" s="1"/>
  <c r="K539" i="254"/>
  <c r="L539" i="254" s="1"/>
  <c r="K538" i="254"/>
  <c r="L538" i="254" s="1"/>
  <c r="K537" i="254"/>
  <c r="L537" i="254" s="1"/>
  <c r="K536" i="254"/>
  <c r="L536" i="254" s="1"/>
  <c r="K535" i="254"/>
  <c r="L535" i="254" s="1"/>
  <c r="K534" i="254"/>
  <c r="L534" i="254" s="1"/>
  <c r="K533" i="254"/>
  <c r="L533" i="254" s="1"/>
  <c r="K532" i="254"/>
  <c r="L532" i="254" s="1"/>
  <c r="K531" i="254"/>
  <c r="L531" i="254" s="1"/>
  <c r="K530" i="254"/>
  <c r="L530" i="254" s="1"/>
  <c r="K529" i="254"/>
  <c r="L529" i="254" s="1"/>
  <c r="K528" i="254"/>
  <c r="L528" i="254" s="1"/>
  <c r="K527" i="254"/>
  <c r="L527" i="254" s="1"/>
  <c r="K526" i="254"/>
  <c r="L526" i="254" s="1"/>
  <c r="K525" i="254"/>
  <c r="L525" i="254" s="1"/>
  <c r="K524" i="254"/>
  <c r="L524" i="254" s="1"/>
  <c r="K523" i="254"/>
  <c r="L523" i="254" s="1"/>
  <c r="K522" i="254"/>
  <c r="L522" i="254" s="1"/>
  <c r="K521" i="254"/>
  <c r="L521" i="254" s="1"/>
  <c r="K520" i="254"/>
  <c r="L520" i="254" s="1"/>
  <c r="K519" i="254"/>
  <c r="L519" i="254" s="1"/>
  <c r="K518" i="254"/>
  <c r="L518" i="254" s="1"/>
  <c r="K517" i="254"/>
  <c r="L517" i="254" s="1"/>
  <c r="K516" i="254"/>
  <c r="L516" i="254" s="1"/>
  <c r="K515" i="254"/>
  <c r="L515" i="254" s="1"/>
  <c r="K707" i="254"/>
  <c r="L707" i="254" s="1"/>
  <c r="K715" i="254"/>
  <c r="L715" i="254" s="1"/>
  <c r="K710" i="254"/>
  <c r="L710" i="254" s="1"/>
  <c r="K702" i="254"/>
  <c r="L702" i="254" s="1"/>
  <c r="K713" i="254"/>
  <c r="L713" i="254" s="1"/>
  <c r="K705" i="254"/>
  <c r="L705" i="254" s="1"/>
  <c r="K507" i="254"/>
  <c r="L507" i="254" s="1"/>
  <c r="K503" i="254"/>
  <c r="L503" i="254" s="1"/>
  <c r="K499" i="254"/>
  <c r="L499" i="254" s="1"/>
  <c r="K495" i="254"/>
  <c r="L495" i="254" s="1"/>
  <c r="K490" i="254"/>
  <c r="L490" i="254" s="1"/>
  <c r="K483" i="254"/>
  <c r="L483" i="254" s="1"/>
  <c r="K478" i="254"/>
  <c r="L478" i="254" s="1"/>
  <c r="K472" i="254"/>
  <c r="L472" i="254" s="1"/>
  <c r="K466" i="254"/>
  <c r="L466" i="254" s="1"/>
  <c r="K460" i="254"/>
  <c r="L460" i="254" s="1"/>
  <c r="K454" i="254"/>
  <c r="L454" i="254" s="1"/>
  <c r="K513" i="254"/>
  <c r="L513" i="254" s="1"/>
  <c r="K492" i="254"/>
  <c r="L492" i="254" s="1"/>
  <c r="K484" i="254"/>
  <c r="L484" i="254" s="1"/>
  <c r="K476" i="254"/>
  <c r="L476" i="254" s="1"/>
  <c r="K470" i="254"/>
  <c r="L470" i="254" s="1"/>
  <c r="K464" i="254"/>
  <c r="L464" i="254" s="1"/>
  <c r="K457" i="254"/>
  <c r="L457" i="254" s="1"/>
  <c r="K511" i="254"/>
  <c r="L511" i="254" s="1"/>
  <c r="K714" i="254"/>
  <c r="L714" i="254" s="1"/>
  <c r="K706" i="254"/>
  <c r="L706" i="254" s="1"/>
  <c r="K510" i="254"/>
  <c r="L510" i="254" s="1"/>
  <c r="K508" i="254"/>
  <c r="L508" i="254" s="1"/>
  <c r="K504" i="254"/>
  <c r="L504" i="254" s="1"/>
  <c r="K500" i="254"/>
  <c r="L500" i="254" s="1"/>
  <c r="K496" i="254"/>
  <c r="L496" i="254" s="1"/>
  <c r="K509" i="254"/>
  <c r="L509" i="254" s="1"/>
  <c r="K488" i="254"/>
  <c r="L488" i="254" s="1"/>
  <c r="K480" i="254"/>
  <c r="L480" i="254" s="1"/>
  <c r="K473" i="254"/>
  <c r="L473" i="254" s="1"/>
  <c r="K468" i="254"/>
  <c r="L468" i="254" s="1"/>
  <c r="K462" i="254"/>
  <c r="L462" i="254" s="1"/>
  <c r="K506" i="254"/>
  <c r="L506" i="254" s="1"/>
  <c r="K485" i="254"/>
  <c r="L485" i="254" s="1"/>
  <c r="K474" i="254"/>
  <c r="L474" i="254" s="1"/>
  <c r="K465" i="254"/>
  <c r="L465" i="254" s="1"/>
  <c r="K459" i="254"/>
  <c r="L459" i="254" s="1"/>
  <c r="K453" i="254"/>
  <c r="L453" i="254" s="1"/>
  <c r="K512" i="254"/>
  <c r="L512" i="254" s="1"/>
  <c r="K505" i="254"/>
  <c r="L505" i="254" s="1"/>
  <c r="K501" i="254"/>
  <c r="L501" i="254" s="1"/>
  <c r="K497" i="254"/>
  <c r="L497" i="254" s="1"/>
  <c r="K708" i="254"/>
  <c r="L708" i="254" s="1"/>
  <c r="K498" i="254"/>
  <c r="L498" i="254" s="1"/>
  <c r="K494" i="254"/>
  <c r="L494" i="254" s="1"/>
  <c r="K491" i="254"/>
  <c r="L491" i="254" s="1"/>
  <c r="K487" i="254"/>
  <c r="L487" i="254" s="1"/>
  <c r="K482" i="254"/>
  <c r="L482" i="254" s="1"/>
  <c r="K477" i="254"/>
  <c r="L477" i="254" s="1"/>
  <c r="K471" i="254"/>
  <c r="L471" i="254" s="1"/>
  <c r="K467" i="254"/>
  <c r="L467" i="254" s="1"/>
  <c r="K461" i="254"/>
  <c r="L461" i="254" s="1"/>
  <c r="K456" i="254"/>
  <c r="L456" i="254" s="1"/>
  <c r="K514" i="254"/>
  <c r="L514" i="254" s="1"/>
  <c r="K502" i="254"/>
  <c r="L502" i="254" s="1"/>
  <c r="K493" i="254"/>
  <c r="L493" i="254" s="1"/>
  <c r="K489" i="254"/>
  <c r="L489" i="254" s="1"/>
  <c r="K486" i="254"/>
  <c r="L486" i="254" s="1"/>
  <c r="K481" i="254"/>
  <c r="L481" i="254" s="1"/>
  <c r="K479" i="254"/>
  <c r="L479" i="254" s="1"/>
  <c r="K475" i="254"/>
  <c r="L475" i="254" s="1"/>
  <c r="K469" i="254"/>
  <c r="L469" i="254" s="1"/>
  <c r="K463" i="254"/>
  <c r="L463" i="254" s="1"/>
  <c r="K458" i="254"/>
  <c r="L458" i="254" s="1"/>
  <c r="K455" i="254"/>
  <c r="L455" i="254" s="1"/>
  <c r="I403" i="254"/>
  <c r="J403" i="254"/>
  <c r="J399" i="254"/>
  <c r="I399" i="254"/>
  <c r="J410" i="254"/>
  <c r="I410" i="254"/>
  <c r="J402" i="254"/>
  <c r="I402" i="254"/>
  <c r="K402" i="254" s="1"/>
  <c r="L402" i="254" s="1"/>
  <c r="K452" i="254"/>
  <c r="L452" i="254" s="1"/>
  <c r="K451" i="254"/>
  <c r="L451" i="254" s="1"/>
  <c r="K450" i="254"/>
  <c r="L450" i="254" s="1"/>
  <c r="K449" i="254"/>
  <c r="L449" i="254" s="1"/>
  <c r="K448" i="254"/>
  <c r="L448" i="254" s="1"/>
  <c r="K447" i="254"/>
  <c r="L447" i="254" s="1"/>
  <c r="K446" i="254"/>
  <c r="L446" i="254" s="1"/>
  <c r="K445" i="254"/>
  <c r="L445" i="254" s="1"/>
  <c r="K444" i="254"/>
  <c r="L444" i="254" s="1"/>
  <c r="K443" i="254"/>
  <c r="L443" i="254" s="1"/>
  <c r="K442" i="254"/>
  <c r="L442" i="254" s="1"/>
  <c r="K441" i="254"/>
  <c r="L441" i="254" s="1"/>
  <c r="K440" i="254"/>
  <c r="L440" i="254" s="1"/>
  <c r="K439" i="254"/>
  <c r="L439" i="254" s="1"/>
  <c r="K438" i="254"/>
  <c r="L438" i="254" s="1"/>
  <c r="K437" i="254"/>
  <c r="L437" i="254" s="1"/>
  <c r="K436" i="254"/>
  <c r="L436" i="254" s="1"/>
  <c r="K435" i="254"/>
  <c r="L435" i="254" s="1"/>
  <c r="K434" i="254"/>
  <c r="L434" i="254" s="1"/>
  <c r="K433" i="254"/>
  <c r="L433" i="254" s="1"/>
  <c r="K432" i="254"/>
  <c r="L432" i="254" s="1"/>
  <c r="K431" i="254"/>
  <c r="L431" i="254" s="1"/>
  <c r="K430" i="254"/>
  <c r="L430" i="254" s="1"/>
  <c r="K429" i="254"/>
  <c r="L429" i="254" s="1"/>
  <c r="K428" i="254"/>
  <c r="L428" i="254" s="1"/>
  <c r="K427" i="254"/>
  <c r="L427" i="254" s="1"/>
  <c r="K426" i="254"/>
  <c r="L426" i="254" s="1"/>
  <c r="K425" i="254"/>
  <c r="L425" i="254" s="1"/>
  <c r="K424" i="254"/>
  <c r="L424" i="254" s="1"/>
  <c r="K423" i="254"/>
  <c r="L423" i="254" s="1"/>
  <c r="K422" i="254"/>
  <c r="L422" i="254" s="1"/>
  <c r="K421" i="254"/>
  <c r="L421" i="254" s="1"/>
  <c r="K420" i="254"/>
  <c r="L420" i="254" s="1"/>
  <c r="K419" i="254"/>
  <c r="L419" i="254" s="1"/>
  <c r="K418" i="254"/>
  <c r="L418" i="254" s="1"/>
  <c r="J405" i="254"/>
  <c r="I405" i="254"/>
  <c r="K405" i="254" s="1"/>
  <c r="L405" i="254" s="1"/>
  <c r="J412" i="254"/>
  <c r="I412" i="254"/>
  <c r="J401" i="254"/>
  <c r="I401" i="254"/>
  <c r="I408" i="254"/>
  <c r="J408" i="254"/>
  <c r="O111" i="254"/>
  <c r="O115" i="254"/>
  <c r="O119" i="254"/>
  <c r="O123" i="254"/>
  <c r="O127" i="254"/>
  <c r="O131" i="254"/>
  <c r="O135" i="254"/>
  <c r="O139" i="254"/>
  <c r="O143" i="254"/>
  <c r="O147" i="254"/>
  <c r="O151" i="254"/>
  <c r="O155" i="254"/>
  <c r="O159" i="254"/>
  <c r="O163" i="254"/>
  <c r="O167" i="254"/>
  <c r="O171" i="254"/>
  <c r="O113" i="254"/>
  <c r="O117" i="254"/>
  <c r="O121" i="254"/>
  <c r="O125" i="254"/>
  <c r="O129" i="254"/>
  <c r="O133" i="254"/>
  <c r="O137" i="254"/>
  <c r="O141" i="254"/>
  <c r="O145" i="254"/>
  <c r="O149" i="254"/>
  <c r="O153" i="254"/>
  <c r="O157" i="254"/>
  <c r="O161" i="254"/>
  <c r="O165" i="254"/>
  <c r="O169" i="254"/>
  <c r="O173" i="254"/>
  <c r="O177" i="254"/>
  <c r="O181" i="254"/>
  <c r="O185" i="254"/>
  <c r="O110" i="254"/>
  <c r="O114" i="254"/>
  <c r="O118" i="254"/>
  <c r="O122" i="254"/>
  <c r="O126" i="254"/>
  <c r="O130" i="254"/>
  <c r="O134" i="254"/>
  <c r="O138" i="254"/>
  <c r="O142" i="254"/>
  <c r="O146" i="254"/>
  <c r="O150" i="254"/>
  <c r="O154" i="254"/>
  <c r="O116" i="254"/>
  <c r="O132" i="254"/>
  <c r="O148" i="254"/>
  <c r="O160" i="254"/>
  <c r="O168" i="254"/>
  <c r="O175" i="254"/>
  <c r="O180" i="254"/>
  <c r="O186" i="254"/>
  <c r="O120" i="254"/>
  <c r="O136" i="254"/>
  <c r="O152" i="254"/>
  <c r="O162" i="254"/>
  <c r="O170" i="254"/>
  <c r="O176" i="254"/>
  <c r="O182" i="254"/>
  <c r="O187" i="254"/>
  <c r="O124" i="254"/>
  <c r="O140" i="254"/>
  <c r="O156" i="254"/>
  <c r="O164" i="254"/>
  <c r="O172" i="254"/>
  <c r="O178" i="254"/>
  <c r="O183" i="254"/>
  <c r="O188" i="254"/>
  <c r="O112" i="254"/>
  <c r="O128" i="254"/>
  <c r="O144" i="254"/>
  <c r="O158" i="254"/>
  <c r="O166" i="254"/>
  <c r="O174" i="254"/>
  <c r="O179" i="254"/>
  <c r="O184" i="254"/>
  <c r="O109" i="254"/>
  <c r="J411" i="254"/>
  <c r="I411" i="254"/>
  <c r="K411" i="254" s="1"/>
  <c r="L411" i="254" s="1"/>
  <c r="I407" i="254"/>
  <c r="J407" i="254"/>
  <c r="J409" i="254"/>
  <c r="I409" i="254"/>
  <c r="K409" i="254" s="1"/>
  <c r="L409" i="254" s="1"/>
  <c r="J404" i="254"/>
  <c r="I404" i="254"/>
  <c r="I349" i="254"/>
  <c r="K349" i="254" s="1"/>
  <c r="L349" i="254" s="1"/>
  <c r="I348" i="254"/>
  <c r="K348" i="254" s="1"/>
  <c r="L348" i="254" s="1"/>
  <c r="K412" i="254"/>
  <c r="L412" i="254" s="1"/>
  <c r="K413" i="254"/>
  <c r="L413" i="254" s="1"/>
  <c r="K400" i="254"/>
  <c r="L400" i="254" s="1"/>
  <c r="K406" i="254"/>
  <c r="L406" i="254" s="1"/>
  <c r="I185" i="254"/>
  <c r="K185" i="254" s="1"/>
  <c r="I354" i="254"/>
  <c r="K354" i="254" s="1"/>
  <c r="L354" i="254" s="1"/>
  <c r="I353" i="254"/>
  <c r="K353" i="254" s="1"/>
  <c r="L353" i="254" s="1"/>
  <c r="I351" i="254"/>
  <c r="K351" i="254" s="1"/>
  <c r="L351" i="254" s="1"/>
  <c r="I8" i="254"/>
  <c r="K8" i="254" s="1"/>
  <c r="L8" i="254" s="1"/>
  <c r="J384" i="254"/>
  <c r="I384" i="254"/>
  <c r="J16" i="254"/>
  <c r="K16" i="254" s="1"/>
  <c r="L16" i="254" s="1"/>
  <c r="J388" i="254"/>
  <c r="I388" i="254"/>
  <c r="I75" i="254"/>
  <c r="K75" i="254" s="1"/>
  <c r="L75" i="254" s="1"/>
  <c r="I387" i="254"/>
  <c r="J387" i="254"/>
  <c r="I386" i="254"/>
  <c r="K386" i="254" s="1"/>
  <c r="L386" i="254" s="1"/>
  <c r="J386" i="254"/>
  <c r="I385" i="254"/>
  <c r="J385" i="254"/>
  <c r="I99" i="254"/>
  <c r="K99" i="254" s="1"/>
  <c r="L99" i="254" s="1"/>
  <c r="I392" i="254"/>
  <c r="K392" i="254" s="1"/>
  <c r="L392" i="254" s="1"/>
  <c r="J389" i="254"/>
  <c r="I389" i="254"/>
  <c r="K389" i="254" s="1"/>
  <c r="L389" i="254" s="1"/>
  <c r="I72" i="254"/>
  <c r="K72" i="254" s="1"/>
  <c r="L72" i="254" s="1"/>
  <c r="I65" i="254"/>
  <c r="K65" i="254" s="1"/>
  <c r="L65" i="254" s="1"/>
  <c r="I153" i="254"/>
  <c r="K153" i="254" s="1"/>
  <c r="J350" i="254"/>
  <c r="J346" i="254"/>
  <c r="I346" i="254"/>
  <c r="K346" i="254" s="1"/>
  <c r="L346" i="254" s="1"/>
  <c r="J379" i="254"/>
  <c r="I379" i="254"/>
  <c r="K379" i="254" s="1"/>
  <c r="L379" i="254" s="1"/>
  <c r="J371" i="254"/>
  <c r="I371" i="254"/>
  <c r="J363" i="254"/>
  <c r="I363" i="254"/>
  <c r="K363" i="254" s="1"/>
  <c r="L363" i="254" s="1"/>
  <c r="J378" i="254"/>
  <c r="I378" i="254"/>
  <c r="K378" i="254" s="1"/>
  <c r="L378" i="254" s="1"/>
  <c r="J370" i="254"/>
  <c r="I370" i="254"/>
  <c r="K370" i="254" s="1"/>
  <c r="L370" i="254" s="1"/>
  <c r="J362" i="254"/>
  <c r="I362" i="254"/>
  <c r="J391" i="254"/>
  <c r="I391" i="254"/>
  <c r="K391" i="254" s="1"/>
  <c r="L391" i="254" s="1"/>
  <c r="J377" i="254"/>
  <c r="I377" i="254"/>
  <c r="K377" i="254" s="1"/>
  <c r="L377" i="254" s="1"/>
  <c r="J369" i="254"/>
  <c r="I369" i="254"/>
  <c r="K369" i="254" s="1"/>
  <c r="L369" i="254" s="1"/>
  <c r="J361" i="254"/>
  <c r="I361" i="254"/>
  <c r="J390" i="254"/>
  <c r="I390" i="254"/>
  <c r="K390" i="254" s="1"/>
  <c r="L390" i="254" s="1"/>
  <c r="J376" i="254"/>
  <c r="I376" i="254"/>
  <c r="K376" i="254" s="1"/>
  <c r="L376" i="254" s="1"/>
  <c r="J368" i="254"/>
  <c r="I368" i="254"/>
  <c r="K368" i="254" s="1"/>
  <c r="L368" i="254" s="1"/>
  <c r="J360" i="254"/>
  <c r="I360" i="254"/>
  <c r="J383" i="254"/>
  <c r="I383" i="254"/>
  <c r="K383" i="254" s="1"/>
  <c r="L383" i="254" s="1"/>
  <c r="J375" i="254"/>
  <c r="I375" i="254"/>
  <c r="K375" i="254" s="1"/>
  <c r="L375" i="254" s="1"/>
  <c r="J367" i="254"/>
  <c r="I367" i="254"/>
  <c r="K367" i="254" s="1"/>
  <c r="L367" i="254" s="1"/>
  <c r="J359" i="254"/>
  <c r="I359" i="254"/>
  <c r="J382" i="254"/>
  <c r="I382" i="254"/>
  <c r="K382" i="254" s="1"/>
  <c r="L382" i="254" s="1"/>
  <c r="J374" i="254"/>
  <c r="I374" i="254"/>
  <c r="K374" i="254" s="1"/>
  <c r="L374" i="254" s="1"/>
  <c r="J366" i="254"/>
  <c r="I366" i="254"/>
  <c r="K366" i="254" s="1"/>
  <c r="L366" i="254" s="1"/>
  <c r="J358" i="254"/>
  <c r="I358" i="254"/>
  <c r="J381" i="254"/>
  <c r="I381" i="254"/>
  <c r="K381" i="254" s="1"/>
  <c r="L381" i="254" s="1"/>
  <c r="J373" i="254"/>
  <c r="I373" i="254"/>
  <c r="K373" i="254" s="1"/>
  <c r="L373" i="254" s="1"/>
  <c r="J365" i="254"/>
  <c r="I365" i="254"/>
  <c r="K365" i="254" s="1"/>
  <c r="L365" i="254" s="1"/>
  <c r="J357" i="254"/>
  <c r="I357" i="254"/>
  <c r="I104" i="254"/>
  <c r="K104" i="254" s="1"/>
  <c r="L104" i="254" s="1"/>
  <c r="J380" i="254"/>
  <c r="I380" i="254"/>
  <c r="J372" i="254"/>
  <c r="I372" i="254"/>
  <c r="J364" i="254"/>
  <c r="I364" i="254"/>
  <c r="K364" i="254" s="1"/>
  <c r="L364" i="254" s="1"/>
  <c r="J356" i="254"/>
  <c r="I356" i="254"/>
  <c r="K356" i="254" s="1"/>
  <c r="L356" i="254" s="1"/>
  <c r="I76" i="254"/>
  <c r="K76" i="254" s="1"/>
  <c r="L76" i="254" s="1"/>
  <c r="I102" i="254"/>
  <c r="J102" i="254"/>
  <c r="I97" i="254"/>
  <c r="K97" i="254" s="1"/>
  <c r="L97" i="254" s="1"/>
  <c r="J105" i="254"/>
  <c r="I105" i="254"/>
  <c r="I161" i="254"/>
  <c r="K161" i="254" s="1"/>
  <c r="I103" i="254"/>
  <c r="K103" i="254" s="1"/>
  <c r="L103" i="254" s="1"/>
  <c r="J103" i="254"/>
  <c r="J101" i="254"/>
  <c r="I101" i="254"/>
  <c r="K101" i="254" s="1"/>
  <c r="L101" i="254" s="1"/>
  <c r="I84" i="254"/>
  <c r="K84" i="254" s="1"/>
  <c r="L84" i="254" s="1"/>
  <c r="J9" i="254"/>
  <c r="I98" i="254"/>
  <c r="J98" i="254"/>
  <c r="J100" i="254"/>
  <c r="I100" i="254"/>
  <c r="I81" i="254"/>
  <c r="J81" i="254"/>
  <c r="J83" i="254"/>
  <c r="I83" i="254"/>
  <c r="K83" i="254" s="1"/>
  <c r="L83" i="254" s="1"/>
  <c r="I73" i="254"/>
  <c r="J73" i="254"/>
  <c r="I33" i="254"/>
  <c r="K33" i="254" s="1"/>
  <c r="L33" i="254" s="1"/>
  <c r="I32" i="254"/>
  <c r="K32" i="254" s="1"/>
  <c r="L32" i="254" s="1"/>
  <c r="I82" i="254"/>
  <c r="J82" i="254"/>
  <c r="J86" i="254"/>
  <c r="I86" i="254"/>
  <c r="K86" i="254" s="1"/>
  <c r="L86" i="254" s="1"/>
  <c r="J77" i="254"/>
  <c r="I77" i="254"/>
  <c r="K77" i="254" s="1"/>
  <c r="L77" i="254" s="1"/>
  <c r="J79" i="254"/>
  <c r="I79" i="254"/>
  <c r="J85" i="254"/>
  <c r="I85" i="254"/>
  <c r="K85" i="254" s="1"/>
  <c r="L85" i="254" s="1"/>
  <c r="I74" i="254"/>
  <c r="J74" i="254"/>
  <c r="J80" i="254"/>
  <c r="I80" i="254"/>
  <c r="K80" i="254" s="1"/>
  <c r="L80" i="254" s="1"/>
  <c r="J78" i="254"/>
  <c r="I78" i="254"/>
  <c r="I96" i="254"/>
  <c r="J96" i="254"/>
  <c r="J94" i="254"/>
  <c r="I94" i="254"/>
  <c r="K94" i="254" s="1"/>
  <c r="L94" i="254" s="1"/>
  <c r="J106" i="254"/>
  <c r="I106" i="254"/>
  <c r="K106" i="254" s="1"/>
  <c r="L106" i="254" s="1"/>
  <c r="I145" i="254"/>
  <c r="K145" i="254" s="1"/>
  <c r="J25" i="254"/>
  <c r="K25" i="254" s="1"/>
  <c r="L25" i="254" s="1"/>
  <c r="J95" i="254"/>
  <c r="I95" i="254"/>
  <c r="K95" i="254" s="1"/>
  <c r="L95" i="254" s="1"/>
  <c r="J92" i="254"/>
  <c r="I92" i="254"/>
  <c r="K92" i="254" s="1"/>
  <c r="I298" i="254"/>
  <c r="K298" i="254" s="1"/>
  <c r="L298" i="254" s="1"/>
  <c r="J89" i="254"/>
  <c r="I89" i="254"/>
  <c r="K89" i="254" s="1"/>
  <c r="L89" i="254" s="1"/>
  <c r="J90" i="254"/>
  <c r="I90" i="254"/>
  <c r="J93" i="254"/>
  <c r="I93" i="254"/>
  <c r="J91" i="254"/>
  <c r="I91" i="254"/>
  <c r="I31" i="254"/>
  <c r="K31" i="254" s="1"/>
  <c r="L31" i="254" s="1"/>
  <c r="J70" i="254"/>
  <c r="I70" i="254"/>
  <c r="I71" i="254"/>
  <c r="J71" i="254"/>
  <c r="J69" i="254"/>
  <c r="I69" i="254"/>
  <c r="K69" i="254" s="1"/>
  <c r="L69" i="254" s="1"/>
  <c r="I169" i="254"/>
  <c r="K169" i="254" s="1"/>
  <c r="J68" i="254"/>
  <c r="I68" i="254"/>
  <c r="K68" i="254" s="1"/>
  <c r="L68" i="254" s="1"/>
  <c r="I17" i="254"/>
  <c r="K17" i="254" s="1"/>
  <c r="L17" i="254" s="1"/>
  <c r="I24" i="254"/>
  <c r="K24" i="254" s="1"/>
  <c r="L24" i="254" s="1"/>
  <c r="I64" i="254"/>
  <c r="K64" i="254" s="1"/>
  <c r="L64" i="254" s="1"/>
  <c r="J67" i="254"/>
  <c r="I67" i="254"/>
  <c r="K67" i="254" s="1"/>
  <c r="J66" i="254"/>
  <c r="I66" i="254"/>
  <c r="K66" i="254" s="1"/>
  <c r="L66" i="254" s="1"/>
  <c r="I212" i="254"/>
  <c r="K212" i="254" s="1"/>
  <c r="L212" i="254" s="1"/>
  <c r="I37" i="254"/>
  <c r="K37" i="254" s="1"/>
  <c r="J37" i="254"/>
  <c r="I7" i="254"/>
  <c r="K7" i="254" s="1"/>
  <c r="L7" i="254" s="1"/>
  <c r="J7" i="254"/>
  <c r="J27" i="254"/>
  <c r="I27" i="254"/>
  <c r="I36" i="254"/>
  <c r="J36" i="254"/>
  <c r="J30" i="254"/>
  <c r="I30" i="254"/>
  <c r="J21" i="254"/>
  <c r="I21" i="254"/>
  <c r="J41" i="254"/>
  <c r="I41" i="254"/>
  <c r="J53" i="254"/>
  <c r="I53" i="254"/>
  <c r="K53" i="254" s="1"/>
  <c r="L53" i="254" s="1"/>
  <c r="J56" i="254"/>
  <c r="I56" i="254"/>
  <c r="J19" i="254"/>
  <c r="I19" i="254"/>
  <c r="J47" i="254"/>
  <c r="I47" i="254"/>
  <c r="J18" i="254"/>
  <c r="I18" i="254"/>
  <c r="K18" i="254" s="1"/>
  <c r="L18" i="254" s="1"/>
  <c r="I58" i="254"/>
  <c r="K58" i="254" s="1"/>
  <c r="L58" i="254" s="1"/>
  <c r="J58" i="254"/>
  <c r="J57" i="254"/>
  <c r="I57" i="254"/>
  <c r="J22" i="254"/>
  <c r="I22" i="254"/>
  <c r="J13" i="254"/>
  <c r="I13" i="254"/>
  <c r="K13" i="254" s="1"/>
  <c r="L13" i="254" s="1"/>
  <c r="J28" i="254"/>
  <c r="I28" i="254"/>
  <c r="J54" i="254"/>
  <c r="I54" i="254"/>
  <c r="J46" i="254"/>
  <c r="I46" i="254"/>
  <c r="J59" i="254"/>
  <c r="I59" i="254"/>
  <c r="K59" i="254" s="1"/>
  <c r="L59" i="254" s="1"/>
  <c r="I23" i="254"/>
  <c r="K23" i="254" s="1"/>
  <c r="J23" i="254"/>
  <c r="J42" i="254"/>
  <c r="I42" i="254"/>
  <c r="J48" i="254"/>
  <c r="I48" i="254"/>
  <c r="J11" i="254"/>
  <c r="I11" i="254"/>
  <c r="K11" i="254" s="1"/>
  <c r="J39" i="254"/>
  <c r="I39" i="254"/>
  <c r="J14" i="254"/>
  <c r="I14" i="254"/>
  <c r="J20" i="254"/>
  <c r="I20" i="254"/>
  <c r="J52" i="254"/>
  <c r="I52" i="254"/>
  <c r="K52" i="254" s="1"/>
  <c r="J10" i="254"/>
  <c r="I10" i="254"/>
  <c r="J38" i="254"/>
  <c r="I38" i="254"/>
  <c r="J45" i="254"/>
  <c r="I45" i="254"/>
  <c r="I15" i="254"/>
  <c r="J15" i="254"/>
  <c r="J43" i="254"/>
  <c r="I43" i="254"/>
  <c r="J40" i="254"/>
  <c r="I40" i="254"/>
  <c r="J61" i="254"/>
  <c r="I61" i="254"/>
  <c r="L9" i="254"/>
  <c r="I44" i="254"/>
  <c r="K44" i="254" s="1"/>
  <c r="J44" i="254"/>
  <c r="J6" i="254"/>
  <c r="K6" i="254" s="1"/>
  <c r="L6" i="254" s="1"/>
  <c r="J29" i="254"/>
  <c r="I29" i="254"/>
  <c r="K29" i="254" s="1"/>
  <c r="L29" i="254" s="1"/>
  <c r="J55" i="254"/>
  <c r="I55" i="254"/>
  <c r="J12" i="254"/>
  <c r="I12" i="254"/>
  <c r="K12" i="254" s="1"/>
  <c r="L12" i="254" s="1"/>
  <c r="J26" i="254"/>
  <c r="I26" i="254"/>
  <c r="K26" i="254" s="1"/>
  <c r="J60" i="254"/>
  <c r="I60" i="254"/>
  <c r="K60" i="254" s="1"/>
  <c r="L60" i="254" s="1"/>
  <c r="J336" i="254"/>
  <c r="I336" i="254"/>
  <c r="J337" i="254"/>
  <c r="I337" i="254"/>
  <c r="K337" i="254" s="1"/>
  <c r="L337" i="254" s="1"/>
  <c r="I332" i="254"/>
  <c r="J332" i="254"/>
  <c r="J329" i="254"/>
  <c r="I329" i="254"/>
  <c r="K329" i="254" s="1"/>
  <c r="L329" i="254" s="1"/>
  <c r="J331" i="254"/>
  <c r="I331" i="254"/>
  <c r="I264" i="254"/>
  <c r="K264" i="254" s="1"/>
  <c r="L264" i="254" s="1"/>
  <c r="J333" i="254"/>
  <c r="I333" i="254"/>
  <c r="J330" i="254"/>
  <c r="I330" i="254"/>
  <c r="J334" i="254"/>
  <c r="I334" i="254"/>
  <c r="K334" i="254" s="1"/>
  <c r="L334" i="254" s="1"/>
  <c r="J323" i="254"/>
  <c r="I323" i="254"/>
  <c r="I327" i="254"/>
  <c r="K327" i="254" s="1"/>
  <c r="L327" i="254" s="1"/>
  <c r="J327" i="254"/>
  <c r="J325" i="254"/>
  <c r="I325" i="254"/>
  <c r="J328" i="254"/>
  <c r="I328" i="254"/>
  <c r="K328" i="254" s="1"/>
  <c r="L328" i="254" s="1"/>
  <c r="J335" i="254"/>
  <c r="I335" i="254"/>
  <c r="J322" i="254"/>
  <c r="I322" i="254"/>
  <c r="J326" i="254"/>
  <c r="I326" i="254"/>
  <c r="J173" i="254"/>
  <c r="K173" i="254" s="1"/>
  <c r="J320" i="254"/>
  <c r="I320" i="254"/>
  <c r="J324" i="254"/>
  <c r="I324" i="254"/>
  <c r="K324" i="254" s="1"/>
  <c r="L324" i="254" s="1"/>
  <c r="I321" i="254"/>
  <c r="J321" i="254"/>
  <c r="J311" i="254"/>
  <c r="I311" i="254"/>
  <c r="K311" i="254" s="1"/>
  <c r="L311" i="254" s="1"/>
  <c r="I292" i="254"/>
  <c r="K292" i="254" s="1"/>
  <c r="L292" i="254" s="1"/>
  <c r="J309" i="254"/>
  <c r="I309" i="254"/>
  <c r="I317" i="254"/>
  <c r="K317" i="254" s="1"/>
  <c r="L317" i="254" s="1"/>
  <c r="J300" i="254"/>
  <c r="I300" i="254"/>
  <c r="K300" i="254" s="1"/>
  <c r="L300" i="254" s="1"/>
  <c r="I263" i="254"/>
  <c r="K263" i="254" s="1"/>
  <c r="L263" i="254" s="1"/>
  <c r="I307" i="254"/>
  <c r="K307" i="254" s="1"/>
  <c r="L307" i="254" s="1"/>
  <c r="J316" i="254"/>
  <c r="I316" i="254"/>
  <c r="I130" i="254"/>
  <c r="K130" i="254" s="1"/>
  <c r="I312" i="254"/>
  <c r="K312" i="254" s="1"/>
  <c r="L312" i="254" s="1"/>
  <c r="J312" i="254"/>
  <c r="J313" i="254"/>
  <c r="I313" i="254"/>
  <c r="I296" i="254"/>
  <c r="K296" i="254" s="1"/>
  <c r="L296" i="254" s="1"/>
  <c r="I306" i="254"/>
  <c r="K306" i="254" s="1"/>
  <c r="L306" i="254" s="1"/>
  <c r="J306" i="254"/>
  <c r="J302" i="254"/>
  <c r="I302" i="254"/>
  <c r="K302" i="254" s="1"/>
  <c r="L302" i="254" s="1"/>
  <c r="J342" i="254"/>
  <c r="J303" i="254"/>
  <c r="I303" i="254"/>
  <c r="I295" i="254"/>
  <c r="J295" i="254"/>
  <c r="I149" i="254"/>
  <c r="K149" i="254" s="1"/>
  <c r="J290" i="254"/>
  <c r="I290" i="254"/>
  <c r="K290" i="254" s="1"/>
  <c r="L290" i="254" s="1"/>
  <c r="I285" i="254"/>
  <c r="K285" i="254" s="1"/>
  <c r="L285" i="254" s="1"/>
  <c r="J291" i="254"/>
  <c r="I291" i="254"/>
  <c r="J286" i="254"/>
  <c r="I286" i="254"/>
  <c r="K286" i="254" s="1"/>
  <c r="L286" i="254" s="1"/>
  <c r="I279" i="254"/>
  <c r="K279" i="254" s="1"/>
  <c r="L279" i="254" s="1"/>
  <c r="I284" i="254"/>
  <c r="J284" i="254"/>
  <c r="I141" i="254"/>
  <c r="K141" i="254" s="1"/>
  <c r="I110" i="254"/>
  <c r="K110" i="254" s="1"/>
  <c r="J281" i="254"/>
  <c r="I281" i="254"/>
  <c r="K281" i="254" s="1"/>
  <c r="L281" i="254" s="1"/>
  <c r="I278" i="254"/>
  <c r="K278" i="254" s="1"/>
  <c r="L278" i="254" s="1"/>
  <c r="J278" i="254"/>
  <c r="J273" i="254"/>
  <c r="I273" i="254"/>
  <c r="K273" i="254" s="1"/>
  <c r="L273" i="254" s="1"/>
  <c r="J274" i="254"/>
  <c r="I274" i="254"/>
  <c r="K274" i="254" s="1"/>
  <c r="L274" i="254" s="1"/>
  <c r="I244" i="254"/>
  <c r="K244" i="254" s="1"/>
  <c r="L244" i="254" s="1"/>
  <c r="I162" i="254"/>
  <c r="K162" i="254" s="1"/>
  <c r="I308" i="254"/>
  <c r="K308" i="254" s="1"/>
  <c r="L308" i="254" s="1"/>
  <c r="I150" i="254"/>
  <c r="K150" i="254" s="1"/>
  <c r="I340" i="254"/>
  <c r="K340" i="254" s="1"/>
  <c r="L340" i="254" s="1"/>
  <c r="J269" i="254"/>
  <c r="I269" i="254"/>
  <c r="I133" i="254"/>
  <c r="K133" i="254" s="1"/>
  <c r="I276" i="254"/>
  <c r="K276" i="254" s="1"/>
  <c r="L276" i="254" s="1"/>
  <c r="J268" i="254"/>
  <c r="I268" i="254"/>
  <c r="K268" i="254" s="1"/>
  <c r="L268" i="254" s="1"/>
  <c r="J319" i="254"/>
  <c r="I319" i="254"/>
  <c r="J315" i="254"/>
  <c r="I315" i="254"/>
  <c r="I339" i="254"/>
  <c r="K339" i="254" s="1"/>
  <c r="L339" i="254" s="1"/>
  <c r="J339" i="254"/>
  <c r="I305" i="254"/>
  <c r="J305" i="254"/>
  <c r="I288" i="254"/>
  <c r="K288" i="254" s="1"/>
  <c r="L288" i="254" s="1"/>
  <c r="J288" i="254"/>
  <c r="J271" i="254"/>
  <c r="I271" i="254"/>
  <c r="J267" i="254"/>
  <c r="I267" i="254"/>
  <c r="J310" i="254"/>
  <c r="I310" i="254"/>
  <c r="K310" i="254" s="1"/>
  <c r="L310" i="254" s="1"/>
  <c r="J277" i="254"/>
  <c r="I277" i="254"/>
  <c r="J287" i="254"/>
  <c r="I287" i="254"/>
  <c r="J294" i="254"/>
  <c r="I294" i="254"/>
  <c r="I138" i="254"/>
  <c r="K138" i="254" s="1"/>
  <c r="J283" i="254"/>
  <c r="I283" i="254"/>
  <c r="J280" i="254"/>
  <c r="I280" i="254"/>
  <c r="K280" i="254" s="1"/>
  <c r="L280" i="254" s="1"/>
  <c r="I126" i="254"/>
  <c r="K126" i="254" s="1"/>
  <c r="I338" i="254"/>
  <c r="K338" i="254" s="1"/>
  <c r="L338" i="254" s="1"/>
  <c r="J338" i="254"/>
  <c r="J301" i="254"/>
  <c r="I301" i="254"/>
  <c r="K301" i="254" s="1"/>
  <c r="L301" i="254" s="1"/>
  <c r="J297" i="254"/>
  <c r="I297" i="254"/>
  <c r="I304" i="254"/>
  <c r="K304" i="254" s="1"/>
  <c r="L304" i="254" s="1"/>
  <c r="J304" i="254"/>
  <c r="J282" i="254"/>
  <c r="I282" i="254"/>
  <c r="I275" i="254"/>
  <c r="J275" i="254"/>
  <c r="J299" i="254"/>
  <c r="I299" i="254"/>
  <c r="I289" i="254"/>
  <c r="K289" i="254" s="1"/>
  <c r="L289" i="254" s="1"/>
  <c r="J289" i="254"/>
  <c r="I272" i="254"/>
  <c r="K272" i="254" s="1"/>
  <c r="L272" i="254" s="1"/>
  <c r="J272" i="254"/>
  <c r="J318" i="254"/>
  <c r="I318" i="254"/>
  <c r="K318" i="254" s="1"/>
  <c r="L318" i="254" s="1"/>
  <c r="J314" i="254"/>
  <c r="I314" i="254"/>
  <c r="J270" i="254"/>
  <c r="I270" i="254"/>
  <c r="J266" i="254"/>
  <c r="I266" i="254"/>
  <c r="J293" i="254"/>
  <c r="I293" i="254"/>
  <c r="K293" i="254" s="1"/>
  <c r="L293" i="254" s="1"/>
  <c r="J265" i="254"/>
  <c r="I265" i="254"/>
  <c r="J137" i="254"/>
  <c r="I250" i="254"/>
  <c r="K250" i="254" s="1"/>
  <c r="L250" i="254" s="1"/>
  <c r="J129" i="254"/>
  <c r="K129" i="254" s="1"/>
  <c r="I343" i="254"/>
  <c r="K343" i="254" s="1"/>
  <c r="L343" i="254" s="1"/>
  <c r="I128" i="254"/>
  <c r="K128" i="254" s="1"/>
  <c r="I132" i="254"/>
  <c r="K132" i="254" s="1"/>
  <c r="I249" i="254"/>
  <c r="K249" i="254" s="1"/>
  <c r="L249" i="254" s="1"/>
  <c r="J249" i="254"/>
  <c r="I235" i="254"/>
  <c r="K235" i="254" s="1"/>
  <c r="L235" i="254" s="1"/>
  <c r="I134" i="254"/>
  <c r="K134" i="254" s="1"/>
  <c r="J147" i="254"/>
  <c r="K147" i="254" s="1"/>
  <c r="I245" i="254"/>
  <c r="J245" i="254"/>
  <c r="J246" i="254"/>
  <c r="I246" i="254"/>
  <c r="I115" i="254"/>
  <c r="K115" i="254" s="1"/>
  <c r="J178" i="254"/>
  <c r="K178" i="254" s="1"/>
  <c r="I186" i="254"/>
  <c r="K186" i="254" s="1"/>
  <c r="J243" i="254"/>
  <c r="I243" i="254"/>
  <c r="I182" i="254"/>
  <c r="K182" i="254" s="1"/>
  <c r="I192" i="254"/>
  <c r="K192" i="254" s="1"/>
  <c r="L192" i="254" s="1"/>
  <c r="I181" i="254"/>
  <c r="K181" i="254" s="1"/>
  <c r="I148" i="254"/>
  <c r="K148" i="254" s="1"/>
  <c r="J118" i="254"/>
  <c r="I221" i="254"/>
  <c r="K221" i="254" s="1"/>
  <c r="L221" i="254" s="1"/>
  <c r="I227" i="254"/>
  <c r="K227" i="254" s="1"/>
  <c r="L227" i="254" s="1"/>
  <c r="I124" i="254"/>
  <c r="K124" i="254" s="1"/>
  <c r="J120" i="254"/>
  <c r="I165" i="254"/>
  <c r="K165" i="254" s="1"/>
  <c r="I174" i="254"/>
  <c r="K174" i="254" s="1"/>
  <c r="I139" i="254"/>
  <c r="K139" i="254" s="1"/>
  <c r="I122" i="254"/>
  <c r="K122" i="254" s="1"/>
  <c r="I166" i="254"/>
  <c r="K166" i="254" s="1"/>
  <c r="I170" i="254"/>
  <c r="K170" i="254" s="1"/>
  <c r="J231" i="254"/>
  <c r="I231" i="254"/>
  <c r="K231" i="254" s="1"/>
  <c r="L231" i="254" s="1"/>
  <c r="I226" i="254"/>
  <c r="K226" i="254" s="1"/>
  <c r="L226" i="254" s="1"/>
  <c r="J226" i="254"/>
  <c r="I146" i="254"/>
  <c r="J146" i="254"/>
  <c r="I144" i="254"/>
  <c r="K144" i="254" s="1"/>
  <c r="I159" i="254"/>
  <c r="K159" i="254" s="1"/>
  <c r="I262" i="254"/>
  <c r="K262" i="254" s="1"/>
  <c r="L262" i="254" s="1"/>
  <c r="I123" i="254"/>
  <c r="K123" i="254" s="1"/>
  <c r="I164" i="254"/>
  <c r="K164" i="254" s="1"/>
  <c r="I206" i="254"/>
  <c r="K206" i="254" s="1"/>
  <c r="L206" i="254" s="1"/>
  <c r="J213" i="254"/>
  <c r="I213" i="254"/>
  <c r="K213" i="254" s="1"/>
  <c r="L213" i="254" s="1"/>
  <c r="I127" i="254"/>
  <c r="K127" i="254" s="1"/>
  <c r="I142" i="254"/>
  <c r="K142" i="254" s="1"/>
  <c r="I131" i="254"/>
  <c r="K131" i="254" s="1"/>
  <c r="I168" i="254"/>
  <c r="K168" i="254" s="1"/>
  <c r="I191" i="254"/>
  <c r="K191" i="254" s="1"/>
  <c r="L191" i="254" s="1"/>
  <c r="I116" i="254"/>
  <c r="K116" i="254" s="1"/>
  <c r="I176" i="254"/>
  <c r="K176" i="254" s="1"/>
  <c r="J112" i="254"/>
  <c r="I158" i="254"/>
  <c r="K158" i="254" s="1"/>
  <c r="I180" i="254"/>
  <c r="K180" i="254" s="1"/>
  <c r="I113" i="254"/>
  <c r="K113" i="254" s="1"/>
  <c r="I199" i="254"/>
  <c r="K199" i="254" s="1"/>
  <c r="L199" i="254" s="1"/>
  <c r="I154" i="254"/>
  <c r="K154" i="254" s="1"/>
  <c r="I157" i="254"/>
  <c r="K157" i="254" s="1"/>
  <c r="I341" i="254"/>
  <c r="K341" i="254" s="1"/>
  <c r="L341" i="254" s="1"/>
  <c r="J238" i="254"/>
  <c r="I238" i="254"/>
  <c r="J197" i="254"/>
  <c r="I197" i="254"/>
  <c r="J259" i="254"/>
  <c r="I259" i="254"/>
  <c r="K259" i="254" s="1"/>
  <c r="L259" i="254" s="1"/>
  <c r="J237" i="254"/>
  <c r="I237" i="254"/>
  <c r="J216" i="254"/>
  <c r="I216" i="254"/>
  <c r="J205" i="254"/>
  <c r="I205" i="254"/>
  <c r="I156" i="254"/>
  <c r="K156" i="254" s="1"/>
  <c r="J167" i="254"/>
  <c r="K167" i="254" s="1"/>
  <c r="J258" i="254"/>
  <c r="I258" i="254"/>
  <c r="J248" i="254"/>
  <c r="I248" i="254"/>
  <c r="J236" i="254"/>
  <c r="I236" i="254"/>
  <c r="J224" i="254"/>
  <c r="I224" i="254"/>
  <c r="K224" i="254" s="1"/>
  <c r="L224" i="254" s="1"/>
  <c r="J215" i="254"/>
  <c r="I215" i="254"/>
  <c r="J204" i="254"/>
  <c r="I204" i="254"/>
  <c r="J195" i="254"/>
  <c r="I195" i="254"/>
  <c r="J251" i="254"/>
  <c r="I251" i="254"/>
  <c r="K251" i="254" s="1"/>
  <c r="L251" i="254" s="1"/>
  <c r="J225" i="254"/>
  <c r="I225" i="254"/>
  <c r="J196" i="254"/>
  <c r="I196" i="254"/>
  <c r="J257" i="254"/>
  <c r="I257" i="254"/>
  <c r="J247" i="254"/>
  <c r="I247" i="254"/>
  <c r="K247" i="254" s="1"/>
  <c r="L247" i="254" s="1"/>
  <c r="J234" i="254"/>
  <c r="I234" i="254"/>
  <c r="J223" i="254"/>
  <c r="I223" i="254"/>
  <c r="J214" i="254"/>
  <c r="I214" i="254"/>
  <c r="J203" i="254"/>
  <c r="I203" i="254"/>
  <c r="K203" i="254" s="1"/>
  <c r="L203" i="254" s="1"/>
  <c r="J194" i="254"/>
  <c r="I194" i="254"/>
  <c r="J252" i="254"/>
  <c r="I252" i="254"/>
  <c r="J217" i="254"/>
  <c r="I217" i="254"/>
  <c r="I152" i="254"/>
  <c r="K152" i="254" s="1"/>
  <c r="I111" i="254"/>
  <c r="K111" i="254" s="1"/>
  <c r="I175" i="254"/>
  <c r="K175" i="254" s="1"/>
  <c r="J256" i="254"/>
  <c r="I256" i="254"/>
  <c r="K256" i="254" s="1"/>
  <c r="L256" i="254" s="1"/>
  <c r="J242" i="254"/>
  <c r="I242" i="254"/>
  <c r="K242" i="254" s="1"/>
  <c r="L242" i="254" s="1"/>
  <c r="J233" i="254"/>
  <c r="I233" i="254"/>
  <c r="K233" i="254" s="1"/>
  <c r="L233" i="254" s="1"/>
  <c r="J222" i="254"/>
  <c r="I222" i="254"/>
  <c r="J211" i="254"/>
  <c r="I211" i="254"/>
  <c r="K211" i="254" s="1"/>
  <c r="L211" i="254" s="1"/>
  <c r="J202" i="254"/>
  <c r="I202" i="254"/>
  <c r="K202" i="254" s="1"/>
  <c r="L202" i="254" s="1"/>
  <c r="J193" i="254"/>
  <c r="I193" i="254"/>
  <c r="K193" i="254" s="1"/>
  <c r="L193" i="254" s="1"/>
  <c r="J207" i="254"/>
  <c r="I207" i="254"/>
  <c r="I114" i="254"/>
  <c r="K114" i="254" s="1"/>
  <c r="J255" i="254"/>
  <c r="I255" i="254"/>
  <c r="J241" i="254"/>
  <c r="I241" i="254"/>
  <c r="J232" i="254"/>
  <c r="I232" i="254"/>
  <c r="K232" i="254" s="1"/>
  <c r="L232" i="254" s="1"/>
  <c r="J220" i="254"/>
  <c r="I220" i="254"/>
  <c r="J210" i="254"/>
  <c r="I210" i="254"/>
  <c r="J201" i="254"/>
  <c r="I201" i="254"/>
  <c r="J228" i="254"/>
  <c r="I228" i="254"/>
  <c r="K228" i="254" s="1"/>
  <c r="L228" i="254" s="1"/>
  <c r="I117" i="254"/>
  <c r="K117" i="254" s="1"/>
  <c r="I125" i="254"/>
  <c r="K125" i="254" s="1"/>
  <c r="I160" i="254"/>
  <c r="K160" i="254" s="1"/>
  <c r="J254" i="254"/>
  <c r="I254" i="254"/>
  <c r="K254" i="254" s="1"/>
  <c r="L254" i="254" s="1"/>
  <c r="J240" i="254"/>
  <c r="I240" i="254"/>
  <c r="K240" i="254" s="1"/>
  <c r="L240" i="254" s="1"/>
  <c r="J230" i="254"/>
  <c r="I230" i="254"/>
  <c r="J219" i="254"/>
  <c r="I219" i="254"/>
  <c r="K219" i="254" s="1"/>
  <c r="L219" i="254" s="1"/>
  <c r="J209" i="254"/>
  <c r="I209" i="254"/>
  <c r="K209" i="254" s="1"/>
  <c r="L209" i="254" s="1"/>
  <c r="J200" i="254"/>
  <c r="I200" i="254"/>
  <c r="K200" i="254" s="1"/>
  <c r="L200" i="254" s="1"/>
  <c r="J253" i="254"/>
  <c r="I253" i="254"/>
  <c r="J239" i="254"/>
  <c r="I239" i="254"/>
  <c r="K239" i="254" s="1"/>
  <c r="L239" i="254" s="1"/>
  <c r="J229" i="254"/>
  <c r="I229" i="254"/>
  <c r="K229" i="254" s="1"/>
  <c r="L229" i="254" s="1"/>
  <c r="J218" i="254"/>
  <c r="I218" i="254"/>
  <c r="K218" i="254" s="1"/>
  <c r="L218" i="254" s="1"/>
  <c r="J208" i="254"/>
  <c r="I208" i="254"/>
  <c r="J198" i="254"/>
  <c r="I198" i="254"/>
  <c r="K198" i="254" s="1"/>
  <c r="L198" i="254" s="1"/>
  <c r="I140" i="254"/>
  <c r="K140" i="254" s="1"/>
  <c r="I171" i="254"/>
  <c r="K171" i="254" s="1"/>
  <c r="J171" i="254"/>
  <c r="J136" i="254"/>
  <c r="I136" i="254"/>
  <c r="K136" i="254" s="1"/>
  <c r="I179" i="254"/>
  <c r="K179" i="254" s="1"/>
  <c r="J179" i="254"/>
  <c r="J155" i="254"/>
  <c r="I155" i="254"/>
  <c r="J151" i="254"/>
  <c r="J119" i="254"/>
  <c r="I119" i="254"/>
  <c r="K119" i="254" s="1"/>
  <c r="J183" i="254"/>
  <c r="I183" i="254"/>
  <c r="J187" i="254"/>
  <c r="I187" i="254"/>
  <c r="K187" i="254" s="1"/>
  <c r="I172" i="254"/>
  <c r="J172" i="254"/>
  <c r="I121" i="254"/>
  <c r="K121" i="254" s="1"/>
  <c r="I163" i="254"/>
  <c r="K163" i="254" s="1"/>
  <c r="J135" i="254"/>
  <c r="I135" i="254"/>
  <c r="I184" i="254"/>
  <c r="J184" i="254"/>
  <c r="I188" i="254"/>
  <c r="J188" i="254"/>
  <c r="I143" i="254"/>
  <c r="J143" i="254"/>
  <c r="K118" i="254"/>
  <c r="K355" i="254"/>
  <c r="L355" i="254" s="1"/>
  <c r="K350" i="254"/>
  <c r="L350" i="254" s="1"/>
  <c r="K137" i="254"/>
  <c r="K151" i="254"/>
  <c r="K941" i="254"/>
  <c r="L941" i="254" s="1"/>
  <c r="K939" i="254"/>
  <c r="L939" i="254" s="1"/>
  <c r="K947" i="254"/>
  <c r="L947" i="254" s="1"/>
  <c r="K942" i="254"/>
  <c r="L942" i="254" s="1"/>
  <c r="K352" i="254"/>
  <c r="L352" i="254" s="1"/>
  <c r="K112" i="254"/>
  <c r="K120" i="254"/>
  <c r="K945" i="254"/>
  <c r="L945" i="254" s="1"/>
  <c r="K417" i="254"/>
  <c r="L417" i="254" s="1"/>
  <c r="K944" i="254"/>
  <c r="L944" i="254" s="1"/>
  <c r="K342" i="254"/>
  <c r="L342" i="254" s="1"/>
  <c r="K946" i="254"/>
  <c r="L946" i="254" s="1"/>
  <c r="K416" i="254"/>
  <c r="L416" i="254" s="1"/>
  <c r="K943" i="254"/>
  <c r="L943" i="254" s="1"/>
  <c r="K940" i="254"/>
  <c r="L940" i="254" s="1"/>
  <c r="K948" i="254"/>
  <c r="L948" i="254" s="1"/>
  <c r="Q23" i="253"/>
  <c r="Q24" i="253"/>
  <c r="Q25" i="253"/>
  <c r="Q26" i="253"/>
  <c r="Q18" i="253"/>
  <c r="Q19" i="253"/>
  <c r="Q20" i="253"/>
  <c r="Q21" i="253"/>
  <c r="Q22" i="253"/>
  <c r="O6" i="246"/>
  <c r="J688" i="253"/>
  <c r="I688" i="253"/>
  <c r="B688" i="253"/>
  <c r="J687" i="253"/>
  <c r="I687" i="253"/>
  <c r="B687" i="253"/>
  <c r="J686" i="253"/>
  <c r="I686" i="253"/>
  <c r="B686" i="253"/>
  <c r="J685" i="253"/>
  <c r="I685" i="253"/>
  <c r="B685" i="253"/>
  <c r="J684" i="253"/>
  <c r="I684" i="253"/>
  <c r="B684" i="253"/>
  <c r="J683" i="253"/>
  <c r="I683" i="253"/>
  <c r="B683" i="253"/>
  <c r="L682" i="253"/>
  <c r="K682" i="253"/>
  <c r="K305" i="254" l="1"/>
  <c r="L305" i="254" s="1"/>
  <c r="K36" i="254"/>
  <c r="K684" i="253"/>
  <c r="K143" i="254"/>
  <c r="L143" i="254" s="1"/>
  <c r="K201" i="254"/>
  <c r="L201" i="254" s="1"/>
  <c r="K241" i="254"/>
  <c r="L241" i="254" s="1"/>
  <c r="K217" i="254"/>
  <c r="L217" i="254" s="1"/>
  <c r="K214" i="254"/>
  <c r="L214" i="254" s="1"/>
  <c r="K257" i="254"/>
  <c r="L257" i="254" s="1"/>
  <c r="K195" i="254"/>
  <c r="L195" i="254" s="1"/>
  <c r="K236" i="254"/>
  <c r="L236" i="254" s="1"/>
  <c r="K205" i="254"/>
  <c r="L205" i="254" s="1"/>
  <c r="K197" i="254"/>
  <c r="L197" i="254" s="1"/>
  <c r="K243" i="254"/>
  <c r="L243" i="254" s="1"/>
  <c r="K245" i="254"/>
  <c r="L245" i="254" s="1"/>
  <c r="K266" i="254"/>
  <c r="L266" i="254" s="1"/>
  <c r="K282" i="254"/>
  <c r="L282" i="254" s="1"/>
  <c r="K294" i="254"/>
  <c r="L294" i="254" s="1"/>
  <c r="K267" i="254"/>
  <c r="L267" i="254" s="1"/>
  <c r="K291" i="254"/>
  <c r="L291" i="254" s="1"/>
  <c r="K303" i="254"/>
  <c r="L303" i="254" s="1"/>
  <c r="K313" i="254"/>
  <c r="L313" i="254" s="1"/>
  <c r="K326" i="254"/>
  <c r="L326" i="254" s="1"/>
  <c r="K325" i="254"/>
  <c r="L325" i="254" s="1"/>
  <c r="K330" i="254"/>
  <c r="L330" i="254" s="1"/>
  <c r="K61" i="254"/>
  <c r="L61" i="254" s="1"/>
  <c r="K45" i="254"/>
  <c r="L45" i="254" s="1"/>
  <c r="K20" i="254"/>
  <c r="L20" i="254" s="1"/>
  <c r="K48" i="254"/>
  <c r="K46" i="254"/>
  <c r="L46" i="254" s="1"/>
  <c r="K22" i="254"/>
  <c r="L22" i="254" s="1"/>
  <c r="K47" i="254"/>
  <c r="L47" i="254" s="1"/>
  <c r="K41" i="254"/>
  <c r="L41" i="254" s="1"/>
  <c r="K27" i="254"/>
  <c r="L27" i="254" s="1"/>
  <c r="K91" i="254"/>
  <c r="L91" i="254" s="1"/>
  <c r="K73" i="254"/>
  <c r="L73" i="254" s="1"/>
  <c r="K98" i="254"/>
  <c r="L98" i="254" s="1"/>
  <c r="K105" i="254"/>
  <c r="L105" i="254" s="1"/>
  <c r="K372" i="254"/>
  <c r="L372" i="254" s="1"/>
  <c r="K387" i="254"/>
  <c r="L387" i="254" s="1"/>
  <c r="K407" i="254"/>
  <c r="L407" i="254" s="1"/>
  <c r="K410" i="254"/>
  <c r="L410" i="254" s="1"/>
  <c r="K188" i="254"/>
  <c r="K172" i="254"/>
  <c r="L172" i="254" s="1"/>
  <c r="K155" i="254"/>
  <c r="K210" i="254"/>
  <c r="L210" i="254" s="1"/>
  <c r="K255" i="254"/>
  <c r="L255" i="254" s="1"/>
  <c r="K252" i="254"/>
  <c r="L252" i="254" s="1"/>
  <c r="K223" i="254"/>
  <c r="L223" i="254" s="1"/>
  <c r="K196" i="254"/>
  <c r="L196" i="254" s="1"/>
  <c r="K204" i="254"/>
  <c r="L204" i="254" s="1"/>
  <c r="K248" i="254"/>
  <c r="L248" i="254" s="1"/>
  <c r="K216" i="254"/>
  <c r="L216" i="254" s="1"/>
  <c r="K238" i="254"/>
  <c r="L238" i="254" s="1"/>
  <c r="K270" i="254"/>
  <c r="L270" i="254" s="1"/>
  <c r="K287" i="254"/>
  <c r="L287" i="254" s="1"/>
  <c r="K271" i="254"/>
  <c r="L271" i="254" s="1"/>
  <c r="K315" i="254"/>
  <c r="L315" i="254" s="1"/>
  <c r="K269" i="254"/>
  <c r="L269" i="254" s="1"/>
  <c r="K321" i="254"/>
  <c r="L321" i="254" s="1"/>
  <c r="K322" i="254"/>
  <c r="L322" i="254" s="1"/>
  <c r="K333" i="254"/>
  <c r="L333" i="254" s="1"/>
  <c r="K332" i="254"/>
  <c r="L332" i="254" s="1"/>
  <c r="K40" i="254"/>
  <c r="L40" i="254" s="1"/>
  <c r="K38" i="254"/>
  <c r="L38" i="254" s="1"/>
  <c r="K14" i="254"/>
  <c r="L14" i="254" s="1"/>
  <c r="K42" i="254"/>
  <c r="L42" i="254" s="1"/>
  <c r="K54" i="254"/>
  <c r="L54" i="254" s="1"/>
  <c r="K57" i="254"/>
  <c r="L57" i="254" s="1"/>
  <c r="K19" i="254"/>
  <c r="L19" i="254" s="1"/>
  <c r="K21" i="254"/>
  <c r="L21" i="254" s="1"/>
  <c r="K93" i="254"/>
  <c r="L93" i="254" s="1"/>
  <c r="K74" i="254"/>
  <c r="L74" i="254" s="1"/>
  <c r="K380" i="254"/>
  <c r="L380" i="254" s="1"/>
  <c r="K388" i="254"/>
  <c r="L388" i="254" s="1"/>
  <c r="K404" i="254"/>
  <c r="L404" i="254" s="1"/>
  <c r="K399" i="254"/>
  <c r="L399" i="254" s="1"/>
  <c r="K15" i="254"/>
  <c r="L15" i="254" s="1"/>
  <c r="K295" i="254"/>
  <c r="L295" i="254" s="1"/>
  <c r="K184" i="254"/>
  <c r="L184" i="254" s="1"/>
  <c r="K220" i="254"/>
  <c r="L220" i="254" s="1"/>
  <c r="K194" i="254"/>
  <c r="L194" i="254" s="1"/>
  <c r="K234" i="254"/>
  <c r="L234" i="254" s="1"/>
  <c r="K225" i="254"/>
  <c r="L225" i="254" s="1"/>
  <c r="K215" i="254"/>
  <c r="L215" i="254" s="1"/>
  <c r="K258" i="254"/>
  <c r="L258" i="254" s="1"/>
  <c r="K237" i="254"/>
  <c r="L237" i="254" s="1"/>
  <c r="K146" i="254"/>
  <c r="L146" i="254" s="1"/>
  <c r="K265" i="254"/>
  <c r="L265" i="254" s="1"/>
  <c r="K314" i="254"/>
  <c r="L314" i="254" s="1"/>
  <c r="K299" i="254"/>
  <c r="L299" i="254" s="1"/>
  <c r="K297" i="254"/>
  <c r="L297" i="254" s="1"/>
  <c r="K277" i="254"/>
  <c r="L277" i="254" s="1"/>
  <c r="K319" i="254"/>
  <c r="L319" i="254" s="1"/>
  <c r="K284" i="254"/>
  <c r="L284" i="254" s="1"/>
  <c r="K309" i="254"/>
  <c r="L309" i="254" s="1"/>
  <c r="K335" i="254"/>
  <c r="L335" i="254" s="1"/>
  <c r="K323" i="254"/>
  <c r="L323" i="254" s="1"/>
  <c r="K43" i="254"/>
  <c r="L43" i="254" s="1"/>
  <c r="K10" i="254"/>
  <c r="L10" i="254" s="1"/>
  <c r="K39" i="254"/>
  <c r="L39" i="254" s="1"/>
  <c r="K28" i="254"/>
  <c r="L28" i="254" s="1"/>
  <c r="K56" i="254"/>
  <c r="L56" i="254" s="1"/>
  <c r="K30" i="254"/>
  <c r="L30" i="254" s="1"/>
  <c r="K71" i="254"/>
  <c r="L71" i="254" s="1"/>
  <c r="K90" i="254"/>
  <c r="L90" i="254" s="1"/>
  <c r="K96" i="254"/>
  <c r="L96" i="254" s="1"/>
  <c r="K82" i="254"/>
  <c r="L82" i="254" s="1"/>
  <c r="K81" i="254"/>
  <c r="L81" i="254" s="1"/>
  <c r="K102" i="254"/>
  <c r="L102" i="254" s="1"/>
  <c r="K385" i="254"/>
  <c r="L385" i="254" s="1"/>
  <c r="K408" i="254"/>
  <c r="L408" i="254" s="1"/>
  <c r="K275" i="254"/>
  <c r="L275" i="254" s="1"/>
  <c r="K135" i="254"/>
  <c r="K183" i="254"/>
  <c r="K208" i="254"/>
  <c r="L208" i="254" s="1"/>
  <c r="K253" i="254"/>
  <c r="L253" i="254" s="1"/>
  <c r="K230" i="254"/>
  <c r="L230" i="254" s="1"/>
  <c r="K207" i="254"/>
  <c r="L207" i="254" s="1"/>
  <c r="K222" i="254"/>
  <c r="L222" i="254" s="1"/>
  <c r="K246" i="254"/>
  <c r="L246" i="254" s="1"/>
  <c r="K283" i="254"/>
  <c r="L283" i="254" s="1"/>
  <c r="K316" i="254"/>
  <c r="L316" i="254" s="1"/>
  <c r="K320" i="254"/>
  <c r="L320" i="254" s="1"/>
  <c r="K331" i="254"/>
  <c r="L331" i="254" s="1"/>
  <c r="K336" i="254"/>
  <c r="L336" i="254" s="1"/>
  <c r="K55" i="254"/>
  <c r="L55" i="254" s="1"/>
  <c r="K70" i="254"/>
  <c r="L70" i="254" s="1"/>
  <c r="K78" i="254"/>
  <c r="L78" i="254" s="1"/>
  <c r="K79" i="254"/>
  <c r="L79" i="254" s="1"/>
  <c r="K100" i="254"/>
  <c r="L100" i="254" s="1"/>
  <c r="K357" i="254"/>
  <c r="L357" i="254" s="1"/>
  <c r="K358" i="254"/>
  <c r="L358" i="254" s="1"/>
  <c r="K359" i="254"/>
  <c r="L359" i="254" s="1"/>
  <c r="K360" i="254"/>
  <c r="L360" i="254" s="1"/>
  <c r="K361" i="254"/>
  <c r="L361" i="254" s="1"/>
  <c r="K362" i="254"/>
  <c r="L362" i="254" s="1"/>
  <c r="K371" i="254"/>
  <c r="L371" i="254" s="1"/>
  <c r="K384" i="254"/>
  <c r="L384" i="254" s="1"/>
  <c r="K401" i="254"/>
  <c r="L401" i="254" s="1"/>
  <c r="K403" i="254"/>
  <c r="L403" i="254" s="1"/>
  <c r="F9" i="198"/>
  <c r="F24" i="198"/>
  <c r="F6" i="198"/>
  <c r="K686" i="253"/>
  <c r="L52" i="254"/>
  <c r="L67" i="254"/>
  <c r="L92" i="254"/>
  <c r="L11" i="254"/>
  <c r="L36" i="254"/>
  <c r="L26" i="254"/>
  <c r="L23" i="254"/>
  <c r="L37" i="254"/>
  <c r="L44" i="254"/>
  <c r="L48" i="254"/>
  <c r="L155" i="254"/>
  <c r="L154" i="254"/>
  <c r="L150" i="254"/>
  <c r="L135" i="254"/>
  <c r="L186" i="254"/>
  <c r="L179" i="254"/>
  <c r="L136" i="254"/>
  <c r="L119" i="254"/>
  <c r="L118" i="254"/>
  <c r="L183" i="254"/>
  <c r="L171" i="254"/>
  <c r="L141" i="254"/>
  <c r="L139" i="254"/>
  <c r="L187" i="254"/>
  <c r="L147" i="254"/>
  <c r="L188" i="254"/>
  <c r="L116" i="254"/>
  <c r="L128" i="254"/>
  <c r="L110" i="254"/>
  <c r="L185" i="254"/>
  <c r="L132" i="254"/>
  <c r="L153" i="254"/>
  <c r="L115" i="254"/>
  <c r="L113" i="254"/>
  <c r="L166" i="254"/>
  <c r="L120" i="254"/>
  <c r="L149" i="254"/>
  <c r="L129" i="254"/>
  <c r="L173" i="254"/>
  <c r="L130" i="254"/>
  <c r="L122" i="254"/>
  <c r="L125" i="254"/>
  <c r="L148" i="254"/>
  <c r="L144" i="254"/>
  <c r="L159" i="254"/>
  <c r="L151" i="254"/>
  <c r="L152" i="254"/>
  <c r="L123" i="254"/>
  <c r="L137" i="254"/>
  <c r="L111" i="254"/>
  <c r="L140" i="254"/>
  <c r="L145" i="254"/>
  <c r="L157" i="254"/>
  <c r="L133" i="254"/>
  <c r="L126" i="254"/>
  <c r="L112" i="254"/>
  <c r="L174" i="254"/>
  <c r="L181" i="254"/>
  <c r="L182" i="254"/>
  <c r="L176" i="254"/>
  <c r="L178" i="254"/>
  <c r="L177" i="254"/>
  <c r="L180" i="254"/>
  <c r="L142" i="254"/>
  <c r="L158" i="254"/>
  <c r="L175" i="254"/>
  <c r="L131" i="254"/>
  <c r="L168" i="254"/>
  <c r="L164" i="254"/>
  <c r="L114" i="254"/>
  <c r="L169" i="254"/>
  <c r="L165" i="254"/>
  <c r="L161" i="254"/>
  <c r="L160" i="254"/>
  <c r="L162" i="254"/>
  <c r="L156" i="254"/>
  <c r="L127" i="254"/>
  <c r="L134" i="254"/>
  <c r="L167" i="254"/>
  <c r="L163" i="254"/>
  <c r="L170" i="254"/>
  <c r="L138" i="254"/>
  <c r="L117" i="254"/>
  <c r="L124" i="254"/>
  <c r="L121" i="254"/>
  <c r="K687" i="253"/>
  <c r="K685" i="253"/>
  <c r="K688" i="253"/>
  <c r="K683" i="253"/>
  <c r="J680" i="253"/>
  <c r="I680" i="253"/>
  <c r="B680" i="253"/>
  <c r="J679" i="253"/>
  <c r="I679" i="253"/>
  <c r="B679" i="253"/>
  <c r="J678" i="253"/>
  <c r="I678" i="253"/>
  <c r="B678" i="253"/>
  <c r="L677" i="253"/>
  <c r="K677" i="253"/>
  <c r="J448" i="253"/>
  <c r="I448" i="253"/>
  <c r="B448" i="253"/>
  <c r="O447" i="253"/>
  <c r="O448" i="253" s="1"/>
  <c r="J447" i="253"/>
  <c r="I447" i="253"/>
  <c r="B447" i="253"/>
  <c r="J446" i="253"/>
  <c r="I446" i="253"/>
  <c r="B446" i="253"/>
  <c r="J445" i="253"/>
  <c r="I445" i="253"/>
  <c r="B445" i="253"/>
  <c r="O444" i="253"/>
  <c r="O445" i="253" s="1"/>
  <c r="J444" i="253"/>
  <c r="I444" i="253"/>
  <c r="B444" i="253"/>
  <c r="J443" i="253"/>
  <c r="I443" i="253"/>
  <c r="B443" i="253"/>
  <c r="J442" i="253"/>
  <c r="I442" i="253"/>
  <c r="B442" i="253"/>
  <c r="O441" i="253"/>
  <c r="O442" i="253" s="1"/>
  <c r="J441" i="253"/>
  <c r="I441" i="253"/>
  <c r="B441" i="253"/>
  <c r="J440" i="253"/>
  <c r="I440" i="253"/>
  <c r="B440" i="253"/>
  <c r="J439" i="253"/>
  <c r="I439" i="253"/>
  <c r="B439" i="253"/>
  <c r="O438" i="253"/>
  <c r="O439" i="253" s="1"/>
  <c r="J438" i="253"/>
  <c r="I438" i="253"/>
  <c r="B438" i="253"/>
  <c r="J437" i="253"/>
  <c r="I437" i="253"/>
  <c r="B437" i="253"/>
  <c r="J436" i="253"/>
  <c r="I436" i="253"/>
  <c r="B436" i="253"/>
  <c r="O435" i="253"/>
  <c r="O436" i="253" s="1"/>
  <c r="J435" i="253"/>
  <c r="I435" i="253"/>
  <c r="B435" i="253"/>
  <c r="J434" i="253"/>
  <c r="I434" i="253"/>
  <c r="B434" i="253"/>
  <c r="J433" i="253"/>
  <c r="I433" i="253"/>
  <c r="B433" i="253"/>
  <c r="O432" i="253"/>
  <c r="O433" i="253" s="1"/>
  <c r="J432" i="253"/>
  <c r="I432" i="253"/>
  <c r="B432" i="253"/>
  <c r="J431" i="253"/>
  <c r="I431" i="253"/>
  <c r="B431" i="253"/>
  <c r="J430" i="253"/>
  <c r="I430" i="253"/>
  <c r="B430" i="253"/>
  <c r="O429" i="253"/>
  <c r="O430" i="253" s="1"/>
  <c r="J429" i="253"/>
  <c r="I429" i="253"/>
  <c r="B429" i="253"/>
  <c r="J428" i="253"/>
  <c r="I428" i="253"/>
  <c r="B428" i="253"/>
  <c r="J427" i="253"/>
  <c r="I427" i="253"/>
  <c r="B427" i="253"/>
  <c r="O426" i="253"/>
  <c r="O427" i="253" s="1"/>
  <c r="J426" i="253"/>
  <c r="I426" i="253"/>
  <c r="B426" i="253"/>
  <c r="J425" i="253"/>
  <c r="I425" i="253"/>
  <c r="B425" i="253"/>
  <c r="J424" i="253"/>
  <c r="I424" i="253"/>
  <c r="B424" i="253"/>
  <c r="O423" i="253"/>
  <c r="O424" i="253" s="1"/>
  <c r="J423" i="253"/>
  <c r="I423" i="253"/>
  <c r="B423" i="253"/>
  <c r="J422" i="253"/>
  <c r="I422" i="253"/>
  <c r="B422" i="253"/>
  <c r="J421" i="253"/>
  <c r="I421" i="253"/>
  <c r="B421" i="253"/>
  <c r="O420" i="253"/>
  <c r="O421" i="253" s="1"/>
  <c r="J420" i="253"/>
  <c r="I420" i="253"/>
  <c r="B420" i="253"/>
  <c r="J419" i="253"/>
  <c r="I419" i="253"/>
  <c r="B419" i="253"/>
  <c r="J418" i="253"/>
  <c r="I418" i="253"/>
  <c r="B418" i="253"/>
  <c r="O417" i="253"/>
  <c r="O418" i="253" s="1"/>
  <c r="J417" i="253"/>
  <c r="I417" i="253"/>
  <c r="B417" i="253"/>
  <c r="J416" i="253"/>
  <c r="I416" i="253"/>
  <c r="B416" i="253"/>
  <c r="J415" i="253"/>
  <c r="I415" i="253"/>
  <c r="B415" i="253"/>
  <c r="O414" i="253"/>
  <c r="O415" i="253" s="1"/>
  <c r="J414" i="253"/>
  <c r="I414" i="253"/>
  <c r="B414" i="253"/>
  <c r="J413" i="253"/>
  <c r="I413" i="253"/>
  <c r="B413" i="253"/>
  <c r="J412" i="253"/>
  <c r="I412" i="253"/>
  <c r="B412" i="253"/>
  <c r="O411" i="253"/>
  <c r="O412" i="253" s="1"/>
  <c r="J411" i="253"/>
  <c r="I411" i="253"/>
  <c r="B411" i="253"/>
  <c r="J410" i="253"/>
  <c r="I410" i="253"/>
  <c r="B410" i="253"/>
  <c r="J409" i="253"/>
  <c r="I409" i="253"/>
  <c r="B409" i="253"/>
  <c r="O408" i="253"/>
  <c r="O409" i="253" s="1"/>
  <c r="J408" i="253"/>
  <c r="I408" i="253"/>
  <c r="B408" i="253"/>
  <c r="J407" i="253"/>
  <c r="I407" i="253"/>
  <c r="B407" i="253"/>
  <c r="J406" i="253"/>
  <c r="I406" i="253"/>
  <c r="B406" i="253"/>
  <c r="O405" i="253"/>
  <c r="O406" i="253" s="1"/>
  <c r="J405" i="253"/>
  <c r="I405" i="253"/>
  <c r="B405" i="253"/>
  <c r="J404" i="253"/>
  <c r="I404" i="253"/>
  <c r="B404" i="253"/>
  <c r="J403" i="253"/>
  <c r="I403" i="253"/>
  <c r="B403" i="253"/>
  <c r="O402" i="253"/>
  <c r="O403" i="253" s="1"/>
  <c r="J402" i="253"/>
  <c r="I402" i="253"/>
  <c r="B402" i="253"/>
  <c r="J401" i="253"/>
  <c r="I401" i="253"/>
  <c r="B401" i="253"/>
  <c r="J400" i="253"/>
  <c r="I400" i="253"/>
  <c r="B400" i="253"/>
  <c r="O399" i="253"/>
  <c r="O400" i="253" s="1"/>
  <c r="J399" i="253"/>
  <c r="I399" i="253"/>
  <c r="B399" i="253"/>
  <c r="J398" i="253"/>
  <c r="I398" i="253"/>
  <c r="B398" i="253"/>
  <c r="J397" i="253"/>
  <c r="I397" i="253"/>
  <c r="B397" i="253"/>
  <c r="O396" i="253"/>
  <c r="O397" i="253" s="1"/>
  <c r="J396" i="253"/>
  <c r="I396" i="253"/>
  <c r="B396" i="253"/>
  <c r="J395" i="253"/>
  <c r="I395" i="253"/>
  <c r="B395" i="253"/>
  <c r="J394" i="253"/>
  <c r="I394" i="253"/>
  <c r="B394" i="253"/>
  <c r="O393" i="253"/>
  <c r="O394" i="253" s="1"/>
  <c r="J393" i="253"/>
  <c r="I393" i="253"/>
  <c r="B393" i="253"/>
  <c r="J392" i="253"/>
  <c r="I392" i="253"/>
  <c r="B392" i="253"/>
  <c r="J391" i="253"/>
  <c r="I391" i="253"/>
  <c r="B391" i="253"/>
  <c r="O390" i="253"/>
  <c r="O391" i="253" s="1"/>
  <c r="J390" i="253"/>
  <c r="I390" i="253"/>
  <c r="B390" i="253"/>
  <c r="J389" i="253"/>
  <c r="I389" i="253"/>
  <c r="B389" i="253"/>
  <c r="J388" i="253"/>
  <c r="I388" i="253"/>
  <c r="B388" i="253"/>
  <c r="O387" i="253"/>
  <c r="O388" i="253" s="1"/>
  <c r="J387" i="253"/>
  <c r="I387" i="253"/>
  <c r="B387" i="253"/>
  <c r="J386" i="253"/>
  <c r="I386" i="253"/>
  <c r="B386" i="253"/>
  <c r="J385" i="253"/>
  <c r="I385" i="253"/>
  <c r="B385" i="253"/>
  <c r="O384" i="253"/>
  <c r="O385" i="253" s="1"/>
  <c r="J384" i="253"/>
  <c r="I384" i="253"/>
  <c r="B384" i="253"/>
  <c r="J383" i="253"/>
  <c r="I383" i="253"/>
  <c r="B383" i="253"/>
  <c r="J382" i="253"/>
  <c r="I382" i="253"/>
  <c r="B382" i="253"/>
  <c r="O381" i="253"/>
  <c r="O382" i="253" s="1"/>
  <c r="J381" i="253"/>
  <c r="I381" i="253"/>
  <c r="B381" i="253"/>
  <c r="J380" i="253"/>
  <c r="I380" i="253"/>
  <c r="B380" i="253"/>
  <c r="J379" i="253"/>
  <c r="I379" i="253"/>
  <c r="B379" i="253"/>
  <c r="O378" i="253"/>
  <c r="O379" i="253" s="1"/>
  <c r="J378" i="253"/>
  <c r="I378" i="253"/>
  <c r="B378" i="253"/>
  <c r="J377" i="253"/>
  <c r="I377" i="253"/>
  <c r="B377" i="253"/>
  <c r="J376" i="253"/>
  <c r="I376" i="253"/>
  <c r="B376" i="253"/>
  <c r="O375" i="253"/>
  <c r="O376" i="253" s="1"/>
  <c r="J375" i="253"/>
  <c r="I375" i="253"/>
  <c r="B375" i="253"/>
  <c r="J374" i="253"/>
  <c r="I374" i="253"/>
  <c r="B374" i="253"/>
  <c r="J373" i="253"/>
  <c r="I373" i="253"/>
  <c r="B373" i="253"/>
  <c r="O372" i="253"/>
  <c r="O373" i="253" s="1"/>
  <c r="J372" i="253"/>
  <c r="I372" i="253"/>
  <c r="B372" i="253"/>
  <c r="J371" i="253"/>
  <c r="I371" i="253"/>
  <c r="B371" i="253"/>
  <c r="J370" i="253"/>
  <c r="I370" i="253"/>
  <c r="B370" i="253"/>
  <c r="O369" i="253"/>
  <c r="O370" i="253" s="1"/>
  <c r="J369" i="253"/>
  <c r="I369" i="253"/>
  <c r="B369" i="253"/>
  <c r="J368" i="253"/>
  <c r="I368" i="253"/>
  <c r="B368" i="253"/>
  <c r="J367" i="253"/>
  <c r="I367" i="253"/>
  <c r="B367" i="253"/>
  <c r="O366" i="253"/>
  <c r="O367" i="253" s="1"/>
  <c r="J366" i="253"/>
  <c r="I366" i="253"/>
  <c r="B366" i="253"/>
  <c r="J365" i="253"/>
  <c r="I365" i="253"/>
  <c r="B365" i="253"/>
  <c r="J364" i="253"/>
  <c r="I364" i="253"/>
  <c r="B364" i="253"/>
  <c r="O363" i="253"/>
  <c r="O364" i="253" s="1"/>
  <c r="J363" i="253"/>
  <c r="I363" i="253"/>
  <c r="B363" i="253"/>
  <c r="J362" i="253"/>
  <c r="I362" i="253"/>
  <c r="B362" i="253"/>
  <c r="J361" i="253"/>
  <c r="I361" i="253"/>
  <c r="B361" i="253"/>
  <c r="O360" i="253"/>
  <c r="O361" i="253" s="1"/>
  <c r="J360" i="253"/>
  <c r="I360" i="253"/>
  <c r="B360" i="253"/>
  <c r="J359" i="253"/>
  <c r="I359" i="253"/>
  <c r="B359" i="253"/>
  <c r="J358" i="253"/>
  <c r="I358" i="253"/>
  <c r="B358" i="253"/>
  <c r="O357" i="253"/>
  <c r="O358" i="253" s="1"/>
  <c r="J357" i="253"/>
  <c r="I357" i="253"/>
  <c r="B357" i="253"/>
  <c r="J356" i="253"/>
  <c r="I356" i="253"/>
  <c r="B356" i="253"/>
  <c r="J355" i="253"/>
  <c r="I355" i="253"/>
  <c r="B355" i="253"/>
  <c r="O354" i="253"/>
  <c r="O355" i="253" s="1"/>
  <c r="J354" i="253"/>
  <c r="I354" i="253"/>
  <c r="B354" i="253"/>
  <c r="J353" i="253"/>
  <c r="I353" i="253"/>
  <c r="B353" i="253"/>
  <c r="J352" i="253"/>
  <c r="I352" i="253"/>
  <c r="B352" i="253"/>
  <c r="O351" i="253"/>
  <c r="O352" i="253" s="1"/>
  <c r="J351" i="253"/>
  <c r="I351" i="253"/>
  <c r="B351" i="253"/>
  <c r="J350" i="253"/>
  <c r="I350" i="253"/>
  <c r="B350" i="253"/>
  <c r="J349" i="253"/>
  <c r="I349" i="253"/>
  <c r="B349" i="253"/>
  <c r="O348" i="253"/>
  <c r="O349" i="253" s="1"/>
  <c r="J348" i="253"/>
  <c r="I348" i="253"/>
  <c r="B348" i="253"/>
  <c r="J347" i="253"/>
  <c r="I347" i="253"/>
  <c r="B347" i="253"/>
  <c r="J346" i="253"/>
  <c r="I346" i="253"/>
  <c r="B346" i="253"/>
  <c r="O345" i="253"/>
  <c r="O346" i="253" s="1"/>
  <c r="J345" i="253"/>
  <c r="I345" i="253"/>
  <c r="B345" i="253"/>
  <c r="J344" i="253"/>
  <c r="I344" i="253"/>
  <c r="B344" i="253"/>
  <c r="J343" i="253"/>
  <c r="I343" i="253"/>
  <c r="B343" i="253"/>
  <c r="O342" i="253"/>
  <c r="O343" i="253" s="1"/>
  <c r="J342" i="253"/>
  <c r="I342" i="253"/>
  <c r="B342" i="253"/>
  <c r="J341" i="253"/>
  <c r="I341" i="253"/>
  <c r="B341" i="253"/>
  <c r="J340" i="253"/>
  <c r="I340" i="253"/>
  <c r="B340" i="253"/>
  <c r="O339" i="253"/>
  <c r="O340" i="253" s="1"/>
  <c r="J339" i="253"/>
  <c r="I339" i="253"/>
  <c r="B339" i="253"/>
  <c r="J338" i="253"/>
  <c r="I338" i="253"/>
  <c r="B338" i="253"/>
  <c r="J337" i="253"/>
  <c r="I337" i="253"/>
  <c r="B337" i="253"/>
  <c r="O336" i="253"/>
  <c r="O337" i="253" s="1"/>
  <c r="J336" i="253"/>
  <c r="I336" i="253"/>
  <c r="B336" i="253"/>
  <c r="J335" i="253"/>
  <c r="I335" i="253"/>
  <c r="B335" i="253"/>
  <c r="J334" i="253"/>
  <c r="I334" i="253"/>
  <c r="B334" i="253"/>
  <c r="O333" i="253"/>
  <c r="O334" i="253" s="1"/>
  <c r="J333" i="253"/>
  <c r="I333" i="253"/>
  <c r="B333" i="253"/>
  <c r="J332" i="253"/>
  <c r="I332" i="253"/>
  <c r="B332" i="253"/>
  <c r="J331" i="253"/>
  <c r="I331" i="253"/>
  <c r="B331" i="253"/>
  <c r="O330" i="253"/>
  <c r="O331" i="253" s="1"/>
  <c r="J330" i="253"/>
  <c r="I330" i="253"/>
  <c r="B330" i="253"/>
  <c r="J329" i="253"/>
  <c r="I329" i="253"/>
  <c r="B329" i="253"/>
  <c r="O327" i="253"/>
  <c r="O328" i="253" s="1"/>
  <c r="O324" i="253"/>
  <c r="O325" i="253" s="1"/>
  <c r="O321" i="253"/>
  <c r="O322" i="253" s="1"/>
  <c r="O318" i="253"/>
  <c r="O319" i="253" s="1"/>
  <c r="O315" i="253"/>
  <c r="O316" i="253" s="1"/>
  <c r="O312" i="253"/>
  <c r="O313" i="253" s="1"/>
  <c r="O309" i="253"/>
  <c r="O310" i="253" s="1"/>
  <c r="O306" i="253"/>
  <c r="O307" i="253" s="1"/>
  <c r="J328" i="253"/>
  <c r="I328" i="253"/>
  <c r="B328" i="253"/>
  <c r="J327" i="253"/>
  <c r="I327" i="253"/>
  <c r="B327" i="253"/>
  <c r="J326" i="253"/>
  <c r="I326" i="253"/>
  <c r="B326" i="253"/>
  <c r="J325" i="253"/>
  <c r="I325" i="253"/>
  <c r="B325" i="253"/>
  <c r="J324" i="253"/>
  <c r="I324" i="253"/>
  <c r="B324" i="253"/>
  <c r="J323" i="253"/>
  <c r="I323" i="253"/>
  <c r="B323" i="253"/>
  <c r="J322" i="253"/>
  <c r="I322" i="253"/>
  <c r="B322" i="253"/>
  <c r="J321" i="253"/>
  <c r="I321" i="253"/>
  <c r="B321" i="253"/>
  <c r="J320" i="253"/>
  <c r="I320" i="253"/>
  <c r="B320" i="253"/>
  <c r="J319" i="253"/>
  <c r="I319" i="253"/>
  <c r="B319" i="253"/>
  <c r="J318" i="253"/>
  <c r="I318" i="253"/>
  <c r="B318" i="253"/>
  <c r="J317" i="253"/>
  <c r="I317" i="253"/>
  <c r="B317" i="253"/>
  <c r="J316" i="253"/>
  <c r="I316" i="253"/>
  <c r="B316" i="253"/>
  <c r="J315" i="253"/>
  <c r="I315" i="253"/>
  <c r="B315" i="253"/>
  <c r="J314" i="253"/>
  <c r="I314" i="253"/>
  <c r="B314" i="253"/>
  <c r="J313" i="253"/>
  <c r="I313" i="253"/>
  <c r="B313" i="253"/>
  <c r="J312" i="253"/>
  <c r="I312" i="253"/>
  <c r="B312" i="253"/>
  <c r="J311" i="253"/>
  <c r="I311" i="253"/>
  <c r="B311" i="253"/>
  <c r="J310" i="253"/>
  <c r="I310" i="253"/>
  <c r="B310" i="253"/>
  <c r="J309" i="253"/>
  <c r="I309" i="253"/>
  <c r="B309" i="253"/>
  <c r="J308" i="253"/>
  <c r="I308" i="253"/>
  <c r="B308" i="253"/>
  <c r="J307" i="253"/>
  <c r="I307" i="253"/>
  <c r="B307" i="253"/>
  <c r="J306" i="253"/>
  <c r="I306" i="253"/>
  <c r="B306" i="253"/>
  <c r="J305" i="253"/>
  <c r="I305" i="253"/>
  <c r="B305" i="253"/>
  <c r="L304" i="253"/>
  <c r="K304" i="253"/>
  <c r="J301" i="253"/>
  <c r="I301" i="253"/>
  <c r="B301" i="253"/>
  <c r="J300" i="253"/>
  <c r="I300" i="253"/>
  <c r="B300" i="253"/>
  <c r="J299" i="253"/>
  <c r="I299" i="253"/>
  <c r="B299" i="253"/>
  <c r="J298" i="253"/>
  <c r="I298" i="253"/>
  <c r="B298" i="253"/>
  <c r="J296" i="253"/>
  <c r="I296" i="253"/>
  <c r="B296" i="253"/>
  <c r="J295" i="253"/>
  <c r="I295" i="253"/>
  <c r="B295" i="253"/>
  <c r="J293" i="253"/>
  <c r="I293" i="253"/>
  <c r="B293" i="253"/>
  <c r="J292" i="253"/>
  <c r="I292" i="253"/>
  <c r="B292" i="253"/>
  <c r="J290" i="253"/>
  <c r="I290" i="253"/>
  <c r="B290" i="253"/>
  <c r="J289" i="253"/>
  <c r="I289" i="253"/>
  <c r="B289" i="253"/>
  <c r="J287" i="253"/>
  <c r="I287" i="253"/>
  <c r="B287" i="253"/>
  <c r="J286" i="253"/>
  <c r="I286" i="253"/>
  <c r="B286" i="253"/>
  <c r="O282" i="253"/>
  <c r="O279" i="253"/>
  <c r="O276" i="253"/>
  <c r="J284" i="253"/>
  <c r="I284" i="253"/>
  <c r="B284" i="253"/>
  <c r="J283" i="253"/>
  <c r="I283" i="253"/>
  <c r="B283" i="253"/>
  <c r="J281" i="253"/>
  <c r="I281" i="253"/>
  <c r="B281" i="253"/>
  <c r="J280" i="253"/>
  <c r="I280" i="253"/>
  <c r="B280" i="253"/>
  <c r="J278" i="253"/>
  <c r="I278" i="253"/>
  <c r="B278" i="253"/>
  <c r="J277" i="253"/>
  <c r="I277" i="253"/>
  <c r="B277" i="253"/>
  <c r="O274" i="253"/>
  <c r="O275" i="253" s="1"/>
  <c r="O284" i="253" s="1"/>
  <c r="J275" i="253"/>
  <c r="I275" i="253"/>
  <c r="B275" i="253"/>
  <c r="J274" i="253"/>
  <c r="I274" i="253"/>
  <c r="B274" i="253"/>
  <c r="O271" i="253"/>
  <c r="O272" i="253" s="1"/>
  <c r="O290" i="253" s="1"/>
  <c r="O299" i="253" s="1"/>
  <c r="J272" i="253"/>
  <c r="I272" i="253"/>
  <c r="B272" i="253"/>
  <c r="J271" i="253"/>
  <c r="I271" i="253"/>
  <c r="B271" i="253"/>
  <c r="O268" i="253"/>
  <c r="O269" i="253" s="1"/>
  <c r="O287" i="253" s="1"/>
  <c r="O296" i="253" s="1"/>
  <c r="J269" i="253"/>
  <c r="I269" i="253"/>
  <c r="B269" i="253"/>
  <c r="J268" i="253"/>
  <c r="I268" i="253"/>
  <c r="B268" i="253"/>
  <c r="K679" i="253" l="1"/>
  <c r="K680" i="253"/>
  <c r="K678" i="253"/>
  <c r="K409" i="253"/>
  <c r="K416" i="253"/>
  <c r="K433" i="253"/>
  <c r="K426" i="253"/>
  <c r="K402" i="253"/>
  <c r="K440" i="253"/>
  <c r="K351" i="253"/>
  <c r="K405" i="253"/>
  <c r="K412" i="253"/>
  <c r="K419" i="253"/>
  <c r="K429" i="253"/>
  <c r="K436" i="253"/>
  <c r="K443" i="253"/>
  <c r="K408" i="253"/>
  <c r="K415" i="253"/>
  <c r="K422" i="253"/>
  <c r="K432" i="253"/>
  <c r="K439" i="253"/>
  <c r="K446" i="253"/>
  <c r="K369" i="253"/>
  <c r="K400" i="253"/>
  <c r="K401" i="253"/>
  <c r="K411" i="253"/>
  <c r="K418" i="253"/>
  <c r="K425" i="253"/>
  <c r="K435" i="253"/>
  <c r="K442" i="253"/>
  <c r="K404" i="253"/>
  <c r="K414" i="253"/>
  <c r="K421" i="253"/>
  <c r="K428" i="253"/>
  <c r="K438" i="253"/>
  <c r="K445" i="253"/>
  <c r="K407" i="253"/>
  <c r="K417" i="253"/>
  <c r="K424" i="253"/>
  <c r="K431" i="253"/>
  <c r="K441" i="253"/>
  <c r="K448" i="253"/>
  <c r="K403" i="253"/>
  <c r="K410" i="253"/>
  <c r="K420" i="253"/>
  <c r="K427" i="253"/>
  <c r="K434" i="253"/>
  <c r="K444" i="253"/>
  <c r="K406" i="253"/>
  <c r="K413" i="253"/>
  <c r="K423" i="253"/>
  <c r="K430" i="253"/>
  <c r="K437" i="253"/>
  <c r="K447" i="253"/>
  <c r="K307" i="253"/>
  <c r="K323" i="253"/>
  <c r="K393" i="253"/>
  <c r="K359" i="253"/>
  <c r="K376" i="253"/>
  <c r="K383" i="253"/>
  <c r="K328" i="253"/>
  <c r="K309" i="253"/>
  <c r="K324" i="253"/>
  <c r="K354" i="253"/>
  <c r="K361" i="253"/>
  <c r="K368" i="253"/>
  <c r="K378" i="253"/>
  <c r="K385" i="253"/>
  <c r="K392" i="253"/>
  <c r="K311" i="253"/>
  <c r="K319" i="253"/>
  <c r="K327" i="253"/>
  <c r="K357" i="253"/>
  <c r="K364" i="253"/>
  <c r="K371" i="253"/>
  <c r="K381" i="253"/>
  <c r="K388" i="253"/>
  <c r="K395" i="253"/>
  <c r="K322" i="253"/>
  <c r="K360" i="253"/>
  <c r="K367" i="253"/>
  <c r="K374" i="253"/>
  <c r="K384" i="253"/>
  <c r="K391" i="253"/>
  <c r="K398" i="253"/>
  <c r="K317" i="253"/>
  <c r="K330" i="253"/>
  <c r="K353" i="253"/>
  <c r="K363" i="253"/>
  <c r="K370" i="253"/>
  <c r="K377" i="253"/>
  <c r="K387" i="253"/>
  <c r="K394" i="253"/>
  <c r="K337" i="253"/>
  <c r="K344" i="253"/>
  <c r="K356" i="253"/>
  <c r="K366" i="253"/>
  <c r="K373" i="253"/>
  <c r="K380" i="253"/>
  <c r="K390" i="253"/>
  <c r="K397" i="253"/>
  <c r="K355" i="253"/>
  <c r="K362" i="253"/>
  <c r="K372" i="253"/>
  <c r="K379" i="253"/>
  <c r="K386" i="253"/>
  <c r="K396" i="253"/>
  <c r="K305" i="253"/>
  <c r="K313" i="253"/>
  <c r="K358" i="253"/>
  <c r="K365" i="253"/>
  <c r="K375" i="253"/>
  <c r="K382" i="253"/>
  <c r="K389" i="253"/>
  <c r="K399" i="253"/>
  <c r="K306" i="253"/>
  <c r="K314" i="253"/>
  <c r="K333" i="253"/>
  <c r="K340" i="253"/>
  <c r="K347" i="253"/>
  <c r="K325" i="253"/>
  <c r="K336" i="253"/>
  <c r="K343" i="253"/>
  <c r="K350" i="253"/>
  <c r="K312" i="253"/>
  <c r="K320" i="253"/>
  <c r="K329" i="253"/>
  <c r="K339" i="253"/>
  <c r="K346" i="253"/>
  <c r="K315" i="253"/>
  <c r="K332" i="253"/>
  <c r="K342" i="253"/>
  <c r="K349" i="253"/>
  <c r="K310" i="253"/>
  <c r="K318" i="253"/>
  <c r="K326" i="253"/>
  <c r="K335" i="253"/>
  <c r="K345" i="253"/>
  <c r="K352" i="253"/>
  <c r="K321" i="253"/>
  <c r="K331" i="253"/>
  <c r="K338" i="253"/>
  <c r="K348" i="253"/>
  <c r="K308" i="253"/>
  <c r="K316" i="253"/>
  <c r="K334" i="253"/>
  <c r="K341" i="253"/>
  <c r="O301" i="253"/>
  <c r="O292" i="253"/>
  <c r="O293" i="253"/>
  <c r="O289" i="253"/>
  <c r="O281" i="253"/>
  <c r="O286" i="253"/>
  <c r="O295" i="253" s="1"/>
  <c r="O283" i="253"/>
  <c r="O277" i="253"/>
  <c r="O278" i="253"/>
  <c r="O280" i="253"/>
  <c r="A6" i="200"/>
  <c r="A8" i="200"/>
  <c r="O643" i="253"/>
  <c r="O649" i="253" s="1"/>
  <c r="O650" i="253" s="1"/>
  <c r="O651" i="253" s="1"/>
  <c r="O629" i="253"/>
  <c r="O630" i="253" s="1"/>
  <c r="H675" i="253"/>
  <c r="J675" i="253" s="1"/>
  <c r="B675" i="253"/>
  <c r="H674" i="253"/>
  <c r="J674" i="253" s="1"/>
  <c r="B674" i="253"/>
  <c r="H673" i="253"/>
  <c r="J673" i="253" s="1"/>
  <c r="B673" i="253"/>
  <c r="H672" i="253"/>
  <c r="J672" i="253" s="1"/>
  <c r="B672" i="253"/>
  <c r="H671" i="253"/>
  <c r="J671" i="253" s="1"/>
  <c r="B671" i="253"/>
  <c r="O670" i="253"/>
  <c r="O671" i="253" s="1"/>
  <c r="O672" i="253" s="1"/>
  <c r="H670" i="253"/>
  <c r="J670" i="253" s="1"/>
  <c r="B670" i="253"/>
  <c r="H669" i="253"/>
  <c r="J669" i="253" s="1"/>
  <c r="B669" i="253"/>
  <c r="H668" i="253"/>
  <c r="J668" i="253" s="1"/>
  <c r="B668" i="253"/>
  <c r="H667" i="253"/>
  <c r="J667" i="253" s="1"/>
  <c r="B667" i="253"/>
  <c r="H666" i="253"/>
  <c r="J666" i="253" s="1"/>
  <c r="B666" i="253"/>
  <c r="H665" i="253"/>
  <c r="J665" i="253" s="1"/>
  <c r="B665" i="253"/>
  <c r="O664" i="253"/>
  <c r="O665" i="253" s="1"/>
  <c r="O666" i="253" s="1"/>
  <c r="H664" i="253"/>
  <c r="J664" i="253" s="1"/>
  <c r="B664" i="253"/>
  <c r="H663" i="253"/>
  <c r="J663" i="253" s="1"/>
  <c r="B663" i="253"/>
  <c r="H662" i="253"/>
  <c r="J662" i="253" s="1"/>
  <c r="B662" i="253"/>
  <c r="O661" i="253"/>
  <c r="O662" i="253" s="1"/>
  <c r="O663" i="253" s="1"/>
  <c r="H661" i="253"/>
  <c r="J661" i="253" s="1"/>
  <c r="B661" i="253"/>
  <c r="H660" i="253"/>
  <c r="J660" i="253" s="1"/>
  <c r="B660" i="253"/>
  <c r="H659" i="253"/>
  <c r="J659" i="253" s="1"/>
  <c r="B659" i="253"/>
  <c r="O658" i="253"/>
  <c r="O659" i="253" s="1"/>
  <c r="O660" i="253" s="1"/>
  <c r="H658" i="253"/>
  <c r="J658" i="253" s="1"/>
  <c r="B658" i="253"/>
  <c r="H657" i="253"/>
  <c r="J657" i="253" s="1"/>
  <c r="B657" i="253"/>
  <c r="H656" i="253"/>
  <c r="J656" i="253" s="1"/>
  <c r="B656" i="253"/>
  <c r="O655" i="253"/>
  <c r="O656" i="253" s="1"/>
  <c r="O657" i="253" s="1"/>
  <c r="H655" i="253"/>
  <c r="J655" i="253" s="1"/>
  <c r="B655" i="253"/>
  <c r="H654" i="253"/>
  <c r="J654" i="253" s="1"/>
  <c r="B654" i="253"/>
  <c r="H653" i="253"/>
  <c r="J653" i="253" s="1"/>
  <c r="B653" i="253"/>
  <c r="O652" i="253"/>
  <c r="O653" i="253" s="1"/>
  <c r="O654" i="253" s="1"/>
  <c r="H652" i="253"/>
  <c r="J652" i="253" s="1"/>
  <c r="B652" i="253"/>
  <c r="J651" i="253"/>
  <c r="I651" i="253"/>
  <c r="B651" i="253"/>
  <c r="J650" i="253"/>
  <c r="I650" i="253"/>
  <c r="B650" i="253"/>
  <c r="J649" i="253"/>
  <c r="I649" i="253"/>
  <c r="B649" i="253"/>
  <c r="J648" i="253"/>
  <c r="I648" i="253"/>
  <c r="B648" i="253"/>
  <c r="O647" i="253"/>
  <c r="O648" i="253" s="1"/>
  <c r="J647" i="253"/>
  <c r="I647" i="253"/>
  <c r="B647" i="253"/>
  <c r="J646" i="253"/>
  <c r="I646" i="253"/>
  <c r="B646" i="253"/>
  <c r="J645" i="253"/>
  <c r="I645" i="253"/>
  <c r="B645" i="253"/>
  <c r="J644" i="253"/>
  <c r="I644" i="253"/>
  <c r="B644" i="253"/>
  <c r="J643" i="253"/>
  <c r="I643" i="253"/>
  <c r="B643" i="253"/>
  <c r="J642" i="253"/>
  <c r="I642" i="253"/>
  <c r="B642" i="253"/>
  <c r="O641" i="253"/>
  <c r="O642" i="253" s="1"/>
  <c r="J641" i="253"/>
  <c r="I641" i="253"/>
  <c r="B641" i="253"/>
  <c r="J640" i="253"/>
  <c r="I640" i="253"/>
  <c r="B640" i="253"/>
  <c r="J639" i="253"/>
  <c r="I639" i="253"/>
  <c r="B639" i="253"/>
  <c r="O638" i="253"/>
  <c r="O639" i="253" s="1"/>
  <c r="J638" i="253"/>
  <c r="I638" i="253"/>
  <c r="B638" i="253"/>
  <c r="J637" i="253"/>
  <c r="I637" i="253"/>
  <c r="B637" i="253"/>
  <c r="J636" i="253"/>
  <c r="I636" i="253"/>
  <c r="B636" i="253"/>
  <c r="O635" i="253"/>
  <c r="O636" i="253" s="1"/>
  <c r="J635" i="253"/>
  <c r="I635" i="253"/>
  <c r="B635" i="253"/>
  <c r="J634" i="253"/>
  <c r="I634" i="253"/>
  <c r="B634" i="253"/>
  <c r="J633" i="253"/>
  <c r="I633" i="253"/>
  <c r="B633" i="253"/>
  <c r="O632" i="253"/>
  <c r="O633" i="253" s="1"/>
  <c r="J632" i="253"/>
  <c r="I632" i="253"/>
  <c r="B632" i="253"/>
  <c r="J631" i="253"/>
  <c r="I631" i="253"/>
  <c r="B631" i="253"/>
  <c r="J630" i="253"/>
  <c r="I630" i="253"/>
  <c r="B630" i="253"/>
  <c r="J629" i="253"/>
  <c r="I629" i="253"/>
  <c r="B629" i="253"/>
  <c r="J628" i="253"/>
  <c r="I628" i="253"/>
  <c r="B628" i="253"/>
  <c r="J627" i="253"/>
  <c r="I627" i="253"/>
  <c r="B627" i="253"/>
  <c r="O626" i="253"/>
  <c r="O627" i="253" s="1"/>
  <c r="J626" i="253"/>
  <c r="I626" i="253"/>
  <c r="B626" i="253"/>
  <c r="J625" i="253"/>
  <c r="I625" i="253"/>
  <c r="B625" i="253"/>
  <c r="J624" i="253"/>
  <c r="I624" i="253"/>
  <c r="B624" i="253"/>
  <c r="O623" i="253"/>
  <c r="O624" i="253" s="1"/>
  <c r="J623" i="253"/>
  <c r="I623" i="253"/>
  <c r="B623" i="253"/>
  <c r="J622" i="253"/>
  <c r="I622" i="253"/>
  <c r="B622" i="253"/>
  <c r="J621" i="253"/>
  <c r="I621" i="253"/>
  <c r="B621" i="253"/>
  <c r="O620" i="253"/>
  <c r="O621" i="253" s="1"/>
  <c r="J620" i="253"/>
  <c r="I620" i="253"/>
  <c r="B620" i="253"/>
  <c r="J619" i="253"/>
  <c r="I619" i="253"/>
  <c r="B619" i="253"/>
  <c r="J618" i="253"/>
  <c r="I618" i="253"/>
  <c r="B618" i="253"/>
  <c r="O617" i="253"/>
  <c r="O618" i="253" s="1"/>
  <c r="J617" i="253"/>
  <c r="I617" i="253"/>
  <c r="B617" i="253"/>
  <c r="J616" i="253"/>
  <c r="I616" i="253"/>
  <c r="B616" i="253"/>
  <c r="J615" i="253"/>
  <c r="I615" i="253"/>
  <c r="B615" i="253"/>
  <c r="O614" i="253"/>
  <c r="O615" i="253" s="1"/>
  <c r="J614" i="253"/>
  <c r="I614" i="253"/>
  <c r="B614" i="253"/>
  <c r="J613" i="253"/>
  <c r="I613" i="253"/>
  <c r="B613" i="253"/>
  <c r="J612" i="253"/>
  <c r="I612" i="253"/>
  <c r="B612" i="253"/>
  <c r="O611" i="253"/>
  <c r="O612" i="253" s="1"/>
  <c r="J611" i="253"/>
  <c r="I611" i="253"/>
  <c r="B611" i="253"/>
  <c r="J610" i="253"/>
  <c r="I610" i="253"/>
  <c r="B610" i="253"/>
  <c r="J609" i="253"/>
  <c r="I609" i="253"/>
  <c r="B609" i="253"/>
  <c r="O608" i="253"/>
  <c r="O609" i="253" s="1"/>
  <c r="J608" i="253"/>
  <c r="I608" i="253"/>
  <c r="B608" i="253"/>
  <c r="J607" i="253"/>
  <c r="I607" i="253"/>
  <c r="B607" i="253"/>
  <c r="J606" i="253"/>
  <c r="I606" i="253"/>
  <c r="B606" i="253"/>
  <c r="O605" i="253"/>
  <c r="O606" i="253" s="1"/>
  <c r="J605" i="253"/>
  <c r="I605" i="253"/>
  <c r="B605" i="253"/>
  <c r="J604" i="253"/>
  <c r="I604" i="253"/>
  <c r="B604" i="253"/>
  <c r="L603" i="253"/>
  <c r="K603" i="253"/>
  <c r="O599" i="253"/>
  <c r="O600" i="253" s="1"/>
  <c r="O601" i="253" s="1"/>
  <c r="O596" i="253"/>
  <c r="O597" i="253" s="1"/>
  <c r="O598" i="253" s="1"/>
  <c r="O593" i="253"/>
  <c r="O594" i="253" s="1"/>
  <c r="O595" i="253" s="1"/>
  <c r="O590" i="253"/>
  <c r="O591" i="253" s="1"/>
  <c r="O592" i="253" s="1"/>
  <c r="O587" i="253"/>
  <c r="O588" i="253" s="1"/>
  <c r="O589" i="253" s="1"/>
  <c r="O584" i="253"/>
  <c r="O585" i="253" s="1"/>
  <c r="O586" i="253" s="1"/>
  <c r="O581" i="253"/>
  <c r="O582" i="253" s="1"/>
  <c r="O583" i="253" s="1"/>
  <c r="O578" i="253"/>
  <c r="O579" i="253" s="1"/>
  <c r="O580" i="253" s="1"/>
  <c r="O576" i="253"/>
  <c r="O577" i="253" s="1"/>
  <c r="O573" i="253"/>
  <c r="O574" i="253" s="1"/>
  <c r="O570" i="253"/>
  <c r="O571" i="253" s="1"/>
  <c r="O567" i="253"/>
  <c r="O568" i="253" s="1"/>
  <c r="O564" i="253"/>
  <c r="O565" i="253" s="1"/>
  <c r="O561" i="253"/>
  <c r="O562" i="253" s="1"/>
  <c r="O558" i="253"/>
  <c r="O559" i="253" s="1"/>
  <c r="O555" i="253"/>
  <c r="O556" i="253" s="1"/>
  <c r="O552" i="253"/>
  <c r="O553" i="253" s="1"/>
  <c r="O549" i="253"/>
  <c r="O550" i="253" s="1"/>
  <c r="O546" i="253"/>
  <c r="O547" i="253" s="1"/>
  <c r="O543" i="253"/>
  <c r="O544" i="253" s="1"/>
  <c r="O540" i="253"/>
  <c r="O541" i="253" s="1"/>
  <c r="O537" i="253"/>
  <c r="O538" i="253" s="1"/>
  <c r="O534" i="253"/>
  <c r="O535" i="253" s="1"/>
  <c r="O531" i="253"/>
  <c r="O532" i="253" s="1"/>
  <c r="P533" i="253"/>
  <c r="P607" i="253" s="1"/>
  <c r="P536" i="253"/>
  <c r="P610" i="253" s="1"/>
  <c r="P539" i="253"/>
  <c r="P613" i="253" s="1"/>
  <c r="P542" i="253"/>
  <c r="P616" i="253" s="1"/>
  <c r="P545" i="253"/>
  <c r="P619" i="253" s="1"/>
  <c r="P551" i="253"/>
  <c r="P625" i="253" s="1"/>
  <c r="P554" i="253"/>
  <c r="P628" i="253" s="1"/>
  <c r="P557" i="253"/>
  <c r="P631" i="253" s="1"/>
  <c r="P560" i="253"/>
  <c r="P634" i="253" s="1"/>
  <c r="P563" i="253"/>
  <c r="P637" i="253" s="1"/>
  <c r="P566" i="253"/>
  <c r="P640" i="253" s="1"/>
  <c r="P569" i="253"/>
  <c r="P643" i="253" s="1"/>
  <c r="P575" i="253"/>
  <c r="P649" i="253" s="1"/>
  <c r="P530" i="253"/>
  <c r="P604" i="253" s="1"/>
  <c r="H601" i="253"/>
  <c r="J601" i="253" s="1"/>
  <c r="H600" i="253"/>
  <c r="J600" i="253" s="1"/>
  <c r="H599" i="253"/>
  <c r="J599" i="253" s="1"/>
  <c r="H598" i="253"/>
  <c r="J598" i="253" s="1"/>
  <c r="H597" i="253"/>
  <c r="I597" i="253" s="1"/>
  <c r="H596" i="253"/>
  <c r="J596" i="253" s="1"/>
  <c r="H595" i="253"/>
  <c r="J595" i="253" s="1"/>
  <c r="H594" i="253"/>
  <c r="J594" i="253" s="1"/>
  <c r="H593" i="253"/>
  <c r="J593" i="253" s="1"/>
  <c r="H592" i="253"/>
  <c r="J592" i="253" s="1"/>
  <c r="H591" i="253"/>
  <c r="J591" i="253" s="1"/>
  <c r="H590" i="253"/>
  <c r="J590" i="253" s="1"/>
  <c r="H589" i="253"/>
  <c r="J589" i="253" s="1"/>
  <c r="H588" i="253"/>
  <c r="I588" i="253" s="1"/>
  <c r="H587" i="253"/>
  <c r="J587" i="253" s="1"/>
  <c r="H586" i="253"/>
  <c r="J586" i="253" s="1"/>
  <c r="H585" i="253"/>
  <c r="J585" i="253" s="1"/>
  <c r="H584" i="253"/>
  <c r="J584" i="253" s="1"/>
  <c r="H583" i="253"/>
  <c r="I583" i="253" s="1"/>
  <c r="H582" i="253"/>
  <c r="I582" i="253" s="1"/>
  <c r="H581" i="253"/>
  <c r="I581" i="253" s="1"/>
  <c r="H580" i="253"/>
  <c r="J580" i="253" s="1"/>
  <c r="H579" i="253"/>
  <c r="J579" i="253" s="1"/>
  <c r="H578" i="253"/>
  <c r="J578" i="253" s="1"/>
  <c r="J573" i="253"/>
  <c r="I573" i="253"/>
  <c r="B573" i="253"/>
  <c r="J572" i="253"/>
  <c r="I572" i="253"/>
  <c r="B572" i="253"/>
  <c r="J571" i="253"/>
  <c r="I571" i="253"/>
  <c r="B571" i="253"/>
  <c r="J570" i="253"/>
  <c r="I570" i="253"/>
  <c r="B570" i="253"/>
  <c r="J569" i="253"/>
  <c r="I569" i="253"/>
  <c r="B569" i="253"/>
  <c r="J568" i="253"/>
  <c r="I568" i="253"/>
  <c r="B568" i="253"/>
  <c r="J567" i="253"/>
  <c r="I567" i="253"/>
  <c r="B567" i="253"/>
  <c r="J566" i="253"/>
  <c r="I566" i="253"/>
  <c r="B566" i="253"/>
  <c r="J565" i="253"/>
  <c r="I565" i="253"/>
  <c r="B565" i="253"/>
  <c r="J564" i="253"/>
  <c r="I564" i="253"/>
  <c r="B564" i="253"/>
  <c r="J563" i="253"/>
  <c r="I563" i="253"/>
  <c r="B563" i="253"/>
  <c r="J562" i="253"/>
  <c r="I562" i="253"/>
  <c r="B562" i="253"/>
  <c r="J561" i="253"/>
  <c r="I561" i="253"/>
  <c r="B561" i="253"/>
  <c r="J560" i="253"/>
  <c r="I560" i="253"/>
  <c r="B560" i="253"/>
  <c r="J559" i="253"/>
  <c r="I559" i="253"/>
  <c r="B559" i="253"/>
  <c r="J558" i="253"/>
  <c r="I558" i="253"/>
  <c r="B558" i="253"/>
  <c r="J557" i="253"/>
  <c r="I557" i="253"/>
  <c r="B557" i="253"/>
  <c r="J556" i="253"/>
  <c r="I556" i="253"/>
  <c r="B556" i="253"/>
  <c r="J555" i="253"/>
  <c r="I555" i="253"/>
  <c r="B555" i="253"/>
  <c r="J554" i="253"/>
  <c r="I554" i="253"/>
  <c r="B554" i="253"/>
  <c r="J697" i="253"/>
  <c r="J693" i="253"/>
  <c r="J692" i="253"/>
  <c r="O525" i="253"/>
  <c r="O526" i="253" s="1"/>
  <c r="O527" i="253" s="1"/>
  <c r="O522" i="253"/>
  <c r="O523" i="253" s="1"/>
  <c r="O524" i="253" s="1"/>
  <c r="H524" i="253"/>
  <c r="J524" i="253" s="1"/>
  <c r="B524" i="253"/>
  <c r="H523" i="253"/>
  <c r="J523" i="253" s="1"/>
  <c r="B523" i="253"/>
  <c r="H522" i="253"/>
  <c r="J522" i="253" s="1"/>
  <c r="B522" i="253"/>
  <c r="P525" i="253"/>
  <c r="P526" i="253" s="1"/>
  <c r="P527" i="253" s="1"/>
  <c r="P601" i="253" s="1"/>
  <c r="P675" i="253" s="1"/>
  <c r="P519" i="253"/>
  <c r="P520" i="253" s="1"/>
  <c r="P521" i="253" s="1"/>
  <c r="P595" i="253" s="1"/>
  <c r="P669" i="253" s="1"/>
  <c r="P516" i="253"/>
  <c r="P517" i="253" s="1"/>
  <c r="P518" i="253" s="1"/>
  <c r="P592" i="253" s="1"/>
  <c r="P666" i="253" s="1"/>
  <c r="P513" i="253"/>
  <c r="P514" i="253" s="1"/>
  <c r="P515" i="253" s="1"/>
  <c r="P589" i="253" s="1"/>
  <c r="P663" i="253" s="1"/>
  <c r="P510" i="253"/>
  <c r="P511" i="253" s="1"/>
  <c r="P512" i="253" s="1"/>
  <c r="P586" i="253" s="1"/>
  <c r="P660" i="253" s="1"/>
  <c r="P507" i="253"/>
  <c r="P508" i="253" s="1"/>
  <c r="P509" i="253" s="1"/>
  <c r="P583" i="253" s="1"/>
  <c r="P657" i="253" s="1"/>
  <c r="P504" i="253"/>
  <c r="P505" i="253" s="1"/>
  <c r="P506" i="253" s="1"/>
  <c r="P580" i="253" s="1"/>
  <c r="P654" i="253" s="1"/>
  <c r="O504" i="253"/>
  <c r="O505" i="253" s="1"/>
  <c r="O506" i="253" s="1"/>
  <c r="P502" i="253"/>
  <c r="P503" i="253" s="1"/>
  <c r="P577" i="253" s="1"/>
  <c r="P651" i="253" s="1"/>
  <c r="P496" i="253"/>
  <c r="P497" i="253" s="1"/>
  <c r="P571" i="253" s="1"/>
  <c r="P645" i="253" s="1"/>
  <c r="P493" i="253"/>
  <c r="P494" i="253" s="1"/>
  <c r="P568" i="253" s="1"/>
  <c r="P642" i="253" s="1"/>
  <c r="P490" i="253"/>
  <c r="P491" i="253" s="1"/>
  <c r="P565" i="253" s="1"/>
  <c r="P639" i="253" s="1"/>
  <c r="P487" i="253"/>
  <c r="P561" i="253" s="1"/>
  <c r="P635" i="253" s="1"/>
  <c r="P484" i="253"/>
  <c r="P485" i="253" s="1"/>
  <c r="P559" i="253" s="1"/>
  <c r="P633" i="253" s="1"/>
  <c r="P481" i="253"/>
  <c r="P482" i="253" s="1"/>
  <c r="P556" i="253" s="1"/>
  <c r="P630" i="253" s="1"/>
  <c r="P478" i="253"/>
  <c r="P479" i="253" s="1"/>
  <c r="P553" i="253" s="1"/>
  <c r="P627" i="253" s="1"/>
  <c r="P472" i="253"/>
  <c r="P473" i="253" s="1"/>
  <c r="P547" i="253" s="1"/>
  <c r="P621" i="253" s="1"/>
  <c r="P469" i="253"/>
  <c r="P470" i="253" s="1"/>
  <c r="P544" i="253" s="1"/>
  <c r="P618" i="253" s="1"/>
  <c r="P466" i="253"/>
  <c r="P467" i="253" s="1"/>
  <c r="P541" i="253" s="1"/>
  <c r="P615" i="253" s="1"/>
  <c r="P463" i="253"/>
  <c r="P464" i="253" s="1"/>
  <c r="P538" i="253" s="1"/>
  <c r="P612" i="253" s="1"/>
  <c r="P460" i="253"/>
  <c r="P461" i="253" s="1"/>
  <c r="P535" i="253" s="1"/>
  <c r="P609" i="253" s="1"/>
  <c r="P457" i="253"/>
  <c r="P458" i="253" s="1"/>
  <c r="P532" i="253" s="1"/>
  <c r="P606" i="253" s="1"/>
  <c r="P498" i="253"/>
  <c r="P572" i="253" s="1"/>
  <c r="P646" i="253" s="1"/>
  <c r="P474" i="253"/>
  <c r="P475" i="253" s="1"/>
  <c r="P476" i="253" s="1"/>
  <c r="P550" i="253" s="1"/>
  <c r="P624" i="253" s="1"/>
  <c r="J500" i="253"/>
  <c r="I500" i="253"/>
  <c r="B500" i="253"/>
  <c r="O499" i="253"/>
  <c r="O500" i="253" s="1"/>
  <c r="J499" i="253"/>
  <c r="I499" i="253"/>
  <c r="B499" i="253"/>
  <c r="J498" i="253"/>
  <c r="I498" i="253"/>
  <c r="B498" i="253"/>
  <c r="J476" i="253"/>
  <c r="I476" i="253"/>
  <c r="B476" i="253"/>
  <c r="O475" i="253"/>
  <c r="O476" i="253" s="1"/>
  <c r="J475" i="253"/>
  <c r="I475" i="253"/>
  <c r="B475" i="253"/>
  <c r="J474" i="253"/>
  <c r="I474" i="253"/>
  <c r="B474" i="253"/>
  <c r="B601" i="253"/>
  <c r="B600" i="253"/>
  <c r="B599" i="253"/>
  <c r="B598" i="253"/>
  <c r="B597" i="253"/>
  <c r="B596" i="253"/>
  <c r="B595" i="253"/>
  <c r="B594" i="253"/>
  <c r="B593" i="253"/>
  <c r="B592" i="253"/>
  <c r="B591" i="253"/>
  <c r="B590" i="253"/>
  <c r="B589" i="253"/>
  <c r="B588" i="253"/>
  <c r="B587" i="253"/>
  <c r="B586" i="253"/>
  <c r="B585" i="253"/>
  <c r="B584" i="253"/>
  <c r="B583" i="253"/>
  <c r="B582" i="253"/>
  <c r="B581" i="253"/>
  <c r="B580" i="253"/>
  <c r="B579" i="253"/>
  <c r="B578" i="253"/>
  <c r="J577" i="253"/>
  <c r="I577" i="253"/>
  <c r="B577" i="253"/>
  <c r="J576" i="253"/>
  <c r="I576" i="253"/>
  <c r="B576" i="253"/>
  <c r="J575" i="253"/>
  <c r="I575" i="253"/>
  <c r="B575" i="253"/>
  <c r="J574" i="253"/>
  <c r="I574" i="253"/>
  <c r="B574" i="253"/>
  <c r="J553" i="253"/>
  <c r="I553" i="253"/>
  <c r="B553" i="253"/>
  <c r="J552" i="253"/>
  <c r="I552" i="253"/>
  <c r="B552" i="253"/>
  <c r="J551" i="253"/>
  <c r="I551" i="253"/>
  <c r="B551" i="253"/>
  <c r="J550" i="253"/>
  <c r="I550" i="253"/>
  <c r="B550" i="253"/>
  <c r="J549" i="253"/>
  <c r="I549" i="253"/>
  <c r="B549" i="253"/>
  <c r="J548" i="253"/>
  <c r="I548" i="253"/>
  <c r="B548" i="253"/>
  <c r="J547" i="253"/>
  <c r="I547" i="253"/>
  <c r="B547" i="253"/>
  <c r="J546" i="253"/>
  <c r="I546" i="253"/>
  <c r="B546" i="253"/>
  <c r="J545" i="253"/>
  <c r="I545" i="253"/>
  <c r="B545" i="253"/>
  <c r="J544" i="253"/>
  <c r="I544" i="253"/>
  <c r="B544" i="253"/>
  <c r="J543" i="253"/>
  <c r="I543" i="253"/>
  <c r="B543" i="253"/>
  <c r="J542" i="253"/>
  <c r="I542" i="253"/>
  <c r="B542" i="253"/>
  <c r="J541" i="253"/>
  <c r="I541" i="253"/>
  <c r="B541" i="253"/>
  <c r="J540" i="253"/>
  <c r="I540" i="253"/>
  <c r="B540" i="253"/>
  <c r="J539" i="253"/>
  <c r="I539" i="253"/>
  <c r="B539" i="253"/>
  <c r="J538" i="253"/>
  <c r="I538" i="253"/>
  <c r="B538" i="253"/>
  <c r="J537" i="253"/>
  <c r="I537" i="253"/>
  <c r="B537" i="253"/>
  <c r="J536" i="253"/>
  <c r="I536" i="253"/>
  <c r="B536" i="253"/>
  <c r="J535" i="253"/>
  <c r="I535" i="253"/>
  <c r="B535" i="253"/>
  <c r="J534" i="253"/>
  <c r="I534" i="253"/>
  <c r="B534" i="253"/>
  <c r="J533" i="253"/>
  <c r="I533" i="253"/>
  <c r="B533" i="253"/>
  <c r="J532" i="253"/>
  <c r="I532" i="253"/>
  <c r="B532" i="253"/>
  <c r="J531" i="253"/>
  <c r="I531" i="253"/>
  <c r="B531" i="253"/>
  <c r="J530" i="253"/>
  <c r="I530" i="253"/>
  <c r="B530" i="253"/>
  <c r="L529" i="253"/>
  <c r="K529" i="253"/>
  <c r="H505" i="253"/>
  <c r="J505" i="253" s="1"/>
  <c r="H506" i="253"/>
  <c r="J506" i="253" s="1"/>
  <c r="H507" i="253"/>
  <c r="J507" i="253" s="1"/>
  <c r="H508" i="253"/>
  <c r="J508" i="253" s="1"/>
  <c r="H509" i="253"/>
  <c r="I509" i="253" s="1"/>
  <c r="H510" i="253"/>
  <c r="J510" i="253" s="1"/>
  <c r="H511" i="253"/>
  <c r="I511" i="253" s="1"/>
  <c r="H512" i="253"/>
  <c r="J512" i="253" s="1"/>
  <c r="H513" i="253"/>
  <c r="J513" i="253" s="1"/>
  <c r="H514" i="253"/>
  <c r="J514" i="253" s="1"/>
  <c r="H515" i="253"/>
  <c r="J515" i="253" s="1"/>
  <c r="H516" i="253"/>
  <c r="J516" i="253" s="1"/>
  <c r="H517" i="253"/>
  <c r="J517" i="253" s="1"/>
  <c r="H518" i="253"/>
  <c r="J518" i="253" s="1"/>
  <c r="H519" i="253"/>
  <c r="J519" i="253" s="1"/>
  <c r="H520" i="253"/>
  <c r="J520" i="253" s="1"/>
  <c r="H521" i="253"/>
  <c r="J521" i="253" s="1"/>
  <c r="H525" i="253"/>
  <c r="J525" i="253" s="1"/>
  <c r="H526" i="253"/>
  <c r="J526" i="253" s="1"/>
  <c r="H527" i="253"/>
  <c r="J527" i="253" s="1"/>
  <c r="H504" i="253"/>
  <c r="J504" i="253" s="1"/>
  <c r="O502" i="253"/>
  <c r="O503" i="253" s="1"/>
  <c r="O496" i="253"/>
  <c r="O497" i="253" s="1"/>
  <c r="O493" i="253"/>
  <c r="O494" i="253" s="1"/>
  <c r="O490" i="253"/>
  <c r="O491" i="253" s="1"/>
  <c r="O487" i="253"/>
  <c r="O488" i="253" s="1"/>
  <c r="O484" i="253"/>
  <c r="O485" i="253" s="1"/>
  <c r="O481" i="253"/>
  <c r="O482" i="253" s="1"/>
  <c r="O478" i="253"/>
  <c r="O479" i="253" s="1"/>
  <c r="O472" i="253"/>
  <c r="O473" i="253" s="1"/>
  <c r="O469" i="253"/>
  <c r="O470" i="253" s="1"/>
  <c r="O466" i="253"/>
  <c r="O467" i="253" s="1"/>
  <c r="O463" i="253"/>
  <c r="O464" i="253" s="1"/>
  <c r="O460" i="253"/>
  <c r="O461" i="253" s="1"/>
  <c r="O457" i="253"/>
  <c r="O458" i="253" s="1"/>
  <c r="O519" i="253"/>
  <c r="O520" i="253" s="1"/>
  <c r="O521" i="253" s="1"/>
  <c r="O516" i="253"/>
  <c r="O517" i="253" s="1"/>
  <c r="O518" i="253" s="1"/>
  <c r="O513" i="253"/>
  <c r="O514" i="253" s="1"/>
  <c r="O515" i="253" s="1"/>
  <c r="O510" i="253"/>
  <c r="O511" i="253" s="1"/>
  <c r="O512" i="253" s="1"/>
  <c r="O507" i="253"/>
  <c r="O508" i="253" s="1"/>
  <c r="O509" i="253" s="1"/>
  <c r="B527" i="253"/>
  <c r="B526" i="253"/>
  <c r="B525" i="253"/>
  <c r="B521" i="253"/>
  <c r="B520" i="253"/>
  <c r="B519" i="253"/>
  <c r="B518" i="253"/>
  <c r="B517" i="253"/>
  <c r="B516" i="253"/>
  <c r="B515" i="253"/>
  <c r="B514" i="253"/>
  <c r="B513" i="253"/>
  <c r="B512" i="253"/>
  <c r="B511" i="253"/>
  <c r="B510" i="253"/>
  <c r="B509" i="253"/>
  <c r="B508" i="253"/>
  <c r="B507" i="253"/>
  <c r="B506" i="253"/>
  <c r="B505" i="253"/>
  <c r="B504" i="253"/>
  <c r="J503" i="253"/>
  <c r="I503" i="253"/>
  <c r="B503" i="253"/>
  <c r="J502" i="253"/>
  <c r="I502" i="253"/>
  <c r="B502" i="253"/>
  <c r="J501" i="253"/>
  <c r="I501" i="253"/>
  <c r="B501" i="253"/>
  <c r="J497" i="253"/>
  <c r="I497" i="253"/>
  <c r="B497" i="253"/>
  <c r="J496" i="253"/>
  <c r="I496" i="253"/>
  <c r="B496" i="253"/>
  <c r="J495" i="253"/>
  <c r="I495" i="253"/>
  <c r="B495" i="253"/>
  <c r="J479" i="253"/>
  <c r="I479" i="253"/>
  <c r="B479" i="253"/>
  <c r="J478" i="253"/>
  <c r="I478" i="253"/>
  <c r="B478" i="253"/>
  <c r="J473" i="253"/>
  <c r="I473" i="253"/>
  <c r="B473" i="253"/>
  <c r="J472" i="253"/>
  <c r="I472" i="253"/>
  <c r="B472" i="253"/>
  <c r="J470" i="253"/>
  <c r="I470" i="253"/>
  <c r="B470" i="253"/>
  <c r="J469" i="253"/>
  <c r="I469" i="253"/>
  <c r="B469" i="253"/>
  <c r="J467" i="253"/>
  <c r="I467" i="253"/>
  <c r="B467" i="253"/>
  <c r="J466" i="253"/>
  <c r="I466" i="253"/>
  <c r="B466" i="253"/>
  <c r="J464" i="253"/>
  <c r="I464" i="253"/>
  <c r="B464" i="253"/>
  <c r="J463" i="253"/>
  <c r="I463" i="253"/>
  <c r="B463" i="253"/>
  <c r="J461" i="253"/>
  <c r="I461" i="253"/>
  <c r="B461" i="253"/>
  <c r="J460" i="253"/>
  <c r="I460" i="253"/>
  <c r="B460" i="253"/>
  <c r="J458" i="253"/>
  <c r="I458" i="253"/>
  <c r="B458" i="253"/>
  <c r="J457" i="253"/>
  <c r="I457" i="253"/>
  <c r="B457" i="253"/>
  <c r="J486" i="253"/>
  <c r="I486" i="253"/>
  <c r="B486" i="253"/>
  <c r="J485" i="253"/>
  <c r="I485" i="253"/>
  <c r="B485" i="253"/>
  <c r="J484" i="253"/>
  <c r="I484" i="253"/>
  <c r="B484" i="253"/>
  <c r="J483" i="253"/>
  <c r="I483" i="253"/>
  <c r="B483" i="253"/>
  <c r="J482" i="253"/>
  <c r="I482" i="253"/>
  <c r="B482" i="253"/>
  <c r="J481" i="253"/>
  <c r="I481" i="253"/>
  <c r="B481" i="253"/>
  <c r="J480" i="253"/>
  <c r="I480" i="253"/>
  <c r="B480" i="253"/>
  <c r="J493" i="253"/>
  <c r="I493" i="253"/>
  <c r="B493" i="253"/>
  <c r="J492" i="253"/>
  <c r="I492" i="253"/>
  <c r="B492" i="253"/>
  <c r="J491" i="253"/>
  <c r="I491" i="253"/>
  <c r="B491" i="253"/>
  <c r="J490" i="253"/>
  <c r="I490" i="253"/>
  <c r="B490" i="253"/>
  <c r="J489" i="253"/>
  <c r="I489" i="253"/>
  <c r="B489" i="253"/>
  <c r="J488" i="253"/>
  <c r="I488" i="253"/>
  <c r="B488" i="253"/>
  <c r="J487" i="253"/>
  <c r="I487" i="253"/>
  <c r="B487" i="253"/>
  <c r="J494" i="253"/>
  <c r="I494" i="253"/>
  <c r="B494" i="253"/>
  <c r="J477" i="253"/>
  <c r="I477" i="253"/>
  <c r="B477" i="253"/>
  <c r="J471" i="253"/>
  <c r="I471" i="253"/>
  <c r="B471" i="253"/>
  <c r="J468" i="253"/>
  <c r="I468" i="253"/>
  <c r="B468" i="253"/>
  <c r="J465" i="253"/>
  <c r="I465" i="253"/>
  <c r="B465" i="253"/>
  <c r="J462" i="253"/>
  <c r="I462" i="253"/>
  <c r="B462" i="253"/>
  <c r="J459" i="253"/>
  <c r="I459" i="253"/>
  <c r="B459" i="253"/>
  <c r="J456" i="253"/>
  <c r="I456" i="253"/>
  <c r="B456" i="253"/>
  <c r="L455" i="253"/>
  <c r="K455" i="253"/>
  <c r="O452" i="253"/>
  <c r="O453" i="253" s="1"/>
  <c r="J297" i="253"/>
  <c r="I297" i="253"/>
  <c r="B297" i="253"/>
  <c r="J294" i="253"/>
  <c r="I294" i="253"/>
  <c r="B294" i="253"/>
  <c r="O285" i="253"/>
  <c r="O294" i="253" s="1"/>
  <c r="J282" i="253"/>
  <c r="I282" i="253"/>
  <c r="B282" i="253"/>
  <c r="J279" i="253"/>
  <c r="I279" i="253"/>
  <c r="B279" i="253"/>
  <c r="J276" i="253"/>
  <c r="I276" i="253"/>
  <c r="B276" i="253"/>
  <c r="O288" i="253"/>
  <c r="O297" i="253" s="1"/>
  <c r="O291" i="253"/>
  <c r="O302" i="253" s="1"/>
  <c r="AB2" i="253"/>
  <c r="AA2" i="253"/>
  <c r="Z2" i="253"/>
  <c r="Y2" i="253"/>
  <c r="X2" i="253"/>
  <c r="W2" i="253"/>
  <c r="V2" i="253"/>
  <c r="U2" i="253"/>
  <c r="O254" i="253"/>
  <c r="O257" i="253" s="1"/>
  <c r="O260" i="253" s="1"/>
  <c r="O263" i="253" s="1"/>
  <c r="O255" i="253"/>
  <c r="O258" i="253" s="1"/>
  <c r="O261" i="253" s="1"/>
  <c r="O264" i="253" s="1"/>
  <c r="O253" i="253"/>
  <c r="O256" i="253" s="1"/>
  <c r="O259" i="253" s="1"/>
  <c r="O262" i="253" s="1"/>
  <c r="H254" i="253"/>
  <c r="I254" i="253" s="1"/>
  <c r="H255" i="253"/>
  <c r="H258" i="253" s="1"/>
  <c r="H261" i="253" s="1"/>
  <c r="H253" i="253"/>
  <c r="H256" i="253" s="1"/>
  <c r="B262" i="253"/>
  <c r="B261" i="253"/>
  <c r="B260" i="253"/>
  <c r="B255" i="253"/>
  <c r="B254" i="253"/>
  <c r="B253" i="253"/>
  <c r="J252" i="253"/>
  <c r="I252" i="253"/>
  <c r="B252" i="253"/>
  <c r="J251" i="253"/>
  <c r="I251" i="253"/>
  <c r="B251" i="253"/>
  <c r="J250" i="253"/>
  <c r="I250" i="253"/>
  <c r="B250" i="253"/>
  <c r="J249" i="253"/>
  <c r="I249" i="253"/>
  <c r="B249" i="253"/>
  <c r="J248" i="253"/>
  <c r="I248" i="253"/>
  <c r="B248" i="253"/>
  <c r="J247" i="253"/>
  <c r="I247" i="253"/>
  <c r="B247" i="253"/>
  <c r="J246" i="253"/>
  <c r="I246" i="253"/>
  <c r="B246" i="253"/>
  <c r="J245" i="253"/>
  <c r="I245" i="253"/>
  <c r="B245" i="253"/>
  <c r="J244" i="253"/>
  <c r="I244" i="253"/>
  <c r="B244" i="253"/>
  <c r="J243" i="253"/>
  <c r="I243" i="253"/>
  <c r="B243" i="253"/>
  <c r="J242" i="253"/>
  <c r="I242" i="253"/>
  <c r="B242" i="253"/>
  <c r="J241" i="253"/>
  <c r="I241" i="253"/>
  <c r="B241" i="253"/>
  <c r="O86" i="253"/>
  <c r="O87" i="253" s="1"/>
  <c r="O84" i="253"/>
  <c r="J90" i="253"/>
  <c r="I90" i="253"/>
  <c r="B90" i="253"/>
  <c r="J89" i="253"/>
  <c r="I89" i="253"/>
  <c r="B89" i="253"/>
  <c r="J88" i="253"/>
  <c r="I88" i="253"/>
  <c r="B88" i="253"/>
  <c r="J87" i="253"/>
  <c r="I87" i="253"/>
  <c r="B87" i="253"/>
  <c r="J86" i="253"/>
  <c r="I86" i="253"/>
  <c r="B86" i="253"/>
  <c r="J85" i="253"/>
  <c r="I85" i="253"/>
  <c r="B85" i="253"/>
  <c r="J84" i="253"/>
  <c r="I84" i="253"/>
  <c r="B84" i="253"/>
  <c r="J83" i="253"/>
  <c r="I83" i="253"/>
  <c r="B83" i="253"/>
  <c r="J82" i="253"/>
  <c r="I82" i="253"/>
  <c r="B82" i="253"/>
  <c r="O67" i="253"/>
  <c r="O81" i="253" s="1"/>
  <c r="O65" i="253"/>
  <c r="O79" i="253" s="1"/>
  <c r="O60" i="253"/>
  <c r="O61" i="253"/>
  <c r="O59" i="253"/>
  <c r="O57" i="253"/>
  <c r="O71" i="253" s="1"/>
  <c r="O56" i="253"/>
  <c r="O70" i="253" s="1"/>
  <c r="I70" i="253"/>
  <c r="J81" i="253"/>
  <c r="I81" i="253"/>
  <c r="B81" i="253"/>
  <c r="J80" i="253"/>
  <c r="I80" i="253"/>
  <c r="B80" i="253"/>
  <c r="J79" i="253"/>
  <c r="I79" i="253"/>
  <c r="B79" i="253"/>
  <c r="J78" i="253"/>
  <c r="I78" i="253"/>
  <c r="B78" i="253"/>
  <c r="J77" i="253"/>
  <c r="I77" i="253"/>
  <c r="B77" i="253"/>
  <c r="J76" i="253"/>
  <c r="I76" i="253"/>
  <c r="B76" i="253"/>
  <c r="J75" i="253"/>
  <c r="I75" i="253"/>
  <c r="B75" i="253"/>
  <c r="J74" i="253"/>
  <c r="I74" i="253"/>
  <c r="B74" i="253"/>
  <c r="J73" i="253"/>
  <c r="I73" i="253"/>
  <c r="B73" i="253"/>
  <c r="J72" i="253"/>
  <c r="I72" i="253"/>
  <c r="B72" i="253"/>
  <c r="J71" i="253"/>
  <c r="I71" i="253"/>
  <c r="B71" i="253"/>
  <c r="J70" i="253"/>
  <c r="B70" i="253"/>
  <c r="L69" i="253"/>
  <c r="K69" i="253"/>
  <c r="O233" i="253"/>
  <c r="O234" i="253" s="1"/>
  <c r="O235" i="253" s="1"/>
  <c r="O227" i="253"/>
  <c r="O228" i="253" s="1"/>
  <c r="O229" i="253" s="1"/>
  <c r="O224" i="253"/>
  <c r="O225" i="253" s="1"/>
  <c r="O226" i="253" s="1"/>
  <c r="O221" i="253"/>
  <c r="O222" i="253" s="1"/>
  <c r="O223" i="253" s="1"/>
  <c r="J235" i="253"/>
  <c r="I235" i="253"/>
  <c r="B235" i="253"/>
  <c r="J234" i="253"/>
  <c r="I234" i="253"/>
  <c r="B234" i="253"/>
  <c r="J233" i="253"/>
  <c r="I233" i="253"/>
  <c r="B233" i="253"/>
  <c r="J228" i="253"/>
  <c r="I228" i="253"/>
  <c r="B228" i="253"/>
  <c r="J227" i="253"/>
  <c r="I227" i="253"/>
  <c r="B227" i="253"/>
  <c r="J226" i="253"/>
  <c r="I226" i="253"/>
  <c r="B226" i="253"/>
  <c r="J225" i="253"/>
  <c r="I225" i="253"/>
  <c r="B225" i="253"/>
  <c r="J224" i="253"/>
  <c r="I224" i="253"/>
  <c r="B224" i="253"/>
  <c r="J223" i="253"/>
  <c r="I223" i="253"/>
  <c r="B223" i="253"/>
  <c r="O180" i="253"/>
  <c r="O181" i="253" s="1"/>
  <c r="O182" i="253" s="1"/>
  <c r="O177" i="253"/>
  <c r="O178" i="253" s="1"/>
  <c r="O179" i="253" s="1"/>
  <c r="O174" i="253"/>
  <c r="O175" i="253" s="1"/>
  <c r="O176" i="253" s="1"/>
  <c r="O171" i="253"/>
  <c r="O172" i="253" s="1"/>
  <c r="O173" i="253" s="1"/>
  <c r="O216" i="253"/>
  <c r="O217" i="253" s="1"/>
  <c r="O218" i="253" s="1"/>
  <c r="O213" i="253"/>
  <c r="O214" i="253" s="1"/>
  <c r="O215" i="253" s="1"/>
  <c r="O210" i="253"/>
  <c r="O211" i="253" s="1"/>
  <c r="O212" i="253" s="1"/>
  <c r="O207" i="253"/>
  <c r="O208" i="253" s="1"/>
  <c r="O209" i="253" s="1"/>
  <c r="J218" i="253"/>
  <c r="I218" i="253"/>
  <c r="B218" i="253"/>
  <c r="J217" i="253"/>
  <c r="I217" i="253"/>
  <c r="B217" i="253"/>
  <c r="J216" i="253"/>
  <c r="I216" i="253"/>
  <c r="B216" i="253"/>
  <c r="J215" i="253"/>
  <c r="I215" i="253"/>
  <c r="B215" i="253"/>
  <c r="J214" i="253"/>
  <c r="I214" i="253"/>
  <c r="B214" i="253"/>
  <c r="J213" i="253"/>
  <c r="I213" i="253"/>
  <c r="B213" i="253"/>
  <c r="J212" i="253"/>
  <c r="I212" i="253"/>
  <c r="B212" i="253"/>
  <c r="J211" i="253"/>
  <c r="I211" i="253"/>
  <c r="B211" i="253"/>
  <c r="J210" i="253"/>
  <c r="I210" i="253"/>
  <c r="B210" i="253"/>
  <c r="J209" i="253"/>
  <c r="I209" i="253"/>
  <c r="B209" i="253"/>
  <c r="J208" i="253"/>
  <c r="I208" i="253"/>
  <c r="B208" i="253"/>
  <c r="J207" i="253"/>
  <c r="I207" i="253"/>
  <c r="B207" i="253"/>
  <c r="J206" i="253"/>
  <c r="I206" i="253"/>
  <c r="B206" i="253"/>
  <c r="O205" i="253"/>
  <c r="O206" i="253" s="1"/>
  <c r="J205" i="253"/>
  <c r="I205" i="253"/>
  <c r="B205" i="253"/>
  <c r="J204" i="253"/>
  <c r="I204" i="253"/>
  <c r="B204" i="253"/>
  <c r="J203" i="253"/>
  <c r="I203" i="253"/>
  <c r="B203" i="253"/>
  <c r="O202" i="253"/>
  <c r="O203" i="253" s="1"/>
  <c r="J202" i="253"/>
  <c r="I202" i="253"/>
  <c r="B202" i="253"/>
  <c r="J201" i="253"/>
  <c r="I201" i="253"/>
  <c r="B201" i="253"/>
  <c r="J200" i="253"/>
  <c r="I200" i="253"/>
  <c r="B200" i="253"/>
  <c r="O199" i="253"/>
  <c r="O200" i="253" s="1"/>
  <c r="J199" i="253"/>
  <c r="I199" i="253"/>
  <c r="B199" i="253"/>
  <c r="J198" i="253"/>
  <c r="I198" i="253"/>
  <c r="B198" i="253"/>
  <c r="J197" i="253"/>
  <c r="I197" i="253"/>
  <c r="B197" i="253"/>
  <c r="O196" i="253"/>
  <c r="O197" i="253" s="1"/>
  <c r="J196" i="253"/>
  <c r="I196" i="253"/>
  <c r="B196" i="253"/>
  <c r="J195" i="253"/>
  <c r="I195" i="253"/>
  <c r="B195" i="253"/>
  <c r="O193" i="253"/>
  <c r="O194" i="253" s="1"/>
  <c r="O190" i="253"/>
  <c r="O191" i="253" s="1"/>
  <c r="O187" i="253"/>
  <c r="O188" i="253" s="1"/>
  <c r="O184" i="253"/>
  <c r="O185" i="253" s="1"/>
  <c r="J190" i="253"/>
  <c r="I190" i="253"/>
  <c r="B190" i="253"/>
  <c r="J189" i="253"/>
  <c r="I189" i="253"/>
  <c r="B189" i="253"/>
  <c r="J188" i="253"/>
  <c r="I188" i="253"/>
  <c r="B188" i="253"/>
  <c r="J187" i="253"/>
  <c r="I187" i="253"/>
  <c r="B187" i="253"/>
  <c r="J186" i="253"/>
  <c r="I186" i="253"/>
  <c r="B186" i="253"/>
  <c r="J185" i="253"/>
  <c r="I185" i="253"/>
  <c r="B185" i="253"/>
  <c r="J184" i="253"/>
  <c r="I184" i="253"/>
  <c r="B184" i="253"/>
  <c r="J183" i="253"/>
  <c r="I183" i="253"/>
  <c r="B183" i="253"/>
  <c r="J182" i="253"/>
  <c r="I182" i="253"/>
  <c r="B182" i="253"/>
  <c r="J181" i="253"/>
  <c r="I181" i="253"/>
  <c r="B181" i="253"/>
  <c r="J180" i="253"/>
  <c r="I180" i="253"/>
  <c r="B180" i="253"/>
  <c r="J179" i="253"/>
  <c r="I179" i="253"/>
  <c r="B179" i="253"/>
  <c r="J178" i="253"/>
  <c r="I178" i="253"/>
  <c r="B178" i="253"/>
  <c r="J177" i="253"/>
  <c r="I177" i="253"/>
  <c r="B177" i="253"/>
  <c r="J176" i="253"/>
  <c r="I176" i="253"/>
  <c r="B176" i="253"/>
  <c r="J175" i="253"/>
  <c r="I175" i="253"/>
  <c r="B175" i="253"/>
  <c r="J174" i="253"/>
  <c r="I174" i="253"/>
  <c r="B174" i="253"/>
  <c r="J173" i="253"/>
  <c r="I173" i="253"/>
  <c r="B173" i="253"/>
  <c r="J66" i="253"/>
  <c r="I66" i="253"/>
  <c r="B66" i="253"/>
  <c r="J65" i="253"/>
  <c r="I65" i="253"/>
  <c r="B65" i="253"/>
  <c r="J64" i="253"/>
  <c r="I64" i="253"/>
  <c r="B64" i="253"/>
  <c r="J63" i="253"/>
  <c r="I63" i="253"/>
  <c r="B63" i="253"/>
  <c r="J61" i="253"/>
  <c r="I61" i="253"/>
  <c r="B61" i="253"/>
  <c r="J60" i="253"/>
  <c r="I60" i="253"/>
  <c r="B60" i="253"/>
  <c r="J58" i="253"/>
  <c r="I58" i="253"/>
  <c r="B58" i="253"/>
  <c r="J57" i="253"/>
  <c r="I57" i="253"/>
  <c r="B57" i="253"/>
  <c r="J67" i="253"/>
  <c r="I67" i="253"/>
  <c r="B67" i="253"/>
  <c r="J62" i="253"/>
  <c r="I62" i="253"/>
  <c r="B62" i="253"/>
  <c r="J59" i="253"/>
  <c r="I59" i="253"/>
  <c r="B59" i="253"/>
  <c r="J56" i="253"/>
  <c r="I56" i="253"/>
  <c r="B56" i="253"/>
  <c r="L55" i="253"/>
  <c r="K55" i="253"/>
  <c r="O32" i="253"/>
  <c r="O33" i="253"/>
  <c r="O62" i="253" s="1"/>
  <c r="O76" i="253" s="1"/>
  <c r="O34" i="253"/>
  <c r="O63" i="253" s="1"/>
  <c r="O77" i="253" s="1"/>
  <c r="O35" i="253"/>
  <c r="O64" i="253" s="1"/>
  <c r="O78" i="253" s="1"/>
  <c r="O36" i="253"/>
  <c r="O37" i="253"/>
  <c r="O38" i="253"/>
  <c r="O31" i="253"/>
  <c r="J41" i="253"/>
  <c r="I41" i="253"/>
  <c r="B41" i="253"/>
  <c r="J40" i="253"/>
  <c r="I40" i="253"/>
  <c r="B40" i="253"/>
  <c r="J39" i="253"/>
  <c r="I39" i="253"/>
  <c r="B39" i="253"/>
  <c r="J38" i="253"/>
  <c r="I38" i="253"/>
  <c r="B38" i="253"/>
  <c r="J37" i="253"/>
  <c r="I37" i="253"/>
  <c r="B37" i="253"/>
  <c r="J36" i="253"/>
  <c r="I36" i="253"/>
  <c r="B36" i="253"/>
  <c r="J35" i="253"/>
  <c r="I35" i="253"/>
  <c r="B35" i="253"/>
  <c r="J34" i="253"/>
  <c r="I34" i="253"/>
  <c r="B34" i="253"/>
  <c r="J33" i="253"/>
  <c r="I33" i="253"/>
  <c r="B33" i="253"/>
  <c r="J32" i="253"/>
  <c r="I32" i="253"/>
  <c r="B32" i="253"/>
  <c r="J31" i="253"/>
  <c r="I31" i="253"/>
  <c r="B31" i="253"/>
  <c r="J30" i="253"/>
  <c r="I30" i="253"/>
  <c r="B30" i="253"/>
  <c r="O50" i="253"/>
  <c r="O53" i="253" s="1"/>
  <c r="O48" i="253"/>
  <c r="O51" i="253" s="1"/>
  <c r="O46" i="253"/>
  <c r="O49" i="253" s="1"/>
  <c r="O52" i="253" s="1"/>
  <c r="J53" i="253"/>
  <c r="I53" i="253"/>
  <c r="B53" i="253"/>
  <c r="J52" i="253"/>
  <c r="I52" i="253"/>
  <c r="B52" i="253"/>
  <c r="J51" i="253"/>
  <c r="I51" i="253"/>
  <c r="B51" i="253"/>
  <c r="J50" i="253"/>
  <c r="I50" i="253"/>
  <c r="B50" i="253"/>
  <c r="J49" i="253"/>
  <c r="I49" i="253"/>
  <c r="B49" i="253"/>
  <c r="J48" i="253"/>
  <c r="I48" i="253"/>
  <c r="B48" i="253"/>
  <c r="J47" i="253"/>
  <c r="I47" i="253"/>
  <c r="B47" i="253"/>
  <c r="J46" i="253"/>
  <c r="I46" i="253"/>
  <c r="B46" i="253"/>
  <c r="O43" i="253"/>
  <c r="O16" i="253"/>
  <c r="O15" i="253"/>
  <c r="O13" i="253"/>
  <c r="O12" i="253"/>
  <c r="J17" i="253"/>
  <c r="I17" i="253"/>
  <c r="B17" i="253"/>
  <c r="J16" i="253"/>
  <c r="I16" i="253"/>
  <c r="B16" i="253"/>
  <c r="J15" i="253"/>
  <c r="I15" i="253"/>
  <c r="B15" i="253"/>
  <c r="J14" i="253"/>
  <c r="I14" i="253"/>
  <c r="B14" i="253"/>
  <c r="J13" i="253"/>
  <c r="I13" i="253"/>
  <c r="B13" i="253"/>
  <c r="J12" i="253"/>
  <c r="I12" i="253"/>
  <c r="B12" i="253"/>
  <c r="O11" i="253"/>
  <c r="O17" i="253" s="1"/>
  <c r="O28" i="253"/>
  <c r="O29" i="253"/>
  <c r="O27" i="253"/>
  <c r="J45" i="253"/>
  <c r="I45" i="253"/>
  <c r="B45" i="253"/>
  <c r="J44" i="253"/>
  <c r="I44" i="253"/>
  <c r="B44" i="253"/>
  <c r="J43" i="253"/>
  <c r="I43" i="253"/>
  <c r="B43" i="253"/>
  <c r="J42" i="253"/>
  <c r="I42" i="253"/>
  <c r="B42" i="253"/>
  <c r="J29" i="253"/>
  <c r="I29" i="253"/>
  <c r="B29" i="253"/>
  <c r="J28" i="253"/>
  <c r="I28" i="253"/>
  <c r="B28" i="253"/>
  <c r="J27" i="253"/>
  <c r="I27" i="253"/>
  <c r="B27" i="253"/>
  <c r="J26" i="253"/>
  <c r="I26" i="253"/>
  <c r="B26" i="253"/>
  <c r="J25" i="253"/>
  <c r="I25" i="253"/>
  <c r="B25" i="253"/>
  <c r="J24" i="253"/>
  <c r="I24" i="253"/>
  <c r="B24" i="253"/>
  <c r="J23" i="253"/>
  <c r="I23" i="253"/>
  <c r="B23" i="253"/>
  <c r="J22" i="253"/>
  <c r="I22" i="253"/>
  <c r="B22" i="253"/>
  <c r="J21" i="253"/>
  <c r="I21" i="253"/>
  <c r="B21" i="253"/>
  <c r="J20" i="253"/>
  <c r="I20" i="253"/>
  <c r="B20" i="253"/>
  <c r="J19" i="253"/>
  <c r="I19" i="253"/>
  <c r="B19" i="253"/>
  <c r="J18" i="253"/>
  <c r="I18" i="253"/>
  <c r="B18" i="253"/>
  <c r="O166" i="253"/>
  <c r="O163" i="253"/>
  <c r="O160" i="253"/>
  <c r="O157" i="253"/>
  <c r="O155" i="253"/>
  <c r="O156" i="253" s="1"/>
  <c r="O168" i="253" s="1"/>
  <c r="O152" i="253"/>
  <c r="O164" i="253" s="1"/>
  <c r="O149" i="253"/>
  <c r="O150" i="253" s="1"/>
  <c r="O162" i="253" s="1"/>
  <c r="O146" i="253"/>
  <c r="O147" i="253" s="1"/>
  <c r="O159" i="253" s="1"/>
  <c r="J168" i="253"/>
  <c r="I168" i="253"/>
  <c r="B168" i="253"/>
  <c r="J167" i="253"/>
  <c r="I167" i="253"/>
  <c r="B167" i="253"/>
  <c r="J166" i="253"/>
  <c r="I166" i="253"/>
  <c r="B166" i="253"/>
  <c r="J165" i="253"/>
  <c r="I165" i="253"/>
  <c r="B165" i="253"/>
  <c r="J164" i="253"/>
  <c r="I164" i="253"/>
  <c r="B164" i="253"/>
  <c r="J163" i="253"/>
  <c r="I163" i="253"/>
  <c r="B163" i="253"/>
  <c r="J162" i="253"/>
  <c r="I162" i="253"/>
  <c r="B162" i="253"/>
  <c r="J161" i="253"/>
  <c r="I161" i="253"/>
  <c r="B161" i="253"/>
  <c r="J160" i="253"/>
  <c r="I160" i="253"/>
  <c r="B160" i="253"/>
  <c r="J159" i="253"/>
  <c r="I159" i="253"/>
  <c r="B159" i="253"/>
  <c r="J158" i="253"/>
  <c r="I158" i="253"/>
  <c r="B158" i="253"/>
  <c r="J157" i="253"/>
  <c r="I157" i="253"/>
  <c r="B157" i="253"/>
  <c r="J156" i="253"/>
  <c r="I156" i="253"/>
  <c r="B156" i="253"/>
  <c r="J155" i="253"/>
  <c r="I155" i="253"/>
  <c r="B155" i="253"/>
  <c r="J154" i="253"/>
  <c r="I154" i="253"/>
  <c r="B154" i="253"/>
  <c r="J153" i="253"/>
  <c r="I153" i="253"/>
  <c r="B153" i="253"/>
  <c r="J152" i="253"/>
  <c r="I152" i="253"/>
  <c r="B152" i="253"/>
  <c r="J151" i="253"/>
  <c r="I151" i="253"/>
  <c r="B151" i="253"/>
  <c r="J150" i="253"/>
  <c r="I150" i="253"/>
  <c r="B150" i="253"/>
  <c r="J149" i="253"/>
  <c r="I149" i="253"/>
  <c r="B149" i="253"/>
  <c r="J148" i="253"/>
  <c r="I148" i="253"/>
  <c r="B148" i="253"/>
  <c r="O140" i="253"/>
  <c r="O137" i="253"/>
  <c r="O134" i="253"/>
  <c r="O131" i="253"/>
  <c r="J142" i="253"/>
  <c r="I142" i="253"/>
  <c r="B142" i="253"/>
  <c r="J141" i="253"/>
  <c r="I141" i="253"/>
  <c r="B141" i="253"/>
  <c r="J140" i="253"/>
  <c r="I140" i="253"/>
  <c r="B140" i="253"/>
  <c r="J139" i="253"/>
  <c r="I139" i="253"/>
  <c r="B139" i="253"/>
  <c r="J138" i="253"/>
  <c r="I138" i="253"/>
  <c r="B138" i="253"/>
  <c r="J137" i="253"/>
  <c r="I137" i="253"/>
  <c r="B137" i="253"/>
  <c r="J136" i="253"/>
  <c r="I136" i="253"/>
  <c r="B136" i="253"/>
  <c r="J135" i="253"/>
  <c r="I135" i="253"/>
  <c r="B135" i="253"/>
  <c r="J134" i="253"/>
  <c r="I134" i="253"/>
  <c r="B134" i="253"/>
  <c r="J133" i="253"/>
  <c r="I133" i="253"/>
  <c r="B133" i="253"/>
  <c r="J132" i="253"/>
  <c r="I132" i="253"/>
  <c r="B132" i="253"/>
  <c r="J131" i="253"/>
  <c r="I131" i="253"/>
  <c r="B131" i="253"/>
  <c r="O108" i="253"/>
  <c r="O111" i="253"/>
  <c r="O114" i="253"/>
  <c r="O105" i="253"/>
  <c r="J116" i="253"/>
  <c r="I116" i="253"/>
  <c r="B116" i="253"/>
  <c r="J115" i="253"/>
  <c r="I115" i="253"/>
  <c r="B115" i="253"/>
  <c r="J114" i="253"/>
  <c r="I114" i="253"/>
  <c r="B114" i="253"/>
  <c r="J113" i="253"/>
  <c r="I113" i="253"/>
  <c r="B113" i="253"/>
  <c r="J112" i="253"/>
  <c r="I112" i="253"/>
  <c r="B112" i="253"/>
  <c r="J111" i="253"/>
  <c r="I111" i="253"/>
  <c r="B111" i="253"/>
  <c r="J110" i="253"/>
  <c r="I110" i="253"/>
  <c r="B110" i="253"/>
  <c r="J109" i="253"/>
  <c r="I109" i="253"/>
  <c r="B109" i="253"/>
  <c r="J108" i="253"/>
  <c r="I108" i="253"/>
  <c r="B108" i="253"/>
  <c r="J107" i="253"/>
  <c r="I107" i="253"/>
  <c r="B107" i="253"/>
  <c r="J106" i="253"/>
  <c r="I106" i="253"/>
  <c r="B106" i="253"/>
  <c r="J105" i="253"/>
  <c r="I105" i="253"/>
  <c r="B105" i="253"/>
  <c r="J104" i="253"/>
  <c r="I104" i="253"/>
  <c r="B104" i="253"/>
  <c r="O129" i="253"/>
  <c r="O130" i="253" s="1"/>
  <c r="O142" i="253" s="1"/>
  <c r="O126" i="253"/>
  <c r="O127" i="253" s="1"/>
  <c r="O139" i="253" s="1"/>
  <c r="O123" i="253"/>
  <c r="O124" i="253" s="1"/>
  <c r="O136" i="253" s="1"/>
  <c r="O120" i="253"/>
  <c r="O121" i="253" s="1"/>
  <c r="O133" i="253" s="1"/>
  <c r="J129" i="253"/>
  <c r="I129" i="253"/>
  <c r="B129" i="253"/>
  <c r="J128" i="253"/>
  <c r="I128" i="253"/>
  <c r="B128" i="253"/>
  <c r="J127" i="253"/>
  <c r="I127" i="253"/>
  <c r="B127" i="253"/>
  <c r="J130" i="253"/>
  <c r="I130" i="253"/>
  <c r="B130" i="253"/>
  <c r="O103" i="253"/>
  <c r="O104" i="253" s="1"/>
  <c r="O116" i="253" s="1"/>
  <c r="O100" i="253"/>
  <c r="O101" i="253" s="1"/>
  <c r="O113" i="253" s="1"/>
  <c r="O97" i="253"/>
  <c r="O98" i="253" s="1"/>
  <c r="O110" i="253" s="1"/>
  <c r="O94" i="253"/>
  <c r="O95" i="253" s="1"/>
  <c r="O107" i="253" s="1"/>
  <c r="J103" i="253"/>
  <c r="I103" i="253"/>
  <c r="B103" i="253"/>
  <c r="J102" i="253"/>
  <c r="I102" i="253"/>
  <c r="B102" i="253"/>
  <c r="A701" i="253"/>
  <c r="J700" i="253"/>
  <c r="I700" i="253"/>
  <c r="B700" i="253"/>
  <c r="J699" i="253"/>
  <c r="I699" i="253"/>
  <c r="B699" i="253"/>
  <c r="J698" i="253"/>
  <c r="I698" i="253"/>
  <c r="B698" i="253"/>
  <c r="I697" i="253"/>
  <c r="B697" i="253"/>
  <c r="J696" i="253"/>
  <c r="I696" i="253"/>
  <c r="B696" i="253"/>
  <c r="J695" i="253"/>
  <c r="I695" i="253"/>
  <c r="B695" i="253"/>
  <c r="J694" i="253"/>
  <c r="I694" i="253"/>
  <c r="B694" i="253"/>
  <c r="I693" i="253"/>
  <c r="B693" i="253"/>
  <c r="B692" i="253"/>
  <c r="J691" i="253"/>
  <c r="I691" i="253"/>
  <c r="B691" i="253"/>
  <c r="L690" i="253"/>
  <c r="K690" i="253"/>
  <c r="J453" i="253"/>
  <c r="I453" i="253"/>
  <c r="B453" i="253"/>
  <c r="J452" i="253"/>
  <c r="I452" i="253"/>
  <c r="B452" i="253"/>
  <c r="J451" i="253"/>
  <c r="I451" i="253"/>
  <c r="B451" i="253"/>
  <c r="L450" i="253"/>
  <c r="K450" i="253"/>
  <c r="J302" i="253"/>
  <c r="I302" i="253"/>
  <c r="B302" i="253"/>
  <c r="J291" i="253"/>
  <c r="I291" i="253"/>
  <c r="B291" i="253"/>
  <c r="J288" i="253"/>
  <c r="I288" i="253"/>
  <c r="B288" i="253"/>
  <c r="J285" i="253"/>
  <c r="I285" i="253"/>
  <c r="B285" i="253"/>
  <c r="J273" i="253"/>
  <c r="I273" i="253"/>
  <c r="B273" i="253"/>
  <c r="J270" i="253"/>
  <c r="I270" i="253"/>
  <c r="B270" i="253"/>
  <c r="J267" i="253"/>
  <c r="I267" i="253"/>
  <c r="B267" i="253"/>
  <c r="L266" i="253"/>
  <c r="K266" i="253"/>
  <c r="B264" i="253"/>
  <c r="B263" i="253"/>
  <c r="B259" i="253"/>
  <c r="B258" i="253"/>
  <c r="B257" i="253"/>
  <c r="B256" i="253"/>
  <c r="J240" i="253"/>
  <c r="I240" i="253"/>
  <c r="B240" i="253"/>
  <c r="J239" i="253"/>
  <c r="I239" i="253"/>
  <c r="B239" i="253"/>
  <c r="J238" i="253"/>
  <c r="I238" i="253"/>
  <c r="B238" i="253"/>
  <c r="L237" i="253"/>
  <c r="K237" i="253"/>
  <c r="J232" i="253"/>
  <c r="I232" i="253"/>
  <c r="B232" i="253"/>
  <c r="J231" i="253"/>
  <c r="I231" i="253"/>
  <c r="B231" i="253"/>
  <c r="J230" i="253"/>
  <c r="I230" i="253"/>
  <c r="B230" i="253"/>
  <c r="J229" i="253"/>
  <c r="I229" i="253"/>
  <c r="B229" i="253"/>
  <c r="J222" i="253"/>
  <c r="I222" i="253"/>
  <c r="B222" i="253"/>
  <c r="J221" i="253"/>
  <c r="I221" i="253"/>
  <c r="B221" i="253"/>
  <c r="L220" i="253"/>
  <c r="K220" i="253"/>
  <c r="J194" i="253"/>
  <c r="I194" i="253"/>
  <c r="B194" i="253"/>
  <c r="J193" i="253"/>
  <c r="I193" i="253"/>
  <c r="B193" i="253"/>
  <c r="J192" i="253"/>
  <c r="I192" i="253"/>
  <c r="B192" i="253"/>
  <c r="J191" i="253"/>
  <c r="I191" i="253"/>
  <c r="B191" i="253"/>
  <c r="J172" i="253"/>
  <c r="I172" i="253"/>
  <c r="B172" i="253"/>
  <c r="J171" i="253"/>
  <c r="I171" i="253"/>
  <c r="B171" i="253"/>
  <c r="L170" i="253"/>
  <c r="K170" i="253"/>
  <c r="J147" i="253"/>
  <c r="I147" i="253"/>
  <c r="B147" i="253"/>
  <c r="J146" i="253"/>
  <c r="I146" i="253"/>
  <c r="B146" i="253"/>
  <c r="J145" i="253"/>
  <c r="I145" i="253"/>
  <c r="B145" i="253"/>
  <c r="L144" i="253"/>
  <c r="K144" i="253"/>
  <c r="J126" i="253"/>
  <c r="I126" i="253"/>
  <c r="B126" i="253"/>
  <c r="J125" i="253"/>
  <c r="I125" i="253"/>
  <c r="B125" i="253"/>
  <c r="J124" i="253"/>
  <c r="I124" i="253"/>
  <c r="B124" i="253"/>
  <c r="J123" i="253"/>
  <c r="I123" i="253"/>
  <c r="B123" i="253"/>
  <c r="J122" i="253"/>
  <c r="I122" i="253"/>
  <c r="B122" i="253"/>
  <c r="J121" i="253"/>
  <c r="I121" i="253"/>
  <c r="B121" i="253"/>
  <c r="J120" i="253"/>
  <c r="I120" i="253"/>
  <c r="B120" i="253"/>
  <c r="J119" i="253"/>
  <c r="I119" i="253"/>
  <c r="B119" i="253"/>
  <c r="L118" i="253"/>
  <c r="K118" i="253"/>
  <c r="J101" i="253"/>
  <c r="I101" i="253"/>
  <c r="B101" i="253"/>
  <c r="J100" i="253"/>
  <c r="I100" i="253"/>
  <c r="B100" i="253"/>
  <c r="J99" i="253"/>
  <c r="I99" i="253"/>
  <c r="B99" i="253"/>
  <c r="J98" i="253"/>
  <c r="I98" i="253"/>
  <c r="B98" i="253"/>
  <c r="J97" i="253"/>
  <c r="I97" i="253"/>
  <c r="B97" i="253"/>
  <c r="J96" i="253"/>
  <c r="I96" i="253"/>
  <c r="B96" i="253"/>
  <c r="J95" i="253"/>
  <c r="I95" i="253"/>
  <c r="B95" i="253"/>
  <c r="J94" i="253"/>
  <c r="I94" i="253"/>
  <c r="B94" i="253"/>
  <c r="J93" i="253"/>
  <c r="I93" i="253"/>
  <c r="B93" i="253"/>
  <c r="L92" i="253"/>
  <c r="K92" i="253"/>
  <c r="J11" i="253"/>
  <c r="I11" i="253"/>
  <c r="B11" i="253"/>
  <c r="J10" i="253"/>
  <c r="I10" i="253"/>
  <c r="B10" i="253"/>
  <c r="J9" i="253"/>
  <c r="I9" i="253"/>
  <c r="B9" i="253"/>
  <c r="J8" i="253"/>
  <c r="I8" i="253"/>
  <c r="B8" i="253"/>
  <c r="J7" i="253"/>
  <c r="I7" i="253"/>
  <c r="B7" i="253"/>
  <c r="J6" i="253"/>
  <c r="I6" i="253"/>
  <c r="B6" i="253"/>
  <c r="L5" i="253"/>
  <c r="K5" i="253"/>
  <c r="I45" i="252"/>
  <c r="J45" i="252"/>
  <c r="I46" i="252"/>
  <c r="J46" i="252"/>
  <c r="I47" i="252"/>
  <c r="J47" i="252"/>
  <c r="I48" i="252"/>
  <c r="J48" i="252"/>
  <c r="I49" i="252"/>
  <c r="J49" i="252"/>
  <c r="I50" i="252"/>
  <c r="J50" i="252"/>
  <c r="I51" i="252"/>
  <c r="J51" i="252"/>
  <c r="I52" i="252"/>
  <c r="J52" i="252"/>
  <c r="I53" i="252"/>
  <c r="J53" i="252"/>
  <c r="J44" i="252"/>
  <c r="I44" i="252"/>
  <c r="O37" i="252"/>
  <c r="J37" i="252"/>
  <c r="I37" i="252"/>
  <c r="B37" i="252"/>
  <c r="J36" i="252"/>
  <c r="I36" i="252"/>
  <c r="B36" i="252"/>
  <c r="J35" i="252"/>
  <c r="I35" i="252"/>
  <c r="B35" i="252"/>
  <c r="U5" i="252"/>
  <c r="V5" i="252"/>
  <c r="W5" i="252"/>
  <c r="X5" i="252"/>
  <c r="Y5" i="252"/>
  <c r="Z5" i="252"/>
  <c r="AA5" i="252"/>
  <c r="AB5" i="252"/>
  <c r="U19" i="252"/>
  <c r="I30" i="252"/>
  <c r="J30" i="252"/>
  <c r="I31" i="252"/>
  <c r="J31" i="252"/>
  <c r="I32" i="252"/>
  <c r="J32" i="252"/>
  <c r="I33" i="252"/>
  <c r="J33" i="252"/>
  <c r="I34" i="252"/>
  <c r="J34" i="252"/>
  <c r="I38" i="252"/>
  <c r="J38" i="252"/>
  <c r="I39" i="252"/>
  <c r="J39" i="252"/>
  <c r="I40" i="252"/>
  <c r="J40" i="252"/>
  <c r="J29" i="252"/>
  <c r="I29" i="252"/>
  <c r="K28" i="252"/>
  <c r="B32" i="252"/>
  <c r="B31" i="252"/>
  <c r="J24" i="252"/>
  <c r="I24" i="252"/>
  <c r="B24" i="252"/>
  <c r="J23" i="252"/>
  <c r="I23" i="252"/>
  <c r="B23" i="252"/>
  <c r="J12" i="252"/>
  <c r="I12" i="252"/>
  <c r="P12" i="252" s="1"/>
  <c r="B12" i="252"/>
  <c r="J11" i="252"/>
  <c r="I11" i="252"/>
  <c r="P11" i="252" s="1"/>
  <c r="B11" i="252"/>
  <c r="A126" i="252"/>
  <c r="J125" i="252"/>
  <c r="I125" i="252"/>
  <c r="B125" i="252"/>
  <c r="J124" i="252"/>
  <c r="I124" i="252"/>
  <c r="B124" i="252"/>
  <c r="J123" i="252"/>
  <c r="I123" i="252"/>
  <c r="B123" i="252"/>
  <c r="J122" i="252"/>
  <c r="I122" i="252"/>
  <c r="B122" i="252"/>
  <c r="J121" i="252"/>
  <c r="I121" i="252"/>
  <c r="B121" i="252"/>
  <c r="J120" i="252"/>
  <c r="I120" i="252"/>
  <c r="B120" i="252"/>
  <c r="J119" i="252"/>
  <c r="I119" i="252"/>
  <c r="B119" i="252"/>
  <c r="J118" i="252"/>
  <c r="I118" i="252"/>
  <c r="B118" i="252"/>
  <c r="J117" i="252"/>
  <c r="I117" i="252"/>
  <c r="B117" i="252"/>
  <c r="J116" i="252"/>
  <c r="I116" i="252"/>
  <c r="B116" i="252"/>
  <c r="AB115" i="252"/>
  <c r="AA115" i="252"/>
  <c r="Z115" i="252"/>
  <c r="Y115" i="252"/>
  <c r="X115" i="252"/>
  <c r="W115" i="252"/>
  <c r="V115" i="252"/>
  <c r="U115" i="252"/>
  <c r="L115" i="252"/>
  <c r="K115" i="252"/>
  <c r="J113" i="252"/>
  <c r="I113" i="252"/>
  <c r="B113" i="252"/>
  <c r="J112" i="252"/>
  <c r="I112" i="252"/>
  <c r="B112" i="252"/>
  <c r="J111" i="252"/>
  <c r="I111" i="252"/>
  <c r="B111" i="252"/>
  <c r="J110" i="252"/>
  <c r="I110" i="252"/>
  <c r="B110" i="252"/>
  <c r="J109" i="252"/>
  <c r="I109" i="252"/>
  <c r="B109" i="252"/>
  <c r="J108" i="252"/>
  <c r="I108" i="252"/>
  <c r="B108" i="252"/>
  <c r="J107" i="252"/>
  <c r="I107" i="252"/>
  <c r="B107" i="252"/>
  <c r="J106" i="252"/>
  <c r="I106" i="252"/>
  <c r="B106" i="252"/>
  <c r="J105" i="252"/>
  <c r="I105" i="252"/>
  <c r="B105" i="252"/>
  <c r="J104" i="252"/>
  <c r="I104" i="252"/>
  <c r="B104" i="252"/>
  <c r="AB103" i="252"/>
  <c r="AA103" i="252"/>
  <c r="Z103" i="252"/>
  <c r="Y103" i="252"/>
  <c r="X103" i="252"/>
  <c r="W103" i="252"/>
  <c r="V103" i="252"/>
  <c r="U103" i="252"/>
  <c r="L103" i="252"/>
  <c r="K103" i="252"/>
  <c r="J101" i="252"/>
  <c r="I101" i="252"/>
  <c r="B101" i="252"/>
  <c r="J100" i="252"/>
  <c r="I100" i="252"/>
  <c r="B100" i="252"/>
  <c r="J99" i="252"/>
  <c r="I99" i="252"/>
  <c r="B99" i="252"/>
  <c r="J98" i="252"/>
  <c r="I98" i="252"/>
  <c r="B98" i="252"/>
  <c r="J97" i="252"/>
  <c r="I97" i="252"/>
  <c r="B97" i="252"/>
  <c r="J96" i="252"/>
  <c r="I96" i="252"/>
  <c r="B96" i="252"/>
  <c r="J95" i="252"/>
  <c r="I95" i="252"/>
  <c r="B95" i="252"/>
  <c r="J94" i="252"/>
  <c r="I94" i="252"/>
  <c r="B94" i="252"/>
  <c r="J93" i="252"/>
  <c r="I93" i="252"/>
  <c r="B93" i="252"/>
  <c r="J92" i="252"/>
  <c r="I92" i="252"/>
  <c r="B92" i="252"/>
  <c r="AB91" i="252"/>
  <c r="AA91" i="252"/>
  <c r="Z91" i="252"/>
  <c r="Y91" i="252"/>
  <c r="X91" i="252"/>
  <c r="W91" i="252"/>
  <c r="V91" i="252"/>
  <c r="U91" i="252"/>
  <c r="L91" i="252"/>
  <c r="K91" i="252"/>
  <c r="J89" i="252"/>
  <c r="I89" i="252"/>
  <c r="B89" i="252"/>
  <c r="J88" i="252"/>
  <c r="I88" i="252"/>
  <c r="B88" i="252"/>
  <c r="J87" i="252"/>
  <c r="I87" i="252"/>
  <c r="B87" i="252"/>
  <c r="J86" i="252"/>
  <c r="I86" i="252"/>
  <c r="B86" i="252"/>
  <c r="J85" i="252"/>
  <c r="I85" i="252"/>
  <c r="B85" i="252"/>
  <c r="J84" i="252"/>
  <c r="I84" i="252"/>
  <c r="B84" i="252"/>
  <c r="J83" i="252"/>
  <c r="I83" i="252"/>
  <c r="B83" i="252"/>
  <c r="J82" i="252"/>
  <c r="I82" i="252"/>
  <c r="B82" i="252"/>
  <c r="J81" i="252"/>
  <c r="I81" i="252"/>
  <c r="B81" i="252"/>
  <c r="J80" i="252"/>
  <c r="I80" i="252"/>
  <c r="B80" i="252"/>
  <c r="AB79" i="252"/>
  <c r="AA79" i="252"/>
  <c r="Z79" i="252"/>
  <c r="Y79" i="252"/>
  <c r="X79" i="252"/>
  <c r="W79" i="252"/>
  <c r="V79" i="252"/>
  <c r="U79" i="252"/>
  <c r="L79" i="252"/>
  <c r="K79" i="252"/>
  <c r="J77" i="252"/>
  <c r="I77" i="252"/>
  <c r="B77" i="252"/>
  <c r="J76" i="252"/>
  <c r="I76" i="252"/>
  <c r="B76" i="252"/>
  <c r="J75" i="252"/>
  <c r="I75" i="252"/>
  <c r="B75" i="252"/>
  <c r="J74" i="252"/>
  <c r="I74" i="252"/>
  <c r="B74" i="252"/>
  <c r="J73" i="252"/>
  <c r="I73" i="252"/>
  <c r="B73" i="252"/>
  <c r="J72" i="252"/>
  <c r="I72" i="252"/>
  <c r="B72" i="252"/>
  <c r="J71" i="252"/>
  <c r="I71" i="252"/>
  <c r="B71" i="252"/>
  <c r="J70" i="252"/>
  <c r="I70" i="252"/>
  <c r="B70" i="252"/>
  <c r="J69" i="252"/>
  <c r="I69" i="252"/>
  <c r="B69" i="252"/>
  <c r="J68" i="252"/>
  <c r="I68" i="252"/>
  <c r="B68" i="252"/>
  <c r="AB67" i="252"/>
  <c r="AA67" i="252"/>
  <c r="Z67" i="252"/>
  <c r="Y67" i="252"/>
  <c r="X67" i="252"/>
  <c r="W67" i="252"/>
  <c r="V67" i="252"/>
  <c r="U67" i="252"/>
  <c r="L67" i="252"/>
  <c r="K67" i="252"/>
  <c r="J65" i="252"/>
  <c r="I65" i="252"/>
  <c r="B65" i="252"/>
  <c r="J64" i="252"/>
  <c r="I64" i="252"/>
  <c r="B64" i="252"/>
  <c r="J63" i="252"/>
  <c r="I63" i="252"/>
  <c r="B63" i="252"/>
  <c r="J62" i="252"/>
  <c r="I62" i="252"/>
  <c r="B62" i="252"/>
  <c r="J61" i="252"/>
  <c r="I61" i="252"/>
  <c r="B61" i="252"/>
  <c r="J60" i="252"/>
  <c r="I60" i="252"/>
  <c r="B60" i="252"/>
  <c r="J59" i="252"/>
  <c r="I59" i="252"/>
  <c r="B59" i="252"/>
  <c r="J58" i="252"/>
  <c r="I58" i="252"/>
  <c r="B58" i="252"/>
  <c r="J57" i="252"/>
  <c r="I57" i="252"/>
  <c r="B57" i="252"/>
  <c r="J56" i="252"/>
  <c r="I56" i="252"/>
  <c r="B56" i="252"/>
  <c r="AB55" i="252"/>
  <c r="AA55" i="252"/>
  <c r="Z55" i="252"/>
  <c r="Y55" i="252"/>
  <c r="X55" i="252"/>
  <c r="W55" i="252"/>
  <c r="V55" i="252"/>
  <c r="U55" i="252"/>
  <c r="L55" i="252"/>
  <c r="K55" i="252"/>
  <c r="B53" i="252"/>
  <c r="B52" i="252"/>
  <c r="B51" i="252"/>
  <c r="B50" i="252"/>
  <c r="B49" i="252"/>
  <c r="B48" i="252"/>
  <c r="B47" i="252"/>
  <c r="B46" i="252"/>
  <c r="B45" i="252"/>
  <c r="B44" i="252"/>
  <c r="AB43" i="252"/>
  <c r="AA43" i="252"/>
  <c r="Z43" i="252"/>
  <c r="Y43" i="252"/>
  <c r="X43" i="252"/>
  <c r="W43" i="252"/>
  <c r="V43" i="252"/>
  <c r="U43" i="252"/>
  <c r="L43" i="252"/>
  <c r="K43" i="252"/>
  <c r="B40" i="252"/>
  <c r="B39" i="252"/>
  <c r="B38" i="252"/>
  <c r="B34" i="252"/>
  <c r="B33" i="252"/>
  <c r="B30" i="252"/>
  <c r="B29" i="252"/>
  <c r="AB28" i="252"/>
  <c r="AA28" i="252"/>
  <c r="Z28" i="252"/>
  <c r="Y28" i="252"/>
  <c r="X28" i="252"/>
  <c r="W28" i="252"/>
  <c r="V28" i="252"/>
  <c r="U28" i="252"/>
  <c r="L28" i="252"/>
  <c r="J25" i="252"/>
  <c r="I25" i="252"/>
  <c r="B25" i="252"/>
  <c r="J22" i="252"/>
  <c r="I22" i="252"/>
  <c r="B22" i="252"/>
  <c r="J21" i="252"/>
  <c r="I21" i="252"/>
  <c r="B21" i="252"/>
  <c r="J20" i="252"/>
  <c r="I20" i="252"/>
  <c r="B20" i="252"/>
  <c r="AB19" i="252"/>
  <c r="AA19" i="252"/>
  <c r="Z19" i="252"/>
  <c r="Y19" i="252"/>
  <c r="X19" i="252"/>
  <c r="W19" i="252"/>
  <c r="V19" i="252"/>
  <c r="L19" i="252"/>
  <c r="K19" i="252"/>
  <c r="J17" i="252"/>
  <c r="I17" i="252"/>
  <c r="B17" i="252"/>
  <c r="J16" i="252"/>
  <c r="I16" i="252"/>
  <c r="B16" i="252"/>
  <c r="J15" i="252"/>
  <c r="I15" i="252"/>
  <c r="B15" i="252"/>
  <c r="J14" i="252"/>
  <c r="I14" i="252"/>
  <c r="P14" i="252" s="1"/>
  <c r="B14" i="252"/>
  <c r="J13" i="252"/>
  <c r="I13" i="252"/>
  <c r="P13" i="252" s="1"/>
  <c r="B13" i="252"/>
  <c r="J10" i="252"/>
  <c r="I10" i="252"/>
  <c r="P10" i="252" s="1"/>
  <c r="B10" i="252"/>
  <c r="J9" i="252"/>
  <c r="I9" i="252"/>
  <c r="P9" i="252" s="1"/>
  <c r="B9" i="252"/>
  <c r="J8" i="252"/>
  <c r="I8" i="252"/>
  <c r="P8" i="252" s="1"/>
  <c r="B8" i="252"/>
  <c r="J7" i="252"/>
  <c r="I7" i="252"/>
  <c r="P7" i="252" s="1"/>
  <c r="B7" i="252"/>
  <c r="J6" i="252"/>
  <c r="I6" i="252"/>
  <c r="P6" i="252" s="1"/>
  <c r="B6" i="252"/>
  <c r="L5" i="252"/>
  <c r="K5" i="252"/>
  <c r="K24" i="252" l="1"/>
  <c r="K87" i="252"/>
  <c r="N6" i="195"/>
  <c r="O41" i="253"/>
  <c r="Q29" i="253"/>
  <c r="O40" i="253"/>
  <c r="Q28" i="253"/>
  <c r="O39" i="253"/>
  <c r="Q27" i="253"/>
  <c r="O73" i="253"/>
  <c r="Q73" i="253" s="1"/>
  <c r="Q59" i="253"/>
  <c r="O75" i="253"/>
  <c r="Q75" i="253" s="1"/>
  <c r="Q61" i="253"/>
  <c r="O74" i="253"/>
  <c r="Q74" i="253" s="1"/>
  <c r="Q60" i="253"/>
  <c r="I580" i="253"/>
  <c r="X677" i="253"/>
  <c r="X682" i="253"/>
  <c r="Y677" i="253"/>
  <c r="Y682" i="253"/>
  <c r="Z677" i="253"/>
  <c r="Z682" i="253"/>
  <c r="AA677" i="253"/>
  <c r="AA682" i="253"/>
  <c r="AB677" i="253"/>
  <c r="AB682" i="253"/>
  <c r="U677" i="253"/>
  <c r="U682" i="253"/>
  <c r="V677" i="253"/>
  <c r="L678" i="253" s="1"/>
  <c r="V682" i="253"/>
  <c r="W677" i="253"/>
  <c r="W682" i="253"/>
  <c r="J588" i="253"/>
  <c r="J582" i="253"/>
  <c r="I596" i="253"/>
  <c r="U69" i="253"/>
  <c r="U304" i="253"/>
  <c r="V69" i="253"/>
  <c r="V304" i="253"/>
  <c r="L428" i="253" s="1"/>
  <c r="W118" i="253"/>
  <c r="W304" i="253"/>
  <c r="AB455" i="253"/>
  <c r="AB304" i="253"/>
  <c r="X55" i="253"/>
  <c r="X304" i="253"/>
  <c r="Y144" i="253"/>
  <c r="Y304" i="253"/>
  <c r="AB144" i="253"/>
  <c r="Z455" i="253"/>
  <c r="Z304" i="253"/>
  <c r="AA266" i="253"/>
  <c r="AA304" i="253"/>
  <c r="K300" i="253"/>
  <c r="K301" i="253"/>
  <c r="O298" i="253"/>
  <c r="O300" i="253"/>
  <c r="K298" i="253"/>
  <c r="K299" i="253"/>
  <c r="K499" i="253"/>
  <c r="K295" i="253"/>
  <c r="K296" i="253"/>
  <c r="J583" i="253"/>
  <c r="K570" i="253"/>
  <c r="K292" i="253"/>
  <c r="K293" i="253"/>
  <c r="J581" i="253"/>
  <c r="I591" i="253"/>
  <c r="K591" i="253" s="1"/>
  <c r="J509" i="253"/>
  <c r="K289" i="253"/>
  <c r="K290" i="253"/>
  <c r="K286" i="253"/>
  <c r="K287" i="253"/>
  <c r="AB266" i="253"/>
  <c r="AB450" i="253"/>
  <c r="I585" i="253"/>
  <c r="K585" i="253" s="1"/>
  <c r="K283" i="253"/>
  <c r="K284" i="253"/>
  <c r="I514" i="253"/>
  <c r="K514" i="253" s="1"/>
  <c r="O644" i="253"/>
  <c r="O645" i="253" s="1"/>
  <c r="K280" i="253"/>
  <c r="K281" i="253"/>
  <c r="I595" i="253"/>
  <c r="K595" i="253" s="1"/>
  <c r="K604" i="253"/>
  <c r="I579" i="253"/>
  <c r="K579" i="253" s="1"/>
  <c r="I587" i="253"/>
  <c r="K587" i="253" s="1"/>
  <c r="I601" i="253"/>
  <c r="K601" i="253" s="1"/>
  <c r="O667" i="253"/>
  <c r="O668" i="253" s="1"/>
  <c r="O669" i="253" s="1"/>
  <c r="V690" i="253"/>
  <c r="K252" i="253"/>
  <c r="I506" i="253"/>
  <c r="K506" i="253" s="1"/>
  <c r="K277" i="253"/>
  <c r="K278" i="253"/>
  <c r="J597" i="253"/>
  <c r="K597" i="253" s="1"/>
  <c r="K275" i="253"/>
  <c r="K274" i="253"/>
  <c r="I589" i="253"/>
  <c r="I593" i="253"/>
  <c r="K593" i="253" s="1"/>
  <c r="I505" i="253"/>
  <c r="K505" i="253" s="1"/>
  <c r="P488" i="253"/>
  <c r="P562" i="253" s="1"/>
  <c r="P636" i="253" s="1"/>
  <c r="P564" i="253"/>
  <c r="P638" i="253" s="1"/>
  <c r="P540" i="253"/>
  <c r="P614" i="253" s="1"/>
  <c r="K272" i="253"/>
  <c r="K271" i="253"/>
  <c r="P548" i="253"/>
  <c r="P622" i="253" s="1"/>
  <c r="I518" i="253"/>
  <c r="K518" i="253" s="1"/>
  <c r="K618" i="253"/>
  <c r="K636" i="253"/>
  <c r="K530" i="253"/>
  <c r="K612" i="253"/>
  <c r="O673" i="253"/>
  <c r="O674" i="253" s="1"/>
  <c r="O675" i="253" s="1"/>
  <c r="Y69" i="253"/>
  <c r="K606" i="253"/>
  <c r="K630" i="253"/>
  <c r="K648" i="253"/>
  <c r="I590" i="253"/>
  <c r="K590" i="253" s="1"/>
  <c r="P588" i="253"/>
  <c r="P662" i="253" s="1"/>
  <c r="K282" i="253"/>
  <c r="K269" i="253"/>
  <c r="K268" i="253"/>
  <c r="I510" i="253"/>
  <c r="K510" i="253" s="1"/>
  <c r="K624" i="253"/>
  <c r="K642" i="253"/>
  <c r="P587" i="253"/>
  <c r="P661" i="253" s="1"/>
  <c r="P579" i="253"/>
  <c r="P653" i="253" s="1"/>
  <c r="P555" i="253"/>
  <c r="P629" i="253" s="1"/>
  <c r="P531" i="253"/>
  <c r="P605" i="253" s="1"/>
  <c r="V603" i="253"/>
  <c r="K605" i="253"/>
  <c r="K611" i="253"/>
  <c r="K617" i="253"/>
  <c r="K623" i="253"/>
  <c r="K629" i="253"/>
  <c r="K635" i="253"/>
  <c r="K641" i="253"/>
  <c r="K647" i="253"/>
  <c r="P594" i="253"/>
  <c r="P668" i="253" s="1"/>
  <c r="P578" i="253"/>
  <c r="P652" i="253" s="1"/>
  <c r="P570" i="253"/>
  <c r="P644" i="253" s="1"/>
  <c r="P546" i="253"/>
  <c r="P620" i="253" s="1"/>
  <c r="W603" i="253"/>
  <c r="I652" i="253"/>
  <c r="K652" i="253" s="1"/>
  <c r="I653" i="253"/>
  <c r="K653" i="253" s="1"/>
  <c r="I654" i="253"/>
  <c r="K654" i="253" s="1"/>
  <c r="I655" i="253"/>
  <c r="K655" i="253" s="1"/>
  <c r="I656" i="253"/>
  <c r="K656" i="253" s="1"/>
  <c r="I657" i="253"/>
  <c r="K657" i="253" s="1"/>
  <c r="I658" i="253"/>
  <c r="K658" i="253" s="1"/>
  <c r="I659" i="253"/>
  <c r="K659" i="253" s="1"/>
  <c r="I660" i="253"/>
  <c r="K660" i="253" s="1"/>
  <c r="I661" i="253"/>
  <c r="K661" i="253" s="1"/>
  <c r="I662" i="253"/>
  <c r="K662" i="253" s="1"/>
  <c r="I663" i="253"/>
  <c r="K663" i="253" s="1"/>
  <c r="I664" i="253"/>
  <c r="K664" i="253" s="1"/>
  <c r="I665" i="253"/>
  <c r="K665" i="253" s="1"/>
  <c r="I666" i="253"/>
  <c r="K666" i="253" s="1"/>
  <c r="I667" i="253"/>
  <c r="K667" i="253" s="1"/>
  <c r="I668" i="253"/>
  <c r="K668" i="253" s="1"/>
  <c r="I669" i="253"/>
  <c r="K669" i="253" s="1"/>
  <c r="I670" i="253"/>
  <c r="K670" i="253" s="1"/>
  <c r="I671" i="253"/>
  <c r="K671" i="253" s="1"/>
  <c r="I672" i="253"/>
  <c r="K672" i="253" s="1"/>
  <c r="I673" i="253"/>
  <c r="K673" i="253" s="1"/>
  <c r="I674" i="253"/>
  <c r="K674" i="253" s="1"/>
  <c r="I675" i="253"/>
  <c r="K675" i="253" s="1"/>
  <c r="J511" i="253"/>
  <c r="P593" i="253"/>
  <c r="P667" i="253" s="1"/>
  <c r="P585" i="253"/>
  <c r="P659" i="253" s="1"/>
  <c r="P537" i="253"/>
  <c r="P611" i="253" s="1"/>
  <c r="X603" i="253"/>
  <c r="K610" i="253"/>
  <c r="K616" i="253"/>
  <c r="K622" i="253"/>
  <c r="K628" i="253"/>
  <c r="K634" i="253"/>
  <c r="L634" i="253" s="1"/>
  <c r="K640" i="253"/>
  <c r="K646" i="253"/>
  <c r="U144" i="253"/>
  <c r="I592" i="253"/>
  <c r="P600" i="253"/>
  <c r="P674" i="253" s="1"/>
  <c r="P584" i="253"/>
  <c r="P658" i="253" s="1"/>
  <c r="P576" i="253"/>
  <c r="P650" i="253" s="1"/>
  <c r="P552" i="253"/>
  <c r="P626" i="253" s="1"/>
  <c r="Y603" i="253"/>
  <c r="K609" i="253"/>
  <c r="K615" i="253"/>
  <c r="K621" i="253"/>
  <c r="K627" i="253"/>
  <c r="K633" i="253"/>
  <c r="L633" i="253" s="1"/>
  <c r="K639" i="253"/>
  <c r="K645" i="253"/>
  <c r="K651" i="253"/>
  <c r="U603" i="253"/>
  <c r="P599" i="253"/>
  <c r="P673" i="253" s="1"/>
  <c r="P591" i="253"/>
  <c r="P665" i="253" s="1"/>
  <c r="P567" i="253"/>
  <c r="P641" i="253" s="1"/>
  <c r="P543" i="253"/>
  <c r="P617" i="253" s="1"/>
  <c r="Z603" i="253"/>
  <c r="K608" i="253"/>
  <c r="K614" i="253"/>
  <c r="K620" i="253"/>
  <c r="K626" i="253"/>
  <c r="K632" i="253"/>
  <c r="K638" i="253"/>
  <c r="K644" i="253"/>
  <c r="K650" i="253"/>
  <c r="I584" i="253"/>
  <c r="K584" i="253" s="1"/>
  <c r="I600" i="253"/>
  <c r="K600" i="253" s="1"/>
  <c r="K559" i="253"/>
  <c r="P590" i="253"/>
  <c r="P664" i="253" s="1"/>
  <c r="P582" i="253"/>
  <c r="P656" i="253" s="1"/>
  <c r="P558" i="253"/>
  <c r="P632" i="253" s="1"/>
  <c r="P534" i="253"/>
  <c r="P608" i="253" s="1"/>
  <c r="AA603" i="253"/>
  <c r="I519" i="253"/>
  <c r="K519" i="253" s="1"/>
  <c r="P581" i="253"/>
  <c r="P655" i="253" s="1"/>
  <c r="P549" i="253"/>
  <c r="P623" i="253" s="1"/>
  <c r="AB603" i="253"/>
  <c r="K607" i="253"/>
  <c r="L607" i="253" s="1"/>
  <c r="K613" i="253"/>
  <c r="K619" i="253"/>
  <c r="K625" i="253"/>
  <c r="K631" i="253"/>
  <c r="K637" i="253"/>
  <c r="K643" i="253"/>
  <c r="K649" i="253"/>
  <c r="Z69" i="253"/>
  <c r="K567" i="253"/>
  <c r="I578" i="253"/>
  <c r="K578" i="253" s="1"/>
  <c r="I586" i="253"/>
  <c r="K586" i="253" s="1"/>
  <c r="I594" i="253"/>
  <c r="K594" i="253" s="1"/>
  <c r="AB5" i="253"/>
  <c r="AB220" i="253"/>
  <c r="P522" i="253"/>
  <c r="K556" i="253"/>
  <c r="L556" i="253" s="1"/>
  <c r="K564" i="253"/>
  <c r="K572" i="253"/>
  <c r="AB55" i="253"/>
  <c r="K561" i="253"/>
  <c r="K569" i="253"/>
  <c r="K558" i="253"/>
  <c r="K566" i="253"/>
  <c r="AB118" i="253"/>
  <c r="AB170" i="253"/>
  <c r="K555" i="253"/>
  <c r="K563" i="253"/>
  <c r="K571" i="253"/>
  <c r="AB690" i="253"/>
  <c r="I507" i="253"/>
  <c r="K507" i="253" s="1"/>
  <c r="K560" i="253"/>
  <c r="K568" i="253"/>
  <c r="L568" i="253" s="1"/>
  <c r="AB92" i="253"/>
  <c r="AB237" i="253"/>
  <c r="K557" i="253"/>
  <c r="K565" i="253"/>
  <c r="K573" i="253"/>
  <c r="K554" i="253"/>
  <c r="K562" i="253"/>
  <c r="I692" i="253"/>
  <c r="K692" i="253" s="1"/>
  <c r="L692" i="253" s="1"/>
  <c r="I598" i="253"/>
  <c r="K598" i="253" s="1"/>
  <c r="I599" i="253"/>
  <c r="K599" i="253" s="1"/>
  <c r="I522" i="253"/>
  <c r="K522" i="253" s="1"/>
  <c r="I523" i="253"/>
  <c r="K523" i="253" s="1"/>
  <c r="I524" i="253"/>
  <c r="K524" i="253" s="1"/>
  <c r="AB69" i="253"/>
  <c r="P499" i="253"/>
  <c r="K544" i="253"/>
  <c r="L544" i="253" s="1"/>
  <c r="K552" i="253"/>
  <c r="K580" i="253"/>
  <c r="I515" i="253"/>
  <c r="K515" i="253" s="1"/>
  <c r="K498" i="253"/>
  <c r="I513" i="253"/>
  <c r="K513" i="253" s="1"/>
  <c r="K500" i="253"/>
  <c r="K475" i="253"/>
  <c r="K474" i="253"/>
  <c r="K588" i="253"/>
  <c r="K596" i="253"/>
  <c r="K476" i="253"/>
  <c r="K536" i="253"/>
  <c r="K509" i="253"/>
  <c r="K533" i="253"/>
  <c r="K541" i="253"/>
  <c r="K549" i="253"/>
  <c r="K577" i="253"/>
  <c r="I504" i="253"/>
  <c r="K504" i="253" s="1"/>
  <c r="I517" i="253"/>
  <c r="K517" i="253" s="1"/>
  <c r="K538" i="253"/>
  <c r="K546" i="253"/>
  <c r="K574" i="253"/>
  <c r="K582" i="253"/>
  <c r="K535" i="253"/>
  <c r="L535" i="253" s="1"/>
  <c r="K543" i="253"/>
  <c r="K551" i="253"/>
  <c r="L551" i="253" s="1"/>
  <c r="I525" i="253"/>
  <c r="K525" i="253" s="1"/>
  <c r="K532" i="253"/>
  <c r="K540" i="253"/>
  <c r="K548" i="253"/>
  <c r="L548" i="253" s="1"/>
  <c r="K576" i="253"/>
  <c r="K592" i="253"/>
  <c r="L592" i="253" s="1"/>
  <c r="K537" i="253"/>
  <c r="K545" i="253"/>
  <c r="K553" i="253"/>
  <c r="K581" i="253"/>
  <c r="K589" i="253"/>
  <c r="L589" i="253" s="1"/>
  <c r="K534" i="253"/>
  <c r="K542" i="253"/>
  <c r="L542" i="253" s="1"/>
  <c r="K550" i="253"/>
  <c r="W529" i="253"/>
  <c r="K539" i="253"/>
  <c r="K547" i="253"/>
  <c r="K575" i="253"/>
  <c r="L575" i="253" s="1"/>
  <c r="K583" i="253"/>
  <c r="L583" i="253" s="1"/>
  <c r="X529" i="253"/>
  <c r="I516" i="253"/>
  <c r="K516" i="253" s="1"/>
  <c r="Y529" i="253"/>
  <c r="Z529" i="253"/>
  <c r="I527" i="253"/>
  <c r="K527" i="253" s="1"/>
  <c r="AA529" i="253"/>
  <c r="I508" i="253"/>
  <c r="K508" i="253" s="1"/>
  <c r="AB529" i="253"/>
  <c r="I521" i="253"/>
  <c r="K521" i="253" s="1"/>
  <c r="U529" i="253"/>
  <c r="K531" i="253"/>
  <c r="V529" i="253"/>
  <c r="K501" i="253"/>
  <c r="I520" i="253"/>
  <c r="K520" i="253" s="1"/>
  <c r="I512" i="253"/>
  <c r="K512" i="253" s="1"/>
  <c r="I526" i="253"/>
  <c r="K526" i="253" s="1"/>
  <c r="K460" i="253"/>
  <c r="K502" i="253"/>
  <c r="K496" i="253"/>
  <c r="K495" i="253"/>
  <c r="K503" i="253"/>
  <c r="K511" i="253"/>
  <c r="K497" i="253"/>
  <c r="K478" i="253"/>
  <c r="K479" i="253"/>
  <c r="K472" i="253"/>
  <c r="K198" i="253"/>
  <c r="K473" i="253"/>
  <c r="K469" i="253"/>
  <c r="K470" i="253"/>
  <c r="K466" i="253"/>
  <c r="K467" i="253"/>
  <c r="AA55" i="253"/>
  <c r="K463" i="253"/>
  <c r="AA144" i="253"/>
  <c r="AA118" i="253"/>
  <c r="K464" i="253"/>
  <c r="U237" i="253"/>
  <c r="U118" i="253"/>
  <c r="U690" i="253"/>
  <c r="U92" i="253"/>
  <c r="U220" i="253"/>
  <c r="K480" i="253"/>
  <c r="U266" i="253"/>
  <c r="U5" i="253"/>
  <c r="U170" i="253"/>
  <c r="U450" i="253"/>
  <c r="U55" i="253"/>
  <c r="K484" i="253"/>
  <c r="K461" i="253"/>
  <c r="K487" i="253"/>
  <c r="Z237" i="253"/>
  <c r="Z55" i="253"/>
  <c r="K482" i="253"/>
  <c r="K457" i="253"/>
  <c r="Z220" i="253"/>
  <c r="Z170" i="253"/>
  <c r="Z144" i="253"/>
  <c r="K456" i="253"/>
  <c r="Z266" i="253"/>
  <c r="Z92" i="253"/>
  <c r="Z118" i="253"/>
  <c r="Z690" i="253"/>
  <c r="K477" i="253"/>
  <c r="K458" i="253"/>
  <c r="Z5" i="253"/>
  <c r="Z450" i="253"/>
  <c r="K459" i="253"/>
  <c r="X118" i="253"/>
  <c r="Y170" i="253"/>
  <c r="X220" i="253"/>
  <c r="X237" i="253"/>
  <c r="X450" i="253"/>
  <c r="X690" i="253"/>
  <c r="K465" i="253"/>
  <c r="K485" i="253"/>
  <c r="X266" i="253"/>
  <c r="K490" i="253"/>
  <c r="K494" i="253"/>
  <c r="K481" i="253"/>
  <c r="Y266" i="253"/>
  <c r="K462" i="253"/>
  <c r="K468" i="253"/>
  <c r="K486" i="253"/>
  <c r="X5" i="253"/>
  <c r="X92" i="253"/>
  <c r="X144" i="253"/>
  <c r="X170" i="253"/>
  <c r="K471" i="253"/>
  <c r="K483" i="253"/>
  <c r="Y220" i="253"/>
  <c r="Y55" i="253"/>
  <c r="K492" i="253"/>
  <c r="Y237" i="253"/>
  <c r="K489" i="253"/>
  <c r="Y5" i="253"/>
  <c r="Y450" i="253"/>
  <c r="V455" i="253"/>
  <c r="K491" i="253"/>
  <c r="Y92" i="253"/>
  <c r="Y690" i="253"/>
  <c r="W455" i="253"/>
  <c r="K488" i="253"/>
  <c r="Y455" i="253"/>
  <c r="K493" i="253"/>
  <c r="Y118" i="253"/>
  <c r="AA92" i="253"/>
  <c r="AA237" i="253"/>
  <c r="X455" i="253"/>
  <c r="AA69" i="253"/>
  <c r="AA170" i="253"/>
  <c r="AA450" i="253"/>
  <c r="AA455" i="253"/>
  <c r="AA5" i="253"/>
  <c r="AA220" i="253"/>
  <c r="AA690" i="253"/>
  <c r="U455" i="253"/>
  <c r="W92" i="253"/>
  <c r="W220" i="253"/>
  <c r="W144" i="253"/>
  <c r="W237" i="253"/>
  <c r="W170" i="253"/>
  <c r="V92" i="253"/>
  <c r="V450" i="253"/>
  <c r="I253" i="253"/>
  <c r="K253" i="253" s="1"/>
  <c r="K294" i="253"/>
  <c r="V170" i="253"/>
  <c r="V237" i="253"/>
  <c r="J253" i="253"/>
  <c r="V266" i="253"/>
  <c r="V5" i="253"/>
  <c r="V118" i="253"/>
  <c r="V220" i="253"/>
  <c r="K297" i="253"/>
  <c r="V144" i="253"/>
  <c r="V55" i="253"/>
  <c r="H259" i="253"/>
  <c r="I259" i="253" s="1"/>
  <c r="J256" i="253"/>
  <c r="I255" i="253"/>
  <c r="W450" i="253"/>
  <c r="W690" i="253"/>
  <c r="W55" i="253"/>
  <c r="J255" i="253"/>
  <c r="K279" i="253"/>
  <c r="W5" i="253"/>
  <c r="W266" i="253"/>
  <c r="W69" i="253"/>
  <c r="K276" i="253"/>
  <c r="X69" i="253"/>
  <c r="I261" i="253"/>
  <c r="K261" i="253" s="1"/>
  <c r="J261" i="253"/>
  <c r="I258" i="253"/>
  <c r="J258" i="253"/>
  <c r="J254" i="253"/>
  <c r="K254" i="253" s="1"/>
  <c r="I256" i="253"/>
  <c r="H257" i="253"/>
  <c r="H264" i="253"/>
  <c r="K225" i="253"/>
  <c r="K79" i="253"/>
  <c r="K241" i="253"/>
  <c r="K249" i="253"/>
  <c r="K246" i="253"/>
  <c r="K243" i="253"/>
  <c r="K251" i="253"/>
  <c r="K248" i="253"/>
  <c r="K245" i="253"/>
  <c r="K242" i="253"/>
  <c r="K250" i="253"/>
  <c r="K74" i="253"/>
  <c r="K247" i="253"/>
  <c r="K244" i="253"/>
  <c r="K77" i="253"/>
  <c r="L77" i="253" s="1"/>
  <c r="K72" i="253"/>
  <c r="K80" i="253"/>
  <c r="K75" i="253"/>
  <c r="K78" i="253"/>
  <c r="K73" i="253"/>
  <c r="K81" i="253"/>
  <c r="L81" i="253" s="1"/>
  <c r="K76" i="253"/>
  <c r="L76" i="253" s="1"/>
  <c r="K71" i="253"/>
  <c r="L71" i="253" s="1"/>
  <c r="O66" i="253"/>
  <c r="O80" i="253" s="1"/>
  <c r="K84" i="253"/>
  <c r="K88" i="253"/>
  <c r="K70" i="253"/>
  <c r="O230" i="253"/>
  <c r="O231" i="253" s="1"/>
  <c r="O232" i="253" s="1"/>
  <c r="K83" i="253"/>
  <c r="L83" i="253" s="1"/>
  <c r="K87" i="253"/>
  <c r="L87" i="253" s="1"/>
  <c r="K82" i="253"/>
  <c r="L82" i="253" s="1"/>
  <c r="K86" i="253"/>
  <c r="K90" i="253"/>
  <c r="O58" i="253"/>
  <c r="O72" i="253" s="1"/>
  <c r="K85" i="253"/>
  <c r="K89" i="253"/>
  <c r="K233" i="253"/>
  <c r="K235" i="253"/>
  <c r="K234" i="253"/>
  <c r="K227" i="253"/>
  <c r="K224" i="253"/>
  <c r="K226" i="253"/>
  <c r="K65" i="253"/>
  <c r="K223" i="253"/>
  <c r="K228" i="253"/>
  <c r="K210" i="253"/>
  <c r="K213" i="253"/>
  <c r="K176" i="253"/>
  <c r="K209" i="253"/>
  <c r="L209" i="253" s="1"/>
  <c r="K216" i="253"/>
  <c r="K212" i="253"/>
  <c r="K208" i="253"/>
  <c r="K215" i="253"/>
  <c r="K211" i="253"/>
  <c r="K218" i="253"/>
  <c r="K214" i="253"/>
  <c r="K207" i="253"/>
  <c r="L207" i="253" s="1"/>
  <c r="K217" i="253"/>
  <c r="K201" i="253"/>
  <c r="K197" i="253"/>
  <c r="K204" i="253"/>
  <c r="K200" i="253"/>
  <c r="K184" i="253"/>
  <c r="K196" i="253"/>
  <c r="K203" i="253"/>
  <c r="L203" i="253" s="1"/>
  <c r="K199" i="253"/>
  <c r="K206" i="253"/>
  <c r="K202" i="253"/>
  <c r="K195" i="253"/>
  <c r="K205" i="253"/>
  <c r="K173" i="253"/>
  <c r="K181" i="253"/>
  <c r="K189" i="253"/>
  <c r="L189" i="253" s="1"/>
  <c r="K178" i="253"/>
  <c r="K186" i="253"/>
  <c r="K175" i="253"/>
  <c r="K183" i="253"/>
  <c r="K180" i="253"/>
  <c r="K188" i="253"/>
  <c r="K177" i="253"/>
  <c r="K185" i="253"/>
  <c r="L185" i="253" s="1"/>
  <c r="K56" i="253"/>
  <c r="K174" i="253"/>
  <c r="K182" i="253"/>
  <c r="K190" i="253"/>
  <c r="K179" i="253"/>
  <c r="K187" i="253"/>
  <c r="K58" i="253"/>
  <c r="K66" i="253"/>
  <c r="K63" i="253"/>
  <c r="K64" i="253"/>
  <c r="K60" i="253"/>
  <c r="K62" i="253"/>
  <c r="K67" i="253"/>
  <c r="K61" i="253"/>
  <c r="K59" i="253"/>
  <c r="K57" i="253"/>
  <c r="K53" i="253"/>
  <c r="K34" i="253"/>
  <c r="K130" i="253"/>
  <c r="K161" i="253"/>
  <c r="K31" i="253"/>
  <c r="K39" i="253"/>
  <c r="K36" i="253"/>
  <c r="K33" i="253"/>
  <c r="K30" i="253"/>
  <c r="K38" i="253"/>
  <c r="K35" i="253"/>
  <c r="K41" i="253"/>
  <c r="K50" i="253"/>
  <c r="K32" i="253"/>
  <c r="K37" i="253"/>
  <c r="K40" i="253"/>
  <c r="K47" i="253"/>
  <c r="K52" i="253"/>
  <c r="O14" i="253"/>
  <c r="K49" i="253"/>
  <c r="K46" i="253"/>
  <c r="K51" i="253"/>
  <c r="K48" i="253"/>
  <c r="K42" i="253"/>
  <c r="K15" i="253"/>
  <c r="K12" i="253"/>
  <c r="K14" i="253"/>
  <c r="K17" i="253"/>
  <c r="K13" i="253"/>
  <c r="K16" i="253"/>
  <c r="O158" i="253"/>
  <c r="K26" i="253"/>
  <c r="K18" i="253"/>
  <c r="K19" i="253"/>
  <c r="K27" i="253"/>
  <c r="K24" i="253"/>
  <c r="K44" i="253"/>
  <c r="K21" i="253"/>
  <c r="K29" i="253"/>
  <c r="K23" i="253"/>
  <c r="K43" i="253"/>
  <c r="K20" i="253"/>
  <c r="K28" i="253"/>
  <c r="K25" i="253"/>
  <c r="K45" i="253"/>
  <c r="K22" i="253"/>
  <c r="O167" i="253"/>
  <c r="O161" i="253"/>
  <c r="O153" i="253"/>
  <c r="O165" i="253" s="1"/>
  <c r="K153" i="253"/>
  <c r="O109" i="253"/>
  <c r="O132" i="253"/>
  <c r="K150" i="253"/>
  <c r="K158" i="253"/>
  <c r="K166" i="253"/>
  <c r="O141" i="253"/>
  <c r="K155" i="253"/>
  <c r="K163" i="253"/>
  <c r="K152" i="253"/>
  <c r="K160" i="253"/>
  <c r="K168" i="253"/>
  <c r="O135" i="253"/>
  <c r="K149" i="253"/>
  <c r="K157" i="253"/>
  <c r="L157" i="253" s="1"/>
  <c r="K165" i="253"/>
  <c r="K154" i="253"/>
  <c r="K162" i="253"/>
  <c r="K151" i="253"/>
  <c r="K159" i="253"/>
  <c r="K167" i="253"/>
  <c r="K134" i="253"/>
  <c r="O138" i="253"/>
  <c r="K148" i="253"/>
  <c r="K156" i="253"/>
  <c r="K164" i="253"/>
  <c r="K137" i="253"/>
  <c r="O115" i="253"/>
  <c r="K133" i="253"/>
  <c r="K140" i="253"/>
  <c r="O106" i="253"/>
  <c r="K136" i="253"/>
  <c r="K132" i="253"/>
  <c r="K139" i="253"/>
  <c r="O112" i="253"/>
  <c r="K135" i="253"/>
  <c r="K142" i="253"/>
  <c r="K138" i="253"/>
  <c r="K131" i="253"/>
  <c r="K141" i="253"/>
  <c r="K128" i="253"/>
  <c r="K103" i="253"/>
  <c r="K106" i="253"/>
  <c r="K110" i="253"/>
  <c r="K114" i="253"/>
  <c r="K105" i="253"/>
  <c r="K109" i="253"/>
  <c r="K113" i="253"/>
  <c r="K192" i="253"/>
  <c r="K691" i="253"/>
  <c r="L691" i="253" s="1"/>
  <c r="K127" i="253"/>
  <c r="K129" i="253"/>
  <c r="K104" i="253"/>
  <c r="K108" i="253"/>
  <c r="K112" i="253"/>
  <c r="K116" i="253"/>
  <c r="K107" i="253"/>
  <c r="K111" i="253"/>
  <c r="K115" i="253"/>
  <c r="K122" i="253"/>
  <c r="K125" i="253"/>
  <c r="K232" i="253"/>
  <c r="K239" i="253"/>
  <c r="K696" i="253"/>
  <c r="K699" i="253"/>
  <c r="K9" i="253"/>
  <c r="K7" i="253"/>
  <c r="K120" i="253"/>
  <c r="K96" i="253"/>
  <c r="K102" i="253"/>
  <c r="K98" i="253"/>
  <c r="K124" i="253"/>
  <c r="K194" i="253"/>
  <c r="K93" i="253"/>
  <c r="K101" i="253"/>
  <c r="K145" i="253"/>
  <c r="K452" i="253"/>
  <c r="K221" i="253"/>
  <c r="K123" i="253"/>
  <c r="K172" i="253"/>
  <c r="K273" i="253"/>
  <c r="K193" i="253"/>
  <c r="K291" i="253"/>
  <c r="K126" i="253"/>
  <c r="K694" i="253"/>
  <c r="L694" i="253" s="1"/>
  <c r="K10" i="253"/>
  <c r="K267" i="253"/>
  <c r="K230" i="253"/>
  <c r="K95" i="253"/>
  <c r="K147" i="253"/>
  <c r="K229" i="253"/>
  <c r="K693" i="253"/>
  <c r="L693" i="253" s="1"/>
  <c r="K288" i="253"/>
  <c r="K698" i="253"/>
  <c r="L698" i="253" s="1"/>
  <c r="K100" i="253"/>
  <c r="K6" i="253"/>
  <c r="K11" i="253"/>
  <c r="K97" i="253"/>
  <c r="K119" i="253"/>
  <c r="K171" i="253"/>
  <c r="K231" i="253"/>
  <c r="K238" i="253"/>
  <c r="K270" i="253"/>
  <c r="K451" i="253"/>
  <c r="K695" i="253"/>
  <c r="K94" i="253"/>
  <c r="K146" i="253"/>
  <c r="K222" i="253"/>
  <c r="K302" i="253"/>
  <c r="K700" i="253"/>
  <c r="L700" i="253" s="1"/>
  <c r="K8" i="253"/>
  <c r="K99" i="253"/>
  <c r="K121" i="253"/>
  <c r="K191" i="253"/>
  <c r="K240" i="253"/>
  <c r="K285" i="253"/>
  <c r="K453" i="253"/>
  <c r="K697" i="253"/>
  <c r="L697" i="253" s="1"/>
  <c r="K36" i="252"/>
  <c r="L36" i="252" s="1"/>
  <c r="K37" i="252"/>
  <c r="L37" i="252" s="1"/>
  <c r="K44" i="252"/>
  <c r="L44" i="252" s="1"/>
  <c r="K52" i="252"/>
  <c r="L52" i="252" s="1"/>
  <c r="K68" i="252"/>
  <c r="L68" i="252" s="1"/>
  <c r="K92" i="252"/>
  <c r="L92" i="252" s="1"/>
  <c r="K116" i="252"/>
  <c r="L116" i="252" s="1"/>
  <c r="K119" i="252"/>
  <c r="L119" i="252" s="1"/>
  <c r="K35" i="252"/>
  <c r="L35" i="252" s="1"/>
  <c r="K45" i="252"/>
  <c r="L45" i="252" s="1"/>
  <c r="K53" i="252"/>
  <c r="L53" i="252" s="1"/>
  <c r="K69" i="252"/>
  <c r="L69" i="252" s="1"/>
  <c r="K117" i="252"/>
  <c r="L117" i="252" s="1"/>
  <c r="K71" i="252"/>
  <c r="L71" i="252" s="1"/>
  <c r="K20" i="252"/>
  <c r="L20" i="252" s="1"/>
  <c r="K60" i="252"/>
  <c r="L60" i="252" s="1"/>
  <c r="K21" i="252"/>
  <c r="L21" i="252" s="1"/>
  <c r="K76" i="252"/>
  <c r="L76" i="252" s="1"/>
  <c r="K23" i="252"/>
  <c r="L23" i="252" s="1"/>
  <c r="K31" i="252"/>
  <c r="L31" i="252" s="1"/>
  <c r="K25" i="252"/>
  <c r="L25" i="252" s="1"/>
  <c r="K74" i="252"/>
  <c r="L74" i="252" s="1"/>
  <c r="K77" i="252"/>
  <c r="L77" i="252" s="1"/>
  <c r="K32" i="252"/>
  <c r="L32" i="252" s="1"/>
  <c r="L24" i="252"/>
  <c r="K96" i="252"/>
  <c r="L96" i="252" s="1"/>
  <c r="K11" i="252"/>
  <c r="L11" i="252" s="1"/>
  <c r="K47" i="252"/>
  <c r="L47" i="252" s="1"/>
  <c r="K72" i="252"/>
  <c r="L72" i="252" s="1"/>
  <c r="K108" i="252"/>
  <c r="L108" i="252" s="1"/>
  <c r="K124" i="252"/>
  <c r="L124" i="252" s="1"/>
  <c r="L87" i="252"/>
  <c r="K101" i="252"/>
  <c r="L101" i="252" s="1"/>
  <c r="K8" i="252"/>
  <c r="L8" i="252" s="1"/>
  <c r="K100" i="252"/>
  <c r="L100" i="252" s="1"/>
  <c r="K95" i="252"/>
  <c r="L95" i="252" s="1"/>
  <c r="K98" i="252"/>
  <c r="L98" i="252" s="1"/>
  <c r="K12" i="252"/>
  <c r="L12" i="252" s="1"/>
  <c r="K48" i="252"/>
  <c r="L48" i="252" s="1"/>
  <c r="K50" i="252"/>
  <c r="L50" i="252" s="1"/>
  <c r="K84" i="252"/>
  <c r="L84" i="252" s="1"/>
  <c r="K93" i="252"/>
  <c r="L93" i="252" s="1"/>
  <c r="K111" i="252"/>
  <c r="L111" i="252" s="1"/>
  <c r="K122" i="252"/>
  <c r="L122" i="252" s="1"/>
  <c r="K63" i="252"/>
  <c r="L63" i="252" s="1"/>
  <c r="K38" i="252"/>
  <c r="L38" i="252" s="1"/>
  <c r="K7" i="252"/>
  <c r="L7" i="252" s="1"/>
  <c r="K17" i="252"/>
  <c r="L17" i="252" s="1"/>
  <c r="K30" i="252"/>
  <c r="L30" i="252" s="1"/>
  <c r="K49" i="252"/>
  <c r="L49" i="252" s="1"/>
  <c r="K57" i="252"/>
  <c r="L57" i="252" s="1"/>
  <c r="K65" i="252"/>
  <c r="L65" i="252" s="1"/>
  <c r="K73" i="252"/>
  <c r="L73" i="252" s="1"/>
  <c r="K81" i="252"/>
  <c r="L81" i="252" s="1"/>
  <c r="K89" i="252"/>
  <c r="L89" i="252" s="1"/>
  <c r="K97" i="252"/>
  <c r="L97" i="252" s="1"/>
  <c r="K105" i="252"/>
  <c r="L105" i="252" s="1"/>
  <c r="K113" i="252"/>
  <c r="L113" i="252" s="1"/>
  <c r="K121" i="252"/>
  <c r="L121" i="252" s="1"/>
  <c r="K10" i="252"/>
  <c r="L10" i="252" s="1"/>
  <c r="K14" i="252"/>
  <c r="L14" i="252" s="1"/>
  <c r="K22" i="252"/>
  <c r="L22" i="252" s="1"/>
  <c r="K40" i="252"/>
  <c r="L40" i="252" s="1"/>
  <c r="K46" i="252"/>
  <c r="L46" i="252" s="1"/>
  <c r="K62" i="252"/>
  <c r="L62" i="252" s="1"/>
  <c r="K70" i="252"/>
  <c r="L70" i="252" s="1"/>
  <c r="K86" i="252"/>
  <c r="L86" i="252" s="1"/>
  <c r="K94" i="252"/>
  <c r="L94" i="252" s="1"/>
  <c r="K110" i="252"/>
  <c r="L110" i="252" s="1"/>
  <c r="K118" i="252"/>
  <c r="L118" i="252" s="1"/>
  <c r="K9" i="252"/>
  <c r="L9" i="252" s="1"/>
  <c r="K34" i="252"/>
  <c r="L34" i="252" s="1"/>
  <c r="K51" i="252"/>
  <c r="L51" i="252" s="1"/>
  <c r="K59" i="252"/>
  <c r="L59" i="252" s="1"/>
  <c r="K75" i="252"/>
  <c r="L75" i="252" s="1"/>
  <c r="K83" i="252"/>
  <c r="L83" i="252" s="1"/>
  <c r="K99" i="252"/>
  <c r="L99" i="252" s="1"/>
  <c r="K107" i="252"/>
  <c r="L107" i="252" s="1"/>
  <c r="K123" i="252"/>
  <c r="L123" i="252" s="1"/>
  <c r="K15" i="252"/>
  <c r="L15" i="252" s="1"/>
  <c r="K6" i="252"/>
  <c r="L6" i="252" s="1"/>
  <c r="K16" i="252"/>
  <c r="L16" i="252" s="1"/>
  <c r="K29" i="252"/>
  <c r="L29" i="252" s="1"/>
  <c r="K56" i="252"/>
  <c r="L56" i="252" s="1"/>
  <c r="K64" i="252"/>
  <c r="L64" i="252" s="1"/>
  <c r="K80" i="252"/>
  <c r="L80" i="252" s="1"/>
  <c r="K88" i="252"/>
  <c r="L88" i="252" s="1"/>
  <c r="K104" i="252"/>
  <c r="L104" i="252" s="1"/>
  <c r="K112" i="252"/>
  <c r="L112" i="252" s="1"/>
  <c r="K120" i="252"/>
  <c r="L120" i="252" s="1"/>
  <c r="K13" i="252"/>
  <c r="L13" i="252" s="1"/>
  <c r="K39" i="252"/>
  <c r="L39" i="252" s="1"/>
  <c r="K61" i="252"/>
  <c r="L61" i="252" s="1"/>
  <c r="K85" i="252"/>
  <c r="L85" i="252" s="1"/>
  <c r="K109" i="252"/>
  <c r="L109" i="252" s="1"/>
  <c r="K125" i="252"/>
  <c r="L125" i="252" s="1"/>
  <c r="K33" i="252"/>
  <c r="L33" i="252" s="1"/>
  <c r="K58" i="252"/>
  <c r="L58" i="252" s="1"/>
  <c r="K82" i="252"/>
  <c r="L82" i="252" s="1"/>
  <c r="K106" i="252"/>
  <c r="L106" i="252" s="1"/>
  <c r="AB2" i="251"/>
  <c r="AB113" i="251" s="1"/>
  <c r="AA2" i="251"/>
  <c r="AA113" i="251" s="1"/>
  <c r="Z2" i="251"/>
  <c r="Z29" i="251" s="1"/>
  <c r="Y2" i="251"/>
  <c r="Y113" i="251" s="1"/>
  <c r="X2" i="251"/>
  <c r="X113" i="251" s="1"/>
  <c r="W2" i="251"/>
  <c r="W101" i="251"/>
  <c r="V2" i="251"/>
  <c r="V101" i="251" s="1"/>
  <c r="U2" i="251"/>
  <c r="U17" i="251" s="1"/>
  <c r="A124" i="251"/>
  <c r="J123" i="251"/>
  <c r="I123" i="251"/>
  <c r="B123" i="251"/>
  <c r="J122" i="251"/>
  <c r="I122" i="251"/>
  <c r="B122" i="251"/>
  <c r="J121" i="251"/>
  <c r="I121" i="251"/>
  <c r="B121" i="251"/>
  <c r="J120" i="251"/>
  <c r="I120" i="251"/>
  <c r="B120" i="251"/>
  <c r="J119" i="251"/>
  <c r="I119" i="251"/>
  <c r="B119" i="251"/>
  <c r="J118" i="251"/>
  <c r="I118" i="251"/>
  <c r="B118" i="251"/>
  <c r="J117" i="251"/>
  <c r="I117" i="251"/>
  <c r="B117" i="251"/>
  <c r="J116" i="251"/>
  <c r="I116" i="251"/>
  <c r="B116" i="251"/>
  <c r="J115" i="251"/>
  <c r="I115" i="251"/>
  <c r="B115" i="251"/>
  <c r="J114" i="251"/>
  <c r="I114" i="251"/>
  <c r="B114" i="251"/>
  <c r="Z113" i="251"/>
  <c r="W113" i="251"/>
  <c r="L113" i="251"/>
  <c r="K113" i="251"/>
  <c r="J111" i="251"/>
  <c r="I111" i="251"/>
  <c r="B111" i="251"/>
  <c r="J110" i="251"/>
  <c r="I110" i="251"/>
  <c r="B110" i="251"/>
  <c r="J109" i="251"/>
  <c r="I109" i="251"/>
  <c r="B109" i="251"/>
  <c r="J108" i="251"/>
  <c r="I108" i="251"/>
  <c r="B108" i="251"/>
  <c r="J107" i="251"/>
  <c r="I107" i="251"/>
  <c r="B107" i="251"/>
  <c r="J106" i="251"/>
  <c r="I106" i="251"/>
  <c r="B106" i="251"/>
  <c r="J105" i="251"/>
  <c r="I105" i="251"/>
  <c r="B105" i="251"/>
  <c r="J104" i="251"/>
  <c r="I104" i="251"/>
  <c r="B104" i="251"/>
  <c r="J103" i="251"/>
  <c r="I103" i="251"/>
  <c r="B103" i="251"/>
  <c r="J102" i="251"/>
  <c r="I102" i="251"/>
  <c r="B102" i="251"/>
  <c r="X101" i="251"/>
  <c r="U101" i="251"/>
  <c r="L101" i="251"/>
  <c r="K101" i="251"/>
  <c r="J99" i="251"/>
  <c r="I99" i="251"/>
  <c r="B99" i="251"/>
  <c r="J98" i="251"/>
  <c r="I98" i="251"/>
  <c r="B98" i="251"/>
  <c r="J97" i="251"/>
  <c r="I97" i="251"/>
  <c r="B97" i="251"/>
  <c r="J96" i="251"/>
  <c r="I96" i="251"/>
  <c r="B96" i="251"/>
  <c r="J95" i="251"/>
  <c r="I95" i="251"/>
  <c r="B95" i="251"/>
  <c r="J94" i="251"/>
  <c r="I94" i="251"/>
  <c r="B94" i="251"/>
  <c r="J93" i="251"/>
  <c r="I93" i="251"/>
  <c r="B93" i="251"/>
  <c r="J92" i="251"/>
  <c r="I92" i="251"/>
  <c r="B92" i="251"/>
  <c r="J91" i="251"/>
  <c r="I91" i="251"/>
  <c r="B91" i="251"/>
  <c r="J90" i="251"/>
  <c r="I90" i="251"/>
  <c r="B90" i="251"/>
  <c r="AA89" i="251"/>
  <c r="Z89" i="251"/>
  <c r="X89" i="251"/>
  <c r="W89" i="251"/>
  <c r="L89" i="251"/>
  <c r="K89" i="251"/>
  <c r="J87" i="251"/>
  <c r="I87" i="251"/>
  <c r="B87" i="251"/>
  <c r="J86" i="251"/>
  <c r="I86" i="251"/>
  <c r="B86" i="251"/>
  <c r="J85" i="251"/>
  <c r="I85" i="251"/>
  <c r="B85" i="251"/>
  <c r="J84" i="251"/>
  <c r="I84" i="251"/>
  <c r="B84" i="251"/>
  <c r="J83" i="251"/>
  <c r="I83" i="251"/>
  <c r="B83" i="251"/>
  <c r="J82" i="251"/>
  <c r="I82" i="251"/>
  <c r="B82" i="251"/>
  <c r="J81" i="251"/>
  <c r="I81" i="251"/>
  <c r="B81" i="251"/>
  <c r="J80" i="251"/>
  <c r="I80" i="251"/>
  <c r="B80" i="251"/>
  <c r="J79" i="251"/>
  <c r="I79" i="251"/>
  <c r="B79" i="251"/>
  <c r="J78" i="251"/>
  <c r="I78" i="251"/>
  <c r="B78" i="251"/>
  <c r="AA77" i="251"/>
  <c r="Z77" i="251"/>
  <c r="X77" i="251"/>
  <c r="W77" i="251"/>
  <c r="L77" i="251"/>
  <c r="K77" i="251"/>
  <c r="J75" i="251"/>
  <c r="I75" i="251"/>
  <c r="B75" i="251"/>
  <c r="J74" i="251"/>
  <c r="I74" i="251"/>
  <c r="B74" i="251"/>
  <c r="J73" i="251"/>
  <c r="I73" i="251"/>
  <c r="B73" i="251"/>
  <c r="J72" i="251"/>
  <c r="I72" i="251"/>
  <c r="B72" i="251"/>
  <c r="J71" i="251"/>
  <c r="I71" i="251"/>
  <c r="B71" i="251"/>
  <c r="J70" i="251"/>
  <c r="I70" i="251"/>
  <c r="B70" i="251"/>
  <c r="J69" i="251"/>
  <c r="I69" i="251"/>
  <c r="B69" i="251"/>
  <c r="J68" i="251"/>
  <c r="I68" i="251"/>
  <c r="B68" i="251"/>
  <c r="J67" i="251"/>
  <c r="I67" i="251"/>
  <c r="B67" i="251"/>
  <c r="J66" i="251"/>
  <c r="I66" i="251"/>
  <c r="B66" i="251"/>
  <c r="Z65" i="251"/>
  <c r="L65" i="251"/>
  <c r="K65" i="251"/>
  <c r="J63" i="251"/>
  <c r="I63" i="251"/>
  <c r="B63" i="251"/>
  <c r="J62" i="251"/>
  <c r="I62" i="251"/>
  <c r="B62" i="251"/>
  <c r="J61" i="251"/>
  <c r="I61" i="251"/>
  <c r="B61" i="251"/>
  <c r="J60" i="251"/>
  <c r="I60" i="251"/>
  <c r="B60" i="251"/>
  <c r="J59" i="251"/>
  <c r="I59" i="251"/>
  <c r="B59" i="251"/>
  <c r="J58" i="251"/>
  <c r="I58" i="251"/>
  <c r="B58" i="251"/>
  <c r="J57" i="251"/>
  <c r="I57" i="251"/>
  <c r="B57" i="251"/>
  <c r="J56" i="251"/>
  <c r="I56" i="251"/>
  <c r="B56" i="251"/>
  <c r="J55" i="251"/>
  <c r="I55" i="251"/>
  <c r="B55" i="251"/>
  <c r="J54" i="251"/>
  <c r="I54" i="251"/>
  <c r="B54" i="251"/>
  <c r="AA53" i="251"/>
  <c r="Z53" i="251"/>
  <c r="X53" i="251"/>
  <c r="L53" i="251"/>
  <c r="K53" i="251"/>
  <c r="J51" i="251"/>
  <c r="I51" i="251"/>
  <c r="B51" i="251"/>
  <c r="J50" i="251"/>
  <c r="I50" i="251"/>
  <c r="B50" i="251"/>
  <c r="J49" i="251"/>
  <c r="I49" i="251"/>
  <c r="B49" i="251"/>
  <c r="J48" i="251"/>
  <c r="I48" i="251"/>
  <c r="B48" i="251"/>
  <c r="J47" i="251"/>
  <c r="I47" i="251"/>
  <c r="B47" i="251"/>
  <c r="J46" i="251"/>
  <c r="I46" i="251"/>
  <c r="B46" i="251"/>
  <c r="J45" i="251"/>
  <c r="I45" i="251"/>
  <c r="B45" i="251"/>
  <c r="J44" i="251"/>
  <c r="I44" i="251"/>
  <c r="B44" i="251"/>
  <c r="J43" i="251"/>
  <c r="I43" i="251"/>
  <c r="B43" i="251"/>
  <c r="J42" i="251"/>
  <c r="I42" i="251"/>
  <c r="B42" i="251"/>
  <c r="Z41" i="251"/>
  <c r="X41" i="251"/>
  <c r="W41" i="251"/>
  <c r="L41" i="251"/>
  <c r="K41" i="251"/>
  <c r="J39" i="251"/>
  <c r="I39" i="251"/>
  <c r="B39" i="251"/>
  <c r="J38" i="251"/>
  <c r="I38" i="251"/>
  <c r="B38" i="251"/>
  <c r="J37" i="251"/>
  <c r="I37" i="251"/>
  <c r="B37" i="251"/>
  <c r="J36" i="251"/>
  <c r="I36" i="251"/>
  <c r="B36" i="251"/>
  <c r="J35" i="251"/>
  <c r="I35" i="251"/>
  <c r="B35" i="251"/>
  <c r="J34" i="251"/>
  <c r="I34" i="251"/>
  <c r="B34" i="251"/>
  <c r="J33" i="251"/>
  <c r="I33" i="251"/>
  <c r="B33" i="251"/>
  <c r="J32" i="251"/>
  <c r="I32" i="251"/>
  <c r="B32" i="251"/>
  <c r="J31" i="251"/>
  <c r="I31" i="251"/>
  <c r="B31" i="251"/>
  <c r="J30" i="251"/>
  <c r="I30" i="251"/>
  <c r="B30" i="251"/>
  <c r="AA29" i="251"/>
  <c r="L29" i="251"/>
  <c r="K29" i="251"/>
  <c r="J27" i="251"/>
  <c r="I27" i="251"/>
  <c r="B27" i="251"/>
  <c r="J26" i="251"/>
  <c r="I26" i="251"/>
  <c r="B26" i="251"/>
  <c r="J25" i="251"/>
  <c r="I25" i="251"/>
  <c r="B25" i="251"/>
  <c r="J24" i="251"/>
  <c r="I24" i="251"/>
  <c r="B24" i="251"/>
  <c r="J23" i="251"/>
  <c r="I23" i="251"/>
  <c r="B23" i="251"/>
  <c r="J22" i="251"/>
  <c r="I22" i="251"/>
  <c r="B22" i="251"/>
  <c r="J21" i="251"/>
  <c r="I21" i="251"/>
  <c r="B21" i="251"/>
  <c r="J20" i="251"/>
  <c r="I20" i="251"/>
  <c r="B20" i="251"/>
  <c r="J19" i="251"/>
  <c r="I19" i="251"/>
  <c r="B19" i="251"/>
  <c r="J18" i="251"/>
  <c r="I18" i="251"/>
  <c r="B18" i="251"/>
  <c r="Z17" i="251"/>
  <c r="X17" i="251"/>
  <c r="W17" i="251"/>
  <c r="L17" i="251"/>
  <c r="K17" i="251"/>
  <c r="J15" i="251"/>
  <c r="I15" i="251"/>
  <c r="B15" i="251"/>
  <c r="J14" i="251"/>
  <c r="I14" i="251"/>
  <c r="B14" i="251"/>
  <c r="J13" i="251"/>
  <c r="I13" i="251"/>
  <c r="B13" i="251"/>
  <c r="J12" i="251"/>
  <c r="I12" i="251"/>
  <c r="B12" i="251"/>
  <c r="J11" i="251"/>
  <c r="I11" i="251"/>
  <c r="K11" i="251" s="1"/>
  <c r="B11" i="251"/>
  <c r="J10" i="251"/>
  <c r="I10" i="251"/>
  <c r="B10" i="251"/>
  <c r="J9" i="251"/>
  <c r="I9" i="251"/>
  <c r="B9" i="251"/>
  <c r="J8" i="251"/>
  <c r="I8" i="251"/>
  <c r="B8" i="251"/>
  <c r="J7" i="251"/>
  <c r="I7" i="251"/>
  <c r="B7" i="251"/>
  <c r="J6" i="251"/>
  <c r="I6" i="251"/>
  <c r="B6" i="251"/>
  <c r="X5" i="251"/>
  <c r="W5" i="251"/>
  <c r="L5" i="251"/>
  <c r="K5" i="251"/>
  <c r="Z2" i="250"/>
  <c r="Z5" i="251" l="1"/>
  <c r="K10" i="251"/>
  <c r="X29" i="251"/>
  <c r="AA41" i="251"/>
  <c r="K61" i="251"/>
  <c r="U65" i="251"/>
  <c r="U89" i="251"/>
  <c r="Z101" i="251"/>
  <c r="AA5" i="251"/>
  <c r="AB41" i="251"/>
  <c r="X65" i="251"/>
  <c r="AA101" i="251"/>
  <c r="K120" i="251"/>
  <c r="K256" i="253"/>
  <c r="K255" i="253"/>
  <c r="AB5" i="251"/>
  <c r="K48" i="251"/>
  <c r="U53" i="251"/>
  <c r="AB101" i="251"/>
  <c r="AB53" i="251"/>
  <c r="AB29" i="251"/>
  <c r="V53" i="251"/>
  <c r="U77" i="251"/>
  <c r="U113" i="251"/>
  <c r="K259" i="253"/>
  <c r="L259" i="253" s="1"/>
  <c r="L680" i="253"/>
  <c r="U29" i="251"/>
  <c r="U5" i="251"/>
  <c r="U41" i="251"/>
  <c r="V113" i="251"/>
  <c r="K258" i="253"/>
  <c r="L258" i="253" s="1"/>
  <c r="V5" i="251"/>
  <c r="K9" i="251"/>
  <c r="K37" i="251"/>
  <c r="AB89" i="251"/>
  <c r="K57" i="251"/>
  <c r="L57" i="251" s="1"/>
  <c r="K32" i="251"/>
  <c r="K42" i="251"/>
  <c r="L42" i="251" s="1"/>
  <c r="K104" i="251"/>
  <c r="L104" i="251" s="1"/>
  <c r="K58" i="251"/>
  <c r="L58" i="251" s="1"/>
  <c r="L686" i="253"/>
  <c r="L684" i="253"/>
  <c r="L687" i="253"/>
  <c r="L683" i="253"/>
  <c r="L688" i="253"/>
  <c r="L685" i="253"/>
  <c r="L679" i="253"/>
  <c r="L425" i="253"/>
  <c r="L407" i="253"/>
  <c r="L427" i="253"/>
  <c r="L414" i="253"/>
  <c r="L418" i="253"/>
  <c r="L445" i="253"/>
  <c r="L420" i="253"/>
  <c r="L447" i="253"/>
  <c r="L431" i="253"/>
  <c r="L415" i="253"/>
  <c r="L410" i="253"/>
  <c r="L437" i="253"/>
  <c r="L436" i="253"/>
  <c r="L444" i="253"/>
  <c r="L411" i="253"/>
  <c r="L345" i="253"/>
  <c r="L430" i="253"/>
  <c r="L438" i="253"/>
  <c r="L404" i="253"/>
  <c r="L408" i="253"/>
  <c r="L370" i="253"/>
  <c r="L402" i="253"/>
  <c r="L433" i="253"/>
  <c r="L440" i="253"/>
  <c r="L416" i="253"/>
  <c r="L409" i="253"/>
  <c r="L426" i="253"/>
  <c r="L422" i="253"/>
  <c r="L429" i="253"/>
  <c r="L424" i="253"/>
  <c r="L401" i="253"/>
  <c r="L448" i="253"/>
  <c r="L377" i="253"/>
  <c r="L419" i="253"/>
  <c r="L446" i="253"/>
  <c r="L434" i="253"/>
  <c r="L421" i="253"/>
  <c r="L413" i="253"/>
  <c r="L412" i="253"/>
  <c r="L439" i="253"/>
  <c r="L442" i="253"/>
  <c r="L423" i="253"/>
  <c r="L441" i="253"/>
  <c r="L405" i="253"/>
  <c r="L432" i="253"/>
  <c r="L435" i="253"/>
  <c r="L417" i="253"/>
  <c r="L443" i="253"/>
  <c r="L406" i="253"/>
  <c r="L403" i="253"/>
  <c r="L389" i="253"/>
  <c r="L355" i="253"/>
  <c r="L353" i="253"/>
  <c r="L379" i="253"/>
  <c r="L380" i="253"/>
  <c r="L368" i="253"/>
  <c r="L385" i="253"/>
  <c r="L356" i="253"/>
  <c r="L365" i="253"/>
  <c r="L306" i="253"/>
  <c r="L396" i="253"/>
  <c r="L357" i="253"/>
  <c r="L371" i="253"/>
  <c r="L372" i="253"/>
  <c r="L395" i="253"/>
  <c r="L314" i="253"/>
  <c r="L347" i="253"/>
  <c r="L382" i="253"/>
  <c r="L394" i="253"/>
  <c r="L360" i="253"/>
  <c r="L358" i="253"/>
  <c r="L384" i="253"/>
  <c r="L346" i="253"/>
  <c r="L316" i="253"/>
  <c r="L361" i="253"/>
  <c r="L397" i="253"/>
  <c r="L362" i="253"/>
  <c r="L388" i="253"/>
  <c r="L349" i="253"/>
  <c r="L376" i="253"/>
  <c r="L383" i="253"/>
  <c r="L359" i="253"/>
  <c r="L393" i="253"/>
  <c r="L369" i="253"/>
  <c r="L400" i="253"/>
  <c r="L326" i="253"/>
  <c r="L312" i="253"/>
  <c r="L398" i="253"/>
  <c r="L399" i="253"/>
  <c r="L392" i="253"/>
  <c r="L374" i="253"/>
  <c r="L373" i="253"/>
  <c r="L335" i="253"/>
  <c r="L354" i="253"/>
  <c r="L387" i="253"/>
  <c r="L378" i="253"/>
  <c r="L381" i="253"/>
  <c r="L363" i="253"/>
  <c r="L386" i="253"/>
  <c r="L391" i="253"/>
  <c r="L390" i="253"/>
  <c r="L364" i="253"/>
  <c r="L367" i="253"/>
  <c r="L366" i="253"/>
  <c r="L375" i="253"/>
  <c r="L338" i="253"/>
  <c r="L342" i="253"/>
  <c r="L324" i="253"/>
  <c r="L322" i="253"/>
  <c r="L315" i="253"/>
  <c r="L337" i="253"/>
  <c r="L318" i="253"/>
  <c r="L310" i="253"/>
  <c r="L323" i="253"/>
  <c r="L317" i="253"/>
  <c r="L319" i="253"/>
  <c r="L307" i="253"/>
  <c r="L325" i="253"/>
  <c r="L330" i="253"/>
  <c r="L328" i="253"/>
  <c r="L311" i="253"/>
  <c r="L344" i="253"/>
  <c r="L305" i="253"/>
  <c r="L313" i="253"/>
  <c r="L351" i="253"/>
  <c r="L309" i="253"/>
  <c r="L327" i="253"/>
  <c r="L339" i="253"/>
  <c r="L340" i="253"/>
  <c r="L333" i="253"/>
  <c r="L334" i="253"/>
  <c r="L331" i="253"/>
  <c r="L350" i="253"/>
  <c r="L320" i="253"/>
  <c r="L352" i="253"/>
  <c r="L343" i="253"/>
  <c r="L332" i="253"/>
  <c r="L341" i="253"/>
  <c r="L329" i="253"/>
  <c r="L336" i="253"/>
  <c r="L348" i="253"/>
  <c r="L308" i="253"/>
  <c r="L321" i="253"/>
  <c r="L74" i="253"/>
  <c r="L695" i="253"/>
  <c r="L699" i="253"/>
  <c r="L85" i="253"/>
  <c r="L70" i="253"/>
  <c r="L78" i="253"/>
  <c r="L541" i="253"/>
  <c r="L560" i="253"/>
  <c r="L566" i="253"/>
  <c r="L649" i="253"/>
  <c r="L73" i="253"/>
  <c r="L696" i="253"/>
  <c r="L88" i="253"/>
  <c r="L75" i="253"/>
  <c r="L252" i="253"/>
  <c r="L533" i="253"/>
  <c r="L554" i="253"/>
  <c r="L643" i="253"/>
  <c r="L559" i="253"/>
  <c r="L89" i="253"/>
  <c r="L90" i="253"/>
  <c r="L84" i="253"/>
  <c r="L79" i="253"/>
  <c r="L550" i="253"/>
  <c r="L538" i="253"/>
  <c r="L301" i="253"/>
  <c r="L300" i="253"/>
  <c r="L601" i="253"/>
  <c r="L622" i="253"/>
  <c r="L299" i="253"/>
  <c r="L298" i="253"/>
  <c r="L579" i="253"/>
  <c r="L296" i="253"/>
  <c r="L295" i="253"/>
  <c r="L645" i="253"/>
  <c r="L669" i="253"/>
  <c r="L660" i="253"/>
  <c r="L675" i="253"/>
  <c r="L293" i="253"/>
  <c r="L292" i="253"/>
  <c r="L562" i="253"/>
  <c r="L606" i="253"/>
  <c r="L591" i="253"/>
  <c r="L534" i="253"/>
  <c r="L290" i="253"/>
  <c r="L289" i="253"/>
  <c r="L282" i="253"/>
  <c r="L540" i="253"/>
  <c r="L569" i="253"/>
  <c r="L637" i="253"/>
  <c r="L614" i="253"/>
  <c r="L627" i="253"/>
  <c r="L616" i="253"/>
  <c r="L666" i="253"/>
  <c r="L547" i="253"/>
  <c r="L532" i="253"/>
  <c r="L536" i="253"/>
  <c r="L565" i="253"/>
  <c r="L571" i="253"/>
  <c r="L561" i="253"/>
  <c r="L631" i="253"/>
  <c r="L584" i="253"/>
  <c r="L621" i="253"/>
  <c r="L610" i="253"/>
  <c r="L636" i="253"/>
  <c r="L539" i="253"/>
  <c r="L553" i="253"/>
  <c r="L593" i="253"/>
  <c r="L557" i="253"/>
  <c r="L563" i="253"/>
  <c r="L586" i="253"/>
  <c r="L625" i="253"/>
  <c r="L615" i="253"/>
  <c r="L642" i="253"/>
  <c r="L618" i="253"/>
  <c r="L531" i="253"/>
  <c r="L545" i="253"/>
  <c r="L595" i="253"/>
  <c r="L580" i="253"/>
  <c r="L555" i="253"/>
  <c r="L572" i="253"/>
  <c r="L578" i="253"/>
  <c r="L619" i="253"/>
  <c r="L657" i="253"/>
  <c r="L609" i="253"/>
  <c r="L646" i="253"/>
  <c r="L663" i="253"/>
  <c r="L624" i="253"/>
  <c r="L577" i="253"/>
  <c r="L613" i="253"/>
  <c r="L651" i="253"/>
  <c r="L640" i="253"/>
  <c r="L654" i="253"/>
  <c r="L287" i="253"/>
  <c r="L639" i="253"/>
  <c r="L628" i="253"/>
  <c r="L635" i="253"/>
  <c r="L286" i="253"/>
  <c r="L546" i="253"/>
  <c r="L284" i="253"/>
  <c r="L283" i="253"/>
  <c r="L588" i="253"/>
  <c r="L564" i="253"/>
  <c r="L570" i="253"/>
  <c r="L644" i="253"/>
  <c r="L662" i="253"/>
  <c r="L630" i="253"/>
  <c r="L281" i="253"/>
  <c r="L280" i="253"/>
  <c r="L604" i="253"/>
  <c r="L612" i="253"/>
  <c r="L582" i="253"/>
  <c r="L278" i="253"/>
  <c r="L277" i="253"/>
  <c r="L594" i="253"/>
  <c r="L590" i="253"/>
  <c r="L585" i="253"/>
  <c r="L274" i="253"/>
  <c r="L275" i="253"/>
  <c r="L638" i="253"/>
  <c r="L552" i="253"/>
  <c r="L668" i="253"/>
  <c r="L652" i="253"/>
  <c r="L667" i="253"/>
  <c r="L658" i="253"/>
  <c r="L626" i="253"/>
  <c r="L659" i="253"/>
  <c r="L665" i="253"/>
  <c r="L271" i="253"/>
  <c r="L664" i="253"/>
  <c r="L272" i="253"/>
  <c r="L268" i="253"/>
  <c r="L620" i="253"/>
  <c r="L600" i="253"/>
  <c r="L661" i="253"/>
  <c r="L269" i="253"/>
  <c r="L587" i="253"/>
  <c r="L650" i="253"/>
  <c r="L543" i="253"/>
  <c r="L558" i="253"/>
  <c r="L632" i="253"/>
  <c r="L653" i="253"/>
  <c r="L656" i="253"/>
  <c r="L674" i="253"/>
  <c r="L576" i="253"/>
  <c r="L655" i="253"/>
  <c r="L605" i="253"/>
  <c r="L623" i="253"/>
  <c r="L537" i="253"/>
  <c r="L617" i="253"/>
  <c r="L611" i="253"/>
  <c r="L549" i="253"/>
  <c r="L599" i="253"/>
  <c r="L608" i="253"/>
  <c r="L641" i="253"/>
  <c r="L581" i="253"/>
  <c r="L567" i="253"/>
  <c r="L530" i="253"/>
  <c r="L673" i="253"/>
  <c r="L273" i="253"/>
  <c r="P500" i="253"/>
  <c r="P574" i="253" s="1"/>
  <c r="P648" i="253" s="1"/>
  <c r="L648" i="253" s="1"/>
  <c r="P573" i="253"/>
  <c r="P647" i="253" s="1"/>
  <c r="L647" i="253" s="1"/>
  <c r="P523" i="253"/>
  <c r="L523" i="253" s="1"/>
  <c r="P596" i="253"/>
  <c r="P670" i="253" s="1"/>
  <c r="L670" i="253" s="1"/>
  <c r="L629" i="253"/>
  <c r="L240" i="253"/>
  <c r="L244" i="253"/>
  <c r="L239" i="253"/>
  <c r="L238" i="253"/>
  <c r="L228" i="253"/>
  <c r="L229" i="253"/>
  <c r="L520" i="253"/>
  <c r="L248" i="253"/>
  <c r="L476" i="253"/>
  <c r="L522" i="253"/>
  <c r="L498" i="253"/>
  <c r="L63" i="253"/>
  <c r="L56" i="253"/>
  <c r="L499" i="253"/>
  <c r="L194" i="253"/>
  <c r="L192" i="253"/>
  <c r="L156" i="253"/>
  <c r="L154" i="253"/>
  <c r="L163" i="253"/>
  <c r="L174" i="253"/>
  <c r="L186" i="253"/>
  <c r="L206" i="253"/>
  <c r="L201" i="253"/>
  <c r="L212" i="253"/>
  <c r="L177" i="253"/>
  <c r="L172" i="253"/>
  <c r="L148" i="253"/>
  <c r="L155" i="253"/>
  <c r="L178" i="253"/>
  <c r="L199" i="253"/>
  <c r="L217" i="253"/>
  <c r="L216" i="253"/>
  <c r="L214" i="253"/>
  <c r="L149" i="253"/>
  <c r="L196" i="253"/>
  <c r="L176" i="253"/>
  <c r="L171" i="253"/>
  <c r="L187" i="253"/>
  <c r="L188" i="253"/>
  <c r="L173" i="253"/>
  <c r="L184" i="253"/>
  <c r="L218" i="253"/>
  <c r="L213" i="253"/>
  <c r="L181" i="253"/>
  <c r="L191" i="253"/>
  <c r="L146" i="253"/>
  <c r="L145" i="253"/>
  <c r="L159" i="253"/>
  <c r="L168" i="253"/>
  <c r="L150" i="253"/>
  <c r="L179" i="253"/>
  <c r="L180" i="253"/>
  <c r="L205" i="253"/>
  <c r="L200" i="253"/>
  <c r="L211" i="253"/>
  <c r="L210" i="253"/>
  <c r="L147" i="253"/>
  <c r="L193" i="253"/>
  <c r="L151" i="253"/>
  <c r="L160" i="253"/>
  <c r="L190" i="253"/>
  <c r="L183" i="253"/>
  <c r="L195" i="253"/>
  <c r="L204" i="253"/>
  <c r="L215" i="253"/>
  <c r="L474" i="253"/>
  <c r="L166" i="253"/>
  <c r="L164" i="253"/>
  <c r="L162" i="253"/>
  <c r="L152" i="253"/>
  <c r="L182" i="253"/>
  <c r="L175" i="253"/>
  <c r="L202" i="253"/>
  <c r="L197" i="253"/>
  <c r="L208" i="253"/>
  <c r="L475" i="253"/>
  <c r="L139" i="253"/>
  <c r="L247" i="253"/>
  <c r="L254" i="253"/>
  <c r="L255" i="253"/>
  <c r="L250" i="253"/>
  <c r="L95" i="253"/>
  <c r="L93" i="253"/>
  <c r="L9" i="253"/>
  <c r="L111" i="253"/>
  <c r="L103" i="253"/>
  <c r="L28" i="253"/>
  <c r="L27" i="253"/>
  <c r="L35" i="253"/>
  <c r="L8" i="253"/>
  <c r="L6" i="253"/>
  <c r="L107" i="253"/>
  <c r="L20" i="253"/>
  <c r="L19" i="253"/>
  <c r="L12" i="253"/>
  <c r="L52" i="253"/>
  <c r="L38" i="253"/>
  <c r="L34" i="253"/>
  <c r="L526" i="253"/>
  <c r="L198" i="253"/>
  <c r="L511" i="253"/>
  <c r="L99" i="253"/>
  <c r="L11" i="253"/>
  <c r="L505" i="253"/>
  <c r="L493" i="253"/>
  <c r="L503" i="253"/>
  <c r="L515" i="253"/>
  <c r="L512" i="253"/>
  <c r="L270" i="253"/>
  <c r="L267" i="253"/>
  <c r="L461" i="253"/>
  <c r="L527" i="253"/>
  <c r="L507" i="253"/>
  <c r="L509" i="253"/>
  <c r="L479" i="253"/>
  <c r="L516" i="253"/>
  <c r="L525" i="253"/>
  <c r="L496" i="253"/>
  <c r="L504" i="253"/>
  <c r="L517" i="253"/>
  <c r="L285" i="253"/>
  <c r="L302" i="253"/>
  <c r="L288" i="253"/>
  <c r="L478" i="253"/>
  <c r="L508" i="253"/>
  <c r="L514" i="253"/>
  <c r="L497" i="253"/>
  <c r="L506" i="253"/>
  <c r="L518" i="253"/>
  <c r="L501" i="253"/>
  <c r="L291" i="253"/>
  <c r="L521" i="253"/>
  <c r="L495" i="253"/>
  <c r="L510" i="253"/>
  <c r="L464" i="253"/>
  <c r="L469" i="253"/>
  <c r="L513" i="253"/>
  <c r="L519" i="253"/>
  <c r="L502" i="253"/>
  <c r="L251" i="253"/>
  <c r="L243" i="253"/>
  <c r="L467" i="253"/>
  <c r="L253" i="253"/>
  <c r="L466" i="253"/>
  <c r="L470" i="253"/>
  <c r="L473" i="253"/>
  <c r="L463" i="253"/>
  <c r="L472" i="253"/>
  <c r="L100" i="253"/>
  <c r="L116" i="253"/>
  <c r="L113" i="253"/>
  <c r="L43" i="253"/>
  <c r="L18" i="253"/>
  <c r="L15" i="253"/>
  <c r="L47" i="253"/>
  <c r="L30" i="253"/>
  <c r="L53" i="253"/>
  <c r="L10" i="253"/>
  <c r="L98" i="253"/>
  <c r="L23" i="253"/>
  <c r="L26" i="253"/>
  <c r="L42" i="253"/>
  <c r="L40" i="253"/>
  <c r="L33" i="253"/>
  <c r="L102" i="253"/>
  <c r="L105" i="253"/>
  <c r="L29" i="253"/>
  <c r="L48" i="253"/>
  <c r="L37" i="253"/>
  <c r="L36" i="253"/>
  <c r="L96" i="253"/>
  <c r="L104" i="253"/>
  <c r="L114" i="253"/>
  <c r="L22" i="253"/>
  <c r="L21" i="253"/>
  <c r="L16" i="253"/>
  <c r="L51" i="253"/>
  <c r="L32" i="253"/>
  <c r="L39" i="253"/>
  <c r="L110" i="253"/>
  <c r="L45" i="253"/>
  <c r="L44" i="253"/>
  <c r="L13" i="253"/>
  <c r="L46" i="253"/>
  <c r="L50" i="253"/>
  <c r="L31" i="253"/>
  <c r="L121" i="253"/>
  <c r="L94" i="253"/>
  <c r="L97" i="253"/>
  <c r="L101" i="253"/>
  <c r="L7" i="253"/>
  <c r="L25" i="253"/>
  <c r="L24" i="253"/>
  <c r="L17" i="253"/>
  <c r="L49" i="253"/>
  <c r="L41" i="253"/>
  <c r="L451" i="253"/>
  <c r="L128" i="253"/>
  <c r="L223" i="253"/>
  <c r="L124" i="253"/>
  <c r="L136" i="253"/>
  <c r="L226" i="253"/>
  <c r="L246" i="253"/>
  <c r="L482" i="253"/>
  <c r="L224" i="253"/>
  <c r="L249" i="253"/>
  <c r="L221" i="253"/>
  <c r="L222" i="253"/>
  <c r="L245" i="253"/>
  <c r="L261" i="253"/>
  <c r="L256" i="253"/>
  <c r="L460" i="253"/>
  <c r="L492" i="253"/>
  <c r="L458" i="253"/>
  <c r="L491" i="253"/>
  <c r="L486" i="253"/>
  <c r="L485" i="253"/>
  <c r="L480" i="253"/>
  <c r="L456" i="253"/>
  <c r="L465" i="253"/>
  <c r="L457" i="253"/>
  <c r="L483" i="253"/>
  <c r="L488" i="253"/>
  <c r="L489" i="253"/>
  <c r="L297" i="253"/>
  <c r="L481" i="253"/>
  <c r="L453" i="253"/>
  <c r="L123" i="253"/>
  <c r="L140" i="253"/>
  <c r="L134" i="253"/>
  <c r="L227" i="253"/>
  <c r="L242" i="253"/>
  <c r="L241" i="253"/>
  <c r="L490" i="253"/>
  <c r="L131" i="253"/>
  <c r="L126" i="253"/>
  <c r="L452" i="253"/>
  <c r="L125" i="253"/>
  <c r="L234" i="253"/>
  <c r="L230" i="253"/>
  <c r="L119" i="253"/>
  <c r="L120" i="253"/>
  <c r="L122" i="253"/>
  <c r="L129" i="253"/>
  <c r="L235" i="253"/>
  <c r="J259" i="253"/>
  <c r="L127" i="253"/>
  <c r="L137" i="253"/>
  <c r="L233" i="253"/>
  <c r="L484" i="253"/>
  <c r="L471" i="253"/>
  <c r="L468" i="253"/>
  <c r="L459" i="253"/>
  <c r="L462" i="253"/>
  <c r="L225" i="253"/>
  <c r="H262" i="253"/>
  <c r="I262" i="253" s="1"/>
  <c r="L487" i="253"/>
  <c r="L494" i="253"/>
  <c r="L477" i="253"/>
  <c r="L276" i="253"/>
  <c r="L142" i="253"/>
  <c r="L133" i="253"/>
  <c r="L130" i="253"/>
  <c r="L279" i="253"/>
  <c r="L294" i="253"/>
  <c r="L57" i="253"/>
  <c r="L59" i="253"/>
  <c r="L61" i="253"/>
  <c r="L67" i="253"/>
  <c r="L62" i="253"/>
  <c r="L60" i="253"/>
  <c r="L64" i="253"/>
  <c r="L65" i="253"/>
  <c r="I264" i="253"/>
  <c r="K264" i="253" s="1"/>
  <c r="L264" i="253" s="1"/>
  <c r="J264" i="253"/>
  <c r="J257" i="253"/>
  <c r="I257" i="253"/>
  <c r="H260" i="253"/>
  <c r="L72" i="253"/>
  <c r="L14" i="253"/>
  <c r="L231" i="253"/>
  <c r="L86" i="253"/>
  <c r="L80" i="253"/>
  <c r="L232" i="253"/>
  <c r="L66" i="253"/>
  <c r="L158" i="253"/>
  <c r="L58" i="253"/>
  <c r="L161" i="253"/>
  <c r="L109" i="253"/>
  <c r="L167" i="253"/>
  <c r="L115" i="253"/>
  <c r="L135" i="253"/>
  <c r="L112" i="253"/>
  <c r="L132" i="253"/>
  <c r="L138" i="253"/>
  <c r="L106" i="253"/>
  <c r="L141" i="253"/>
  <c r="L165" i="253"/>
  <c r="L153" i="253"/>
  <c r="L108" i="253"/>
  <c r="K35" i="251"/>
  <c r="K50" i="251"/>
  <c r="L50" i="251" s="1"/>
  <c r="K56" i="251"/>
  <c r="L56" i="251" s="1"/>
  <c r="K90" i="251"/>
  <c r="K34" i="251"/>
  <c r="K106" i="251"/>
  <c r="L106" i="251" s="1"/>
  <c r="K114" i="251"/>
  <c r="L114" i="251" s="1"/>
  <c r="K96" i="251"/>
  <c r="K81" i="251"/>
  <c r="L81" i="251" s="1"/>
  <c r="K122" i="251"/>
  <c r="L122" i="251" s="1"/>
  <c r="K33" i="251"/>
  <c r="K66" i="251"/>
  <c r="K74" i="251"/>
  <c r="K109" i="251"/>
  <c r="L109" i="251" s="1"/>
  <c r="K82" i="251"/>
  <c r="L10" i="251"/>
  <c r="K18" i="251"/>
  <c r="K26" i="251"/>
  <c r="K72" i="251"/>
  <c r="K80" i="251"/>
  <c r="K98" i="251"/>
  <c r="K8" i="251"/>
  <c r="L8" i="251" s="1"/>
  <c r="K24" i="251"/>
  <c r="AB77" i="251"/>
  <c r="AA17" i="251"/>
  <c r="AA65" i="251"/>
  <c r="AB17" i="251"/>
  <c r="AB65" i="251"/>
  <c r="Y89" i="251"/>
  <c r="Y77" i="251"/>
  <c r="Y65" i="251"/>
  <c r="Y41" i="251"/>
  <c r="Y53" i="251"/>
  <c r="Y29" i="251"/>
  <c r="Y5" i="251"/>
  <c r="Y17" i="251"/>
  <c r="Y101" i="251"/>
  <c r="W29" i="251"/>
  <c r="W53" i="251"/>
  <c r="W65" i="251"/>
  <c r="V17" i="251"/>
  <c r="V29" i="251"/>
  <c r="V41" i="251"/>
  <c r="V65" i="251"/>
  <c r="V77" i="251"/>
  <c r="V89" i="251"/>
  <c r="L61" i="251"/>
  <c r="L11" i="251"/>
  <c r="L120" i="251"/>
  <c r="K85" i="251"/>
  <c r="K13" i="251"/>
  <c r="K69" i="251"/>
  <c r="L69" i="251" s="1"/>
  <c r="K21" i="251"/>
  <c r="K93" i="251"/>
  <c r="L93" i="251" s="1"/>
  <c r="K45" i="251"/>
  <c r="L45" i="251" s="1"/>
  <c r="K117" i="251"/>
  <c r="L117" i="251" s="1"/>
  <c r="K7" i="251"/>
  <c r="K15" i="251"/>
  <c r="K23" i="251"/>
  <c r="K31" i="251"/>
  <c r="L31" i="251" s="1"/>
  <c r="K39" i="251"/>
  <c r="K47" i="251"/>
  <c r="L47" i="251" s="1"/>
  <c r="K55" i="251"/>
  <c r="L55" i="251" s="1"/>
  <c r="K63" i="251"/>
  <c r="L63" i="251" s="1"/>
  <c r="K71" i="251"/>
  <c r="L71" i="251" s="1"/>
  <c r="K79" i="251"/>
  <c r="K87" i="251"/>
  <c r="L87" i="251" s="1"/>
  <c r="K95" i="251"/>
  <c r="L95" i="251" s="1"/>
  <c r="K103" i="251"/>
  <c r="L103" i="251" s="1"/>
  <c r="K111" i="251"/>
  <c r="L111" i="251" s="1"/>
  <c r="K119" i="251"/>
  <c r="L119" i="251" s="1"/>
  <c r="K12" i="251"/>
  <c r="K20" i="251"/>
  <c r="K36" i="251"/>
  <c r="K44" i="251"/>
  <c r="L44" i="251" s="1"/>
  <c r="K60" i="251"/>
  <c r="L60" i="251" s="1"/>
  <c r="K68" i="251"/>
  <c r="L68" i="251" s="1"/>
  <c r="K84" i="251"/>
  <c r="L84" i="251" s="1"/>
  <c r="K92" i="251"/>
  <c r="K108" i="251"/>
  <c r="L108" i="251" s="1"/>
  <c r="K116" i="251"/>
  <c r="L116" i="251" s="1"/>
  <c r="K25" i="251"/>
  <c r="K49" i="251"/>
  <c r="L49" i="251" s="1"/>
  <c r="K73" i="251"/>
  <c r="L73" i="251" s="1"/>
  <c r="K97" i="251"/>
  <c r="K105" i="251"/>
  <c r="L105" i="251" s="1"/>
  <c r="K121" i="251"/>
  <c r="L121" i="251" s="1"/>
  <c r="K6" i="251"/>
  <c r="K14" i="251"/>
  <c r="K22" i="251"/>
  <c r="K30" i="251"/>
  <c r="K38" i="251"/>
  <c r="L38" i="251" s="1"/>
  <c r="K46" i="251"/>
  <c r="L46" i="251" s="1"/>
  <c r="K54" i="251"/>
  <c r="L54" i="251" s="1"/>
  <c r="K62" i="251"/>
  <c r="L62" i="251" s="1"/>
  <c r="K70" i="251"/>
  <c r="L70" i="251" s="1"/>
  <c r="K78" i="251"/>
  <c r="K86" i="251"/>
  <c r="L86" i="251" s="1"/>
  <c r="K94" i="251"/>
  <c r="K102" i="251"/>
  <c r="L102" i="251" s="1"/>
  <c r="K110" i="251"/>
  <c r="L110" i="251" s="1"/>
  <c r="K118" i="251"/>
  <c r="L118" i="251" s="1"/>
  <c r="K19" i="251"/>
  <c r="K27" i="251"/>
  <c r="K43" i="251"/>
  <c r="L43" i="251" s="1"/>
  <c r="K51" i="251"/>
  <c r="L51" i="251" s="1"/>
  <c r="K59" i="251"/>
  <c r="L59" i="251" s="1"/>
  <c r="K67" i="251"/>
  <c r="L67" i="251" s="1"/>
  <c r="K75" i="251"/>
  <c r="L75" i="251" s="1"/>
  <c r="K83" i="251"/>
  <c r="L83" i="251" s="1"/>
  <c r="K91" i="251"/>
  <c r="K99" i="251"/>
  <c r="K107" i="251"/>
  <c r="L107" i="251" s="1"/>
  <c r="K115" i="251"/>
  <c r="L115" i="251" s="1"/>
  <c r="K123" i="251"/>
  <c r="L123" i="251" s="1"/>
  <c r="O509" i="250"/>
  <c r="B509" i="250"/>
  <c r="O508" i="250"/>
  <c r="B508" i="250"/>
  <c r="O507" i="250"/>
  <c r="B507" i="250"/>
  <c r="O506" i="250"/>
  <c r="B506" i="250"/>
  <c r="O505" i="250"/>
  <c r="B505" i="250"/>
  <c r="O504" i="250"/>
  <c r="B504" i="250"/>
  <c r="H503" i="250"/>
  <c r="I503" i="250" s="1"/>
  <c r="B503" i="250"/>
  <c r="H502" i="250"/>
  <c r="H508" i="250" s="1"/>
  <c r="B502" i="250"/>
  <c r="H501" i="250"/>
  <c r="H507" i="250" s="1"/>
  <c r="I507" i="250" s="1"/>
  <c r="B501" i="250"/>
  <c r="H500" i="250"/>
  <c r="H506" i="250" s="1"/>
  <c r="B500" i="250"/>
  <c r="H499" i="250"/>
  <c r="H505" i="250" s="1"/>
  <c r="B499" i="250"/>
  <c r="H498" i="250"/>
  <c r="I498" i="250" s="1"/>
  <c r="B498" i="250"/>
  <c r="J497" i="250"/>
  <c r="I497" i="250"/>
  <c r="B497" i="250"/>
  <c r="J496" i="250"/>
  <c r="I496" i="250"/>
  <c r="B496" i="250"/>
  <c r="J495" i="250"/>
  <c r="I495" i="250"/>
  <c r="B495" i="250"/>
  <c r="J494" i="250"/>
  <c r="I494" i="250"/>
  <c r="B494" i="250"/>
  <c r="J493" i="250"/>
  <c r="I493" i="250"/>
  <c r="B493" i="250"/>
  <c r="J492" i="250"/>
  <c r="I492" i="250"/>
  <c r="B492" i="250"/>
  <c r="L491" i="250"/>
  <c r="K491" i="250"/>
  <c r="B489" i="250"/>
  <c r="B488" i="250"/>
  <c r="B487" i="250"/>
  <c r="H486" i="250"/>
  <c r="H489" i="250" s="1"/>
  <c r="I489" i="250" s="1"/>
  <c r="B486" i="250"/>
  <c r="H485" i="250"/>
  <c r="H488" i="250" s="1"/>
  <c r="B485" i="250"/>
  <c r="O484" i="250"/>
  <c r="O487" i="250" s="1"/>
  <c r="H484" i="250"/>
  <c r="H487" i="250" s="1"/>
  <c r="B484" i="250"/>
  <c r="J483" i="250"/>
  <c r="I483" i="250"/>
  <c r="B483" i="250"/>
  <c r="O482" i="250"/>
  <c r="O485" i="250" s="1"/>
  <c r="O488" i="250" s="1"/>
  <c r="J482" i="250"/>
  <c r="I482" i="250"/>
  <c r="B482" i="250"/>
  <c r="J481" i="250"/>
  <c r="I481" i="250"/>
  <c r="B481" i="250"/>
  <c r="L480" i="250"/>
  <c r="K480" i="250"/>
  <c r="B478" i="250"/>
  <c r="B477" i="250"/>
  <c r="B476" i="250"/>
  <c r="H475" i="250"/>
  <c r="J475" i="250" s="1"/>
  <c r="B475" i="250"/>
  <c r="H474" i="250"/>
  <c r="I474" i="250" s="1"/>
  <c r="B474" i="250"/>
  <c r="O473" i="250"/>
  <c r="O476" i="250" s="1"/>
  <c r="H473" i="250"/>
  <c r="H476" i="250" s="1"/>
  <c r="B473" i="250"/>
  <c r="J472" i="250"/>
  <c r="I472" i="250"/>
  <c r="B472" i="250"/>
  <c r="O471" i="250"/>
  <c r="O472" i="250" s="1"/>
  <c r="O475" i="250" s="1"/>
  <c r="O478" i="250" s="1"/>
  <c r="J471" i="250"/>
  <c r="I471" i="250"/>
  <c r="B471" i="250"/>
  <c r="J470" i="250"/>
  <c r="I470" i="250"/>
  <c r="B470" i="250"/>
  <c r="L469" i="250"/>
  <c r="K469" i="250"/>
  <c r="O467" i="250"/>
  <c r="B467" i="250"/>
  <c r="O466" i="250"/>
  <c r="B466" i="250"/>
  <c r="O465" i="250"/>
  <c r="B465" i="250"/>
  <c r="O464" i="250"/>
  <c r="B464" i="250"/>
  <c r="O463" i="250"/>
  <c r="B463" i="250"/>
  <c r="O462" i="250"/>
  <c r="B462" i="250"/>
  <c r="B461" i="250"/>
  <c r="H460" i="250"/>
  <c r="J460" i="250" s="1"/>
  <c r="B460" i="250"/>
  <c r="H459" i="250"/>
  <c r="H466" i="250" s="1"/>
  <c r="J466" i="250" s="1"/>
  <c r="B459" i="250"/>
  <c r="H458" i="250"/>
  <c r="H465" i="250" s="1"/>
  <c r="B458" i="250"/>
  <c r="H457" i="250"/>
  <c r="H464" i="250" s="1"/>
  <c r="B457" i="250"/>
  <c r="H456" i="250"/>
  <c r="H463" i="250" s="1"/>
  <c r="B456" i="250"/>
  <c r="H455" i="250"/>
  <c r="J455" i="250" s="1"/>
  <c r="B455" i="250"/>
  <c r="O454" i="250"/>
  <c r="O461" i="250" s="1"/>
  <c r="H454" i="250"/>
  <c r="J454" i="250" s="1"/>
  <c r="B454" i="250"/>
  <c r="J453" i="250"/>
  <c r="I453" i="250"/>
  <c r="B453" i="250"/>
  <c r="J452" i="250"/>
  <c r="I452" i="250"/>
  <c r="B452" i="250"/>
  <c r="J451" i="250"/>
  <c r="I451" i="250"/>
  <c r="B451" i="250"/>
  <c r="J450" i="250"/>
  <c r="I450" i="250"/>
  <c r="B450" i="250"/>
  <c r="J449" i="250"/>
  <c r="I449" i="250"/>
  <c r="B449" i="250"/>
  <c r="J448" i="250"/>
  <c r="I448" i="250"/>
  <c r="B448" i="250"/>
  <c r="J447" i="250"/>
  <c r="I447" i="250"/>
  <c r="B447" i="250"/>
  <c r="L446" i="250"/>
  <c r="K446" i="250"/>
  <c r="O444" i="250"/>
  <c r="B444" i="250"/>
  <c r="O443" i="250"/>
  <c r="B443" i="250"/>
  <c r="O442" i="250"/>
  <c r="B442" i="250"/>
  <c r="O441" i="250"/>
  <c r="B441" i="250"/>
  <c r="O440" i="250"/>
  <c r="B440" i="250"/>
  <c r="O439" i="250"/>
  <c r="B439" i="250"/>
  <c r="O438" i="250"/>
  <c r="B438" i="250"/>
  <c r="H437" i="250"/>
  <c r="H444" i="250" s="1"/>
  <c r="B437" i="250"/>
  <c r="H436" i="250"/>
  <c r="H443" i="250" s="1"/>
  <c r="B436" i="250"/>
  <c r="H435" i="250"/>
  <c r="H442" i="250" s="1"/>
  <c r="B435" i="250"/>
  <c r="H434" i="250"/>
  <c r="J434" i="250" s="1"/>
  <c r="B434" i="250"/>
  <c r="H433" i="250"/>
  <c r="H440" i="250" s="1"/>
  <c r="B433" i="250"/>
  <c r="H432" i="250"/>
  <c r="J432" i="250" s="1"/>
  <c r="B432" i="250"/>
  <c r="H431" i="250"/>
  <c r="H438" i="250" s="1"/>
  <c r="J438" i="250" s="1"/>
  <c r="B431" i="250"/>
  <c r="J430" i="250"/>
  <c r="I430" i="250"/>
  <c r="B430" i="250"/>
  <c r="J429" i="250"/>
  <c r="I429" i="250"/>
  <c r="B429" i="250"/>
  <c r="J428" i="250"/>
  <c r="I428" i="250"/>
  <c r="B428" i="250"/>
  <c r="J427" i="250"/>
  <c r="I427" i="250"/>
  <c r="B427" i="250"/>
  <c r="J426" i="250"/>
  <c r="I426" i="250"/>
  <c r="B426" i="250"/>
  <c r="J425" i="250"/>
  <c r="I425" i="250"/>
  <c r="B425" i="250"/>
  <c r="J424" i="250"/>
  <c r="I424" i="250"/>
  <c r="B424" i="250"/>
  <c r="L423" i="250"/>
  <c r="K423" i="250"/>
  <c r="A940" i="250"/>
  <c r="J939" i="250"/>
  <c r="I939" i="250"/>
  <c r="B939" i="250"/>
  <c r="J938" i="250"/>
  <c r="I938" i="250"/>
  <c r="B938" i="250"/>
  <c r="J937" i="250"/>
  <c r="I937" i="250"/>
  <c r="B937" i="250"/>
  <c r="J936" i="250"/>
  <c r="I936" i="250"/>
  <c r="B936" i="250"/>
  <c r="J935" i="250"/>
  <c r="I935" i="250"/>
  <c r="B935" i="250"/>
  <c r="J934" i="250"/>
  <c r="I934" i="250"/>
  <c r="B934" i="250"/>
  <c r="J933" i="250"/>
  <c r="I933" i="250"/>
  <c r="B933" i="250"/>
  <c r="J932" i="250"/>
  <c r="I932" i="250"/>
  <c r="B932" i="250"/>
  <c r="J931" i="250"/>
  <c r="I931" i="250"/>
  <c r="B931" i="250"/>
  <c r="J930" i="250"/>
  <c r="I930" i="250"/>
  <c r="B930" i="250"/>
  <c r="L929" i="250"/>
  <c r="K929" i="250"/>
  <c r="J927" i="250"/>
  <c r="I927" i="250"/>
  <c r="B927" i="250"/>
  <c r="J926" i="250"/>
  <c r="I926" i="250"/>
  <c r="B926" i="250"/>
  <c r="J925" i="250"/>
  <c r="I925" i="250"/>
  <c r="B925" i="250"/>
  <c r="J924" i="250"/>
  <c r="I924" i="250"/>
  <c r="B924" i="250"/>
  <c r="J923" i="250"/>
  <c r="I923" i="250"/>
  <c r="B923" i="250"/>
  <c r="J922" i="250"/>
  <c r="I922" i="250"/>
  <c r="B922" i="250"/>
  <c r="O921" i="250"/>
  <c r="J921" i="250"/>
  <c r="I921" i="250"/>
  <c r="B921" i="250"/>
  <c r="O920" i="250"/>
  <c r="O922" i="250" s="1"/>
  <c r="J920" i="250"/>
  <c r="I920" i="250"/>
  <c r="B920" i="250"/>
  <c r="J919" i="250"/>
  <c r="I919" i="250"/>
  <c r="B919" i="250"/>
  <c r="J918" i="250"/>
  <c r="I918" i="250"/>
  <c r="B918" i="250"/>
  <c r="J917" i="250"/>
  <c r="I917" i="250"/>
  <c r="B917" i="250"/>
  <c r="O916" i="250"/>
  <c r="J916" i="250"/>
  <c r="I916" i="250"/>
  <c r="B916" i="250"/>
  <c r="O915" i="250"/>
  <c r="O917" i="250" s="1"/>
  <c r="J915" i="250"/>
  <c r="I915" i="250"/>
  <c r="B915" i="250"/>
  <c r="O914" i="250"/>
  <c r="J914" i="250"/>
  <c r="I914" i="250"/>
  <c r="B914" i="250"/>
  <c r="J913" i="250"/>
  <c r="I913" i="250"/>
  <c r="B913" i="250"/>
  <c r="J912" i="250"/>
  <c r="I912" i="250"/>
  <c r="B912" i="250"/>
  <c r="J911" i="250"/>
  <c r="I911" i="250"/>
  <c r="B911" i="250"/>
  <c r="J910" i="250"/>
  <c r="I910" i="250"/>
  <c r="B910" i="250"/>
  <c r="J909" i="250"/>
  <c r="I909" i="250"/>
  <c r="B909" i="250"/>
  <c r="O908" i="250"/>
  <c r="J908" i="250"/>
  <c r="I908" i="250"/>
  <c r="B908" i="250"/>
  <c r="O907" i="250"/>
  <c r="O909" i="250" s="1"/>
  <c r="J907" i="250"/>
  <c r="I907" i="250"/>
  <c r="B907" i="250"/>
  <c r="O906" i="250"/>
  <c r="O910" i="250" s="1"/>
  <c r="J906" i="250"/>
  <c r="I906" i="250"/>
  <c r="B906" i="250"/>
  <c r="J905" i="250"/>
  <c r="I905" i="250"/>
  <c r="B905" i="250"/>
  <c r="J904" i="250"/>
  <c r="I904" i="250"/>
  <c r="B904" i="250"/>
  <c r="J903" i="250"/>
  <c r="I903" i="250"/>
  <c r="B903" i="250"/>
  <c r="J902" i="250"/>
  <c r="I902" i="250"/>
  <c r="B902" i="250"/>
  <c r="J901" i="250"/>
  <c r="I901" i="250"/>
  <c r="B901" i="250"/>
  <c r="O900" i="250"/>
  <c r="J900" i="250"/>
  <c r="I900" i="250"/>
  <c r="B900" i="250"/>
  <c r="O899" i="250"/>
  <c r="O901" i="250" s="1"/>
  <c r="J899" i="250"/>
  <c r="I899" i="250"/>
  <c r="B899" i="250"/>
  <c r="O898" i="250"/>
  <c r="O902" i="250" s="1"/>
  <c r="J898" i="250"/>
  <c r="I898" i="250"/>
  <c r="B898" i="250"/>
  <c r="J897" i="250"/>
  <c r="I897" i="250"/>
  <c r="B897" i="250"/>
  <c r="J896" i="250"/>
  <c r="I896" i="250"/>
  <c r="B896" i="250"/>
  <c r="J895" i="250"/>
  <c r="I895" i="250"/>
  <c r="B895" i="250"/>
  <c r="J894" i="250"/>
  <c r="I894" i="250"/>
  <c r="B894" i="250"/>
  <c r="J893" i="250"/>
  <c r="I893" i="250"/>
  <c r="B893" i="250"/>
  <c r="O892" i="250"/>
  <c r="J892" i="250"/>
  <c r="I892" i="250"/>
  <c r="B892" i="250"/>
  <c r="O891" i="250"/>
  <c r="O893" i="250" s="1"/>
  <c r="J891" i="250"/>
  <c r="I891" i="250"/>
  <c r="B891" i="250"/>
  <c r="O890" i="250"/>
  <c r="J890" i="250"/>
  <c r="I890" i="250"/>
  <c r="B890" i="250"/>
  <c r="J889" i="250"/>
  <c r="I889" i="250"/>
  <c r="B889" i="250"/>
  <c r="J888" i="250"/>
  <c r="I888" i="250"/>
  <c r="B888" i="250"/>
  <c r="J887" i="250"/>
  <c r="I887" i="250"/>
  <c r="B887" i="250"/>
  <c r="J886" i="250"/>
  <c r="I886" i="250"/>
  <c r="B886" i="250"/>
  <c r="J885" i="250"/>
  <c r="I885" i="250"/>
  <c r="B885" i="250"/>
  <c r="O884" i="250"/>
  <c r="J884" i="250"/>
  <c r="I884" i="250"/>
  <c r="B884" i="250"/>
  <c r="O883" i="250"/>
  <c r="O885" i="250" s="1"/>
  <c r="J883" i="250"/>
  <c r="I883" i="250"/>
  <c r="B883" i="250"/>
  <c r="O882" i="250"/>
  <c r="J882" i="250"/>
  <c r="I882" i="250"/>
  <c r="B882" i="250"/>
  <c r="J881" i="250"/>
  <c r="I881" i="250"/>
  <c r="B881" i="250"/>
  <c r="J880" i="250"/>
  <c r="I880" i="250"/>
  <c r="B880" i="250"/>
  <c r="J879" i="250"/>
  <c r="I879" i="250"/>
  <c r="B879" i="250"/>
  <c r="J878" i="250"/>
  <c r="I878" i="250"/>
  <c r="B878" i="250"/>
  <c r="J877" i="250"/>
  <c r="I877" i="250"/>
  <c r="B877" i="250"/>
  <c r="O876" i="250"/>
  <c r="J876" i="250"/>
  <c r="I876" i="250"/>
  <c r="B876" i="250"/>
  <c r="O875" i="250"/>
  <c r="O877" i="250" s="1"/>
  <c r="J875" i="250"/>
  <c r="I875" i="250"/>
  <c r="B875" i="250"/>
  <c r="O874" i="250"/>
  <c r="J874" i="250"/>
  <c r="I874" i="250"/>
  <c r="B874" i="250"/>
  <c r="J873" i="250"/>
  <c r="I873" i="250"/>
  <c r="B873" i="250"/>
  <c r="J872" i="250"/>
  <c r="I872" i="250"/>
  <c r="B872" i="250"/>
  <c r="J871" i="250"/>
  <c r="I871" i="250"/>
  <c r="B871" i="250"/>
  <c r="J870" i="250"/>
  <c r="I870" i="250"/>
  <c r="B870" i="250"/>
  <c r="J869" i="250"/>
  <c r="I869" i="250"/>
  <c r="B869" i="250"/>
  <c r="O868" i="250"/>
  <c r="J868" i="250"/>
  <c r="I868" i="250"/>
  <c r="B868" i="250"/>
  <c r="O867" i="250"/>
  <c r="O869" i="250" s="1"/>
  <c r="J867" i="250"/>
  <c r="I867" i="250"/>
  <c r="B867" i="250"/>
  <c r="O866" i="250"/>
  <c r="O870" i="250" s="1"/>
  <c r="J866" i="250"/>
  <c r="I866" i="250"/>
  <c r="B866" i="250"/>
  <c r="J865" i="250"/>
  <c r="I865" i="250"/>
  <c r="B865" i="250"/>
  <c r="J864" i="250"/>
  <c r="I864" i="250"/>
  <c r="B864" i="250"/>
  <c r="L863" i="250"/>
  <c r="K863" i="250"/>
  <c r="O861" i="250"/>
  <c r="J861" i="250"/>
  <c r="I861" i="250"/>
  <c r="B861" i="250"/>
  <c r="J860" i="250"/>
  <c r="I860" i="250"/>
  <c r="B860" i="250"/>
  <c r="O859" i="250"/>
  <c r="J859" i="250"/>
  <c r="I859" i="250"/>
  <c r="B859" i="250"/>
  <c r="O858" i="250"/>
  <c r="J858" i="250"/>
  <c r="I858" i="250"/>
  <c r="B858" i="250"/>
  <c r="O857" i="250"/>
  <c r="J857" i="250"/>
  <c r="I857" i="250"/>
  <c r="B857" i="250"/>
  <c r="O856" i="250"/>
  <c r="J856" i="250"/>
  <c r="I856" i="250"/>
  <c r="B856" i="250"/>
  <c r="O855" i="250"/>
  <c r="J855" i="250"/>
  <c r="I855" i="250"/>
  <c r="B855" i="250"/>
  <c r="O854" i="250"/>
  <c r="J854" i="250"/>
  <c r="I854" i="250"/>
  <c r="B854" i="250"/>
  <c r="O853" i="250"/>
  <c r="O860" i="250" s="1"/>
  <c r="J853" i="250"/>
  <c r="I853" i="250"/>
  <c r="B853" i="250"/>
  <c r="O852" i="250"/>
  <c r="J852" i="250"/>
  <c r="I852" i="250"/>
  <c r="B852" i="250"/>
  <c r="O851" i="250"/>
  <c r="J851" i="250"/>
  <c r="I851" i="250"/>
  <c r="B851" i="250"/>
  <c r="O850" i="250"/>
  <c r="J850" i="250"/>
  <c r="I850" i="250"/>
  <c r="B850" i="250"/>
  <c r="O849" i="250"/>
  <c r="J849" i="250"/>
  <c r="I849" i="250"/>
  <c r="B849" i="250"/>
  <c r="O848" i="250"/>
  <c r="J848" i="250"/>
  <c r="I848" i="250"/>
  <c r="B848" i="250"/>
  <c r="O847" i="250"/>
  <c r="J847" i="250"/>
  <c r="I847" i="250"/>
  <c r="B847" i="250"/>
  <c r="O846" i="250"/>
  <c r="J846" i="250"/>
  <c r="I846" i="250"/>
  <c r="B846" i="250"/>
  <c r="J845" i="250"/>
  <c r="I845" i="250"/>
  <c r="B845" i="250"/>
  <c r="J844" i="250"/>
  <c r="I844" i="250"/>
  <c r="B844" i="250"/>
  <c r="J843" i="250"/>
  <c r="I843" i="250"/>
  <c r="B843" i="250"/>
  <c r="J842" i="250"/>
  <c r="I842" i="250"/>
  <c r="B842" i="250"/>
  <c r="J841" i="250"/>
  <c r="I841" i="250"/>
  <c r="B841" i="250"/>
  <c r="J840" i="250"/>
  <c r="I840" i="250"/>
  <c r="B840" i="250"/>
  <c r="J839" i="250"/>
  <c r="I839" i="250"/>
  <c r="B839" i="250"/>
  <c r="J838" i="250"/>
  <c r="I838" i="250"/>
  <c r="B838" i="250"/>
  <c r="J837" i="250"/>
  <c r="I837" i="250"/>
  <c r="B837" i="250"/>
  <c r="J836" i="250"/>
  <c r="I836" i="250"/>
  <c r="B836" i="250"/>
  <c r="J835" i="250"/>
  <c r="I835" i="250"/>
  <c r="B835" i="250"/>
  <c r="J834" i="250"/>
  <c r="I834" i="250"/>
  <c r="B834" i="250"/>
  <c r="J833" i="250"/>
  <c r="I833" i="250"/>
  <c r="B833" i="250"/>
  <c r="J832" i="250"/>
  <c r="I832" i="250"/>
  <c r="B832" i="250"/>
  <c r="J831" i="250"/>
  <c r="I831" i="250"/>
  <c r="B831" i="250"/>
  <c r="J830" i="250"/>
  <c r="I830" i="250"/>
  <c r="B830" i="250"/>
  <c r="J829" i="250"/>
  <c r="I829" i="250"/>
  <c r="B829" i="250"/>
  <c r="J828" i="250"/>
  <c r="I828" i="250"/>
  <c r="B828" i="250"/>
  <c r="J827" i="250"/>
  <c r="I827" i="250"/>
  <c r="B827" i="250"/>
  <c r="J826" i="250"/>
  <c r="I826" i="250"/>
  <c r="B826" i="250"/>
  <c r="J825" i="250"/>
  <c r="I825" i="250"/>
  <c r="B825" i="250"/>
  <c r="J824" i="250"/>
  <c r="I824" i="250"/>
  <c r="B824" i="250"/>
  <c r="J823" i="250"/>
  <c r="I823" i="250"/>
  <c r="B823" i="250"/>
  <c r="J822" i="250"/>
  <c r="I822" i="250"/>
  <c r="B822" i="250"/>
  <c r="J821" i="250"/>
  <c r="I821" i="250"/>
  <c r="B821" i="250"/>
  <c r="J820" i="250"/>
  <c r="I820" i="250"/>
  <c r="B820" i="250"/>
  <c r="J819" i="250"/>
  <c r="I819" i="250"/>
  <c r="B819" i="250"/>
  <c r="J818" i="250"/>
  <c r="I818" i="250"/>
  <c r="B818" i="250"/>
  <c r="J817" i="250"/>
  <c r="I817" i="250"/>
  <c r="B817" i="250"/>
  <c r="J816" i="250"/>
  <c r="I816" i="250"/>
  <c r="B816" i="250"/>
  <c r="J815" i="250"/>
  <c r="I815" i="250"/>
  <c r="B815" i="250"/>
  <c r="J814" i="250"/>
  <c r="I814" i="250"/>
  <c r="B814" i="250"/>
  <c r="J813" i="250"/>
  <c r="I813" i="250"/>
  <c r="B813" i="250"/>
  <c r="J812" i="250"/>
  <c r="I812" i="250"/>
  <c r="B812" i="250"/>
  <c r="J811" i="250"/>
  <c r="I811" i="250"/>
  <c r="B811" i="250"/>
  <c r="J810" i="250"/>
  <c r="I810" i="250"/>
  <c r="B810" i="250"/>
  <c r="J809" i="250"/>
  <c r="I809" i="250"/>
  <c r="B809" i="250"/>
  <c r="J808" i="250"/>
  <c r="I808" i="250"/>
  <c r="B808" i="250"/>
  <c r="J807" i="250"/>
  <c r="I807" i="250"/>
  <c r="B807" i="250"/>
  <c r="J806" i="250"/>
  <c r="I806" i="250"/>
  <c r="B806" i="250"/>
  <c r="J805" i="250"/>
  <c r="I805" i="250"/>
  <c r="B805" i="250"/>
  <c r="J804" i="250"/>
  <c r="I804" i="250"/>
  <c r="B804" i="250"/>
  <c r="J803" i="250"/>
  <c r="I803" i="250"/>
  <c r="B803" i="250"/>
  <c r="J802" i="250"/>
  <c r="I802" i="250"/>
  <c r="B802" i="250"/>
  <c r="J801" i="250"/>
  <c r="I801" i="250"/>
  <c r="B801" i="250"/>
  <c r="J800" i="250"/>
  <c r="I800" i="250"/>
  <c r="B800" i="250"/>
  <c r="J799" i="250"/>
  <c r="I799" i="250"/>
  <c r="B799" i="250"/>
  <c r="J798" i="250"/>
  <c r="I798" i="250"/>
  <c r="B798" i="250"/>
  <c r="L797" i="250"/>
  <c r="K797" i="250"/>
  <c r="J795" i="250"/>
  <c r="I795" i="250"/>
  <c r="B795" i="250"/>
  <c r="J794" i="250"/>
  <c r="I794" i="250"/>
  <c r="B794" i="250"/>
  <c r="O793" i="250"/>
  <c r="J793" i="250"/>
  <c r="I793" i="250"/>
  <c r="B793" i="250"/>
  <c r="O792" i="250"/>
  <c r="J792" i="250"/>
  <c r="I792" i="250"/>
  <c r="B792" i="250"/>
  <c r="O791" i="250"/>
  <c r="J791" i="250"/>
  <c r="I791" i="250"/>
  <c r="B791" i="250"/>
  <c r="O790" i="250"/>
  <c r="J790" i="250"/>
  <c r="I790" i="250"/>
  <c r="B790" i="250"/>
  <c r="O789" i="250"/>
  <c r="J789" i="250"/>
  <c r="I789" i="250"/>
  <c r="B789" i="250"/>
  <c r="O788" i="250"/>
  <c r="J788" i="250"/>
  <c r="I788" i="250"/>
  <c r="B788" i="250"/>
  <c r="O787" i="250"/>
  <c r="J787" i="250"/>
  <c r="I787" i="250"/>
  <c r="B787" i="250"/>
  <c r="J786" i="250"/>
  <c r="I786" i="250"/>
  <c r="B786" i="250"/>
  <c r="J785" i="250"/>
  <c r="I785" i="250"/>
  <c r="B785" i="250"/>
  <c r="J784" i="250"/>
  <c r="I784" i="250"/>
  <c r="B784" i="250"/>
  <c r="J783" i="250"/>
  <c r="I783" i="250"/>
  <c r="B783" i="250"/>
  <c r="J782" i="250"/>
  <c r="I782" i="250"/>
  <c r="B782" i="250"/>
  <c r="O781" i="250"/>
  <c r="J781" i="250"/>
  <c r="I781" i="250"/>
  <c r="B781" i="250"/>
  <c r="O780" i="250"/>
  <c r="J780" i="250"/>
  <c r="I780" i="250"/>
  <c r="B780" i="250"/>
  <c r="J779" i="250"/>
  <c r="I779" i="250"/>
  <c r="B779" i="250"/>
  <c r="J778" i="250"/>
  <c r="I778" i="250"/>
  <c r="B778" i="250"/>
  <c r="J777" i="250"/>
  <c r="I777" i="250"/>
  <c r="B777" i="250"/>
  <c r="J776" i="250"/>
  <c r="I776" i="250"/>
  <c r="B776" i="250"/>
  <c r="J775" i="250"/>
  <c r="I775" i="250"/>
  <c r="B775" i="250"/>
  <c r="O774" i="250"/>
  <c r="O795" i="250" s="1"/>
  <c r="J774" i="250"/>
  <c r="I774" i="250"/>
  <c r="B774" i="250"/>
  <c r="O773" i="250"/>
  <c r="O794" i="250" s="1"/>
  <c r="J773" i="250"/>
  <c r="I773" i="250"/>
  <c r="B773" i="250"/>
  <c r="J772" i="250"/>
  <c r="I772" i="250"/>
  <c r="B772" i="250"/>
  <c r="J771" i="250"/>
  <c r="I771" i="250"/>
  <c r="B771" i="250"/>
  <c r="J770" i="250"/>
  <c r="I770" i="250"/>
  <c r="B770" i="250"/>
  <c r="J769" i="250"/>
  <c r="I769" i="250"/>
  <c r="B769" i="250"/>
  <c r="J768" i="250"/>
  <c r="I768" i="250"/>
  <c r="B768" i="250"/>
  <c r="L767" i="250"/>
  <c r="K767" i="250"/>
  <c r="O765" i="250"/>
  <c r="J765" i="250"/>
  <c r="I765" i="250"/>
  <c r="B765" i="250"/>
  <c r="J764" i="250"/>
  <c r="I764" i="250"/>
  <c r="B764" i="250"/>
  <c r="O763" i="250"/>
  <c r="J763" i="250"/>
  <c r="I763" i="250"/>
  <c r="B763" i="250"/>
  <c r="O762" i="250"/>
  <c r="J762" i="250"/>
  <c r="I762" i="250"/>
  <c r="B762" i="250"/>
  <c r="O761" i="250"/>
  <c r="J761" i="250"/>
  <c r="I761" i="250"/>
  <c r="B761" i="250"/>
  <c r="O760" i="250"/>
  <c r="J760" i="250"/>
  <c r="I760" i="250"/>
  <c r="B760" i="250"/>
  <c r="O759" i="250"/>
  <c r="J759" i="250"/>
  <c r="I759" i="250"/>
  <c r="B759" i="250"/>
  <c r="O758" i="250"/>
  <c r="J758" i="250"/>
  <c r="I758" i="250"/>
  <c r="B758" i="250"/>
  <c r="O757" i="250"/>
  <c r="O764" i="250" s="1"/>
  <c r="J757" i="250"/>
  <c r="I757" i="250"/>
  <c r="B757" i="250"/>
  <c r="O756" i="250"/>
  <c r="J756" i="250"/>
  <c r="I756" i="250"/>
  <c r="B756" i="250"/>
  <c r="O755" i="250"/>
  <c r="J755" i="250"/>
  <c r="I755" i="250"/>
  <c r="B755" i="250"/>
  <c r="O754" i="250"/>
  <c r="J754" i="250"/>
  <c r="I754" i="250"/>
  <c r="B754" i="250"/>
  <c r="O753" i="250"/>
  <c r="J753" i="250"/>
  <c r="I753" i="250"/>
  <c r="B753" i="250"/>
  <c r="O752" i="250"/>
  <c r="J752" i="250"/>
  <c r="I752" i="250"/>
  <c r="B752" i="250"/>
  <c r="O751" i="250"/>
  <c r="J751" i="250"/>
  <c r="I751" i="250"/>
  <c r="B751" i="250"/>
  <c r="O750" i="250"/>
  <c r="J750" i="250"/>
  <c r="I750" i="250"/>
  <c r="B750" i="250"/>
  <c r="J749" i="250"/>
  <c r="I749" i="250"/>
  <c r="B749" i="250"/>
  <c r="J748" i="250"/>
  <c r="I748" i="250"/>
  <c r="B748" i="250"/>
  <c r="J747" i="250"/>
  <c r="I747" i="250"/>
  <c r="B747" i="250"/>
  <c r="J746" i="250"/>
  <c r="I746" i="250"/>
  <c r="B746" i="250"/>
  <c r="J745" i="250"/>
  <c r="I745" i="250"/>
  <c r="B745" i="250"/>
  <c r="J744" i="250"/>
  <c r="I744" i="250"/>
  <c r="B744" i="250"/>
  <c r="J743" i="250"/>
  <c r="I743" i="250"/>
  <c r="B743" i="250"/>
  <c r="J742" i="250"/>
  <c r="I742" i="250"/>
  <c r="B742" i="250"/>
  <c r="J741" i="250"/>
  <c r="I741" i="250"/>
  <c r="B741" i="250"/>
  <c r="J740" i="250"/>
  <c r="I740" i="250"/>
  <c r="B740" i="250"/>
  <c r="J739" i="250"/>
  <c r="I739" i="250"/>
  <c r="B739" i="250"/>
  <c r="J738" i="250"/>
  <c r="I738" i="250"/>
  <c r="B738" i="250"/>
  <c r="J737" i="250"/>
  <c r="I737" i="250"/>
  <c r="B737" i="250"/>
  <c r="J736" i="250"/>
  <c r="I736" i="250"/>
  <c r="B736" i="250"/>
  <c r="J735" i="250"/>
  <c r="I735" i="250"/>
  <c r="B735" i="250"/>
  <c r="J734" i="250"/>
  <c r="I734" i="250"/>
  <c r="B734" i="250"/>
  <c r="J733" i="250"/>
  <c r="I733" i="250"/>
  <c r="B733" i="250"/>
  <c r="J732" i="250"/>
  <c r="I732" i="250"/>
  <c r="B732" i="250"/>
  <c r="J731" i="250"/>
  <c r="I731" i="250"/>
  <c r="B731" i="250"/>
  <c r="J730" i="250"/>
  <c r="I730" i="250"/>
  <c r="B730" i="250"/>
  <c r="J729" i="250"/>
  <c r="I729" i="250"/>
  <c r="B729" i="250"/>
  <c r="J728" i="250"/>
  <c r="I728" i="250"/>
  <c r="B728" i="250"/>
  <c r="J727" i="250"/>
  <c r="I727" i="250"/>
  <c r="B727" i="250"/>
  <c r="J726" i="250"/>
  <c r="I726" i="250"/>
  <c r="B726" i="250"/>
  <c r="J725" i="250"/>
  <c r="I725" i="250"/>
  <c r="B725" i="250"/>
  <c r="J724" i="250"/>
  <c r="I724" i="250"/>
  <c r="B724" i="250"/>
  <c r="J723" i="250"/>
  <c r="I723" i="250"/>
  <c r="B723" i="250"/>
  <c r="J722" i="250"/>
  <c r="I722" i="250"/>
  <c r="B722" i="250"/>
  <c r="J721" i="250"/>
  <c r="I721" i="250"/>
  <c r="B721" i="250"/>
  <c r="J720" i="250"/>
  <c r="I720" i="250"/>
  <c r="B720" i="250"/>
  <c r="J719" i="250"/>
  <c r="I719" i="250"/>
  <c r="B719" i="250"/>
  <c r="J718" i="250"/>
  <c r="I718" i="250"/>
  <c r="B718" i="250"/>
  <c r="J717" i="250"/>
  <c r="I717" i="250"/>
  <c r="B717" i="250"/>
  <c r="J716" i="250"/>
  <c r="I716" i="250"/>
  <c r="B716" i="250"/>
  <c r="J715" i="250"/>
  <c r="I715" i="250"/>
  <c r="B715" i="250"/>
  <c r="J714" i="250"/>
  <c r="I714" i="250"/>
  <c r="B714" i="250"/>
  <c r="J713" i="250"/>
  <c r="I713" i="250"/>
  <c r="B713" i="250"/>
  <c r="J712" i="250"/>
  <c r="I712" i="250"/>
  <c r="B712" i="250"/>
  <c r="J711" i="250"/>
  <c r="I711" i="250"/>
  <c r="B711" i="250"/>
  <c r="J710" i="250"/>
  <c r="I710" i="250"/>
  <c r="B710" i="250"/>
  <c r="J709" i="250"/>
  <c r="I709" i="250"/>
  <c r="B709" i="250"/>
  <c r="J708" i="250"/>
  <c r="I708" i="250"/>
  <c r="B708" i="250"/>
  <c r="J707" i="250"/>
  <c r="I707" i="250"/>
  <c r="B707" i="250"/>
  <c r="J706" i="250"/>
  <c r="I706" i="250"/>
  <c r="B706" i="250"/>
  <c r="J705" i="250"/>
  <c r="I705" i="250"/>
  <c r="B705" i="250"/>
  <c r="J704" i="250"/>
  <c r="I704" i="250"/>
  <c r="B704" i="250"/>
  <c r="J703" i="250"/>
  <c r="I703" i="250"/>
  <c r="B703" i="250"/>
  <c r="J702" i="250"/>
  <c r="I702" i="250"/>
  <c r="B702" i="250"/>
  <c r="L701" i="250"/>
  <c r="K701" i="250"/>
  <c r="O699" i="250"/>
  <c r="J699" i="250"/>
  <c r="I699" i="250"/>
  <c r="B699" i="250"/>
  <c r="J698" i="250"/>
  <c r="I698" i="250"/>
  <c r="B698" i="250"/>
  <c r="O697" i="250"/>
  <c r="J697" i="250"/>
  <c r="I697" i="250"/>
  <c r="B697" i="250"/>
  <c r="O696" i="250"/>
  <c r="J696" i="250"/>
  <c r="I696" i="250"/>
  <c r="B696" i="250"/>
  <c r="O695" i="250"/>
  <c r="J695" i="250"/>
  <c r="I695" i="250"/>
  <c r="B695" i="250"/>
  <c r="O694" i="250"/>
  <c r="J694" i="250"/>
  <c r="I694" i="250"/>
  <c r="B694" i="250"/>
  <c r="O693" i="250"/>
  <c r="J693" i="250"/>
  <c r="I693" i="250"/>
  <c r="B693" i="250"/>
  <c r="O692" i="250"/>
  <c r="J692" i="250"/>
  <c r="I692" i="250"/>
  <c r="B692" i="250"/>
  <c r="O691" i="250"/>
  <c r="O698" i="250" s="1"/>
  <c r="J691" i="250"/>
  <c r="I691" i="250"/>
  <c r="B691" i="250"/>
  <c r="O690" i="250"/>
  <c r="J690" i="250"/>
  <c r="I690" i="250"/>
  <c r="B690" i="250"/>
  <c r="O689" i="250"/>
  <c r="J689" i="250"/>
  <c r="I689" i="250"/>
  <c r="B689" i="250"/>
  <c r="O688" i="250"/>
  <c r="J688" i="250"/>
  <c r="I688" i="250"/>
  <c r="B688" i="250"/>
  <c r="O687" i="250"/>
  <c r="J687" i="250"/>
  <c r="I687" i="250"/>
  <c r="B687" i="250"/>
  <c r="O686" i="250"/>
  <c r="J686" i="250"/>
  <c r="I686" i="250"/>
  <c r="B686" i="250"/>
  <c r="O685" i="250"/>
  <c r="J685" i="250"/>
  <c r="I685" i="250"/>
  <c r="B685" i="250"/>
  <c r="O684" i="250"/>
  <c r="J684" i="250"/>
  <c r="I684" i="250"/>
  <c r="B684" i="250"/>
  <c r="J683" i="250"/>
  <c r="I683" i="250"/>
  <c r="B683" i="250"/>
  <c r="J682" i="250"/>
  <c r="I682" i="250"/>
  <c r="B682" i="250"/>
  <c r="J681" i="250"/>
  <c r="I681" i="250"/>
  <c r="B681" i="250"/>
  <c r="J680" i="250"/>
  <c r="I680" i="250"/>
  <c r="B680" i="250"/>
  <c r="O679" i="250"/>
  <c r="J679" i="250"/>
  <c r="I679" i="250"/>
  <c r="B679" i="250"/>
  <c r="J678" i="250"/>
  <c r="I678" i="250"/>
  <c r="B678" i="250"/>
  <c r="J677" i="250"/>
  <c r="I677" i="250"/>
  <c r="B677" i="250"/>
  <c r="J676" i="250"/>
  <c r="I676" i="250"/>
  <c r="B676" i="250"/>
  <c r="J675" i="250"/>
  <c r="I675" i="250"/>
  <c r="B675" i="250"/>
  <c r="J674" i="250"/>
  <c r="I674" i="250"/>
  <c r="B674" i="250"/>
  <c r="J673" i="250"/>
  <c r="I673" i="250"/>
  <c r="B673" i="250"/>
  <c r="J672" i="250"/>
  <c r="I672" i="250"/>
  <c r="B672" i="250"/>
  <c r="J671" i="250"/>
  <c r="I671" i="250"/>
  <c r="B671" i="250"/>
  <c r="J670" i="250"/>
  <c r="I670" i="250"/>
  <c r="B670" i="250"/>
  <c r="J669" i="250"/>
  <c r="I669" i="250"/>
  <c r="B669" i="250"/>
  <c r="J668" i="250"/>
  <c r="I668" i="250"/>
  <c r="B668" i="250"/>
  <c r="J667" i="250"/>
  <c r="I667" i="250"/>
  <c r="B667" i="250"/>
  <c r="J666" i="250"/>
  <c r="I666" i="250"/>
  <c r="B666" i="250"/>
  <c r="J665" i="250"/>
  <c r="I665" i="250"/>
  <c r="B665" i="250"/>
  <c r="J664" i="250"/>
  <c r="I664" i="250"/>
  <c r="B664" i="250"/>
  <c r="J663" i="250"/>
  <c r="I663" i="250"/>
  <c r="B663" i="250"/>
  <c r="J662" i="250"/>
  <c r="I662" i="250"/>
  <c r="B662" i="250"/>
  <c r="J661" i="250"/>
  <c r="I661" i="250"/>
  <c r="B661" i="250"/>
  <c r="J660" i="250"/>
  <c r="I660" i="250"/>
  <c r="B660" i="250"/>
  <c r="J659" i="250"/>
  <c r="I659" i="250"/>
  <c r="B659" i="250"/>
  <c r="J658" i="250"/>
  <c r="I658" i="250"/>
  <c r="B658" i="250"/>
  <c r="J657" i="250"/>
  <c r="I657" i="250"/>
  <c r="B657" i="250"/>
  <c r="J656" i="250"/>
  <c r="I656" i="250"/>
  <c r="B656" i="250"/>
  <c r="J655" i="250"/>
  <c r="I655" i="250"/>
  <c r="B655" i="250"/>
  <c r="J654" i="250"/>
  <c r="I654" i="250"/>
  <c r="B654" i="250"/>
  <c r="J653" i="250"/>
  <c r="I653" i="250"/>
  <c r="B653" i="250"/>
  <c r="J652" i="250"/>
  <c r="I652" i="250"/>
  <c r="B652" i="250"/>
  <c r="J651" i="250"/>
  <c r="I651" i="250"/>
  <c r="B651" i="250"/>
  <c r="J650" i="250"/>
  <c r="I650" i="250"/>
  <c r="B650" i="250"/>
  <c r="J649" i="250"/>
  <c r="I649" i="250"/>
  <c r="B649" i="250"/>
  <c r="J648" i="250"/>
  <c r="I648" i="250"/>
  <c r="B648" i="250"/>
  <c r="J647" i="250"/>
  <c r="I647" i="250"/>
  <c r="B647" i="250"/>
  <c r="J646" i="250"/>
  <c r="I646" i="250"/>
  <c r="B646" i="250"/>
  <c r="J645" i="250"/>
  <c r="I645" i="250"/>
  <c r="B645" i="250"/>
  <c r="J644" i="250"/>
  <c r="I644" i="250"/>
  <c r="B644" i="250"/>
  <c r="J643" i="250"/>
  <c r="I643" i="250"/>
  <c r="B643" i="250"/>
  <c r="J642" i="250"/>
  <c r="I642" i="250"/>
  <c r="B642" i="250"/>
  <c r="J641" i="250"/>
  <c r="I641" i="250"/>
  <c r="B641" i="250"/>
  <c r="J640" i="250"/>
  <c r="I640" i="250"/>
  <c r="B640" i="250"/>
  <c r="J639" i="250"/>
  <c r="I639" i="250"/>
  <c r="B639" i="250"/>
  <c r="J638" i="250"/>
  <c r="I638" i="250"/>
  <c r="B638" i="250"/>
  <c r="J637" i="250"/>
  <c r="I637" i="250"/>
  <c r="B637" i="250"/>
  <c r="J636" i="250"/>
  <c r="I636" i="250"/>
  <c r="B636" i="250"/>
  <c r="L635" i="250"/>
  <c r="K635" i="250"/>
  <c r="O633" i="250"/>
  <c r="J633" i="250"/>
  <c r="I633" i="250"/>
  <c r="B633" i="250"/>
  <c r="J632" i="250"/>
  <c r="I632" i="250"/>
  <c r="B632" i="250"/>
  <c r="O631" i="250"/>
  <c r="J631" i="250"/>
  <c r="I631" i="250"/>
  <c r="B631" i="250"/>
  <c r="O630" i="250"/>
  <c r="J630" i="250"/>
  <c r="I630" i="250"/>
  <c r="B630" i="250"/>
  <c r="O629" i="250"/>
  <c r="J629" i="250"/>
  <c r="I629" i="250"/>
  <c r="B629" i="250"/>
  <c r="O628" i="250"/>
  <c r="J628" i="250"/>
  <c r="I628" i="250"/>
  <c r="B628" i="250"/>
  <c r="O627" i="250"/>
  <c r="J627" i="250"/>
  <c r="I627" i="250"/>
  <c r="B627" i="250"/>
  <c r="O626" i="250"/>
  <c r="J626" i="250"/>
  <c r="I626" i="250"/>
  <c r="B626" i="250"/>
  <c r="O625" i="250"/>
  <c r="O632" i="250" s="1"/>
  <c r="J625" i="250"/>
  <c r="I625" i="250"/>
  <c r="B625" i="250"/>
  <c r="O624" i="250"/>
  <c r="J624" i="250"/>
  <c r="I624" i="250"/>
  <c r="B624" i="250"/>
  <c r="O623" i="250"/>
  <c r="J623" i="250"/>
  <c r="I623" i="250"/>
  <c r="B623" i="250"/>
  <c r="O622" i="250"/>
  <c r="J622" i="250"/>
  <c r="I622" i="250"/>
  <c r="B622" i="250"/>
  <c r="O621" i="250"/>
  <c r="J621" i="250"/>
  <c r="I621" i="250"/>
  <c r="B621" i="250"/>
  <c r="O620" i="250"/>
  <c r="J620" i="250"/>
  <c r="I620" i="250"/>
  <c r="B620" i="250"/>
  <c r="O619" i="250"/>
  <c r="J619" i="250"/>
  <c r="I619" i="250"/>
  <c r="B619" i="250"/>
  <c r="O618" i="250"/>
  <c r="J618" i="250"/>
  <c r="I618" i="250"/>
  <c r="B618" i="250"/>
  <c r="J617" i="250"/>
  <c r="I617" i="250"/>
  <c r="B617" i="250"/>
  <c r="J616" i="250"/>
  <c r="I616" i="250"/>
  <c r="B616" i="250"/>
  <c r="J615" i="250"/>
  <c r="I615" i="250"/>
  <c r="B615" i="250"/>
  <c r="J614" i="250"/>
  <c r="I614" i="250"/>
  <c r="B614" i="250"/>
  <c r="J613" i="250"/>
  <c r="I613" i="250"/>
  <c r="B613" i="250"/>
  <c r="J612" i="250"/>
  <c r="I612" i="250"/>
  <c r="B612" i="250"/>
  <c r="J611" i="250"/>
  <c r="I611" i="250"/>
  <c r="B611" i="250"/>
  <c r="J610" i="250"/>
  <c r="I610" i="250"/>
  <c r="B610" i="250"/>
  <c r="J609" i="250"/>
  <c r="I609" i="250"/>
  <c r="B609" i="250"/>
  <c r="J608" i="250"/>
  <c r="I608" i="250"/>
  <c r="B608" i="250"/>
  <c r="J607" i="250"/>
  <c r="I607" i="250"/>
  <c r="B607" i="250"/>
  <c r="J606" i="250"/>
  <c r="I606" i="250"/>
  <c r="B606" i="250"/>
  <c r="J605" i="250"/>
  <c r="I605" i="250"/>
  <c r="B605" i="250"/>
  <c r="J604" i="250"/>
  <c r="I604" i="250"/>
  <c r="B604" i="250"/>
  <c r="J603" i="250"/>
  <c r="I603" i="250"/>
  <c r="B603" i="250"/>
  <c r="J602" i="250"/>
  <c r="I602" i="250"/>
  <c r="B602" i="250"/>
  <c r="J601" i="250"/>
  <c r="I601" i="250"/>
  <c r="B601" i="250"/>
  <c r="J600" i="250"/>
  <c r="I600" i="250"/>
  <c r="B600" i="250"/>
  <c r="J599" i="250"/>
  <c r="I599" i="250"/>
  <c r="B599" i="250"/>
  <c r="J598" i="250"/>
  <c r="I598" i="250"/>
  <c r="B598" i="250"/>
  <c r="J597" i="250"/>
  <c r="I597" i="250"/>
  <c r="B597" i="250"/>
  <c r="J596" i="250"/>
  <c r="I596" i="250"/>
  <c r="B596" i="250"/>
  <c r="J595" i="250"/>
  <c r="I595" i="250"/>
  <c r="B595" i="250"/>
  <c r="J594" i="250"/>
  <c r="I594" i="250"/>
  <c r="B594" i="250"/>
  <c r="J593" i="250"/>
  <c r="I593" i="250"/>
  <c r="B593" i="250"/>
  <c r="J592" i="250"/>
  <c r="I592" i="250"/>
  <c r="B592" i="250"/>
  <c r="J591" i="250"/>
  <c r="I591" i="250"/>
  <c r="B591" i="250"/>
  <c r="J590" i="250"/>
  <c r="I590" i="250"/>
  <c r="B590" i="250"/>
  <c r="J589" i="250"/>
  <c r="I589" i="250"/>
  <c r="B589" i="250"/>
  <c r="J588" i="250"/>
  <c r="I588" i="250"/>
  <c r="B588" i="250"/>
  <c r="J587" i="250"/>
  <c r="I587" i="250"/>
  <c r="B587" i="250"/>
  <c r="J586" i="250"/>
  <c r="I586" i="250"/>
  <c r="B586" i="250"/>
  <c r="J585" i="250"/>
  <c r="I585" i="250"/>
  <c r="B585" i="250"/>
  <c r="J584" i="250"/>
  <c r="I584" i="250"/>
  <c r="B584" i="250"/>
  <c r="J583" i="250"/>
  <c r="I583" i="250"/>
  <c r="B583" i="250"/>
  <c r="J582" i="250"/>
  <c r="I582" i="250"/>
  <c r="B582" i="250"/>
  <c r="J581" i="250"/>
  <c r="I581" i="250"/>
  <c r="B581" i="250"/>
  <c r="J580" i="250"/>
  <c r="I580" i="250"/>
  <c r="B580" i="250"/>
  <c r="J579" i="250"/>
  <c r="I579" i="250"/>
  <c r="B579" i="250"/>
  <c r="J578" i="250"/>
  <c r="I578" i="250"/>
  <c r="B578" i="250"/>
  <c r="L577" i="250"/>
  <c r="K577" i="250"/>
  <c r="O575" i="250"/>
  <c r="J575" i="250"/>
  <c r="I575" i="250"/>
  <c r="B575" i="250"/>
  <c r="J574" i="250"/>
  <c r="I574" i="250"/>
  <c r="B574" i="250"/>
  <c r="O573" i="250"/>
  <c r="J573" i="250"/>
  <c r="I573" i="250"/>
  <c r="B573" i="250"/>
  <c r="O572" i="250"/>
  <c r="J572" i="250"/>
  <c r="I572" i="250"/>
  <c r="B572" i="250"/>
  <c r="O571" i="250"/>
  <c r="J571" i="250"/>
  <c r="I571" i="250"/>
  <c r="B571" i="250"/>
  <c r="O570" i="250"/>
  <c r="J570" i="250"/>
  <c r="I570" i="250"/>
  <c r="B570" i="250"/>
  <c r="O569" i="250"/>
  <c r="J569" i="250"/>
  <c r="I569" i="250"/>
  <c r="B569" i="250"/>
  <c r="O568" i="250"/>
  <c r="J568" i="250"/>
  <c r="I568" i="250"/>
  <c r="B568" i="250"/>
  <c r="O567" i="250"/>
  <c r="O574" i="250" s="1"/>
  <c r="J567" i="250"/>
  <c r="I567" i="250"/>
  <c r="B567" i="250"/>
  <c r="O566" i="250"/>
  <c r="J566" i="250"/>
  <c r="I566" i="250"/>
  <c r="B566" i="250"/>
  <c r="O565" i="250"/>
  <c r="J565" i="250"/>
  <c r="I565" i="250"/>
  <c r="B565" i="250"/>
  <c r="O564" i="250"/>
  <c r="J564" i="250"/>
  <c r="I564" i="250"/>
  <c r="B564" i="250"/>
  <c r="O563" i="250"/>
  <c r="J563" i="250"/>
  <c r="I563" i="250"/>
  <c r="B563" i="250"/>
  <c r="O562" i="250"/>
  <c r="J562" i="250"/>
  <c r="I562" i="250"/>
  <c r="B562" i="250"/>
  <c r="O561" i="250"/>
  <c r="J561" i="250"/>
  <c r="I561" i="250"/>
  <c r="B561" i="250"/>
  <c r="O560" i="250"/>
  <c r="J560" i="250"/>
  <c r="I560" i="250"/>
  <c r="B560" i="250"/>
  <c r="J559" i="250"/>
  <c r="I559" i="250"/>
  <c r="B559" i="250"/>
  <c r="J558" i="250"/>
  <c r="I558" i="250"/>
  <c r="B558" i="250"/>
  <c r="J557" i="250"/>
  <c r="I557" i="250"/>
  <c r="B557" i="250"/>
  <c r="J556" i="250"/>
  <c r="I556" i="250"/>
  <c r="B556" i="250"/>
  <c r="J555" i="250"/>
  <c r="I555" i="250"/>
  <c r="B555" i="250"/>
  <c r="J554" i="250"/>
  <c r="I554" i="250"/>
  <c r="B554" i="250"/>
  <c r="O553" i="250"/>
  <c r="J553" i="250"/>
  <c r="I553" i="250"/>
  <c r="B553" i="250"/>
  <c r="O552" i="250"/>
  <c r="J552" i="250"/>
  <c r="I552" i="250"/>
  <c r="B552" i="250"/>
  <c r="J551" i="250"/>
  <c r="I551" i="250"/>
  <c r="B551" i="250"/>
  <c r="J550" i="250"/>
  <c r="I550" i="250"/>
  <c r="B550" i="250"/>
  <c r="J549" i="250"/>
  <c r="I549" i="250"/>
  <c r="B549" i="250"/>
  <c r="J548" i="250"/>
  <c r="I548" i="250"/>
  <c r="B548" i="250"/>
  <c r="J547" i="250"/>
  <c r="I547" i="250"/>
  <c r="B547" i="250"/>
  <c r="J546" i="250"/>
  <c r="I546" i="250"/>
  <c r="B546" i="250"/>
  <c r="J545" i="250"/>
  <c r="I545" i="250"/>
  <c r="B545" i="250"/>
  <c r="O544" i="250"/>
  <c r="J544" i="250"/>
  <c r="I544" i="250"/>
  <c r="B544" i="250"/>
  <c r="J543" i="250"/>
  <c r="I543" i="250"/>
  <c r="B543" i="250"/>
  <c r="J542" i="250"/>
  <c r="I542" i="250"/>
  <c r="B542" i="250"/>
  <c r="J541" i="250"/>
  <c r="I541" i="250"/>
  <c r="B541" i="250"/>
  <c r="J540" i="250"/>
  <c r="I540" i="250"/>
  <c r="B540" i="250"/>
  <c r="J539" i="250"/>
  <c r="I539" i="250"/>
  <c r="B539" i="250"/>
  <c r="J538" i="250"/>
  <c r="I538" i="250"/>
  <c r="B538" i="250"/>
  <c r="O537" i="250"/>
  <c r="J537" i="250"/>
  <c r="I537" i="250"/>
  <c r="B537" i="250"/>
  <c r="O536" i="250"/>
  <c r="J536" i="250"/>
  <c r="I536" i="250"/>
  <c r="B536" i="250"/>
  <c r="J535" i="250"/>
  <c r="I535" i="250"/>
  <c r="B535" i="250"/>
  <c r="J534" i="250"/>
  <c r="I534" i="250"/>
  <c r="B534" i="250"/>
  <c r="J533" i="250"/>
  <c r="I533" i="250"/>
  <c r="B533" i="250"/>
  <c r="J532" i="250"/>
  <c r="I532" i="250"/>
  <c r="B532" i="250"/>
  <c r="J531" i="250"/>
  <c r="I531" i="250"/>
  <c r="B531" i="250"/>
  <c r="J530" i="250"/>
  <c r="I530" i="250"/>
  <c r="B530" i="250"/>
  <c r="J529" i="250"/>
  <c r="I529" i="250"/>
  <c r="B529" i="250"/>
  <c r="O528" i="250"/>
  <c r="J528" i="250"/>
  <c r="I528" i="250"/>
  <c r="B528" i="250"/>
  <c r="J527" i="250"/>
  <c r="I527" i="250"/>
  <c r="B527" i="250"/>
  <c r="J526" i="250"/>
  <c r="I526" i="250"/>
  <c r="B526" i="250"/>
  <c r="J525" i="250"/>
  <c r="I525" i="250"/>
  <c r="B525" i="250"/>
  <c r="J524" i="250"/>
  <c r="I524" i="250"/>
  <c r="B524" i="250"/>
  <c r="J523" i="250"/>
  <c r="I523" i="250"/>
  <c r="B523" i="250"/>
  <c r="J522" i="250"/>
  <c r="I522" i="250"/>
  <c r="B522" i="250"/>
  <c r="J521" i="250"/>
  <c r="I521" i="250"/>
  <c r="B521" i="250"/>
  <c r="J520" i="250"/>
  <c r="I520" i="250"/>
  <c r="B520" i="250"/>
  <c r="J519" i="250"/>
  <c r="I519" i="250"/>
  <c r="B519" i="250"/>
  <c r="J518" i="250"/>
  <c r="I518" i="250"/>
  <c r="B518" i="250"/>
  <c r="J517" i="250"/>
  <c r="I517" i="250"/>
  <c r="B517" i="250"/>
  <c r="J516" i="250"/>
  <c r="I516" i="250"/>
  <c r="B516" i="250"/>
  <c r="J515" i="250"/>
  <c r="I515" i="250"/>
  <c r="B515" i="250"/>
  <c r="J514" i="250"/>
  <c r="I514" i="250"/>
  <c r="B514" i="250"/>
  <c r="J513" i="250"/>
  <c r="I513" i="250"/>
  <c r="B513" i="250"/>
  <c r="J512" i="250"/>
  <c r="I512" i="250"/>
  <c r="B512" i="250"/>
  <c r="L511" i="250"/>
  <c r="K511" i="250"/>
  <c r="J421" i="250"/>
  <c r="I421" i="250"/>
  <c r="B421" i="250"/>
  <c r="J420" i="250"/>
  <c r="I420" i="250"/>
  <c r="B420" i="250"/>
  <c r="J419" i="250"/>
  <c r="I419" i="250"/>
  <c r="B419" i="250"/>
  <c r="J418" i="250"/>
  <c r="I418" i="250"/>
  <c r="B418" i="250"/>
  <c r="J417" i="250"/>
  <c r="I417" i="250"/>
  <c r="B417" i="250"/>
  <c r="J416" i="250"/>
  <c r="I416" i="250"/>
  <c r="B416" i="250"/>
  <c r="O415" i="250"/>
  <c r="O418" i="250" s="1"/>
  <c r="J415" i="250"/>
  <c r="I415" i="250"/>
  <c r="B415" i="250"/>
  <c r="O414" i="250"/>
  <c r="J414" i="250"/>
  <c r="I414" i="250"/>
  <c r="B414" i="250"/>
  <c r="J413" i="250"/>
  <c r="I413" i="250"/>
  <c r="B413" i="250"/>
  <c r="J412" i="250"/>
  <c r="I412" i="250"/>
  <c r="B412" i="250"/>
  <c r="J411" i="250"/>
  <c r="I411" i="250"/>
  <c r="B411" i="250"/>
  <c r="J410" i="250"/>
  <c r="I410" i="250"/>
  <c r="B410" i="250"/>
  <c r="J409" i="250"/>
  <c r="I409" i="250"/>
  <c r="B409" i="250"/>
  <c r="J408" i="250"/>
  <c r="I408" i="250"/>
  <c r="B408" i="250"/>
  <c r="O407" i="250"/>
  <c r="O410" i="250" s="1"/>
  <c r="J407" i="250"/>
  <c r="I407" i="250"/>
  <c r="B407" i="250"/>
  <c r="O406" i="250"/>
  <c r="J406" i="250"/>
  <c r="I406" i="250"/>
  <c r="B406" i="250"/>
  <c r="J405" i="250"/>
  <c r="I405" i="250"/>
  <c r="B405" i="250"/>
  <c r="J404" i="250"/>
  <c r="I404" i="250"/>
  <c r="B404" i="250"/>
  <c r="J403" i="250"/>
  <c r="I403" i="250"/>
  <c r="B403" i="250"/>
  <c r="O402" i="250"/>
  <c r="J402" i="250"/>
  <c r="I402" i="250"/>
  <c r="B402" i="250"/>
  <c r="O401" i="250"/>
  <c r="O403" i="250" s="1"/>
  <c r="J401" i="250"/>
  <c r="I401" i="250"/>
  <c r="B401" i="250"/>
  <c r="O400" i="250"/>
  <c r="O404" i="250" s="1"/>
  <c r="J400" i="250"/>
  <c r="I400" i="250"/>
  <c r="B400" i="250"/>
  <c r="J399" i="250"/>
  <c r="I399" i="250"/>
  <c r="B399" i="250"/>
  <c r="J398" i="250"/>
  <c r="I398" i="250"/>
  <c r="B398" i="250"/>
  <c r="J397" i="250"/>
  <c r="I397" i="250"/>
  <c r="B397" i="250"/>
  <c r="J396" i="250"/>
  <c r="I396" i="250"/>
  <c r="B396" i="250"/>
  <c r="J395" i="250"/>
  <c r="I395" i="250"/>
  <c r="B395" i="250"/>
  <c r="O394" i="250"/>
  <c r="J394" i="250"/>
  <c r="I394" i="250"/>
  <c r="B394" i="250"/>
  <c r="O393" i="250"/>
  <c r="O395" i="250" s="1"/>
  <c r="J393" i="250"/>
  <c r="I393" i="250"/>
  <c r="B393" i="250"/>
  <c r="O392" i="250"/>
  <c r="J392" i="250"/>
  <c r="I392" i="250"/>
  <c r="B392" i="250"/>
  <c r="J391" i="250"/>
  <c r="I391" i="250"/>
  <c r="B391" i="250"/>
  <c r="J390" i="250"/>
  <c r="I390" i="250"/>
  <c r="B390" i="250"/>
  <c r="J389" i="250"/>
  <c r="I389" i="250"/>
  <c r="B389" i="250"/>
  <c r="J388" i="250"/>
  <c r="I388" i="250"/>
  <c r="B388" i="250"/>
  <c r="J387" i="250"/>
  <c r="I387" i="250"/>
  <c r="B387" i="250"/>
  <c r="O386" i="250"/>
  <c r="J386" i="250"/>
  <c r="I386" i="250"/>
  <c r="B386" i="250"/>
  <c r="O385" i="250"/>
  <c r="O387" i="250" s="1"/>
  <c r="J385" i="250"/>
  <c r="I385" i="250"/>
  <c r="B385" i="250"/>
  <c r="O384" i="250"/>
  <c r="O388" i="250" s="1"/>
  <c r="J384" i="250"/>
  <c r="I384" i="250"/>
  <c r="B384" i="250"/>
  <c r="J383" i="250"/>
  <c r="I383" i="250"/>
  <c r="B383" i="250"/>
  <c r="J382" i="250"/>
  <c r="I382" i="250"/>
  <c r="B382" i="250"/>
  <c r="J381" i="250"/>
  <c r="I381" i="250"/>
  <c r="B381" i="250"/>
  <c r="J380" i="250"/>
  <c r="I380" i="250"/>
  <c r="B380" i="250"/>
  <c r="J379" i="250"/>
  <c r="I379" i="250"/>
  <c r="B379" i="250"/>
  <c r="O378" i="250"/>
  <c r="J378" i="250"/>
  <c r="I378" i="250"/>
  <c r="B378" i="250"/>
  <c r="O377" i="250"/>
  <c r="O379" i="250" s="1"/>
  <c r="J377" i="250"/>
  <c r="I377" i="250"/>
  <c r="B377" i="250"/>
  <c r="O376" i="250"/>
  <c r="J376" i="250"/>
  <c r="I376" i="250"/>
  <c r="B376" i="250"/>
  <c r="J375" i="250"/>
  <c r="I375" i="250"/>
  <c r="B375" i="250"/>
  <c r="J374" i="250"/>
  <c r="I374" i="250"/>
  <c r="B374" i="250"/>
  <c r="J373" i="250"/>
  <c r="I373" i="250"/>
  <c r="B373" i="250"/>
  <c r="J372" i="250"/>
  <c r="I372" i="250"/>
  <c r="B372" i="250"/>
  <c r="J371" i="250"/>
  <c r="I371" i="250"/>
  <c r="B371" i="250"/>
  <c r="O370" i="250"/>
  <c r="J370" i="250"/>
  <c r="I370" i="250"/>
  <c r="B370" i="250"/>
  <c r="O369" i="250"/>
  <c r="O371" i="250" s="1"/>
  <c r="J369" i="250"/>
  <c r="I369" i="250"/>
  <c r="B369" i="250"/>
  <c r="O368" i="250"/>
  <c r="O372" i="250" s="1"/>
  <c r="J368" i="250"/>
  <c r="I368" i="250"/>
  <c r="B368" i="250"/>
  <c r="J367" i="250"/>
  <c r="I367" i="250"/>
  <c r="B367" i="250"/>
  <c r="J366" i="250"/>
  <c r="I366" i="250"/>
  <c r="B366" i="250"/>
  <c r="J365" i="250"/>
  <c r="I365" i="250"/>
  <c r="B365" i="250"/>
  <c r="J364" i="250"/>
  <c r="I364" i="250"/>
  <c r="B364" i="250"/>
  <c r="J363" i="250"/>
  <c r="I363" i="250"/>
  <c r="B363" i="250"/>
  <c r="O362" i="250"/>
  <c r="J362" i="250"/>
  <c r="I362" i="250"/>
  <c r="B362" i="250"/>
  <c r="O361" i="250"/>
  <c r="O363" i="250" s="1"/>
  <c r="J361" i="250"/>
  <c r="I361" i="250"/>
  <c r="B361" i="250"/>
  <c r="O360" i="250"/>
  <c r="J360" i="250"/>
  <c r="I360" i="250"/>
  <c r="B360" i="250"/>
  <c r="J359" i="250"/>
  <c r="I359" i="250"/>
  <c r="B359" i="250"/>
  <c r="J358" i="250"/>
  <c r="I358" i="250"/>
  <c r="B358" i="250"/>
  <c r="L357" i="250"/>
  <c r="K357" i="250"/>
  <c r="J355" i="250"/>
  <c r="I355" i="250"/>
  <c r="B355" i="250"/>
  <c r="J354" i="250"/>
  <c r="I354" i="250"/>
  <c r="B354" i="250"/>
  <c r="O353" i="250"/>
  <c r="J353" i="250"/>
  <c r="I353" i="250"/>
  <c r="B353" i="250"/>
  <c r="O352" i="250"/>
  <c r="J352" i="250"/>
  <c r="I352" i="250"/>
  <c r="B352" i="250"/>
  <c r="O351" i="250"/>
  <c r="J351" i="250"/>
  <c r="I351" i="250"/>
  <c r="B351" i="250"/>
  <c r="O350" i="250"/>
  <c r="J350" i="250"/>
  <c r="I350" i="250"/>
  <c r="B350" i="250"/>
  <c r="O349" i="250"/>
  <c r="J349" i="250"/>
  <c r="I349" i="250"/>
  <c r="B349" i="250"/>
  <c r="O348" i="250"/>
  <c r="J348" i="250"/>
  <c r="I348" i="250"/>
  <c r="B348" i="250"/>
  <c r="O347" i="250"/>
  <c r="O355" i="250" s="1"/>
  <c r="J347" i="250"/>
  <c r="I347" i="250"/>
  <c r="B347" i="250"/>
  <c r="O346" i="250"/>
  <c r="O354" i="250" s="1"/>
  <c r="J346" i="250"/>
  <c r="I346" i="250"/>
  <c r="B346" i="250"/>
  <c r="O345" i="250"/>
  <c r="J345" i="250"/>
  <c r="I345" i="250"/>
  <c r="B345" i="250"/>
  <c r="O344" i="250"/>
  <c r="J344" i="250"/>
  <c r="I344" i="250"/>
  <c r="B344" i="250"/>
  <c r="O343" i="250"/>
  <c r="J343" i="250"/>
  <c r="I343" i="250"/>
  <c r="B343" i="250"/>
  <c r="O342" i="250"/>
  <c r="J342" i="250"/>
  <c r="I342" i="250"/>
  <c r="B342" i="250"/>
  <c r="O341" i="250"/>
  <c r="J341" i="250"/>
  <c r="I341" i="250"/>
  <c r="B341" i="250"/>
  <c r="O340" i="250"/>
  <c r="J340" i="250"/>
  <c r="I340" i="250"/>
  <c r="B340" i="250"/>
  <c r="J339" i="250"/>
  <c r="I339" i="250"/>
  <c r="B339" i="250"/>
  <c r="J338" i="250"/>
  <c r="I338" i="250"/>
  <c r="B338" i="250"/>
  <c r="J337" i="250"/>
  <c r="I337" i="250"/>
  <c r="B337" i="250"/>
  <c r="J336" i="250"/>
  <c r="I336" i="250"/>
  <c r="B336" i="250"/>
  <c r="J335" i="250"/>
  <c r="I335" i="250"/>
  <c r="B335" i="250"/>
  <c r="J334" i="250"/>
  <c r="I334" i="250"/>
  <c r="B334" i="250"/>
  <c r="J333" i="250"/>
  <c r="I333" i="250"/>
  <c r="B333" i="250"/>
  <c r="J332" i="250"/>
  <c r="I332" i="250"/>
  <c r="B332" i="250"/>
  <c r="J331" i="250"/>
  <c r="I331" i="250"/>
  <c r="B331" i="250"/>
  <c r="J330" i="250"/>
  <c r="I330" i="250"/>
  <c r="B330" i="250"/>
  <c r="J329" i="250"/>
  <c r="I329" i="250"/>
  <c r="B329" i="250"/>
  <c r="J328" i="250"/>
  <c r="I328" i="250"/>
  <c r="B328" i="250"/>
  <c r="J327" i="250"/>
  <c r="I327" i="250"/>
  <c r="B327" i="250"/>
  <c r="J326" i="250"/>
  <c r="I326" i="250"/>
  <c r="B326" i="250"/>
  <c r="J325" i="250"/>
  <c r="I325" i="250"/>
  <c r="B325" i="250"/>
  <c r="J324" i="250"/>
  <c r="I324" i="250"/>
  <c r="B324" i="250"/>
  <c r="J323" i="250"/>
  <c r="I323" i="250"/>
  <c r="B323" i="250"/>
  <c r="J322" i="250"/>
  <c r="I322" i="250"/>
  <c r="B322" i="250"/>
  <c r="J321" i="250"/>
  <c r="I321" i="250"/>
  <c r="B321" i="250"/>
  <c r="J320" i="250"/>
  <c r="I320" i="250"/>
  <c r="B320" i="250"/>
  <c r="J319" i="250"/>
  <c r="I319" i="250"/>
  <c r="B319" i="250"/>
  <c r="J318" i="250"/>
  <c r="I318" i="250"/>
  <c r="B318" i="250"/>
  <c r="J317" i="250"/>
  <c r="I317" i="250"/>
  <c r="B317" i="250"/>
  <c r="J316" i="250"/>
  <c r="I316" i="250"/>
  <c r="B316" i="250"/>
  <c r="J315" i="250"/>
  <c r="I315" i="250"/>
  <c r="B315" i="250"/>
  <c r="J314" i="250"/>
  <c r="I314" i="250"/>
  <c r="B314" i="250"/>
  <c r="J313" i="250"/>
  <c r="I313" i="250"/>
  <c r="B313" i="250"/>
  <c r="J312" i="250"/>
  <c r="I312" i="250"/>
  <c r="B312" i="250"/>
  <c r="J311" i="250"/>
  <c r="I311" i="250"/>
  <c r="B311" i="250"/>
  <c r="J310" i="250"/>
  <c r="I310" i="250"/>
  <c r="B310" i="250"/>
  <c r="J309" i="250"/>
  <c r="I309" i="250"/>
  <c r="B309" i="250"/>
  <c r="J308" i="250"/>
  <c r="I308" i="250"/>
  <c r="B308" i="250"/>
  <c r="J307" i="250"/>
  <c r="I307" i="250"/>
  <c r="B307" i="250"/>
  <c r="J306" i="250"/>
  <c r="I306" i="250"/>
  <c r="B306" i="250"/>
  <c r="J305" i="250"/>
  <c r="I305" i="250"/>
  <c r="B305" i="250"/>
  <c r="J304" i="250"/>
  <c r="I304" i="250"/>
  <c r="B304" i="250"/>
  <c r="J303" i="250"/>
  <c r="I303" i="250"/>
  <c r="B303" i="250"/>
  <c r="J302" i="250"/>
  <c r="I302" i="250"/>
  <c r="B302" i="250"/>
  <c r="J301" i="250"/>
  <c r="I301" i="250"/>
  <c r="B301" i="250"/>
  <c r="J300" i="250"/>
  <c r="I300" i="250"/>
  <c r="B300" i="250"/>
  <c r="J299" i="250"/>
  <c r="I299" i="250"/>
  <c r="B299" i="250"/>
  <c r="J298" i="250"/>
  <c r="I298" i="250"/>
  <c r="B298" i="250"/>
  <c r="J297" i="250"/>
  <c r="I297" i="250"/>
  <c r="B297" i="250"/>
  <c r="J296" i="250"/>
  <c r="I296" i="250"/>
  <c r="B296" i="250"/>
  <c r="J295" i="250"/>
  <c r="I295" i="250"/>
  <c r="B295" i="250"/>
  <c r="J294" i="250"/>
  <c r="I294" i="250"/>
  <c r="B294" i="250"/>
  <c r="J293" i="250"/>
  <c r="I293" i="250"/>
  <c r="B293" i="250"/>
  <c r="J292" i="250"/>
  <c r="I292" i="250"/>
  <c r="B292" i="250"/>
  <c r="L291" i="250"/>
  <c r="K291" i="250"/>
  <c r="O289" i="250"/>
  <c r="J289" i="250"/>
  <c r="I289" i="250"/>
  <c r="B289" i="250"/>
  <c r="O288" i="250"/>
  <c r="J288" i="250"/>
  <c r="I288" i="250"/>
  <c r="B288" i="250"/>
  <c r="O287" i="250"/>
  <c r="J287" i="250"/>
  <c r="I287" i="250"/>
  <c r="B287" i="250"/>
  <c r="O286" i="250"/>
  <c r="J286" i="250"/>
  <c r="I286" i="250"/>
  <c r="B286" i="250"/>
  <c r="O285" i="250"/>
  <c r="J285" i="250"/>
  <c r="I285" i="250"/>
  <c r="B285" i="250"/>
  <c r="O284" i="250"/>
  <c r="J284" i="250"/>
  <c r="I284" i="250"/>
  <c r="B284" i="250"/>
  <c r="O283" i="250"/>
  <c r="J283" i="250"/>
  <c r="I283" i="250"/>
  <c r="B283" i="250"/>
  <c r="J282" i="250"/>
  <c r="I282" i="250"/>
  <c r="B282" i="250"/>
  <c r="J281" i="250"/>
  <c r="I281" i="250"/>
  <c r="B281" i="250"/>
  <c r="J280" i="250"/>
  <c r="I280" i="250"/>
  <c r="B280" i="250"/>
  <c r="J279" i="250"/>
  <c r="I279" i="250"/>
  <c r="B279" i="250"/>
  <c r="J278" i="250"/>
  <c r="I278" i="250"/>
  <c r="B278" i="250"/>
  <c r="J277" i="250"/>
  <c r="I277" i="250"/>
  <c r="B277" i="250"/>
  <c r="J276" i="250"/>
  <c r="I276" i="250"/>
  <c r="B276" i="250"/>
  <c r="J275" i="250"/>
  <c r="I275" i="250"/>
  <c r="B275" i="250"/>
  <c r="J274" i="250"/>
  <c r="I274" i="250"/>
  <c r="B274" i="250"/>
  <c r="J273" i="250"/>
  <c r="I273" i="250"/>
  <c r="B273" i="250"/>
  <c r="J272" i="250"/>
  <c r="I272" i="250"/>
  <c r="B272" i="250"/>
  <c r="J271" i="250"/>
  <c r="I271" i="250"/>
  <c r="B271" i="250"/>
  <c r="J270" i="250"/>
  <c r="I270" i="250"/>
  <c r="B270" i="250"/>
  <c r="J269" i="250"/>
  <c r="I269" i="250"/>
  <c r="B269" i="250"/>
  <c r="J268" i="250"/>
  <c r="I268" i="250"/>
  <c r="B268" i="250"/>
  <c r="J267" i="250"/>
  <c r="I267" i="250"/>
  <c r="B267" i="250"/>
  <c r="J266" i="250"/>
  <c r="I266" i="250"/>
  <c r="B266" i="250"/>
  <c r="J265" i="250"/>
  <c r="I265" i="250"/>
  <c r="B265" i="250"/>
  <c r="J264" i="250"/>
  <c r="I264" i="250"/>
  <c r="B264" i="250"/>
  <c r="J263" i="250"/>
  <c r="I263" i="250"/>
  <c r="B263" i="250"/>
  <c r="J262" i="250"/>
  <c r="I262" i="250"/>
  <c r="B262" i="250"/>
  <c r="L261" i="250"/>
  <c r="K261" i="250"/>
  <c r="J259" i="250"/>
  <c r="I259" i="250"/>
  <c r="B259" i="250"/>
  <c r="J258" i="250"/>
  <c r="I258" i="250"/>
  <c r="B258" i="250"/>
  <c r="J257" i="250"/>
  <c r="I257" i="250"/>
  <c r="B257" i="250"/>
  <c r="J256" i="250"/>
  <c r="I256" i="250"/>
  <c r="B256" i="250"/>
  <c r="J255" i="250"/>
  <c r="I255" i="250"/>
  <c r="B255" i="250"/>
  <c r="J254" i="250"/>
  <c r="I254" i="250"/>
  <c r="B254" i="250"/>
  <c r="J253" i="250"/>
  <c r="I253" i="250"/>
  <c r="B253" i="250"/>
  <c r="J252" i="250"/>
  <c r="I252" i="250"/>
  <c r="B252" i="250"/>
  <c r="J251" i="250"/>
  <c r="I251" i="250"/>
  <c r="B251" i="250"/>
  <c r="O250" i="250"/>
  <c r="J250" i="250"/>
  <c r="I250" i="250"/>
  <c r="B250" i="250"/>
  <c r="O249" i="250"/>
  <c r="J249" i="250"/>
  <c r="I249" i="250"/>
  <c r="B249" i="250"/>
  <c r="O248" i="250"/>
  <c r="J248" i="250"/>
  <c r="I248" i="250"/>
  <c r="B248" i="250"/>
  <c r="O247" i="250"/>
  <c r="J247" i="250"/>
  <c r="I247" i="250"/>
  <c r="B247" i="250"/>
  <c r="O246" i="250"/>
  <c r="J246" i="250"/>
  <c r="I246" i="250"/>
  <c r="B246" i="250"/>
  <c r="O245" i="250"/>
  <c r="J245" i="250"/>
  <c r="I245" i="250"/>
  <c r="B245" i="250"/>
  <c r="O244" i="250"/>
  <c r="J244" i="250"/>
  <c r="I244" i="250"/>
  <c r="B244" i="250"/>
  <c r="O243" i="250"/>
  <c r="O257" i="250" s="1"/>
  <c r="J243" i="250"/>
  <c r="I243" i="250"/>
  <c r="B243" i="250"/>
  <c r="J242" i="250"/>
  <c r="I242" i="250"/>
  <c r="B242" i="250"/>
  <c r="J241" i="250"/>
  <c r="I241" i="250"/>
  <c r="B241" i="250"/>
  <c r="J240" i="250"/>
  <c r="I240" i="250"/>
  <c r="B240" i="250"/>
  <c r="J239" i="250"/>
  <c r="I239" i="250"/>
  <c r="B239" i="250"/>
  <c r="J238" i="250"/>
  <c r="I238" i="250"/>
  <c r="B238" i="250"/>
  <c r="J237" i="250"/>
  <c r="I237" i="250"/>
  <c r="B237" i="250"/>
  <c r="J236" i="250"/>
  <c r="I236" i="250"/>
  <c r="B236" i="250"/>
  <c r="O235" i="250"/>
  <c r="O256" i="250" s="1"/>
  <c r="J235" i="250"/>
  <c r="I235" i="250"/>
  <c r="B235" i="250"/>
  <c r="J234" i="250"/>
  <c r="I234" i="250"/>
  <c r="B234" i="250"/>
  <c r="J233" i="250"/>
  <c r="I233" i="250"/>
  <c r="B233" i="250"/>
  <c r="J232" i="250"/>
  <c r="I232" i="250"/>
  <c r="B232" i="250"/>
  <c r="J231" i="250"/>
  <c r="I231" i="250"/>
  <c r="B231" i="250"/>
  <c r="J230" i="250"/>
  <c r="I230" i="250"/>
  <c r="B230" i="250"/>
  <c r="J229" i="250"/>
  <c r="I229" i="250"/>
  <c r="B229" i="250"/>
  <c r="J228" i="250"/>
  <c r="I228" i="250"/>
  <c r="B228" i="250"/>
  <c r="O227" i="250"/>
  <c r="O255" i="250" s="1"/>
  <c r="J227" i="250"/>
  <c r="I227" i="250"/>
  <c r="B227" i="250"/>
  <c r="J226" i="250"/>
  <c r="I226" i="250"/>
  <c r="B226" i="250"/>
  <c r="J225" i="250"/>
  <c r="I225" i="250"/>
  <c r="B225" i="250"/>
  <c r="J224" i="250"/>
  <c r="I224" i="250"/>
  <c r="B224" i="250"/>
  <c r="J223" i="250"/>
  <c r="I223" i="250"/>
  <c r="B223" i="250"/>
  <c r="J222" i="250"/>
  <c r="I222" i="250"/>
  <c r="B222" i="250"/>
  <c r="J221" i="250"/>
  <c r="I221" i="250"/>
  <c r="B221" i="250"/>
  <c r="J220" i="250"/>
  <c r="I220" i="250"/>
  <c r="B220" i="250"/>
  <c r="O219" i="250"/>
  <c r="O254" i="250" s="1"/>
  <c r="J219" i="250"/>
  <c r="I219" i="250"/>
  <c r="B219" i="250"/>
  <c r="J218" i="250"/>
  <c r="I218" i="250"/>
  <c r="B218" i="250"/>
  <c r="J217" i="250"/>
  <c r="I217" i="250"/>
  <c r="B217" i="250"/>
  <c r="J216" i="250"/>
  <c r="I216" i="250"/>
  <c r="B216" i="250"/>
  <c r="J215" i="250"/>
  <c r="I215" i="250"/>
  <c r="B215" i="250"/>
  <c r="J214" i="250"/>
  <c r="I214" i="250"/>
  <c r="B214" i="250"/>
  <c r="J213" i="250"/>
  <c r="I213" i="250"/>
  <c r="B213" i="250"/>
  <c r="J212" i="250"/>
  <c r="I212" i="250"/>
  <c r="B212" i="250"/>
  <c r="O211" i="250"/>
  <c r="O253" i="250" s="1"/>
  <c r="J211" i="250"/>
  <c r="I211" i="250"/>
  <c r="B211" i="250"/>
  <c r="J210" i="250"/>
  <c r="I210" i="250"/>
  <c r="B210" i="250"/>
  <c r="J209" i="250"/>
  <c r="I209" i="250"/>
  <c r="B209" i="250"/>
  <c r="J208" i="250"/>
  <c r="I208" i="250"/>
  <c r="B208" i="250"/>
  <c r="J207" i="250"/>
  <c r="I207" i="250"/>
  <c r="B207" i="250"/>
  <c r="J206" i="250"/>
  <c r="I206" i="250"/>
  <c r="B206" i="250"/>
  <c r="J205" i="250"/>
  <c r="I205" i="250"/>
  <c r="B205" i="250"/>
  <c r="J204" i="250"/>
  <c r="I204" i="250"/>
  <c r="B204" i="250"/>
  <c r="O203" i="250"/>
  <c r="O252" i="250" s="1"/>
  <c r="J203" i="250"/>
  <c r="I203" i="250"/>
  <c r="B203" i="250"/>
  <c r="J202" i="250"/>
  <c r="I202" i="250"/>
  <c r="B202" i="250"/>
  <c r="J201" i="250"/>
  <c r="I201" i="250"/>
  <c r="B201" i="250"/>
  <c r="J200" i="250"/>
  <c r="I200" i="250"/>
  <c r="B200" i="250"/>
  <c r="J199" i="250"/>
  <c r="I199" i="250"/>
  <c r="B199" i="250"/>
  <c r="J198" i="250"/>
  <c r="I198" i="250"/>
  <c r="B198" i="250"/>
  <c r="J197" i="250"/>
  <c r="I197" i="250"/>
  <c r="B197" i="250"/>
  <c r="J196" i="250"/>
  <c r="I196" i="250"/>
  <c r="B196" i="250"/>
  <c r="L195" i="250"/>
  <c r="K195" i="250"/>
  <c r="J193" i="250"/>
  <c r="I193" i="250"/>
  <c r="B193" i="250"/>
  <c r="J192" i="250"/>
  <c r="I192" i="250"/>
  <c r="B192" i="250"/>
  <c r="O191" i="250"/>
  <c r="J191" i="250"/>
  <c r="I191" i="250"/>
  <c r="B191" i="250"/>
  <c r="O190" i="250"/>
  <c r="J190" i="250"/>
  <c r="I190" i="250"/>
  <c r="B190" i="250"/>
  <c r="O189" i="250"/>
  <c r="J189" i="250"/>
  <c r="I189" i="250"/>
  <c r="B189" i="250"/>
  <c r="O188" i="250"/>
  <c r="J188" i="250"/>
  <c r="I188" i="250"/>
  <c r="B188" i="250"/>
  <c r="O187" i="250"/>
  <c r="J187" i="250"/>
  <c r="I187" i="250"/>
  <c r="B187" i="250"/>
  <c r="O186" i="250"/>
  <c r="J186" i="250"/>
  <c r="I186" i="250"/>
  <c r="B186" i="250"/>
  <c r="O185" i="250"/>
  <c r="O192" i="250" s="1"/>
  <c r="J185" i="250"/>
  <c r="I185" i="250"/>
  <c r="B185" i="250"/>
  <c r="O184" i="250"/>
  <c r="J184" i="250"/>
  <c r="I184" i="250"/>
  <c r="B184" i="250"/>
  <c r="O183" i="250"/>
  <c r="J183" i="250"/>
  <c r="I183" i="250"/>
  <c r="B183" i="250"/>
  <c r="O182" i="250"/>
  <c r="J182" i="250"/>
  <c r="I182" i="250"/>
  <c r="B182" i="250"/>
  <c r="J181" i="250"/>
  <c r="I181" i="250"/>
  <c r="B181" i="250"/>
  <c r="O180" i="250"/>
  <c r="J180" i="250"/>
  <c r="I180" i="250"/>
  <c r="B180" i="250"/>
  <c r="O179" i="250"/>
  <c r="J179" i="250"/>
  <c r="I179" i="250"/>
  <c r="B179" i="250"/>
  <c r="O178" i="250"/>
  <c r="J178" i="250"/>
  <c r="I178" i="250"/>
  <c r="B178" i="250"/>
  <c r="J177" i="250"/>
  <c r="I177" i="250"/>
  <c r="B177" i="250"/>
  <c r="J176" i="250"/>
  <c r="I176" i="250"/>
  <c r="B176" i="250"/>
  <c r="J175" i="250"/>
  <c r="I175" i="250"/>
  <c r="B175" i="250"/>
  <c r="J174" i="250"/>
  <c r="I174" i="250"/>
  <c r="B174" i="250"/>
  <c r="O173" i="250"/>
  <c r="J173" i="250"/>
  <c r="I173" i="250"/>
  <c r="B173" i="250"/>
  <c r="J172" i="250"/>
  <c r="I172" i="250"/>
  <c r="B172" i="250"/>
  <c r="J171" i="250"/>
  <c r="I171" i="250"/>
  <c r="B171" i="250"/>
  <c r="J170" i="250"/>
  <c r="I170" i="250"/>
  <c r="B170" i="250"/>
  <c r="J169" i="250"/>
  <c r="I169" i="250"/>
  <c r="B169" i="250"/>
  <c r="J168" i="250"/>
  <c r="I168" i="250"/>
  <c r="B168" i="250"/>
  <c r="J167" i="250"/>
  <c r="I167" i="250"/>
  <c r="B167" i="250"/>
  <c r="J166" i="250"/>
  <c r="I166" i="250"/>
  <c r="B166" i="250"/>
  <c r="J165" i="250"/>
  <c r="I165" i="250"/>
  <c r="B165" i="250"/>
  <c r="J164" i="250"/>
  <c r="I164" i="250"/>
  <c r="B164" i="250"/>
  <c r="J163" i="250"/>
  <c r="I163" i="250"/>
  <c r="B163" i="250"/>
  <c r="J162" i="250"/>
  <c r="I162" i="250"/>
  <c r="B162" i="250"/>
  <c r="J161" i="250"/>
  <c r="I161" i="250"/>
  <c r="B161" i="250"/>
  <c r="J160" i="250"/>
  <c r="I160" i="250"/>
  <c r="B160" i="250"/>
  <c r="J159" i="250"/>
  <c r="I159" i="250"/>
  <c r="B159" i="250"/>
  <c r="J158" i="250"/>
  <c r="I158" i="250"/>
  <c r="B158" i="250"/>
  <c r="J157" i="250"/>
  <c r="I157" i="250"/>
  <c r="B157" i="250"/>
  <c r="J156" i="250"/>
  <c r="I156" i="250"/>
  <c r="B156" i="250"/>
  <c r="J155" i="250"/>
  <c r="I155" i="250"/>
  <c r="B155" i="250"/>
  <c r="J154" i="250"/>
  <c r="I154" i="250"/>
  <c r="B154" i="250"/>
  <c r="J153" i="250"/>
  <c r="I153" i="250"/>
  <c r="B153" i="250"/>
  <c r="J152" i="250"/>
  <c r="I152" i="250"/>
  <c r="B152" i="250"/>
  <c r="J151" i="250"/>
  <c r="I151" i="250"/>
  <c r="B151" i="250"/>
  <c r="J150" i="250"/>
  <c r="I150" i="250"/>
  <c r="B150" i="250"/>
  <c r="J149" i="250"/>
  <c r="I149" i="250"/>
  <c r="B149" i="250"/>
  <c r="J148" i="250"/>
  <c r="I148" i="250"/>
  <c r="B148" i="250"/>
  <c r="J147" i="250"/>
  <c r="I147" i="250"/>
  <c r="B147" i="250"/>
  <c r="J146" i="250"/>
  <c r="I146" i="250"/>
  <c r="B146" i="250"/>
  <c r="J145" i="250"/>
  <c r="I145" i="250"/>
  <c r="B145" i="250"/>
  <c r="J144" i="250"/>
  <c r="I144" i="250"/>
  <c r="B144" i="250"/>
  <c r="J143" i="250"/>
  <c r="I143" i="250"/>
  <c r="B143" i="250"/>
  <c r="J142" i="250"/>
  <c r="I142" i="250"/>
  <c r="B142" i="250"/>
  <c r="J141" i="250"/>
  <c r="I141" i="250"/>
  <c r="B141" i="250"/>
  <c r="J140" i="250"/>
  <c r="I140" i="250"/>
  <c r="B140" i="250"/>
  <c r="J139" i="250"/>
  <c r="I139" i="250"/>
  <c r="B139" i="250"/>
  <c r="J138" i="250"/>
  <c r="I138" i="250"/>
  <c r="B138" i="250"/>
  <c r="J137" i="250"/>
  <c r="I137" i="250"/>
  <c r="B137" i="250"/>
  <c r="J136" i="250"/>
  <c r="I136" i="250"/>
  <c r="B136" i="250"/>
  <c r="J135" i="250"/>
  <c r="I135" i="250"/>
  <c r="B135" i="250"/>
  <c r="J134" i="250"/>
  <c r="I134" i="250"/>
  <c r="B134" i="250"/>
  <c r="J133" i="250"/>
  <c r="I133" i="250"/>
  <c r="B133" i="250"/>
  <c r="J132" i="250"/>
  <c r="I132" i="250"/>
  <c r="B132" i="250"/>
  <c r="J131" i="250"/>
  <c r="I131" i="250"/>
  <c r="B131" i="250"/>
  <c r="J130" i="250"/>
  <c r="I130" i="250"/>
  <c r="B130" i="250"/>
  <c r="L129" i="250"/>
  <c r="K129" i="250"/>
  <c r="J127" i="250"/>
  <c r="I127" i="250"/>
  <c r="B127" i="250"/>
  <c r="J126" i="250"/>
  <c r="I126" i="250"/>
  <c r="B126" i="250"/>
  <c r="O125" i="250"/>
  <c r="J125" i="250"/>
  <c r="I125" i="250"/>
  <c r="B125" i="250"/>
  <c r="O124" i="250"/>
  <c r="J124" i="250"/>
  <c r="I124" i="250"/>
  <c r="B124" i="250"/>
  <c r="O123" i="250"/>
  <c r="J123" i="250"/>
  <c r="I123" i="250"/>
  <c r="B123" i="250"/>
  <c r="O122" i="250"/>
  <c r="J122" i="250"/>
  <c r="I122" i="250"/>
  <c r="B122" i="250"/>
  <c r="O121" i="250"/>
  <c r="J121" i="250"/>
  <c r="I121" i="250"/>
  <c r="B121" i="250"/>
  <c r="J120" i="250"/>
  <c r="I120" i="250"/>
  <c r="B120" i="250"/>
  <c r="O119" i="250"/>
  <c r="O127" i="250" s="1"/>
  <c r="J119" i="250"/>
  <c r="I119" i="250"/>
  <c r="B119" i="250"/>
  <c r="O118" i="250"/>
  <c r="J118" i="250"/>
  <c r="I118" i="250"/>
  <c r="B118" i="250"/>
  <c r="O117" i="250"/>
  <c r="J117" i="250"/>
  <c r="I117" i="250"/>
  <c r="B117" i="250"/>
  <c r="O116" i="250"/>
  <c r="J116" i="250"/>
  <c r="I116" i="250"/>
  <c r="B116" i="250"/>
  <c r="O115" i="250"/>
  <c r="J115" i="250"/>
  <c r="I115" i="250"/>
  <c r="B115" i="250"/>
  <c r="O114" i="250"/>
  <c r="J114" i="250"/>
  <c r="I114" i="250"/>
  <c r="B114" i="250"/>
  <c r="O113" i="250"/>
  <c r="O120" i="250" s="1"/>
  <c r="J113" i="250"/>
  <c r="I113" i="250"/>
  <c r="B113" i="250"/>
  <c r="O112" i="250"/>
  <c r="J112" i="250"/>
  <c r="I112" i="250"/>
  <c r="B112" i="250"/>
  <c r="J111" i="250"/>
  <c r="I111" i="250"/>
  <c r="B111" i="250"/>
  <c r="J110" i="250"/>
  <c r="I110" i="250"/>
  <c r="B110" i="250"/>
  <c r="J109" i="250"/>
  <c r="I109" i="250"/>
  <c r="B109" i="250"/>
  <c r="J108" i="250"/>
  <c r="I108" i="250"/>
  <c r="B108" i="250"/>
  <c r="J107" i="250"/>
  <c r="I107" i="250"/>
  <c r="B107" i="250"/>
  <c r="J106" i="250"/>
  <c r="I106" i="250"/>
  <c r="B106" i="250"/>
  <c r="J105" i="250"/>
  <c r="I105" i="250"/>
  <c r="B105" i="250"/>
  <c r="J104" i="250"/>
  <c r="I104" i="250"/>
  <c r="B104" i="250"/>
  <c r="J103" i="250"/>
  <c r="I103" i="250"/>
  <c r="B103" i="250"/>
  <c r="J102" i="250"/>
  <c r="I102" i="250"/>
  <c r="B102" i="250"/>
  <c r="J101" i="250"/>
  <c r="I101" i="250"/>
  <c r="B101" i="250"/>
  <c r="J100" i="250"/>
  <c r="I100" i="250"/>
  <c r="B100" i="250"/>
  <c r="J99" i="250"/>
  <c r="I99" i="250"/>
  <c r="B99" i="250"/>
  <c r="J98" i="250"/>
  <c r="I98" i="250"/>
  <c r="B98" i="250"/>
  <c r="J97" i="250"/>
  <c r="I97" i="250"/>
  <c r="B97" i="250"/>
  <c r="J96" i="250"/>
  <c r="I96" i="250"/>
  <c r="B96" i="250"/>
  <c r="J95" i="250"/>
  <c r="I95" i="250"/>
  <c r="B95" i="250"/>
  <c r="J94" i="250"/>
  <c r="I94" i="250"/>
  <c r="B94" i="250"/>
  <c r="J93" i="250"/>
  <c r="I93" i="250"/>
  <c r="B93" i="250"/>
  <c r="J92" i="250"/>
  <c r="I92" i="250"/>
  <c r="B92" i="250"/>
  <c r="J91" i="250"/>
  <c r="I91" i="250"/>
  <c r="B91" i="250"/>
  <c r="J90" i="250"/>
  <c r="I90" i="250"/>
  <c r="B90" i="250"/>
  <c r="J89" i="250"/>
  <c r="I89" i="250"/>
  <c r="B89" i="250"/>
  <c r="J88" i="250"/>
  <c r="I88" i="250"/>
  <c r="B88" i="250"/>
  <c r="J87" i="250"/>
  <c r="I87" i="250"/>
  <c r="B87" i="250"/>
  <c r="J86" i="250"/>
  <c r="I86" i="250"/>
  <c r="B86" i="250"/>
  <c r="J85" i="250"/>
  <c r="I85" i="250"/>
  <c r="B85" i="250"/>
  <c r="J84" i="250"/>
  <c r="I84" i="250"/>
  <c r="B84" i="250"/>
  <c r="J83" i="250"/>
  <c r="I83" i="250"/>
  <c r="B83" i="250"/>
  <c r="J82" i="250"/>
  <c r="I82" i="250"/>
  <c r="B82" i="250"/>
  <c r="J81" i="250"/>
  <c r="I81" i="250"/>
  <c r="B81" i="250"/>
  <c r="J80" i="250"/>
  <c r="I80" i="250"/>
  <c r="B80" i="250"/>
  <c r="J79" i="250"/>
  <c r="I79" i="250"/>
  <c r="B79" i="250"/>
  <c r="J78" i="250"/>
  <c r="I78" i="250"/>
  <c r="B78" i="250"/>
  <c r="J77" i="250"/>
  <c r="I77" i="250"/>
  <c r="B77" i="250"/>
  <c r="J76" i="250"/>
  <c r="I76" i="250"/>
  <c r="B76" i="250"/>
  <c r="J75" i="250"/>
  <c r="I75" i="250"/>
  <c r="B75" i="250"/>
  <c r="J74" i="250"/>
  <c r="I74" i="250"/>
  <c r="B74" i="250"/>
  <c r="J73" i="250"/>
  <c r="I73" i="250"/>
  <c r="B73" i="250"/>
  <c r="J72" i="250"/>
  <c r="I72" i="250"/>
  <c r="B72" i="250"/>
  <c r="L71" i="250"/>
  <c r="K71" i="250"/>
  <c r="J69" i="250"/>
  <c r="I69" i="250"/>
  <c r="B69" i="250"/>
  <c r="J68" i="250"/>
  <c r="I68" i="250"/>
  <c r="B68" i="250"/>
  <c r="O67" i="250"/>
  <c r="J67" i="250"/>
  <c r="I67" i="250"/>
  <c r="B67" i="250"/>
  <c r="O66" i="250"/>
  <c r="J66" i="250"/>
  <c r="I66" i="250"/>
  <c r="B66" i="250"/>
  <c r="O65" i="250"/>
  <c r="J65" i="250"/>
  <c r="I65" i="250"/>
  <c r="B65" i="250"/>
  <c r="O64" i="250"/>
  <c r="J64" i="250"/>
  <c r="I64" i="250"/>
  <c r="B64" i="250"/>
  <c r="O63" i="250"/>
  <c r="J63" i="250"/>
  <c r="I63" i="250"/>
  <c r="B63" i="250"/>
  <c r="O62" i="250"/>
  <c r="J62" i="250"/>
  <c r="I62" i="250"/>
  <c r="B62" i="250"/>
  <c r="O61" i="250"/>
  <c r="J61" i="250"/>
  <c r="I61" i="250"/>
  <c r="B61" i="250"/>
  <c r="O60" i="250"/>
  <c r="J60" i="250"/>
  <c r="I60" i="250"/>
  <c r="B60" i="250"/>
  <c r="J59" i="250"/>
  <c r="I59" i="250"/>
  <c r="B59" i="250"/>
  <c r="J58" i="250"/>
  <c r="I58" i="250"/>
  <c r="B58" i="250"/>
  <c r="J57" i="250"/>
  <c r="I57" i="250"/>
  <c r="B57" i="250"/>
  <c r="J56" i="250"/>
  <c r="I56" i="250"/>
  <c r="B56" i="250"/>
  <c r="J55" i="250"/>
  <c r="I55" i="250"/>
  <c r="B55" i="250"/>
  <c r="J54" i="250"/>
  <c r="I54" i="250"/>
  <c r="B54" i="250"/>
  <c r="J53" i="250"/>
  <c r="I53" i="250"/>
  <c r="B53" i="250"/>
  <c r="J52" i="250"/>
  <c r="I52" i="250"/>
  <c r="B52" i="250"/>
  <c r="J51" i="250"/>
  <c r="I51" i="250"/>
  <c r="B51" i="250"/>
  <c r="J50" i="250"/>
  <c r="I50" i="250"/>
  <c r="B50" i="250"/>
  <c r="J49" i="250"/>
  <c r="I49" i="250"/>
  <c r="B49" i="250"/>
  <c r="J48" i="250"/>
  <c r="I48" i="250"/>
  <c r="B48" i="250"/>
  <c r="J47" i="250"/>
  <c r="I47" i="250"/>
  <c r="B47" i="250"/>
  <c r="J46" i="250"/>
  <c r="I46" i="250"/>
  <c r="B46" i="250"/>
  <c r="J45" i="250"/>
  <c r="I45" i="250"/>
  <c r="B45" i="250"/>
  <c r="J44" i="250"/>
  <c r="I44" i="250"/>
  <c r="B44" i="250"/>
  <c r="J43" i="250"/>
  <c r="I43" i="250"/>
  <c r="B43" i="250"/>
  <c r="J42" i="250"/>
  <c r="I42" i="250"/>
  <c r="B42" i="250"/>
  <c r="J41" i="250"/>
  <c r="I41" i="250"/>
  <c r="B41" i="250"/>
  <c r="J40" i="250"/>
  <c r="I40" i="250"/>
  <c r="B40" i="250"/>
  <c r="J39" i="250"/>
  <c r="I39" i="250"/>
  <c r="B39" i="250"/>
  <c r="J38" i="250"/>
  <c r="I38" i="250"/>
  <c r="B38" i="250"/>
  <c r="J37" i="250"/>
  <c r="I37" i="250"/>
  <c r="B37" i="250"/>
  <c r="J36" i="250"/>
  <c r="I36" i="250"/>
  <c r="B36" i="250"/>
  <c r="J35" i="250"/>
  <c r="I35" i="250"/>
  <c r="B35" i="250"/>
  <c r="J34" i="250"/>
  <c r="I34" i="250"/>
  <c r="B34" i="250"/>
  <c r="J33" i="250"/>
  <c r="I33" i="250"/>
  <c r="B33" i="250"/>
  <c r="J32" i="250"/>
  <c r="I32" i="250"/>
  <c r="B32" i="250"/>
  <c r="J31" i="250"/>
  <c r="I31" i="250"/>
  <c r="B31" i="250"/>
  <c r="J30" i="250"/>
  <c r="I30" i="250"/>
  <c r="B30" i="250"/>
  <c r="J29" i="250"/>
  <c r="I29" i="250"/>
  <c r="B29" i="250"/>
  <c r="J28" i="250"/>
  <c r="I28" i="250"/>
  <c r="B28" i="250"/>
  <c r="J27" i="250"/>
  <c r="I27" i="250"/>
  <c r="B27" i="250"/>
  <c r="J26" i="250"/>
  <c r="I26" i="250"/>
  <c r="B26" i="250"/>
  <c r="AG25" i="250"/>
  <c r="AD25" i="250"/>
  <c r="J25" i="250"/>
  <c r="I25" i="250"/>
  <c r="B25" i="250"/>
  <c r="AG24" i="250"/>
  <c r="AD24" i="250"/>
  <c r="J24" i="250"/>
  <c r="I24" i="250"/>
  <c r="B24" i="250"/>
  <c r="AG23" i="250"/>
  <c r="AD23" i="250"/>
  <c r="J23" i="250"/>
  <c r="I23" i="250"/>
  <c r="B23" i="250"/>
  <c r="AG22" i="250"/>
  <c r="AD22" i="250"/>
  <c r="J22" i="250"/>
  <c r="I22" i="250"/>
  <c r="B22" i="250"/>
  <c r="AG21" i="250"/>
  <c r="AD21" i="250"/>
  <c r="J21" i="250"/>
  <c r="I21" i="250"/>
  <c r="B21" i="250"/>
  <c r="AG20" i="250"/>
  <c r="AD20" i="250"/>
  <c r="J20" i="250"/>
  <c r="I20" i="250"/>
  <c r="B20" i="250"/>
  <c r="AG19" i="250"/>
  <c r="AD19" i="250"/>
  <c r="J19" i="250"/>
  <c r="I19" i="250"/>
  <c r="B19" i="250"/>
  <c r="AG18" i="250"/>
  <c r="AD18" i="250"/>
  <c r="J18" i="250"/>
  <c r="I18" i="250"/>
  <c r="B18" i="250"/>
  <c r="AG17" i="250"/>
  <c r="AD17" i="250"/>
  <c r="J17" i="250"/>
  <c r="I17" i="250"/>
  <c r="B17" i="250"/>
  <c r="AG16" i="250"/>
  <c r="AD16" i="250"/>
  <c r="J16" i="250"/>
  <c r="I16" i="250"/>
  <c r="B16" i="250"/>
  <c r="AG15" i="250"/>
  <c r="AD15" i="250"/>
  <c r="J15" i="250"/>
  <c r="I15" i="250"/>
  <c r="B15" i="250"/>
  <c r="AG14" i="250"/>
  <c r="AD14" i="250"/>
  <c r="J14" i="250"/>
  <c r="I14" i="250"/>
  <c r="B14" i="250"/>
  <c r="AG13" i="250"/>
  <c r="Q457" i="250" s="1"/>
  <c r="AD13" i="250"/>
  <c r="J13" i="250"/>
  <c r="I13" i="250"/>
  <c r="B13" i="250"/>
  <c r="AG12" i="250"/>
  <c r="AD12" i="250"/>
  <c r="J12" i="250"/>
  <c r="I12" i="250"/>
  <c r="B12" i="250"/>
  <c r="AG11" i="250"/>
  <c r="AD11" i="250"/>
  <c r="J11" i="250"/>
  <c r="I11" i="250"/>
  <c r="B11" i="250"/>
  <c r="AG10" i="250"/>
  <c r="AD10" i="250"/>
  <c r="J10" i="250"/>
  <c r="I10" i="250"/>
  <c r="B10" i="250"/>
  <c r="AG9" i="250"/>
  <c r="AD9" i="250"/>
  <c r="J9" i="250"/>
  <c r="I9" i="250"/>
  <c r="B9" i="250"/>
  <c r="AG8" i="250"/>
  <c r="AD8" i="250"/>
  <c r="J8" i="250"/>
  <c r="I8" i="250"/>
  <c r="B8" i="250"/>
  <c r="AG7" i="250"/>
  <c r="AD7" i="250"/>
  <c r="J7" i="250"/>
  <c r="I7" i="250"/>
  <c r="B7" i="250"/>
  <c r="AG6" i="250"/>
  <c r="AD6" i="250"/>
  <c r="J6" i="250"/>
  <c r="I6" i="250"/>
  <c r="B6" i="250"/>
  <c r="L5" i="250"/>
  <c r="K5" i="250"/>
  <c r="AB2" i="250"/>
  <c r="AB5" i="250" s="1"/>
  <c r="AA2" i="250"/>
  <c r="AA261" i="250" s="1"/>
  <c r="Z129" i="250"/>
  <c r="Y2" i="250"/>
  <c r="X2" i="250"/>
  <c r="X5" i="250" s="1"/>
  <c r="W2" i="250"/>
  <c r="W5" i="250" s="1"/>
  <c r="V2" i="250"/>
  <c r="U2" i="250"/>
  <c r="P2" i="250"/>
  <c r="L9" i="251" l="1"/>
  <c r="L97" i="251"/>
  <c r="L24" i="251"/>
  <c r="L82" i="251"/>
  <c r="L94" i="251"/>
  <c r="L23" i="251"/>
  <c r="L13" i="251"/>
  <c r="L98" i="251"/>
  <c r="L79" i="251"/>
  <c r="L15" i="251"/>
  <c r="L85" i="251"/>
  <c r="L80" i="251"/>
  <c r="L66" i="251"/>
  <c r="L90" i="251"/>
  <c r="L78" i="251"/>
  <c r="L14" i="251"/>
  <c r="L7" i="251"/>
  <c r="L48" i="251"/>
  <c r="L99" i="251"/>
  <c r="L6" i="251"/>
  <c r="L12" i="251"/>
  <c r="L91" i="251"/>
  <c r="L92" i="251"/>
  <c r="K257" i="253"/>
  <c r="L257" i="253" s="1"/>
  <c r="L18" i="251"/>
  <c r="K471" i="250"/>
  <c r="L34" i="251"/>
  <c r="L74" i="251"/>
  <c r="L500" i="253"/>
  <c r="L574" i="253"/>
  <c r="L573" i="253"/>
  <c r="P524" i="253"/>
  <c r="P597" i="253"/>
  <c r="L596" i="253"/>
  <c r="J262" i="253"/>
  <c r="K262" i="253" s="1"/>
  <c r="L262" i="253" s="1"/>
  <c r="H263" i="253"/>
  <c r="J260" i="253"/>
  <c r="I260" i="253"/>
  <c r="K260" i="253" s="1"/>
  <c r="L260" i="253" s="1"/>
  <c r="L96" i="251"/>
  <c r="L22" i="251"/>
  <c r="L25" i="251"/>
  <c r="L36" i="251"/>
  <c r="L20" i="251"/>
  <c r="L27" i="251"/>
  <c r="L19" i="251"/>
  <c r="L72" i="251"/>
  <c r="L35" i="251"/>
  <c r="L26" i="251"/>
  <c r="L32" i="251"/>
  <c r="L33" i="251"/>
  <c r="L30" i="251"/>
  <c r="L39" i="251"/>
  <c r="L21" i="251"/>
  <c r="L37" i="251"/>
  <c r="K590" i="250"/>
  <c r="K278" i="250"/>
  <c r="K619" i="250"/>
  <c r="O887" i="250"/>
  <c r="J500" i="250"/>
  <c r="O69" i="250"/>
  <c r="O68" i="250"/>
  <c r="K721" i="250"/>
  <c r="J507" i="250"/>
  <c r="K507" i="250" s="1"/>
  <c r="AA71" i="250"/>
  <c r="P364" i="250"/>
  <c r="K472" i="250"/>
  <c r="K470" i="250"/>
  <c r="K607" i="250"/>
  <c r="K429" i="250"/>
  <c r="K771" i="250"/>
  <c r="K199" i="250"/>
  <c r="K149" i="250"/>
  <c r="K430" i="250"/>
  <c r="K266" i="250"/>
  <c r="O409" i="250"/>
  <c r="O411" i="250" s="1"/>
  <c r="K138" i="250"/>
  <c r="K214" i="250"/>
  <c r="K227" i="250"/>
  <c r="K451" i="250"/>
  <c r="K425" i="250"/>
  <c r="K447" i="250"/>
  <c r="K691" i="250"/>
  <c r="K497" i="250"/>
  <c r="K64" i="250"/>
  <c r="K183" i="250"/>
  <c r="K652" i="250"/>
  <c r="K428" i="250"/>
  <c r="K327" i="250"/>
  <c r="K496" i="250"/>
  <c r="H478" i="250"/>
  <c r="J478" i="250" s="1"/>
  <c r="O879" i="250"/>
  <c r="I436" i="250"/>
  <c r="K339" i="250"/>
  <c r="K887" i="250"/>
  <c r="I437" i="250"/>
  <c r="K437" i="250" s="1"/>
  <c r="K449" i="250"/>
  <c r="I454" i="250"/>
  <c r="K454" i="250" s="1"/>
  <c r="H461" i="250"/>
  <c r="J461" i="250" s="1"/>
  <c r="J499" i="250"/>
  <c r="K127" i="250"/>
  <c r="K237" i="250"/>
  <c r="K305" i="250"/>
  <c r="K548" i="250"/>
  <c r="K557" i="250"/>
  <c r="K644" i="250"/>
  <c r="K452" i="250"/>
  <c r="I475" i="250"/>
  <c r="K475" i="250" s="1"/>
  <c r="K494" i="250"/>
  <c r="J502" i="250"/>
  <c r="K352" i="250"/>
  <c r="K426" i="250"/>
  <c r="I431" i="250"/>
  <c r="K483" i="250"/>
  <c r="K192" i="250"/>
  <c r="K450" i="250"/>
  <c r="K481" i="250"/>
  <c r="K489" i="250"/>
  <c r="K492" i="250"/>
  <c r="K503" i="250"/>
  <c r="K315" i="250"/>
  <c r="K424" i="250"/>
  <c r="K453" i="250"/>
  <c r="J486" i="250"/>
  <c r="K495" i="250"/>
  <c r="K240" i="250"/>
  <c r="O923" i="250"/>
  <c r="O925" i="250" s="1"/>
  <c r="K427" i="250"/>
  <c r="K448" i="250"/>
  <c r="H477" i="250"/>
  <c r="I477" i="250" s="1"/>
  <c r="K498" i="250"/>
  <c r="K378" i="250"/>
  <c r="O474" i="250"/>
  <c r="O477" i="250" s="1"/>
  <c r="K482" i="250"/>
  <c r="I484" i="250"/>
  <c r="K493" i="250"/>
  <c r="J501" i="250"/>
  <c r="J487" i="250"/>
  <c r="I487" i="250"/>
  <c r="K487" i="250" s="1"/>
  <c r="K803" i="250"/>
  <c r="H509" i="250"/>
  <c r="I509" i="250" s="1"/>
  <c r="K268" i="250"/>
  <c r="K627" i="250"/>
  <c r="O919" i="250"/>
  <c r="I434" i="250"/>
  <c r="K434" i="250" s="1"/>
  <c r="H467" i="250"/>
  <c r="J467" i="250" s="1"/>
  <c r="J484" i="250"/>
  <c r="O417" i="250"/>
  <c r="K856" i="250"/>
  <c r="O903" i="250"/>
  <c r="I432" i="250"/>
  <c r="K432" i="250" s="1"/>
  <c r="J503" i="250"/>
  <c r="K170" i="250"/>
  <c r="K280" i="250"/>
  <c r="K564" i="250"/>
  <c r="O924" i="250"/>
  <c r="I435" i="250"/>
  <c r="K435" i="250" s="1"/>
  <c r="I438" i="250"/>
  <c r="K438" i="250" s="1"/>
  <c r="H441" i="250"/>
  <c r="J441" i="250" s="1"/>
  <c r="J474" i="250"/>
  <c r="K474" i="250" s="1"/>
  <c r="J498" i="250"/>
  <c r="K533" i="250"/>
  <c r="K660" i="250"/>
  <c r="K775" i="250"/>
  <c r="I433" i="250"/>
  <c r="H439" i="250"/>
  <c r="J439" i="250" s="1"/>
  <c r="P41" i="250"/>
  <c r="P89" i="250"/>
  <c r="O408" i="250"/>
  <c r="O412" i="250" s="1"/>
  <c r="K936" i="250"/>
  <c r="K935" i="250"/>
  <c r="K939" i="250"/>
  <c r="K930" i="250"/>
  <c r="K938" i="250"/>
  <c r="K937" i="250"/>
  <c r="K934" i="250"/>
  <c r="K932" i="250"/>
  <c r="K933" i="250"/>
  <c r="K931" i="250"/>
  <c r="K10" i="250"/>
  <c r="K19" i="250"/>
  <c r="K28" i="250"/>
  <c r="K37" i="250"/>
  <c r="K44" i="250"/>
  <c r="K50" i="250"/>
  <c r="K55" i="250"/>
  <c r="K62" i="250"/>
  <c r="K88" i="250"/>
  <c r="K96" i="250"/>
  <c r="K106" i="250"/>
  <c r="K115" i="250"/>
  <c r="P77" i="250"/>
  <c r="P160" i="250"/>
  <c r="P165" i="250"/>
  <c r="K351" i="250"/>
  <c r="K334" i="250"/>
  <c r="K328" i="250"/>
  <c r="K299" i="250"/>
  <c r="K292" i="250"/>
  <c r="K350" i="250"/>
  <c r="K355" i="250"/>
  <c r="K349" i="250"/>
  <c r="K344" i="250"/>
  <c r="K333" i="250"/>
  <c r="K326" i="250"/>
  <c r="K320" i="250"/>
  <c r="K309" i="250"/>
  <c r="K304" i="250"/>
  <c r="K298" i="250"/>
  <c r="K354" i="250"/>
  <c r="K348" i="250"/>
  <c r="K343" i="250"/>
  <c r="K338" i="250"/>
  <c r="K332" i="250"/>
  <c r="K325" i="250"/>
  <c r="K314" i="250"/>
  <c r="K308" i="250"/>
  <c r="K303" i="250"/>
  <c r="K297" i="250"/>
  <c r="K353" i="250"/>
  <c r="K347" i="250"/>
  <c r="K342" i="250"/>
  <c r="K337" i="250"/>
  <c r="K318" i="250"/>
  <c r="K313" i="250"/>
  <c r="K307" i="250"/>
  <c r="K295" i="250"/>
  <c r="K397" i="250"/>
  <c r="K390" i="250"/>
  <c r="K385" i="250"/>
  <c r="K418" i="250"/>
  <c r="K407" i="250"/>
  <c r="K411" i="250"/>
  <c r="K404" i="250"/>
  <c r="K389" i="250"/>
  <c r="K382" i="250"/>
  <c r="K377" i="250"/>
  <c r="K372" i="250"/>
  <c r="K366" i="250"/>
  <c r="K359" i="250"/>
  <c r="K417" i="250"/>
  <c r="K410" i="250"/>
  <c r="K403" i="250"/>
  <c r="K396" i="250"/>
  <c r="K388" i="250"/>
  <c r="K365" i="250"/>
  <c r="K358" i="250"/>
  <c r="K416" i="250"/>
  <c r="K409" i="250"/>
  <c r="K402" i="250"/>
  <c r="K395" i="250"/>
  <c r="K381" i="250"/>
  <c r="K376" i="250"/>
  <c r="K371" i="250"/>
  <c r="K415" i="250"/>
  <c r="K408" i="250"/>
  <c r="K401" i="250"/>
  <c r="K394" i="250"/>
  <c r="K387" i="250"/>
  <c r="K375" i="250"/>
  <c r="K370" i="250"/>
  <c r="K364" i="250"/>
  <c r="K414" i="250"/>
  <c r="K406" i="250"/>
  <c r="K400" i="250"/>
  <c r="K393" i="250"/>
  <c r="K386" i="250"/>
  <c r="K380" i="250"/>
  <c r="K374" i="250"/>
  <c r="K369" i="250"/>
  <c r="K363" i="250"/>
  <c r="K420" i="250"/>
  <c r="K412" i="250"/>
  <c r="K405" i="250"/>
  <c r="K399" i="250"/>
  <c r="K391" i="250"/>
  <c r="K384" i="250"/>
  <c r="K379" i="250"/>
  <c r="K373" i="250"/>
  <c r="K361" i="250"/>
  <c r="K765" i="250"/>
  <c r="K750" i="250"/>
  <c r="K734" i="250"/>
  <c r="K729" i="250"/>
  <c r="K717" i="250"/>
  <c r="K711" i="250"/>
  <c r="K706" i="250"/>
  <c r="K761" i="250"/>
  <c r="K755" i="250"/>
  <c r="K749" i="250"/>
  <c r="K744" i="250"/>
  <c r="K738" i="250"/>
  <c r="K760" i="250"/>
  <c r="K754" i="250"/>
  <c r="K743" i="250"/>
  <c r="K737" i="250"/>
  <c r="K731" i="250"/>
  <c r="K724" i="250"/>
  <c r="K764" i="250"/>
  <c r="K758" i="250"/>
  <c r="K753" i="250"/>
  <c r="K735" i="250"/>
  <c r="K728" i="250"/>
  <c r="K722" i="250"/>
  <c r="K763" i="250"/>
  <c r="K757" i="250"/>
  <c r="K752" i="250"/>
  <c r="K746" i="250"/>
  <c r="K740" i="250"/>
  <c r="K733" i="250"/>
  <c r="K726" i="250"/>
  <c r="K720" i="250"/>
  <c r="K714" i="250"/>
  <c r="K745" i="250"/>
  <c r="K719" i="250"/>
  <c r="K709" i="250"/>
  <c r="K756" i="250"/>
  <c r="K732" i="250"/>
  <c r="K718" i="250"/>
  <c r="K708" i="250"/>
  <c r="K742" i="250"/>
  <c r="K730" i="250"/>
  <c r="K707" i="250"/>
  <c r="K741" i="250"/>
  <c r="K727" i="250"/>
  <c r="K716" i="250"/>
  <c r="K705" i="250"/>
  <c r="K762" i="250"/>
  <c r="K751" i="250"/>
  <c r="K715" i="250"/>
  <c r="K704" i="250"/>
  <c r="K759" i="250"/>
  <c r="K748" i="250"/>
  <c r="K736" i="250"/>
  <c r="K723" i="250"/>
  <c r="K712" i="250"/>
  <c r="K702" i="250"/>
  <c r="O886" i="250"/>
  <c r="O911" i="250"/>
  <c r="K6" i="250"/>
  <c r="K15" i="250"/>
  <c r="K24" i="250"/>
  <c r="K33" i="250"/>
  <c r="K38" i="250"/>
  <c r="K51" i="250"/>
  <c r="K56" i="250"/>
  <c r="K72" i="250"/>
  <c r="K80" i="250"/>
  <c r="K98" i="250"/>
  <c r="K107" i="250"/>
  <c r="K116" i="250"/>
  <c r="K126" i="250"/>
  <c r="K150" i="250"/>
  <c r="K160" i="250"/>
  <c r="K171" i="250"/>
  <c r="K185" i="250"/>
  <c r="K202" i="250"/>
  <c r="K216" i="250"/>
  <c r="K229" i="250"/>
  <c r="K242" i="250"/>
  <c r="K253" i="250"/>
  <c r="K293" i="250"/>
  <c r="K306" i="250"/>
  <c r="K316" i="250"/>
  <c r="K329" i="250"/>
  <c r="K340" i="250"/>
  <c r="K527" i="250"/>
  <c r="K622" i="250"/>
  <c r="K655" i="250"/>
  <c r="K685" i="250"/>
  <c r="K725" i="250"/>
  <c r="K11" i="250"/>
  <c r="K20" i="250"/>
  <c r="K29" i="250"/>
  <c r="K34" i="250"/>
  <c r="K45" i="250"/>
  <c r="K52" i="250"/>
  <c r="K57" i="250"/>
  <c r="K63" i="250"/>
  <c r="K73" i="250"/>
  <c r="K81" i="250"/>
  <c r="K89" i="250"/>
  <c r="K100" i="250"/>
  <c r="K108" i="250"/>
  <c r="K140" i="250"/>
  <c r="K151" i="250"/>
  <c r="K162" i="250"/>
  <c r="K172" i="250"/>
  <c r="K186" i="250"/>
  <c r="K203" i="250"/>
  <c r="K230" i="250"/>
  <c r="K294" i="250"/>
  <c r="K317" i="250"/>
  <c r="K330" i="250"/>
  <c r="K341" i="250"/>
  <c r="K360" i="250"/>
  <c r="K383" i="250"/>
  <c r="U446" i="250"/>
  <c r="U423" i="250"/>
  <c r="U469" i="250"/>
  <c r="U480" i="250"/>
  <c r="U491" i="250"/>
  <c r="U261" i="250"/>
  <c r="P29" i="250"/>
  <c r="K121" i="250"/>
  <c r="K125" i="250"/>
  <c r="K119" i="250"/>
  <c r="K112" i="250"/>
  <c r="K105" i="250"/>
  <c r="K99" i="250"/>
  <c r="K92" i="250"/>
  <c r="K85" i="250"/>
  <c r="K79" i="250"/>
  <c r="K124" i="250"/>
  <c r="K117" i="250"/>
  <c r="K110" i="250"/>
  <c r="K104" i="250"/>
  <c r="K97" i="250"/>
  <c r="K90" i="250"/>
  <c r="K84" i="250"/>
  <c r="K78" i="250"/>
  <c r="W71" i="250"/>
  <c r="W423" i="250"/>
  <c r="W469" i="250"/>
  <c r="W480" i="250"/>
  <c r="W491" i="250"/>
  <c r="W446" i="250"/>
  <c r="U5" i="250"/>
  <c r="P37" i="250"/>
  <c r="P63" i="250"/>
  <c r="P85" i="250"/>
  <c r="O126" i="250"/>
  <c r="P168" i="250"/>
  <c r="O181" i="250"/>
  <c r="P190" i="250"/>
  <c r="K285" i="250"/>
  <c r="K279" i="250"/>
  <c r="K267" i="250"/>
  <c r="K289" i="250"/>
  <c r="K283" i="250"/>
  <c r="K277" i="250"/>
  <c r="K265" i="250"/>
  <c r="K288" i="250"/>
  <c r="K282" i="250"/>
  <c r="K276" i="250"/>
  <c r="K271" i="250"/>
  <c r="K287" i="250"/>
  <c r="K274" i="250"/>
  <c r="K269" i="250"/>
  <c r="K263" i="250"/>
  <c r="K795" i="250"/>
  <c r="K786" i="250"/>
  <c r="K777" i="250"/>
  <c r="K772" i="250"/>
  <c r="K784" i="250"/>
  <c r="K779" i="250"/>
  <c r="K774" i="250"/>
  <c r="K768" i="250"/>
  <c r="K794" i="250"/>
  <c r="K789" i="250"/>
  <c r="K788" i="250"/>
  <c r="K783" i="250"/>
  <c r="K778" i="250"/>
  <c r="K773" i="250"/>
  <c r="K793" i="250"/>
  <c r="K781" i="250"/>
  <c r="K785" i="250"/>
  <c r="K770" i="250"/>
  <c r="K782" i="250"/>
  <c r="K769" i="250"/>
  <c r="K780" i="250"/>
  <c r="K792" i="250"/>
  <c r="K791" i="250"/>
  <c r="K776" i="250"/>
  <c r="K787" i="250"/>
  <c r="O871" i="250"/>
  <c r="K7" i="250"/>
  <c r="K16" i="250"/>
  <c r="K25" i="250"/>
  <c r="K30" i="250"/>
  <c r="K39" i="250"/>
  <c r="K58" i="250"/>
  <c r="K74" i="250"/>
  <c r="K82" i="250"/>
  <c r="K91" i="250"/>
  <c r="K118" i="250"/>
  <c r="K131" i="250"/>
  <c r="K142" i="250"/>
  <c r="K152" i="250"/>
  <c r="K163" i="250"/>
  <c r="K174" i="250"/>
  <c r="K187" i="250"/>
  <c r="K218" i="250"/>
  <c r="K231" i="250"/>
  <c r="K244" i="250"/>
  <c r="K255" i="250"/>
  <c r="K270" i="250"/>
  <c r="K281" i="250"/>
  <c r="K296" i="250"/>
  <c r="K319" i="250"/>
  <c r="K331" i="250"/>
  <c r="K362" i="250"/>
  <c r="K413" i="250"/>
  <c r="K599" i="250"/>
  <c r="K630" i="250"/>
  <c r="K662" i="250"/>
  <c r="K693" i="250"/>
  <c r="K739" i="250"/>
  <c r="K790" i="250"/>
  <c r="P104" i="250"/>
  <c r="K69" i="250"/>
  <c r="P57" i="250"/>
  <c r="X71" i="250"/>
  <c r="P151" i="250"/>
  <c r="P229" i="250"/>
  <c r="O365" i="250"/>
  <c r="O364" i="250"/>
  <c r="O389" i="250"/>
  <c r="K12" i="250"/>
  <c r="K21" i="250"/>
  <c r="K26" i="250"/>
  <c r="K35" i="250"/>
  <c r="K40" i="250"/>
  <c r="K46" i="250"/>
  <c r="K53" i="250"/>
  <c r="K59" i="250"/>
  <c r="K65" i="250"/>
  <c r="K75" i="250"/>
  <c r="K83" i="250"/>
  <c r="K101" i="250"/>
  <c r="K109" i="250"/>
  <c r="K120" i="250"/>
  <c r="K132" i="250"/>
  <c r="K154" i="250"/>
  <c r="K165" i="250"/>
  <c r="K176" i="250"/>
  <c r="K190" i="250"/>
  <c r="K207" i="250"/>
  <c r="K234" i="250"/>
  <c r="K246" i="250"/>
  <c r="K257" i="250"/>
  <c r="K272" i="250"/>
  <c r="K284" i="250"/>
  <c r="K310" i="250"/>
  <c r="K321" i="250"/>
  <c r="K345" i="250"/>
  <c r="K367" i="250"/>
  <c r="K419" i="250"/>
  <c r="K540" i="250"/>
  <c r="K571" i="250"/>
  <c r="K604" i="250"/>
  <c r="K637" i="250"/>
  <c r="K699" i="250"/>
  <c r="K747" i="250"/>
  <c r="P45" i="250"/>
  <c r="O419" i="250"/>
  <c r="O416" i="250"/>
  <c r="O420" i="250" s="1"/>
  <c r="K855" i="250"/>
  <c r="K850" i="250"/>
  <c r="K841" i="250"/>
  <c r="K832" i="250"/>
  <c r="K823" i="250"/>
  <c r="K818" i="250"/>
  <c r="K809" i="250"/>
  <c r="K858" i="250"/>
  <c r="K849" i="250"/>
  <c r="K840" i="250"/>
  <c r="K831" i="250"/>
  <c r="K826" i="250"/>
  <c r="K817" i="250"/>
  <c r="K808" i="250"/>
  <c r="K861" i="250"/>
  <c r="K852" i="250"/>
  <c r="K843" i="250"/>
  <c r="K838" i="250"/>
  <c r="K829" i="250"/>
  <c r="K820" i="250"/>
  <c r="K811" i="250"/>
  <c r="K806" i="250"/>
  <c r="K853" i="250"/>
  <c r="K846" i="250"/>
  <c r="K839" i="250"/>
  <c r="K824" i="250"/>
  <c r="K860" i="250"/>
  <c r="K845" i="250"/>
  <c r="K830" i="250"/>
  <c r="K816" i="250"/>
  <c r="K802" i="250"/>
  <c r="K859" i="250"/>
  <c r="K844" i="250"/>
  <c r="K837" i="250"/>
  <c r="K822" i="250"/>
  <c r="K815" i="250"/>
  <c r="K801" i="250"/>
  <c r="K851" i="250"/>
  <c r="K836" i="250"/>
  <c r="K821" i="250"/>
  <c r="K814" i="250"/>
  <c r="K807" i="250"/>
  <c r="K857" i="250"/>
  <c r="K842" i="250"/>
  <c r="K835" i="250"/>
  <c r="K828" i="250"/>
  <c r="K813" i="250"/>
  <c r="K800" i="250"/>
  <c r="K848" i="250"/>
  <c r="K833" i="250"/>
  <c r="K819" i="250"/>
  <c r="K799" i="250"/>
  <c r="K854" i="250"/>
  <c r="K825" i="250"/>
  <c r="K798" i="250"/>
  <c r="K847" i="250"/>
  <c r="K812" i="250"/>
  <c r="K810" i="250"/>
  <c r="K804" i="250"/>
  <c r="O878" i="250"/>
  <c r="K8" i="250"/>
  <c r="K17" i="250"/>
  <c r="K22" i="250"/>
  <c r="K31" i="250"/>
  <c r="K41" i="250"/>
  <c r="K47" i="250"/>
  <c r="K60" i="250"/>
  <c r="K66" i="250"/>
  <c r="K76" i="250"/>
  <c r="K93" i="250"/>
  <c r="K102" i="250"/>
  <c r="K111" i="250"/>
  <c r="K134" i="250"/>
  <c r="K144" i="250"/>
  <c r="K155" i="250"/>
  <c r="K166" i="250"/>
  <c r="K178" i="250"/>
  <c r="K191" i="250"/>
  <c r="K222" i="250"/>
  <c r="K236" i="250"/>
  <c r="K247" i="250"/>
  <c r="K259" i="250"/>
  <c r="K273" i="250"/>
  <c r="K300" i="250"/>
  <c r="K311" i="250"/>
  <c r="K322" i="250"/>
  <c r="K335" i="250"/>
  <c r="K346" i="250"/>
  <c r="K368" i="250"/>
  <c r="K392" i="250"/>
  <c r="K421" i="250"/>
  <c r="K573" i="250"/>
  <c r="K639" i="250"/>
  <c r="K670" i="250"/>
  <c r="K703" i="250"/>
  <c r="K805" i="250"/>
  <c r="P213" i="250"/>
  <c r="P484" i="250"/>
  <c r="P472" i="250"/>
  <c r="P471" i="250"/>
  <c r="P470" i="250"/>
  <c r="P460" i="250"/>
  <c r="P459" i="250"/>
  <c r="P458" i="250"/>
  <c r="P457" i="250"/>
  <c r="P456" i="250"/>
  <c r="P455" i="250"/>
  <c r="P454" i="250"/>
  <c r="P452" i="250"/>
  <c r="P440" i="250"/>
  <c r="P427" i="250"/>
  <c r="P509" i="250"/>
  <c r="P483" i="250"/>
  <c r="P482" i="250"/>
  <c r="P481" i="250"/>
  <c r="P467" i="250"/>
  <c r="P453" i="250"/>
  <c r="P439" i="250"/>
  <c r="P428" i="250"/>
  <c r="P508" i="250"/>
  <c r="P492" i="250"/>
  <c r="P478" i="250"/>
  <c r="P466" i="250"/>
  <c r="P438" i="250"/>
  <c r="P429" i="250"/>
  <c r="P507" i="250"/>
  <c r="P493" i="250"/>
  <c r="P489" i="250"/>
  <c r="P477" i="250"/>
  <c r="P465" i="250"/>
  <c r="P447" i="250"/>
  <c r="P437" i="250"/>
  <c r="P436" i="250"/>
  <c r="P435" i="250"/>
  <c r="P434" i="250"/>
  <c r="P433" i="250"/>
  <c r="P432" i="250"/>
  <c r="P431" i="250"/>
  <c r="P430" i="250"/>
  <c r="P506" i="250"/>
  <c r="P494" i="250"/>
  <c r="P488" i="250"/>
  <c r="P476" i="250"/>
  <c r="P464" i="250"/>
  <c r="P448" i="250"/>
  <c r="P444" i="250"/>
  <c r="P505" i="250"/>
  <c r="P495" i="250"/>
  <c r="P487" i="250"/>
  <c r="P475" i="250"/>
  <c r="P463" i="250"/>
  <c r="P449" i="250"/>
  <c r="P443" i="250"/>
  <c r="P424" i="250"/>
  <c r="P504" i="250"/>
  <c r="P496" i="250"/>
  <c r="P486" i="250"/>
  <c r="P474" i="250"/>
  <c r="P462" i="250"/>
  <c r="P450" i="250"/>
  <c r="P442" i="250"/>
  <c r="P425" i="250"/>
  <c r="P503" i="250"/>
  <c r="P501" i="250"/>
  <c r="P499" i="250"/>
  <c r="P497" i="250"/>
  <c r="P426" i="250"/>
  <c r="P441" i="250"/>
  <c r="P461" i="250"/>
  <c r="P485" i="250"/>
  <c r="P473" i="250"/>
  <c r="P498" i="250"/>
  <c r="P451" i="250"/>
  <c r="P500" i="250"/>
  <c r="P502" i="250"/>
  <c r="Q509" i="250"/>
  <c r="Q483" i="250"/>
  <c r="Q482" i="250"/>
  <c r="Q481" i="250"/>
  <c r="Q467" i="250"/>
  <c r="Q453" i="250"/>
  <c r="Q439" i="250"/>
  <c r="Q428" i="250"/>
  <c r="Q508" i="250"/>
  <c r="Q492" i="250"/>
  <c r="Q478" i="250"/>
  <c r="Q466" i="250"/>
  <c r="Q438" i="250"/>
  <c r="Q429" i="250"/>
  <c r="Q507" i="250"/>
  <c r="Q493" i="250"/>
  <c r="Q489" i="250"/>
  <c r="Q477" i="250"/>
  <c r="Q465" i="250"/>
  <c r="Q447" i="250"/>
  <c r="Q437" i="250"/>
  <c r="Q436" i="250"/>
  <c r="Q435" i="250"/>
  <c r="Q434" i="250"/>
  <c r="Q433" i="250"/>
  <c r="Q432" i="250"/>
  <c r="Q431" i="250"/>
  <c r="Q430" i="250"/>
  <c r="Q506" i="250"/>
  <c r="Q494" i="250"/>
  <c r="Q488" i="250"/>
  <c r="Q476" i="250"/>
  <c r="Q464" i="250"/>
  <c r="Q448" i="250"/>
  <c r="Q444" i="250"/>
  <c r="Q505" i="250"/>
  <c r="Q495" i="250"/>
  <c r="Q487" i="250"/>
  <c r="Q475" i="250"/>
  <c r="Q463" i="250"/>
  <c r="Q449" i="250"/>
  <c r="Q443" i="250"/>
  <c r="Q424" i="250"/>
  <c r="Q504" i="250"/>
  <c r="Q496" i="250"/>
  <c r="Q486" i="250"/>
  <c r="Q474" i="250"/>
  <c r="Q462" i="250"/>
  <c r="Q450" i="250"/>
  <c r="Q442" i="250"/>
  <c r="Q425" i="250"/>
  <c r="Q503" i="250"/>
  <c r="Q502" i="250"/>
  <c r="Q501" i="250"/>
  <c r="Q500" i="250"/>
  <c r="Q499" i="250"/>
  <c r="Q498" i="250"/>
  <c r="Q497" i="250"/>
  <c r="Q485" i="250"/>
  <c r="Q473" i="250"/>
  <c r="Q461" i="250"/>
  <c r="Q451" i="250"/>
  <c r="Q441" i="250"/>
  <c r="Q426" i="250"/>
  <c r="Q454" i="250"/>
  <c r="Q484" i="250"/>
  <c r="Q459" i="250"/>
  <c r="Q452" i="250"/>
  <c r="Q472" i="250"/>
  <c r="Q456" i="250"/>
  <c r="Q470" i="250"/>
  <c r="Q458" i="250"/>
  <c r="Q471" i="250"/>
  <c r="Q460" i="250"/>
  <c r="Q440" i="250"/>
  <c r="Q455" i="250"/>
  <c r="Q427" i="250"/>
  <c r="P49" i="250"/>
  <c r="Y71" i="250"/>
  <c r="Y469" i="250"/>
  <c r="Y480" i="250"/>
  <c r="Y491" i="250"/>
  <c r="Y446" i="250"/>
  <c r="Y423" i="250"/>
  <c r="P199" i="250"/>
  <c r="O397" i="250"/>
  <c r="O396" i="250"/>
  <c r="K628" i="250"/>
  <c r="K623" i="250"/>
  <c r="K610" i="250"/>
  <c r="K605" i="250"/>
  <c r="K588" i="250"/>
  <c r="K582" i="250"/>
  <c r="K626" i="250"/>
  <c r="K621" i="250"/>
  <c r="K609" i="250"/>
  <c r="K603" i="250"/>
  <c r="K598" i="250"/>
  <c r="K587" i="250"/>
  <c r="K580" i="250"/>
  <c r="K618" i="250"/>
  <c r="K611" i="250"/>
  <c r="K602" i="250"/>
  <c r="K596" i="250"/>
  <c r="K589" i="250"/>
  <c r="K579" i="250"/>
  <c r="K633" i="250"/>
  <c r="K625" i="250"/>
  <c r="K595" i="250"/>
  <c r="K578" i="250"/>
  <c r="K632" i="250"/>
  <c r="K617" i="250"/>
  <c r="K601" i="250"/>
  <c r="K594" i="250"/>
  <c r="K586" i="250"/>
  <c r="K624" i="250"/>
  <c r="K616" i="250"/>
  <c r="K608" i="250"/>
  <c r="K593" i="250"/>
  <c r="K585" i="250"/>
  <c r="K631" i="250"/>
  <c r="K615" i="250"/>
  <c r="K600" i="250"/>
  <c r="K592" i="250"/>
  <c r="K629" i="250"/>
  <c r="K620" i="250"/>
  <c r="K613" i="250"/>
  <c r="K606" i="250"/>
  <c r="K597" i="250"/>
  <c r="K591" i="250"/>
  <c r="K583" i="250"/>
  <c r="K921" i="250"/>
  <c r="K916" i="250"/>
  <c r="K907" i="250"/>
  <c r="K898" i="250"/>
  <c r="K889" i="250"/>
  <c r="K884" i="250"/>
  <c r="K875" i="250"/>
  <c r="K866" i="250"/>
  <c r="K924" i="250"/>
  <c r="K915" i="250"/>
  <c r="K906" i="250"/>
  <c r="K897" i="250"/>
  <c r="K892" i="250"/>
  <c r="K883" i="250"/>
  <c r="K874" i="250"/>
  <c r="K865" i="250"/>
  <c r="K919" i="250"/>
  <c r="K927" i="250"/>
  <c r="K918" i="250"/>
  <c r="K909" i="250"/>
  <c r="K904" i="250"/>
  <c r="K895" i="250"/>
  <c r="K886" i="250"/>
  <c r="K877" i="250"/>
  <c r="K872" i="250"/>
  <c r="K923" i="250"/>
  <c r="K914" i="250"/>
  <c r="K899" i="250"/>
  <c r="K885" i="250"/>
  <c r="K870" i="250"/>
  <c r="K922" i="250"/>
  <c r="K913" i="250"/>
  <c r="K891" i="250"/>
  <c r="K876" i="250"/>
  <c r="K869" i="250"/>
  <c r="K912" i="250"/>
  <c r="K905" i="250"/>
  <c r="K890" i="250"/>
  <c r="K868" i="250"/>
  <c r="K920" i="250"/>
  <c r="K911" i="250"/>
  <c r="K896" i="250"/>
  <c r="K882" i="250"/>
  <c r="K867" i="250"/>
  <c r="K910" i="250"/>
  <c r="K903" i="250"/>
  <c r="K888" i="250"/>
  <c r="K881" i="250"/>
  <c r="K926" i="250"/>
  <c r="K917" i="250"/>
  <c r="K908" i="250"/>
  <c r="K901" i="250"/>
  <c r="K894" i="250"/>
  <c r="K879" i="250"/>
  <c r="K864" i="250"/>
  <c r="K880" i="250"/>
  <c r="K878" i="250"/>
  <c r="K902" i="250"/>
  <c r="K873" i="250"/>
  <c r="K900" i="250"/>
  <c r="K871" i="250"/>
  <c r="K925" i="250"/>
  <c r="K893" i="250"/>
  <c r="K13" i="250"/>
  <c r="K18" i="250"/>
  <c r="K27" i="250"/>
  <c r="K36" i="250"/>
  <c r="K42" i="250"/>
  <c r="K48" i="250"/>
  <c r="K54" i="250"/>
  <c r="K61" i="250"/>
  <c r="K67" i="250"/>
  <c r="K77" i="250"/>
  <c r="K86" i="250"/>
  <c r="K94" i="250"/>
  <c r="K103" i="250"/>
  <c r="K113" i="250"/>
  <c r="K122" i="250"/>
  <c r="K135" i="250"/>
  <c r="K145" i="250"/>
  <c r="K156" i="250"/>
  <c r="K167" i="250"/>
  <c r="K179" i="250"/>
  <c r="K209" i="250"/>
  <c r="K223" i="250"/>
  <c r="K262" i="250"/>
  <c r="K286" i="250"/>
  <c r="K301" i="250"/>
  <c r="K312" i="250"/>
  <c r="K323" i="250"/>
  <c r="K336" i="250"/>
  <c r="K398" i="250"/>
  <c r="K518" i="250"/>
  <c r="K581" i="250"/>
  <c r="K612" i="250"/>
  <c r="K710" i="250"/>
  <c r="K827" i="250"/>
  <c r="AB491" i="250"/>
  <c r="AB446" i="250"/>
  <c r="AB423" i="250"/>
  <c r="AB469" i="250"/>
  <c r="AB480" i="250"/>
  <c r="V423" i="250"/>
  <c r="V469" i="250"/>
  <c r="V480" i="250"/>
  <c r="V491" i="250"/>
  <c r="V446" i="250"/>
  <c r="P97" i="250"/>
  <c r="X129" i="250"/>
  <c r="X469" i="250"/>
  <c r="X480" i="250"/>
  <c r="X491" i="250"/>
  <c r="X446" i="250"/>
  <c r="X423" i="250"/>
  <c r="P73" i="250"/>
  <c r="P93" i="250"/>
  <c r="Z71" i="250"/>
  <c r="Z469" i="250"/>
  <c r="Z480" i="250"/>
  <c r="Z491" i="250"/>
  <c r="Z446" i="250"/>
  <c r="Z423" i="250"/>
  <c r="Z5" i="250"/>
  <c r="P33" i="250"/>
  <c r="P81" i="250"/>
  <c r="P111" i="250"/>
  <c r="O193" i="250"/>
  <c r="AA129" i="250"/>
  <c r="AA480" i="250"/>
  <c r="AA491" i="250"/>
  <c r="AA446" i="250"/>
  <c r="AA423" i="250"/>
  <c r="AA469" i="250"/>
  <c r="AA5" i="250"/>
  <c r="P53" i="250"/>
  <c r="P117" i="250"/>
  <c r="P123" i="250"/>
  <c r="K184" i="250"/>
  <c r="K177" i="250"/>
  <c r="K164" i="250"/>
  <c r="K157" i="250"/>
  <c r="K143" i="250"/>
  <c r="K137" i="250"/>
  <c r="K130" i="250"/>
  <c r="K189" i="250"/>
  <c r="K175" i="250"/>
  <c r="K188" i="250"/>
  <c r="K182" i="250"/>
  <c r="K168" i="250"/>
  <c r="K161" i="250"/>
  <c r="K148" i="250"/>
  <c r="K141" i="250"/>
  <c r="K193" i="250"/>
  <c r="K180" i="250"/>
  <c r="K173" i="250"/>
  <c r="K159" i="250"/>
  <c r="K153" i="250"/>
  <c r="K146" i="250"/>
  <c r="K139" i="250"/>
  <c r="K133" i="250"/>
  <c r="P157" i="250"/>
  <c r="K258" i="250"/>
  <c r="K252" i="250"/>
  <c r="K241" i="250"/>
  <c r="K235" i="250"/>
  <c r="K228" i="250"/>
  <c r="K221" i="250"/>
  <c r="K215" i="250"/>
  <c r="K208" i="250"/>
  <c r="K201" i="250"/>
  <c r="K200" i="250"/>
  <c r="K256" i="250"/>
  <c r="K251" i="250"/>
  <c r="K233" i="250"/>
  <c r="K226" i="250"/>
  <c r="K220" i="250"/>
  <c r="K213" i="250"/>
  <c r="K206" i="250"/>
  <c r="K198" i="250"/>
  <c r="K250" i="250"/>
  <c r="K245" i="250"/>
  <c r="K239" i="250"/>
  <c r="K232" i="250"/>
  <c r="K225" i="250"/>
  <c r="K219" i="250"/>
  <c r="K212" i="250"/>
  <c r="K205" i="250"/>
  <c r="K197" i="250"/>
  <c r="K254" i="250"/>
  <c r="K248" i="250"/>
  <c r="K243" i="250"/>
  <c r="K224" i="250"/>
  <c r="K217" i="250"/>
  <c r="K210" i="250"/>
  <c r="K204" i="250"/>
  <c r="K551" i="250"/>
  <c r="K544" i="250"/>
  <c r="K539" i="250"/>
  <c r="K522" i="250"/>
  <c r="K516" i="250"/>
  <c r="K572" i="250"/>
  <c r="K561" i="250"/>
  <c r="K556" i="250"/>
  <c r="K550" i="250"/>
  <c r="K543" i="250"/>
  <c r="K537" i="250"/>
  <c r="K532" i="250"/>
  <c r="K521" i="250"/>
  <c r="K514" i="250"/>
  <c r="K570" i="250"/>
  <c r="K563" i="250"/>
  <c r="K555" i="250"/>
  <c r="K547" i="250"/>
  <c r="K531" i="250"/>
  <c r="K525" i="250"/>
  <c r="K517" i="250"/>
  <c r="K569" i="250"/>
  <c r="K562" i="250"/>
  <c r="K554" i="250"/>
  <c r="K546" i="250"/>
  <c r="K538" i="250"/>
  <c r="K524" i="250"/>
  <c r="K515" i="250"/>
  <c r="K568" i="250"/>
  <c r="K560" i="250"/>
  <c r="K545" i="250"/>
  <c r="K536" i="250"/>
  <c r="K530" i="250"/>
  <c r="K523" i="250"/>
  <c r="K513" i="250"/>
  <c r="K575" i="250"/>
  <c r="K567" i="250"/>
  <c r="K553" i="250"/>
  <c r="K529" i="250"/>
  <c r="K512" i="250"/>
  <c r="K574" i="250"/>
  <c r="K566" i="250"/>
  <c r="K559" i="250"/>
  <c r="K552" i="250"/>
  <c r="K542" i="250"/>
  <c r="K535" i="250"/>
  <c r="K528" i="250"/>
  <c r="K520" i="250"/>
  <c r="K565" i="250"/>
  <c r="K558" i="250"/>
  <c r="K549" i="250"/>
  <c r="K541" i="250"/>
  <c r="K534" i="250"/>
  <c r="K526" i="250"/>
  <c r="K694" i="250"/>
  <c r="K689" i="250"/>
  <c r="K676" i="250"/>
  <c r="K671" i="250"/>
  <c r="K659" i="250"/>
  <c r="K653" i="250"/>
  <c r="K648" i="250"/>
  <c r="K642" i="250"/>
  <c r="K692" i="250"/>
  <c r="K687" i="250"/>
  <c r="K675" i="250"/>
  <c r="K669" i="250"/>
  <c r="K664" i="250"/>
  <c r="K658" i="250"/>
  <c r="K646" i="250"/>
  <c r="K641" i="250"/>
  <c r="K698" i="250"/>
  <c r="K683" i="250"/>
  <c r="K667" i="250"/>
  <c r="K651" i="250"/>
  <c r="K636" i="250"/>
  <c r="K690" i="250"/>
  <c r="K682" i="250"/>
  <c r="K674" i="250"/>
  <c r="K643" i="250"/>
  <c r="K697" i="250"/>
  <c r="K681" i="250"/>
  <c r="K666" i="250"/>
  <c r="K650" i="250"/>
  <c r="K696" i="250"/>
  <c r="K688" i="250"/>
  <c r="K680" i="250"/>
  <c r="K673" i="250"/>
  <c r="K665" i="250"/>
  <c r="K657" i="250"/>
  <c r="K695" i="250"/>
  <c r="K686" i="250"/>
  <c r="K679" i="250"/>
  <c r="K672" i="250"/>
  <c r="K663" i="250"/>
  <c r="K656" i="250"/>
  <c r="K649" i="250"/>
  <c r="K640" i="250"/>
  <c r="K684" i="250"/>
  <c r="K677" i="250"/>
  <c r="K668" i="250"/>
  <c r="K661" i="250"/>
  <c r="K654" i="250"/>
  <c r="K645" i="250"/>
  <c r="K638" i="250"/>
  <c r="K9" i="250"/>
  <c r="K14" i="250"/>
  <c r="K23" i="250"/>
  <c r="K32" i="250"/>
  <c r="K43" i="250"/>
  <c r="K49" i="250"/>
  <c r="K68" i="250"/>
  <c r="K87" i="250"/>
  <c r="K95" i="250"/>
  <c r="K114" i="250"/>
  <c r="K123" i="250"/>
  <c r="K136" i="250"/>
  <c r="K147" i="250"/>
  <c r="K158" i="250"/>
  <c r="K169" i="250"/>
  <c r="K181" i="250"/>
  <c r="K196" i="250"/>
  <c r="K211" i="250"/>
  <c r="K238" i="250"/>
  <c r="K249" i="250"/>
  <c r="K264" i="250"/>
  <c r="K275" i="250"/>
  <c r="K302" i="250"/>
  <c r="K324" i="250"/>
  <c r="K519" i="250"/>
  <c r="K584" i="250"/>
  <c r="K614" i="250"/>
  <c r="K647" i="250"/>
  <c r="K678" i="250"/>
  <c r="K713" i="250"/>
  <c r="K834" i="250"/>
  <c r="J508" i="250"/>
  <c r="I508" i="250"/>
  <c r="K508" i="250" s="1"/>
  <c r="I465" i="250"/>
  <c r="J465" i="250"/>
  <c r="J488" i="250"/>
  <c r="I488" i="250"/>
  <c r="K488" i="250" s="1"/>
  <c r="J506" i="250"/>
  <c r="I506" i="250"/>
  <c r="J442" i="250"/>
  <c r="I442" i="250"/>
  <c r="K442" i="250" s="1"/>
  <c r="I466" i="250"/>
  <c r="K466" i="250" s="1"/>
  <c r="J440" i="250"/>
  <c r="I440" i="250"/>
  <c r="J443" i="250"/>
  <c r="I443" i="250"/>
  <c r="J463" i="250"/>
  <c r="I463" i="250"/>
  <c r="K463" i="250" s="1"/>
  <c r="J505" i="250"/>
  <c r="I505" i="250"/>
  <c r="I439" i="250"/>
  <c r="K439" i="250" s="1"/>
  <c r="J489" i="250"/>
  <c r="J509" i="250"/>
  <c r="J444" i="250"/>
  <c r="I444" i="250"/>
  <c r="J464" i="250"/>
  <c r="I464" i="250"/>
  <c r="K464" i="250" s="1"/>
  <c r="J476" i="250"/>
  <c r="I476" i="250"/>
  <c r="K476" i="250" s="1"/>
  <c r="J431" i="250"/>
  <c r="J433" i="250"/>
  <c r="J435" i="250"/>
  <c r="J436" i="250"/>
  <c r="J437" i="250"/>
  <c r="I455" i="250"/>
  <c r="K455" i="250" s="1"/>
  <c r="I456" i="250"/>
  <c r="I457" i="250"/>
  <c r="K457" i="250" s="1"/>
  <c r="I458" i="250"/>
  <c r="I459" i="250"/>
  <c r="K459" i="250" s="1"/>
  <c r="I460" i="250"/>
  <c r="K460" i="250" s="1"/>
  <c r="H462" i="250"/>
  <c r="I473" i="250"/>
  <c r="K473" i="250" s="1"/>
  <c r="I485" i="250"/>
  <c r="K485" i="250" s="1"/>
  <c r="H504" i="250"/>
  <c r="J456" i="250"/>
  <c r="J457" i="250"/>
  <c r="J458" i="250"/>
  <c r="J459" i="250"/>
  <c r="J473" i="250"/>
  <c r="J485" i="250"/>
  <c r="I486" i="250"/>
  <c r="K486" i="250" s="1"/>
  <c r="I499" i="250"/>
  <c r="K499" i="250" s="1"/>
  <c r="I500" i="250"/>
  <c r="K500" i="250" s="1"/>
  <c r="I501" i="250"/>
  <c r="K501" i="250" s="1"/>
  <c r="I502" i="250"/>
  <c r="K502" i="250" s="1"/>
  <c r="O483" i="250"/>
  <c r="V929" i="250"/>
  <c r="V767" i="250"/>
  <c r="V863" i="250"/>
  <c r="V797" i="250"/>
  <c r="V701" i="250"/>
  <c r="V635" i="250"/>
  <c r="V577" i="250"/>
  <c r="V357" i="250"/>
  <c r="V511" i="250"/>
  <c r="V291" i="250"/>
  <c r="V261" i="250"/>
  <c r="V195" i="250"/>
  <c r="V129" i="250"/>
  <c r="V5" i="250"/>
  <c r="V71" i="250"/>
  <c r="AB929" i="250"/>
  <c r="AB797" i="250"/>
  <c r="AB577" i="250"/>
  <c r="AB701" i="250"/>
  <c r="AB863" i="250"/>
  <c r="AB767" i="250"/>
  <c r="AB635" i="250"/>
  <c r="AB357" i="250"/>
  <c r="AB261" i="250"/>
  <c r="AB511" i="250"/>
  <c r="P6" i="250"/>
  <c r="P8" i="250"/>
  <c r="P10" i="250"/>
  <c r="P11" i="250"/>
  <c r="P12" i="250"/>
  <c r="P13" i="250"/>
  <c r="P14" i="250"/>
  <c r="P15" i="250"/>
  <c r="P16" i="250"/>
  <c r="P17" i="250"/>
  <c r="P18" i="250"/>
  <c r="P19" i="250"/>
  <c r="P20" i="250"/>
  <c r="P21" i="250"/>
  <c r="P22" i="250"/>
  <c r="P23" i="250"/>
  <c r="P24" i="250"/>
  <c r="P25" i="250"/>
  <c r="P26" i="250"/>
  <c r="P30" i="250"/>
  <c r="P34" i="250"/>
  <c r="P38" i="250"/>
  <c r="P42" i="250"/>
  <c r="P46" i="250"/>
  <c r="P50" i="250"/>
  <c r="P54" i="250"/>
  <c r="P58" i="250"/>
  <c r="P65" i="250"/>
  <c r="P74" i="250"/>
  <c r="P78" i="250"/>
  <c r="P82" i="250"/>
  <c r="P86" i="250"/>
  <c r="P90" i="250"/>
  <c r="P94" i="250"/>
  <c r="P98" i="250"/>
  <c r="P105" i="250"/>
  <c r="P118" i="250"/>
  <c r="W129" i="250"/>
  <c r="P134" i="250"/>
  <c r="P143" i="250"/>
  <c r="P149" i="250"/>
  <c r="P152" i="250"/>
  <c r="P163" i="250"/>
  <c r="P178" i="250"/>
  <c r="Z195" i="250"/>
  <c r="P921" i="250"/>
  <c r="P913" i="250"/>
  <c r="P907" i="250"/>
  <c r="P901" i="250"/>
  <c r="P895" i="250"/>
  <c r="P919" i="250"/>
  <c r="P909" i="250"/>
  <c r="P904" i="250"/>
  <c r="P882" i="250"/>
  <c r="P876" i="250"/>
  <c r="P870" i="250"/>
  <c r="P860" i="250"/>
  <c r="P852" i="250"/>
  <c r="P926" i="250"/>
  <c r="P920" i="250"/>
  <c r="P914" i="250"/>
  <c r="P910" i="250"/>
  <c r="P899" i="250"/>
  <c r="P889" i="250"/>
  <c r="P883" i="250"/>
  <c r="P877" i="250"/>
  <c r="P871" i="250"/>
  <c r="P864" i="250"/>
  <c r="P861" i="250"/>
  <c r="P853" i="250"/>
  <c r="P845" i="250"/>
  <c r="P841" i="250"/>
  <c r="P837" i="250"/>
  <c r="P833" i="250"/>
  <c r="P829" i="250"/>
  <c r="P825" i="250"/>
  <c r="P821" i="250"/>
  <c r="P817" i="250"/>
  <c r="P813" i="250"/>
  <c r="P809" i="250"/>
  <c r="P805" i="250"/>
  <c r="P801" i="250"/>
  <c r="P927" i="250"/>
  <c r="P916" i="250"/>
  <c r="P905" i="250"/>
  <c r="P896" i="250"/>
  <c r="P922" i="250"/>
  <c r="P917" i="250"/>
  <c r="P906" i="250"/>
  <c r="P892" i="250"/>
  <c r="P886" i="250"/>
  <c r="P866" i="250"/>
  <c r="P856" i="250"/>
  <c r="P848" i="250"/>
  <c r="P924" i="250"/>
  <c r="P918" i="250"/>
  <c r="P903" i="250"/>
  <c r="P874" i="250"/>
  <c r="P868" i="250"/>
  <c r="P858" i="250"/>
  <c r="P850" i="250"/>
  <c r="P912" i="250"/>
  <c r="P885" i="250"/>
  <c r="P846" i="250"/>
  <c r="P831" i="250"/>
  <c r="P826" i="250"/>
  <c r="P798" i="250"/>
  <c r="P795" i="250"/>
  <c r="P787" i="250"/>
  <c r="P773" i="250"/>
  <c r="P758" i="250"/>
  <c r="P750" i="250"/>
  <c r="P898" i="250"/>
  <c r="P891" i="250"/>
  <c r="P908" i="250"/>
  <c r="P888" i="250"/>
  <c r="P880" i="250"/>
  <c r="P847" i="250"/>
  <c r="P839" i="250"/>
  <c r="P834" i="250"/>
  <c r="P824" i="250"/>
  <c r="P819" i="250"/>
  <c r="P816" i="250"/>
  <c r="P811" i="250"/>
  <c r="P808" i="250"/>
  <c r="P802" i="250"/>
  <c r="P799" i="250"/>
  <c r="P789" i="250"/>
  <c r="P760" i="250"/>
  <c r="P752" i="250"/>
  <c r="P915" i="250"/>
  <c r="P894" i="250"/>
  <c r="P869" i="250"/>
  <c r="P857" i="250"/>
  <c r="P844" i="250"/>
  <c r="P827" i="250"/>
  <c r="P822" i="250"/>
  <c r="P814" i="250"/>
  <c r="P790" i="250"/>
  <c r="P784" i="250"/>
  <c r="P779" i="250"/>
  <c r="P775" i="250"/>
  <c r="P770" i="250"/>
  <c r="P761" i="250"/>
  <c r="P753" i="250"/>
  <c r="P747" i="250"/>
  <c r="P743" i="250"/>
  <c r="P739" i="250"/>
  <c r="P735" i="250"/>
  <c r="P731" i="250"/>
  <c r="P727" i="250"/>
  <c r="P723" i="250"/>
  <c r="P719" i="250"/>
  <c r="P715" i="250"/>
  <c r="P711" i="250"/>
  <c r="P707" i="250"/>
  <c r="P703" i="250"/>
  <c r="P693" i="250"/>
  <c r="P685" i="250"/>
  <c r="P911" i="250"/>
  <c r="P878" i="250"/>
  <c r="P872" i="250"/>
  <c r="P867" i="250"/>
  <c r="P854" i="250"/>
  <c r="P842" i="250"/>
  <c r="P832" i="250"/>
  <c r="P806" i="250"/>
  <c r="P803" i="250"/>
  <c r="P791" i="250"/>
  <c r="P925" i="250"/>
  <c r="P902" i="250"/>
  <c r="P884" i="250"/>
  <c r="P875" i="250"/>
  <c r="P851" i="250"/>
  <c r="P835" i="250"/>
  <c r="P830" i="250"/>
  <c r="P800" i="250"/>
  <c r="P792" i="250"/>
  <c r="P923" i="250"/>
  <c r="P897" i="250"/>
  <c r="P887" i="250"/>
  <c r="P881" i="250"/>
  <c r="P855" i="250"/>
  <c r="P840" i="250"/>
  <c r="P823" i="250"/>
  <c r="P820" i="250"/>
  <c r="P815" i="250"/>
  <c r="P812" i="250"/>
  <c r="P807" i="250"/>
  <c r="P793" i="250"/>
  <c r="P764" i="250"/>
  <c r="P756" i="250"/>
  <c r="P859" i="250"/>
  <c r="P783" i="250"/>
  <c r="P763" i="250"/>
  <c r="P745" i="250"/>
  <c r="P740" i="250"/>
  <c r="P730" i="250"/>
  <c r="P706" i="250"/>
  <c r="P697" i="250"/>
  <c r="P676" i="250"/>
  <c r="P672" i="250"/>
  <c r="P668" i="250"/>
  <c r="P664" i="250"/>
  <c r="P660" i="250"/>
  <c r="P656" i="250"/>
  <c r="P652" i="250"/>
  <c r="P648" i="250"/>
  <c r="P644" i="250"/>
  <c r="P640" i="250"/>
  <c r="P636" i="250"/>
  <c r="P633" i="250"/>
  <c r="P625" i="250"/>
  <c r="P617" i="250"/>
  <c r="P613" i="250"/>
  <c r="P609" i="250"/>
  <c r="P605" i="250"/>
  <c r="P601" i="250"/>
  <c r="P597" i="250"/>
  <c r="P593" i="250"/>
  <c r="P589" i="250"/>
  <c r="P585" i="250"/>
  <c r="P581" i="250"/>
  <c r="P573" i="250"/>
  <c r="P893" i="250"/>
  <c r="P818" i="250"/>
  <c r="P786" i="250"/>
  <c r="P781" i="250"/>
  <c r="P757" i="250"/>
  <c r="P733" i="250"/>
  <c r="P728" i="250"/>
  <c r="P718" i="250"/>
  <c r="P691" i="250"/>
  <c r="P681" i="250"/>
  <c r="P804" i="250"/>
  <c r="P794" i="250"/>
  <c r="P778" i="250"/>
  <c r="P768" i="250"/>
  <c r="P754" i="250"/>
  <c r="P748" i="250"/>
  <c r="P738" i="250"/>
  <c r="P721" i="250"/>
  <c r="P713" i="250"/>
  <c r="P710" i="250"/>
  <c r="P698" i="250"/>
  <c r="P692" i="250"/>
  <c r="P686" i="250"/>
  <c r="P677" i="250"/>
  <c r="P673" i="250"/>
  <c r="P879" i="250"/>
  <c r="P849" i="250"/>
  <c r="P776" i="250"/>
  <c r="P751" i="250"/>
  <c r="P741" i="250"/>
  <c r="P736" i="250"/>
  <c r="P726" i="250"/>
  <c r="P716" i="250"/>
  <c r="P704" i="250"/>
  <c r="P687" i="250"/>
  <c r="P682" i="250"/>
  <c r="P628" i="250"/>
  <c r="P620" i="250"/>
  <c r="P843" i="250"/>
  <c r="P836" i="250"/>
  <c r="P782" i="250"/>
  <c r="P771" i="250"/>
  <c r="P755" i="250"/>
  <c r="P746" i="250"/>
  <c r="P729" i="250"/>
  <c r="P724" i="250"/>
  <c r="P699" i="250"/>
  <c r="P688" i="250"/>
  <c r="P678" i="250"/>
  <c r="P674" i="250"/>
  <c r="P670" i="250"/>
  <c r="P666" i="250"/>
  <c r="P662" i="250"/>
  <c r="P658" i="250"/>
  <c r="P654" i="250"/>
  <c r="P650" i="250"/>
  <c r="P646" i="250"/>
  <c r="P642" i="250"/>
  <c r="P638" i="250"/>
  <c r="P629" i="250"/>
  <c r="P621" i="250"/>
  <c r="P615" i="250"/>
  <c r="P611" i="250"/>
  <c r="P607" i="250"/>
  <c r="P603" i="250"/>
  <c r="P599" i="250"/>
  <c r="P595" i="250"/>
  <c r="P591" i="250"/>
  <c r="P587" i="250"/>
  <c r="P583" i="250"/>
  <c r="P579" i="250"/>
  <c r="P569" i="250"/>
  <c r="P561" i="250"/>
  <c r="P556" i="250"/>
  <c r="P900" i="250"/>
  <c r="P873" i="250"/>
  <c r="P838" i="250"/>
  <c r="P810" i="250"/>
  <c r="P774" i="250"/>
  <c r="P765" i="250"/>
  <c r="P749" i="250"/>
  <c r="P744" i="250"/>
  <c r="P734" i="250"/>
  <c r="P714" i="250"/>
  <c r="P708" i="250"/>
  <c r="P705" i="250"/>
  <c r="P694" i="250"/>
  <c r="P689" i="250"/>
  <c r="P679" i="250"/>
  <c r="P890" i="250"/>
  <c r="P865" i="250"/>
  <c r="P785" i="250"/>
  <c r="P777" i="250"/>
  <c r="P769" i="250"/>
  <c r="P762" i="250"/>
  <c r="P737" i="250"/>
  <c r="P732" i="250"/>
  <c r="P722" i="250"/>
  <c r="P717" i="250"/>
  <c r="P702" i="250"/>
  <c r="P695" i="250"/>
  <c r="P675" i="250"/>
  <c r="P669" i="250"/>
  <c r="P667" i="250"/>
  <c r="P653" i="250"/>
  <c r="P651" i="250"/>
  <c r="P610" i="250"/>
  <c r="P602" i="250"/>
  <c r="P594" i="250"/>
  <c r="P586" i="250"/>
  <c r="P578" i="250"/>
  <c r="P568" i="250"/>
  <c r="P562" i="250"/>
  <c r="P541" i="250"/>
  <c r="P537" i="250"/>
  <c r="P532" i="250"/>
  <c r="P528" i="250"/>
  <c r="P420" i="250"/>
  <c r="P412" i="250"/>
  <c r="P404" i="250"/>
  <c r="P384" i="250"/>
  <c r="P378" i="250"/>
  <c r="P372" i="250"/>
  <c r="P348" i="250"/>
  <c r="P340" i="250"/>
  <c r="P742" i="250"/>
  <c r="P690" i="250"/>
  <c r="P637" i="250"/>
  <c r="P622" i="250"/>
  <c r="P618" i="250"/>
  <c r="P563" i="250"/>
  <c r="P558" i="250"/>
  <c r="P550" i="250"/>
  <c r="P546" i="250"/>
  <c r="P524" i="250"/>
  <c r="P520" i="250"/>
  <c r="P516" i="250"/>
  <c r="P512" i="250"/>
  <c r="P421" i="250"/>
  <c r="P413" i="250"/>
  <c r="P405" i="250"/>
  <c r="P398" i="250"/>
  <c r="P391" i="250"/>
  <c r="P385" i="250"/>
  <c r="P379" i="250"/>
  <c r="P373" i="250"/>
  <c r="P366" i="250"/>
  <c r="P359" i="250"/>
  <c r="P349" i="250"/>
  <c r="P341" i="250"/>
  <c r="P336" i="250"/>
  <c r="P332" i="250"/>
  <c r="P328" i="250"/>
  <c r="P324" i="250"/>
  <c r="P320" i="250"/>
  <c r="P316" i="250"/>
  <c r="P312" i="250"/>
  <c r="P308" i="250"/>
  <c r="P304" i="250"/>
  <c r="P300" i="250"/>
  <c r="P296" i="250"/>
  <c r="P292" i="250"/>
  <c r="P289" i="250"/>
  <c r="P683" i="250"/>
  <c r="P665" i="250"/>
  <c r="P663" i="250"/>
  <c r="P649" i="250"/>
  <c r="P647" i="250"/>
  <c r="P630" i="250"/>
  <c r="P626" i="250"/>
  <c r="P608" i="250"/>
  <c r="P600" i="250"/>
  <c r="P592" i="250"/>
  <c r="P584" i="250"/>
  <c r="P564" i="250"/>
  <c r="P555" i="250"/>
  <c r="P542" i="250"/>
  <c r="P538" i="250"/>
  <c r="P533" i="250"/>
  <c r="P529" i="250"/>
  <c r="P414" i="250"/>
  <c r="P406" i="250"/>
  <c r="P392" i="250"/>
  <c r="P386" i="250"/>
  <c r="P380" i="250"/>
  <c r="P360" i="250"/>
  <c r="P350" i="250"/>
  <c r="P709" i="250"/>
  <c r="P623" i="250"/>
  <c r="P619" i="250"/>
  <c r="P616" i="250"/>
  <c r="P574" i="250"/>
  <c r="P565" i="250"/>
  <c r="P551" i="250"/>
  <c r="P547" i="250"/>
  <c r="P525" i="250"/>
  <c r="P521" i="250"/>
  <c r="P517" i="250"/>
  <c r="P513" i="250"/>
  <c r="P415" i="250"/>
  <c r="P407" i="250"/>
  <c r="P399" i="250"/>
  <c r="P393" i="250"/>
  <c r="P387" i="250"/>
  <c r="P381" i="250"/>
  <c r="P374" i="250"/>
  <c r="P367" i="250"/>
  <c r="P361" i="250"/>
  <c r="P351" i="250"/>
  <c r="P343" i="250"/>
  <c r="P337" i="250"/>
  <c r="P333" i="250"/>
  <c r="P329" i="250"/>
  <c r="P325" i="250"/>
  <c r="P321" i="250"/>
  <c r="P317" i="250"/>
  <c r="P313" i="250"/>
  <c r="P309" i="250"/>
  <c r="P305" i="250"/>
  <c r="P301" i="250"/>
  <c r="P297" i="250"/>
  <c r="P293" i="250"/>
  <c r="P283" i="250"/>
  <c r="P725" i="250"/>
  <c r="P661" i="250"/>
  <c r="P659" i="250"/>
  <c r="P645" i="250"/>
  <c r="P643" i="250"/>
  <c r="P631" i="250"/>
  <c r="P627" i="250"/>
  <c r="P624" i="250"/>
  <c r="P606" i="250"/>
  <c r="P598" i="250"/>
  <c r="P590" i="250"/>
  <c r="P582" i="250"/>
  <c r="P570" i="250"/>
  <c r="P559" i="250"/>
  <c r="P552" i="250"/>
  <c r="P543" i="250"/>
  <c r="P539" i="250"/>
  <c r="P534" i="250"/>
  <c r="P530" i="250"/>
  <c r="P416" i="250"/>
  <c r="P408" i="250"/>
  <c r="P400" i="250"/>
  <c r="P394" i="250"/>
  <c r="P388" i="250"/>
  <c r="P368" i="250"/>
  <c r="P362" i="250"/>
  <c r="P352" i="250"/>
  <c r="P344" i="250"/>
  <c r="P284" i="250"/>
  <c r="P279" i="250"/>
  <c r="P275" i="250"/>
  <c r="P271" i="250"/>
  <c r="P267" i="250"/>
  <c r="P263" i="250"/>
  <c r="P253" i="250"/>
  <c r="P720" i="250"/>
  <c r="P684" i="250"/>
  <c r="P680" i="250"/>
  <c r="P614" i="250"/>
  <c r="P575" i="250"/>
  <c r="P566" i="250"/>
  <c r="P560" i="250"/>
  <c r="P553" i="250"/>
  <c r="P548" i="250"/>
  <c r="P544" i="250"/>
  <c r="P526" i="250"/>
  <c r="P522" i="250"/>
  <c r="P518" i="250"/>
  <c r="P514" i="250"/>
  <c r="P417" i="250"/>
  <c r="P409" i="250"/>
  <c r="P401" i="250"/>
  <c r="P395" i="250"/>
  <c r="P389" i="250"/>
  <c r="P382" i="250"/>
  <c r="P375" i="250"/>
  <c r="P369" i="250"/>
  <c r="P363" i="250"/>
  <c r="P353" i="250"/>
  <c r="P345" i="250"/>
  <c r="P338" i="250"/>
  <c r="P828" i="250"/>
  <c r="P788" i="250"/>
  <c r="P780" i="250"/>
  <c r="P759" i="250"/>
  <c r="P657" i="250"/>
  <c r="P655" i="250"/>
  <c r="P641" i="250"/>
  <c r="P632" i="250"/>
  <c r="P612" i="250"/>
  <c r="P604" i="250"/>
  <c r="P596" i="250"/>
  <c r="P588" i="250"/>
  <c r="P580" i="250"/>
  <c r="P571" i="250"/>
  <c r="P540" i="250"/>
  <c r="P535" i="250"/>
  <c r="P531" i="250"/>
  <c r="P545" i="250"/>
  <c r="P515" i="250"/>
  <c r="P419" i="250"/>
  <c r="P397" i="250"/>
  <c r="P390" i="250"/>
  <c r="P342" i="250"/>
  <c r="P288" i="250"/>
  <c r="P269" i="250"/>
  <c r="P256" i="250"/>
  <c r="P244" i="250"/>
  <c r="P239" i="250"/>
  <c r="P235" i="250"/>
  <c r="P226" i="250"/>
  <c r="P772" i="250"/>
  <c r="P365" i="250"/>
  <c r="P358" i="250"/>
  <c r="P355" i="250"/>
  <c r="P331" i="250"/>
  <c r="P322" i="250"/>
  <c r="P315" i="250"/>
  <c r="P306" i="250"/>
  <c r="P299" i="250"/>
  <c r="P281" i="250"/>
  <c r="P272" i="250"/>
  <c r="P266" i="250"/>
  <c r="P257" i="250"/>
  <c r="P251" i="250"/>
  <c r="P245" i="250"/>
  <c r="P231" i="250"/>
  <c r="P227" i="250"/>
  <c r="P218" i="250"/>
  <c r="P214" i="250"/>
  <c r="P201" i="250"/>
  <c r="P197" i="250"/>
  <c r="P187" i="250"/>
  <c r="P179" i="250"/>
  <c r="P174" i="250"/>
  <c r="P712" i="250"/>
  <c r="P567" i="250"/>
  <c r="P549" i="250"/>
  <c r="P536" i="250"/>
  <c r="P519" i="250"/>
  <c r="P402" i="250"/>
  <c r="P285" i="250"/>
  <c r="P278" i="250"/>
  <c r="P246" i="250"/>
  <c r="P240" i="250"/>
  <c r="P236" i="250"/>
  <c r="P223" i="250"/>
  <c r="P219" i="250"/>
  <c r="P210" i="250"/>
  <c r="P206" i="250"/>
  <c r="P188" i="250"/>
  <c r="P180" i="250"/>
  <c r="P170" i="250"/>
  <c r="P166" i="250"/>
  <c r="P162" i="250"/>
  <c r="P158" i="250"/>
  <c r="P154" i="250"/>
  <c r="P150" i="250"/>
  <c r="P146" i="250"/>
  <c r="P142" i="250"/>
  <c r="P138" i="250"/>
  <c r="P671" i="250"/>
  <c r="P557" i="250"/>
  <c r="P411" i="250"/>
  <c r="P370" i="250"/>
  <c r="P346" i="250"/>
  <c r="P334" i="250"/>
  <c r="P327" i="250"/>
  <c r="P318" i="250"/>
  <c r="P311" i="250"/>
  <c r="P302" i="250"/>
  <c r="P295" i="250"/>
  <c r="P273" i="250"/>
  <c r="P258" i="250"/>
  <c r="P252" i="250"/>
  <c r="P247" i="250"/>
  <c r="P232" i="250"/>
  <c r="P228" i="250"/>
  <c r="P215" i="250"/>
  <c r="P211" i="250"/>
  <c r="P202" i="250"/>
  <c r="P198" i="250"/>
  <c r="P189" i="250"/>
  <c r="P181" i="250"/>
  <c r="P175" i="250"/>
  <c r="P120" i="250"/>
  <c r="P112" i="250"/>
  <c r="P523" i="250"/>
  <c r="P418" i="250"/>
  <c r="P396" i="250"/>
  <c r="P376" i="250"/>
  <c r="P286" i="250"/>
  <c r="P276" i="250"/>
  <c r="P270" i="250"/>
  <c r="P264" i="250"/>
  <c r="P248" i="250"/>
  <c r="P241" i="250"/>
  <c r="P237" i="250"/>
  <c r="P224" i="250"/>
  <c r="P220" i="250"/>
  <c r="P207" i="250"/>
  <c r="P203" i="250"/>
  <c r="P554" i="250"/>
  <c r="P527" i="250"/>
  <c r="P403" i="250"/>
  <c r="P347" i="250"/>
  <c r="P339" i="250"/>
  <c r="P287" i="250"/>
  <c r="P277" i="250"/>
  <c r="P268" i="250"/>
  <c r="P265" i="250"/>
  <c r="P254" i="250"/>
  <c r="P242" i="250"/>
  <c r="P238" i="250"/>
  <c r="P225" i="250"/>
  <c r="P221" i="250"/>
  <c r="P208" i="250"/>
  <c r="P204" i="250"/>
  <c r="P192" i="250"/>
  <c r="P184" i="250"/>
  <c r="P172" i="250"/>
  <c r="P696" i="250"/>
  <c r="P639" i="250"/>
  <c r="P410" i="250"/>
  <c r="P383" i="250"/>
  <c r="P377" i="250"/>
  <c r="P371" i="250"/>
  <c r="P335" i="250"/>
  <c r="P326" i="250"/>
  <c r="P319" i="250"/>
  <c r="P310" i="250"/>
  <c r="P303" i="250"/>
  <c r="P294" i="250"/>
  <c r="P280" i="250"/>
  <c r="P274" i="250"/>
  <c r="P262" i="250"/>
  <c r="P255" i="250"/>
  <c r="P250" i="250"/>
  <c r="P243" i="250"/>
  <c r="P234" i="250"/>
  <c r="P230" i="250"/>
  <c r="P7" i="250"/>
  <c r="P9" i="250"/>
  <c r="U929" i="250"/>
  <c r="U863" i="250"/>
  <c r="U797" i="250"/>
  <c r="U701" i="250"/>
  <c r="U767" i="250"/>
  <c r="U577" i="250"/>
  <c r="U357" i="250"/>
  <c r="U635" i="250"/>
  <c r="U291" i="250"/>
  <c r="U511" i="250"/>
  <c r="P64" i="250"/>
  <c r="P101" i="250"/>
  <c r="P108" i="250"/>
  <c r="P124" i="250"/>
  <c r="P130" i="250"/>
  <c r="P137" i="250"/>
  <c r="P140" i="250"/>
  <c r="P173" i="250"/>
  <c r="P191" i="250"/>
  <c r="AB195" i="250"/>
  <c r="P217" i="250"/>
  <c r="P233" i="250"/>
  <c r="P249" i="250"/>
  <c r="P354" i="250"/>
  <c r="W929" i="250"/>
  <c r="W863" i="250"/>
  <c r="W767" i="250"/>
  <c r="W797" i="250"/>
  <c r="W635" i="250"/>
  <c r="W577" i="250"/>
  <c r="W701" i="250"/>
  <c r="W357" i="250"/>
  <c r="W511" i="250"/>
  <c r="W291" i="250"/>
  <c r="W261" i="250"/>
  <c r="W195" i="250"/>
  <c r="P107" i="250"/>
  <c r="P122" i="250"/>
  <c r="P127" i="250"/>
  <c r="P133" i="250"/>
  <c r="P139" i="250"/>
  <c r="P145" i="250"/>
  <c r="P148" i="250"/>
  <c r="P177" i="250"/>
  <c r="P193" i="250"/>
  <c r="P212" i="250"/>
  <c r="P282" i="250"/>
  <c r="AB291" i="250"/>
  <c r="O380" i="250"/>
  <c r="O381" i="250"/>
  <c r="P62" i="250"/>
  <c r="P100" i="250"/>
  <c r="X929" i="250"/>
  <c r="X797" i="250"/>
  <c r="X863" i="250"/>
  <c r="X701" i="250"/>
  <c r="X767" i="250"/>
  <c r="X577" i="250"/>
  <c r="X357" i="250"/>
  <c r="X511" i="250"/>
  <c r="X291" i="250"/>
  <c r="X261" i="250"/>
  <c r="X635" i="250"/>
  <c r="X195" i="250"/>
  <c r="P28" i="250"/>
  <c r="P32" i="250"/>
  <c r="P36" i="250"/>
  <c r="P40" i="250"/>
  <c r="P44" i="250"/>
  <c r="P48" i="250"/>
  <c r="P52" i="250"/>
  <c r="P56" i="250"/>
  <c r="P61" i="250"/>
  <c r="P69" i="250"/>
  <c r="P72" i="250"/>
  <c r="P76" i="250"/>
  <c r="P80" i="250"/>
  <c r="P84" i="250"/>
  <c r="P88" i="250"/>
  <c r="P92" i="250"/>
  <c r="P96" i="250"/>
  <c r="P103" i="250"/>
  <c r="P116" i="250"/>
  <c r="P121" i="250"/>
  <c r="AB129" i="250"/>
  <c r="P136" i="250"/>
  <c r="P159" i="250"/>
  <c r="P167" i="250"/>
  <c r="P186" i="250"/>
  <c r="P205" i="250"/>
  <c r="P216" i="250"/>
  <c r="P298" i="250"/>
  <c r="P307" i="250"/>
  <c r="P60" i="250"/>
  <c r="P68" i="250"/>
  <c r="P99" i="250"/>
  <c r="P110" i="250"/>
  <c r="P115" i="250"/>
  <c r="P126" i="250"/>
  <c r="P132" i="250"/>
  <c r="P147" i="250"/>
  <c r="P153" i="250"/>
  <c r="P156" i="250"/>
  <c r="P183" i="250"/>
  <c r="P209" i="250"/>
  <c r="P314" i="250"/>
  <c r="P323" i="250"/>
  <c r="P330" i="250"/>
  <c r="P572" i="250"/>
  <c r="Z929" i="250"/>
  <c r="Z863" i="250"/>
  <c r="Z797" i="250"/>
  <c r="Z767" i="250"/>
  <c r="Z635" i="250"/>
  <c r="Z701" i="250"/>
  <c r="Z511" i="250"/>
  <c r="Z291" i="250"/>
  <c r="Z577" i="250"/>
  <c r="Z357" i="250"/>
  <c r="Z261" i="250"/>
  <c r="P43" i="250"/>
  <c r="P51" i="250"/>
  <c r="P59" i="250"/>
  <c r="P75" i="250"/>
  <c r="P106" i="250"/>
  <c r="P114" i="250"/>
  <c r="U129" i="250"/>
  <c r="P135" i="250"/>
  <c r="P141" i="250"/>
  <c r="P144" i="250"/>
  <c r="P161" i="250"/>
  <c r="P164" i="250"/>
  <c r="P169" i="250"/>
  <c r="P176" i="250"/>
  <c r="P182" i="250"/>
  <c r="U195" i="250"/>
  <c r="P196" i="250"/>
  <c r="P222" i="250"/>
  <c r="Y929" i="250"/>
  <c r="Y767" i="250"/>
  <c r="Y863" i="250"/>
  <c r="Y797" i="250"/>
  <c r="Y701" i="250"/>
  <c r="Y357" i="250"/>
  <c r="Y511" i="250"/>
  <c r="Y635" i="250"/>
  <c r="Y129" i="250"/>
  <c r="Y577" i="250"/>
  <c r="Y291" i="250"/>
  <c r="Y261" i="250"/>
  <c r="P27" i="250"/>
  <c r="P31" i="250"/>
  <c r="P35" i="250"/>
  <c r="P39" i="250"/>
  <c r="P47" i="250"/>
  <c r="P55" i="250"/>
  <c r="P67" i="250"/>
  <c r="AB71" i="250"/>
  <c r="P79" i="250"/>
  <c r="P83" i="250"/>
  <c r="P87" i="250"/>
  <c r="P91" i="250"/>
  <c r="P95" i="250"/>
  <c r="AA929" i="250"/>
  <c r="AA863" i="250"/>
  <c r="AA767" i="250"/>
  <c r="AA797" i="250"/>
  <c r="AA701" i="250"/>
  <c r="AA511" i="250"/>
  <c r="AA635" i="250"/>
  <c r="AA577" i="250"/>
  <c r="AA291" i="250"/>
  <c r="AA195" i="250"/>
  <c r="Y5" i="250"/>
  <c r="P66" i="250"/>
  <c r="U71" i="250"/>
  <c r="P102" i="250"/>
  <c r="P109" i="250"/>
  <c r="P113" i="250"/>
  <c r="P119" i="250"/>
  <c r="P125" i="250"/>
  <c r="P131" i="250"/>
  <c r="P155" i="250"/>
  <c r="P171" i="250"/>
  <c r="P185" i="250"/>
  <c r="Y195" i="250"/>
  <c r="P200" i="250"/>
  <c r="P259" i="250"/>
  <c r="AA357" i="250"/>
  <c r="O251" i="250"/>
  <c r="O373" i="250"/>
  <c r="O405" i="250"/>
  <c r="O918" i="250"/>
  <c r="O926" i="250"/>
  <c r="O927" i="250"/>
  <c r="O894" i="250"/>
  <c r="O895" i="250"/>
  <c r="Y178" i="214"/>
  <c r="X178" i="214"/>
  <c r="Y189" i="214"/>
  <c r="X189" i="214"/>
  <c r="AB17" i="249"/>
  <c r="AA17" i="249"/>
  <c r="Z17" i="249"/>
  <c r="Y17" i="249"/>
  <c r="X17" i="249"/>
  <c r="W17" i="249"/>
  <c r="V17" i="249"/>
  <c r="U17" i="249"/>
  <c r="A124" i="249"/>
  <c r="J123" i="249"/>
  <c r="I123" i="249"/>
  <c r="B123" i="249"/>
  <c r="J122" i="249"/>
  <c r="I122" i="249"/>
  <c r="B122" i="249"/>
  <c r="J121" i="249"/>
  <c r="I121" i="249"/>
  <c r="B121" i="249"/>
  <c r="J120" i="249"/>
  <c r="I120" i="249"/>
  <c r="B120" i="249"/>
  <c r="J119" i="249"/>
  <c r="I119" i="249"/>
  <c r="B119" i="249"/>
  <c r="J118" i="249"/>
  <c r="I118" i="249"/>
  <c r="B118" i="249"/>
  <c r="J117" i="249"/>
  <c r="I117" i="249"/>
  <c r="B117" i="249"/>
  <c r="J116" i="249"/>
  <c r="I116" i="249"/>
  <c r="B116" i="249"/>
  <c r="J115" i="249"/>
  <c r="I115" i="249"/>
  <c r="B115" i="249"/>
  <c r="J114" i="249"/>
  <c r="I114" i="249"/>
  <c r="B114" i="249"/>
  <c r="AB113" i="249"/>
  <c r="AA113" i="249"/>
  <c r="Z113" i="249"/>
  <c r="Y113" i="249"/>
  <c r="X113" i="249"/>
  <c r="W113" i="249"/>
  <c r="V113" i="249"/>
  <c r="U113" i="249"/>
  <c r="L113" i="249"/>
  <c r="K113" i="249"/>
  <c r="J111" i="249"/>
  <c r="I111" i="249"/>
  <c r="B111" i="249"/>
  <c r="J110" i="249"/>
  <c r="I110" i="249"/>
  <c r="B110" i="249"/>
  <c r="J109" i="249"/>
  <c r="I109" i="249"/>
  <c r="B109" i="249"/>
  <c r="J108" i="249"/>
  <c r="I108" i="249"/>
  <c r="B108" i="249"/>
  <c r="J107" i="249"/>
  <c r="I107" i="249"/>
  <c r="B107" i="249"/>
  <c r="J106" i="249"/>
  <c r="I106" i="249"/>
  <c r="B106" i="249"/>
  <c r="J105" i="249"/>
  <c r="I105" i="249"/>
  <c r="B105" i="249"/>
  <c r="J104" i="249"/>
  <c r="I104" i="249"/>
  <c r="B104" i="249"/>
  <c r="J103" i="249"/>
  <c r="I103" i="249"/>
  <c r="B103" i="249"/>
  <c r="J102" i="249"/>
  <c r="I102" i="249"/>
  <c r="B102" i="249"/>
  <c r="AB101" i="249"/>
  <c r="AA101" i="249"/>
  <c r="Z101" i="249"/>
  <c r="Y101" i="249"/>
  <c r="X101" i="249"/>
  <c r="W101" i="249"/>
  <c r="V101" i="249"/>
  <c r="U101" i="249"/>
  <c r="L101" i="249"/>
  <c r="K101" i="249"/>
  <c r="J99" i="249"/>
  <c r="I99" i="249"/>
  <c r="B99" i="249"/>
  <c r="J98" i="249"/>
  <c r="I98" i="249"/>
  <c r="B98" i="249"/>
  <c r="J97" i="249"/>
  <c r="I97" i="249"/>
  <c r="B97" i="249"/>
  <c r="J96" i="249"/>
  <c r="I96" i="249"/>
  <c r="B96" i="249"/>
  <c r="J95" i="249"/>
  <c r="I95" i="249"/>
  <c r="B95" i="249"/>
  <c r="J94" i="249"/>
  <c r="I94" i="249"/>
  <c r="B94" i="249"/>
  <c r="J93" i="249"/>
  <c r="I93" i="249"/>
  <c r="B93" i="249"/>
  <c r="J92" i="249"/>
  <c r="I92" i="249"/>
  <c r="B92" i="249"/>
  <c r="J91" i="249"/>
  <c r="I91" i="249"/>
  <c r="B91" i="249"/>
  <c r="J90" i="249"/>
  <c r="I90" i="249"/>
  <c r="B90" i="249"/>
  <c r="AB89" i="249"/>
  <c r="AA89" i="249"/>
  <c r="Z89" i="249"/>
  <c r="Y89" i="249"/>
  <c r="X89" i="249"/>
  <c r="W89" i="249"/>
  <c r="V89" i="249"/>
  <c r="U89" i="249"/>
  <c r="L89" i="249"/>
  <c r="K89" i="249"/>
  <c r="J87" i="249"/>
  <c r="I87" i="249"/>
  <c r="B87" i="249"/>
  <c r="J86" i="249"/>
  <c r="I86" i="249"/>
  <c r="B86" i="249"/>
  <c r="J85" i="249"/>
  <c r="I85" i="249"/>
  <c r="B85" i="249"/>
  <c r="J84" i="249"/>
  <c r="I84" i="249"/>
  <c r="B84" i="249"/>
  <c r="J83" i="249"/>
  <c r="I83" i="249"/>
  <c r="B83" i="249"/>
  <c r="J82" i="249"/>
  <c r="I82" i="249"/>
  <c r="B82" i="249"/>
  <c r="J81" i="249"/>
  <c r="I81" i="249"/>
  <c r="B81" i="249"/>
  <c r="J80" i="249"/>
  <c r="I80" i="249"/>
  <c r="B80" i="249"/>
  <c r="J79" i="249"/>
  <c r="I79" i="249"/>
  <c r="B79" i="249"/>
  <c r="J78" i="249"/>
  <c r="I78" i="249"/>
  <c r="B78" i="249"/>
  <c r="AB77" i="249"/>
  <c r="AA77" i="249"/>
  <c r="Z77" i="249"/>
  <c r="Y77" i="249"/>
  <c r="X77" i="249"/>
  <c r="W77" i="249"/>
  <c r="V77" i="249"/>
  <c r="U77" i="249"/>
  <c r="L77" i="249"/>
  <c r="K77" i="249"/>
  <c r="J75" i="249"/>
  <c r="I75" i="249"/>
  <c r="B75" i="249"/>
  <c r="J74" i="249"/>
  <c r="I74" i="249"/>
  <c r="B74" i="249"/>
  <c r="J73" i="249"/>
  <c r="I73" i="249"/>
  <c r="B73" i="249"/>
  <c r="J72" i="249"/>
  <c r="I72" i="249"/>
  <c r="B72" i="249"/>
  <c r="J71" i="249"/>
  <c r="I71" i="249"/>
  <c r="B71" i="249"/>
  <c r="J70" i="249"/>
  <c r="I70" i="249"/>
  <c r="B70" i="249"/>
  <c r="J69" i="249"/>
  <c r="I69" i="249"/>
  <c r="B69" i="249"/>
  <c r="J68" i="249"/>
  <c r="I68" i="249"/>
  <c r="B68" i="249"/>
  <c r="J67" i="249"/>
  <c r="I67" i="249"/>
  <c r="B67" i="249"/>
  <c r="J66" i="249"/>
  <c r="I66" i="249"/>
  <c r="B66" i="249"/>
  <c r="AB65" i="249"/>
  <c r="AA65" i="249"/>
  <c r="Z65" i="249"/>
  <c r="Y65" i="249"/>
  <c r="X65" i="249"/>
  <c r="W65" i="249"/>
  <c r="V65" i="249"/>
  <c r="U65" i="249"/>
  <c r="L65" i="249"/>
  <c r="K65" i="249"/>
  <c r="J63" i="249"/>
  <c r="I63" i="249"/>
  <c r="B63" i="249"/>
  <c r="J62" i="249"/>
  <c r="I62" i="249"/>
  <c r="B62" i="249"/>
  <c r="J61" i="249"/>
  <c r="I61" i="249"/>
  <c r="B61" i="249"/>
  <c r="J60" i="249"/>
  <c r="I60" i="249"/>
  <c r="B60" i="249"/>
  <c r="J59" i="249"/>
  <c r="I59" i="249"/>
  <c r="B59" i="249"/>
  <c r="J58" i="249"/>
  <c r="I58" i="249"/>
  <c r="B58" i="249"/>
  <c r="J57" i="249"/>
  <c r="I57" i="249"/>
  <c r="B57" i="249"/>
  <c r="J56" i="249"/>
  <c r="I56" i="249"/>
  <c r="B56" i="249"/>
  <c r="J55" i="249"/>
  <c r="I55" i="249"/>
  <c r="B55" i="249"/>
  <c r="J54" i="249"/>
  <c r="I54" i="249"/>
  <c r="B54" i="249"/>
  <c r="AB53" i="249"/>
  <c r="AA53" i="249"/>
  <c r="Z53" i="249"/>
  <c r="Y53" i="249"/>
  <c r="X53" i="249"/>
  <c r="W53" i="249"/>
  <c r="V53" i="249"/>
  <c r="U53" i="249"/>
  <c r="L53" i="249"/>
  <c r="K53" i="249"/>
  <c r="J51" i="249"/>
  <c r="I51" i="249"/>
  <c r="B51" i="249"/>
  <c r="J50" i="249"/>
  <c r="I50" i="249"/>
  <c r="B50" i="249"/>
  <c r="J49" i="249"/>
  <c r="I49" i="249"/>
  <c r="B49" i="249"/>
  <c r="J48" i="249"/>
  <c r="I48" i="249"/>
  <c r="B48" i="249"/>
  <c r="J47" i="249"/>
  <c r="I47" i="249"/>
  <c r="B47" i="249"/>
  <c r="J46" i="249"/>
  <c r="I46" i="249"/>
  <c r="B46" i="249"/>
  <c r="J45" i="249"/>
  <c r="I45" i="249"/>
  <c r="B45" i="249"/>
  <c r="J44" i="249"/>
  <c r="I44" i="249"/>
  <c r="B44" i="249"/>
  <c r="J43" i="249"/>
  <c r="I43" i="249"/>
  <c r="B43" i="249"/>
  <c r="J42" i="249"/>
  <c r="I42" i="249"/>
  <c r="B42" i="249"/>
  <c r="AB41" i="249"/>
  <c r="AA41" i="249"/>
  <c r="Z41" i="249"/>
  <c r="Y41" i="249"/>
  <c r="X41" i="249"/>
  <c r="W41" i="249"/>
  <c r="V41" i="249"/>
  <c r="U41" i="249"/>
  <c r="L41" i="249"/>
  <c r="K41" i="249"/>
  <c r="J39" i="249"/>
  <c r="I39" i="249"/>
  <c r="B39" i="249"/>
  <c r="J38" i="249"/>
  <c r="I38" i="249"/>
  <c r="B38" i="249"/>
  <c r="J37" i="249"/>
  <c r="I37" i="249"/>
  <c r="B37" i="249"/>
  <c r="J36" i="249"/>
  <c r="I36" i="249"/>
  <c r="B36" i="249"/>
  <c r="J35" i="249"/>
  <c r="I35" i="249"/>
  <c r="B35" i="249"/>
  <c r="J34" i="249"/>
  <c r="I34" i="249"/>
  <c r="B34" i="249"/>
  <c r="J33" i="249"/>
  <c r="I33" i="249"/>
  <c r="B33" i="249"/>
  <c r="J32" i="249"/>
  <c r="I32" i="249"/>
  <c r="B32" i="249"/>
  <c r="J31" i="249"/>
  <c r="I31" i="249"/>
  <c r="B31" i="249"/>
  <c r="J30" i="249"/>
  <c r="I30" i="249"/>
  <c r="B30" i="249"/>
  <c r="AB29" i="249"/>
  <c r="AA29" i="249"/>
  <c r="Z29" i="249"/>
  <c r="Y29" i="249"/>
  <c r="X29" i="249"/>
  <c r="W29" i="249"/>
  <c r="V29" i="249"/>
  <c r="U29" i="249"/>
  <c r="L29" i="249"/>
  <c r="K29" i="249"/>
  <c r="J27" i="249"/>
  <c r="I27" i="249"/>
  <c r="B27" i="249"/>
  <c r="J26" i="249"/>
  <c r="I26" i="249"/>
  <c r="B26" i="249"/>
  <c r="J25" i="249"/>
  <c r="I25" i="249"/>
  <c r="B25" i="249"/>
  <c r="J24" i="249"/>
  <c r="I24" i="249"/>
  <c r="B24" i="249"/>
  <c r="J23" i="249"/>
  <c r="I23" i="249"/>
  <c r="B23" i="249"/>
  <c r="J22" i="249"/>
  <c r="I22" i="249"/>
  <c r="B22" i="249"/>
  <c r="J21" i="249"/>
  <c r="I21" i="249"/>
  <c r="B21" i="249"/>
  <c r="J20" i="249"/>
  <c r="I20" i="249"/>
  <c r="B20" i="249"/>
  <c r="J19" i="249"/>
  <c r="I19" i="249"/>
  <c r="B19" i="249"/>
  <c r="J18" i="249"/>
  <c r="I18" i="249"/>
  <c r="B18" i="249"/>
  <c r="L17" i="249"/>
  <c r="K17" i="249"/>
  <c r="J15" i="249"/>
  <c r="I15" i="249"/>
  <c r="B15" i="249"/>
  <c r="J14" i="249"/>
  <c r="I14" i="249"/>
  <c r="K14" i="249" s="1"/>
  <c r="B14" i="249"/>
  <c r="J13" i="249"/>
  <c r="I13" i="249"/>
  <c r="B13" i="249"/>
  <c r="J12" i="249"/>
  <c r="I12" i="249"/>
  <c r="B12" i="249"/>
  <c r="J11" i="249"/>
  <c r="I11" i="249"/>
  <c r="B11" i="249"/>
  <c r="J10" i="249"/>
  <c r="I10" i="249"/>
  <c r="K10" i="249" s="1"/>
  <c r="B10" i="249"/>
  <c r="J9" i="249"/>
  <c r="I9" i="249"/>
  <c r="B9" i="249"/>
  <c r="J8" i="249"/>
  <c r="I8" i="249"/>
  <c r="B8" i="249"/>
  <c r="J7" i="249"/>
  <c r="I7" i="249"/>
  <c r="B7" i="249"/>
  <c r="J6" i="249"/>
  <c r="I6" i="249"/>
  <c r="B6" i="249"/>
  <c r="L5" i="249"/>
  <c r="K5" i="249"/>
  <c r="L278" i="250" l="1"/>
  <c r="L315" i="250"/>
  <c r="O421" i="250"/>
  <c r="K458" i="250"/>
  <c r="K440" i="250"/>
  <c r="L440" i="250" s="1"/>
  <c r="K433" i="250"/>
  <c r="K7" i="249"/>
  <c r="L7" i="249" s="1"/>
  <c r="K456" i="250"/>
  <c r="K505" i="250"/>
  <c r="L505" i="250" s="1"/>
  <c r="K465" i="250"/>
  <c r="L465" i="250" s="1"/>
  <c r="K436" i="250"/>
  <c r="K509" i="250"/>
  <c r="L509" i="250" s="1"/>
  <c r="K477" i="250"/>
  <c r="L477" i="250" s="1"/>
  <c r="K444" i="250"/>
  <c r="L444" i="250" s="1"/>
  <c r="K506" i="250"/>
  <c r="L506" i="250" s="1"/>
  <c r="K11" i="249"/>
  <c r="K443" i="250"/>
  <c r="L443" i="250" s="1"/>
  <c r="K484" i="250"/>
  <c r="L484" i="250" s="1"/>
  <c r="K431" i="250"/>
  <c r="K114" i="249"/>
  <c r="L114" i="249" s="1"/>
  <c r="L138" i="250"/>
  <c r="K6" i="249"/>
  <c r="L6" i="249" s="1"/>
  <c r="K9" i="249"/>
  <c r="L9" i="249" s="1"/>
  <c r="K8" i="249"/>
  <c r="L8" i="249" s="1"/>
  <c r="P671" i="253"/>
  <c r="L671" i="253" s="1"/>
  <c r="L597" i="253"/>
  <c r="P598" i="253"/>
  <c r="L524" i="253"/>
  <c r="J263" i="253"/>
  <c r="I263" i="253"/>
  <c r="L6" i="250"/>
  <c r="I441" i="250"/>
  <c r="K441" i="250" s="1"/>
  <c r="L441" i="250" s="1"/>
  <c r="L457" i="250"/>
  <c r="L548" i="250"/>
  <c r="L533" i="250"/>
  <c r="L327" i="250"/>
  <c r="L305" i="250"/>
  <c r="L502" i="250"/>
  <c r="L170" i="250"/>
  <c r="O413" i="250"/>
  <c r="L183" i="250"/>
  <c r="L192" i="250"/>
  <c r="L442" i="250"/>
  <c r="L149" i="250"/>
  <c r="L660" i="250"/>
  <c r="L456" i="250"/>
  <c r="L280" i="250"/>
  <c r="L268" i="250"/>
  <c r="L887" i="250"/>
  <c r="L464" i="250"/>
  <c r="I461" i="250"/>
  <c r="K461" i="250" s="1"/>
  <c r="L461" i="250" s="1"/>
  <c r="I478" i="250"/>
  <c r="K478" i="250" s="1"/>
  <c r="L478" i="250" s="1"/>
  <c r="L472" i="250"/>
  <c r="L691" i="250"/>
  <c r="L644" i="250"/>
  <c r="J477" i="250"/>
  <c r="L499" i="250"/>
  <c r="L430" i="250"/>
  <c r="L503" i="250"/>
  <c r="L466" i="250"/>
  <c r="L485" i="250"/>
  <c r="L425" i="250"/>
  <c r="L482" i="250"/>
  <c r="L448" i="250"/>
  <c r="L450" i="250"/>
  <c r="L449" i="250"/>
  <c r="L508" i="250"/>
  <c r="L438" i="250"/>
  <c r="L564" i="250"/>
  <c r="L458" i="250"/>
  <c r="L426" i="250"/>
  <c r="L493" i="250"/>
  <c r="L497" i="250"/>
  <c r="L474" i="250"/>
  <c r="L475" i="250"/>
  <c r="L488" i="250"/>
  <c r="L507" i="250"/>
  <c r="L439" i="250"/>
  <c r="L487" i="250"/>
  <c r="L494" i="250"/>
  <c r="L429" i="250"/>
  <c r="L453" i="250"/>
  <c r="L452" i="250"/>
  <c r="L498" i="250"/>
  <c r="L495" i="250"/>
  <c r="L437" i="250"/>
  <c r="L454" i="250"/>
  <c r="L471" i="250"/>
  <c r="L500" i="250"/>
  <c r="L435" i="250"/>
  <c r="L339" i="250"/>
  <c r="L352" i="250"/>
  <c r="L590" i="250"/>
  <c r="L378" i="250"/>
  <c r="L771" i="250"/>
  <c r="L721" i="250"/>
  <c r="L473" i="250"/>
  <c r="L476" i="250"/>
  <c r="L451" i="250"/>
  <c r="L436" i="250"/>
  <c r="L470" i="250"/>
  <c r="L434" i="250"/>
  <c r="O486" i="250"/>
  <c r="O489" i="250" s="1"/>
  <c r="L489" i="250" s="1"/>
  <c r="L483" i="250"/>
  <c r="L638" i="250"/>
  <c r="L649" i="250"/>
  <c r="L665" i="250"/>
  <c r="L697" i="250"/>
  <c r="L687" i="250"/>
  <c r="L536" i="250"/>
  <c r="L554" i="250"/>
  <c r="L42" i="250"/>
  <c r="L496" i="250"/>
  <c r="L607" i="250"/>
  <c r="L447" i="250"/>
  <c r="L481" i="250"/>
  <c r="L455" i="250"/>
  <c r="L501" i="250"/>
  <c r="L460" i="250"/>
  <c r="L713" i="250"/>
  <c r="L49" i="250"/>
  <c r="L424" i="250"/>
  <c r="L431" i="250"/>
  <c r="L432" i="250"/>
  <c r="L492" i="250"/>
  <c r="I467" i="250"/>
  <c r="K467" i="250" s="1"/>
  <c r="L467" i="250" s="1"/>
  <c r="L775" i="250"/>
  <c r="L127" i="250"/>
  <c r="L463" i="250"/>
  <c r="L428" i="250"/>
  <c r="L427" i="250"/>
  <c r="L459" i="250"/>
  <c r="L433" i="250"/>
  <c r="L275" i="250"/>
  <c r="L158" i="250"/>
  <c r="J462" i="250"/>
  <c r="I462" i="250"/>
  <c r="K462" i="250" s="1"/>
  <c r="L462" i="250" s="1"/>
  <c r="L214" i="250"/>
  <c r="L240" i="250"/>
  <c r="L227" i="250"/>
  <c r="J504" i="250"/>
  <c r="I504" i="250"/>
  <c r="L683" i="250"/>
  <c r="L689" i="250"/>
  <c r="L520" i="250"/>
  <c r="L512" i="250"/>
  <c r="L563" i="250"/>
  <c r="L556" i="250"/>
  <c r="L204" i="250"/>
  <c r="L205" i="250"/>
  <c r="L198" i="250"/>
  <c r="L200" i="250"/>
  <c r="L252" i="250"/>
  <c r="L173" i="250"/>
  <c r="L188" i="250"/>
  <c r="L177" i="250"/>
  <c r="L398" i="250"/>
  <c r="L209" i="250"/>
  <c r="L103" i="250"/>
  <c r="L925" i="250"/>
  <c r="L879" i="250"/>
  <c r="L903" i="250"/>
  <c r="L890" i="250"/>
  <c r="L870" i="250"/>
  <c r="L895" i="250"/>
  <c r="L883" i="250"/>
  <c r="L884" i="250"/>
  <c r="L597" i="250"/>
  <c r="L631" i="250"/>
  <c r="L601" i="250"/>
  <c r="L589" i="250"/>
  <c r="L603" i="250"/>
  <c r="L623" i="250"/>
  <c r="L678" i="250"/>
  <c r="L264" i="250"/>
  <c r="L147" i="250"/>
  <c r="L43" i="250"/>
  <c r="L645" i="250"/>
  <c r="L656" i="250"/>
  <c r="L673" i="250"/>
  <c r="L643" i="250"/>
  <c r="L698" i="250"/>
  <c r="L692" i="250"/>
  <c r="L694" i="250"/>
  <c r="L528" i="250"/>
  <c r="L529" i="250"/>
  <c r="L545" i="250"/>
  <c r="L562" i="250"/>
  <c r="L570" i="250"/>
  <c r="L561" i="250"/>
  <c r="L210" i="250"/>
  <c r="L212" i="250"/>
  <c r="L206" i="250"/>
  <c r="L201" i="250"/>
  <c r="L180" i="250"/>
  <c r="L175" i="250"/>
  <c r="L184" i="250"/>
  <c r="L336" i="250"/>
  <c r="L179" i="250"/>
  <c r="L94" i="250"/>
  <c r="L36" i="250"/>
  <c r="L871" i="250"/>
  <c r="L894" i="250"/>
  <c r="L910" i="250"/>
  <c r="L905" i="250"/>
  <c r="L885" i="250"/>
  <c r="L904" i="250"/>
  <c r="L892" i="250"/>
  <c r="L889" i="250"/>
  <c r="L606" i="250"/>
  <c r="L585" i="250"/>
  <c r="L617" i="250"/>
  <c r="L596" i="250"/>
  <c r="L609" i="250"/>
  <c r="L628" i="250"/>
  <c r="L647" i="250"/>
  <c r="L249" i="250"/>
  <c r="L136" i="250"/>
  <c r="L32" i="250"/>
  <c r="L654" i="250"/>
  <c r="L663" i="250"/>
  <c r="L680" i="250"/>
  <c r="L674" i="250"/>
  <c r="L641" i="250"/>
  <c r="L642" i="250"/>
  <c r="L526" i="250"/>
  <c r="L535" i="250"/>
  <c r="L553" i="250"/>
  <c r="L560" i="250"/>
  <c r="L569" i="250"/>
  <c r="L514" i="250"/>
  <c r="L572" i="250"/>
  <c r="L217" i="250"/>
  <c r="L219" i="250"/>
  <c r="L213" i="250"/>
  <c r="L208" i="250"/>
  <c r="L193" i="250"/>
  <c r="L189" i="250"/>
  <c r="L323" i="250"/>
  <c r="L167" i="250"/>
  <c r="L86" i="250"/>
  <c r="L27" i="250"/>
  <c r="L900" i="250"/>
  <c r="L901" i="250"/>
  <c r="L867" i="250"/>
  <c r="L912" i="250"/>
  <c r="L899" i="250"/>
  <c r="L909" i="250"/>
  <c r="L897" i="250"/>
  <c r="L898" i="250"/>
  <c r="L613" i="250"/>
  <c r="L593" i="250"/>
  <c r="L632" i="250"/>
  <c r="L602" i="250"/>
  <c r="L621" i="250"/>
  <c r="L237" i="250"/>
  <c r="L856" i="250"/>
  <c r="L614" i="250"/>
  <c r="L238" i="250"/>
  <c r="L123" i="250"/>
  <c r="L23" i="250"/>
  <c r="L661" i="250"/>
  <c r="L672" i="250"/>
  <c r="L688" i="250"/>
  <c r="L682" i="250"/>
  <c r="L646" i="250"/>
  <c r="L648" i="250"/>
  <c r="L534" i="250"/>
  <c r="L542" i="250"/>
  <c r="L567" i="250"/>
  <c r="L568" i="250"/>
  <c r="L517" i="250"/>
  <c r="L521" i="250"/>
  <c r="L516" i="250"/>
  <c r="L224" i="250"/>
  <c r="L225" i="250"/>
  <c r="L220" i="250"/>
  <c r="L215" i="250"/>
  <c r="L133" i="250"/>
  <c r="L141" i="250"/>
  <c r="L130" i="250"/>
  <c r="L827" i="250"/>
  <c r="L312" i="250"/>
  <c r="L156" i="250"/>
  <c r="L77" i="250"/>
  <c r="L18" i="250"/>
  <c r="L873" i="250"/>
  <c r="L908" i="250"/>
  <c r="L882" i="250"/>
  <c r="L869" i="250"/>
  <c r="L914" i="250"/>
  <c r="L918" i="250"/>
  <c r="L906" i="250"/>
  <c r="L907" i="250"/>
  <c r="L620" i="250"/>
  <c r="L608" i="250"/>
  <c r="L578" i="250"/>
  <c r="L611" i="250"/>
  <c r="L626" i="250"/>
  <c r="L584" i="250"/>
  <c r="L211" i="250"/>
  <c r="L114" i="250"/>
  <c r="L14" i="250"/>
  <c r="L668" i="250"/>
  <c r="L679" i="250"/>
  <c r="L696" i="250"/>
  <c r="L690" i="250"/>
  <c r="L658" i="250"/>
  <c r="L653" i="250"/>
  <c r="L541" i="250"/>
  <c r="L552" i="250"/>
  <c r="L575" i="250"/>
  <c r="L515" i="250"/>
  <c r="L525" i="250"/>
  <c r="L532" i="250"/>
  <c r="L522" i="250"/>
  <c r="L243" i="250"/>
  <c r="L232" i="250"/>
  <c r="L226" i="250"/>
  <c r="L221" i="250"/>
  <c r="L139" i="250"/>
  <c r="L148" i="250"/>
  <c r="L137" i="250"/>
  <c r="L710" i="250"/>
  <c r="L301" i="250"/>
  <c r="L145" i="250"/>
  <c r="L67" i="250"/>
  <c r="L13" i="250"/>
  <c r="L902" i="250"/>
  <c r="L917" i="250"/>
  <c r="L896" i="250"/>
  <c r="L876" i="250"/>
  <c r="L923" i="250"/>
  <c r="L927" i="250"/>
  <c r="L915" i="250"/>
  <c r="L916" i="250"/>
  <c r="L629" i="250"/>
  <c r="L616" i="250"/>
  <c r="L595" i="250"/>
  <c r="L618" i="250"/>
  <c r="L582" i="250"/>
  <c r="L199" i="250"/>
  <c r="L519" i="250"/>
  <c r="L196" i="250"/>
  <c r="L95" i="250"/>
  <c r="L9" i="250"/>
  <c r="L677" i="250"/>
  <c r="L686" i="250"/>
  <c r="L650" i="250"/>
  <c r="L636" i="250"/>
  <c r="L664" i="250"/>
  <c r="L659" i="250"/>
  <c r="L549" i="250"/>
  <c r="L559" i="250"/>
  <c r="L513" i="250"/>
  <c r="L524" i="250"/>
  <c r="L531" i="250"/>
  <c r="L537" i="250"/>
  <c r="L539" i="250"/>
  <c r="L248" i="250"/>
  <c r="L239" i="250"/>
  <c r="L233" i="250"/>
  <c r="L228" i="250"/>
  <c r="L146" i="250"/>
  <c r="L161" i="250"/>
  <c r="L143" i="250"/>
  <c r="L612" i="250"/>
  <c r="L286" i="250"/>
  <c r="L135" i="250"/>
  <c r="L61" i="250"/>
  <c r="L878" i="250"/>
  <c r="L926" i="250"/>
  <c r="L911" i="250"/>
  <c r="L891" i="250"/>
  <c r="L872" i="250"/>
  <c r="L919" i="250"/>
  <c r="L924" i="250"/>
  <c r="L921" i="250"/>
  <c r="L592" i="250"/>
  <c r="L624" i="250"/>
  <c r="L625" i="250"/>
  <c r="L580" i="250"/>
  <c r="L588" i="250"/>
  <c r="L64" i="250"/>
  <c r="L557" i="250"/>
  <c r="L266" i="250"/>
  <c r="L627" i="250"/>
  <c r="L619" i="250"/>
  <c r="L652" i="250"/>
  <c r="L803" i="250"/>
  <c r="L324" i="250"/>
  <c r="L181" i="250"/>
  <c r="L87" i="250"/>
  <c r="L684" i="250"/>
  <c r="L695" i="250"/>
  <c r="L666" i="250"/>
  <c r="L651" i="250"/>
  <c r="L669" i="250"/>
  <c r="L671" i="250"/>
  <c r="L558" i="250"/>
  <c r="L566" i="250"/>
  <c r="L523" i="250"/>
  <c r="L538" i="250"/>
  <c r="L547" i="250"/>
  <c r="L543" i="250"/>
  <c r="L544" i="250"/>
  <c r="L254" i="250"/>
  <c r="L245" i="250"/>
  <c r="L251" i="250"/>
  <c r="L235" i="250"/>
  <c r="L153" i="250"/>
  <c r="L168" i="250"/>
  <c r="L157" i="250"/>
  <c r="L581" i="250"/>
  <c r="L262" i="250"/>
  <c r="L122" i="250"/>
  <c r="L54" i="250"/>
  <c r="L880" i="250"/>
  <c r="L881" i="250"/>
  <c r="L920" i="250"/>
  <c r="L913" i="250"/>
  <c r="L877" i="250"/>
  <c r="L865" i="250"/>
  <c r="L866" i="250"/>
  <c r="L583" i="250"/>
  <c r="L600" i="250"/>
  <c r="L586" i="250"/>
  <c r="L633" i="250"/>
  <c r="L587" i="250"/>
  <c r="L605" i="250"/>
  <c r="L834" i="250"/>
  <c r="L302" i="250"/>
  <c r="L169" i="250"/>
  <c r="L68" i="250"/>
  <c r="L640" i="250"/>
  <c r="L657" i="250"/>
  <c r="L681" i="250"/>
  <c r="L667" i="250"/>
  <c r="L675" i="250"/>
  <c r="L676" i="250"/>
  <c r="L565" i="250"/>
  <c r="L574" i="250"/>
  <c r="L530" i="250"/>
  <c r="L546" i="250"/>
  <c r="L555" i="250"/>
  <c r="L550" i="250"/>
  <c r="L551" i="250"/>
  <c r="L197" i="250"/>
  <c r="L250" i="250"/>
  <c r="L256" i="250"/>
  <c r="L241" i="250"/>
  <c r="L159" i="250"/>
  <c r="L182" i="250"/>
  <c r="L164" i="250"/>
  <c r="L518" i="250"/>
  <c r="L223" i="250"/>
  <c r="L113" i="250"/>
  <c r="L48" i="250"/>
  <c r="L893" i="250"/>
  <c r="L864" i="250"/>
  <c r="L888" i="250"/>
  <c r="L868" i="250"/>
  <c r="L922" i="250"/>
  <c r="L886" i="250"/>
  <c r="L874" i="250"/>
  <c r="L875" i="250"/>
  <c r="L591" i="250"/>
  <c r="L615" i="250"/>
  <c r="L594" i="250"/>
  <c r="L579" i="250"/>
  <c r="L598" i="250"/>
  <c r="L610" i="250"/>
  <c r="L670" i="250"/>
  <c r="L322" i="250"/>
  <c r="L191" i="250"/>
  <c r="L93" i="250"/>
  <c r="L17" i="250"/>
  <c r="L798" i="250"/>
  <c r="L813" i="250"/>
  <c r="L836" i="250"/>
  <c r="L802" i="250"/>
  <c r="L853" i="250"/>
  <c r="L861" i="250"/>
  <c r="L809" i="250"/>
  <c r="L571" i="250"/>
  <c r="L272" i="250"/>
  <c r="L154" i="250"/>
  <c r="L59" i="250"/>
  <c r="L630" i="250"/>
  <c r="L270" i="250"/>
  <c r="L152" i="250"/>
  <c r="L39" i="250"/>
  <c r="L770" i="250"/>
  <c r="L789" i="250"/>
  <c r="L786" i="250"/>
  <c r="L282" i="250"/>
  <c r="L285" i="250"/>
  <c r="L84" i="250"/>
  <c r="L85" i="250"/>
  <c r="L203" i="250"/>
  <c r="L89" i="250"/>
  <c r="L29" i="250"/>
  <c r="L622" i="250"/>
  <c r="L242" i="250"/>
  <c r="L126" i="250"/>
  <c r="L38" i="250"/>
  <c r="L704" i="250"/>
  <c r="L707" i="250"/>
  <c r="L719" i="250"/>
  <c r="L752" i="250"/>
  <c r="L764" i="250"/>
  <c r="L744" i="250"/>
  <c r="L734" i="250"/>
  <c r="L399" i="250"/>
  <c r="L386" i="250"/>
  <c r="L387" i="250"/>
  <c r="L395" i="250"/>
  <c r="L403" i="250"/>
  <c r="L389" i="250"/>
  <c r="L295" i="250"/>
  <c r="L297" i="250"/>
  <c r="L348" i="250"/>
  <c r="L344" i="250"/>
  <c r="L351" i="250"/>
  <c r="L115" i="250"/>
  <c r="L37" i="250"/>
  <c r="L939" i="250"/>
  <c r="L639" i="250"/>
  <c r="L311" i="250"/>
  <c r="L178" i="250"/>
  <c r="L76" i="250"/>
  <c r="L8" i="250"/>
  <c r="L825" i="250"/>
  <c r="L828" i="250"/>
  <c r="L851" i="250"/>
  <c r="L816" i="250"/>
  <c r="L806" i="250"/>
  <c r="L808" i="250"/>
  <c r="L818" i="250"/>
  <c r="L540" i="250"/>
  <c r="L257" i="250"/>
  <c r="L132" i="250"/>
  <c r="L53" i="250"/>
  <c r="L69" i="250"/>
  <c r="L599" i="250"/>
  <c r="L255" i="250"/>
  <c r="L142" i="250"/>
  <c r="L30" i="250"/>
  <c r="L787" i="250"/>
  <c r="L785" i="250"/>
  <c r="L794" i="250"/>
  <c r="L795" i="250"/>
  <c r="L288" i="250"/>
  <c r="L90" i="250"/>
  <c r="L92" i="250"/>
  <c r="L383" i="250"/>
  <c r="L186" i="250"/>
  <c r="L81" i="250"/>
  <c r="L20" i="250"/>
  <c r="L527" i="250"/>
  <c r="L229" i="250"/>
  <c r="L116" i="250"/>
  <c r="L33" i="250"/>
  <c r="L715" i="250"/>
  <c r="L730" i="250"/>
  <c r="L745" i="250"/>
  <c r="L757" i="250"/>
  <c r="L724" i="250"/>
  <c r="L749" i="250"/>
  <c r="L750" i="250"/>
  <c r="L405" i="250"/>
  <c r="L393" i="250"/>
  <c r="L394" i="250"/>
  <c r="L402" i="250"/>
  <c r="L410" i="250"/>
  <c r="L404" i="250"/>
  <c r="L307" i="250"/>
  <c r="L303" i="250"/>
  <c r="L354" i="250"/>
  <c r="L349" i="250"/>
  <c r="L106" i="250"/>
  <c r="L28" i="250"/>
  <c r="L573" i="250"/>
  <c r="L300" i="250"/>
  <c r="L166" i="250"/>
  <c r="L66" i="250"/>
  <c r="L854" i="250"/>
  <c r="L835" i="250"/>
  <c r="L801" i="250"/>
  <c r="L830" i="250"/>
  <c r="L811" i="250"/>
  <c r="L817" i="250"/>
  <c r="L823" i="250"/>
  <c r="L419" i="250"/>
  <c r="L246" i="250"/>
  <c r="L120" i="250"/>
  <c r="L46" i="250"/>
  <c r="L413" i="250"/>
  <c r="L244" i="250"/>
  <c r="L131" i="250"/>
  <c r="L25" i="250"/>
  <c r="L776" i="250"/>
  <c r="L781" i="250"/>
  <c r="L768" i="250"/>
  <c r="L263" i="250"/>
  <c r="L265" i="250"/>
  <c r="L97" i="250"/>
  <c r="L99" i="250"/>
  <c r="L360" i="250"/>
  <c r="L172" i="250"/>
  <c r="L73" i="250"/>
  <c r="L11" i="250"/>
  <c r="L340" i="250"/>
  <c r="L216" i="250"/>
  <c r="L107" i="250"/>
  <c r="L24" i="250"/>
  <c r="L702" i="250"/>
  <c r="L751" i="250"/>
  <c r="L742" i="250"/>
  <c r="L714" i="250"/>
  <c r="L763" i="250"/>
  <c r="L731" i="250"/>
  <c r="L755" i="250"/>
  <c r="L765" i="250"/>
  <c r="L412" i="250"/>
  <c r="L400" i="250"/>
  <c r="L401" i="250"/>
  <c r="L409" i="250"/>
  <c r="L417" i="250"/>
  <c r="L411" i="250"/>
  <c r="L313" i="250"/>
  <c r="L308" i="250"/>
  <c r="L298" i="250"/>
  <c r="L355" i="250"/>
  <c r="L96" i="250"/>
  <c r="L19" i="250"/>
  <c r="L932" i="250"/>
  <c r="L421" i="250"/>
  <c r="L273" i="250"/>
  <c r="L155" i="250"/>
  <c r="L60" i="250"/>
  <c r="L799" i="250"/>
  <c r="L842" i="250"/>
  <c r="L815" i="250"/>
  <c r="L845" i="250"/>
  <c r="L820" i="250"/>
  <c r="L826" i="250"/>
  <c r="L832" i="250"/>
  <c r="L367" i="250"/>
  <c r="L234" i="250"/>
  <c r="L109" i="250"/>
  <c r="L40" i="250"/>
  <c r="L362" i="250"/>
  <c r="L231" i="250"/>
  <c r="L118" i="250"/>
  <c r="L16" i="250"/>
  <c r="L791" i="250"/>
  <c r="L793" i="250"/>
  <c r="L774" i="250"/>
  <c r="L269" i="250"/>
  <c r="L277" i="250"/>
  <c r="L104" i="250"/>
  <c r="L105" i="250"/>
  <c r="L341" i="250"/>
  <c r="L162" i="250"/>
  <c r="L63" i="250"/>
  <c r="L329" i="250"/>
  <c r="L202" i="250"/>
  <c r="L98" i="250"/>
  <c r="L15" i="250"/>
  <c r="L712" i="250"/>
  <c r="L762" i="250"/>
  <c r="L708" i="250"/>
  <c r="L720" i="250"/>
  <c r="L722" i="250"/>
  <c r="L737" i="250"/>
  <c r="L761" i="250"/>
  <c r="L361" i="250"/>
  <c r="L420" i="250"/>
  <c r="L406" i="250"/>
  <c r="L408" i="250"/>
  <c r="L416" i="250"/>
  <c r="L359" i="250"/>
  <c r="L407" i="250"/>
  <c r="L318" i="250"/>
  <c r="L314" i="250"/>
  <c r="L304" i="250"/>
  <c r="L350" i="250"/>
  <c r="L88" i="250"/>
  <c r="L10" i="250"/>
  <c r="L935" i="250"/>
  <c r="L392" i="250"/>
  <c r="L144" i="250"/>
  <c r="L47" i="250"/>
  <c r="L804" i="250"/>
  <c r="L819" i="250"/>
  <c r="L857" i="250"/>
  <c r="L822" i="250"/>
  <c r="L860" i="250"/>
  <c r="L829" i="250"/>
  <c r="L831" i="250"/>
  <c r="L841" i="250"/>
  <c r="L747" i="250"/>
  <c r="L345" i="250"/>
  <c r="L207" i="250"/>
  <c r="L101" i="250"/>
  <c r="L35" i="250"/>
  <c r="L790" i="250"/>
  <c r="L331" i="250"/>
  <c r="L218" i="250"/>
  <c r="L91" i="250"/>
  <c r="L7" i="250"/>
  <c r="L792" i="250"/>
  <c r="L773" i="250"/>
  <c r="L779" i="250"/>
  <c r="L274" i="250"/>
  <c r="L283" i="250"/>
  <c r="L110" i="250"/>
  <c r="L112" i="250"/>
  <c r="L330" i="250"/>
  <c r="L151" i="250"/>
  <c r="L57" i="250"/>
  <c r="L316" i="250"/>
  <c r="L185" i="250"/>
  <c r="L80" i="250"/>
  <c r="L723" i="250"/>
  <c r="L705" i="250"/>
  <c r="L718" i="250"/>
  <c r="L726" i="250"/>
  <c r="L728" i="250"/>
  <c r="L743" i="250"/>
  <c r="L706" i="250"/>
  <c r="L373" i="250"/>
  <c r="L363" i="250"/>
  <c r="L414" i="250"/>
  <c r="L415" i="250"/>
  <c r="L358" i="250"/>
  <c r="L366" i="250"/>
  <c r="L418" i="250"/>
  <c r="L337" i="250"/>
  <c r="L325" i="250"/>
  <c r="L309" i="250"/>
  <c r="L292" i="250"/>
  <c r="L62" i="250"/>
  <c r="L934" i="250"/>
  <c r="L938" i="250"/>
  <c r="L368" i="250"/>
  <c r="L247" i="250"/>
  <c r="L134" i="250"/>
  <c r="L41" i="250"/>
  <c r="L810" i="250"/>
  <c r="L833" i="250"/>
  <c r="L807" i="250"/>
  <c r="L837" i="250"/>
  <c r="L824" i="250"/>
  <c r="L838" i="250"/>
  <c r="L840" i="250"/>
  <c r="L850" i="250"/>
  <c r="L699" i="250"/>
  <c r="L321" i="250"/>
  <c r="L190" i="250"/>
  <c r="L83" i="250"/>
  <c r="L26" i="250"/>
  <c r="L739" i="250"/>
  <c r="L319" i="250"/>
  <c r="L187" i="250"/>
  <c r="L82" i="250"/>
  <c r="L780" i="250"/>
  <c r="L778" i="250"/>
  <c r="L784" i="250"/>
  <c r="L287" i="250"/>
  <c r="L289" i="250"/>
  <c r="L117" i="250"/>
  <c r="L119" i="250"/>
  <c r="L317" i="250"/>
  <c r="L140" i="250"/>
  <c r="L52" i="250"/>
  <c r="L725" i="250"/>
  <c r="L306" i="250"/>
  <c r="L171" i="250"/>
  <c r="L72" i="250"/>
  <c r="L736" i="250"/>
  <c r="L716" i="250"/>
  <c r="L732" i="250"/>
  <c r="L733" i="250"/>
  <c r="L735" i="250"/>
  <c r="L754" i="250"/>
  <c r="L711" i="250"/>
  <c r="L379" i="250"/>
  <c r="L369" i="250"/>
  <c r="L364" i="250"/>
  <c r="L371" i="250"/>
  <c r="L365" i="250"/>
  <c r="L372" i="250"/>
  <c r="L385" i="250"/>
  <c r="L342" i="250"/>
  <c r="L332" i="250"/>
  <c r="L320" i="250"/>
  <c r="L299" i="250"/>
  <c r="L55" i="250"/>
  <c r="L931" i="250"/>
  <c r="L937" i="250"/>
  <c r="L805" i="250"/>
  <c r="L346" i="250"/>
  <c r="L236" i="250"/>
  <c r="L111" i="250"/>
  <c r="L31" i="250"/>
  <c r="L812" i="250"/>
  <c r="L848" i="250"/>
  <c r="L814" i="250"/>
  <c r="L844" i="250"/>
  <c r="L839" i="250"/>
  <c r="L843" i="250"/>
  <c r="L849" i="250"/>
  <c r="L855" i="250"/>
  <c r="L637" i="250"/>
  <c r="L310" i="250"/>
  <c r="L176" i="250"/>
  <c r="L75" i="250"/>
  <c r="L21" i="250"/>
  <c r="L693" i="250"/>
  <c r="L296" i="250"/>
  <c r="L174" i="250"/>
  <c r="L74" i="250"/>
  <c r="L769" i="250"/>
  <c r="L783" i="250"/>
  <c r="L772" i="250"/>
  <c r="L271" i="250"/>
  <c r="L267" i="250"/>
  <c r="L124" i="250"/>
  <c r="L125" i="250"/>
  <c r="L294" i="250"/>
  <c r="L108" i="250"/>
  <c r="L45" i="250"/>
  <c r="L685" i="250"/>
  <c r="L293" i="250"/>
  <c r="L160" i="250"/>
  <c r="L56" i="250"/>
  <c r="L748" i="250"/>
  <c r="L727" i="250"/>
  <c r="L756" i="250"/>
  <c r="L740" i="250"/>
  <c r="L753" i="250"/>
  <c r="L760" i="250"/>
  <c r="L717" i="250"/>
  <c r="L384" i="250"/>
  <c r="L374" i="250"/>
  <c r="L370" i="250"/>
  <c r="L376" i="250"/>
  <c r="L388" i="250"/>
  <c r="L377" i="250"/>
  <c r="L390" i="250"/>
  <c r="L347" i="250"/>
  <c r="L338" i="250"/>
  <c r="L326" i="250"/>
  <c r="L328" i="250"/>
  <c r="L50" i="250"/>
  <c r="L933" i="250"/>
  <c r="L703" i="250"/>
  <c r="L335" i="250"/>
  <c r="L222" i="250"/>
  <c r="L102" i="250"/>
  <c r="L22" i="250"/>
  <c r="L847" i="250"/>
  <c r="L800" i="250"/>
  <c r="L821" i="250"/>
  <c r="L859" i="250"/>
  <c r="L846" i="250"/>
  <c r="L852" i="250"/>
  <c r="L858" i="250"/>
  <c r="L604" i="250"/>
  <c r="L284" i="250"/>
  <c r="L165" i="250"/>
  <c r="L65" i="250"/>
  <c r="L12" i="250"/>
  <c r="L662" i="250"/>
  <c r="L281" i="250"/>
  <c r="L163" i="250"/>
  <c r="L58" i="250"/>
  <c r="L782" i="250"/>
  <c r="L788" i="250"/>
  <c r="L777" i="250"/>
  <c r="L276" i="250"/>
  <c r="L279" i="250"/>
  <c r="L78" i="250"/>
  <c r="L79" i="250"/>
  <c r="L121" i="250"/>
  <c r="L230" i="250"/>
  <c r="L100" i="250"/>
  <c r="L34" i="250"/>
  <c r="L655" i="250"/>
  <c r="L253" i="250"/>
  <c r="L150" i="250"/>
  <c r="L51" i="250"/>
  <c r="L759" i="250"/>
  <c r="L741" i="250"/>
  <c r="L709" i="250"/>
  <c r="L746" i="250"/>
  <c r="L758" i="250"/>
  <c r="L738" i="250"/>
  <c r="L729" i="250"/>
  <c r="L391" i="250"/>
  <c r="L380" i="250"/>
  <c r="L375" i="250"/>
  <c r="L381" i="250"/>
  <c r="L396" i="250"/>
  <c r="L382" i="250"/>
  <c r="L397" i="250"/>
  <c r="L353" i="250"/>
  <c r="L343" i="250"/>
  <c r="L333" i="250"/>
  <c r="L334" i="250"/>
  <c r="L44" i="250"/>
  <c r="L930" i="250"/>
  <c r="L936" i="250"/>
  <c r="O258" i="250"/>
  <c r="L258" i="250" s="1"/>
  <c r="O259" i="250"/>
  <c r="L259" i="250" s="1"/>
  <c r="K19" i="249"/>
  <c r="L19" i="249" s="1"/>
  <c r="K27" i="249"/>
  <c r="L27" i="249" s="1"/>
  <c r="K106" i="249"/>
  <c r="L106" i="249" s="1"/>
  <c r="K20" i="249"/>
  <c r="L20" i="249" s="1"/>
  <c r="K32" i="249"/>
  <c r="L32" i="249" s="1"/>
  <c r="K56" i="249"/>
  <c r="L56" i="249" s="1"/>
  <c r="K92" i="249"/>
  <c r="L92" i="249" s="1"/>
  <c r="K18" i="249"/>
  <c r="L18" i="249" s="1"/>
  <c r="K30" i="249"/>
  <c r="L30" i="249" s="1"/>
  <c r="K42" i="249"/>
  <c r="L42" i="249" s="1"/>
  <c r="K50" i="249"/>
  <c r="L50" i="249" s="1"/>
  <c r="K54" i="249"/>
  <c r="L54" i="249" s="1"/>
  <c r="K122" i="249"/>
  <c r="L122" i="249" s="1"/>
  <c r="K59" i="249"/>
  <c r="L59" i="249" s="1"/>
  <c r="K60" i="249"/>
  <c r="L60" i="249" s="1"/>
  <c r="K34" i="249"/>
  <c r="L34" i="249" s="1"/>
  <c r="K91" i="249"/>
  <c r="L91" i="249" s="1"/>
  <c r="K108" i="249"/>
  <c r="L108" i="249" s="1"/>
  <c r="K80" i="249"/>
  <c r="L80" i="249" s="1"/>
  <c r="K104" i="249"/>
  <c r="L104" i="249" s="1"/>
  <c r="L14" i="249"/>
  <c r="K12" i="249"/>
  <c r="L12" i="249" s="1"/>
  <c r="K24" i="249"/>
  <c r="L24" i="249" s="1"/>
  <c r="K74" i="249"/>
  <c r="L74" i="249" s="1"/>
  <c r="K90" i="249"/>
  <c r="L90" i="249" s="1"/>
  <c r="K36" i="249"/>
  <c r="L36" i="249" s="1"/>
  <c r="K117" i="249"/>
  <c r="L117" i="249" s="1"/>
  <c r="K72" i="249"/>
  <c r="L72" i="249" s="1"/>
  <c r="K26" i="249"/>
  <c r="L26" i="249" s="1"/>
  <c r="K35" i="249"/>
  <c r="L35" i="249" s="1"/>
  <c r="K44" i="249"/>
  <c r="L44" i="249" s="1"/>
  <c r="K61" i="249"/>
  <c r="L61" i="249" s="1"/>
  <c r="K58" i="249"/>
  <c r="L58" i="249" s="1"/>
  <c r="K83" i="249"/>
  <c r="L83" i="249" s="1"/>
  <c r="K115" i="249"/>
  <c r="L115" i="249" s="1"/>
  <c r="K67" i="249"/>
  <c r="L67" i="249" s="1"/>
  <c r="L10" i="249"/>
  <c r="K75" i="249"/>
  <c r="L75" i="249" s="1"/>
  <c r="K84" i="249"/>
  <c r="L84" i="249" s="1"/>
  <c r="K98" i="249"/>
  <c r="L98" i="249" s="1"/>
  <c r="K107" i="249"/>
  <c r="L107" i="249" s="1"/>
  <c r="K31" i="249"/>
  <c r="L31" i="249" s="1"/>
  <c r="K48" i="249"/>
  <c r="L48" i="249" s="1"/>
  <c r="K68" i="249"/>
  <c r="L68" i="249" s="1"/>
  <c r="K66" i="249"/>
  <c r="L66" i="249" s="1"/>
  <c r="K82" i="249"/>
  <c r="L82" i="249" s="1"/>
  <c r="K96" i="249"/>
  <c r="L96" i="249" s="1"/>
  <c r="L11" i="249"/>
  <c r="K45" i="249"/>
  <c r="L45" i="249" s="1"/>
  <c r="K43" i="249"/>
  <c r="L43" i="249" s="1"/>
  <c r="K51" i="249"/>
  <c r="L51" i="249" s="1"/>
  <c r="K99" i="249"/>
  <c r="L99" i="249" s="1"/>
  <c r="K116" i="249"/>
  <c r="L116" i="249" s="1"/>
  <c r="K93" i="249"/>
  <c r="L93" i="249" s="1"/>
  <c r="K21" i="249"/>
  <c r="L21" i="249" s="1"/>
  <c r="K13" i="249"/>
  <c r="L13" i="249" s="1"/>
  <c r="K85" i="249"/>
  <c r="L85" i="249" s="1"/>
  <c r="K37" i="249"/>
  <c r="L37" i="249" s="1"/>
  <c r="K69" i="249"/>
  <c r="L69" i="249" s="1"/>
  <c r="K109" i="249"/>
  <c r="L109" i="249" s="1"/>
  <c r="K15" i="249"/>
  <c r="L15" i="249" s="1"/>
  <c r="K23" i="249"/>
  <c r="L23" i="249" s="1"/>
  <c r="K39" i="249"/>
  <c r="L39" i="249" s="1"/>
  <c r="K47" i="249"/>
  <c r="L47" i="249" s="1"/>
  <c r="K55" i="249"/>
  <c r="L55" i="249" s="1"/>
  <c r="K63" i="249"/>
  <c r="L63" i="249" s="1"/>
  <c r="K71" i="249"/>
  <c r="L71" i="249" s="1"/>
  <c r="K79" i="249"/>
  <c r="L79" i="249" s="1"/>
  <c r="K87" i="249"/>
  <c r="L87" i="249" s="1"/>
  <c r="K95" i="249"/>
  <c r="L95" i="249" s="1"/>
  <c r="K103" i="249"/>
  <c r="L103" i="249" s="1"/>
  <c r="K111" i="249"/>
  <c r="L111" i="249" s="1"/>
  <c r="K119" i="249"/>
  <c r="L119" i="249" s="1"/>
  <c r="K25" i="249"/>
  <c r="L25" i="249" s="1"/>
  <c r="K33" i="249"/>
  <c r="L33" i="249" s="1"/>
  <c r="K49" i="249"/>
  <c r="L49" i="249" s="1"/>
  <c r="K57" i="249"/>
  <c r="L57" i="249" s="1"/>
  <c r="K73" i="249"/>
  <c r="L73" i="249" s="1"/>
  <c r="K81" i="249"/>
  <c r="L81" i="249" s="1"/>
  <c r="K97" i="249"/>
  <c r="L97" i="249" s="1"/>
  <c r="K105" i="249"/>
  <c r="L105" i="249" s="1"/>
  <c r="K121" i="249"/>
  <c r="L121" i="249" s="1"/>
  <c r="K22" i="249"/>
  <c r="L22" i="249" s="1"/>
  <c r="K38" i="249"/>
  <c r="L38" i="249" s="1"/>
  <c r="K46" i="249"/>
  <c r="L46" i="249" s="1"/>
  <c r="K62" i="249"/>
  <c r="L62" i="249" s="1"/>
  <c r="K70" i="249"/>
  <c r="L70" i="249" s="1"/>
  <c r="K78" i="249"/>
  <c r="L78" i="249" s="1"/>
  <c r="K86" i="249"/>
  <c r="L86" i="249" s="1"/>
  <c r="K94" i="249"/>
  <c r="L94" i="249" s="1"/>
  <c r="K102" i="249"/>
  <c r="L102" i="249" s="1"/>
  <c r="K110" i="249"/>
  <c r="L110" i="249" s="1"/>
  <c r="K118" i="249"/>
  <c r="L118" i="249" s="1"/>
  <c r="K123" i="249"/>
  <c r="L123" i="249" s="1"/>
  <c r="K120" i="249"/>
  <c r="L120" i="249" s="1"/>
  <c r="V63" i="248"/>
  <c r="X63" i="248"/>
  <c r="Z63" i="248"/>
  <c r="AB63" i="248"/>
  <c r="AB2" i="248"/>
  <c r="AA2" i="248"/>
  <c r="AA63" i="248" s="1"/>
  <c r="Z2" i="248"/>
  <c r="Y2" i="248"/>
  <c r="Y225" i="248" s="1"/>
  <c r="X2" i="248"/>
  <c r="W2" i="248"/>
  <c r="W201" i="248" s="1"/>
  <c r="V2" i="248"/>
  <c r="U2" i="248"/>
  <c r="U103" i="248" s="1"/>
  <c r="M91" i="248"/>
  <c r="M97" i="248" s="1"/>
  <c r="M92" i="248"/>
  <c r="M98" i="248" s="1"/>
  <c r="M93" i="248"/>
  <c r="M99" i="248" s="1"/>
  <c r="M94" i="248"/>
  <c r="M100" i="248" s="1"/>
  <c r="M95" i="248"/>
  <c r="M101" i="248" s="1"/>
  <c r="M90" i="248"/>
  <c r="M96" i="248" s="1"/>
  <c r="M71" i="248"/>
  <c r="M77" i="248" s="1"/>
  <c r="M72" i="248"/>
  <c r="M78" i="248" s="1"/>
  <c r="M73" i="248"/>
  <c r="M79" i="248" s="1"/>
  <c r="M74" i="248"/>
  <c r="M80" i="248" s="1"/>
  <c r="M75" i="248"/>
  <c r="M81" i="248" s="1"/>
  <c r="M70" i="248"/>
  <c r="M76" i="248" s="1"/>
  <c r="O60" i="248"/>
  <c r="O61" i="248"/>
  <c r="O59" i="248"/>
  <c r="M60" i="248"/>
  <c r="M61" i="248"/>
  <c r="M59" i="248"/>
  <c r="M37" i="248"/>
  <c r="M38" i="248"/>
  <c r="M39" i="248"/>
  <c r="M40" i="248"/>
  <c r="M41" i="248"/>
  <c r="M42" i="248"/>
  <c r="M43" i="248"/>
  <c r="M44" i="248"/>
  <c r="M45" i="248"/>
  <c r="M46" i="248"/>
  <c r="M47" i="248"/>
  <c r="M48" i="248"/>
  <c r="M49" i="248"/>
  <c r="M50" i="248"/>
  <c r="M51" i="248"/>
  <c r="M52" i="248"/>
  <c r="M53" i="248"/>
  <c r="M36" i="248"/>
  <c r="O37" i="248"/>
  <c r="O38" i="248"/>
  <c r="O39" i="248"/>
  <c r="O40" i="248"/>
  <c r="O41" i="248"/>
  <c r="O42" i="248"/>
  <c r="O43" i="248"/>
  <c r="O44" i="248"/>
  <c r="O45" i="248"/>
  <c r="O46" i="248"/>
  <c r="O47" i="248"/>
  <c r="O48" i="248"/>
  <c r="O49" i="248"/>
  <c r="O50" i="248"/>
  <c r="O51" i="248"/>
  <c r="O52" i="248"/>
  <c r="O53" i="248"/>
  <c r="O36" i="248"/>
  <c r="H60" i="248"/>
  <c r="J60" i="248" s="1"/>
  <c r="H61" i="248"/>
  <c r="J61" i="248" s="1"/>
  <c r="H59" i="248"/>
  <c r="J59" i="248" s="1"/>
  <c r="B61" i="248"/>
  <c r="B60" i="248"/>
  <c r="B59" i="248"/>
  <c r="M187" i="248"/>
  <c r="M186" i="248"/>
  <c r="M185" i="248"/>
  <c r="M184" i="248"/>
  <c r="M183" i="248"/>
  <c r="M176" i="248"/>
  <c r="M178" i="248" s="1"/>
  <c r="M175" i="248"/>
  <c r="M174" i="248"/>
  <c r="M173" i="248"/>
  <c r="M172" i="248"/>
  <c r="M171" i="248"/>
  <c r="M164" i="248"/>
  <c r="M169" i="248" s="1"/>
  <c r="M163" i="248"/>
  <c r="M162" i="248"/>
  <c r="M161" i="248"/>
  <c r="M160" i="248"/>
  <c r="M159" i="248"/>
  <c r="M152" i="248"/>
  <c r="M157" i="248" s="1"/>
  <c r="M151" i="248"/>
  <c r="M150" i="248"/>
  <c r="M149" i="248"/>
  <c r="M148" i="248"/>
  <c r="M147" i="248"/>
  <c r="M140" i="248"/>
  <c r="M143" i="248" s="1"/>
  <c r="M139" i="248"/>
  <c r="M138" i="248"/>
  <c r="M137" i="248"/>
  <c r="M136" i="248"/>
  <c r="M135" i="248"/>
  <c r="M128" i="248"/>
  <c r="M133" i="248" s="1"/>
  <c r="M127" i="248"/>
  <c r="M126" i="248"/>
  <c r="M125" i="248"/>
  <c r="M124" i="248"/>
  <c r="M123" i="248"/>
  <c r="M116" i="248"/>
  <c r="M120" i="248" s="1"/>
  <c r="M115" i="248"/>
  <c r="M114" i="248"/>
  <c r="M113" i="248"/>
  <c r="M112" i="248"/>
  <c r="M111" i="248"/>
  <c r="M104" i="248"/>
  <c r="M108" i="248" s="1"/>
  <c r="O187" i="248"/>
  <c r="O186" i="248"/>
  <c r="O185" i="248"/>
  <c r="O184" i="248"/>
  <c r="O183" i="248"/>
  <c r="O176" i="248"/>
  <c r="O178" i="248" s="1"/>
  <c r="O175" i="248"/>
  <c r="O174" i="248"/>
  <c r="O173" i="248"/>
  <c r="O172" i="248"/>
  <c r="O171" i="248"/>
  <c r="O164" i="248"/>
  <c r="O169" i="248" s="1"/>
  <c r="O163" i="248"/>
  <c r="O162" i="248"/>
  <c r="O161" i="248"/>
  <c r="O160" i="248"/>
  <c r="O159" i="248"/>
  <c r="O152" i="248"/>
  <c r="O156" i="248" s="1"/>
  <c r="O151" i="248"/>
  <c r="O150" i="248"/>
  <c r="O149" i="248"/>
  <c r="O148" i="248"/>
  <c r="O147" i="248"/>
  <c r="O140" i="248"/>
  <c r="O143" i="248" s="1"/>
  <c r="O139" i="248"/>
  <c r="O138" i="248"/>
  <c r="O137" i="248"/>
  <c r="O136" i="248"/>
  <c r="O135" i="248"/>
  <c r="O128" i="248"/>
  <c r="O133" i="248" s="1"/>
  <c r="O127" i="248"/>
  <c r="O126" i="248"/>
  <c r="O125" i="248"/>
  <c r="O124" i="248"/>
  <c r="O123" i="248"/>
  <c r="O116" i="248"/>
  <c r="O117" i="248" s="1"/>
  <c r="O115" i="248"/>
  <c r="O114" i="248"/>
  <c r="O113" i="248"/>
  <c r="O112" i="248"/>
  <c r="O111" i="248"/>
  <c r="O104" i="248"/>
  <c r="O108" i="248" s="1"/>
  <c r="H182" i="248"/>
  <c r="J182" i="248" s="1"/>
  <c r="H181" i="248"/>
  <c r="H187" i="248" s="1"/>
  <c r="H180" i="248"/>
  <c r="J180" i="248" s="1"/>
  <c r="H179" i="248"/>
  <c r="H185" i="248" s="1"/>
  <c r="H178" i="248"/>
  <c r="H184" i="248" s="1"/>
  <c r="H177" i="248"/>
  <c r="J177" i="248" s="1"/>
  <c r="H170" i="248"/>
  <c r="J170" i="248" s="1"/>
  <c r="H169" i="248"/>
  <c r="H175" i="248" s="1"/>
  <c r="H168" i="248"/>
  <c r="H174" i="248" s="1"/>
  <c r="H167" i="248"/>
  <c r="H173" i="248" s="1"/>
  <c r="H166" i="248"/>
  <c r="H172" i="248" s="1"/>
  <c r="H165" i="248"/>
  <c r="I165" i="248" s="1"/>
  <c r="H158" i="248"/>
  <c r="I158" i="248" s="1"/>
  <c r="H157" i="248"/>
  <c r="H163" i="248" s="1"/>
  <c r="H156" i="248"/>
  <c r="H162" i="248" s="1"/>
  <c r="H155" i="248"/>
  <c r="H161" i="248" s="1"/>
  <c r="H154" i="248"/>
  <c r="H160" i="248" s="1"/>
  <c r="H153" i="248"/>
  <c r="H159" i="248" s="1"/>
  <c r="H146" i="248"/>
  <c r="J146" i="248" s="1"/>
  <c r="H145" i="248"/>
  <c r="H151" i="248" s="1"/>
  <c r="H144" i="248"/>
  <c r="H150" i="248" s="1"/>
  <c r="H143" i="248"/>
  <c r="H149" i="248" s="1"/>
  <c r="H142" i="248"/>
  <c r="H148" i="248" s="1"/>
  <c r="H141" i="248"/>
  <c r="H147" i="248" s="1"/>
  <c r="H134" i="248"/>
  <c r="I134" i="248" s="1"/>
  <c r="H133" i="248"/>
  <c r="H139" i="248" s="1"/>
  <c r="H132" i="248"/>
  <c r="H138" i="248" s="1"/>
  <c r="H131" i="248"/>
  <c r="J131" i="248" s="1"/>
  <c r="H130" i="248"/>
  <c r="H136" i="248" s="1"/>
  <c r="H129" i="248"/>
  <c r="H135" i="248" s="1"/>
  <c r="H122" i="248"/>
  <c r="J122" i="248" s="1"/>
  <c r="H121" i="248"/>
  <c r="H127" i="248" s="1"/>
  <c r="J127" i="248" s="1"/>
  <c r="H120" i="248"/>
  <c r="J120" i="248" s="1"/>
  <c r="H119" i="248"/>
  <c r="H125" i="248" s="1"/>
  <c r="H118" i="248"/>
  <c r="J118" i="248" s="1"/>
  <c r="H117" i="248"/>
  <c r="H123" i="248" s="1"/>
  <c r="J123" i="248" s="1"/>
  <c r="H109" i="248"/>
  <c r="H108" i="248"/>
  <c r="H107" i="248"/>
  <c r="H106" i="248"/>
  <c r="J106" i="248" s="1"/>
  <c r="H105" i="248"/>
  <c r="H111" i="248" s="1"/>
  <c r="H110" i="248"/>
  <c r="I110" i="248" s="1"/>
  <c r="B182" i="248"/>
  <c r="B181" i="248"/>
  <c r="B180" i="248"/>
  <c r="B179" i="248"/>
  <c r="B178" i="248"/>
  <c r="B177" i="248"/>
  <c r="J176" i="248"/>
  <c r="I176" i="248"/>
  <c r="B176" i="248"/>
  <c r="B175" i="248"/>
  <c r="B174" i="248"/>
  <c r="B173" i="248"/>
  <c r="B172" i="248"/>
  <c r="B171" i="248"/>
  <c r="B170" i="248"/>
  <c r="B169" i="248"/>
  <c r="B168" i="248"/>
  <c r="B167" i="248"/>
  <c r="B166" i="248"/>
  <c r="B165" i="248"/>
  <c r="J164" i="248"/>
  <c r="I164" i="248"/>
  <c r="B164" i="248"/>
  <c r="B163" i="248"/>
  <c r="B162" i="248"/>
  <c r="B161" i="248"/>
  <c r="B160" i="248"/>
  <c r="B159" i="248"/>
  <c r="B158" i="248"/>
  <c r="B157" i="248"/>
  <c r="B156" i="248"/>
  <c r="B155" i="248"/>
  <c r="B154" i="248"/>
  <c r="B153" i="248"/>
  <c r="J152" i="248"/>
  <c r="I152" i="248"/>
  <c r="B152" i="248"/>
  <c r="B151" i="248"/>
  <c r="B150" i="248"/>
  <c r="B149" i="248"/>
  <c r="B148" i="248"/>
  <c r="B147" i="248"/>
  <c r="B146" i="248"/>
  <c r="B145" i="248"/>
  <c r="B144" i="248"/>
  <c r="I143" i="248"/>
  <c r="B143" i="248"/>
  <c r="B142" i="248"/>
  <c r="B141" i="248"/>
  <c r="J140" i="248"/>
  <c r="I140" i="248"/>
  <c r="B140" i="248"/>
  <c r="B139" i="248"/>
  <c r="B138" i="248"/>
  <c r="B137" i="248"/>
  <c r="B136" i="248"/>
  <c r="B135" i="248"/>
  <c r="B134" i="248"/>
  <c r="B133" i="248"/>
  <c r="B132" i="248"/>
  <c r="B131" i="248"/>
  <c r="B130" i="248"/>
  <c r="I129" i="248"/>
  <c r="B129" i="248"/>
  <c r="J128" i="248"/>
  <c r="I128" i="248"/>
  <c r="B128" i="248"/>
  <c r="B127" i="248"/>
  <c r="B126" i="248"/>
  <c r="B125" i="248"/>
  <c r="B124" i="248"/>
  <c r="B123" i="248"/>
  <c r="B122" i="248"/>
  <c r="B121" i="248"/>
  <c r="B120" i="248"/>
  <c r="B119" i="248"/>
  <c r="B118" i="248"/>
  <c r="B117" i="248"/>
  <c r="J116" i="248"/>
  <c r="I116" i="248"/>
  <c r="B116" i="248"/>
  <c r="B115" i="248"/>
  <c r="B114" i="248"/>
  <c r="B113" i="248"/>
  <c r="B112" i="248"/>
  <c r="B111" i="248"/>
  <c r="B110" i="248"/>
  <c r="B109" i="248"/>
  <c r="B108" i="248"/>
  <c r="B107" i="248"/>
  <c r="H37" i="248"/>
  <c r="J37" i="248" s="1"/>
  <c r="H38" i="248"/>
  <c r="H44" i="248" s="1"/>
  <c r="H50" i="248" s="1"/>
  <c r="J50" i="248" s="1"/>
  <c r="H39" i="248"/>
  <c r="H45" i="248" s="1"/>
  <c r="J45" i="248" s="1"/>
  <c r="H40" i="248"/>
  <c r="H46" i="248" s="1"/>
  <c r="H41" i="248"/>
  <c r="I41" i="248" s="1"/>
  <c r="H36" i="248"/>
  <c r="H42" i="248" s="1"/>
  <c r="H12" i="248"/>
  <c r="J12" i="248" s="1"/>
  <c r="H13" i="248"/>
  <c r="I13" i="248" s="1"/>
  <c r="H14" i="248"/>
  <c r="J14" i="248" s="1"/>
  <c r="H15" i="248"/>
  <c r="J15" i="248" s="1"/>
  <c r="H11" i="248"/>
  <c r="I11" i="248" s="1"/>
  <c r="H25" i="248"/>
  <c r="H31" i="248" s="1"/>
  <c r="J31" i="248" s="1"/>
  <c r="H26" i="248"/>
  <c r="I26" i="248" s="1"/>
  <c r="H27" i="248"/>
  <c r="H33" i="248" s="1"/>
  <c r="J33" i="248" s="1"/>
  <c r="H28" i="248"/>
  <c r="J28" i="248" s="1"/>
  <c r="H29" i="248"/>
  <c r="J29" i="248" s="1"/>
  <c r="H24" i="248"/>
  <c r="I24" i="248" s="1"/>
  <c r="H71" i="248"/>
  <c r="J71" i="248" s="1"/>
  <c r="H72" i="248"/>
  <c r="J72" i="248" s="1"/>
  <c r="H73" i="248"/>
  <c r="H79" i="248" s="1"/>
  <c r="H74" i="248"/>
  <c r="H80" i="248" s="1"/>
  <c r="H75" i="248"/>
  <c r="H81" i="248" s="1"/>
  <c r="H70" i="248"/>
  <c r="H76" i="248" s="1"/>
  <c r="J76" i="248" s="1"/>
  <c r="H91" i="248"/>
  <c r="J91" i="248" s="1"/>
  <c r="H92" i="248"/>
  <c r="J92" i="248" s="1"/>
  <c r="H93" i="248"/>
  <c r="H99" i="248" s="1"/>
  <c r="H94" i="248"/>
  <c r="I94" i="248" s="1"/>
  <c r="H95" i="248"/>
  <c r="J95" i="248" s="1"/>
  <c r="H90" i="248"/>
  <c r="J90" i="248" s="1"/>
  <c r="B101" i="248"/>
  <c r="B100" i="248"/>
  <c r="B99" i="248"/>
  <c r="B98" i="248"/>
  <c r="B97" i="248"/>
  <c r="B96" i="248"/>
  <c r="B95" i="248"/>
  <c r="B94" i="248"/>
  <c r="B93" i="248"/>
  <c r="B92" i="248"/>
  <c r="B91" i="248"/>
  <c r="B90" i="248"/>
  <c r="J89" i="248"/>
  <c r="I89" i="248"/>
  <c r="B89" i="248"/>
  <c r="J88" i="248"/>
  <c r="I88" i="248"/>
  <c r="B88" i="248"/>
  <c r="J87" i="248"/>
  <c r="I87" i="248"/>
  <c r="B87" i="248"/>
  <c r="B81" i="248"/>
  <c r="B80" i="248"/>
  <c r="B79" i="248"/>
  <c r="B78" i="248"/>
  <c r="B77" i="248"/>
  <c r="B76" i="248"/>
  <c r="B75" i="248"/>
  <c r="B74" i="248"/>
  <c r="B73" i="248"/>
  <c r="B72" i="248"/>
  <c r="B71" i="248"/>
  <c r="B70" i="248"/>
  <c r="J69" i="248"/>
  <c r="I69" i="248"/>
  <c r="B69" i="248"/>
  <c r="J68" i="248"/>
  <c r="I68" i="248"/>
  <c r="B68" i="248"/>
  <c r="B38" i="248"/>
  <c r="B37" i="248"/>
  <c r="B36" i="248"/>
  <c r="B35" i="248"/>
  <c r="B34" i="248"/>
  <c r="B33" i="248"/>
  <c r="B32" i="248"/>
  <c r="B31" i="248"/>
  <c r="B30" i="248"/>
  <c r="B29" i="248"/>
  <c r="B28" i="248"/>
  <c r="B27" i="248"/>
  <c r="J26" i="248"/>
  <c r="B26" i="248"/>
  <c r="B25" i="248"/>
  <c r="B24" i="248"/>
  <c r="J23" i="248"/>
  <c r="I23" i="248"/>
  <c r="B23" i="248"/>
  <c r="B53" i="248"/>
  <c r="B52" i="248"/>
  <c r="B51" i="248"/>
  <c r="B50" i="248"/>
  <c r="B49" i="248"/>
  <c r="B48" i="248"/>
  <c r="B47" i="248"/>
  <c r="B46" i="248"/>
  <c r="B45" i="248"/>
  <c r="B44" i="248"/>
  <c r="B43" i="248"/>
  <c r="B42" i="248"/>
  <c r="B41" i="248"/>
  <c r="B40" i="248"/>
  <c r="B39" i="248"/>
  <c r="J22" i="248"/>
  <c r="I22" i="248"/>
  <c r="B22" i="248"/>
  <c r="J21" i="248"/>
  <c r="I21" i="248"/>
  <c r="B21" i="248"/>
  <c r="J20" i="248"/>
  <c r="I20" i="248"/>
  <c r="B20" i="248"/>
  <c r="M10" i="248"/>
  <c r="M15" i="248" s="1"/>
  <c r="M9" i="248"/>
  <c r="M14" i="248" s="1"/>
  <c r="M8" i="248"/>
  <c r="M13" i="248" s="1"/>
  <c r="M7" i="248"/>
  <c r="M12" i="248" s="1"/>
  <c r="O15" i="248"/>
  <c r="O14" i="248"/>
  <c r="O13" i="248"/>
  <c r="O12" i="248"/>
  <c r="O10" i="248"/>
  <c r="O9" i="248"/>
  <c r="O8" i="248"/>
  <c r="O7" i="248"/>
  <c r="O6" i="248"/>
  <c r="B2" i="190" a="1"/>
  <c r="B2" i="190" s="1"/>
  <c r="B2" i="234" a="1"/>
  <c r="B2" i="234" s="1"/>
  <c r="B2" i="233" a="1"/>
  <c r="B2" i="233" s="1"/>
  <c r="B2" i="156" a="1"/>
  <c r="B2" i="156" s="1"/>
  <c r="A236" i="248"/>
  <c r="J235" i="248"/>
  <c r="I235" i="248"/>
  <c r="B235" i="248"/>
  <c r="J234" i="248"/>
  <c r="I234" i="248"/>
  <c r="B234" i="248"/>
  <c r="J233" i="248"/>
  <c r="I233" i="248"/>
  <c r="B233" i="248"/>
  <c r="J232" i="248"/>
  <c r="I232" i="248"/>
  <c r="B232" i="248"/>
  <c r="J231" i="248"/>
  <c r="I231" i="248"/>
  <c r="B231" i="248"/>
  <c r="J230" i="248"/>
  <c r="I230" i="248"/>
  <c r="B230" i="248"/>
  <c r="J229" i="248"/>
  <c r="I229" i="248"/>
  <c r="B229" i="248"/>
  <c r="J228" i="248"/>
  <c r="I228" i="248"/>
  <c r="B228" i="248"/>
  <c r="J227" i="248"/>
  <c r="I227" i="248"/>
  <c r="B227" i="248"/>
  <c r="J226" i="248"/>
  <c r="I226" i="248"/>
  <c r="B226" i="248"/>
  <c r="AB225" i="248"/>
  <c r="AA225" i="248"/>
  <c r="Z225" i="248"/>
  <c r="X225" i="248"/>
  <c r="V225" i="248"/>
  <c r="L225" i="248"/>
  <c r="K225" i="248"/>
  <c r="J223" i="248"/>
  <c r="I223" i="248"/>
  <c r="B223" i="248"/>
  <c r="J222" i="248"/>
  <c r="I222" i="248"/>
  <c r="B222" i="248"/>
  <c r="J221" i="248"/>
  <c r="I221" i="248"/>
  <c r="B221" i="248"/>
  <c r="J220" i="248"/>
  <c r="I220" i="248"/>
  <c r="B220" i="248"/>
  <c r="J219" i="248"/>
  <c r="I219" i="248"/>
  <c r="B219" i="248"/>
  <c r="J218" i="248"/>
  <c r="I218" i="248"/>
  <c r="B218" i="248"/>
  <c r="J217" i="248"/>
  <c r="I217" i="248"/>
  <c r="B217" i="248"/>
  <c r="J216" i="248"/>
  <c r="I216" i="248"/>
  <c r="B216" i="248"/>
  <c r="J215" i="248"/>
  <c r="I215" i="248"/>
  <c r="B215" i="248"/>
  <c r="J214" i="248"/>
  <c r="I214" i="248"/>
  <c r="B214" i="248"/>
  <c r="AB213" i="248"/>
  <c r="AA213" i="248"/>
  <c r="Z213" i="248"/>
  <c r="Y213" i="248"/>
  <c r="X213" i="248"/>
  <c r="V213" i="248"/>
  <c r="L213" i="248"/>
  <c r="K213" i="248"/>
  <c r="J211" i="248"/>
  <c r="I211" i="248"/>
  <c r="B211" i="248"/>
  <c r="J210" i="248"/>
  <c r="I210" i="248"/>
  <c r="B210" i="248"/>
  <c r="J209" i="248"/>
  <c r="I209" i="248"/>
  <c r="B209" i="248"/>
  <c r="J208" i="248"/>
  <c r="I208" i="248"/>
  <c r="B208" i="248"/>
  <c r="J207" i="248"/>
  <c r="I207" i="248"/>
  <c r="B207" i="248"/>
  <c r="J206" i="248"/>
  <c r="I206" i="248"/>
  <c r="B206" i="248"/>
  <c r="J205" i="248"/>
  <c r="I205" i="248"/>
  <c r="B205" i="248"/>
  <c r="J204" i="248"/>
  <c r="I204" i="248"/>
  <c r="B204" i="248"/>
  <c r="J203" i="248"/>
  <c r="I203" i="248"/>
  <c r="B203" i="248"/>
  <c r="J202" i="248"/>
  <c r="I202" i="248"/>
  <c r="B202" i="248"/>
  <c r="AB201" i="248"/>
  <c r="AA201" i="248"/>
  <c r="Z201" i="248"/>
  <c r="Y201" i="248"/>
  <c r="X201" i="248"/>
  <c r="V201" i="248"/>
  <c r="L201" i="248"/>
  <c r="K201" i="248"/>
  <c r="J199" i="248"/>
  <c r="I199" i="248"/>
  <c r="B199" i="248"/>
  <c r="J198" i="248"/>
  <c r="I198" i="248"/>
  <c r="B198" i="248"/>
  <c r="J197" i="248"/>
  <c r="I197" i="248"/>
  <c r="B197" i="248"/>
  <c r="J196" i="248"/>
  <c r="I196" i="248"/>
  <c r="B196" i="248"/>
  <c r="J195" i="248"/>
  <c r="I195" i="248"/>
  <c r="B195" i="248"/>
  <c r="J194" i="248"/>
  <c r="I194" i="248"/>
  <c r="B194" i="248"/>
  <c r="J193" i="248"/>
  <c r="I193" i="248"/>
  <c r="B193" i="248"/>
  <c r="J192" i="248"/>
  <c r="I192" i="248"/>
  <c r="B192" i="248"/>
  <c r="J191" i="248"/>
  <c r="I191" i="248"/>
  <c r="B191" i="248"/>
  <c r="J190" i="248"/>
  <c r="I190" i="248"/>
  <c r="B190" i="248"/>
  <c r="AB189" i="248"/>
  <c r="AA189" i="248"/>
  <c r="Z189" i="248"/>
  <c r="X189" i="248"/>
  <c r="W189" i="248"/>
  <c r="V189" i="248"/>
  <c r="L189" i="248"/>
  <c r="K189" i="248"/>
  <c r="B187" i="248"/>
  <c r="B186" i="248"/>
  <c r="B185" i="248"/>
  <c r="B184" i="248"/>
  <c r="B183" i="248"/>
  <c r="B106" i="248"/>
  <c r="B105" i="248"/>
  <c r="J104" i="248"/>
  <c r="I104" i="248"/>
  <c r="B104" i="248"/>
  <c r="AB103" i="248"/>
  <c r="AA103" i="248"/>
  <c r="Z103" i="248"/>
  <c r="X103" i="248"/>
  <c r="V103" i="248"/>
  <c r="L103" i="248"/>
  <c r="K103" i="248"/>
  <c r="J86" i="248"/>
  <c r="I86" i="248"/>
  <c r="B86" i="248"/>
  <c r="J85" i="248"/>
  <c r="I85" i="248"/>
  <c r="B85" i="248"/>
  <c r="J84" i="248"/>
  <c r="I84" i="248"/>
  <c r="B84" i="248"/>
  <c r="AB83" i="248"/>
  <c r="AA83" i="248"/>
  <c r="Z83" i="248"/>
  <c r="X83" i="248"/>
  <c r="V83" i="248"/>
  <c r="L83" i="248"/>
  <c r="K83" i="248"/>
  <c r="J67" i="248"/>
  <c r="I67" i="248"/>
  <c r="B67" i="248"/>
  <c r="J66" i="248"/>
  <c r="I66" i="248"/>
  <c r="B66" i="248"/>
  <c r="J65" i="248"/>
  <c r="I65" i="248"/>
  <c r="B65" i="248"/>
  <c r="J64" i="248"/>
  <c r="I64" i="248"/>
  <c r="B64" i="248"/>
  <c r="L63" i="248"/>
  <c r="K63" i="248"/>
  <c r="J58" i="248"/>
  <c r="I58" i="248"/>
  <c r="B58" i="248"/>
  <c r="J57" i="248"/>
  <c r="I57" i="248"/>
  <c r="B57" i="248"/>
  <c r="J56" i="248"/>
  <c r="I56" i="248"/>
  <c r="B56" i="248"/>
  <c r="AB55" i="248"/>
  <c r="AA55" i="248"/>
  <c r="Z55" i="248"/>
  <c r="X55" i="248"/>
  <c r="V55" i="248"/>
  <c r="U55" i="248"/>
  <c r="L55" i="248"/>
  <c r="K55" i="248"/>
  <c r="J19" i="248"/>
  <c r="I19" i="248"/>
  <c r="B19" i="248"/>
  <c r="J18" i="248"/>
  <c r="I18" i="248"/>
  <c r="B18" i="248"/>
  <c r="AB17" i="248"/>
  <c r="AA17" i="248"/>
  <c r="Z17" i="248"/>
  <c r="X17" i="248"/>
  <c r="V17" i="248"/>
  <c r="U17" i="248"/>
  <c r="L17" i="248"/>
  <c r="B15" i="248"/>
  <c r="B14" i="248"/>
  <c r="J13" i="248"/>
  <c r="B13" i="248"/>
  <c r="B12" i="248"/>
  <c r="J11" i="248"/>
  <c r="B11" i="248"/>
  <c r="J10" i="248"/>
  <c r="I10" i="248"/>
  <c r="B10" i="248"/>
  <c r="J9" i="248"/>
  <c r="I9" i="248"/>
  <c r="B9" i="248"/>
  <c r="J8" i="248"/>
  <c r="I8" i="248"/>
  <c r="B8" i="248"/>
  <c r="J7" i="248"/>
  <c r="I7" i="248"/>
  <c r="B7" i="248"/>
  <c r="J6" i="248"/>
  <c r="I6" i="248"/>
  <c r="B6" i="248"/>
  <c r="AB5" i="248"/>
  <c r="AA5" i="248"/>
  <c r="Z5" i="248"/>
  <c r="X5" i="248"/>
  <c r="V5" i="248"/>
  <c r="L5" i="248"/>
  <c r="K5" i="248"/>
  <c r="B2" i="206" a="1"/>
  <c r="B2" i="206" s="1"/>
  <c r="B2" i="209" a="1"/>
  <c r="B2" i="209" s="1"/>
  <c r="B2" i="205" a="1"/>
  <c r="B2" i="205" s="1"/>
  <c r="Y189" i="248" l="1"/>
  <c r="Y63" i="248"/>
  <c r="W5" i="248"/>
  <c r="W63" i="248"/>
  <c r="W17" i="248"/>
  <c r="Y17" i="248"/>
  <c r="Y55" i="248"/>
  <c r="Y83" i="248"/>
  <c r="W103" i="248"/>
  <c r="W225" i="248"/>
  <c r="K263" i="253"/>
  <c r="L263" i="253" s="1"/>
  <c r="Y5" i="248"/>
  <c r="W213" i="248"/>
  <c r="U63" i="248"/>
  <c r="W55" i="248"/>
  <c r="W83" i="248"/>
  <c r="Y103" i="248"/>
  <c r="K504" i="250"/>
  <c r="L504" i="250" s="1"/>
  <c r="J27" i="248"/>
  <c r="I141" i="248"/>
  <c r="J141" i="248"/>
  <c r="K141" i="248" s="1"/>
  <c r="I27" i="248"/>
  <c r="J36" i="248"/>
  <c r="I70" i="248"/>
  <c r="J133" i="248"/>
  <c r="I12" i="248"/>
  <c r="K12" i="248" s="1"/>
  <c r="L12" i="248" s="1"/>
  <c r="I167" i="248"/>
  <c r="I119" i="248"/>
  <c r="J167" i="248"/>
  <c r="J119" i="248"/>
  <c r="O131" i="248"/>
  <c r="P672" i="253"/>
  <c r="L672" i="253" s="1"/>
  <c r="L598" i="253"/>
  <c r="L486" i="250"/>
  <c r="I105" i="248"/>
  <c r="J134" i="248"/>
  <c r="I168" i="248"/>
  <c r="J105" i="248"/>
  <c r="J70" i="248"/>
  <c r="H77" i="248"/>
  <c r="J77" i="248" s="1"/>
  <c r="I154" i="248"/>
  <c r="I120" i="248"/>
  <c r="J154" i="248"/>
  <c r="K154" i="248" s="1"/>
  <c r="I71" i="248"/>
  <c r="K71" i="248" s="1"/>
  <c r="L71" i="248" s="1"/>
  <c r="I181" i="248"/>
  <c r="K221" i="248"/>
  <c r="L221" i="248" s="1"/>
  <c r="I142" i="248"/>
  <c r="J24" i="248"/>
  <c r="K24" i="248" s="1"/>
  <c r="L24" i="248" s="1"/>
  <c r="I122" i="248"/>
  <c r="J142" i="248"/>
  <c r="K142" i="248" s="1"/>
  <c r="O118" i="248"/>
  <c r="J41" i="248"/>
  <c r="I121" i="248"/>
  <c r="I179" i="248"/>
  <c r="J117" i="248"/>
  <c r="J121" i="248"/>
  <c r="K121" i="248" s="1"/>
  <c r="I145" i="248"/>
  <c r="K145" i="248" s="1"/>
  <c r="J179" i="248"/>
  <c r="H32" i="248"/>
  <c r="J145" i="248"/>
  <c r="I59" i="248"/>
  <c r="I14" i="248"/>
  <c r="K14" i="248" s="1"/>
  <c r="L14" i="248" s="1"/>
  <c r="I25" i="248"/>
  <c r="K25" i="248" s="1"/>
  <c r="L25" i="248" s="1"/>
  <c r="I36" i="248"/>
  <c r="I72" i="248"/>
  <c r="H126" i="248"/>
  <c r="J126" i="248" s="1"/>
  <c r="J110" i="248"/>
  <c r="K110" i="248" s="1"/>
  <c r="L110" i="248" s="1"/>
  <c r="I60" i="248"/>
  <c r="K128" i="248"/>
  <c r="L128" i="248" s="1"/>
  <c r="I90" i="248"/>
  <c r="K90" i="248" s="1"/>
  <c r="L90" i="248" s="1"/>
  <c r="I61" i="248"/>
  <c r="K61" i="248" s="1"/>
  <c r="J158" i="248"/>
  <c r="K158" i="248" s="1"/>
  <c r="L158" i="248" s="1"/>
  <c r="O129" i="248"/>
  <c r="J25" i="248"/>
  <c r="H47" i="248"/>
  <c r="J47" i="248" s="1"/>
  <c r="H137" i="248"/>
  <c r="J137" i="248" s="1"/>
  <c r="I131" i="248"/>
  <c r="K131" i="248" s="1"/>
  <c r="J178" i="248"/>
  <c r="U83" i="248"/>
  <c r="U189" i="248"/>
  <c r="U201" i="248"/>
  <c r="U213" i="248"/>
  <c r="U225" i="248"/>
  <c r="U5" i="248"/>
  <c r="J125" i="248"/>
  <c r="I125" i="248"/>
  <c r="K125" i="248" s="1"/>
  <c r="L125" i="248" s="1"/>
  <c r="I15" i="248"/>
  <c r="K152" i="248"/>
  <c r="L152" i="248" s="1"/>
  <c r="M144" i="248"/>
  <c r="M153" i="248"/>
  <c r="M179" i="248"/>
  <c r="K60" i="248"/>
  <c r="L60" i="248" s="1"/>
  <c r="M145" i="248"/>
  <c r="M154" i="248"/>
  <c r="M180" i="248"/>
  <c r="J38" i="248"/>
  <c r="I93" i="248"/>
  <c r="K93" i="248" s="1"/>
  <c r="L93" i="248" s="1"/>
  <c r="M155" i="248"/>
  <c r="M181" i="248"/>
  <c r="I74" i="248"/>
  <c r="J93" i="248"/>
  <c r="H78" i="248"/>
  <c r="J78" i="248" s="1"/>
  <c r="O109" i="248"/>
  <c r="O119" i="248"/>
  <c r="M121" i="248"/>
  <c r="M156" i="248"/>
  <c r="K59" i="248"/>
  <c r="L59" i="248" s="1"/>
  <c r="I29" i="248"/>
  <c r="J74" i="248"/>
  <c r="H35" i="248"/>
  <c r="J35" i="248" s="1"/>
  <c r="O120" i="248"/>
  <c r="H124" i="248"/>
  <c r="O121" i="248"/>
  <c r="O181" i="248"/>
  <c r="M106" i="248"/>
  <c r="M117" i="248"/>
  <c r="M109" i="248"/>
  <c r="M118" i="248"/>
  <c r="M141" i="248"/>
  <c r="M119" i="248"/>
  <c r="M142" i="248"/>
  <c r="M129" i="248"/>
  <c r="M130" i="248"/>
  <c r="M165" i="248"/>
  <c r="M105" i="248"/>
  <c r="M131" i="248"/>
  <c r="M166" i="248"/>
  <c r="M132" i="248"/>
  <c r="M167" i="248"/>
  <c r="M107" i="248"/>
  <c r="M168" i="248"/>
  <c r="M177" i="248"/>
  <c r="O153" i="248"/>
  <c r="O155" i="248"/>
  <c r="O157" i="248"/>
  <c r="O141" i="248"/>
  <c r="O144" i="248"/>
  <c r="O132" i="248"/>
  <c r="O105" i="248"/>
  <c r="O106" i="248"/>
  <c r="O179" i="248"/>
  <c r="O145" i="248"/>
  <c r="O154" i="248"/>
  <c r="O180" i="248"/>
  <c r="O130" i="248"/>
  <c r="O165" i="248"/>
  <c r="O166" i="248"/>
  <c r="O167" i="248"/>
  <c r="O107" i="248"/>
  <c r="O142" i="248"/>
  <c r="O168" i="248"/>
  <c r="O177" i="248"/>
  <c r="I178" i="248"/>
  <c r="K178" i="248" s="1"/>
  <c r="L178" i="248" s="1"/>
  <c r="J181" i="248"/>
  <c r="I177" i="248"/>
  <c r="K177" i="248" s="1"/>
  <c r="J165" i="248"/>
  <c r="K165" i="248" s="1"/>
  <c r="I166" i="248"/>
  <c r="J166" i="248"/>
  <c r="I169" i="248"/>
  <c r="K169" i="248" s="1"/>
  <c r="L169" i="248" s="1"/>
  <c r="J169" i="248"/>
  <c r="I155" i="248"/>
  <c r="K155" i="248" s="1"/>
  <c r="I157" i="248"/>
  <c r="J161" i="248"/>
  <c r="I161" i="248"/>
  <c r="K161" i="248" s="1"/>
  <c r="L161" i="248" s="1"/>
  <c r="J155" i="248"/>
  <c r="I153" i="248"/>
  <c r="J157" i="248"/>
  <c r="J184" i="248"/>
  <c r="I184" i="248"/>
  <c r="J185" i="248"/>
  <c r="I185" i="248"/>
  <c r="I187" i="248"/>
  <c r="J187" i="248"/>
  <c r="H183" i="248"/>
  <c r="I182" i="248"/>
  <c r="K182" i="248" s="1"/>
  <c r="L182" i="248" s="1"/>
  <c r="I180" i="248"/>
  <c r="K180" i="248" s="1"/>
  <c r="H186" i="248"/>
  <c r="J172" i="248"/>
  <c r="I172" i="248"/>
  <c r="I173" i="248"/>
  <c r="K173" i="248" s="1"/>
  <c r="L173" i="248" s="1"/>
  <c r="J173" i="248"/>
  <c r="I174" i="248"/>
  <c r="J174" i="248"/>
  <c r="J175" i="248"/>
  <c r="I175" i="248"/>
  <c r="K175" i="248" s="1"/>
  <c r="L175" i="248" s="1"/>
  <c r="J168" i="248"/>
  <c r="H171" i="248"/>
  <c r="I170" i="248"/>
  <c r="K170" i="248" s="1"/>
  <c r="L170" i="248" s="1"/>
  <c r="J159" i="248"/>
  <c r="I159" i="248"/>
  <c r="K159" i="248" s="1"/>
  <c r="L159" i="248" s="1"/>
  <c r="I160" i="248"/>
  <c r="K160" i="248" s="1"/>
  <c r="L160" i="248" s="1"/>
  <c r="J160" i="248"/>
  <c r="J162" i="248"/>
  <c r="I162" i="248"/>
  <c r="J163" i="248"/>
  <c r="I163" i="248"/>
  <c r="K163" i="248" s="1"/>
  <c r="L163" i="248" s="1"/>
  <c r="J153" i="248"/>
  <c r="I156" i="248"/>
  <c r="J156" i="248"/>
  <c r="J147" i="248"/>
  <c r="I147" i="248"/>
  <c r="K147" i="248" s="1"/>
  <c r="L147" i="248" s="1"/>
  <c r="J148" i="248"/>
  <c r="I148" i="248"/>
  <c r="J149" i="248"/>
  <c r="I149" i="248"/>
  <c r="I150" i="248"/>
  <c r="J150" i="248"/>
  <c r="J151" i="248"/>
  <c r="I151" i="248"/>
  <c r="K151" i="248" s="1"/>
  <c r="L151" i="248" s="1"/>
  <c r="J143" i="248"/>
  <c r="K143" i="248" s="1"/>
  <c r="L143" i="248" s="1"/>
  <c r="I146" i="248"/>
  <c r="K146" i="248" s="1"/>
  <c r="L146" i="248" s="1"/>
  <c r="I144" i="248"/>
  <c r="K144" i="248" s="1"/>
  <c r="J144" i="248"/>
  <c r="J135" i="248"/>
  <c r="I135" i="248"/>
  <c r="K135" i="248" s="1"/>
  <c r="L135" i="248" s="1"/>
  <c r="J136" i="248"/>
  <c r="I136" i="248"/>
  <c r="K136" i="248" s="1"/>
  <c r="L136" i="248" s="1"/>
  <c r="J138" i="248"/>
  <c r="I138" i="248"/>
  <c r="I139" i="248"/>
  <c r="K139" i="248" s="1"/>
  <c r="L139" i="248" s="1"/>
  <c r="J139" i="248"/>
  <c r="J129" i="248"/>
  <c r="I132" i="248"/>
  <c r="K132" i="248" s="1"/>
  <c r="J132" i="248"/>
  <c r="I130" i="248"/>
  <c r="K130" i="248" s="1"/>
  <c r="J130" i="248"/>
  <c r="I133" i="248"/>
  <c r="K133" i="248" s="1"/>
  <c r="L133" i="248" s="1"/>
  <c r="I123" i="248"/>
  <c r="K123" i="248" s="1"/>
  <c r="L123" i="248" s="1"/>
  <c r="I127" i="248"/>
  <c r="K127" i="248" s="1"/>
  <c r="L127" i="248" s="1"/>
  <c r="I118" i="248"/>
  <c r="K118" i="248" s="1"/>
  <c r="H112" i="248"/>
  <c r="I106" i="248"/>
  <c r="K106" i="248" s="1"/>
  <c r="I117" i="248"/>
  <c r="K117" i="248" s="1"/>
  <c r="J111" i="248"/>
  <c r="I111" i="248"/>
  <c r="I75" i="248"/>
  <c r="K75" i="248" s="1"/>
  <c r="L75" i="248" s="1"/>
  <c r="H98" i="248"/>
  <c r="J98" i="248" s="1"/>
  <c r="I39" i="248"/>
  <c r="K39" i="248" s="1"/>
  <c r="L39" i="248" s="1"/>
  <c r="I73" i="248"/>
  <c r="K73" i="248" s="1"/>
  <c r="L73" i="248" s="1"/>
  <c r="J94" i="248"/>
  <c r="H96" i="248"/>
  <c r="J39" i="248"/>
  <c r="J73" i="248"/>
  <c r="I92" i="248"/>
  <c r="K92" i="248" s="1"/>
  <c r="L92" i="248" s="1"/>
  <c r="K176" i="248"/>
  <c r="L176" i="248" s="1"/>
  <c r="K120" i="248"/>
  <c r="H48" i="248"/>
  <c r="J48" i="248" s="1"/>
  <c r="J42" i="248"/>
  <c r="J99" i="248"/>
  <c r="I99" i="248"/>
  <c r="H101" i="248"/>
  <c r="I40" i="248"/>
  <c r="K40" i="248" s="1"/>
  <c r="L40" i="248" s="1"/>
  <c r="J44" i="248"/>
  <c r="I95" i="248"/>
  <c r="K95" i="248" s="1"/>
  <c r="L95" i="248" s="1"/>
  <c r="H100" i="248"/>
  <c r="H34" i="248"/>
  <c r="K122" i="248"/>
  <c r="L122" i="248" s="1"/>
  <c r="J40" i="248"/>
  <c r="I28" i="248"/>
  <c r="K28" i="248" s="1"/>
  <c r="L28" i="248" s="1"/>
  <c r="K119" i="248"/>
  <c r="K116" i="248"/>
  <c r="L116" i="248" s="1"/>
  <c r="K140" i="248"/>
  <c r="L140" i="248" s="1"/>
  <c r="K164" i="248"/>
  <c r="L164" i="248" s="1"/>
  <c r="H97" i="248"/>
  <c r="K129" i="248"/>
  <c r="K153" i="248"/>
  <c r="I91" i="248"/>
  <c r="K91" i="248" s="1"/>
  <c r="L91" i="248" s="1"/>
  <c r="H30" i="248"/>
  <c r="K134" i="248"/>
  <c r="L134" i="248" s="1"/>
  <c r="K166" i="248"/>
  <c r="H52" i="248"/>
  <c r="J52" i="248" s="1"/>
  <c r="J46" i="248"/>
  <c r="I46" i="248"/>
  <c r="K46" i="248" s="1"/>
  <c r="L46" i="248" s="1"/>
  <c r="I37" i="248"/>
  <c r="K37" i="248" s="1"/>
  <c r="L37" i="248" s="1"/>
  <c r="H43" i="248"/>
  <c r="H51" i="248"/>
  <c r="I45" i="248"/>
  <c r="K45" i="248" s="1"/>
  <c r="L45" i="248" s="1"/>
  <c r="I33" i="248"/>
  <c r="K33" i="248" s="1"/>
  <c r="L33" i="248" s="1"/>
  <c r="I31" i="248"/>
  <c r="K31" i="248" s="1"/>
  <c r="L31" i="248" s="1"/>
  <c r="I77" i="248"/>
  <c r="K77" i="248" s="1"/>
  <c r="L77" i="248" s="1"/>
  <c r="J81" i="248"/>
  <c r="I81" i="248"/>
  <c r="I80" i="248"/>
  <c r="J80" i="248"/>
  <c r="I79" i="248"/>
  <c r="J79" i="248"/>
  <c r="J75" i="248"/>
  <c r="I78" i="248"/>
  <c r="K78" i="248" s="1"/>
  <c r="L78" i="248" s="1"/>
  <c r="I76" i="248"/>
  <c r="K76" i="248" s="1"/>
  <c r="L76" i="248" s="1"/>
  <c r="K72" i="248"/>
  <c r="L72" i="248" s="1"/>
  <c r="K80" i="248"/>
  <c r="L80" i="248" s="1"/>
  <c r="K87" i="248"/>
  <c r="L87" i="248" s="1"/>
  <c r="K89" i="248"/>
  <c r="L89" i="248" s="1"/>
  <c r="K11" i="248"/>
  <c r="L11" i="248" s="1"/>
  <c r="K94" i="248"/>
  <c r="L94" i="248" s="1"/>
  <c r="K88" i="248"/>
  <c r="L88" i="248" s="1"/>
  <c r="K69" i="248"/>
  <c r="L69" i="248" s="1"/>
  <c r="K74" i="248"/>
  <c r="L74" i="248" s="1"/>
  <c r="K68" i="248"/>
  <c r="L68" i="248" s="1"/>
  <c r="K70" i="248"/>
  <c r="L70" i="248" s="1"/>
  <c r="I44" i="248"/>
  <c r="I42" i="248"/>
  <c r="K42" i="248" s="1"/>
  <c r="L42" i="248" s="1"/>
  <c r="I50" i="248"/>
  <c r="K50" i="248" s="1"/>
  <c r="L50" i="248" s="1"/>
  <c r="I38" i="248"/>
  <c r="K38" i="248" s="1"/>
  <c r="L38" i="248" s="1"/>
  <c r="K10" i="248"/>
  <c r="L10" i="248" s="1"/>
  <c r="K19" i="248"/>
  <c r="L19" i="248" s="1"/>
  <c r="K65" i="248"/>
  <c r="L65" i="248" s="1"/>
  <c r="K105" i="248"/>
  <c r="K203" i="248"/>
  <c r="L203" i="248" s="1"/>
  <c r="K211" i="248"/>
  <c r="L211" i="248" s="1"/>
  <c r="K13" i="248"/>
  <c r="L13" i="248" s="1"/>
  <c r="K194" i="248"/>
  <c r="L194" i="248" s="1"/>
  <c r="K29" i="248"/>
  <c r="L29" i="248" s="1"/>
  <c r="K26" i="248"/>
  <c r="L26" i="248" s="1"/>
  <c r="K204" i="248"/>
  <c r="L204" i="248" s="1"/>
  <c r="K23" i="248"/>
  <c r="L23" i="248" s="1"/>
  <c r="K195" i="248"/>
  <c r="L195" i="248" s="1"/>
  <c r="K18" i="248"/>
  <c r="L18" i="248" s="1"/>
  <c r="K64" i="248"/>
  <c r="L64" i="248" s="1"/>
  <c r="K104" i="248"/>
  <c r="L104" i="248" s="1"/>
  <c r="K202" i="248"/>
  <c r="L202" i="248" s="1"/>
  <c r="K210" i="248"/>
  <c r="L210" i="248" s="1"/>
  <c r="K27" i="248"/>
  <c r="L27" i="248" s="1"/>
  <c r="K20" i="248"/>
  <c r="L20" i="248" s="1"/>
  <c r="K219" i="248"/>
  <c r="L219" i="248" s="1"/>
  <c r="K41" i="248"/>
  <c r="L41" i="248" s="1"/>
  <c r="K226" i="248"/>
  <c r="L226" i="248" s="1"/>
  <c r="K234" i="248"/>
  <c r="L234" i="248" s="1"/>
  <c r="K22" i="248"/>
  <c r="L22" i="248" s="1"/>
  <c r="K8" i="248"/>
  <c r="L8" i="248" s="1"/>
  <c r="K227" i="248"/>
  <c r="L227" i="248" s="1"/>
  <c r="K21" i="248"/>
  <c r="L21" i="248" s="1"/>
  <c r="K58" i="248"/>
  <c r="L58" i="248" s="1"/>
  <c r="K66" i="248"/>
  <c r="L66" i="248" s="1"/>
  <c r="K86" i="248"/>
  <c r="L86" i="248" s="1"/>
  <c r="K218" i="248"/>
  <c r="L218" i="248" s="1"/>
  <c r="K197" i="248"/>
  <c r="L197" i="248" s="1"/>
  <c r="K67" i="248"/>
  <c r="L67" i="248" s="1"/>
  <c r="K229" i="248"/>
  <c r="L229" i="248" s="1"/>
  <c r="K205" i="248"/>
  <c r="L205" i="248" s="1"/>
  <c r="K7" i="248"/>
  <c r="L7" i="248" s="1"/>
  <c r="K15" i="248"/>
  <c r="L15" i="248" s="1"/>
  <c r="K57" i="248"/>
  <c r="L57" i="248" s="1"/>
  <c r="K85" i="248"/>
  <c r="L85" i="248" s="1"/>
  <c r="K191" i="248"/>
  <c r="L191" i="248" s="1"/>
  <c r="K199" i="248"/>
  <c r="L199" i="248" s="1"/>
  <c r="K207" i="248"/>
  <c r="L207" i="248" s="1"/>
  <c r="K215" i="248"/>
  <c r="L215" i="248" s="1"/>
  <c r="K223" i="248"/>
  <c r="L223" i="248" s="1"/>
  <c r="K231" i="248"/>
  <c r="L231" i="248" s="1"/>
  <c r="K196" i="248"/>
  <c r="L196" i="248" s="1"/>
  <c r="K220" i="248"/>
  <c r="L220" i="248" s="1"/>
  <c r="K228" i="248"/>
  <c r="L228" i="248" s="1"/>
  <c r="K9" i="248"/>
  <c r="L9" i="248" s="1"/>
  <c r="K187" i="248"/>
  <c r="L187" i="248" s="1"/>
  <c r="K193" i="248"/>
  <c r="L193" i="248" s="1"/>
  <c r="K209" i="248"/>
  <c r="L209" i="248" s="1"/>
  <c r="K217" i="248"/>
  <c r="L217" i="248" s="1"/>
  <c r="K233" i="248"/>
  <c r="L233" i="248" s="1"/>
  <c r="K6" i="248"/>
  <c r="L6" i="248" s="1"/>
  <c r="K56" i="248"/>
  <c r="L56" i="248" s="1"/>
  <c r="K84" i="248"/>
  <c r="L84" i="248" s="1"/>
  <c r="K184" i="248"/>
  <c r="L184" i="248" s="1"/>
  <c r="K190" i="248"/>
  <c r="L190" i="248" s="1"/>
  <c r="K198" i="248"/>
  <c r="L198" i="248" s="1"/>
  <c r="K206" i="248"/>
  <c r="L206" i="248" s="1"/>
  <c r="K214" i="248"/>
  <c r="L214" i="248" s="1"/>
  <c r="K222" i="248"/>
  <c r="L222" i="248" s="1"/>
  <c r="K230" i="248"/>
  <c r="L230" i="248" s="1"/>
  <c r="K235" i="248"/>
  <c r="L235" i="248" s="1"/>
  <c r="K192" i="248"/>
  <c r="L192" i="248" s="1"/>
  <c r="K208" i="248"/>
  <c r="L208" i="248" s="1"/>
  <c r="K216" i="248"/>
  <c r="L216" i="248" s="1"/>
  <c r="K232" i="248"/>
  <c r="L232" i="248" s="1"/>
  <c r="K44" i="248" l="1"/>
  <c r="L44" i="248" s="1"/>
  <c r="K79" i="248"/>
  <c r="L79" i="248" s="1"/>
  <c r="K150" i="248"/>
  <c r="L150" i="248" s="1"/>
  <c r="K156" i="248"/>
  <c r="K174" i="248"/>
  <c r="L174" i="248" s="1"/>
  <c r="K149" i="248"/>
  <c r="L149" i="248" s="1"/>
  <c r="K167" i="248"/>
  <c r="K36" i="248"/>
  <c r="L36" i="248" s="1"/>
  <c r="H53" i="248"/>
  <c r="K81" i="248"/>
  <c r="L81" i="248" s="1"/>
  <c r="K111" i="248"/>
  <c r="L111" i="248" s="1"/>
  <c r="K138" i="248"/>
  <c r="L138" i="248" s="1"/>
  <c r="K148" i="248"/>
  <c r="L148" i="248" s="1"/>
  <c r="K172" i="248"/>
  <c r="L172" i="248" s="1"/>
  <c r="K185" i="248"/>
  <c r="L185" i="248" s="1"/>
  <c r="K181" i="248"/>
  <c r="L181" i="248" s="1"/>
  <c r="K168" i="248"/>
  <c r="K99" i="248"/>
  <c r="L99" i="248" s="1"/>
  <c r="K162" i="248"/>
  <c r="L162" i="248" s="1"/>
  <c r="K157" i="248"/>
  <c r="K179" i="248"/>
  <c r="L155" i="248"/>
  <c r="L118" i="248"/>
  <c r="L121" i="248"/>
  <c r="L153" i="248"/>
  <c r="I137" i="248"/>
  <c r="K137" i="248" s="1"/>
  <c r="L137" i="248" s="1"/>
  <c r="L106" i="248"/>
  <c r="L105" i="248"/>
  <c r="L117" i="248"/>
  <c r="I126" i="248"/>
  <c r="K126" i="248" s="1"/>
  <c r="L126" i="248" s="1"/>
  <c r="L119" i="248"/>
  <c r="L177" i="248"/>
  <c r="I47" i="248"/>
  <c r="K47" i="248" s="1"/>
  <c r="L47" i="248" s="1"/>
  <c r="L131" i="248"/>
  <c r="L61" i="248"/>
  <c r="L156" i="248"/>
  <c r="L144" i="248"/>
  <c r="J32" i="248"/>
  <c r="I32" i="248"/>
  <c r="L157" i="248"/>
  <c r="L154" i="248"/>
  <c r="L165" i="248"/>
  <c r="L141" i="248"/>
  <c r="I35" i="248"/>
  <c r="K35" i="248" s="1"/>
  <c r="L35" i="248" s="1"/>
  <c r="I98" i="248"/>
  <c r="K98" i="248" s="1"/>
  <c r="L98" i="248" s="1"/>
  <c r="L120" i="248"/>
  <c r="L179" i="248"/>
  <c r="L168" i="248"/>
  <c r="J124" i="248"/>
  <c r="I124" i="248"/>
  <c r="K124" i="248" s="1"/>
  <c r="L124" i="248" s="1"/>
  <c r="L129" i="248"/>
  <c r="L166" i="248"/>
  <c r="L142" i="248"/>
  <c r="L132" i="248"/>
  <c r="L130" i="248"/>
  <c r="L145" i="248"/>
  <c r="L167" i="248"/>
  <c r="L180" i="248"/>
  <c r="J183" i="248"/>
  <c r="I183" i="248"/>
  <c r="K183" i="248" s="1"/>
  <c r="L183" i="248" s="1"/>
  <c r="J186" i="248"/>
  <c r="I186" i="248"/>
  <c r="J171" i="248"/>
  <c r="I171" i="248"/>
  <c r="J107" i="248"/>
  <c r="I107" i="248"/>
  <c r="K107" i="248" s="1"/>
  <c r="L107" i="248" s="1"/>
  <c r="H113" i="248"/>
  <c r="I113" i="248" s="1"/>
  <c r="J112" i="248"/>
  <c r="I112" i="248"/>
  <c r="K112" i="248" s="1"/>
  <c r="L112" i="248" s="1"/>
  <c r="J96" i="248"/>
  <c r="I96" i="248"/>
  <c r="K96" i="248" s="1"/>
  <c r="L96" i="248" s="1"/>
  <c r="I48" i="248"/>
  <c r="K48" i="248" s="1"/>
  <c r="L48" i="248" s="1"/>
  <c r="I97" i="248"/>
  <c r="J97" i="248"/>
  <c r="I34" i="248"/>
  <c r="J34" i="248"/>
  <c r="J101" i="248"/>
  <c r="I101" i="248"/>
  <c r="I100" i="248"/>
  <c r="K100" i="248" s="1"/>
  <c r="L100" i="248" s="1"/>
  <c r="J100" i="248"/>
  <c r="J30" i="248"/>
  <c r="I30" i="248"/>
  <c r="K30" i="248" s="1"/>
  <c r="I52" i="248"/>
  <c r="K52" i="248" s="1"/>
  <c r="L52" i="248" s="1"/>
  <c r="I51" i="248"/>
  <c r="J51" i="248"/>
  <c r="I53" i="248"/>
  <c r="J53" i="248"/>
  <c r="I43" i="248"/>
  <c r="J43" i="248"/>
  <c r="H49" i="248"/>
  <c r="I49" i="248" s="1"/>
  <c r="K53" i="248" l="1"/>
  <c r="L53" i="248" s="1"/>
  <c r="K101" i="248"/>
  <c r="L101" i="248" s="1"/>
  <c r="K186" i="248"/>
  <c r="L186" i="248" s="1"/>
  <c r="K51" i="248"/>
  <c r="L51" i="248" s="1"/>
  <c r="K113" i="248"/>
  <c r="L113" i="248" s="1"/>
  <c r="K34" i="248"/>
  <c r="L34" i="248" s="1"/>
  <c r="K97" i="248"/>
  <c r="L97" i="248" s="1"/>
  <c r="K43" i="248"/>
  <c r="L43" i="248" s="1"/>
  <c r="K171" i="248"/>
  <c r="L171" i="248" s="1"/>
  <c r="K32" i="248"/>
  <c r="L32" i="248" s="1"/>
  <c r="F12" i="201"/>
  <c r="L30" i="248"/>
  <c r="J113" i="248"/>
  <c r="J49" i="248"/>
  <c r="K49" i="248" s="1"/>
  <c r="L49" i="248" s="1"/>
  <c r="J108" i="248"/>
  <c r="I108" i="248"/>
  <c r="H114" i="248"/>
  <c r="B2" i="174" a="1"/>
  <c r="B2" i="174" s="1"/>
  <c r="G4" i="3"/>
  <c r="K108" i="248" l="1"/>
  <c r="L108" i="248" s="1"/>
  <c r="I114" i="248"/>
  <c r="J114" i="248"/>
  <c r="H115" i="248"/>
  <c r="I109" i="248"/>
  <c r="K109" i="248" s="1"/>
  <c r="L109" i="248" s="1"/>
  <c r="J109" i="248"/>
  <c r="G5" i="3"/>
  <c r="K114" i="248" l="1"/>
  <c r="L114" i="248" s="1"/>
  <c r="J115" i="248"/>
  <c r="I115" i="248"/>
  <c r="K115" i="248" s="1"/>
  <c r="L115" i="248" s="1"/>
  <c r="G6" i="3"/>
  <c r="G7" i="3" l="1"/>
  <c r="G8" i="3" l="1"/>
  <c r="G9" i="3" l="1"/>
  <c r="G10" i="3" l="1"/>
  <c r="G11" i="3" l="1"/>
  <c r="G12" i="3" l="1"/>
  <c r="G13" i="3" l="1"/>
  <c r="G14" i="3" l="1"/>
  <c r="J35" i="247"/>
  <c r="I35" i="247"/>
  <c r="B35" i="247"/>
  <c r="J34" i="247"/>
  <c r="I34" i="247"/>
  <c r="B34" i="247"/>
  <c r="J33" i="247"/>
  <c r="I33" i="247"/>
  <c r="B33" i="247"/>
  <c r="J32" i="247"/>
  <c r="I32" i="247"/>
  <c r="B32" i="247"/>
  <c r="J31" i="247"/>
  <c r="I31" i="247"/>
  <c r="B31" i="247"/>
  <c r="J30" i="247"/>
  <c r="I30" i="247"/>
  <c r="B30" i="247"/>
  <c r="J29" i="247"/>
  <c r="I29" i="247"/>
  <c r="B29" i="247"/>
  <c r="J28" i="247"/>
  <c r="I28" i="247"/>
  <c r="B28" i="247"/>
  <c r="J27" i="247"/>
  <c r="I27" i="247"/>
  <c r="B27" i="247"/>
  <c r="J26" i="247"/>
  <c r="I26" i="247"/>
  <c r="B26" i="247"/>
  <c r="J25" i="247"/>
  <c r="I25" i="247"/>
  <c r="B25" i="247"/>
  <c r="J24" i="247"/>
  <c r="I24" i="247"/>
  <c r="B24" i="247"/>
  <c r="J23" i="247"/>
  <c r="I23" i="247"/>
  <c r="B23" i="247"/>
  <c r="J22" i="247"/>
  <c r="I22" i="247"/>
  <c r="B22" i="247"/>
  <c r="J21" i="247"/>
  <c r="I21" i="247"/>
  <c r="B21" i="247"/>
  <c r="J37" i="247"/>
  <c r="I37" i="247"/>
  <c r="B37" i="247"/>
  <c r="J36" i="247"/>
  <c r="I36" i="247"/>
  <c r="B36" i="247"/>
  <c r="J20" i="247"/>
  <c r="I20" i="247"/>
  <c r="B20" i="247"/>
  <c r="J19" i="247"/>
  <c r="I19" i="247"/>
  <c r="B19" i="247"/>
  <c r="J18" i="247"/>
  <c r="I18" i="247"/>
  <c r="B18" i="247"/>
  <c r="J17" i="247"/>
  <c r="I17" i="247"/>
  <c r="B17" i="247"/>
  <c r="J16" i="247"/>
  <c r="I16" i="247"/>
  <c r="B16" i="247"/>
  <c r="J15" i="247"/>
  <c r="I15" i="247"/>
  <c r="B15" i="247"/>
  <c r="J14" i="247"/>
  <c r="I14" i="247"/>
  <c r="B14" i="247"/>
  <c r="J13" i="247"/>
  <c r="I13" i="247"/>
  <c r="B13" i="247"/>
  <c r="J12" i="247"/>
  <c r="I12" i="247"/>
  <c r="B12" i="247"/>
  <c r="A131" i="247"/>
  <c r="J130" i="247"/>
  <c r="I130" i="247"/>
  <c r="B130" i="247"/>
  <c r="J129" i="247"/>
  <c r="I129" i="247"/>
  <c r="B129" i="247"/>
  <c r="J128" i="247"/>
  <c r="I128" i="247"/>
  <c r="B128" i="247"/>
  <c r="J127" i="247"/>
  <c r="I127" i="247"/>
  <c r="B127" i="247"/>
  <c r="J126" i="247"/>
  <c r="I126" i="247"/>
  <c r="B126" i="247"/>
  <c r="J125" i="247"/>
  <c r="I125" i="247"/>
  <c r="B125" i="247"/>
  <c r="J124" i="247"/>
  <c r="I124" i="247"/>
  <c r="B124" i="247"/>
  <c r="J123" i="247"/>
  <c r="I123" i="247"/>
  <c r="B123" i="247"/>
  <c r="J122" i="247"/>
  <c r="I122" i="247"/>
  <c r="B122" i="247"/>
  <c r="J121" i="247"/>
  <c r="I121" i="247"/>
  <c r="B121" i="247"/>
  <c r="AB120" i="247"/>
  <c r="AA120" i="247"/>
  <c r="Z120" i="247"/>
  <c r="Y120" i="247"/>
  <c r="X120" i="247"/>
  <c r="W120" i="247"/>
  <c r="V120" i="247"/>
  <c r="U120" i="247"/>
  <c r="L120" i="247"/>
  <c r="K120" i="247"/>
  <c r="J118" i="247"/>
  <c r="I118" i="247"/>
  <c r="B118" i="247"/>
  <c r="J117" i="247"/>
  <c r="I117" i="247"/>
  <c r="B117" i="247"/>
  <c r="J116" i="247"/>
  <c r="I116" i="247"/>
  <c r="B116" i="247"/>
  <c r="J115" i="247"/>
  <c r="I115" i="247"/>
  <c r="B115" i="247"/>
  <c r="J114" i="247"/>
  <c r="I114" i="247"/>
  <c r="B114" i="247"/>
  <c r="J113" i="247"/>
  <c r="I113" i="247"/>
  <c r="B113" i="247"/>
  <c r="J112" i="247"/>
  <c r="I112" i="247"/>
  <c r="B112" i="247"/>
  <c r="J111" i="247"/>
  <c r="I111" i="247"/>
  <c r="B111" i="247"/>
  <c r="J110" i="247"/>
  <c r="I110" i="247"/>
  <c r="B110" i="247"/>
  <c r="J109" i="247"/>
  <c r="I109" i="247"/>
  <c r="B109" i="247"/>
  <c r="AB108" i="247"/>
  <c r="AA108" i="247"/>
  <c r="Z108" i="247"/>
  <c r="Y108" i="247"/>
  <c r="X108" i="247"/>
  <c r="W108" i="247"/>
  <c r="V108" i="247"/>
  <c r="U108" i="247"/>
  <c r="L108" i="247"/>
  <c r="K108" i="247"/>
  <c r="K116" i="247" s="1"/>
  <c r="J106" i="247"/>
  <c r="I106" i="247"/>
  <c r="B106" i="247"/>
  <c r="J105" i="247"/>
  <c r="I105" i="247"/>
  <c r="B105" i="247"/>
  <c r="J104" i="247"/>
  <c r="I104" i="247"/>
  <c r="B104" i="247"/>
  <c r="J103" i="247"/>
  <c r="I103" i="247"/>
  <c r="B103" i="247"/>
  <c r="J102" i="247"/>
  <c r="I102" i="247"/>
  <c r="B102" i="247"/>
  <c r="J101" i="247"/>
  <c r="I101" i="247"/>
  <c r="B101" i="247"/>
  <c r="J100" i="247"/>
  <c r="I100" i="247"/>
  <c r="B100" i="247"/>
  <c r="J99" i="247"/>
  <c r="I99" i="247"/>
  <c r="B99" i="247"/>
  <c r="J98" i="247"/>
  <c r="I98" i="247"/>
  <c r="B98" i="247"/>
  <c r="J97" i="247"/>
  <c r="I97" i="247"/>
  <c r="B97" i="247"/>
  <c r="AB96" i="247"/>
  <c r="AA96" i="247"/>
  <c r="Z96" i="247"/>
  <c r="Y96" i="247"/>
  <c r="X96" i="247"/>
  <c r="W96" i="247"/>
  <c r="V96" i="247"/>
  <c r="U96" i="247"/>
  <c r="L96" i="247"/>
  <c r="K96" i="247"/>
  <c r="J94" i="247"/>
  <c r="I94" i="247"/>
  <c r="B94" i="247"/>
  <c r="J93" i="247"/>
  <c r="I93" i="247"/>
  <c r="B93" i="247"/>
  <c r="J92" i="247"/>
  <c r="I92" i="247"/>
  <c r="B92" i="247"/>
  <c r="J91" i="247"/>
  <c r="I91" i="247"/>
  <c r="B91" i="247"/>
  <c r="J90" i="247"/>
  <c r="I90" i="247"/>
  <c r="B90" i="247"/>
  <c r="J89" i="247"/>
  <c r="I89" i="247"/>
  <c r="B89" i="247"/>
  <c r="J88" i="247"/>
  <c r="I88" i="247"/>
  <c r="B88" i="247"/>
  <c r="J87" i="247"/>
  <c r="I87" i="247"/>
  <c r="B87" i="247"/>
  <c r="J86" i="247"/>
  <c r="I86" i="247"/>
  <c r="B86" i="247"/>
  <c r="J85" i="247"/>
  <c r="I85" i="247"/>
  <c r="B85" i="247"/>
  <c r="AB84" i="247"/>
  <c r="AA84" i="247"/>
  <c r="Z84" i="247"/>
  <c r="Y84" i="247"/>
  <c r="X84" i="247"/>
  <c r="W84" i="247"/>
  <c r="V84" i="247"/>
  <c r="U84" i="247"/>
  <c r="L84" i="247"/>
  <c r="K84" i="247"/>
  <c r="K92" i="247" s="1"/>
  <c r="J82" i="247"/>
  <c r="I82" i="247"/>
  <c r="B82" i="247"/>
  <c r="J81" i="247"/>
  <c r="I81" i="247"/>
  <c r="B81" i="247"/>
  <c r="J80" i="247"/>
  <c r="I80" i="247"/>
  <c r="B80" i="247"/>
  <c r="J79" i="247"/>
  <c r="I79" i="247"/>
  <c r="B79" i="247"/>
  <c r="J78" i="247"/>
  <c r="I78" i="247"/>
  <c r="B78" i="247"/>
  <c r="J77" i="247"/>
  <c r="I77" i="247"/>
  <c r="B77" i="247"/>
  <c r="J76" i="247"/>
  <c r="I76" i="247"/>
  <c r="B76" i="247"/>
  <c r="J75" i="247"/>
  <c r="I75" i="247"/>
  <c r="B75" i="247"/>
  <c r="J74" i="247"/>
  <c r="I74" i="247"/>
  <c r="B74" i="247"/>
  <c r="J73" i="247"/>
  <c r="I73" i="247"/>
  <c r="B73" i="247"/>
  <c r="AB72" i="247"/>
  <c r="AA72" i="247"/>
  <c r="Z72" i="247"/>
  <c r="Y72" i="247"/>
  <c r="X72" i="247"/>
  <c r="W72" i="247"/>
  <c r="V72" i="247"/>
  <c r="U72" i="247"/>
  <c r="L72" i="247"/>
  <c r="K72" i="247"/>
  <c r="J70" i="247"/>
  <c r="I70" i="247"/>
  <c r="B70" i="247"/>
  <c r="J69" i="247"/>
  <c r="I69" i="247"/>
  <c r="B69" i="247"/>
  <c r="J68" i="247"/>
  <c r="I68" i="247"/>
  <c r="B68" i="247"/>
  <c r="J67" i="247"/>
  <c r="I67" i="247"/>
  <c r="B67" i="247"/>
  <c r="J66" i="247"/>
  <c r="I66" i="247"/>
  <c r="B66" i="247"/>
  <c r="J65" i="247"/>
  <c r="I65" i="247"/>
  <c r="B65" i="247"/>
  <c r="J64" i="247"/>
  <c r="I64" i="247"/>
  <c r="B64" i="247"/>
  <c r="J63" i="247"/>
  <c r="I63" i="247"/>
  <c r="B63" i="247"/>
  <c r="J62" i="247"/>
  <c r="I62" i="247"/>
  <c r="B62" i="247"/>
  <c r="J61" i="247"/>
  <c r="I61" i="247"/>
  <c r="B61" i="247"/>
  <c r="AB60" i="247"/>
  <c r="AA60" i="247"/>
  <c r="Z60" i="247"/>
  <c r="Y60" i="247"/>
  <c r="X60" i="247"/>
  <c r="W60" i="247"/>
  <c r="V60" i="247"/>
  <c r="U60" i="247"/>
  <c r="L60" i="247"/>
  <c r="K60" i="247"/>
  <c r="J58" i="247"/>
  <c r="I58" i="247"/>
  <c r="B58" i="247"/>
  <c r="J57" i="247"/>
  <c r="I57" i="247"/>
  <c r="B57" i="247"/>
  <c r="J56" i="247"/>
  <c r="I56" i="247"/>
  <c r="B56" i="247"/>
  <c r="J55" i="247"/>
  <c r="I55" i="247"/>
  <c r="B55" i="247"/>
  <c r="J54" i="247"/>
  <c r="I54" i="247"/>
  <c r="B54" i="247"/>
  <c r="J53" i="247"/>
  <c r="I53" i="247"/>
  <c r="B53" i="247"/>
  <c r="J52" i="247"/>
  <c r="I52" i="247"/>
  <c r="B52" i="247"/>
  <c r="J51" i="247"/>
  <c r="I51" i="247"/>
  <c r="B51" i="247"/>
  <c r="J50" i="247"/>
  <c r="I50" i="247"/>
  <c r="B50" i="247"/>
  <c r="J49" i="247"/>
  <c r="I49" i="247"/>
  <c r="B49" i="247"/>
  <c r="AB48" i="247"/>
  <c r="AA48" i="247"/>
  <c r="Z48" i="247"/>
  <c r="Y48" i="247"/>
  <c r="X48" i="247"/>
  <c r="W48" i="247"/>
  <c r="V48" i="247"/>
  <c r="U48" i="247"/>
  <c r="L48" i="247"/>
  <c r="K48" i="247"/>
  <c r="J46" i="247"/>
  <c r="I46" i="247"/>
  <c r="B46" i="247"/>
  <c r="AB45" i="247"/>
  <c r="AA45" i="247"/>
  <c r="Z45" i="247"/>
  <c r="Y45" i="247"/>
  <c r="X45" i="247"/>
  <c r="W45" i="247"/>
  <c r="V45" i="247"/>
  <c r="U45" i="247"/>
  <c r="L45" i="247"/>
  <c r="K45" i="247"/>
  <c r="J43" i="247"/>
  <c r="I43" i="247"/>
  <c r="B43" i="247"/>
  <c r="J42" i="247"/>
  <c r="I42" i="247"/>
  <c r="B42" i="247"/>
  <c r="J41" i="247"/>
  <c r="I41" i="247"/>
  <c r="B41" i="247"/>
  <c r="AB40" i="247"/>
  <c r="AA40" i="247"/>
  <c r="Z40" i="247"/>
  <c r="Y40" i="247"/>
  <c r="X40" i="247"/>
  <c r="W40" i="247"/>
  <c r="V40" i="247"/>
  <c r="U40" i="247"/>
  <c r="L40" i="247"/>
  <c r="K40" i="247"/>
  <c r="J38" i="247"/>
  <c r="I38" i="247"/>
  <c r="B38" i="247"/>
  <c r="J11" i="247"/>
  <c r="I11" i="247"/>
  <c r="B11" i="247"/>
  <c r="J10" i="247"/>
  <c r="I10" i="247"/>
  <c r="B10" i="247"/>
  <c r="J9" i="247"/>
  <c r="I9" i="247"/>
  <c r="B9" i="247"/>
  <c r="J8" i="247"/>
  <c r="I8" i="247"/>
  <c r="B8" i="247"/>
  <c r="J7" i="247"/>
  <c r="I7" i="247"/>
  <c r="B7" i="247"/>
  <c r="J6" i="247"/>
  <c r="I6" i="247"/>
  <c r="B6" i="247"/>
  <c r="AB5" i="247"/>
  <c r="AA5" i="247"/>
  <c r="Z5" i="247"/>
  <c r="Y5" i="247"/>
  <c r="X5" i="247"/>
  <c r="W5" i="247"/>
  <c r="V5" i="247"/>
  <c r="U5" i="247"/>
  <c r="L5" i="247"/>
  <c r="K5" i="247"/>
  <c r="K10" i="247" l="1"/>
  <c r="L10" i="247" s="1"/>
  <c r="K41" i="247"/>
  <c r="L41" i="247" s="1"/>
  <c r="K42" i="247"/>
  <c r="L42" i="247" s="1"/>
  <c r="K122" i="247"/>
  <c r="L122" i="247" s="1"/>
  <c r="K34" i="247"/>
  <c r="L34" i="247" s="1"/>
  <c r="K33" i="247"/>
  <c r="L33" i="247" s="1"/>
  <c r="K78" i="247"/>
  <c r="L78" i="247" s="1"/>
  <c r="K114" i="247"/>
  <c r="L114" i="247" s="1"/>
  <c r="K126" i="247"/>
  <c r="L126" i="247" s="1"/>
  <c r="K35" i="247"/>
  <c r="L35" i="247" s="1"/>
  <c r="K31" i="247"/>
  <c r="L31" i="247" s="1"/>
  <c r="K66" i="247"/>
  <c r="L66" i="247" s="1"/>
  <c r="K30" i="247"/>
  <c r="L30" i="247" s="1"/>
  <c r="K32" i="247"/>
  <c r="L32" i="247" s="1"/>
  <c r="K65" i="247"/>
  <c r="L65" i="247" s="1"/>
  <c r="K50" i="247"/>
  <c r="L50" i="247" s="1"/>
  <c r="K43" i="247"/>
  <c r="L43" i="247" s="1"/>
  <c r="K74" i="247"/>
  <c r="L74" i="247" s="1"/>
  <c r="K123" i="247"/>
  <c r="L123" i="247" s="1"/>
  <c r="K69" i="247"/>
  <c r="L69" i="247" s="1"/>
  <c r="K121" i="247"/>
  <c r="L121" i="247" s="1"/>
  <c r="K62" i="247"/>
  <c r="L62" i="247" s="1"/>
  <c r="K106" i="247"/>
  <c r="L106" i="247" s="1"/>
  <c r="K113" i="247"/>
  <c r="L113" i="247" s="1"/>
  <c r="K100" i="247"/>
  <c r="L100" i="247" s="1"/>
  <c r="K124" i="247"/>
  <c r="L124" i="247" s="1"/>
  <c r="K73" i="247"/>
  <c r="L73" i="247" s="1"/>
  <c r="K23" i="247"/>
  <c r="L23" i="247" s="1"/>
  <c r="K68" i="247"/>
  <c r="L68" i="247" s="1"/>
  <c r="K70" i="247"/>
  <c r="L70" i="247" s="1"/>
  <c r="K81" i="247"/>
  <c r="L81" i="247" s="1"/>
  <c r="L116" i="247"/>
  <c r="K28" i="247"/>
  <c r="L28" i="247" s="1"/>
  <c r="K102" i="247"/>
  <c r="L102" i="247" s="1"/>
  <c r="K25" i="247"/>
  <c r="L25" i="247" s="1"/>
  <c r="K90" i="247"/>
  <c r="L90" i="247" s="1"/>
  <c r="K97" i="247"/>
  <c r="L97" i="247" s="1"/>
  <c r="K22" i="247"/>
  <c r="L22" i="247" s="1"/>
  <c r="K11" i="247"/>
  <c r="L11" i="247" s="1"/>
  <c r="K54" i="247"/>
  <c r="L54" i="247" s="1"/>
  <c r="K57" i="247"/>
  <c r="L57" i="247" s="1"/>
  <c r="K77" i="247"/>
  <c r="L77" i="247" s="1"/>
  <c r="K82" i="247"/>
  <c r="L82" i="247" s="1"/>
  <c r="K94" i="247"/>
  <c r="L94" i="247" s="1"/>
  <c r="K27" i="247"/>
  <c r="L27" i="247" s="1"/>
  <c r="K49" i="247"/>
  <c r="L49" i="247" s="1"/>
  <c r="K7" i="247"/>
  <c r="K89" i="247"/>
  <c r="L89" i="247" s="1"/>
  <c r="K24" i="247"/>
  <c r="L24" i="247" s="1"/>
  <c r="K21" i="247"/>
  <c r="L21" i="247" s="1"/>
  <c r="K29" i="247"/>
  <c r="L29" i="247" s="1"/>
  <c r="K38" i="247"/>
  <c r="L38" i="247" s="1"/>
  <c r="K53" i="247"/>
  <c r="L53" i="247" s="1"/>
  <c r="K98" i="247"/>
  <c r="L98" i="247" s="1"/>
  <c r="K101" i="247"/>
  <c r="L101" i="247" s="1"/>
  <c r="K26" i="247"/>
  <c r="L26" i="247" s="1"/>
  <c r="K6" i="247"/>
  <c r="L6" i="247" s="1"/>
  <c r="K61" i="247"/>
  <c r="L61" i="247" s="1"/>
  <c r="K13" i="247"/>
  <c r="L13" i="247" s="1"/>
  <c r="K36" i="247"/>
  <c r="L36" i="247" s="1"/>
  <c r="K110" i="247"/>
  <c r="L110" i="247" s="1"/>
  <c r="K115" i="247"/>
  <c r="L115" i="247" s="1"/>
  <c r="K16" i="247"/>
  <c r="L16" i="247" s="1"/>
  <c r="K52" i="247"/>
  <c r="L52" i="247" s="1"/>
  <c r="K76" i="247"/>
  <c r="L76" i="247" s="1"/>
  <c r="K85" i="247"/>
  <c r="L85" i="247" s="1"/>
  <c r="K18" i="247"/>
  <c r="L18" i="247" s="1"/>
  <c r="K105" i="247"/>
  <c r="L105" i="247" s="1"/>
  <c r="K109" i="247"/>
  <c r="L109" i="247" s="1"/>
  <c r="K118" i="247"/>
  <c r="L118" i="247" s="1"/>
  <c r="K15" i="247"/>
  <c r="L15" i="247" s="1"/>
  <c r="K129" i="247"/>
  <c r="L129" i="247" s="1"/>
  <c r="K12" i="247"/>
  <c r="L12" i="247" s="1"/>
  <c r="K20" i="247"/>
  <c r="L20" i="247" s="1"/>
  <c r="K51" i="247"/>
  <c r="L51" i="247" s="1"/>
  <c r="K75" i="247"/>
  <c r="L75" i="247" s="1"/>
  <c r="K93" i="247"/>
  <c r="L93" i="247" s="1"/>
  <c r="K125" i="247"/>
  <c r="L125" i="247" s="1"/>
  <c r="K17" i="247"/>
  <c r="L17" i="247" s="1"/>
  <c r="K9" i="247"/>
  <c r="L9" i="247" s="1"/>
  <c r="K67" i="247"/>
  <c r="L67" i="247" s="1"/>
  <c r="K99" i="247"/>
  <c r="L99" i="247" s="1"/>
  <c r="K117" i="247"/>
  <c r="L117" i="247" s="1"/>
  <c r="K14" i="247"/>
  <c r="L14" i="247" s="1"/>
  <c r="K37" i="247"/>
  <c r="L37" i="247" s="1"/>
  <c r="L92" i="247"/>
  <c r="K86" i="247"/>
  <c r="L86" i="247" s="1"/>
  <c r="K91" i="247"/>
  <c r="L91" i="247" s="1"/>
  <c r="K19" i="247"/>
  <c r="L19" i="247" s="1"/>
  <c r="K56" i="247"/>
  <c r="L56" i="247" s="1"/>
  <c r="K64" i="247"/>
  <c r="L64" i="247" s="1"/>
  <c r="K80" i="247"/>
  <c r="L80" i="247" s="1"/>
  <c r="K88" i="247"/>
  <c r="L88" i="247" s="1"/>
  <c r="K104" i="247"/>
  <c r="L104" i="247" s="1"/>
  <c r="K112" i="247"/>
  <c r="L112" i="247" s="1"/>
  <c r="K128" i="247"/>
  <c r="L128" i="247" s="1"/>
  <c r="K58" i="247"/>
  <c r="L58" i="247" s="1"/>
  <c r="K130" i="247"/>
  <c r="L130" i="247" s="1"/>
  <c r="K8" i="247"/>
  <c r="L8" i="247" s="1"/>
  <c r="K46" i="247"/>
  <c r="L46" i="247" s="1"/>
  <c r="K55" i="247"/>
  <c r="L55" i="247" s="1"/>
  <c r="K63" i="247"/>
  <c r="L63" i="247" s="1"/>
  <c r="K79" i="247"/>
  <c r="L79" i="247" s="1"/>
  <c r="K87" i="247"/>
  <c r="L87" i="247" s="1"/>
  <c r="K103" i="247"/>
  <c r="L103" i="247" s="1"/>
  <c r="K111" i="247"/>
  <c r="L111" i="247" s="1"/>
  <c r="K127" i="247"/>
  <c r="L127" i="247" s="1"/>
  <c r="V14" i="246"/>
  <c r="W14" i="246"/>
  <c r="X14" i="246"/>
  <c r="Y14" i="246"/>
  <c r="Z14" i="246"/>
  <c r="AA14" i="246"/>
  <c r="AB14" i="246"/>
  <c r="U14" i="246"/>
  <c r="V21" i="246"/>
  <c r="W21" i="246"/>
  <c r="X21" i="246"/>
  <c r="Y21" i="246"/>
  <c r="Z21" i="246"/>
  <c r="AA21" i="246"/>
  <c r="AB21" i="246"/>
  <c r="U21" i="246"/>
  <c r="L7" i="247" l="1"/>
  <c r="O7" i="246"/>
  <c r="O9" i="246"/>
  <c r="O10" i="246"/>
  <c r="O11" i="246"/>
  <c r="O12" i="246"/>
  <c r="A111" i="246"/>
  <c r="J110" i="246"/>
  <c r="I110" i="246"/>
  <c r="B110" i="246"/>
  <c r="J109" i="246"/>
  <c r="I109" i="246"/>
  <c r="B109" i="246"/>
  <c r="J108" i="246"/>
  <c r="I108" i="246"/>
  <c r="B108" i="246"/>
  <c r="J107" i="246"/>
  <c r="I107" i="246"/>
  <c r="B107" i="246"/>
  <c r="J106" i="246"/>
  <c r="I106" i="246"/>
  <c r="B106" i="246"/>
  <c r="J105" i="246"/>
  <c r="I105" i="246"/>
  <c r="B105" i="246"/>
  <c r="J104" i="246"/>
  <c r="I104" i="246"/>
  <c r="B104" i="246"/>
  <c r="J103" i="246"/>
  <c r="I103" i="246"/>
  <c r="B103" i="246"/>
  <c r="J102" i="246"/>
  <c r="I102" i="246"/>
  <c r="B102" i="246"/>
  <c r="J101" i="246"/>
  <c r="I101" i="246"/>
  <c r="B101" i="246"/>
  <c r="AB100" i="246"/>
  <c r="AA100" i="246"/>
  <c r="Z100" i="246"/>
  <c r="Y100" i="246"/>
  <c r="X100" i="246"/>
  <c r="W100" i="246"/>
  <c r="V100" i="246"/>
  <c r="U100" i="246"/>
  <c r="L100" i="246"/>
  <c r="K100" i="246"/>
  <c r="J98" i="246"/>
  <c r="I98" i="246"/>
  <c r="B98" i="246"/>
  <c r="J97" i="246"/>
  <c r="I97" i="246"/>
  <c r="B97" i="246"/>
  <c r="J96" i="246"/>
  <c r="I96" i="246"/>
  <c r="B96" i="246"/>
  <c r="J95" i="246"/>
  <c r="I95" i="246"/>
  <c r="B95" i="246"/>
  <c r="J94" i="246"/>
  <c r="I94" i="246"/>
  <c r="B94" i="246"/>
  <c r="J93" i="246"/>
  <c r="I93" i="246"/>
  <c r="B93" i="246"/>
  <c r="J92" i="246"/>
  <c r="I92" i="246"/>
  <c r="B92" i="246"/>
  <c r="J91" i="246"/>
  <c r="I91" i="246"/>
  <c r="B91" i="246"/>
  <c r="J90" i="246"/>
  <c r="I90" i="246"/>
  <c r="B90" i="246"/>
  <c r="J89" i="246"/>
  <c r="I89" i="246"/>
  <c r="B89" i="246"/>
  <c r="AB88" i="246"/>
  <c r="AA88" i="246"/>
  <c r="Z88" i="246"/>
  <c r="Y88" i="246"/>
  <c r="X88" i="246"/>
  <c r="W88" i="246"/>
  <c r="V88" i="246"/>
  <c r="U88" i="246"/>
  <c r="L88" i="246"/>
  <c r="K88" i="246"/>
  <c r="J86" i="246"/>
  <c r="I86" i="246"/>
  <c r="B86" i="246"/>
  <c r="J85" i="246"/>
  <c r="I85" i="246"/>
  <c r="B85" i="246"/>
  <c r="J84" i="246"/>
  <c r="I84" i="246"/>
  <c r="B84" i="246"/>
  <c r="J83" i="246"/>
  <c r="I83" i="246"/>
  <c r="B83" i="246"/>
  <c r="J82" i="246"/>
  <c r="I82" i="246"/>
  <c r="B82" i="246"/>
  <c r="J81" i="246"/>
  <c r="I81" i="246"/>
  <c r="B81" i="246"/>
  <c r="J80" i="246"/>
  <c r="I80" i="246"/>
  <c r="B80" i="246"/>
  <c r="J79" i="246"/>
  <c r="I79" i="246"/>
  <c r="B79" i="246"/>
  <c r="J78" i="246"/>
  <c r="I78" i="246"/>
  <c r="B78" i="246"/>
  <c r="J77" i="246"/>
  <c r="I77" i="246"/>
  <c r="B77" i="246"/>
  <c r="AB76" i="246"/>
  <c r="AA76" i="246"/>
  <c r="Z76" i="246"/>
  <c r="Y76" i="246"/>
  <c r="X76" i="246"/>
  <c r="W76" i="246"/>
  <c r="V76" i="246"/>
  <c r="U76" i="246"/>
  <c r="L76" i="246"/>
  <c r="K76" i="246"/>
  <c r="J74" i="246"/>
  <c r="I74" i="246"/>
  <c r="B74" i="246"/>
  <c r="J73" i="246"/>
  <c r="I73" i="246"/>
  <c r="B73" i="246"/>
  <c r="J72" i="246"/>
  <c r="I72" i="246"/>
  <c r="B72" i="246"/>
  <c r="J71" i="246"/>
  <c r="I71" i="246"/>
  <c r="B71" i="246"/>
  <c r="J70" i="246"/>
  <c r="I70" i="246"/>
  <c r="B70" i="246"/>
  <c r="J69" i="246"/>
  <c r="I69" i="246"/>
  <c r="B69" i="246"/>
  <c r="J68" i="246"/>
  <c r="I68" i="246"/>
  <c r="B68" i="246"/>
  <c r="J67" i="246"/>
  <c r="I67" i="246"/>
  <c r="B67" i="246"/>
  <c r="J66" i="246"/>
  <c r="I66" i="246"/>
  <c r="B66" i="246"/>
  <c r="J65" i="246"/>
  <c r="I65" i="246"/>
  <c r="B65" i="246"/>
  <c r="AB64" i="246"/>
  <c r="AA64" i="246"/>
  <c r="Z64" i="246"/>
  <c r="Y64" i="246"/>
  <c r="X64" i="246"/>
  <c r="W64" i="246"/>
  <c r="V64" i="246"/>
  <c r="U64" i="246"/>
  <c r="L64" i="246"/>
  <c r="K64" i="246"/>
  <c r="J62" i="246"/>
  <c r="I62" i="246"/>
  <c r="B62" i="246"/>
  <c r="J61" i="246"/>
  <c r="I61" i="246"/>
  <c r="B61" i="246"/>
  <c r="J60" i="246"/>
  <c r="I60" i="246"/>
  <c r="B60" i="246"/>
  <c r="J59" i="246"/>
  <c r="I59" i="246"/>
  <c r="B59" i="246"/>
  <c r="J58" i="246"/>
  <c r="I58" i="246"/>
  <c r="B58" i="246"/>
  <c r="J57" i="246"/>
  <c r="I57" i="246"/>
  <c r="B57" i="246"/>
  <c r="J56" i="246"/>
  <c r="I56" i="246"/>
  <c r="B56" i="246"/>
  <c r="J55" i="246"/>
  <c r="I55" i="246"/>
  <c r="B55" i="246"/>
  <c r="J54" i="246"/>
  <c r="I54" i="246"/>
  <c r="B54" i="246"/>
  <c r="J53" i="246"/>
  <c r="I53" i="246"/>
  <c r="B53" i="246"/>
  <c r="AB52" i="246"/>
  <c r="AA52" i="246"/>
  <c r="Z52" i="246"/>
  <c r="Y52" i="246"/>
  <c r="X52" i="246"/>
  <c r="W52" i="246"/>
  <c r="V52" i="246"/>
  <c r="U52" i="246"/>
  <c r="L52" i="246"/>
  <c r="K52" i="246"/>
  <c r="J50" i="246"/>
  <c r="I50" i="246"/>
  <c r="B50" i="246"/>
  <c r="J49" i="246"/>
  <c r="I49" i="246"/>
  <c r="B49" i="246"/>
  <c r="J48" i="246"/>
  <c r="I48" i="246"/>
  <c r="B48" i="246"/>
  <c r="J47" i="246"/>
  <c r="I47" i="246"/>
  <c r="B47" i="246"/>
  <c r="J46" i="246"/>
  <c r="I46" i="246"/>
  <c r="B46" i="246"/>
  <c r="J45" i="246"/>
  <c r="I45" i="246"/>
  <c r="B45" i="246"/>
  <c r="J44" i="246"/>
  <c r="I44" i="246"/>
  <c r="B44" i="246"/>
  <c r="J43" i="246"/>
  <c r="I43" i="246"/>
  <c r="B43" i="246"/>
  <c r="J42" i="246"/>
  <c r="I42" i="246"/>
  <c r="B42" i="246"/>
  <c r="J41" i="246"/>
  <c r="I41" i="246"/>
  <c r="B41" i="246"/>
  <c r="AB40" i="246"/>
  <c r="AA40" i="246"/>
  <c r="Z40" i="246"/>
  <c r="Y40" i="246"/>
  <c r="X40" i="246"/>
  <c r="W40" i="246"/>
  <c r="V40" i="246"/>
  <c r="U40" i="246"/>
  <c r="L40" i="246"/>
  <c r="K40" i="246"/>
  <c r="J38" i="246"/>
  <c r="I38" i="246"/>
  <c r="B38" i="246"/>
  <c r="J37" i="246"/>
  <c r="I37" i="246"/>
  <c r="B37" i="246"/>
  <c r="J36" i="246"/>
  <c r="I36" i="246"/>
  <c r="B36" i="246"/>
  <c r="J35" i="246"/>
  <c r="I35" i="246"/>
  <c r="B35" i="246"/>
  <c r="J34" i="246"/>
  <c r="I34" i="246"/>
  <c r="B34" i="246"/>
  <c r="J33" i="246"/>
  <c r="I33" i="246"/>
  <c r="B33" i="246"/>
  <c r="J32" i="246"/>
  <c r="I32" i="246"/>
  <c r="B32" i="246"/>
  <c r="J31" i="246"/>
  <c r="I31" i="246"/>
  <c r="B31" i="246"/>
  <c r="J30" i="246"/>
  <c r="I30" i="246"/>
  <c r="B30" i="246"/>
  <c r="J29" i="246"/>
  <c r="I29" i="246"/>
  <c r="B29" i="246"/>
  <c r="AB28" i="246"/>
  <c r="AA28" i="246"/>
  <c r="Z28" i="246"/>
  <c r="Y28" i="246"/>
  <c r="X28" i="246"/>
  <c r="W28" i="246"/>
  <c r="V28" i="246"/>
  <c r="U28" i="246"/>
  <c r="L28" i="246"/>
  <c r="K28" i="246"/>
  <c r="J26" i="246"/>
  <c r="I26" i="246"/>
  <c r="B26" i="246"/>
  <c r="J25" i="246"/>
  <c r="I25" i="246"/>
  <c r="B25" i="246"/>
  <c r="J24" i="246"/>
  <c r="I24" i="246"/>
  <c r="B24" i="246"/>
  <c r="J23" i="246"/>
  <c r="I23" i="246"/>
  <c r="B23" i="246"/>
  <c r="J22" i="246"/>
  <c r="I22" i="246"/>
  <c r="B22" i="246"/>
  <c r="L21" i="246"/>
  <c r="K21" i="246"/>
  <c r="J19" i="246"/>
  <c r="I19" i="246"/>
  <c r="B19" i="246"/>
  <c r="J18" i="246"/>
  <c r="I18" i="246"/>
  <c r="B18" i="246"/>
  <c r="J17" i="246"/>
  <c r="I17" i="246"/>
  <c r="B17" i="246"/>
  <c r="J16" i="246"/>
  <c r="I16" i="246"/>
  <c r="B16" i="246"/>
  <c r="J15" i="246"/>
  <c r="I15" i="246"/>
  <c r="B15" i="246"/>
  <c r="L14" i="246"/>
  <c r="K14" i="246"/>
  <c r="J12" i="246"/>
  <c r="I12" i="246"/>
  <c r="B12" i="246"/>
  <c r="J11" i="246"/>
  <c r="I11" i="246"/>
  <c r="B11" i="246"/>
  <c r="J10" i="246"/>
  <c r="I10" i="246"/>
  <c r="B10" i="246"/>
  <c r="J9" i="246"/>
  <c r="I9" i="246"/>
  <c r="B9" i="246"/>
  <c r="J8" i="246"/>
  <c r="I8" i="246"/>
  <c r="B8" i="246"/>
  <c r="J7" i="246"/>
  <c r="I7" i="246"/>
  <c r="B7" i="246"/>
  <c r="J6" i="246"/>
  <c r="I6" i="246"/>
  <c r="B6" i="246"/>
  <c r="L5" i="246"/>
  <c r="K5" i="246"/>
  <c r="B167" i="245"/>
  <c r="B166" i="245"/>
  <c r="B165" i="245"/>
  <c r="B164" i="245"/>
  <c r="B163" i="245"/>
  <c r="B162" i="245"/>
  <c r="B161" i="245"/>
  <c r="B160" i="245"/>
  <c r="B159" i="245"/>
  <c r="B158" i="245"/>
  <c r="B155" i="245"/>
  <c r="B154" i="245"/>
  <c r="B153" i="245"/>
  <c r="B152" i="245"/>
  <c r="B151" i="245"/>
  <c r="B150" i="245"/>
  <c r="B149" i="245"/>
  <c r="B148" i="245"/>
  <c r="B147" i="245"/>
  <c r="B146" i="245"/>
  <c r="B143" i="245"/>
  <c r="B142" i="245"/>
  <c r="B141" i="245"/>
  <c r="B140" i="245"/>
  <c r="B139" i="245"/>
  <c r="B138" i="245"/>
  <c r="B137" i="245"/>
  <c r="B136" i="245"/>
  <c r="B135" i="245"/>
  <c r="B134" i="245"/>
  <c r="B131" i="245"/>
  <c r="B130" i="245"/>
  <c r="B129" i="245"/>
  <c r="B128" i="245"/>
  <c r="B127" i="245"/>
  <c r="B126" i="245"/>
  <c r="B125" i="245"/>
  <c r="B124" i="245"/>
  <c r="B123" i="245"/>
  <c r="B122" i="245"/>
  <c r="B119" i="245"/>
  <c r="B118" i="245"/>
  <c r="B117" i="245"/>
  <c r="B116" i="245"/>
  <c r="B115" i="245"/>
  <c r="B114" i="245"/>
  <c r="B113" i="245"/>
  <c r="B112" i="245"/>
  <c r="B111" i="245"/>
  <c r="B110" i="245"/>
  <c r="B107" i="245"/>
  <c r="B106" i="245"/>
  <c r="B105" i="245"/>
  <c r="B104" i="245"/>
  <c r="B103" i="245"/>
  <c r="B102" i="245"/>
  <c r="B101" i="245"/>
  <c r="B100" i="245"/>
  <c r="B99" i="245"/>
  <c r="B98" i="245"/>
  <c r="B97" i="245"/>
  <c r="B96" i="245"/>
  <c r="B95" i="245"/>
  <c r="B94" i="245"/>
  <c r="B93" i="245"/>
  <c r="B92" i="245"/>
  <c r="B91" i="245"/>
  <c r="B90" i="245"/>
  <c r="B89" i="245"/>
  <c r="B88" i="245"/>
  <c r="B87" i="245"/>
  <c r="B86" i="245"/>
  <c r="B85" i="245"/>
  <c r="B84" i="245"/>
  <c r="B83" i="245"/>
  <c r="B82" i="245"/>
  <c r="B81" i="245"/>
  <c r="B80" i="245"/>
  <c r="B79" i="245"/>
  <c r="B78" i="245"/>
  <c r="B77" i="245"/>
  <c r="B76" i="245"/>
  <c r="B75" i="245"/>
  <c r="B74" i="245"/>
  <c r="B73" i="245"/>
  <c r="B72" i="245"/>
  <c r="B71" i="245"/>
  <c r="B70" i="245"/>
  <c r="B69" i="245"/>
  <c r="B68" i="245"/>
  <c r="B67" i="245"/>
  <c r="B66" i="245"/>
  <c r="B65" i="245"/>
  <c r="B64" i="245"/>
  <c r="B63" i="245"/>
  <c r="B62" i="245"/>
  <c r="B61" i="245"/>
  <c r="B60" i="245"/>
  <c r="B59" i="245"/>
  <c r="B58" i="245"/>
  <c r="B57" i="245"/>
  <c r="B56" i="245"/>
  <c r="B55" i="245"/>
  <c r="B54" i="245"/>
  <c r="B53" i="245"/>
  <c r="B52" i="245"/>
  <c r="B51" i="245"/>
  <c r="B50" i="245"/>
  <c r="B49" i="245"/>
  <c r="B48" i="245"/>
  <c r="B47" i="245"/>
  <c r="B46" i="245"/>
  <c r="B45" i="245"/>
  <c r="B44" i="245"/>
  <c r="B41" i="245"/>
  <c r="B40" i="245"/>
  <c r="B39" i="245"/>
  <c r="B38" i="245"/>
  <c r="B37" i="245"/>
  <c r="B36" i="245"/>
  <c r="B35" i="245"/>
  <c r="B34" i="245"/>
  <c r="B33" i="245"/>
  <c r="B32" i="245"/>
  <c r="B29" i="245"/>
  <c r="B28" i="245"/>
  <c r="B27" i="245"/>
  <c r="B26" i="245"/>
  <c r="B23" i="245"/>
  <c r="B22" i="245"/>
  <c r="B21" i="245"/>
  <c r="B20" i="245"/>
  <c r="B17" i="245"/>
  <c r="B16" i="245"/>
  <c r="B15" i="245"/>
  <c r="B14" i="245"/>
  <c r="B13" i="245"/>
  <c r="B12" i="245"/>
  <c r="B11" i="245"/>
  <c r="B10" i="245"/>
  <c r="B9" i="245"/>
  <c r="B8" i="245"/>
  <c r="B7" i="245"/>
  <c r="B6" i="245"/>
  <c r="B243" i="240"/>
  <c r="B242" i="240"/>
  <c r="B241" i="240"/>
  <c r="B240" i="240"/>
  <c r="B239" i="240"/>
  <c r="B238" i="240"/>
  <c r="B237" i="240"/>
  <c r="B236" i="240"/>
  <c r="B235" i="240"/>
  <c r="B234" i="240"/>
  <c r="B111" i="240"/>
  <c r="B110" i="240"/>
  <c r="B109" i="240"/>
  <c r="B108" i="240"/>
  <c r="B107" i="240"/>
  <c r="B106" i="240"/>
  <c r="B105" i="240"/>
  <c r="B104" i="240"/>
  <c r="B103" i="240"/>
  <c r="B102" i="240"/>
  <c r="B99" i="240"/>
  <c r="B98" i="240"/>
  <c r="B97" i="240"/>
  <c r="B96" i="240"/>
  <c r="B95" i="240"/>
  <c r="B94" i="240"/>
  <c r="B93" i="240"/>
  <c r="B92" i="240"/>
  <c r="B91" i="240"/>
  <c r="B90" i="240"/>
  <c r="B87" i="240"/>
  <c r="B86" i="240"/>
  <c r="B85" i="240"/>
  <c r="B84" i="240"/>
  <c r="B83" i="240"/>
  <c r="B82" i="240"/>
  <c r="B81" i="240"/>
  <c r="B80" i="240"/>
  <c r="B79" i="240"/>
  <c r="B78" i="240"/>
  <c r="B75" i="240"/>
  <c r="B74" i="240"/>
  <c r="B73" i="240"/>
  <c r="B72" i="240"/>
  <c r="B71" i="240"/>
  <c r="B70" i="240"/>
  <c r="B69" i="240"/>
  <c r="B68" i="240"/>
  <c r="B67" i="240"/>
  <c r="B66" i="240"/>
  <c r="B63" i="240"/>
  <c r="B62" i="240"/>
  <c r="B61" i="240"/>
  <c r="B60" i="240"/>
  <c r="B59" i="240"/>
  <c r="B58" i="240"/>
  <c r="B57" i="240"/>
  <c r="B56" i="240"/>
  <c r="B55" i="240"/>
  <c r="B54" i="240"/>
  <c r="B51" i="240"/>
  <c r="B50" i="240"/>
  <c r="B49" i="240"/>
  <c r="B48" i="240"/>
  <c r="B47" i="240"/>
  <c r="B46" i="240"/>
  <c r="B45" i="240"/>
  <c r="B44" i="240"/>
  <c r="B43" i="240"/>
  <c r="B42" i="240"/>
  <c r="B39" i="240"/>
  <c r="B38" i="240"/>
  <c r="B37" i="240"/>
  <c r="B36" i="240"/>
  <c r="B35" i="240"/>
  <c r="B34" i="240"/>
  <c r="B33" i="240"/>
  <c r="B32" i="240"/>
  <c r="B31" i="240"/>
  <c r="B30" i="240"/>
  <c r="B27" i="240"/>
  <c r="B26" i="240"/>
  <c r="B25" i="240"/>
  <c r="B24" i="240"/>
  <c r="B23" i="240"/>
  <c r="B22" i="240"/>
  <c r="B21" i="240"/>
  <c r="B20" i="240"/>
  <c r="B19" i="240"/>
  <c r="B18" i="240"/>
  <c r="B15" i="240"/>
  <c r="B14" i="240"/>
  <c r="B13" i="240"/>
  <c r="B12" i="240"/>
  <c r="B11" i="240"/>
  <c r="B10" i="240"/>
  <c r="B9" i="240"/>
  <c r="B8" i="240"/>
  <c r="B7" i="240"/>
  <c r="B6" i="240"/>
  <c r="L89" i="240"/>
  <c r="AB233" i="240"/>
  <c r="AA233" i="240"/>
  <c r="Z233" i="240"/>
  <c r="AB101" i="240"/>
  <c r="AA101" i="240"/>
  <c r="Z101" i="240"/>
  <c r="AB89" i="240"/>
  <c r="AA89" i="240"/>
  <c r="Z89" i="240"/>
  <c r="AB77" i="240"/>
  <c r="AA77" i="240"/>
  <c r="Z77" i="240"/>
  <c r="AB65" i="240"/>
  <c r="AA65" i="240"/>
  <c r="Z65" i="240"/>
  <c r="AB53" i="240"/>
  <c r="AA53" i="240"/>
  <c r="Z53" i="240"/>
  <c r="AB41" i="240"/>
  <c r="AA41" i="240"/>
  <c r="Z41" i="240"/>
  <c r="AB29" i="240"/>
  <c r="AA29" i="240"/>
  <c r="Z29" i="240"/>
  <c r="AB17" i="240"/>
  <c r="AA17" i="240"/>
  <c r="Z17" i="240"/>
  <c r="AB5" i="240"/>
  <c r="AA5" i="240"/>
  <c r="Z5" i="240"/>
  <c r="J122" i="245"/>
  <c r="AA157" i="245"/>
  <c r="Z157" i="245"/>
  <c r="Z145" i="245"/>
  <c r="AA121" i="245"/>
  <c r="Z121" i="245"/>
  <c r="AA109" i="245"/>
  <c r="Z109" i="245"/>
  <c r="Z43" i="245"/>
  <c r="AA31" i="245"/>
  <c r="Z31" i="245"/>
  <c r="AA25" i="245"/>
  <c r="AA19" i="245"/>
  <c r="Z19" i="245"/>
  <c r="AA5" i="245"/>
  <c r="Z5" i="245"/>
  <c r="AB2" i="245"/>
  <c r="AB121" i="245" s="1"/>
  <c r="AA2" i="245"/>
  <c r="AA145" i="245" s="1"/>
  <c r="Z2" i="245"/>
  <c r="Z25" i="245" s="1"/>
  <c r="Y233" i="240"/>
  <c r="X233" i="240"/>
  <c r="W233" i="240"/>
  <c r="V233" i="240"/>
  <c r="U233" i="240"/>
  <c r="Y101" i="240"/>
  <c r="X101" i="240"/>
  <c r="W101" i="240"/>
  <c r="V101" i="240"/>
  <c r="U101" i="240"/>
  <c r="Y89" i="240"/>
  <c r="X89" i="240"/>
  <c r="W89" i="240"/>
  <c r="V89" i="240"/>
  <c r="U89" i="240"/>
  <c r="Y77" i="240"/>
  <c r="X77" i="240"/>
  <c r="W77" i="240"/>
  <c r="V77" i="240"/>
  <c r="U77" i="240"/>
  <c r="Y41" i="240"/>
  <c r="X41" i="240"/>
  <c r="W41" i="240"/>
  <c r="V41" i="240"/>
  <c r="U41" i="240"/>
  <c r="Y65" i="240"/>
  <c r="X65" i="240"/>
  <c r="W65" i="240"/>
  <c r="V65" i="240"/>
  <c r="U65" i="240"/>
  <c r="Y53" i="240"/>
  <c r="X53" i="240"/>
  <c r="W53" i="240"/>
  <c r="V53" i="240"/>
  <c r="U53" i="240"/>
  <c r="Y29" i="240"/>
  <c r="X29" i="240"/>
  <c r="W29" i="240"/>
  <c r="V29" i="240"/>
  <c r="U29" i="240"/>
  <c r="Y17" i="240"/>
  <c r="X17" i="240"/>
  <c r="W17" i="240"/>
  <c r="V17" i="240"/>
  <c r="U17" i="240"/>
  <c r="X5" i="240"/>
  <c r="W5" i="240"/>
  <c r="L233" i="240"/>
  <c r="K233" i="240"/>
  <c r="L101" i="240"/>
  <c r="K101" i="240"/>
  <c r="K89" i="240"/>
  <c r="L77" i="240"/>
  <c r="K77" i="240"/>
  <c r="L65" i="240"/>
  <c r="K65" i="240"/>
  <c r="L53" i="240"/>
  <c r="K53" i="240"/>
  <c r="L41" i="240"/>
  <c r="K41" i="240"/>
  <c r="L29" i="240"/>
  <c r="K29" i="240"/>
  <c r="L17" i="240"/>
  <c r="K17" i="240"/>
  <c r="L5" i="240"/>
  <c r="K5" i="240"/>
  <c r="L157" i="245"/>
  <c r="K157" i="245"/>
  <c r="L145" i="245"/>
  <c r="K145" i="245"/>
  <c r="L133" i="245"/>
  <c r="K133" i="245"/>
  <c r="L121" i="245"/>
  <c r="K121" i="245"/>
  <c r="L109" i="245"/>
  <c r="K109" i="245"/>
  <c r="L43" i="245"/>
  <c r="K43" i="245"/>
  <c r="L31" i="245"/>
  <c r="K31" i="245"/>
  <c r="L25" i="245"/>
  <c r="K25" i="245"/>
  <c r="L19" i="245"/>
  <c r="K19" i="245"/>
  <c r="K5" i="245"/>
  <c r="L5" i="245"/>
  <c r="Y2" i="245"/>
  <c r="X2" i="245"/>
  <c r="X145" i="245" s="1"/>
  <c r="W2" i="245"/>
  <c r="W43" i="245" s="1"/>
  <c r="V2" i="245"/>
  <c r="V121" i="245" s="1"/>
  <c r="Y25" i="245"/>
  <c r="U2" i="245"/>
  <c r="U19" i="245" s="1"/>
  <c r="X157" i="245"/>
  <c r="V157" i="245"/>
  <c r="U145" i="245"/>
  <c r="Y133" i="245"/>
  <c r="X133" i="245"/>
  <c r="U133" i="245"/>
  <c r="X121" i="245"/>
  <c r="U121" i="245"/>
  <c r="Y109" i="245"/>
  <c r="X109" i="245"/>
  <c r="U109" i="245"/>
  <c r="Y43" i="245"/>
  <c r="X43" i="245"/>
  <c r="U43" i="245"/>
  <c r="X31" i="245"/>
  <c r="X25" i="245"/>
  <c r="V25" i="245"/>
  <c r="U25" i="245"/>
  <c r="Y19" i="245"/>
  <c r="X19" i="245"/>
  <c r="X5" i="245"/>
  <c r="U5" i="245"/>
  <c r="V145" i="245" l="1"/>
  <c r="AB19" i="245"/>
  <c r="AA43" i="245"/>
  <c r="Z133" i="245"/>
  <c r="AB157" i="245"/>
  <c r="U31" i="245"/>
  <c r="U157" i="245"/>
  <c r="AB43" i="245"/>
  <c r="AA133" i="245"/>
  <c r="AB133" i="245"/>
  <c r="AB25" i="245"/>
  <c r="V43" i="245"/>
  <c r="AB109" i="245"/>
  <c r="K10" i="246"/>
  <c r="L10" i="246" s="1"/>
  <c r="AB145" i="245"/>
  <c r="AB31" i="245"/>
  <c r="K72" i="246"/>
  <c r="AB5" i="245"/>
  <c r="K93" i="246"/>
  <c r="K18" i="246"/>
  <c r="L18" i="246" s="1"/>
  <c r="K37" i="246"/>
  <c r="L37" i="246" s="1"/>
  <c r="K45" i="246"/>
  <c r="L45" i="246" s="1"/>
  <c r="K56" i="246"/>
  <c r="L56" i="246" s="1"/>
  <c r="K92" i="246"/>
  <c r="L92" i="246" s="1"/>
  <c r="K29" i="246"/>
  <c r="L29" i="246" s="1"/>
  <c r="K104" i="246"/>
  <c r="L104" i="246" s="1"/>
  <c r="K77" i="246"/>
  <c r="L77" i="246" s="1"/>
  <c r="K85" i="246"/>
  <c r="L85" i="246" s="1"/>
  <c r="K9" i="246"/>
  <c r="L9" i="246" s="1"/>
  <c r="K17" i="246"/>
  <c r="L17" i="246" s="1"/>
  <c r="K44" i="246"/>
  <c r="L44" i="246" s="1"/>
  <c r="L72" i="246"/>
  <c r="K26" i="246"/>
  <c r="L26" i="246" s="1"/>
  <c r="K32" i="246"/>
  <c r="L32" i="246" s="1"/>
  <c r="K69" i="246"/>
  <c r="L69" i="246" s="1"/>
  <c r="K80" i="246"/>
  <c r="L80" i="246" s="1"/>
  <c r="K15" i="246"/>
  <c r="L15" i="246" s="1"/>
  <c r="K47" i="246"/>
  <c r="L47" i="246" s="1"/>
  <c r="K53" i="246"/>
  <c r="L53" i="246" s="1"/>
  <c r="K95" i="246"/>
  <c r="L95" i="246" s="1"/>
  <c r="K101" i="246"/>
  <c r="L101" i="246" s="1"/>
  <c r="K12" i="246"/>
  <c r="L12" i="246" s="1"/>
  <c r="K48" i="246"/>
  <c r="L48" i="246" s="1"/>
  <c r="K61" i="246"/>
  <c r="L61" i="246" s="1"/>
  <c r="K96" i="246"/>
  <c r="L96" i="246" s="1"/>
  <c r="K109" i="246"/>
  <c r="L109" i="246" s="1"/>
  <c r="K25" i="246"/>
  <c r="L25" i="246" s="1"/>
  <c r="K68" i="246"/>
  <c r="L68" i="246" s="1"/>
  <c r="L93" i="246"/>
  <c r="K71" i="246"/>
  <c r="L71" i="246" s="1"/>
  <c r="K7" i="246"/>
  <c r="L7" i="246" s="1"/>
  <c r="K23" i="246"/>
  <c r="L23" i="246" s="1"/>
  <c r="K34" i="246"/>
  <c r="L34" i="246" s="1"/>
  <c r="K42" i="246"/>
  <c r="L42" i="246" s="1"/>
  <c r="K50" i="246"/>
  <c r="L50" i="246" s="1"/>
  <c r="K58" i="246"/>
  <c r="L58" i="246" s="1"/>
  <c r="K66" i="246"/>
  <c r="L66" i="246" s="1"/>
  <c r="K74" i="246"/>
  <c r="L74" i="246" s="1"/>
  <c r="K82" i="246"/>
  <c r="L82" i="246" s="1"/>
  <c r="K90" i="246"/>
  <c r="L90" i="246" s="1"/>
  <c r="K98" i="246"/>
  <c r="L98" i="246" s="1"/>
  <c r="K106" i="246"/>
  <c r="L106" i="246" s="1"/>
  <c r="K31" i="246"/>
  <c r="L31" i="246" s="1"/>
  <c r="K55" i="246"/>
  <c r="L55" i="246" s="1"/>
  <c r="K79" i="246"/>
  <c r="L79" i="246" s="1"/>
  <c r="K103" i="246"/>
  <c r="L103" i="246" s="1"/>
  <c r="K36" i="246"/>
  <c r="L36" i="246" s="1"/>
  <c r="K60" i="246"/>
  <c r="L60" i="246" s="1"/>
  <c r="K84" i="246"/>
  <c r="L84" i="246" s="1"/>
  <c r="K108" i="246"/>
  <c r="L108" i="246" s="1"/>
  <c r="K6" i="246"/>
  <c r="L6" i="246" s="1"/>
  <c r="K19" i="246"/>
  <c r="L19" i="246" s="1"/>
  <c r="K22" i="246"/>
  <c r="K33" i="246"/>
  <c r="L33" i="246" s="1"/>
  <c r="K41" i="246"/>
  <c r="L41" i="246" s="1"/>
  <c r="K49" i="246"/>
  <c r="L49" i="246" s="1"/>
  <c r="K57" i="246"/>
  <c r="L57" i="246" s="1"/>
  <c r="K65" i="246"/>
  <c r="L65" i="246" s="1"/>
  <c r="K73" i="246"/>
  <c r="L73" i="246" s="1"/>
  <c r="K81" i="246"/>
  <c r="L81" i="246" s="1"/>
  <c r="K89" i="246"/>
  <c r="L89" i="246" s="1"/>
  <c r="K97" i="246"/>
  <c r="L97" i="246" s="1"/>
  <c r="K105" i="246"/>
  <c r="L105" i="246" s="1"/>
  <c r="K11" i="246"/>
  <c r="L11" i="246" s="1"/>
  <c r="K16" i="246"/>
  <c r="L16" i="246" s="1"/>
  <c r="K30" i="246"/>
  <c r="L30" i="246" s="1"/>
  <c r="K38" i="246"/>
  <c r="L38" i="246" s="1"/>
  <c r="K46" i="246"/>
  <c r="L46" i="246" s="1"/>
  <c r="K54" i="246"/>
  <c r="L54" i="246" s="1"/>
  <c r="K62" i="246"/>
  <c r="L62" i="246" s="1"/>
  <c r="K70" i="246"/>
  <c r="L70" i="246" s="1"/>
  <c r="K78" i="246"/>
  <c r="L78" i="246" s="1"/>
  <c r="K86" i="246"/>
  <c r="L86" i="246" s="1"/>
  <c r="K94" i="246"/>
  <c r="L94" i="246" s="1"/>
  <c r="K102" i="246"/>
  <c r="L102" i="246" s="1"/>
  <c r="K110" i="246"/>
  <c r="L110" i="246" s="1"/>
  <c r="K8" i="246"/>
  <c r="L8" i="246" s="1"/>
  <c r="K24" i="246"/>
  <c r="L24" i="246" s="1"/>
  <c r="K35" i="246"/>
  <c r="L35" i="246" s="1"/>
  <c r="K43" i="246"/>
  <c r="L43" i="246" s="1"/>
  <c r="K59" i="246"/>
  <c r="L59" i="246" s="1"/>
  <c r="K67" i="246"/>
  <c r="L67" i="246" s="1"/>
  <c r="K83" i="246"/>
  <c r="L83" i="246" s="1"/>
  <c r="K91" i="246"/>
  <c r="L91" i="246" s="1"/>
  <c r="K107" i="246"/>
  <c r="L107" i="246" s="1"/>
  <c r="W121" i="245"/>
  <c r="W157" i="245"/>
  <c r="V5" i="245"/>
  <c r="W133" i="245"/>
  <c r="V19" i="245"/>
  <c r="V31" i="245"/>
  <c r="V109" i="245"/>
  <c r="W19" i="245"/>
  <c r="W31" i="245"/>
  <c r="Y5" i="240"/>
  <c r="U5" i="240"/>
  <c r="V5" i="240"/>
  <c r="V133" i="245"/>
  <c r="Y157" i="245"/>
  <c r="Y5" i="245"/>
  <c r="Y121" i="245"/>
  <c r="W145" i="245"/>
  <c r="Y31" i="245"/>
  <c r="W109" i="245"/>
  <c r="W5" i="245"/>
  <c r="W25" i="245"/>
  <c r="Y145" i="245"/>
  <c r="L22" i="246" l="1"/>
  <c r="F24" i="207" l="1"/>
  <c r="J85" i="245" l="1"/>
  <c r="I85" i="245"/>
  <c r="K85" i="245" s="1"/>
  <c r="L85" i="245" s="1"/>
  <c r="J84" i="245"/>
  <c r="I84" i="245"/>
  <c r="K84" i="245" s="1"/>
  <c r="L84" i="245" s="1"/>
  <c r="J83" i="245"/>
  <c r="I83" i="245"/>
  <c r="K83" i="245" s="1"/>
  <c r="L83" i="245" s="1"/>
  <c r="J82" i="245"/>
  <c r="I82" i="245"/>
  <c r="K82" i="245" s="1"/>
  <c r="L82" i="245" s="1"/>
  <c r="J81" i="245"/>
  <c r="I81" i="245"/>
  <c r="K81" i="245" s="1"/>
  <c r="L81" i="245" s="1"/>
  <c r="J80" i="245"/>
  <c r="I80" i="245"/>
  <c r="K80" i="245" s="1"/>
  <c r="L80" i="245" s="1"/>
  <c r="J79" i="245"/>
  <c r="I79" i="245"/>
  <c r="K79" i="245" s="1"/>
  <c r="L79" i="245" s="1"/>
  <c r="J78" i="245"/>
  <c r="I78" i="245"/>
  <c r="K78" i="245" s="1"/>
  <c r="L78" i="245" s="1"/>
  <c r="J77" i="245"/>
  <c r="I77" i="245"/>
  <c r="K77" i="245" s="1"/>
  <c r="L77" i="245" s="1"/>
  <c r="J76" i="245"/>
  <c r="I76" i="245"/>
  <c r="K76" i="245" s="1"/>
  <c r="L76" i="245" s="1"/>
  <c r="J75" i="245"/>
  <c r="I75" i="245"/>
  <c r="K75" i="245" s="1"/>
  <c r="L75" i="245" s="1"/>
  <c r="J74" i="245"/>
  <c r="I74" i="245"/>
  <c r="K74" i="245" s="1"/>
  <c r="L74" i="245" s="1"/>
  <c r="J73" i="245"/>
  <c r="I73" i="245"/>
  <c r="K73" i="245" s="1"/>
  <c r="L73" i="245" s="1"/>
  <c r="J72" i="245"/>
  <c r="I72" i="245"/>
  <c r="K72" i="245" s="1"/>
  <c r="L72" i="245" s="1"/>
  <c r="J71" i="245"/>
  <c r="I71" i="245"/>
  <c r="K71" i="245" s="1"/>
  <c r="L71" i="245" s="1"/>
  <c r="J70" i="245"/>
  <c r="I70" i="245"/>
  <c r="K70" i="245" s="1"/>
  <c r="L70" i="245" s="1"/>
  <c r="J69" i="245"/>
  <c r="I69" i="245"/>
  <c r="K69" i="245" s="1"/>
  <c r="L69" i="245" s="1"/>
  <c r="J68" i="245"/>
  <c r="I68" i="245"/>
  <c r="K68" i="245" s="1"/>
  <c r="L68" i="245" s="1"/>
  <c r="J67" i="245"/>
  <c r="I67" i="245"/>
  <c r="K67" i="245" s="1"/>
  <c r="L67" i="245" s="1"/>
  <c r="J66" i="245"/>
  <c r="I66" i="245"/>
  <c r="K66" i="245" s="1"/>
  <c r="L66" i="245" s="1"/>
  <c r="J65" i="245"/>
  <c r="I65" i="245"/>
  <c r="K65" i="245" s="1"/>
  <c r="L65" i="245" s="1"/>
  <c r="J64" i="245"/>
  <c r="I64" i="245"/>
  <c r="K64" i="245" s="1"/>
  <c r="L64" i="245" s="1"/>
  <c r="J63" i="245"/>
  <c r="I63" i="245"/>
  <c r="K63" i="245" s="1"/>
  <c r="L63" i="245" s="1"/>
  <c r="J62" i="245"/>
  <c r="I62" i="245"/>
  <c r="K62" i="245" s="1"/>
  <c r="L62" i="245" s="1"/>
  <c r="J61" i="245"/>
  <c r="I61" i="245"/>
  <c r="K61" i="245" s="1"/>
  <c r="L61" i="245" s="1"/>
  <c r="J60" i="245"/>
  <c r="I60" i="245"/>
  <c r="K60" i="245" s="1"/>
  <c r="L60" i="245" s="1"/>
  <c r="J59" i="245"/>
  <c r="I59" i="245"/>
  <c r="K59" i="245" s="1"/>
  <c r="L59" i="245" s="1"/>
  <c r="J58" i="245"/>
  <c r="I58" i="245"/>
  <c r="K58" i="245" s="1"/>
  <c r="L58" i="245" s="1"/>
  <c r="J57" i="245"/>
  <c r="I57" i="245"/>
  <c r="K57" i="245" s="1"/>
  <c r="L57" i="245" s="1"/>
  <c r="J56" i="245"/>
  <c r="I56" i="245"/>
  <c r="K56" i="245" s="1"/>
  <c r="L56" i="245" s="1"/>
  <c r="J99" i="245"/>
  <c r="I99" i="245"/>
  <c r="K99" i="245" s="1"/>
  <c r="L99" i="245" s="1"/>
  <c r="J98" i="245"/>
  <c r="I98" i="245"/>
  <c r="K98" i="245" s="1"/>
  <c r="L98" i="245" s="1"/>
  <c r="J97" i="245"/>
  <c r="I97" i="245"/>
  <c r="K97" i="245" s="1"/>
  <c r="L97" i="245" s="1"/>
  <c r="J96" i="245"/>
  <c r="I96" i="245"/>
  <c r="K96" i="245" s="1"/>
  <c r="L96" i="245" s="1"/>
  <c r="J95" i="245"/>
  <c r="I95" i="245"/>
  <c r="K95" i="245" s="1"/>
  <c r="L95" i="245" s="1"/>
  <c r="J94" i="245"/>
  <c r="I94" i="245"/>
  <c r="K94" i="245" s="1"/>
  <c r="L94" i="245" s="1"/>
  <c r="J93" i="245"/>
  <c r="I93" i="245"/>
  <c r="K93" i="245" s="1"/>
  <c r="L93" i="245" s="1"/>
  <c r="J92" i="245"/>
  <c r="I92" i="245"/>
  <c r="K92" i="245" s="1"/>
  <c r="L92" i="245" s="1"/>
  <c r="J91" i="245"/>
  <c r="I91" i="245"/>
  <c r="K91" i="245" s="1"/>
  <c r="L91" i="245" s="1"/>
  <c r="J90" i="245"/>
  <c r="I90" i="245"/>
  <c r="K90" i="245" s="1"/>
  <c r="L90" i="245" s="1"/>
  <c r="J89" i="245"/>
  <c r="I89" i="245"/>
  <c r="K89" i="245" s="1"/>
  <c r="L89" i="245" s="1"/>
  <c r="J88" i="245"/>
  <c r="I88" i="245"/>
  <c r="K88" i="245" s="1"/>
  <c r="L88" i="245" s="1"/>
  <c r="J87" i="245"/>
  <c r="I87" i="245"/>
  <c r="K87" i="245" s="1"/>
  <c r="L87" i="245" s="1"/>
  <c r="J86" i="245"/>
  <c r="I86" i="245"/>
  <c r="K86" i="245" s="1"/>
  <c r="L86" i="245" s="1"/>
  <c r="J55" i="245"/>
  <c r="I55" i="245"/>
  <c r="K55" i="245" s="1"/>
  <c r="L55" i="245" s="1"/>
  <c r="J54" i="245"/>
  <c r="I54" i="245"/>
  <c r="K54" i="245" s="1"/>
  <c r="L54" i="245" s="1"/>
  <c r="J53" i="245"/>
  <c r="I53" i="245"/>
  <c r="K53" i="245" s="1"/>
  <c r="L53" i="245" s="1"/>
  <c r="J52" i="245"/>
  <c r="I52" i="245"/>
  <c r="K52" i="245" s="1"/>
  <c r="L52" i="245" s="1"/>
  <c r="J51" i="245"/>
  <c r="I51" i="245"/>
  <c r="K51" i="245" s="1"/>
  <c r="L51" i="245" s="1"/>
  <c r="J50" i="245"/>
  <c r="I50" i="245"/>
  <c r="K50" i="245" s="1"/>
  <c r="L50" i="245" s="1"/>
  <c r="J49" i="245"/>
  <c r="I49" i="245"/>
  <c r="K49" i="245" s="1"/>
  <c r="L49" i="245" s="1"/>
  <c r="J107" i="245"/>
  <c r="I107" i="245"/>
  <c r="K107" i="245" s="1"/>
  <c r="L107" i="245" s="1"/>
  <c r="J106" i="245"/>
  <c r="I106" i="245"/>
  <c r="K106" i="245" s="1"/>
  <c r="L106" i="245" s="1"/>
  <c r="J105" i="245"/>
  <c r="I105" i="245"/>
  <c r="K105" i="245" s="1"/>
  <c r="L105" i="245" s="1"/>
  <c r="J104" i="245"/>
  <c r="I104" i="245"/>
  <c r="K104" i="245" s="1"/>
  <c r="L104" i="245" s="1"/>
  <c r="J103" i="245"/>
  <c r="I103" i="245"/>
  <c r="K103" i="245" s="1"/>
  <c r="L103" i="245" s="1"/>
  <c r="J102" i="245"/>
  <c r="I102" i="245"/>
  <c r="K102" i="245" s="1"/>
  <c r="L102" i="245" s="1"/>
  <c r="J101" i="245"/>
  <c r="I101" i="245"/>
  <c r="K101" i="245" s="1"/>
  <c r="L101" i="245" s="1"/>
  <c r="J100" i="245"/>
  <c r="I100" i="245"/>
  <c r="K100" i="245" s="1"/>
  <c r="L100" i="245" s="1"/>
  <c r="J48" i="245"/>
  <c r="I48" i="245"/>
  <c r="K48" i="245" s="1"/>
  <c r="L48" i="245" s="1"/>
  <c r="J47" i="245"/>
  <c r="I47" i="245"/>
  <c r="K47" i="245" s="1"/>
  <c r="L47" i="245" s="1"/>
  <c r="J46" i="245"/>
  <c r="I46" i="245"/>
  <c r="K46" i="245" s="1"/>
  <c r="L46" i="245" s="1"/>
  <c r="J12" i="245"/>
  <c r="I12" i="245"/>
  <c r="J11" i="245"/>
  <c r="I11" i="245"/>
  <c r="A168" i="245"/>
  <c r="J167" i="245"/>
  <c r="I167" i="245"/>
  <c r="K167" i="245" s="1"/>
  <c r="L167" i="245" s="1"/>
  <c r="J166" i="245"/>
  <c r="I166" i="245"/>
  <c r="K166" i="245" s="1"/>
  <c r="L166" i="245" s="1"/>
  <c r="J165" i="245"/>
  <c r="I165" i="245"/>
  <c r="K165" i="245" s="1"/>
  <c r="L165" i="245" s="1"/>
  <c r="J164" i="245"/>
  <c r="I164" i="245"/>
  <c r="K164" i="245" s="1"/>
  <c r="L164" i="245" s="1"/>
  <c r="J163" i="245"/>
  <c r="I163" i="245"/>
  <c r="K163" i="245" s="1"/>
  <c r="L163" i="245" s="1"/>
  <c r="J162" i="245"/>
  <c r="I162" i="245"/>
  <c r="K162" i="245" s="1"/>
  <c r="L162" i="245" s="1"/>
  <c r="J161" i="245"/>
  <c r="I161" i="245"/>
  <c r="K161" i="245" s="1"/>
  <c r="L161" i="245" s="1"/>
  <c r="J160" i="245"/>
  <c r="I160" i="245"/>
  <c r="K160" i="245" s="1"/>
  <c r="L160" i="245" s="1"/>
  <c r="J159" i="245"/>
  <c r="I159" i="245"/>
  <c r="K159" i="245" s="1"/>
  <c r="L159" i="245" s="1"/>
  <c r="J158" i="245"/>
  <c r="I158" i="245"/>
  <c r="K158" i="245" s="1"/>
  <c r="L158" i="245" s="1"/>
  <c r="J155" i="245"/>
  <c r="I155" i="245"/>
  <c r="K155" i="245" s="1"/>
  <c r="L155" i="245" s="1"/>
  <c r="J154" i="245"/>
  <c r="I154" i="245"/>
  <c r="K154" i="245" s="1"/>
  <c r="L154" i="245" s="1"/>
  <c r="J153" i="245"/>
  <c r="I153" i="245"/>
  <c r="K153" i="245" s="1"/>
  <c r="L153" i="245" s="1"/>
  <c r="J152" i="245"/>
  <c r="I152" i="245"/>
  <c r="K152" i="245" s="1"/>
  <c r="L152" i="245" s="1"/>
  <c r="J151" i="245"/>
  <c r="I151" i="245"/>
  <c r="K151" i="245" s="1"/>
  <c r="L151" i="245" s="1"/>
  <c r="J150" i="245"/>
  <c r="I150" i="245"/>
  <c r="K150" i="245" s="1"/>
  <c r="L150" i="245" s="1"/>
  <c r="J149" i="245"/>
  <c r="I149" i="245"/>
  <c r="K149" i="245" s="1"/>
  <c r="L149" i="245" s="1"/>
  <c r="J148" i="245"/>
  <c r="I148" i="245"/>
  <c r="K148" i="245" s="1"/>
  <c r="L148" i="245" s="1"/>
  <c r="J147" i="245"/>
  <c r="I147" i="245"/>
  <c r="K147" i="245" s="1"/>
  <c r="L147" i="245" s="1"/>
  <c r="J146" i="245"/>
  <c r="I146" i="245"/>
  <c r="K146" i="245" s="1"/>
  <c r="L146" i="245" s="1"/>
  <c r="J143" i="245"/>
  <c r="I143" i="245"/>
  <c r="K143" i="245" s="1"/>
  <c r="L143" i="245" s="1"/>
  <c r="J142" i="245"/>
  <c r="I142" i="245"/>
  <c r="K142" i="245" s="1"/>
  <c r="L142" i="245" s="1"/>
  <c r="J141" i="245"/>
  <c r="I141" i="245"/>
  <c r="K141" i="245" s="1"/>
  <c r="L141" i="245" s="1"/>
  <c r="J140" i="245"/>
  <c r="I140" i="245"/>
  <c r="K140" i="245" s="1"/>
  <c r="L140" i="245" s="1"/>
  <c r="J139" i="245"/>
  <c r="I139" i="245"/>
  <c r="K139" i="245" s="1"/>
  <c r="L139" i="245" s="1"/>
  <c r="J138" i="245"/>
  <c r="I138" i="245"/>
  <c r="K138" i="245" s="1"/>
  <c r="L138" i="245" s="1"/>
  <c r="J137" i="245"/>
  <c r="I137" i="245"/>
  <c r="K137" i="245" s="1"/>
  <c r="L137" i="245" s="1"/>
  <c r="J136" i="245"/>
  <c r="I136" i="245"/>
  <c r="K136" i="245" s="1"/>
  <c r="L136" i="245" s="1"/>
  <c r="J135" i="245"/>
  <c r="I135" i="245"/>
  <c r="K135" i="245" s="1"/>
  <c r="L135" i="245" s="1"/>
  <c r="J134" i="245"/>
  <c r="I134" i="245"/>
  <c r="K134" i="245" s="1"/>
  <c r="L134" i="245" s="1"/>
  <c r="J131" i="245"/>
  <c r="I131" i="245"/>
  <c r="K131" i="245" s="1"/>
  <c r="L131" i="245" s="1"/>
  <c r="J130" i="245"/>
  <c r="I130" i="245"/>
  <c r="K130" i="245" s="1"/>
  <c r="L130" i="245" s="1"/>
  <c r="J129" i="245"/>
  <c r="I129" i="245"/>
  <c r="K129" i="245" s="1"/>
  <c r="L129" i="245" s="1"/>
  <c r="J128" i="245"/>
  <c r="I128" i="245"/>
  <c r="K128" i="245" s="1"/>
  <c r="L128" i="245" s="1"/>
  <c r="J127" i="245"/>
  <c r="I127" i="245"/>
  <c r="K127" i="245" s="1"/>
  <c r="L127" i="245" s="1"/>
  <c r="J126" i="245"/>
  <c r="I126" i="245"/>
  <c r="K126" i="245" s="1"/>
  <c r="L126" i="245" s="1"/>
  <c r="J125" i="245"/>
  <c r="I125" i="245"/>
  <c r="K125" i="245" s="1"/>
  <c r="L125" i="245" s="1"/>
  <c r="J124" i="245"/>
  <c r="I124" i="245"/>
  <c r="K124" i="245" s="1"/>
  <c r="L124" i="245" s="1"/>
  <c r="J123" i="245"/>
  <c r="I123" i="245"/>
  <c r="K123" i="245" s="1"/>
  <c r="L123" i="245" s="1"/>
  <c r="I122" i="245"/>
  <c r="K122" i="245" s="1"/>
  <c r="L122" i="245" s="1"/>
  <c r="J119" i="245"/>
  <c r="I119" i="245"/>
  <c r="K119" i="245" s="1"/>
  <c r="L119" i="245" s="1"/>
  <c r="J118" i="245"/>
  <c r="I118" i="245"/>
  <c r="J117" i="245"/>
  <c r="I117" i="245"/>
  <c r="J116" i="245"/>
  <c r="I116" i="245"/>
  <c r="J115" i="245"/>
  <c r="I115" i="245"/>
  <c r="K115" i="245" s="1"/>
  <c r="L115" i="245" s="1"/>
  <c r="J114" i="245"/>
  <c r="I114" i="245"/>
  <c r="J113" i="245"/>
  <c r="I113" i="245"/>
  <c r="J112" i="245"/>
  <c r="I112" i="245"/>
  <c r="J111" i="245"/>
  <c r="I111" i="245"/>
  <c r="K111" i="245" s="1"/>
  <c r="L111" i="245" s="1"/>
  <c r="J110" i="245"/>
  <c r="I110" i="245"/>
  <c r="J45" i="245"/>
  <c r="I45" i="245"/>
  <c r="J44" i="245"/>
  <c r="I44" i="245"/>
  <c r="J41" i="245"/>
  <c r="I41" i="245"/>
  <c r="K41" i="245" s="1"/>
  <c r="L41" i="245" s="1"/>
  <c r="J40" i="245"/>
  <c r="I40" i="245"/>
  <c r="J39" i="245"/>
  <c r="I39" i="245"/>
  <c r="J38" i="245"/>
  <c r="I38" i="245"/>
  <c r="J37" i="245"/>
  <c r="I37" i="245"/>
  <c r="K37" i="245" s="1"/>
  <c r="L37" i="245" s="1"/>
  <c r="J36" i="245"/>
  <c r="I36" i="245"/>
  <c r="J35" i="245"/>
  <c r="I35" i="245"/>
  <c r="J34" i="245"/>
  <c r="I34" i="245"/>
  <c r="J33" i="245"/>
  <c r="I33" i="245"/>
  <c r="K33" i="245" s="1"/>
  <c r="L33" i="245" s="1"/>
  <c r="J32" i="245"/>
  <c r="I32" i="245"/>
  <c r="J29" i="245"/>
  <c r="I29" i="245"/>
  <c r="J28" i="245"/>
  <c r="I28" i="245"/>
  <c r="J27" i="245"/>
  <c r="I27" i="245"/>
  <c r="K27" i="245" s="1"/>
  <c r="L27" i="245" s="1"/>
  <c r="J26" i="245"/>
  <c r="I26" i="245"/>
  <c r="J23" i="245"/>
  <c r="I23" i="245"/>
  <c r="J22" i="245"/>
  <c r="I22" i="245"/>
  <c r="J21" i="245"/>
  <c r="I21" i="245"/>
  <c r="K21" i="245" s="1"/>
  <c r="L21" i="245" s="1"/>
  <c r="J20" i="245"/>
  <c r="I20" i="245"/>
  <c r="J17" i="245"/>
  <c r="I17" i="245"/>
  <c r="J16" i="245"/>
  <c r="I16" i="245"/>
  <c r="J15" i="245"/>
  <c r="I15" i="245"/>
  <c r="K15" i="245" s="1"/>
  <c r="L15" i="245" s="1"/>
  <c r="J14" i="245"/>
  <c r="I14" i="245"/>
  <c r="J13" i="245"/>
  <c r="I13" i="245"/>
  <c r="J10" i="245"/>
  <c r="I10" i="245"/>
  <c r="J9" i="245"/>
  <c r="I9" i="245"/>
  <c r="K9" i="245" s="1"/>
  <c r="L9" i="245" s="1"/>
  <c r="J8" i="245"/>
  <c r="I8" i="245"/>
  <c r="J7" i="245"/>
  <c r="I7" i="245"/>
  <c r="J6" i="245"/>
  <c r="I6" i="245"/>
  <c r="I32" i="240"/>
  <c r="I26" i="240"/>
  <c r="I19" i="240"/>
  <c r="I6" i="240"/>
  <c r="J6" i="240"/>
  <c r="A244" i="240"/>
  <c r="K8" i="245" l="1"/>
  <c r="L8" i="245" s="1"/>
  <c r="K14" i="245"/>
  <c r="L14" i="245" s="1"/>
  <c r="K20" i="245"/>
  <c r="L20" i="245" s="1"/>
  <c r="K26" i="245"/>
  <c r="L26" i="245" s="1"/>
  <c r="K32" i="245"/>
  <c r="L32" i="245" s="1"/>
  <c r="K36" i="245"/>
  <c r="L36" i="245" s="1"/>
  <c r="K40" i="245"/>
  <c r="L40" i="245" s="1"/>
  <c r="K110" i="245"/>
  <c r="L110" i="245" s="1"/>
  <c r="K114" i="245"/>
  <c r="L114" i="245" s="1"/>
  <c r="K118" i="245"/>
  <c r="L118" i="245" s="1"/>
  <c r="K6" i="245"/>
  <c r="L6" i="245" s="1"/>
  <c r="K10" i="245"/>
  <c r="L10" i="245" s="1"/>
  <c r="K16" i="245"/>
  <c r="L16" i="245" s="1"/>
  <c r="K22" i="245"/>
  <c r="L22" i="245" s="1"/>
  <c r="K28" i="245"/>
  <c r="L28" i="245" s="1"/>
  <c r="K34" i="245"/>
  <c r="L34" i="245" s="1"/>
  <c r="K38" i="245"/>
  <c r="L38" i="245" s="1"/>
  <c r="K44" i="245"/>
  <c r="L44" i="245" s="1"/>
  <c r="K112" i="245"/>
  <c r="L112" i="245" s="1"/>
  <c r="K116" i="245"/>
  <c r="L116" i="245" s="1"/>
  <c r="K11" i="245"/>
  <c r="L11" i="245" s="1"/>
  <c r="A212" i="212"/>
  <c r="K7" i="245"/>
  <c r="L7" i="245" s="1"/>
  <c r="K13" i="245"/>
  <c r="L13" i="245" s="1"/>
  <c r="K17" i="245"/>
  <c r="L17" i="245" s="1"/>
  <c r="K23" i="245"/>
  <c r="L23" i="245" s="1"/>
  <c r="K29" i="245"/>
  <c r="L29" i="245" s="1"/>
  <c r="K35" i="245"/>
  <c r="L35" i="245" s="1"/>
  <c r="K39" i="245"/>
  <c r="L39" i="245" s="1"/>
  <c r="K45" i="245"/>
  <c r="L45" i="245" s="1"/>
  <c r="K113" i="245"/>
  <c r="L113" i="245" s="1"/>
  <c r="K117" i="245"/>
  <c r="L117" i="245" s="1"/>
  <c r="K12" i="245"/>
  <c r="L12" i="245" s="1"/>
  <c r="A234" i="212"/>
  <c r="J243" i="240"/>
  <c r="I243" i="240"/>
  <c r="J242" i="240"/>
  <c r="I242" i="240"/>
  <c r="J241" i="240"/>
  <c r="I241" i="240"/>
  <c r="J240" i="240"/>
  <c r="I240" i="240"/>
  <c r="J239" i="240"/>
  <c r="I239" i="240"/>
  <c r="J238" i="240"/>
  <c r="I238" i="240"/>
  <c r="J237" i="240"/>
  <c r="I237" i="240"/>
  <c r="J236" i="240"/>
  <c r="I236" i="240"/>
  <c r="J235" i="240"/>
  <c r="I235" i="240"/>
  <c r="J234" i="240"/>
  <c r="I234" i="240"/>
  <c r="J111" i="240"/>
  <c r="I111" i="240"/>
  <c r="J110" i="240"/>
  <c r="I110" i="240"/>
  <c r="J109" i="240"/>
  <c r="I109" i="240"/>
  <c r="J108" i="240"/>
  <c r="I108" i="240"/>
  <c r="J107" i="240"/>
  <c r="I107" i="240"/>
  <c r="J106" i="240"/>
  <c r="I106" i="240"/>
  <c r="J105" i="240"/>
  <c r="I105" i="240"/>
  <c r="J104" i="240"/>
  <c r="I104" i="240"/>
  <c r="J103" i="240"/>
  <c r="I103" i="240"/>
  <c r="J102" i="240"/>
  <c r="I102" i="240"/>
  <c r="J99" i="240"/>
  <c r="I99" i="240"/>
  <c r="J98" i="240"/>
  <c r="I98" i="240"/>
  <c r="J97" i="240"/>
  <c r="I97" i="240"/>
  <c r="J96" i="240"/>
  <c r="I96" i="240"/>
  <c r="J95" i="240"/>
  <c r="I95" i="240"/>
  <c r="J94" i="240"/>
  <c r="I94" i="240"/>
  <c r="J93" i="240"/>
  <c r="I93" i="240"/>
  <c r="J92" i="240"/>
  <c r="I92" i="240"/>
  <c r="J91" i="240"/>
  <c r="I91" i="240"/>
  <c r="J90" i="240"/>
  <c r="I90" i="240"/>
  <c r="J87" i="240"/>
  <c r="I87" i="240"/>
  <c r="J86" i="240"/>
  <c r="I86" i="240"/>
  <c r="J85" i="240"/>
  <c r="I85" i="240"/>
  <c r="J84" i="240"/>
  <c r="I84" i="240"/>
  <c r="J83" i="240"/>
  <c r="I83" i="240"/>
  <c r="J82" i="240"/>
  <c r="I82" i="240"/>
  <c r="J81" i="240"/>
  <c r="I81" i="240"/>
  <c r="J80" i="240"/>
  <c r="I80" i="240"/>
  <c r="J79" i="240"/>
  <c r="I79" i="240"/>
  <c r="J78" i="240"/>
  <c r="I78" i="240"/>
  <c r="J75" i="240"/>
  <c r="I75" i="240"/>
  <c r="J74" i="240"/>
  <c r="I74" i="240"/>
  <c r="J73" i="240"/>
  <c r="I73" i="240"/>
  <c r="J72" i="240"/>
  <c r="I72" i="240"/>
  <c r="J71" i="240"/>
  <c r="I71" i="240"/>
  <c r="J70" i="240"/>
  <c r="I70" i="240"/>
  <c r="J69" i="240"/>
  <c r="I69" i="240"/>
  <c r="J68" i="240"/>
  <c r="I68" i="240"/>
  <c r="J67" i="240"/>
  <c r="I67" i="240"/>
  <c r="J66" i="240"/>
  <c r="I66" i="240"/>
  <c r="J63" i="240"/>
  <c r="I63" i="240"/>
  <c r="J62" i="240"/>
  <c r="I62" i="240"/>
  <c r="J61" i="240"/>
  <c r="I61" i="240"/>
  <c r="J60" i="240"/>
  <c r="I60" i="240"/>
  <c r="J59" i="240"/>
  <c r="I59" i="240"/>
  <c r="J58" i="240"/>
  <c r="I58" i="240"/>
  <c r="J57" i="240"/>
  <c r="I57" i="240"/>
  <c r="J56" i="240"/>
  <c r="I56" i="240"/>
  <c r="J55" i="240"/>
  <c r="I55" i="240"/>
  <c r="J54" i="240"/>
  <c r="I54" i="240"/>
  <c r="J51" i="240"/>
  <c r="I51" i="240"/>
  <c r="J50" i="240"/>
  <c r="I50" i="240"/>
  <c r="J49" i="240"/>
  <c r="I49" i="240"/>
  <c r="J48" i="240"/>
  <c r="I48" i="240"/>
  <c r="J47" i="240"/>
  <c r="I47" i="240"/>
  <c r="J46" i="240"/>
  <c r="I46" i="240"/>
  <c r="J45" i="240"/>
  <c r="I45" i="240"/>
  <c r="J44" i="240"/>
  <c r="I44" i="240"/>
  <c r="J43" i="240"/>
  <c r="I43" i="240"/>
  <c r="J42" i="240"/>
  <c r="I42" i="240"/>
  <c r="J39" i="240"/>
  <c r="I39" i="240"/>
  <c r="J38" i="240"/>
  <c r="I38" i="240"/>
  <c r="J37" i="240"/>
  <c r="I37" i="240"/>
  <c r="J36" i="240"/>
  <c r="I36" i="240"/>
  <c r="J35" i="240"/>
  <c r="I35" i="240"/>
  <c r="J34" i="240"/>
  <c r="I34" i="240"/>
  <c r="J33" i="240"/>
  <c r="I33" i="240"/>
  <c r="J32" i="240"/>
  <c r="J31" i="240"/>
  <c r="I31" i="240"/>
  <c r="J30" i="240"/>
  <c r="I30" i="240"/>
  <c r="J27" i="240"/>
  <c r="I27" i="240"/>
  <c r="J26" i="240"/>
  <c r="J25" i="240"/>
  <c r="I25" i="240"/>
  <c r="J24" i="240"/>
  <c r="I24" i="240"/>
  <c r="J23" i="240"/>
  <c r="I23" i="240"/>
  <c r="J22" i="240"/>
  <c r="I22" i="240"/>
  <c r="J21" i="240"/>
  <c r="I21" i="240"/>
  <c r="J20" i="240"/>
  <c r="I20" i="240"/>
  <c r="J19" i="240"/>
  <c r="J18" i="240"/>
  <c r="I18" i="240"/>
  <c r="I10" i="240"/>
  <c r="I7" i="240"/>
  <c r="J7" i="240"/>
  <c r="I8" i="240"/>
  <c r="J8" i="240"/>
  <c r="I9" i="240"/>
  <c r="J9" i="240"/>
  <c r="J10" i="240"/>
  <c r="I11" i="240"/>
  <c r="J11" i="240"/>
  <c r="I12" i="240"/>
  <c r="J12" i="240"/>
  <c r="I13" i="240"/>
  <c r="J13" i="240"/>
  <c r="I14" i="240"/>
  <c r="J14" i="240"/>
  <c r="I15" i="240"/>
  <c r="J15" i="240"/>
  <c r="A245" i="212" l="1"/>
  <c r="A223" i="212"/>
  <c r="F212" i="212"/>
  <c r="A201" i="212"/>
  <c r="F245" i="212" l="1"/>
  <c r="F234" i="212"/>
  <c r="F47" i="188"/>
  <c r="F44" i="188"/>
  <c r="F223" i="212"/>
  <c r="F201" i="212"/>
  <c r="F50" i="188"/>
  <c r="F6" i="191"/>
  <c r="F9" i="191"/>
  <c r="F3" i="187" l="1"/>
  <c r="F6" i="192"/>
  <c r="AA12" i="242" l="1"/>
  <c r="AA13" i="242" s="1"/>
  <c r="AA14" i="242" s="1"/>
  <c r="AA11" i="242"/>
  <c r="Z12" i="242"/>
  <c r="Z13" i="242" s="1"/>
  <c r="Z14" i="242" s="1"/>
  <c r="Z11" i="242"/>
  <c r="Y12" i="242"/>
  <c r="Y13" i="242" s="1"/>
  <c r="Y14" i="242" s="1"/>
  <c r="Y11" i="242"/>
  <c r="X12" i="242"/>
  <c r="G12" i="242" s="1"/>
  <c r="H12" i="242" s="1"/>
  <c r="X11" i="242"/>
  <c r="G11" i="242" s="1"/>
  <c r="H11" i="242" s="1"/>
  <c r="W12" i="242"/>
  <c r="W13" i="242" s="1"/>
  <c r="W14" i="242" s="1"/>
  <c r="W11" i="242"/>
  <c r="B11" i="242"/>
  <c r="B12" i="242"/>
  <c r="B13" i="242"/>
  <c r="B14" i="242"/>
  <c r="B22" i="242"/>
  <c r="H22" i="242"/>
  <c r="J22" i="242" s="1"/>
  <c r="I22" i="242"/>
  <c r="K22" i="242"/>
  <c r="B23" i="242"/>
  <c r="H23" i="242"/>
  <c r="I23" i="242"/>
  <c r="K23" i="242"/>
  <c r="B24" i="242"/>
  <c r="H24" i="242"/>
  <c r="J24" i="242" s="1"/>
  <c r="I24" i="242"/>
  <c r="K24" i="242"/>
  <c r="B25" i="242"/>
  <c r="H25" i="242"/>
  <c r="I25" i="242"/>
  <c r="K25" i="242"/>
  <c r="B26" i="242"/>
  <c r="H26" i="242"/>
  <c r="J26" i="242" s="1"/>
  <c r="I26" i="242"/>
  <c r="K26" i="242"/>
  <c r="B27" i="242"/>
  <c r="H27" i="242"/>
  <c r="I27" i="242"/>
  <c r="J27" i="242"/>
  <c r="K27" i="242"/>
  <c r="G8" i="242"/>
  <c r="H8" i="242" s="1"/>
  <c r="G7" i="242"/>
  <c r="I7" i="242" s="1"/>
  <c r="L6" i="242"/>
  <c r="L8" i="242" s="1"/>
  <c r="K8" i="242" s="1"/>
  <c r="X9" i="242"/>
  <c r="G9" i="242" s="1"/>
  <c r="Y9" i="242"/>
  <c r="Y10" i="242" s="1"/>
  <c r="Z9" i="242"/>
  <c r="Z10" i="242" s="1"/>
  <c r="AA9" i="242"/>
  <c r="AA10" i="242" s="1"/>
  <c r="W9" i="242"/>
  <c r="W10" i="242" s="1"/>
  <c r="H18" i="242"/>
  <c r="A132" i="242"/>
  <c r="K131" i="242"/>
  <c r="I131" i="242"/>
  <c r="H131" i="242"/>
  <c r="B131" i="242"/>
  <c r="K130" i="242"/>
  <c r="I130" i="242"/>
  <c r="H130" i="242"/>
  <c r="J130" i="242" s="1"/>
  <c r="B130" i="242"/>
  <c r="K129" i="242"/>
  <c r="I129" i="242"/>
  <c r="H129" i="242"/>
  <c r="B129" i="242"/>
  <c r="K128" i="242"/>
  <c r="I128" i="242"/>
  <c r="H128" i="242"/>
  <c r="J128" i="242" s="1"/>
  <c r="B128" i="242"/>
  <c r="K127" i="242"/>
  <c r="I127" i="242"/>
  <c r="H127" i="242"/>
  <c r="B127" i="242"/>
  <c r="K126" i="242"/>
  <c r="I126" i="242"/>
  <c r="H126" i="242"/>
  <c r="J126" i="242" s="1"/>
  <c r="B126" i="242"/>
  <c r="K125" i="242"/>
  <c r="I125" i="242"/>
  <c r="H125" i="242"/>
  <c r="B125" i="242"/>
  <c r="K124" i="242"/>
  <c r="I124" i="242"/>
  <c r="H124" i="242"/>
  <c r="J124" i="242" s="1"/>
  <c r="B124" i="242"/>
  <c r="K123" i="242"/>
  <c r="I123" i="242"/>
  <c r="H123" i="242"/>
  <c r="B123" i="242"/>
  <c r="K122" i="242"/>
  <c r="I122" i="242"/>
  <c r="H122" i="242"/>
  <c r="J122" i="242" s="1"/>
  <c r="B122" i="242"/>
  <c r="A119" i="242"/>
  <c r="K118" i="242"/>
  <c r="I118" i="242"/>
  <c r="H118" i="242"/>
  <c r="J118" i="242" s="1"/>
  <c r="B118" i="242"/>
  <c r="K117" i="242"/>
  <c r="I117" i="242"/>
  <c r="H117" i="242"/>
  <c r="B117" i="242"/>
  <c r="K116" i="242"/>
  <c r="I116" i="242"/>
  <c r="H116" i="242"/>
  <c r="J116" i="242" s="1"/>
  <c r="B116" i="242"/>
  <c r="K115" i="242"/>
  <c r="I115" i="242"/>
  <c r="H115" i="242"/>
  <c r="B115" i="242"/>
  <c r="K114" i="242"/>
  <c r="I114" i="242"/>
  <c r="H114" i="242"/>
  <c r="J114" i="242" s="1"/>
  <c r="B114" i="242"/>
  <c r="K113" i="242"/>
  <c r="I113" i="242"/>
  <c r="H113" i="242"/>
  <c r="B113" i="242"/>
  <c r="K112" i="242"/>
  <c r="I112" i="242"/>
  <c r="H112" i="242"/>
  <c r="J112" i="242" s="1"/>
  <c r="B112" i="242"/>
  <c r="K111" i="242"/>
  <c r="I111" i="242"/>
  <c r="H111" i="242"/>
  <c r="B111" i="242"/>
  <c r="K110" i="242"/>
  <c r="I110" i="242"/>
  <c r="H110" i="242"/>
  <c r="J110" i="242" s="1"/>
  <c r="B110" i="242"/>
  <c r="K109" i="242"/>
  <c r="I109" i="242"/>
  <c r="H109" i="242"/>
  <c r="B109" i="242"/>
  <c r="A106" i="242"/>
  <c r="K105" i="242"/>
  <c r="I105" i="242"/>
  <c r="H105" i="242"/>
  <c r="J105" i="242" s="1"/>
  <c r="B105" i="242"/>
  <c r="K104" i="242"/>
  <c r="I104" i="242"/>
  <c r="H104" i="242"/>
  <c r="B104" i="242"/>
  <c r="K103" i="242"/>
  <c r="I103" i="242"/>
  <c r="H103" i="242"/>
  <c r="J103" i="242" s="1"/>
  <c r="B103" i="242"/>
  <c r="K102" i="242"/>
  <c r="I102" i="242"/>
  <c r="H102" i="242"/>
  <c r="B102" i="242"/>
  <c r="K101" i="242"/>
  <c r="I101" i="242"/>
  <c r="H101" i="242"/>
  <c r="J101" i="242" s="1"/>
  <c r="B101" i="242"/>
  <c r="K100" i="242"/>
  <c r="I100" i="242"/>
  <c r="H100" i="242"/>
  <c r="B100" i="242"/>
  <c r="K99" i="242"/>
  <c r="I99" i="242"/>
  <c r="H99" i="242"/>
  <c r="J99" i="242" s="1"/>
  <c r="B99" i="242"/>
  <c r="K98" i="242"/>
  <c r="I98" i="242"/>
  <c r="H98" i="242"/>
  <c r="B98" i="242"/>
  <c r="K97" i="242"/>
  <c r="I97" i="242"/>
  <c r="H97" i="242"/>
  <c r="J97" i="242" s="1"/>
  <c r="B97" i="242"/>
  <c r="K96" i="242"/>
  <c r="I96" i="242"/>
  <c r="H96" i="242"/>
  <c r="B96" i="242"/>
  <c r="A93" i="242"/>
  <c r="K92" i="242"/>
  <c r="I92" i="242"/>
  <c r="H92" i="242"/>
  <c r="B92" i="242"/>
  <c r="K91" i="242"/>
  <c r="I91" i="242"/>
  <c r="H91" i="242"/>
  <c r="B91" i="242"/>
  <c r="K90" i="242"/>
  <c r="I90" i="242"/>
  <c r="H90" i="242"/>
  <c r="B90" i="242"/>
  <c r="K89" i="242"/>
  <c r="I89" i="242"/>
  <c r="H89" i="242"/>
  <c r="B89" i="242"/>
  <c r="K88" i="242"/>
  <c r="I88" i="242"/>
  <c r="H88" i="242"/>
  <c r="B88" i="242"/>
  <c r="K87" i="242"/>
  <c r="I87" i="242"/>
  <c r="H87" i="242"/>
  <c r="B87" i="242"/>
  <c r="K86" i="242"/>
  <c r="I86" i="242"/>
  <c r="H86" i="242"/>
  <c r="B86" i="242"/>
  <c r="K85" i="242"/>
  <c r="I85" i="242"/>
  <c r="H85" i="242"/>
  <c r="B85" i="242"/>
  <c r="K84" i="242"/>
  <c r="I84" i="242"/>
  <c r="H84" i="242"/>
  <c r="B84" i="242"/>
  <c r="K83" i="242"/>
  <c r="I83" i="242"/>
  <c r="H83" i="242"/>
  <c r="B83" i="242"/>
  <c r="A80" i="242"/>
  <c r="K79" i="242"/>
  <c r="I79" i="242"/>
  <c r="H79" i="242"/>
  <c r="J79" i="242" s="1"/>
  <c r="B79" i="242"/>
  <c r="K78" i="242"/>
  <c r="I78" i="242"/>
  <c r="H78" i="242"/>
  <c r="B78" i="242"/>
  <c r="K77" i="242"/>
  <c r="I77" i="242"/>
  <c r="H77" i="242"/>
  <c r="J77" i="242" s="1"/>
  <c r="B77" i="242"/>
  <c r="K76" i="242"/>
  <c r="I76" i="242"/>
  <c r="H76" i="242"/>
  <c r="B76" i="242"/>
  <c r="K75" i="242"/>
  <c r="I75" i="242"/>
  <c r="H75" i="242"/>
  <c r="J75" i="242" s="1"/>
  <c r="B75" i="242"/>
  <c r="K74" i="242"/>
  <c r="I74" i="242"/>
  <c r="H74" i="242"/>
  <c r="B74" i="242"/>
  <c r="K73" i="242"/>
  <c r="I73" i="242"/>
  <c r="H73" i="242"/>
  <c r="J73" i="242" s="1"/>
  <c r="B73" i="242"/>
  <c r="K72" i="242"/>
  <c r="I72" i="242"/>
  <c r="H72" i="242"/>
  <c r="B72" i="242"/>
  <c r="K71" i="242"/>
  <c r="I71" i="242"/>
  <c r="H71" i="242"/>
  <c r="J71" i="242" s="1"/>
  <c r="B71" i="242"/>
  <c r="K70" i="242"/>
  <c r="I70" i="242"/>
  <c r="H70" i="242"/>
  <c r="B70" i="242"/>
  <c r="A67" i="242"/>
  <c r="K66" i="242"/>
  <c r="I66" i="242"/>
  <c r="H66" i="242"/>
  <c r="B66" i="242"/>
  <c r="K65" i="242"/>
  <c r="I65" i="242"/>
  <c r="H65" i="242"/>
  <c r="J65" i="242" s="1"/>
  <c r="B65" i="242"/>
  <c r="K64" i="242"/>
  <c r="I64" i="242"/>
  <c r="H64" i="242"/>
  <c r="B64" i="242"/>
  <c r="K63" i="242"/>
  <c r="I63" i="242"/>
  <c r="H63" i="242"/>
  <c r="J63" i="242" s="1"/>
  <c r="B63" i="242"/>
  <c r="K62" i="242"/>
  <c r="I62" i="242"/>
  <c r="H62" i="242"/>
  <c r="B62" i="242"/>
  <c r="K61" i="242"/>
  <c r="I61" i="242"/>
  <c r="H61" i="242"/>
  <c r="J61" i="242" s="1"/>
  <c r="B61" i="242"/>
  <c r="K60" i="242"/>
  <c r="I60" i="242"/>
  <c r="H60" i="242"/>
  <c r="B60" i="242"/>
  <c r="K59" i="242"/>
  <c r="I59" i="242"/>
  <c r="H59" i="242"/>
  <c r="J59" i="242" s="1"/>
  <c r="B59" i="242"/>
  <c r="K58" i="242"/>
  <c r="I58" i="242"/>
  <c r="H58" i="242"/>
  <c r="B58" i="242"/>
  <c r="K57" i="242"/>
  <c r="I57" i="242"/>
  <c r="H57" i="242"/>
  <c r="J57" i="242" s="1"/>
  <c r="B57" i="242"/>
  <c r="A54" i="242"/>
  <c r="K53" i="242"/>
  <c r="I53" i="242"/>
  <c r="H53" i="242"/>
  <c r="J53" i="242" s="1"/>
  <c r="B53" i="242"/>
  <c r="K52" i="242"/>
  <c r="I52" i="242"/>
  <c r="H52" i="242"/>
  <c r="J52" i="242" s="1"/>
  <c r="B52" i="242"/>
  <c r="K51" i="242"/>
  <c r="I51" i="242"/>
  <c r="H51" i="242"/>
  <c r="J51" i="242" s="1"/>
  <c r="B51" i="242"/>
  <c r="K50" i="242"/>
  <c r="I50" i="242"/>
  <c r="H50" i="242"/>
  <c r="J50" i="242" s="1"/>
  <c r="B50" i="242"/>
  <c r="K49" i="242"/>
  <c r="I49" i="242"/>
  <c r="H49" i="242"/>
  <c r="J49" i="242" s="1"/>
  <c r="B49" i="242"/>
  <c r="K48" i="242"/>
  <c r="I48" i="242"/>
  <c r="H48" i="242"/>
  <c r="J48" i="242" s="1"/>
  <c r="B48" i="242"/>
  <c r="K47" i="242"/>
  <c r="I47" i="242"/>
  <c r="H47" i="242"/>
  <c r="J47" i="242" s="1"/>
  <c r="B47" i="242"/>
  <c r="K46" i="242"/>
  <c r="I46" i="242"/>
  <c r="H46" i="242"/>
  <c r="J46" i="242" s="1"/>
  <c r="B46" i="242"/>
  <c r="K45" i="242"/>
  <c r="I45" i="242"/>
  <c r="H45" i="242"/>
  <c r="J45" i="242" s="1"/>
  <c r="B45" i="242"/>
  <c r="K44" i="242"/>
  <c r="I44" i="242"/>
  <c r="H44" i="242"/>
  <c r="J44" i="242" s="1"/>
  <c r="B44" i="242"/>
  <c r="A41" i="242"/>
  <c r="K40" i="242"/>
  <c r="I40" i="242"/>
  <c r="H40" i="242"/>
  <c r="J40" i="242" s="1"/>
  <c r="B40" i="242"/>
  <c r="K39" i="242"/>
  <c r="I39" i="242"/>
  <c r="H39" i="242"/>
  <c r="B39" i="242"/>
  <c r="K38" i="242"/>
  <c r="I38" i="242"/>
  <c r="H38" i="242"/>
  <c r="J38" i="242" s="1"/>
  <c r="B38" i="242"/>
  <c r="K37" i="242"/>
  <c r="I37" i="242"/>
  <c r="H37" i="242"/>
  <c r="B37" i="242"/>
  <c r="K36" i="242"/>
  <c r="I36" i="242"/>
  <c r="H36" i="242"/>
  <c r="J36" i="242" s="1"/>
  <c r="B36" i="242"/>
  <c r="K35" i="242"/>
  <c r="I35" i="242"/>
  <c r="H35" i="242"/>
  <c r="B35" i="242"/>
  <c r="K34" i="242"/>
  <c r="I34" i="242"/>
  <c r="H34" i="242"/>
  <c r="J34" i="242" s="1"/>
  <c r="B34" i="242"/>
  <c r="K33" i="242"/>
  <c r="I33" i="242"/>
  <c r="H33" i="242"/>
  <c r="B33" i="242"/>
  <c r="K32" i="242"/>
  <c r="I32" i="242"/>
  <c r="H32" i="242"/>
  <c r="J32" i="242" s="1"/>
  <c r="B32" i="242"/>
  <c r="K31" i="242"/>
  <c r="I31" i="242"/>
  <c r="H31" i="242"/>
  <c r="B31" i="242"/>
  <c r="A28" i="242"/>
  <c r="K21" i="242"/>
  <c r="I21" i="242"/>
  <c r="H21" i="242"/>
  <c r="B21" i="242"/>
  <c r="K20" i="242"/>
  <c r="I20" i="242"/>
  <c r="H20" i="242"/>
  <c r="J20" i="242" s="1"/>
  <c r="B20" i="242"/>
  <c r="K19" i="242"/>
  <c r="I19" i="242"/>
  <c r="H19" i="242"/>
  <c r="B19" i="242"/>
  <c r="K18" i="242"/>
  <c r="I18" i="242"/>
  <c r="B18" i="242"/>
  <c r="A15" i="242"/>
  <c r="B10" i="242"/>
  <c r="B9" i="242"/>
  <c r="B8" i="242"/>
  <c r="B7" i="242"/>
  <c r="J18" i="242" l="1"/>
  <c r="J31" i="242"/>
  <c r="J33" i="242"/>
  <c r="J35" i="242"/>
  <c r="J37" i="242"/>
  <c r="J39" i="242"/>
  <c r="J84" i="242"/>
  <c r="J86" i="242"/>
  <c r="J88" i="242"/>
  <c r="J90" i="242"/>
  <c r="J92" i="242"/>
  <c r="J19" i="242"/>
  <c r="J21" i="242"/>
  <c r="J70" i="242"/>
  <c r="J72" i="242"/>
  <c r="J74" i="242"/>
  <c r="J76" i="242"/>
  <c r="J78" i="242"/>
  <c r="J123" i="242"/>
  <c r="J125" i="242"/>
  <c r="J127" i="242"/>
  <c r="J129" i="242"/>
  <c r="J131" i="242"/>
  <c r="J25" i="242"/>
  <c r="J23" i="242"/>
  <c r="J83" i="242"/>
  <c r="J85" i="242"/>
  <c r="J87" i="242"/>
  <c r="J89" i="242"/>
  <c r="J91" i="242"/>
  <c r="J96" i="242"/>
  <c r="J98" i="242"/>
  <c r="J100" i="242"/>
  <c r="J102" i="242"/>
  <c r="J104" i="242"/>
  <c r="J58" i="242"/>
  <c r="J60" i="242"/>
  <c r="J62" i="242"/>
  <c r="J64" i="242"/>
  <c r="J66" i="242"/>
  <c r="J109" i="242"/>
  <c r="J111" i="242"/>
  <c r="J113" i="242"/>
  <c r="J115" i="242"/>
  <c r="J117" i="242"/>
  <c r="X13" i="242"/>
  <c r="X14" i="242" s="1"/>
  <c r="G14" i="242" s="1"/>
  <c r="L11" i="242"/>
  <c r="K11" i="242" s="1"/>
  <c r="G13" i="242"/>
  <c r="H13" i="242" s="1"/>
  <c r="X10" i="242"/>
  <c r="L10" i="242" s="1"/>
  <c r="K10" i="242" s="1"/>
  <c r="L12" i="242"/>
  <c r="K12" i="242" s="1"/>
  <c r="I11" i="242"/>
  <c r="J11" i="242" s="1"/>
  <c r="I12" i="242"/>
  <c r="J12" i="242" s="1"/>
  <c r="I8" i="242"/>
  <c r="J8" i="242" s="1"/>
  <c r="L9" i="242"/>
  <c r="K9" i="242" s="1"/>
  <c r="H9" i="242"/>
  <c r="I9" i="242"/>
  <c r="L7" i="242"/>
  <c r="K7" i="242" s="1"/>
  <c r="H7" i="242"/>
  <c r="J7" i="242" s="1"/>
  <c r="G10" i="242" l="1"/>
  <c r="H10" i="242" s="1"/>
  <c r="L13" i="242"/>
  <c r="K13" i="242" s="1"/>
  <c r="L14" i="242"/>
  <c r="K14" i="242" s="1"/>
  <c r="J9" i="242"/>
  <c r="I13" i="242"/>
  <c r="J13" i="242" s="1"/>
  <c r="I14" i="242"/>
  <c r="H14" i="242"/>
  <c r="K243" i="240"/>
  <c r="K242" i="240"/>
  <c r="K241" i="240"/>
  <c r="K240" i="240"/>
  <c r="K239" i="240"/>
  <c r="K238" i="240"/>
  <c r="K237" i="240"/>
  <c r="K236" i="240"/>
  <c r="K235" i="240"/>
  <c r="K234" i="240"/>
  <c r="K111" i="240"/>
  <c r="K110" i="240"/>
  <c r="K109" i="240"/>
  <c r="K108" i="240"/>
  <c r="K107" i="240"/>
  <c r="K106" i="240"/>
  <c r="K105" i="240"/>
  <c r="K104" i="240"/>
  <c r="K103" i="240"/>
  <c r="K102" i="240"/>
  <c r="K99" i="240"/>
  <c r="K98" i="240"/>
  <c r="K97" i="240"/>
  <c r="K96" i="240"/>
  <c r="K95" i="240"/>
  <c r="K94" i="240"/>
  <c r="K93" i="240"/>
  <c r="K92" i="240"/>
  <c r="K91" i="240"/>
  <c r="K90" i="240"/>
  <c r="K87" i="240"/>
  <c r="K86" i="240"/>
  <c r="K85" i="240"/>
  <c r="K84" i="240"/>
  <c r="K83" i="240"/>
  <c r="K82" i="240"/>
  <c r="K81" i="240"/>
  <c r="K80" i="240"/>
  <c r="K79" i="240"/>
  <c r="K78" i="240"/>
  <c r="K75" i="240"/>
  <c r="K74" i="240"/>
  <c r="K73" i="240"/>
  <c r="K72" i="240"/>
  <c r="K71" i="240"/>
  <c r="K70" i="240"/>
  <c r="K69" i="240"/>
  <c r="K68" i="240"/>
  <c r="K67" i="240"/>
  <c r="K66" i="240"/>
  <c r="K63" i="240"/>
  <c r="K62" i="240"/>
  <c r="K61" i="240"/>
  <c r="K60" i="240"/>
  <c r="K59" i="240"/>
  <c r="K58" i="240"/>
  <c r="K57" i="240"/>
  <c r="K56" i="240"/>
  <c r="K55" i="240"/>
  <c r="K54" i="240"/>
  <c r="K51" i="240"/>
  <c r="K50" i="240"/>
  <c r="K49" i="240"/>
  <c r="K48" i="240"/>
  <c r="K47" i="240"/>
  <c r="K46" i="240"/>
  <c r="K45" i="240"/>
  <c r="K44" i="240"/>
  <c r="K43" i="240"/>
  <c r="K42" i="240"/>
  <c r="K39" i="240"/>
  <c r="K38" i="240"/>
  <c r="K37" i="240"/>
  <c r="K36" i="240"/>
  <c r="K35" i="240"/>
  <c r="K34" i="240"/>
  <c r="K33" i="240"/>
  <c r="K32" i="240"/>
  <c r="K31" i="240"/>
  <c r="K30" i="240"/>
  <c r="K27" i="240"/>
  <c r="K26" i="240"/>
  <c r="K25" i="240"/>
  <c r="K24" i="240"/>
  <c r="K23" i="240"/>
  <c r="K22" i="240"/>
  <c r="K21" i="240"/>
  <c r="K20" i="240"/>
  <c r="K19" i="240"/>
  <c r="K18" i="240"/>
  <c r="K15" i="240"/>
  <c r="K14" i="240"/>
  <c r="K13" i="240"/>
  <c r="K12" i="240"/>
  <c r="K11" i="240"/>
  <c r="K10" i="240"/>
  <c r="K9" i="240"/>
  <c r="K8" i="240"/>
  <c r="K7" i="240"/>
  <c r="K6" i="240"/>
  <c r="I10" i="242" l="1"/>
  <c r="J10" i="242"/>
  <c r="J14" i="242"/>
  <c r="B44" i="183"/>
  <c r="C58" i="224" s="1"/>
  <c r="B41" i="183"/>
  <c r="C55" i="224" s="1"/>
  <c r="C32" i="183"/>
  <c r="C31" i="183"/>
  <c r="C26" i="183"/>
  <c r="I160" i="214" l="1"/>
  <c r="I159" i="214"/>
  <c r="I158" i="214"/>
  <c r="I157" i="214"/>
  <c r="I156" i="214"/>
  <c r="I155" i="214"/>
  <c r="I154" i="214"/>
  <c r="I153" i="214"/>
  <c r="I152" i="214"/>
  <c r="I151" i="214"/>
  <c r="I149" i="214"/>
  <c r="I148" i="214"/>
  <c r="I147" i="214"/>
  <c r="I146" i="214"/>
  <c r="I145" i="214"/>
  <c r="I144" i="214"/>
  <c r="I143" i="214"/>
  <c r="I142" i="214"/>
  <c r="I141" i="214"/>
  <c r="I140" i="214"/>
  <c r="I138" i="214"/>
  <c r="I137" i="214"/>
  <c r="I136" i="214"/>
  <c r="I135" i="214"/>
  <c r="I134" i="214"/>
  <c r="I133" i="214"/>
  <c r="I132" i="214"/>
  <c r="I131" i="214"/>
  <c r="I130" i="214"/>
  <c r="I129" i="214"/>
  <c r="I127" i="214"/>
  <c r="I126" i="214"/>
  <c r="I125" i="214"/>
  <c r="I124" i="214"/>
  <c r="I123" i="214"/>
  <c r="I122" i="214"/>
  <c r="I121" i="214"/>
  <c r="I120" i="214"/>
  <c r="I119" i="214"/>
  <c r="I118" i="214"/>
  <c r="I116" i="214"/>
  <c r="I115" i="214"/>
  <c r="I114" i="214"/>
  <c r="I113" i="214"/>
  <c r="I112" i="214"/>
  <c r="I111" i="214"/>
  <c r="I110" i="214"/>
  <c r="I109" i="214"/>
  <c r="I108" i="214"/>
  <c r="I107" i="214"/>
  <c r="I105" i="214"/>
  <c r="I104" i="214"/>
  <c r="I103" i="214"/>
  <c r="I102" i="214"/>
  <c r="I101" i="214"/>
  <c r="I100" i="214"/>
  <c r="I99" i="214"/>
  <c r="I98" i="214"/>
  <c r="I97" i="214"/>
  <c r="I96" i="214"/>
  <c r="I94" i="214"/>
  <c r="I93" i="214"/>
  <c r="I92" i="214"/>
  <c r="I91" i="214"/>
  <c r="I90" i="214"/>
  <c r="I89" i="214"/>
  <c r="I88" i="214"/>
  <c r="I87" i="214"/>
  <c r="I86" i="214"/>
  <c r="I85" i="214"/>
  <c r="I83" i="214"/>
  <c r="I82" i="214"/>
  <c r="I81" i="214"/>
  <c r="I80" i="214"/>
  <c r="I79" i="214"/>
  <c r="I78" i="214"/>
  <c r="I77" i="214"/>
  <c r="I76" i="214"/>
  <c r="I75" i="214"/>
  <c r="I74" i="214"/>
  <c r="I72" i="214"/>
  <c r="I71" i="214"/>
  <c r="I70" i="214"/>
  <c r="I69" i="214"/>
  <c r="I68" i="214"/>
  <c r="I67" i="214"/>
  <c r="I66" i="214"/>
  <c r="I65" i="214"/>
  <c r="I64" i="214"/>
  <c r="I63" i="214"/>
  <c r="I61" i="214"/>
  <c r="I60" i="214"/>
  <c r="I59" i="214"/>
  <c r="I58" i="214"/>
  <c r="I57" i="214"/>
  <c r="I56" i="214"/>
  <c r="I55" i="214"/>
  <c r="I54" i="214"/>
  <c r="I53" i="214"/>
  <c r="I52" i="214"/>
  <c r="I50" i="214"/>
  <c r="I49" i="214"/>
  <c r="I48" i="214"/>
  <c r="I47" i="214"/>
  <c r="I46" i="214"/>
  <c r="I45" i="214"/>
  <c r="I44" i="214"/>
  <c r="I43" i="214"/>
  <c r="I42" i="214"/>
  <c r="I41" i="214"/>
  <c r="I39" i="214"/>
  <c r="I38" i="214"/>
  <c r="I37" i="214"/>
  <c r="I36" i="214"/>
  <c r="I35" i="214"/>
  <c r="I34" i="214"/>
  <c r="I33" i="214"/>
  <c r="I32" i="214"/>
  <c r="I31" i="214"/>
  <c r="I30" i="214"/>
  <c r="I28" i="214"/>
  <c r="I27" i="214"/>
  <c r="I26" i="214"/>
  <c r="I25" i="214"/>
  <c r="I24" i="214"/>
  <c r="I23" i="214"/>
  <c r="I22" i="214"/>
  <c r="I21" i="214"/>
  <c r="I20" i="214"/>
  <c r="I19" i="214"/>
  <c r="I9" i="214"/>
  <c r="I10" i="214"/>
  <c r="I11" i="214"/>
  <c r="I12" i="214"/>
  <c r="I13" i="214"/>
  <c r="I14" i="214"/>
  <c r="I15" i="214"/>
  <c r="I16" i="214"/>
  <c r="I17" i="214"/>
  <c r="I8" i="214"/>
  <c r="U8" i="214" s="1"/>
  <c r="O42" i="194"/>
  <c r="P42" i="194"/>
  <c r="O43" i="194"/>
  <c r="P43" i="194"/>
  <c r="O44" i="194"/>
  <c r="P44" i="194"/>
  <c r="O46" i="194"/>
  <c r="P46" i="194"/>
  <c r="O47" i="194"/>
  <c r="P47" i="194"/>
  <c r="P40" i="194"/>
  <c r="O40" i="194"/>
  <c r="I40" i="214" l="1"/>
  <c r="I95" i="214"/>
  <c r="I62" i="214"/>
  <c r="I84" i="214"/>
  <c r="I51" i="214"/>
  <c r="I106" i="214"/>
  <c r="I73" i="214"/>
  <c r="I29" i="214"/>
  <c r="I117" i="214"/>
  <c r="I128" i="214"/>
  <c r="I139" i="214"/>
  <c r="I150" i="214"/>
  <c r="F3" i="237" l="1"/>
  <c r="F9" i="194"/>
  <c r="E44" i="183" l="1"/>
  <c r="I58" i="224" s="1"/>
  <c r="F8" i="237"/>
  <c r="F3" i="236"/>
  <c r="E41" i="183" l="1"/>
  <c r="I55" i="224" s="1"/>
  <c r="F15" i="236"/>
  <c r="F13" i="237" l="1"/>
  <c r="F20" i="236" l="1"/>
  <c r="F17" i="199" l="1"/>
  <c r="F55" i="194" l="1"/>
  <c r="F52" i="194"/>
  <c r="B3" i="234" l="1"/>
  <c r="B3" i="233"/>
  <c r="AG3" i="234" l="1"/>
  <c r="AG3" i="233"/>
  <c r="C14" i="224"/>
  <c r="F36" i="194" l="1"/>
  <c r="B7" i="232"/>
  <c r="B8" i="232"/>
  <c r="B9" i="232"/>
  <c r="B10" i="232"/>
  <c r="B11" i="232"/>
  <c r="B12" i="232"/>
  <c r="B13" i="232"/>
  <c r="B14" i="232"/>
  <c r="B15" i="232"/>
  <c r="B16" i="232"/>
  <c r="B17" i="232"/>
  <c r="B18" i="232"/>
  <c r="B19" i="232"/>
  <c r="B20" i="232"/>
  <c r="B21" i="232"/>
  <c r="B22" i="232"/>
  <c r="B23" i="232"/>
  <c r="B24" i="232"/>
  <c r="B25" i="232"/>
  <c r="B26" i="232"/>
  <c r="B27" i="232"/>
  <c r="B28" i="232"/>
  <c r="B29" i="232"/>
  <c r="B30" i="232"/>
  <c r="B31" i="232"/>
  <c r="B32" i="232"/>
  <c r="B33" i="232"/>
  <c r="B34" i="232"/>
  <c r="B35" i="232"/>
  <c r="B36" i="232"/>
  <c r="B37" i="232"/>
  <c r="B38" i="232"/>
  <c r="B39" i="232"/>
  <c r="B40" i="232"/>
  <c r="B41" i="232"/>
  <c r="B42" i="232"/>
  <c r="B43" i="232"/>
  <c r="B44" i="232"/>
  <c r="B45" i="232"/>
  <c r="B46" i="232"/>
  <c r="B47" i="232"/>
  <c r="B48" i="232"/>
  <c r="B49" i="232"/>
  <c r="B50" i="232"/>
  <c r="B51" i="232"/>
  <c r="B52" i="232"/>
  <c r="B53" i="232"/>
  <c r="B6" i="232"/>
  <c r="J30" i="232"/>
  <c r="J29" i="232"/>
  <c r="J28" i="232"/>
  <c r="J27" i="232"/>
  <c r="J26" i="232"/>
  <c r="J25" i="232"/>
  <c r="J24" i="232"/>
  <c r="J23" i="232"/>
  <c r="O23" i="232" s="1"/>
  <c r="J36" i="232"/>
  <c r="J35" i="232"/>
  <c r="J34" i="232"/>
  <c r="J33" i="232"/>
  <c r="J32" i="232"/>
  <c r="J31" i="232"/>
  <c r="J22" i="232"/>
  <c r="J21" i="232"/>
  <c r="J20" i="232"/>
  <c r="J19" i="232"/>
  <c r="J18" i="232"/>
  <c r="J17" i="232"/>
  <c r="J16" i="232"/>
  <c r="J15" i="232"/>
  <c r="J14" i="232"/>
  <c r="J13" i="232"/>
  <c r="O13" i="232" s="1"/>
  <c r="J53" i="232"/>
  <c r="J52" i="232"/>
  <c r="J51" i="232"/>
  <c r="J50" i="232"/>
  <c r="J49" i="232"/>
  <c r="J48" i="232"/>
  <c r="J47" i="232"/>
  <c r="J46" i="232"/>
  <c r="J45" i="232"/>
  <c r="J44" i="232"/>
  <c r="J43" i="232"/>
  <c r="J42" i="232"/>
  <c r="J41" i="232"/>
  <c r="J40" i="232"/>
  <c r="J39" i="232"/>
  <c r="O39" i="232" s="1"/>
  <c r="A54" i="232"/>
  <c r="J38" i="232"/>
  <c r="J37" i="232"/>
  <c r="J12" i="232"/>
  <c r="J11" i="232"/>
  <c r="O11" i="232" s="1"/>
  <c r="J10" i="232"/>
  <c r="O10" i="232" s="1"/>
  <c r="J9" i="232"/>
  <c r="O9" i="232" s="1"/>
  <c r="J8" i="232"/>
  <c r="O8" i="232" s="1"/>
  <c r="J7" i="232"/>
  <c r="O7" i="232" s="1"/>
  <c r="J6" i="232"/>
  <c r="O6" i="232" s="1"/>
  <c r="B46" i="183"/>
  <c r="C60" i="224" s="1"/>
  <c r="B45" i="183"/>
  <c r="C59" i="224" s="1"/>
  <c r="B42" i="183"/>
  <c r="C56" i="224" s="1"/>
  <c r="K5" i="231"/>
  <c r="K7" i="231"/>
  <c r="K8" i="231"/>
  <c r="K9" i="231"/>
  <c r="O27" i="232" l="1"/>
  <c r="O29" i="232"/>
  <c r="O25" i="232"/>
  <c r="O37" i="232"/>
  <c r="O30" i="232"/>
  <c r="O34" i="232"/>
  <c r="O18" i="232"/>
  <c r="O22" i="232"/>
  <c r="O14" i="232"/>
  <c r="O15" i="232"/>
  <c r="O16" i="232"/>
  <c r="O20" i="232"/>
  <c r="O32" i="232"/>
  <c r="O36" i="232"/>
  <c r="O42" i="232"/>
  <c r="O43" i="232"/>
  <c r="O12" i="232"/>
  <c r="O52" i="232"/>
  <c r="O46" i="232"/>
  <c r="O44" i="232"/>
  <c r="O41" i="232"/>
  <c r="O40" i="232"/>
  <c r="O38" i="232"/>
  <c r="K6" i="231"/>
  <c r="O26" i="232" l="1"/>
  <c r="O28" i="232"/>
  <c r="O24" i="232"/>
  <c r="O17" i="232"/>
  <c r="O45" i="232"/>
  <c r="O50" i="232"/>
  <c r="O53" i="232"/>
  <c r="O48" i="232"/>
  <c r="O51" i="232"/>
  <c r="O49" i="232"/>
  <c r="O47" i="232"/>
  <c r="C27" i="183"/>
  <c r="C71" i="224"/>
  <c r="G15" i="3"/>
  <c r="A2" i="187"/>
  <c r="G16" i="3" l="1"/>
  <c r="O19" i="232"/>
  <c r="G17" i="3"/>
  <c r="A2" i="188"/>
  <c r="O21" i="232" l="1"/>
  <c r="O31" i="232" l="1"/>
  <c r="F3" i="229"/>
  <c r="F3" i="230"/>
  <c r="F20" i="228"/>
  <c r="E43" i="183" s="1"/>
  <c r="I57" i="224" s="1"/>
  <c r="E46" i="183" l="1"/>
  <c r="I60" i="224" s="1"/>
  <c r="F6" i="230"/>
  <c r="E45" i="183"/>
  <c r="I59" i="224" s="1"/>
  <c r="F6" i="229"/>
  <c r="O33" i="232"/>
  <c r="O35" i="232"/>
  <c r="F11" i="230" l="1"/>
  <c r="F11" i="229"/>
  <c r="I9" i="227" l="1"/>
  <c r="I8" i="227"/>
  <c r="I7" i="227"/>
  <c r="I6" i="227"/>
  <c r="I13" i="227"/>
  <c r="I12" i="227"/>
  <c r="I11" i="227"/>
  <c r="I10" i="227"/>
  <c r="A22" i="227"/>
  <c r="I21" i="227"/>
  <c r="N21" i="227" s="1"/>
  <c r="B21" i="227"/>
  <c r="I20" i="227"/>
  <c r="N20" i="227" s="1"/>
  <c r="B20" i="227"/>
  <c r="I19" i="227"/>
  <c r="N19" i="227" s="1"/>
  <c r="B19" i="227"/>
  <c r="I18" i="227"/>
  <c r="N18" i="227" s="1"/>
  <c r="B18" i="227"/>
  <c r="I17" i="227"/>
  <c r="N17" i="227" s="1"/>
  <c r="B17" i="227"/>
  <c r="I16" i="227"/>
  <c r="N16" i="227" s="1"/>
  <c r="B16" i="227"/>
  <c r="A14" i="227" l="1"/>
  <c r="N13" i="227"/>
  <c r="B13" i="227"/>
  <c r="N12" i="227"/>
  <c r="B12" i="227"/>
  <c r="N11" i="227"/>
  <c r="B11" i="227"/>
  <c r="N10" i="227"/>
  <c r="B10" i="227"/>
  <c r="N9" i="227"/>
  <c r="B9" i="227"/>
  <c r="N8" i="227"/>
  <c r="B8" i="227"/>
  <c r="N7" i="227"/>
  <c r="B7" i="227"/>
  <c r="N6" i="227"/>
  <c r="B6" i="227"/>
  <c r="F36" i="212" l="1"/>
  <c r="F25" i="212" l="1"/>
  <c r="AG3" i="174" l="1"/>
  <c r="F26" i="199" l="1"/>
  <c r="F9" i="207" l="1"/>
  <c r="F6" i="207"/>
  <c r="H1" i="3" l="1"/>
  <c r="C68" i="224" l="1"/>
  <c r="C69" i="224"/>
  <c r="C25" i="183" l="1"/>
  <c r="C70" i="224" l="1"/>
  <c r="C67" i="224"/>
  <c r="C66" i="224"/>
  <c r="C65" i="224"/>
  <c r="C50" i="224"/>
  <c r="I18" i="224"/>
  <c r="C18" i="224"/>
  <c r="U178" i="214" l="1"/>
  <c r="V178" i="214"/>
  <c r="W178" i="214"/>
  <c r="U189" i="214"/>
  <c r="V189" i="214"/>
  <c r="W189" i="214"/>
  <c r="W177" i="214" l="1"/>
  <c r="V177" i="214"/>
  <c r="U177" i="214"/>
  <c r="B38" i="183" l="1"/>
  <c r="C52" i="224" s="1"/>
  <c r="F3" i="195" l="1"/>
  <c r="F27" i="194"/>
  <c r="F30" i="194"/>
  <c r="F15" i="191"/>
  <c r="E38" i="183" l="1"/>
  <c r="I52" i="224" s="1"/>
  <c r="F15" i="200"/>
  <c r="F15" i="201" l="1"/>
  <c r="F18" i="201"/>
  <c r="B37" i="215" l="1"/>
  <c r="B35" i="215"/>
  <c r="B31" i="215"/>
  <c r="C37" i="215"/>
  <c r="C35" i="215"/>
  <c r="C31" i="215"/>
  <c r="AE3" i="233" l="1"/>
  <c r="AF3" i="233"/>
  <c r="AD3" i="233"/>
  <c r="AH3" i="233" l="1"/>
  <c r="T3" i="233"/>
  <c r="AC3" i="233"/>
  <c r="F36" i="193"/>
  <c r="T8" i="233" l="1"/>
  <c r="E36" i="215" l="1"/>
  <c r="E40" i="215"/>
  <c r="E34" i="215"/>
  <c r="E39" i="215"/>
  <c r="E35" i="215"/>
  <c r="E33" i="215"/>
  <c r="E31" i="215"/>
  <c r="E29" i="215"/>
  <c r="B38" i="215"/>
  <c r="C38" i="215"/>
  <c r="C36" i="215"/>
  <c r="C32" i="215"/>
  <c r="C34" i="215"/>
  <c r="C30" i="215"/>
  <c r="F3" i="192" l="1"/>
  <c r="A91" i="221"/>
  <c r="A90" i="221"/>
  <c r="A89" i="221"/>
  <c r="A88" i="221"/>
  <c r="A87" i="221"/>
  <c r="A86" i="221"/>
  <c r="A85" i="221"/>
  <c r="A84" i="221"/>
  <c r="A83" i="221"/>
  <c r="A82" i="221"/>
  <c r="A81" i="221"/>
  <c r="A80" i="221"/>
  <c r="A79" i="221"/>
  <c r="A78" i="221"/>
  <c r="A77" i="221"/>
  <c r="A76" i="221"/>
  <c r="A75" i="221"/>
  <c r="A74" i="221"/>
  <c r="A73" i="221"/>
  <c r="A72" i="221"/>
  <c r="A71" i="221"/>
  <c r="A70" i="221"/>
  <c r="A69" i="221"/>
  <c r="A68" i="221"/>
  <c r="A67" i="221"/>
  <c r="A66" i="221"/>
  <c r="A65" i="221"/>
  <c r="A64" i="221"/>
  <c r="A63" i="221"/>
  <c r="A62" i="221"/>
  <c r="A61" i="221"/>
  <c r="A60" i="221"/>
  <c r="A59" i="221"/>
  <c r="A58" i="221"/>
  <c r="A57" i="221"/>
  <c r="A56" i="221"/>
  <c r="A55" i="221"/>
  <c r="A54" i="221"/>
  <c r="A53" i="221"/>
  <c r="A52" i="221"/>
  <c r="A51" i="221"/>
  <c r="A50" i="221"/>
  <c r="A49" i="221"/>
  <c r="A48" i="221"/>
  <c r="A47" i="221"/>
  <c r="A46" i="221"/>
  <c r="A45" i="221"/>
  <c r="A44" i="221"/>
  <c r="A43" i="221"/>
  <c r="A42" i="221"/>
  <c r="A41" i="221"/>
  <c r="A40" i="221"/>
  <c r="A39" i="221"/>
  <c r="A38" i="221"/>
  <c r="A37" i="221"/>
  <c r="A36" i="221"/>
  <c r="A35" i="221"/>
  <c r="A34" i="221"/>
  <c r="A33" i="221"/>
  <c r="A32" i="221"/>
  <c r="A31" i="221"/>
  <c r="A30" i="221"/>
  <c r="A29" i="221"/>
  <c r="A28" i="221"/>
  <c r="A27" i="221"/>
  <c r="A26" i="221"/>
  <c r="A25" i="221"/>
  <c r="A24" i="221"/>
  <c r="A23" i="221"/>
  <c r="A22" i="221"/>
  <c r="A21" i="221"/>
  <c r="A20" i="221"/>
  <c r="A19" i="221"/>
  <c r="A18" i="221"/>
  <c r="A17" i="221"/>
  <c r="A16" i="221"/>
  <c r="A15" i="221"/>
  <c r="A14" i="221"/>
  <c r="A13" i="221"/>
  <c r="A12" i="221"/>
  <c r="A11" i="221"/>
  <c r="A10" i="221"/>
  <c r="A9" i="221"/>
  <c r="A8" i="221"/>
  <c r="A7" i="221"/>
  <c r="A6" i="221"/>
  <c r="A5" i="221"/>
  <c r="A4" i="221"/>
  <c r="D4" i="221" s="1"/>
  <c r="A3" i="221"/>
  <c r="D23" i="221" l="1"/>
  <c r="E23" i="221"/>
  <c r="D40" i="221"/>
  <c r="E40" i="221"/>
  <c r="D72" i="221"/>
  <c r="E72" i="221"/>
  <c r="D88" i="221"/>
  <c r="E88" i="221"/>
  <c r="D9" i="221"/>
  <c r="E9" i="221"/>
  <c r="D17" i="221"/>
  <c r="E17" i="221"/>
  <c r="D25" i="221"/>
  <c r="E25" i="221"/>
  <c r="D33" i="221"/>
  <c r="E33" i="221"/>
  <c r="D41" i="221"/>
  <c r="E41" i="221"/>
  <c r="D49" i="221"/>
  <c r="E49" i="221"/>
  <c r="D57" i="221"/>
  <c r="E57" i="221"/>
  <c r="D65" i="221"/>
  <c r="E65" i="221"/>
  <c r="D73" i="221"/>
  <c r="E73" i="221"/>
  <c r="D81" i="221"/>
  <c r="E81" i="221"/>
  <c r="D89" i="221"/>
  <c r="E89" i="221"/>
  <c r="D16" i="221"/>
  <c r="E16" i="221"/>
  <c r="D56" i="221"/>
  <c r="E56" i="221"/>
  <c r="D80" i="221"/>
  <c r="E80" i="221"/>
  <c r="D10" i="221"/>
  <c r="E10" i="221"/>
  <c r="D18" i="221"/>
  <c r="E18" i="221"/>
  <c r="D26" i="221"/>
  <c r="E26" i="221"/>
  <c r="D34" i="221"/>
  <c r="E34" i="221"/>
  <c r="D42" i="221"/>
  <c r="E42" i="221"/>
  <c r="D50" i="221"/>
  <c r="E50" i="221"/>
  <c r="D58" i="221"/>
  <c r="E58" i="221"/>
  <c r="D66" i="221"/>
  <c r="E66" i="221"/>
  <c r="D74" i="221"/>
  <c r="E74" i="221"/>
  <c r="D82" i="221"/>
  <c r="E82" i="221"/>
  <c r="D90" i="221"/>
  <c r="E90" i="221"/>
  <c r="D7" i="221"/>
  <c r="E7" i="221"/>
  <c r="D24" i="221"/>
  <c r="E24" i="221"/>
  <c r="D64" i="221"/>
  <c r="E64" i="221"/>
  <c r="D11" i="221"/>
  <c r="E11" i="221"/>
  <c r="D19" i="221"/>
  <c r="E19" i="221"/>
  <c r="D27" i="221"/>
  <c r="E27" i="221"/>
  <c r="D35" i="221"/>
  <c r="E35" i="221"/>
  <c r="D43" i="221"/>
  <c r="E43" i="221"/>
  <c r="D51" i="221"/>
  <c r="E51" i="221"/>
  <c r="D59" i="221"/>
  <c r="E59" i="221"/>
  <c r="D67" i="221"/>
  <c r="E67" i="221"/>
  <c r="D75" i="221"/>
  <c r="E75" i="221"/>
  <c r="D83" i="221"/>
  <c r="E83" i="221"/>
  <c r="D91" i="221"/>
  <c r="E91" i="221"/>
  <c r="D31" i="221"/>
  <c r="E31" i="221"/>
  <c r="D48" i="221"/>
  <c r="E48" i="221"/>
  <c r="D20" i="221"/>
  <c r="E20" i="221"/>
  <c r="D36" i="221"/>
  <c r="E36" i="221"/>
  <c r="D60" i="221"/>
  <c r="E60" i="221"/>
  <c r="D68" i="221"/>
  <c r="E68" i="221"/>
  <c r="D76" i="221"/>
  <c r="E76" i="221"/>
  <c r="D84" i="221"/>
  <c r="E84" i="221"/>
  <c r="D8" i="221"/>
  <c r="E8" i="221"/>
  <c r="D32" i="221"/>
  <c r="E32" i="221"/>
  <c r="D12" i="221"/>
  <c r="E12" i="221"/>
  <c r="D52" i="221"/>
  <c r="E52" i="221"/>
  <c r="D5" i="221"/>
  <c r="E5" i="221"/>
  <c r="D13" i="221"/>
  <c r="E13" i="221"/>
  <c r="D21" i="221"/>
  <c r="E21" i="221"/>
  <c r="D29" i="221"/>
  <c r="E29" i="221"/>
  <c r="D37" i="221"/>
  <c r="E37" i="221"/>
  <c r="D45" i="221"/>
  <c r="E45" i="221"/>
  <c r="D53" i="221"/>
  <c r="E53" i="221"/>
  <c r="D61" i="221"/>
  <c r="E61" i="221"/>
  <c r="D69" i="221"/>
  <c r="E69" i="221"/>
  <c r="D77" i="221"/>
  <c r="E77" i="221"/>
  <c r="D85" i="221"/>
  <c r="E85" i="221"/>
  <c r="D28" i="221"/>
  <c r="E28" i="221"/>
  <c r="D44" i="221"/>
  <c r="E44" i="221"/>
  <c r="D6" i="221"/>
  <c r="E6" i="221"/>
  <c r="D14" i="221"/>
  <c r="E14" i="221"/>
  <c r="D22" i="221"/>
  <c r="E22" i="221"/>
  <c r="D30" i="221"/>
  <c r="E30" i="221"/>
  <c r="D38" i="221"/>
  <c r="E38" i="221"/>
  <c r="D46" i="221"/>
  <c r="E46" i="221"/>
  <c r="D54" i="221"/>
  <c r="E54" i="221"/>
  <c r="D62" i="221"/>
  <c r="E62" i="221"/>
  <c r="D70" i="221"/>
  <c r="E70" i="221"/>
  <c r="D78" i="221"/>
  <c r="E78" i="221"/>
  <c r="D86" i="221"/>
  <c r="E86" i="221"/>
  <c r="D15" i="221"/>
  <c r="E15" i="221"/>
  <c r="D39" i="221"/>
  <c r="E39" i="221"/>
  <c r="D47" i="221"/>
  <c r="E47" i="221"/>
  <c r="D55" i="221"/>
  <c r="E55" i="221"/>
  <c r="D63" i="221"/>
  <c r="E63" i="221"/>
  <c r="D71" i="221"/>
  <c r="E71" i="221"/>
  <c r="D79" i="221"/>
  <c r="E79" i="221"/>
  <c r="D87" i="221"/>
  <c r="E87" i="221"/>
  <c r="C54" i="215" l="1"/>
  <c r="C53" i="215"/>
  <c r="C52" i="215"/>
  <c r="C51" i="215"/>
  <c r="C50" i="215"/>
  <c r="C97" i="215"/>
  <c r="C98" i="215"/>
  <c r="C110" i="215"/>
  <c r="C109" i="215"/>
  <c r="C108" i="215"/>
  <c r="C107" i="215"/>
  <c r="C74" i="215"/>
  <c r="C75" i="215"/>
  <c r="C73" i="215"/>
  <c r="C70" i="215"/>
  <c r="B70" i="215"/>
  <c r="C80" i="215"/>
  <c r="C60" i="215"/>
  <c r="F23" i="188" l="1"/>
  <c r="F30" i="188"/>
  <c r="F18" i="188"/>
  <c r="B97" i="215" l="1"/>
  <c r="C99" i="215"/>
  <c r="B99" i="215"/>
  <c r="B98" i="215"/>
  <c r="D40" i="215"/>
  <c r="D36" i="215"/>
  <c r="D34" i="215"/>
  <c r="D39" i="215"/>
  <c r="D35" i="215"/>
  <c r="D33" i="215"/>
  <c r="D31" i="215"/>
  <c r="D29" i="215"/>
  <c r="B36" i="215"/>
  <c r="B34" i="215"/>
  <c r="B32" i="215"/>
  <c r="B30" i="215"/>
  <c r="D47" i="215"/>
  <c r="D46" i="215"/>
  <c r="D45" i="215"/>
  <c r="D44" i="215"/>
  <c r="D43" i="215"/>
  <c r="B47" i="215"/>
  <c r="B46" i="215"/>
  <c r="B45" i="215"/>
  <c r="B44" i="215"/>
  <c r="B43" i="215"/>
  <c r="E47" i="215"/>
  <c r="E46" i="215"/>
  <c r="E44" i="215"/>
  <c r="E45" i="215"/>
  <c r="E43" i="215"/>
  <c r="C47" i="215"/>
  <c r="C46" i="215"/>
  <c r="C45" i="215"/>
  <c r="C44" i="215"/>
  <c r="C43" i="215"/>
  <c r="B50" i="215"/>
  <c r="B108" i="215" l="1"/>
  <c r="B109" i="215"/>
  <c r="B110" i="215"/>
  <c r="B107" i="215"/>
  <c r="C104" i="215"/>
  <c r="C103" i="215"/>
  <c r="C102" i="215"/>
  <c r="C101" i="215"/>
  <c r="C100" i="215"/>
  <c r="B104" i="215"/>
  <c r="B103" i="215"/>
  <c r="B101" i="215"/>
  <c r="B102" i="215"/>
  <c r="B100" i="215"/>
  <c r="C94" i="215"/>
  <c r="C93" i="215"/>
  <c r="C90" i="215"/>
  <c r="C89" i="215"/>
  <c r="B94" i="215"/>
  <c r="B93" i="215"/>
  <c r="B90" i="215"/>
  <c r="B89" i="215"/>
  <c r="C86" i="215"/>
  <c r="C85" i="215"/>
  <c r="C84" i="215"/>
  <c r="C83" i="215"/>
  <c r="B84" i="215"/>
  <c r="B85" i="215"/>
  <c r="B86" i="215"/>
  <c r="B83" i="215"/>
  <c r="C79" i="215"/>
  <c r="C78" i="215"/>
  <c r="C77" i="215"/>
  <c r="C76" i="215"/>
  <c r="C72" i="215"/>
  <c r="C71" i="215"/>
  <c r="C69" i="215"/>
  <c r="B77" i="215"/>
  <c r="B78" i="215"/>
  <c r="B79" i="215"/>
  <c r="B80" i="215"/>
  <c r="B76" i="215"/>
  <c r="B71" i="215"/>
  <c r="B72" i="215"/>
  <c r="B73" i="215"/>
  <c r="B74" i="215"/>
  <c r="B75" i="215"/>
  <c r="B69" i="215"/>
  <c r="C66" i="215"/>
  <c r="C65" i="215"/>
  <c r="C64" i="215"/>
  <c r="C63" i="215"/>
  <c r="B64" i="215"/>
  <c r="B65" i="215"/>
  <c r="B66" i="215"/>
  <c r="B63" i="215"/>
  <c r="C59" i="215"/>
  <c r="C58" i="215"/>
  <c r="C57" i="215"/>
  <c r="B58" i="215"/>
  <c r="B59" i="215"/>
  <c r="B60" i="215"/>
  <c r="B57" i="215"/>
  <c r="B54" i="215"/>
  <c r="B51" i="215"/>
  <c r="B52" i="215"/>
  <c r="B53" i="215"/>
  <c r="J196" i="214"/>
  <c r="I196" i="214"/>
  <c r="M196" i="214" s="1"/>
  <c r="J195" i="214"/>
  <c r="I195" i="214"/>
  <c r="M195" i="214" s="1"/>
  <c r="J194" i="214"/>
  <c r="I194" i="214"/>
  <c r="M194" i="214" s="1"/>
  <c r="I193" i="214"/>
  <c r="M193" i="214" s="1"/>
  <c r="J192" i="214"/>
  <c r="I192" i="214"/>
  <c r="M192" i="214" s="1"/>
  <c r="J185" i="214"/>
  <c r="I185" i="214"/>
  <c r="K185" i="214" s="1"/>
  <c r="J187" i="214"/>
  <c r="I187" i="214"/>
  <c r="K187" i="214" s="1"/>
  <c r="J186" i="214"/>
  <c r="I186" i="214"/>
  <c r="K186" i="214" s="1"/>
  <c r="J184" i="214"/>
  <c r="I184" i="214"/>
  <c r="K184" i="214" s="1"/>
  <c r="J183" i="214"/>
  <c r="I183" i="214"/>
  <c r="J193" i="214" l="1"/>
  <c r="K183" i="214"/>
  <c r="B40" i="218" l="1"/>
  <c r="C45" i="224" s="1"/>
  <c r="A7" i="218"/>
  <c r="A8" i="218" s="1"/>
  <c r="B2" i="218"/>
  <c r="B1" i="218"/>
  <c r="A9" i="218" l="1"/>
  <c r="A10" i="218" l="1"/>
  <c r="A11" i="218" l="1"/>
  <c r="A12" i="218" l="1"/>
  <c r="A13" i="218" l="1"/>
  <c r="A14" i="218" l="1"/>
  <c r="A15" i="218" l="1"/>
  <c r="A16" i="218" l="1"/>
  <c r="A17" i="218" l="1"/>
  <c r="A18" i="218" l="1"/>
  <c r="A19" i="218" l="1"/>
  <c r="A20" i="218" l="1"/>
  <c r="A21" i="218" l="1"/>
  <c r="A22" i="218" l="1"/>
  <c r="A23" i="218" l="1"/>
  <c r="A24" i="218" l="1"/>
  <c r="A25" i="218" l="1"/>
  <c r="A26" i="218" l="1"/>
  <c r="A27" i="218" l="1"/>
  <c r="A28" i="218" l="1"/>
  <c r="A29" i="218" l="1"/>
  <c r="A30" i="218" l="1"/>
  <c r="A31" i="218" l="1"/>
  <c r="A32" i="218" s="1"/>
  <c r="A33" i="218" s="1"/>
  <c r="A34" i="218" s="1"/>
  <c r="A35" i="218" s="1"/>
  <c r="A36" i="218" l="1"/>
  <c r="A37" i="218" s="1"/>
  <c r="A38" i="218" l="1"/>
  <c r="A39" i="218" s="1"/>
  <c r="F3" i="198" l="1"/>
  <c r="B170" i="214"/>
  <c r="F36" i="198" l="1"/>
  <c r="B37" i="183" l="1"/>
  <c r="C51" i="224" s="1"/>
  <c r="J156" i="214" l="1"/>
  <c r="J155" i="214"/>
  <c r="J154" i="214"/>
  <c r="J153" i="214"/>
  <c r="J152" i="214"/>
  <c r="J145" i="214"/>
  <c r="J144" i="214"/>
  <c r="J143" i="214"/>
  <c r="J142" i="214"/>
  <c r="J141" i="214"/>
  <c r="J134" i="214"/>
  <c r="J133" i="214"/>
  <c r="J132" i="214"/>
  <c r="J131" i="214"/>
  <c r="J130" i="214"/>
  <c r="J123" i="214"/>
  <c r="J122" i="214"/>
  <c r="J121" i="214"/>
  <c r="J120" i="214"/>
  <c r="J119" i="214"/>
  <c r="J112" i="214"/>
  <c r="J111" i="214"/>
  <c r="J110" i="214"/>
  <c r="J109" i="214"/>
  <c r="J108" i="214"/>
  <c r="J101" i="214"/>
  <c r="J100" i="214"/>
  <c r="J99" i="214"/>
  <c r="J98" i="214"/>
  <c r="J97" i="214"/>
  <c r="J91" i="214"/>
  <c r="J90" i="214"/>
  <c r="J89" i="214"/>
  <c r="J88" i="214"/>
  <c r="J79" i="214"/>
  <c r="J78" i="214"/>
  <c r="J77" i="214"/>
  <c r="J76" i="214"/>
  <c r="J75" i="214"/>
  <c r="J68" i="214"/>
  <c r="J67" i="214"/>
  <c r="J66" i="214"/>
  <c r="J65" i="214"/>
  <c r="J64" i="214"/>
  <c r="W88" i="214" l="1"/>
  <c r="U88" i="214"/>
  <c r="AC88" i="214"/>
  <c r="U91" i="214"/>
  <c r="AC91" i="214"/>
  <c r="W91" i="214"/>
  <c r="U98" i="214"/>
  <c r="AC98" i="214"/>
  <c r="W98" i="214"/>
  <c r="U100" i="214"/>
  <c r="AC100" i="214"/>
  <c r="W100" i="214"/>
  <c r="W108" i="214"/>
  <c r="U108" i="214"/>
  <c r="AC108" i="214"/>
  <c r="U111" i="214"/>
  <c r="AC111" i="214"/>
  <c r="W111" i="214"/>
  <c r="U89" i="214"/>
  <c r="AC89" i="214"/>
  <c r="W89" i="214"/>
  <c r="W90" i="214"/>
  <c r="U90" i="214"/>
  <c r="AC90" i="214"/>
  <c r="W97" i="214"/>
  <c r="U97" i="214"/>
  <c r="AC97" i="214"/>
  <c r="W99" i="214"/>
  <c r="U99" i="214"/>
  <c r="AC99" i="214"/>
  <c r="W101" i="214"/>
  <c r="U101" i="214"/>
  <c r="AC101" i="214"/>
  <c r="U109" i="214"/>
  <c r="AC109" i="214"/>
  <c r="W109" i="214"/>
  <c r="W110" i="214"/>
  <c r="U110" i="214"/>
  <c r="AC110" i="214"/>
  <c r="W112" i="214"/>
  <c r="U112" i="214"/>
  <c r="AC112" i="214"/>
  <c r="U64" i="214"/>
  <c r="W64" i="214"/>
  <c r="U65" i="214"/>
  <c r="W65" i="214"/>
  <c r="U66" i="214"/>
  <c r="W66" i="214"/>
  <c r="U67" i="214"/>
  <c r="W67" i="214"/>
  <c r="U68" i="214"/>
  <c r="W68" i="214"/>
  <c r="U75" i="214"/>
  <c r="W75" i="214"/>
  <c r="U76" i="214"/>
  <c r="W76" i="214"/>
  <c r="U77" i="214"/>
  <c r="W77" i="214"/>
  <c r="U78" i="214"/>
  <c r="W78" i="214"/>
  <c r="U79" i="214"/>
  <c r="W79" i="214"/>
  <c r="U87" i="214"/>
  <c r="AC87" i="214"/>
  <c r="W87" i="214"/>
  <c r="K88" i="214"/>
  <c r="K89" i="214"/>
  <c r="K90" i="214"/>
  <c r="K91" i="214"/>
  <c r="L97" i="214"/>
  <c r="K97" i="214"/>
  <c r="L98" i="214"/>
  <c r="K98" i="214"/>
  <c r="L99" i="214"/>
  <c r="K99" i="214"/>
  <c r="L100" i="214"/>
  <c r="K100" i="214"/>
  <c r="L101" i="214"/>
  <c r="K101" i="214"/>
  <c r="L108" i="214"/>
  <c r="L109" i="214"/>
  <c r="L110" i="214"/>
  <c r="L111" i="214"/>
  <c r="L112" i="214"/>
  <c r="K87" i="214"/>
  <c r="K64" i="214"/>
  <c r="K65" i="214"/>
  <c r="K66" i="214"/>
  <c r="K67" i="214"/>
  <c r="K68" i="214"/>
  <c r="L75" i="214"/>
  <c r="L76" i="214"/>
  <c r="L77" i="214"/>
  <c r="L78" i="214"/>
  <c r="L79" i="214"/>
  <c r="J87" i="214"/>
  <c r="J57" i="214"/>
  <c r="J56" i="214"/>
  <c r="J55" i="214"/>
  <c r="J54" i="214"/>
  <c r="J53" i="214"/>
  <c r="J47" i="214"/>
  <c r="J46" i="214"/>
  <c r="J45" i="214"/>
  <c r="J44" i="214"/>
  <c r="J43" i="214"/>
  <c r="J36" i="214"/>
  <c r="J35" i="214"/>
  <c r="J34" i="214"/>
  <c r="J33" i="214"/>
  <c r="J32" i="214"/>
  <c r="J24" i="214"/>
  <c r="J23" i="214"/>
  <c r="J22" i="214"/>
  <c r="J20" i="214"/>
  <c r="J17" i="214"/>
  <c r="J16" i="214"/>
  <c r="J15" i="214"/>
  <c r="J14" i="214"/>
  <c r="W23" i="214" l="1"/>
  <c r="U23" i="214"/>
  <c r="U32" i="214"/>
  <c r="W32" i="214"/>
  <c r="U33" i="214"/>
  <c r="W33" i="214"/>
  <c r="U35" i="214"/>
  <c r="W35" i="214"/>
  <c r="AC43" i="214"/>
  <c r="V43" i="214"/>
  <c r="X44" i="214"/>
  <c r="AC44" i="214"/>
  <c r="V44" i="214"/>
  <c r="X46" i="214"/>
  <c r="V46" i="214"/>
  <c r="AC46" i="214"/>
  <c r="V53" i="214"/>
  <c r="AC53" i="214"/>
  <c r="Y53" i="214"/>
  <c r="V55" i="214"/>
  <c r="AC55" i="214"/>
  <c r="X55" i="214"/>
  <c r="V57" i="214"/>
  <c r="AC57" i="214"/>
  <c r="X57" i="214"/>
  <c r="U13" i="214"/>
  <c r="W13" i="214"/>
  <c r="W22" i="214"/>
  <c r="U22" i="214"/>
  <c r="W24" i="214"/>
  <c r="U24" i="214"/>
  <c r="U34" i="214"/>
  <c r="W34" i="214"/>
  <c r="U36" i="214"/>
  <c r="W36" i="214"/>
  <c r="V45" i="214"/>
  <c r="AC45" i="214"/>
  <c r="X45" i="214"/>
  <c r="V47" i="214"/>
  <c r="AC47" i="214"/>
  <c r="X47" i="214"/>
  <c r="X54" i="214"/>
  <c r="V54" i="214"/>
  <c r="AC54" i="214"/>
  <c r="X56" i="214"/>
  <c r="V56" i="214"/>
  <c r="AC56" i="214"/>
  <c r="U14" i="214"/>
  <c r="W14" i="214"/>
  <c r="U15" i="214"/>
  <c r="W15" i="214"/>
  <c r="U16" i="214"/>
  <c r="W16" i="214"/>
  <c r="U17" i="214"/>
  <c r="W17" i="214"/>
  <c r="W20" i="214"/>
  <c r="U20" i="214"/>
  <c r="W21" i="214"/>
  <c r="U21" i="214"/>
  <c r="L32" i="214"/>
  <c r="L33" i="214"/>
  <c r="L34" i="214"/>
  <c r="L35" i="214"/>
  <c r="L36" i="214"/>
  <c r="K44" i="214"/>
  <c r="K45" i="214"/>
  <c r="K46" i="214"/>
  <c r="K47" i="214"/>
  <c r="L53" i="214"/>
  <c r="L54" i="214"/>
  <c r="L55" i="214"/>
  <c r="L56" i="214"/>
  <c r="L57" i="214"/>
  <c r="L20" i="214"/>
  <c r="K21" i="214"/>
  <c r="L21" i="214"/>
  <c r="L22" i="214"/>
  <c r="K23" i="214"/>
  <c r="L23" i="214"/>
  <c r="L24" i="214"/>
  <c r="K14" i="214"/>
  <c r="K15" i="214"/>
  <c r="K16" i="214"/>
  <c r="K17" i="214"/>
  <c r="K13" i="214"/>
  <c r="J21" i="214"/>
  <c r="K24" i="214"/>
  <c r="K22" i="214"/>
  <c r="K20" i="214"/>
  <c r="J13" i="214"/>
  <c r="J238" i="214"/>
  <c r="I238" i="214"/>
  <c r="J209" i="214"/>
  <c r="I209" i="214"/>
  <c r="J208" i="214"/>
  <c r="I208" i="214"/>
  <c r="J207" i="214"/>
  <c r="I207" i="214"/>
  <c r="J206" i="214"/>
  <c r="I206" i="214"/>
  <c r="J205" i="214"/>
  <c r="I205" i="214"/>
  <c r="J160" i="214"/>
  <c r="J159" i="214"/>
  <c r="J158" i="214"/>
  <c r="J157" i="214"/>
  <c r="J151" i="214"/>
  <c r="J149" i="214"/>
  <c r="J148" i="214"/>
  <c r="J147" i="214"/>
  <c r="J146" i="214"/>
  <c r="J140" i="214"/>
  <c r="J138" i="214"/>
  <c r="J137" i="214"/>
  <c r="J136" i="214"/>
  <c r="J135" i="214"/>
  <c r="J129" i="214"/>
  <c r="J127" i="214"/>
  <c r="J126" i="214"/>
  <c r="J125" i="214"/>
  <c r="J124" i="214"/>
  <c r="J118" i="214"/>
  <c r="J116" i="214"/>
  <c r="J115" i="214"/>
  <c r="J114" i="214"/>
  <c r="J113" i="214"/>
  <c r="J107" i="214"/>
  <c r="J105" i="214"/>
  <c r="J104" i="214"/>
  <c r="J103" i="214"/>
  <c r="J102" i="214"/>
  <c r="J96" i="214"/>
  <c r="J94" i="214"/>
  <c r="J93" i="214"/>
  <c r="J92" i="214"/>
  <c r="J86" i="214"/>
  <c r="J85" i="214"/>
  <c r="I204" i="214" l="1"/>
  <c r="T84" i="214"/>
  <c r="R84" i="214"/>
  <c r="S84" i="214"/>
  <c r="V84" i="214"/>
  <c r="Y84" i="214"/>
  <c r="AA84" i="214"/>
  <c r="AD84" i="214"/>
  <c r="AF84" i="214"/>
  <c r="AH84" i="214"/>
  <c r="AJ84" i="214"/>
  <c r="U85" i="214"/>
  <c r="AC85" i="214"/>
  <c r="X84" i="214"/>
  <c r="Z84" i="214"/>
  <c r="AB84" i="214"/>
  <c r="AE84" i="214"/>
  <c r="AG84" i="214"/>
  <c r="AI84" i="214"/>
  <c r="AK84" i="214"/>
  <c r="W85" i="214"/>
  <c r="W86" i="214"/>
  <c r="U86" i="214"/>
  <c r="AC86" i="214"/>
  <c r="W92" i="214"/>
  <c r="U92" i="214"/>
  <c r="AC92" i="214"/>
  <c r="U93" i="214"/>
  <c r="AC93" i="214"/>
  <c r="W93" i="214"/>
  <c r="W94" i="214"/>
  <c r="U94" i="214"/>
  <c r="AC94" i="214"/>
  <c r="S95" i="214"/>
  <c r="R95" i="214"/>
  <c r="T95" i="214"/>
  <c r="V95" i="214"/>
  <c r="Y95" i="214"/>
  <c r="AA95" i="214"/>
  <c r="AD95" i="214"/>
  <c r="AF95" i="214"/>
  <c r="AH95" i="214"/>
  <c r="AJ95" i="214"/>
  <c r="U96" i="214"/>
  <c r="AC96" i="214"/>
  <c r="X95" i="214"/>
  <c r="Z95" i="214"/>
  <c r="AB95" i="214"/>
  <c r="AE95" i="214"/>
  <c r="AG95" i="214"/>
  <c r="AI95" i="214"/>
  <c r="AK95" i="214"/>
  <c r="W96" i="214"/>
  <c r="U102" i="214"/>
  <c r="AC102" i="214"/>
  <c r="W102" i="214"/>
  <c r="W103" i="214"/>
  <c r="U103" i="214"/>
  <c r="AC103" i="214"/>
  <c r="U104" i="214"/>
  <c r="AC104" i="214"/>
  <c r="W104" i="214"/>
  <c r="W105" i="214"/>
  <c r="U105" i="214"/>
  <c r="AC105" i="214"/>
  <c r="T106" i="214"/>
  <c r="R106" i="214"/>
  <c r="S106" i="214"/>
  <c r="V106" i="214"/>
  <c r="Y106" i="214"/>
  <c r="AA106" i="214"/>
  <c r="AD106" i="214"/>
  <c r="AF106" i="214"/>
  <c r="AH106" i="214"/>
  <c r="AJ106" i="214"/>
  <c r="U107" i="214"/>
  <c r="AC107" i="214"/>
  <c r="X106" i="214"/>
  <c r="Z106" i="214"/>
  <c r="AB106" i="214"/>
  <c r="AE106" i="214"/>
  <c r="AG106" i="214"/>
  <c r="AI106" i="214"/>
  <c r="AK106" i="214"/>
  <c r="W107" i="214"/>
  <c r="U113" i="214"/>
  <c r="AC113" i="214"/>
  <c r="W113" i="214"/>
  <c r="W114" i="214"/>
  <c r="U114" i="214"/>
  <c r="AC114" i="214"/>
  <c r="U115" i="214"/>
  <c r="AC115" i="214"/>
  <c r="W115" i="214"/>
  <c r="W116" i="214"/>
  <c r="U116" i="214"/>
  <c r="AC116" i="214"/>
  <c r="T117" i="214"/>
  <c r="R117" i="214"/>
  <c r="U117" i="214"/>
  <c r="W117" i="214"/>
  <c r="Y117" i="214"/>
  <c r="AA117" i="214"/>
  <c r="AC117" i="214"/>
  <c r="AE117" i="214"/>
  <c r="AG117" i="214"/>
  <c r="AI117" i="214"/>
  <c r="AK117" i="214"/>
  <c r="S117" i="214"/>
  <c r="V117" i="214"/>
  <c r="X117" i="214"/>
  <c r="Z117" i="214"/>
  <c r="AB117" i="214"/>
  <c r="AD117" i="214"/>
  <c r="AF117" i="214"/>
  <c r="AH117" i="214"/>
  <c r="AJ117" i="214"/>
  <c r="S128" i="214"/>
  <c r="V128" i="214"/>
  <c r="X128" i="214"/>
  <c r="Z128" i="214"/>
  <c r="AB128" i="214"/>
  <c r="AD128" i="214"/>
  <c r="AF128" i="214"/>
  <c r="AH128" i="214"/>
  <c r="AJ128" i="214"/>
  <c r="T128" i="214"/>
  <c r="R128" i="214"/>
  <c r="U128" i="214"/>
  <c r="W128" i="214"/>
  <c r="Y128" i="214"/>
  <c r="AA128" i="214"/>
  <c r="AC128" i="214"/>
  <c r="AE128" i="214"/>
  <c r="AG128" i="214"/>
  <c r="AI128" i="214"/>
  <c r="AK128" i="214"/>
  <c r="T139" i="214"/>
  <c r="R139" i="214"/>
  <c r="U139" i="214"/>
  <c r="W139" i="214"/>
  <c r="Y139" i="214"/>
  <c r="AA139" i="214"/>
  <c r="AC139" i="214"/>
  <c r="AE139" i="214"/>
  <c r="AG139" i="214"/>
  <c r="AI139" i="214"/>
  <c r="AK139" i="214"/>
  <c r="S139" i="214"/>
  <c r="V139" i="214"/>
  <c r="X139" i="214"/>
  <c r="Z139" i="214"/>
  <c r="AB139" i="214"/>
  <c r="AD139" i="214"/>
  <c r="AF139" i="214"/>
  <c r="AH139" i="214"/>
  <c r="AJ139" i="214"/>
  <c r="S150" i="214"/>
  <c r="V150" i="214"/>
  <c r="X150" i="214"/>
  <c r="Z150" i="214"/>
  <c r="AB150" i="214"/>
  <c r="AD150" i="214"/>
  <c r="AF150" i="214"/>
  <c r="AH150" i="214"/>
  <c r="AJ150" i="214"/>
  <c r="T150" i="214"/>
  <c r="R150" i="214"/>
  <c r="U150" i="214"/>
  <c r="W150" i="214"/>
  <c r="Y150" i="214"/>
  <c r="AA150" i="214"/>
  <c r="AC150" i="214"/>
  <c r="AE150" i="214"/>
  <c r="AG150" i="214"/>
  <c r="AI150" i="214"/>
  <c r="AK150" i="214"/>
  <c r="K85" i="214"/>
  <c r="K86" i="214"/>
  <c r="K92" i="214"/>
  <c r="K93" i="214"/>
  <c r="K94" i="214"/>
  <c r="L96" i="214"/>
  <c r="K96" i="214"/>
  <c r="L102" i="214"/>
  <c r="K102" i="214"/>
  <c r="L103" i="214"/>
  <c r="K103" i="214"/>
  <c r="L104" i="214"/>
  <c r="K104" i="214"/>
  <c r="L105" i="214"/>
  <c r="K105" i="214"/>
  <c r="L107" i="214"/>
  <c r="K106" i="214"/>
  <c r="L113" i="214"/>
  <c r="L114" i="214"/>
  <c r="L115" i="214"/>
  <c r="L116" i="214"/>
  <c r="P84" i="214"/>
  <c r="N84" i="214"/>
  <c r="L84" i="214"/>
  <c r="Q84" i="214"/>
  <c r="O84" i="214"/>
  <c r="M84" i="214"/>
  <c r="P106" i="214"/>
  <c r="N106" i="214"/>
  <c r="Q106" i="214"/>
  <c r="O106" i="214"/>
  <c r="M106" i="214"/>
  <c r="K150" i="214"/>
  <c r="Q150" i="214"/>
  <c r="O150" i="214"/>
  <c r="M150" i="214"/>
  <c r="P150" i="214"/>
  <c r="N150" i="214"/>
  <c r="L150" i="214"/>
  <c r="P95" i="214"/>
  <c r="N95" i="214"/>
  <c r="Q95" i="214"/>
  <c r="O95" i="214"/>
  <c r="M95" i="214"/>
  <c r="P117" i="214"/>
  <c r="N117" i="214"/>
  <c r="L117" i="214"/>
  <c r="Q117" i="214"/>
  <c r="O117" i="214"/>
  <c r="M117" i="214"/>
  <c r="K117" i="214"/>
  <c r="P128" i="214"/>
  <c r="N128" i="214"/>
  <c r="L128" i="214"/>
  <c r="Q128" i="214"/>
  <c r="O128" i="214"/>
  <c r="M128" i="214"/>
  <c r="K128" i="214"/>
  <c r="P139" i="214"/>
  <c r="N139" i="214"/>
  <c r="L139" i="214"/>
  <c r="Q139" i="214"/>
  <c r="O139" i="214"/>
  <c r="M139" i="214"/>
  <c r="K139" i="214"/>
  <c r="D170" i="214"/>
  <c r="U95" i="214" l="1"/>
  <c r="AC95" i="214"/>
  <c r="W106" i="214"/>
  <c r="AC106" i="214"/>
  <c r="W95" i="214"/>
  <c r="W84" i="214"/>
  <c r="AC84" i="214"/>
  <c r="U106" i="214"/>
  <c r="U84" i="214"/>
  <c r="L95" i="214"/>
  <c r="L106" i="214"/>
  <c r="K95" i="214"/>
  <c r="K84" i="214"/>
  <c r="I170" i="214"/>
  <c r="J170" i="214" s="1"/>
  <c r="I169" i="214"/>
  <c r="I168" i="214"/>
  <c r="I167" i="214"/>
  <c r="J167" i="214" s="1"/>
  <c r="I166" i="214"/>
  <c r="J166" i="214" s="1"/>
  <c r="J169" i="214"/>
  <c r="J168" i="214"/>
  <c r="J237" i="214"/>
  <c r="I237" i="214"/>
  <c r="J236" i="214"/>
  <c r="I236" i="214"/>
  <c r="J235" i="214"/>
  <c r="I235" i="214"/>
  <c r="J234" i="214"/>
  <c r="I234" i="214"/>
  <c r="J232" i="214"/>
  <c r="I232" i="214"/>
  <c r="J231" i="214"/>
  <c r="I231" i="214"/>
  <c r="J230" i="214"/>
  <c r="I230" i="214"/>
  <c r="J229" i="214"/>
  <c r="I229" i="214"/>
  <c r="J228" i="214"/>
  <c r="I228" i="214"/>
  <c r="J226" i="214"/>
  <c r="I226" i="214"/>
  <c r="J225" i="214"/>
  <c r="I225" i="214"/>
  <c r="J224" i="214"/>
  <c r="I224" i="214"/>
  <c r="J223" i="214"/>
  <c r="I223" i="214"/>
  <c r="J222" i="214"/>
  <c r="I222" i="214"/>
  <c r="J220" i="214"/>
  <c r="I220" i="214"/>
  <c r="J219" i="214"/>
  <c r="I219" i="214"/>
  <c r="I218" i="214"/>
  <c r="J218" i="214" s="1"/>
  <c r="J217" i="214"/>
  <c r="I217" i="214"/>
  <c r="I216" i="214"/>
  <c r="J216" i="214" s="1"/>
  <c r="J199" i="214"/>
  <c r="I199" i="214"/>
  <c r="M199" i="214" s="1"/>
  <c r="J198" i="214"/>
  <c r="I198" i="214"/>
  <c r="M198" i="214" s="1"/>
  <c r="J197" i="214"/>
  <c r="I197" i="214"/>
  <c r="M197" i="214" s="1"/>
  <c r="J191" i="214"/>
  <c r="I191" i="214"/>
  <c r="M191" i="214" s="1"/>
  <c r="I190" i="214"/>
  <c r="J188" i="214"/>
  <c r="I188" i="214"/>
  <c r="K188" i="214" s="1"/>
  <c r="J182" i="214"/>
  <c r="I182" i="214"/>
  <c r="K182" i="214" s="1"/>
  <c r="J181" i="214"/>
  <c r="I181" i="214"/>
  <c r="K181" i="214" s="1"/>
  <c r="I180" i="214"/>
  <c r="I179" i="214"/>
  <c r="J83" i="214"/>
  <c r="J82" i="214"/>
  <c r="J81" i="214"/>
  <c r="J80" i="214"/>
  <c r="J74" i="214"/>
  <c r="J72" i="214"/>
  <c r="J71" i="214"/>
  <c r="J70" i="214"/>
  <c r="J69" i="214"/>
  <c r="J63" i="214"/>
  <c r="J61" i="214"/>
  <c r="J60" i="214"/>
  <c r="J59" i="214"/>
  <c r="J58" i="214"/>
  <c r="J50" i="214"/>
  <c r="J49" i="214"/>
  <c r="J48" i="214"/>
  <c r="J42" i="214"/>
  <c r="J39" i="214"/>
  <c r="J38" i="214"/>
  <c r="J37" i="214"/>
  <c r="J31" i="214"/>
  <c r="J28" i="214"/>
  <c r="J27" i="214"/>
  <c r="J26" i="214"/>
  <c r="J25" i="214"/>
  <c r="K8" i="214"/>
  <c r="Z178" i="214" l="1"/>
  <c r="I233" i="214"/>
  <c r="Z189" i="214"/>
  <c r="I7" i="214"/>
  <c r="F33" i="193"/>
  <c r="F23" i="199"/>
  <c r="F12" i="207"/>
  <c r="F58" i="194"/>
  <c r="M190" i="214"/>
  <c r="M189" i="214" s="1"/>
  <c r="I189" i="214"/>
  <c r="T189" i="214"/>
  <c r="AF177" i="214"/>
  <c r="S189" i="214"/>
  <c r="Z177" i="214"/>
  <c r="I227" i="214"/>
  <c r="I221" i="214"/>
  <c r="AB177" i="214"/>
  <c r="AE177" i="214"/>
  <c r="T178" i="214"/>
  <c r="T177" i="214" s="1"/>
  <c r="AG177" i="214"/>
  <c r="S178" i="214"/>
  <c r="AD177" i="214"/>
  <c r="Y177" i="214"/>
  <c r="AA177" i="214"/>
  <c r="J190" i="214"/>
  <c r="U12" i="214"/>
  <c r="W12" i="214"/>
  <c r="W26" i="214"/>
  <c r="U26" i="214"/>
  <c r="S29" i="214"/>
  <c r="X29" i="214"/>
  <c r="Z29" i="214"/>
  <c r="AB29" i="214"/>
  <c r="AD29" i="214"/>
  <c r="AF29" i="214"/>
  <c r="AH29" i="214"/>
  <c r="AJ29" i="214"/>
  <c r="T29" i="214"/>
  <c r="V29" i="214"/>
  <c r="AA29" i="214"/>
  <c r="AE29" i="214"/>
  <c r="AI29" i="214"/>
  <c r="U30" i="214"/>
  <c r="R29" i="214"/>
  <c r="Y29" i="214"/>
  <c r="AC29" i="214"/>
  <c r="AG29" i="214"/>
  <c r="AK29" i="214"/>
  <c r="X48" i="214"/>
  <c r="AC48" i="214"/>
  <c r="V48" i="214"/>
  <c r="S51" i="214"/>
  <c r="Y51" i="214"/>
  <c r="AA51" i="214"/>
  <c r="AD51" i="214"/>
  <c r="AF51" i="214"/>
  <c r="R51" i="214"/>
  <c r="W51" i="214"/>
  <c r="AB51" i="214"/>
  <c r="AG51" i="214"/>
  <c r="AI51" i="214"/>
  <c r="AK51" i="214"/>
  <c r="V52" i="214"/>
  <c r="U51" i="214" s="1"/>
  <c r="T51" i="214"/>
  <c r="Z51" i="214"/>
  <c r="AE51" i="214"/>
  <c r="AH51" i="214"/>
  <c r="AJ51" i="214"/>
  <c r="AC52" i="214"/>
  <c r="U10" i="214"/>
  <c r="W10" i="214"/>
  <c r="W25" i="214"/>
  <c r="U25" i="214"/>
  <c r="W27" i="214"/>
  <c r="U27" i="214"/>
  <c r="W28" i="214"/>
  <c r="U28" i="214"/>
  <c r="V42" i="214"/>
  <c r="AC42" i="214"/>
  <c r="V49" i="214"/>
  <c r="AC49" i="214"/>
  <c r="X49" i="214"/>
  <c r="X50" i="214"/>
  <c r="V50" i="214"/>
  <c r="AC50" i="214"/>
  <c r="U9" i="214"/>
  <c r="W9" i="214"/>
  <c r="U11" i="214"/>
  <c r="W11" i="214"/>
  <c r="T18" i="214"/>
  <c r="R18" i="214"/>
  <c r="V18" i="214"/>
  <c r="Y18" i="214"/>
  <c r="AA18" i="214"/>
  <c r="AC18" i="214"/>
  <c r="AE18" i="214"/>
  <c r="AG18" i="214"/>
  <c r="AI18" i="214"/>
  <c r="AK18" i="214"/>
  <c r="U19" i="214"/>
  <c r="S18" i="214"/>
  <c r="Z18" i="214"/>
  <c r="AD18" i="214"/>
  <c r="AH18" i="214"/>
  <c r="X18" i="214"/>
  <c r="AB18" i="214"/>
  <c r="AF18" i="214"/>
  <c r="AJ18" i="214"/>
  <c r="U31" i="214"/>
  <c r="W31" i="214"/>
  <c r="U37" i="214"/>
  <c r="W37" i="214"/>
  <c r="U38" i="214"/>
  <c r="W38" i="214"/>
  <c r="U39" i="214"/>
  <c r="W39" i="214"/>
  <c r="T40" i="214"/>
  <c r="R40" i="214"/>
  <c r="Y40" i="214"/>
  <c r="AA40" i="214"/>
  <c r="AD40" i="214"/>
  <c r="AF40" i="214"/>
  <c r="AH40" i="214"/>
  <c r="AJ40" i="214"/>
  <c r="V41" i="214"/>
  <c r="AC41" i="214"/>
  <c r="W40" i="214"/>
  <c r="AB40" i="214"/>
  <c r="AG40" i="214"/>
  <c r="AK40" i="214"/>
  <c r="S40" i="214"/>
  <c r="Z40" i="214"/>
  <c r="AE40" i="214"/>
  <c r="AI40" i="214"/>
  <c r="U41" i="214"/>
  <c r="U40" i="214" s="1"/>
  <c r="X58" i="214"/>
  <c r="V58" i="214"/>
  <c r="AC58" i="214"/>
  <c r="V59" i="214"/>
  <c r="AC59" i="214"/>
  <c r="X59" i="214"/>
  <c r="X60" i="214"/>
  <c r="V60" i="214"/>
  <c r="AC60" i="214"/>
  <c r="V61" i="214"/>
  <c r="AC61" i="214"/>
  <c r="X61" i="214"/>
  <c r="T62" i="214"/>
  <c r="R62" i="214"/>
  <c r="S62" i="214"/>
  <c r="X62" i="214"/>
  <c r="Z62" i="214"/>
  <c r="AB62" i="214"/>
  <c r="AD62" i="214"/>
  <c r="AF62" i="214"/>
  <c r="AH62" i="214"/>
  <c r="AJ62" i="214"/>
  <c r="U63" i="214"/>
  <c r="V62" i="214"/>
  <c r="Y62" i="214"/>
  <c r="AA62" i="214"/>
  <c r="AC62" i="214"/>
  <c r="AE62" i="214"/>
  <c r="AG62" i="214"/>
  <c r="AI62" i="214"/>
  <c r="AK62" i="214"/>
  <c r="W63" i="214"/>
  <c r="U69" i="214"/>
  <c r="W69" i="214"/>
  <c r="U70" i="214"/>
  <c r="W70" i="214"/>
  <c r="U71" i="214"/>
  <c r="W71" i="214"/>
  <c r="U72" i="214"/>
  <c r="W72" i="214"/>
  <c r="S73" i="214"/>
  <c r="T73" i="214"/>
  <c r="X73" i="214"/>
  <c r="Z73" i="214"/>
  <c r="AB73" i="214"/>
  <c r="AD73" i="214"/>
  <c r="AF73" i="214"/>
  <c r="AH73" i="214"/>
  <c r="AJ73" i="214"/>
  <c r="U74" i="214"/>
  <c r="R73" i="214"/>
  <c r="V73" i="214"/>
  <c r="Y73" i="214"/>
  <c r="AA73" i="214"/>
  <c r="AC73" i="214"/>
  <c r="AE73" i="214"/>
  <c r="AG73" i="214"/>
  <c r="AI73" i="214"/>
  <c r="AK73" i="214"/>
  <c r="W74" i="214"/>
  <c r="U80" i="214"/>
  <c r="W80" i="214"/>
  <c r="U81" i="214"/>
  <c r="W81" i="214"/>
  <c r="U82" i="214"/>
  <c r="W82" i="214"/>
  <c r="U83" i="214"/>
  <c r="W83" i="214"/>
  <c r="V7" i="214"/>
  <c r="Y7" i="214"/>
  <c r="AA7" i="214"/>
  <c r="AC7" i="214"/>
  <c r="AE7" i="214"/>
  <c r="AG7" i="214"/>
  <c r="AI7" i="214"/>
  <c r="AK7" i="214"/>
  <c r="P7" i="214"/>
  <c r="X7" i="214"/>
  <c r="Z7" i="214"/>
  <c r="AB7" i="214"/>
  <c r="AD7" i="214"/>
  <c r="AF7" i="214"/>
  <c r="AH7" i="214"/>
  <c r="AJ7" i="214"/>
  <c r="I178" i="214"/>
  <c r="J179" i="214"/>
  <c r="K42" i="214"/>
  <c r="K48" i="214"/>
  <c r="K49" i="214"/>
  <c r="K50" i="214"/>
  <c r="L52" i="214"/>
  <c r="L37" i="214"/>
  <c r="L38" i="214"/>
  <c r="L39" i="214"/>
  <c r="L58" i="214"/>
  <c r="L59" i="214"/>
  <c r="L60" i="214"/>
  <c r="L61" i="214"/>
  <c r="K69" i="214"/>
  <c r="K70" i="214"/>
  <c r="K71" i="214"/>
  <c r="K72" i="214"/>
  <c r="L74" i="214"/>
  <c r="L80" i="214"/>
  <c r="L81" i="214"/>
  <c r="L82" i="214"/>
  <c r="L83" i="214"/>
  <c r="L25" i="214"/>
  <c r="L26" i="214"/>
  <c r="L27" i="214"/>
  <c r="L28" i="214"/>
  <c r="L31" i="214"/>
  <c r="L30" i="214"/>
  <c r="L19" i="214"/>
  <c r="P51" i="214"/>
  <c r="N51" i="214"/>
  <c r="Q51" i="214"/>
  <c r="O51" i="214"/>
  <c r="K51" i="214"/>
  <c r="P18" i="214"/>
  <c r="N18" i="214"/>
  <c r="Q18" i="214"/>
  <c r="O18" i="214"/>
  <c r="P40" i="214"/>
  <c r="N40" i="214"/>
  <c r="L40" i="214"/>
  <c r="Q40" i="214"/>
  <c r="M40" i="214"/>
  <c r="O40" i="214"/>
  <c r="P62" i="214"/>
  <c r="N62" i="214"/>
  <c r="L62" i="214"/>
  <c r="Q62" i="214"/>
  <c r="M62" i="214"/>
  <c r="O62" i="214"/>
  <c r="P73" i="214"/>
  <c r="N73" i="214"/>
  <c r="Q73" i="214"/>
  <c r="O73" i="214"/>
  <c r="K73" i="214"/>
  <c r="P29" i="214"/>
  <c r="N29" i="214"/>
  <c r="Q29" i="214"/>
  <c r="O29" i="214"/>
  <c r="K29" i="214"/>
  <c r="R7" i="214"/>
  <c r="K10" i="214"/>
  <c r="K12" i="214"/>
  <c r="K9" i="214"/>
  <c r="K11" i="214"/>
  <c r="I215" i="214"/>
  <c r="T7" i="214"/>
  <c r="I165" i="214"/>
  <c r="J30" i="214"/>
  <c r="J19" i="214"/>
  <c r="I18" i="214"/>
  <c r="J41" i="214"/>
  <c r="J12" i="214"/>
  <c r="J11" i="214"/>
  <c r="K179" i="214"/>
  <c r="Q189" i="214"/>
  <c r="N189" i="214"/>
  <c r="L189" i="214"/>
  <c r="R189" i="214"/>
  <c r="P189" i="214"/>
  <c r="K189" i="214"/>
  <c r="K63" i="214"/>
  <c r="K180" i="214"/>
  <c r="L178" i="214"/>
  <c r="N178" i="214"/>
  <c r="P178" i="214"/>
  <c r="R178" i="214"/>
  <c r="M178" i="214"/>
  <c r="O178" i="214"/>
  <c r="Q178" i="214"/>
  <c r="J180" i="214"/>
  <c r="L7" i="214"/>
  <c r="N7" i="214"/>
  <c r="M7" i="214"/>
  <c r="O7" i="214"/>
  <c r="Q7" i="214"/>
  <c r="J10" i="214"/>
  <c r="K25" i="214"/>
  <c r="K26" i="214"/>
  <c r="K27" i="214"/>
  <c r="K28" i="214"/>
  <c r="M51" i="214"/>
  <c r="J52" i="214"/>
  <c r="K41" i="214"/>
  <c r="M29" i="214"/>
  <c r="M18" i="214"/>
  <c r="K19" i="214"/>
  <c r="J8" i="214"/>
  <c r="J9" i="214"/>
  <c r="L177" i="214" l="1"/>
  <c r="P177" i="214"/>
  <c r="S177" i="214"/>
  <c r="L29" i="214"/>
  <c r="AC40" i="214"/>
  <c r="X177" i="214"/>
  <c r="AC51" i="214"/>
  <c r="AC177" i="214"/>
  <c r="AI6" i="214"/>
  <c r="W7" i="214"/>
  <c r="U7" i="214"/>
  <c r="W18" i="214"/>
  <c r="R177" i="214"/>
  <c r="N177" i="214"/>
  <c r="M177" i="214"/>
  <c r="T6" i="214"/>
  <c r="AJ6" i="214"/>
  <c r="AF6" i="214"/>
  <c r="AB6" i="214"/>
  <c r="AA6" i="214"/>
  <c r="U73" i="214"/>
  <c r="Q177" i="214"/>
  <c r="AH6" i="214"/>
  <c r="AD6" i="214"/>
  <c r="Z6" i="214"/>
  <c r="AE6" i="214"/>
  <c r="L18" i="214"/>
  <c r="P6" i="214"/>
  <c r="W62" i="214"/>
  <c r="V51" i="214"/>
  <c r="X51" i="214"/>
  <c r="L73" i="214"/>
  <c r="AK6" i="214"/>
  <c r="AG6" i="214"/>
  <c r="Y6" i="214"/>
  <c r="W73" i="214"/>
  <c r="U62" i="214"/>
  <c r="V40" i="214"/>
  <c r="U18" i="214"/>
  <c r="X40" i="214"/>
  <c r="W29" i="214"/>
  <c r="U29" i="214"/>
  <c r="S7" i="214"/>
  <c r="K178" i="214"/>
  <c r="K40" i="214"/>
  <c r="K62" i="214"/>
  <c r="L51" i="214"/>
  <c r="K18" i="214"/>
  <c r="K7" i="214"/>
  <c r="M73" i="214"/>
  <c r="M6" i="214" s="1"/>
  <c r="O189" i="214"/>
  <c r="O6" i="214"/>
  <c r="R6" i="214"/>
  <c r="N6" i="214"/>
  <c r="Q6" i="214"/>
  <c r="AC6" i="214" l="1"/>
  <c r="U6" i="214"/>
  <c r="X6" i="214"/>
  <c r="W6" i="214"/>
  <c r="O177" i="214"/>
  <c r="K177" i="214"/>
  <c r="V6" i="214"/>
  <c r="L6" i="214"/>
  <c r="K6" i="214"/>
  <c r="S6" i="214"/>
  <c r="F30" i="193" l="1"/>
  <c r="F15" i="193"/>
  <c r="F24" i="193" l="1"/>
  <c r="F27" i="193" l="1"/>
  <c r="B39" i="183"/>
  <c r="C53" i="224" s="1"/>
  <c r="A10" i="188" l="1"/>
  <c r="F12" i="188" l="1"/>
  <c r="F9" i="188"/>
  <c r="F6" i="188"/>
  <c r="F15" i="188"/>
  <c r="F21" i="193" l="1"/>
  <c r="F18" i="194" l="1"/>
  <c r="F21" i="194" l="1"/>
  <c r="F24" i="194" l="1"/>
  <c r="Q1" i="3" l="1"/>
  <c r="G18" i="3"/>
  <c r="A7" i="164"/>
  <c r="A5" i="231" s="1"/>
  <c r="B3" i="209"/>
  <c r="B3" i="206"/>
  <c r="AG3" i="206"/>
  <c r="B3" i="205"/>
  <c r="AG3" i="205"/>
  <c r="B3" i="190"/>
  <c r="B2" i="164"/>
  <c r="B1" i="164"/>
  <c r="E24" i="183"/>
  <c r="E25" i="183"/>
  <c r="E26" i="183"/>
  <c r="E27" i="183"/>
  <c r="E28" i="183"/>
  <c r="E29" i="183"/>
  <c r="E31" i="183"/>
  <c r="E32" i="183"/>
  <c r="B3" i="174"/>
  <c r="B3" i="156"/>
  <c r="B42" i="164"/>
  <c r="B41" i="164"/>
  <c r="B40" i="164"/>
  <c r="A8" i="164" l="1"/>
  <c r="A6" i="231" s="1"/>
  <c r="A157" i="212"/>
  <c r="A47" i="212"/>
  <c r="A168" i="212"/>
  <c r="A179" i="212"/>
  <c r="A146" i="212"/>
  <c r="A190" i="212"/>
  <c r="G33" i="3"/>
  <c r="AG3" i="190"/>
  <c r="G19" i="3"/>
  <c r="A31" i="191"/>
  <c r="A39" i="188"/>
  <c r="AG3" i="209"/>
  <c r="AG3" i="156"/>
  <c r="A2" i="189"/>
  <c r="A3" i="187" l="1"/>
  <c r="H15" i="3" s="1"/>
  <c r="A3" i="188"/>
  <c r="A9" i="164"/>
  <c r="A7" i="231" s="1"/>
  <c r="F3" i="201"/>
  <c r="G20" i="3"/>
  <c r="G34" i="3"/>
  <c r="F8" i="201"/>
  <c r="F3" i="207"/>
  <c r="G35" i="3"/>
  <c r="A2" i="174"/>
  <c r="A6" i="188" l="1"/>
  <c r="AD3" i="205"/>
  <c r="G21" i="3"/>
  <c r="A10" i="164"/>
  <c r="A8" i="231" s="1"/>
  <c r="F38" i="188"/>
  <c r="F3" i="202"/>
  <c r="F3" i="196"/>
  <c r="G36" i="3"/>
  <c r="F3" i="200"/>
  <c r="F7" i="204"/>
  <c r="F3" i="204"/>
  <c r="F8" i="202"/>
  <c r="F23" i="201"/>
  <c r="F27" i="188"/>
  <c r="F23" i="197"/>
  <c r="E40" i="183" s="1"/>
  <c r="I54" i="224" s="1"/>
  <c r="F6" i="196"/>
  <c r="F146" i="212"/>
  <c r="F190" i="212"/>
  <c r="F69" i="212"/>
  <c r="F179" i="212"/>
  <c r="F168" i="212"/>
  <c r="F157" i="212"/>
  <c r="F3" i="188"/>
  <c r="F3" i="189"/>
  <c r="F34" i="188"/>
  <c r="F41" i="188"/>
  <c r="F33" i="191"/>
  <c r="F18" i="191"/>
  <c r="F30" i="191"/>
  <c r="F21" i="191"/>
  <c r="F3" i="203"/>
  <c r="F39" i="194"/>
  <c r="F45" i="194"/>
  <c r="F47" i="212"/>
  <c r="F9" i="193"/>
  <c r="F12" i="193"/>
  <c r="F3" i="193"/>
  <c r="F6" i="193"/>
  <c r="F24" i="191"/>
  <c r="F3" i="191"/>
  <c r="AE3" i="190"/>
  <c r="AE3" i="205"/>
  <c r="AF3" i="205"/>
  <c r="AD3" i="190"/>
  <c r="A2" i="156"/>
  <c r="AF3" i="190"/>
  <c r="AE3" i="206"/>
  <c r="AF3" i="206"/>
  <c r="A9" i="188" l="1"/>
  <c r="A12" i="188" s="1"/>
  <c r="T3" i="205"/>
  <c r="G22" i="3"/>
  <c r="F9" i="192"/>
  <c r="F23" i="200"/>
  <c r="F9" i="196"/>
  <c r="T3" i="190"/>
  <c r="F53" i="188"/>
  <c r="T3" i="206"/>
  <c r="G37" i="3"/>
  <c r="AC3" i="205"/>
  <c r="AF3" i="174"/>
  <c r="A11" i="164"/>
  <c r="A9" i="231" s="1"/>
  <c r="A2" i="233"/>
  <c r="AH3" i="190"/>
  <c r="AD3" i="206"/>
  <c r="A13" i="191"/>
  <c r="AC3" i="206"/>
  <c r="AH3" i="205"/>
  <c r="AH3" i="206"/>
  <c r="AC3" i="190"/>
  <c r="A15" i="188" l="1"/>
  <c r="A18" i="188" s="1"/>
  <c r="A23" i="188" s="1"/>
  <c r="A27" i="188" s="1"/>
  <c r="H35" i="3"/>
  <c r="H37" i="3"/>
  <c r="G23" i="3"/>
  <c r="G24" i="3" s="1"/>
  <c r="F27" i="207"/>
  <c r="F32" i="207" s="1"/>
  <c r="G38" i="3"/>
  <c r="AE3" i="174"/>
  <c r="F28" i="201"/>
  <c r="AF3" i="209"/>
  <c r="AD3" i="174"/>
  <c r="A12" i="164"/>
  <c r="A10" i="231" s="1"/>
  <c r="A2" i="234"/>
  <c r="AC3" i="209"/>
  <c r="AD3" i="209"/>
  <c r="AE3" i="209"/>
  <c r="F18" i="193"/>
  <c r="F39" i="193" s="1"/>
  <c r="T8" i="206"/>
  <c r="T8" i="190"/>
  <c r="F58" i="188"/>
  <c r="F14" i="192"/>
  <c r="F14" i="196"/>
  <c r="T8" i="205"/>
  <c r="F28" i="200"/>
  <c r="A30" i="188" l="1"/>
  <c r="A34" i="188" s="1"/>
  <c r="A38" i="188" s="1"/>
  <c r="F6" i="203"/>
  <c r="F10" i="204"/>
  <c r="T3" i="174"/>
  <c r="G39" i="3"/>
  <c r="AH3" i="174"/>
  <c r="AF3" i="234"/>
  <c r="AC3" i="234"/>
  <c r="A2" i="190"/>
  <c r="A13" i="164"/>
  <c r="A11" i="231" s="1"/>
  <c r="AE3" i="234"/>
  <c r="AD3" i="234"/>
  <c r="AC3" i="174"/>
  <c r="F11" i="202"/>
  <c r="F11" i="199"/>
  <c r="AH3" i="209"/>
  <c r="T3" i="209"/>
  <c r="F3" i="197"/>
  <c r="F26" i="197" s="1"/>
  <c r="F7" i="199"/>
  <c r="F20" i="199"/>
  <c r="F12" i="191"/>
  <c r="F27" i="191"/>
  <c r="E37" i="183" s="1"/>
  <c r="I51" i="224" s="1"/>
  <c r="G25" i="3"/>
  <c r="A41" i="188" l="1"/>
  <c r="F11" i="203"/>
  <c r="H39" i="3"/>
  <c r="F15" i="204"/>
  <c r="H38" i="3"/>
  <c r="F36" i="191"/>
  <c r="G40" i="3"/>
  <c r="T9" i="174"/>
  <c r="A2" i="191"/>
  <c r="A14" i="164"/>
  <c r="A12" i="231" s="1"/>
  <c r="T3" i="234"/>
  <c r="AH3" i="234"/>
  <c r="T8" i="209"/>
  <c r="F31" i="197"/>
  <c r="E39" i="183"/>
  <c r="I53" i="224" s="1"/>
  <c r="F44" i="193"/>
  <c r="F16" i="202"/>
  <c r="G26" i="3"/>
  <c r="A44" i="188" l="1"/>
  <c r="A47" i="188" s="1"/>
  <c r="A50" i="188" s="1"/>
  <c r="A3" i="191"/>
  <c r="G41" i="3"/>
  <c r="G52" i="3"/>
  <c r="A2" i="192"/>
  <c r="A15" i="164"/>
  <c r="A13" i="231" s="1"/>
  <c r="T8" i="234"/>
  <c r="F41" i="191"/>
  <c r="G27" i="3"/>
  <c r="H17" i="3" l="1"/>
  <c r="A3" i="192"/>
  <c r="A6" i="192" s="1"/>
  <c r="H52" i="3" s="1"/>
  <c r="A6" i="191"/>
  <c r="G42" i="3"/>
  <c r="G55" i="3"/>
  <c r="G53" i="3"/>
  <c r="A2" i="193"/>
  <c r="A16" i="164"/>
  <c r="A14" i="231" s="1"/>
  <c r="G28" i="3"/>
  <c r="A2" i="194" l="1"/>
  <c r="A3" i="193"/>
  <c r="A9" i="191"/>
  <c r="G43" i="3"/>
  <c r="G56" i="3"/>
  <c r="G68" i="3"/>
  <c r="G54" i="3"/>
  <c r="A2" i="195"/>
  <c r="A3" i="195" s="1"/>
  <c r="A17" i="164"/>
  <c r="A15" i="231" s="1"/>
  <c r="G29" i="3"/>
  <c r="A6" i="193" l="1"/>
  <c r="A9" i="193" s="1"/>
  <c r="A12" i="193" s="1"/>
  <c r="A15" i="193" s="1"/>
  <c r="A18" i="193" s="1"/>
  <c r="A12" i="191"/>
  <c r="A15" i="191" s="1"/>
  <c r="G86" i="3"/>
  <c r="G88" i="3" s="1"/>
  <c r="G44" i="3"/>
  <c r="G45" i="3" s="1"/>
  <c r="G57" i="3"/>
  <c r="G58" i="3" s="1"/>
  <c r="G69" i="3"/>
  <c r="A2" i="196"/>
  <c r="A18" i="164"/>
  <c r="A16" i="231" s="1"/>
  <c r="G30" i="3"/>
  <c r="A2" i="197" l="1"/>
  <c r="A3" i="196"/>
  <c r="A21" i="193"/>
  <c r="A3" i="197"/>
  <c r="A18" i="191"/>
  <c r="A21" i="191" s="1"/>
  <c r="G87" i="3"/>
  <c r="G70" i="3"/>
  <c r="G59" i="3"/>
  <c r="G46" i="3"/>
  <c r="G91" i="3"/>
  <c r="G89" i="3"/>
  <c r="A2" i="236"/>
  <c r="A3" i="236" s="1"/>
  <c r="A19" i="164"/>
  <c r="A17" i="231" s="1"/>
  <c r="G31" i="3"/>
  <c r="A6" i="196" l="1"/>
  <c r="H88" i="3" s="1"/>
  <c r="A24" i="193"/>
  <c r="A27" i="193" s="1"/>
  <c r="A30" i="193" s="1"/>
  <c r="A33" i="193" s="1"/>
  <c r="A23" i="197"/>
  <c r="H91" i="3" s="1"/>
  <c r="A24" i="191"/>
  <c r="G71" i="3"/>
  <c r="G72" i="3" s="1"/>
  <c r="G90" i="3"/>
  <c r="G60" i="3"/>
  <c r="G47" i="3"/>
  <c r="G94" i="3"/>
  <c r="G92" i="3"/>
  <c r="A2" i="228"/>
  <c r="A20" i="164"/>
  <c r="A18" i="231" s="1"/>
  <c r="G32" i="3"/>
  <c r="A36" i="193" l="1"/>
  <c r="H55" i="3"/>
  <c r="A27" i="191"/>
  <c r="A30" i="191" s="1"/>
  <c r="A33" i="191" s="1"/>
  <c r="H94" i="3"/>
  <c r="H86" i="3"/>
  <c r="G93" i="3"/>
  <c r="G73" i="3"/>
  <c r="G61" i="3"/>
  <c r="G48" i="3"/>
  <c r="G96" i="3"/>
  <c r="A2" i="237"/>
  <c r="A3" i="237" s="1"/>
  <c r="A21" i="164"/>
  <c r="A19" i="231" s="1"/>
  <c r="H40" i="3" l="1"/>
  <c r="AD16" i="3"/>
  <c r="G99" i="3"/>
  <c r="G74" i="3"/>
  <c r="G62" i="3"/>
  <c r="G49" i="3"/>
  <c r="G97" i="3"/>
  <c r="A2" i="229"/>
  <c r="A22" i="164"/>
  <c r="A20" i="231" s="1"/>
  <c r="A2" i="230" l="1"/>
  <c r="A3" i="229"/>
  <c r="A3" i="194"/>
  <c r="G101" i="3"/>
  <c r="H99" i="3"/>
  <c r="G100" i="3"/>
  <c r="G98" i="3"/>
  <c r="G75" i="3"/>
  <c r="G63" i="3"/>
  <c r="G50" i="3"/>
  <c r="A2" i="198"/>
  <c r="A2" i="257" s="1"/>
  <c r="A23" i="164"/>
  <c r="A21" i="231" s="1"/>
  <c r="A2" i="199" l="1"/>
  <c r="A3" i="257"/>
  <c r="A3" i="230"/>
  <c r="A2" i="200"/>
  <c r="A3" i="198"/>
  <c r="H101" i="3"/>
  <c r="G103" i="3"/>
  <c r="G102" i="3"/>
  <c r="G76" i="3"/>
  <c r="G64" i="3"/>
  <c r="G51" i="3"/>
  <c r="A24" i="164"/>
  <c r="A22" i="231" s="1"/>
  <c r="A6" i="198" l="1"/>
  <c r="A9" i="198" s="1"/>
  <c r="A12" i="198" s="1"/>
  <c r="A15" i="198" s="1"/>
  <c r="A18" i="198" s="1"/>
  <c r="A21" i="198" s="1"/>
  <c r="A24" i="198" s="1"/>
  <c r="A27" i="198" s="1"/>
  <c r="A30" i="198" s="1"/>
  <c r="A33" i="198" s="1"/>
  <c r="H103" i="3"/>
  <c r="G105" i="3"/>
  <c r="G119" i="3" s="1"/>
  <c r="H119" i="3" s="1"/>
  <c r="G104" i="3"/>
  <c r="A2" i="201"/>
  <c r="A2" i="202" s="1"/>
  <c r="A3" i="200"/>
  <c r="A3" i="201"/>
  <c r="G77" i="3"/>
  <c r="G65" i="3"/>
  <c r="A25" i="164"/>
  <c r="A23" i="231" s="1"/>
  <c r="G120" i="3" l="1"/>
  <c r="G121" i="3"/>
  <c r="G130" i="3" s="1"/>
  <c r="A36" i="198"/>
  <c r="G106" i="3"/>
  <c r="A2" i="203"/>
  <c r="A2" i="204" s="1"/>
  <c r="A3" i="202"/>
  <c r="G78" i="3"/>
  <c r="G66" i="3"/>
  <c r="A26" i="164"/>
  <c r="A24" i="231" s="1"/>
  <c r="A3" i="204" l="1"/>
  <c r="A7" i="204" s="1"/>
  <c r="A15" i="200"/>
  <c r="A2" i="205"/>
  <c r="A2" i="209" s="1"/>
  <c r="A39" i="198"/>
  <c r="G122" i="3"/>
  <c r="G123" i="3" s="1"/>
  <c r="G107" i="3"/>
  <c r="G108" i="3" s="1"/>
  <c r="A3" i="203"/>
  <c r="G79" i="3"/>
  <c r="G67" i="3"/>
  <c r="G131" i="3"/>
  <c r="G133" i="3"/>
  <c r="A27" i="164"/>
  <c r="A25" i="231" s="1"/>
  <c r="A8" i="201" l="1"/>
  <c r="G124" i="3"/>
  <c r="G109" i="3"/>
  <c r="G80" i="3"/>
  <c r="G134" i="3"/>
  <c r="G139" i="3"/>
  <c r="G132" i="3"/>
  <c r="G95" i="3"/>
  <c r="A28" i="164"/>
  <c r="A26" i="231" s="1"/>
  <c r="A2" i="206"/>
  <c r="H130" i="3" l="1"/>
  <c r="G125" i="3"/>
  <c r="G110" i="3"/>
  <c r="G81" i="3"/>
  <c r="G140" i="3"/>
  <c r="G142" i="3"/>
  <c r="G135" i="3"/>
  <c r="A29" i="164"/>
  <c r="A27" i="231" s="1"/>
  <c r="A2" i="207"/>
  <c r="A8" i="202" l="1"/>
  <c r="A2" i="182"/>
  <c r="A3" i="207"/>
  <c r="H142" i="3"/>
  <c r="H139" i="3"/>
  <c r="A12" i="201"/>
  <c r="G126" i="3"/>
  <c r="G111" i="3"/>
  <c r="G82" i="3"/>
  <c r="G136" i="3"/>
  <c r="G144" i="3"/>
  <c r="G143" i="3"/>
  <c r="G141" i="3"/>
  <c r="A30" i="164"/>
  <c r="A28" i="231" s="1"/>
  <c r="A6" i="207" l="1"/>
  <c r="A9" i="207" s="1"/>
  <c r="H144" i="3"/>
  <c r="G127" i="3"/>
  <c r="G112" i="3"/>
  <c r="G83" i="3"/>
  <c r="G149" i="3"/>
  <c r="G145" i="3"/>
  <c r="G137" i="3"/>
  <c r="A31" i="164"/>
  <c r="A29" i="231" s="1"/>
  <c r="A12" i="207" l="1"/>
  <c r="A24" i="207" s="1"/>
  <c r="A15" i="201"/>
  <c r="A18" i="201" s="1"/>
  <c r="H149" i="3"/>
  <c r="G128" i="3"/>
  <c r="G113" i="3"/>
  <c r="G84" i="3"/>
  <c r="G146" i="3"/>
  <c r="G150" i="3"/>
  <c r="G138" i="3"/>
  <c r="A32" i="164"/>
  <c r="A30" i="231" s="1"/>
  <c r="H133" i="3" l="1"/>
  <c r="H150" i="3"/>
  <c r="G129" i="3"/>
  <c r="G114" i="3"/>
  <c r="G85" i="3"/>
  <c r="G147" i="3"/>
  <c r="G151" i="3"/>
  <c r="A33" i="164"/>
  <c r="A31" i="231" s="1"/>
  <c r="H151" i="3" l="1"/>
  <c r="G115" i="3"/>
  <c r="G148" i="3"/>
  <c r="G152" i="3"/>
  <c r="A34" i="164"/>
  <c r="A35" i="164" l="1"/>
  <c r="A33" i="231" s="1"/>
  <c r="A32" i="231"/>
  <c r="H152" i="3"/>
  <c r="G116" i="3"/>
  <c r="G153" i="3"/>
  <c r="A36" i="164"/>
  <c r="A3" i="199"/>
  <c r="A37" i="164" l="1"/>
  <c r="A35" i="231" s="1"/>
  <c r="A34" i="231"/>
  <c r="A7" i="199"/>
  <c r="A11" i="199" s="1"/>
  <c r="G117" i="3"/>
  <c r="G154" i="3"/>
  <c r="A38" i="164"/>
  <c r="A39" i="164" l="1"/>
  <c r="A36" i="231"/>
  <c r="G118" i="3"/>
  <c r="G155" i="3"/>
  <c r="F3" i="199"/>
  <c r="G156" i="3" l="1"/>
  <c r="G157" i="3" l="1"/>
  <c r="K102" i="3"/>
  <c r="K100" i="3"/>
  <c r="K104" i="3"/>
  <c r="K95" i="3"/>
  <c r="A14" i="199" l="1"/>
  <c r="F14" i="199" l="1"/>
  <c r="A17" i="199" l="1"/>
  <c r="A20" i="199" l="1"/>
  <c r="A23" i="199" l="1"/>
  <c r="A26" i="199" s="1"/>
  <c r="H121" i="3" s="1"/>
  <c r="F29" i="199"/>
  <c r="K57" i="3"/>
  <c r="K63" i="3"/>
  <c r="K62" i="3"/>
  <c r="K61" i="3"/>
  <c r="K66" i="3"/>
  <c r="K90" i="3"/>
  <c r="K56" i="3"/>
  <c r="K120" i="3"/>
  <c r="I120" i="3"/>
  <c r="J120" i="3"/>
  <c r="M120" i="3"/>
  <c r="K64" i="3"/>
  <c r="K67" i="3"/>
  <c r="L120" i="3"/>
  <c r="N120" i="3"/>
  <c r="K60" i="3"/>
  <c r="K58" i="3"/>
  <c r="K89" i="3"/>
  <c r="K65" i="3"/>
  <c r="O120" i="3"/>
  <c r="K92" i="3"/>
  <c r="R120" i="3"/>
  <c r="K59" i="3"/>
  <c r="K93" i="3"/>
  <c r="P120" i="3" l="1"/>
  <c r="Q120" i="3" s="1"/>
  <c r="T120" i="3"/>
  <c r="Y120" i="3"/>
  <c r="H120" i="3"/>
  <c r="Z120" i="3" l="1"/>
  <c r="AA120" i="3"/>
  <c r="W120" i="3"/>
  <c r="X120" i="3"/>
  <c r="V120" i="3"/>
  <c r="U120" i="3"/>
  <c r="AC120" i="3" l="1"/>
  <c r="S120" i="3"/>
  <c r="AB120" i="3"/>
  <c r="F34" i="199"/>
  <c r="K140" i="3"/>
  <c r="K136" i="3"/>
  <c r="K137" i="3"/>
  <c r="K146" i="3"/>
  <c r="K145" i="3"/>
  <c r="K141" i="3"/>
  <c r="K143" i="3"/>
  <c r="K132" i="3"/>
  <c r="K135" i="3"/>
  <c r="K138" i="3"/>
  <c r="K147" i="3"/>
  <c r="K134" i="3"/>
  <c r="K131" i="3"/>
  <c r="K148" i="3"/>
  <c r="AB119" i="3" l="1"/>
  <c r="F3" i="194" l="1"/>
  <c r="K87" i="3"/>
  <c r="F14" i="212" l="1"/>
  <c r="K41" i="3"/>
  <c r="K54" i="3"/>
  <c r="K50" i="3"/>
  <c r="K48" i="3"/>
  <c r="K43" i="3"/>
  <c r="K45" i="3"/>
  <c r="K46" i="3"/>
  <c r="K53" i="3"/>
  <c r="K47" i="3"/>
  <c r="K44" i="3"/>
  <c r="K49" i="3"/>
  <c r="K42" i="3"/>
  <c r="K51" i="3"/>
  <c r="AD3" i="156" l="1"/>
  <c r="AE3" i="156"/>
  <c r="AF3" i="156"/>
  <c r="AH3" i="156" l="1"/>
  <c r="AC3" i="156"/>
  <c r="T3" i="156"/>
  <c r="T9" i="156" l="1"/>
  <c r="H36" i="3" l="1"/>
  <c r="F102" i="212" l="1"/>
  <c r="A6" i="194" l="1"/>
  <c r="A9" i="194" s="1"/>
  <c r="A18" i="194" l="1"/>
  <c r="A21" i="194" s="1"/>
  <c r="F6" i="194"/>
  <c r="A24" i="194" l="1"/>
  <c r="A27" i="194" s="1"/>
  <c r="A30" i="194" s="1"/>
  <c r="A33" i="194" l="1"/>
  <c r="A3" i="228"/>
  <c r="A20" i="228" l="1"/>
  <c r="H96" i="3" s="1"/>
  <c r="F33" i="194"/>
  <c r="K98" i="3"/>
  <c r="F3" i="228" l="1"/>
  <c r="F23" i="228" s="1"/>
  <c r="K97" i="3"/>
  <c r="E42" i="183" l="1"/>
  <c r="I56" i="224" s="1"/>
  <c r="F28" i="228"/>
  <c r="A36" i="194" l="1"/>
  <c r="D3" i="221"/>
  <c r="D93" i="221" s="1"/>
  <c r="A39" i="194" l="1"/>
  <c r="A45" i="194" l="1"/>
  <c r="A48" i="194" l="1"/>
  <c r="K154" i="3"/>
  <c r="K19" i="3"/>
  <c r="K155" i="3"/>
  <c r="K31" i="3"/>
  <c r="K26" i="3"/>
  <c r="K156" i="3"/>
  <c r="K27" i="3"/>
  <c r="K22" i="3"/>
  <c r="K21" i="3"/>
  <c r="K28" i="3"/>
  <c r="K29" i="3"/>
  <c r="K24" i="3"/>
  <c r="K16" i="3"/>
  <c r="K157" i="3"/>
  <c r="K23" i="3"/>
  <c r="K30" i="3"/>
  <c r="K25" i="3"/>
  <c r="K20" i="3"/>
  <c r="K18" i="3"/>
  <c r="K32" i="3"/>
  <c r="K153" i="3"/>
  <c r="B39" i="218" l="1"/>
  <c r="C44" i="224" s="1"/>
  <c r="B39" i="164"/>
  <c r="B38" i="164"/>
  <c r="B38" i="218"/>
  <c r="C43" i="224" s="1"/>
  <c r="B37" i="218"/>
  <c r="B36" i="218"/>
  <c r="B35" i="218"/>
  <c r="B34" i="218"/>
  <c r="B33" i="218"/>
  <c r="B32" i="218"/>
  <c r="B31" i="218"/>
  <c r="B30" i="218"/>
  <c r="B29" i="218"/>
  <c r="B28" i="218"/>
  <c r="B26" i="218"/>
  <c r="B25" i="218"/>
  <c r="B24" i="218"/>
  <c r="B23" i="218"/>
  <c r="B22" i="218"/>
  <c r="B21" i="218"/>
  <c r="B20" i="218"/>
  <c r="B19" i="164"/>
  <c r="B17" i="218"/>
  <c r="B16" i="218"/>
  <c r="B15" i="218"/>
  <c r="B14" i="218"/>
  <c r="B13" i="218"/>
  <c r="B12" i="218"/>
  <c r="B11" i="218"/>
  <c r="B10" i="218"/>
  <c r="B7" i="218"/>
  <c r="B8" i="218"/>
  <c r="K126" i="3"/>
  <c r="R124" i="3"/>
  <c r="K124" i="3"/>
  <c r="K127" i="3"/>
  <c r="K128" i="3"/>
  <c r="K122" i="3"/>
  <c r="K129" i="3"/>
  <c r="K125" i="3"/>
  <c r="K123" i="3"/>
  <c r="B36" i="231" l="1"/>
  <c r="B134" i="183"/>
  <c r="B115" i="183"/>
  <c r="B17" i="231"/>
  <c r="B11" i="164"/>
  <c r="B10" i="164"/>
  <c r="B26" i="164"/>
  <c r="B33" i="164"/>
  <c r="B35" i="164"/>
  <c r="B22" i="164"/>
  <c r="B15" i="164"/>
  <c r="B20" i="164"/>
  <c r="B31" i="164"/>
  <c r="B34" i="164"/>
  <c r="B25" i="164"/>
  <c r="B37" i="164"/>
  <c r="B29" i="164"/>
  <c r="B14" i="164"/>
  <c r="B8" i="164"/>
  <c r="B23" i="164"/>
  <c r="B36" i="164"/>
  <c r="B13" i="164"/>
  <c r="B16" i="164"/>
  <c r="B24" i="164"/>
  <c r="B17" i="164"/>
  <c r="B30" i="164"/>
  <c r="B7" i="164"/>
  <c r="B12" i="164"/>
  <c r="B28" i="164"/>
  <c r="B32" i="164"/>
  <c r="B21" i="164"/>
  <c r="B19" i="218"/>
  <c r="C27" i="224" s="1"/>
  <c r="C42" i="224"/>
  <c r="C41" i="224"/>
  <c r="C40" i="224"/>
  <c r="C39" i="224"/>
  <c r="C37" i="224"/>
  <c r="C32" i="224"/>
  <c r="C31" i="224"/>
  <c r="C30" i="224"/>
  <c r="C24" i="224"/>
  <c r="C23" i="224"/>
  <c r="C34" i="224"/>
  <c r="C36" i="224"/>
  <c r="C38" i="224"/>
  <c r="C33" i="224"/>
  <c r="C29" i="224"/>
  <c r="C25" i="224"/>
  <c r="C28" i="224"/>
  <c r="C21" i="224"/>
  <c r="R146" i="3"/>
  <c r="C39" i="164" l="1"/>
  <c r="B117" i="183"/>
  <c r="B19" i="231"/>
  <c r="B120" i="183"/>
  <c r="B22" i="231"/>
  <c r="B133" i="183"/>
  <c r="B35" i="231"/>
  <c r="B131" i="183"/>
  <c r="B33" i="231"/>
  <c r="B128" i="183"/>
  <c r="B30" i="231"/>
  <c r="B112" i="183"/>
  <c r="B14" i="231"/>
  <c r="B109" i="183"/>
  <c r="B11" i="231"/>
  <c r="B121" i="183"/>
  <c r="B23" i="231"/>
  <c r="B129" i="183"/>
  <c r="B31" i="231"/>
  <c r="B108" i="183"/>
  <c r="B10" i="231"/>
  <c r="B130" i="183"/>
  <c r="B32" i="231"/>
  <c r="B122" i="183"/>
  <c r="B24" i="231"/>
  <c r="B132" i="183"/>
  <c r="B34" i="231"/>
  <c r="B103" i="183"/>
  <c r="B5" i="231"/>
  <c r="B119" i="183"/>
  <c r="B21" i="231"/>
  <c r="B127" i="183"/>
  <c r="B29" i="231"/>
  <c r="B106" i="183"/>
  <c r="B8" i="231"/>
  <c r="B124" i="183"/>
  <c r="B26" i="231"/>
  <c r="B126" i="183"/>
  <c r="B28" i="231"/>
  <c r="B104" i="183"/>
  <c r="B6" i="231"/>
  <c r="B116" i="183"/>
  <c r="B18" i="231"/>
  <c r="B107" i="183"/>
  <c r="B9" i="231"/>
  <c r="B110" i="183"/>
  <c r="B12" i="231"/>
  <c r="B111" i="183"/>
  <c r="B13" i="231"/>
  <c r="B113" i="183"/>
  <c r="B15" i="231"/>
  <c r="B125" i="183"/>
  <c r="B27" i="231"/>
  <c r="B118" i="183"/>
  <c r="B20" i="231"/>
  <c r="A25" i="212"/>
  <c r="C20" i="224" l="1"/>
  <c r="A52" i="194" l="1"/>
  <c r="A55" i="194" s="1"/>
  <c r="E3" i="221" l="1"/>
  <c r="E4" i="221"/>
  <c r="A58" i="194" l="1"/>
  <c r="E93" i="221"/>
  <c r="C39" i="218"/>
  <c r="I44" i="224" s="1"/>
  <c r="A61" i="194" l="1"/>
  <c r="H68" i="3" s="1"/>
  <c r="I109" i="254"/>
  <c r="K109" i="254" s="1"/>
  <c r="L109" i="254" s="1"/>
  <c r="J109" i="254"/>
  <c r="B18" i="164" l="1"/>
  <c r="B16" i="231" s="1"/>
  <c r="B18" i="218"/>
  <c r="C26" i="224" s="1"/>
  <c r="B114" i="183" l="1"/>
  <c r="F6" i="195" l="1"/>
  <c r="F11" i="195" l="1"/>
  <c r="F6" i="187" l="1"/>
  <c r="R31" i="3"/>
  <c r="R27" i="3"/>
  <c r="K72" i="3"/>
  <c r="R48" i="3"/>
  <c r="R64" i="3"/>
  <c r="R147" i="3"/>
  <c r="R129" i="3"/>
  <c r="R104" i="3"/>
  <c r="R42" i="3"/>
  <c r="R19" i="3"/>
  <c r="R65" i="3"/>
  <c r="R89" i="3"/>
  <c r="R22" i="3"/>
  <c r="R154" i="3"/>
  <c r="R67" i="3"/>
  <c r="K69" i="3"/>
  <c r="R84" i="3"/>
  <c r="K75" i="3"/>
  <c r="R26" i="3"/>
  <c r="R128" i="3"/>
  <c r="R21" i="3"/>
  <c r="R79" i="3"/>
  <c r="R92" i="3"/>
  <c r="R25" i="3"/>
  <c r="R32" i="3"/>
  <c r="R82" i="3"/>
  <c r="K85" i="3"/>
  <c r="R85" i="3"/>
  <c r="K82" i="3"/>
  <c r="R100" i="3"/>
  <c r="R140" i="3"/>
  <c r="R74" i="3"/>
  <c r="R93" i="3"/>
  <c r="R122" i="3"/>
  <c r="K71" i="3"/>
  <c r="R54" i="3"/>
  <c r="K70" i="3"/>
  <c r="R46" i="3"/>
  <c r="R60" i="3"/>
  <c r="R53" i="3"/>
  <c r="K80" i="3"/>
  <c r="R87" i="3"/>
  <c r="R72" i="3"/>
  <c r="R125" i="3"/>
  <c r="R29" i="3"/>
  <c r="R78" i="3"/>
  <c r="K76" i="3"/>
  <c r="R49" i="3"/>
  <c r="R126" i="3"/>
  <c r="R58" i="3"/>
  <c r="R102" i="3"/>
  <c r="R56" i="3"/>
  <c r="R57" i="3"/>
  <c r="R145" i="3"/>
  <c r="R66" i="3"/>
  <c r="R155" i="3"/>
  <c r="R24" i="3"/>
  <c r="R148" i="3"/>
  <c r="K74" i="3"/>
  <c r="R43" i="3"/>
  <c r="R80" i="3"/>
  <c r="R76" i="3"/>
  <c r="R63" i="3"/>
  <c r="R95" i="3"/>
  <c r="R156" i="3"/>
  <c r="R71" i="3"/>
  <c r="R135" i="3"/>
  <c r="R51" i="3"/>
  <c r="R98" i="3"/>
  <c r="R28" i="3"/>
  <c r="R45" i="3"/>
  <c r="R137" i="3"/>
  <c r="R83" i="3"/>
  <c r="R62" i="3"/>
  <c r="R123" i="3"/>
  <c r="K83" i="3"/>
  <c r="R131" i="3"/>
  <c r="R70" i="3"/>
  <c r="R127" i="3"/>
  <c r="R20" i="3"/>
  <c r="R18" i="3"/>
  <c r="R136" i="3"/>
  <c r="R16" i="3"/>
  <c r="K73" i="3"/>
  <c r="K84" i="3"/>
  <c r="R41" i="3"/>
  <c r="R59" i="3"/>
  <c r="R132" i="3"/>
  <c r="R23" i="3"/>
  <c r="R69" i="3"/>
  <c r="R77" i="3"/>
  <c r="R61" i="3"/>
  <c r="R47" i="3"/>
  <c r="R97" i="3"/>
  <c r="R90" i="3"/>
  <c r="R141" i="3"/>
  <c r="R75" i="3"/>
  <c r="R81" i="3"/>
  <c r="R157" i="3"/>
  <c r="R50" i="3"/>
  <c r="F11" i="187" l="1"/>
  <c r="R73" i="3"/>
  <c r="R134" i="3"/>
  <c r="R44" i="3"/>
  <c r="R30" i="3"/>
  <c r="R153" i="3"/>
  <c r="R138" i="3"/>
  <c r="R143" i="3"/>
  <c r="J1327" i="256" l="1"/>
  <c r="I1329" i="256"/>
  <c r="J1329" i="256"/>
  <c r="J1342" i="256"/>
  <c r="J1347" i="256"/>
  <c r="I1347" i="256"/>
  <c r="K1347" i="256" s="1"/>
  <c r="L1347" i="256" s="1"/>
  <c r="J1334" i="256"/>
  <c r="I1339" i="256"/>
  <c r="J1339" i="256"/>
  <c r="J1332" i="256"/>
  <c r="I1337" i="256"/>
  <c r="K1337" i="256" s="1"/>
  <c r="L1337" i="256" s="1"/>
  <c r="J1337" i="256"/>
  <c r="J1350" i="256"/>
  <c r="I1332" i="256"/>
  <c r="K1332" i="256" s="1"/>
  <c r="L1332" i="256" s="1"/>
  <c r="I1328" i="256"/>
  <c r="K1328" i="256" s="1"/>
  <c r="L1328" i="256" s="1"/>
  <c r="J1328" i="256"/>
  <c r="J1335" i="256"/>
  <c r="I1340" i="256"/>
  <c r="J1340" i="256"/>
  <c r="I1345" i="256"/>
  <c r="J1345" i="256"/>
  <c r="J1352" i="256"/>
  <c r="I1330" i="256"/>
  <c r="K1330" i="256" s="1"/>
  <c r="L1330" i="256" s="1"/>
  <c r="J1330" i="256"/>
  <c r="J1343" i="256"/>
  <c r="I1348" i="256"/>
  <c r="J1348" i="256"/>
  <c r="I1334" i="256"/>
  <c r="I1342" i="256"/>
  <c r="K1342" i="256" s="1"/>
  <c r="L1342" i="256" s="1"/>
  <c r="I1350" i="256"/>
  <c r="K1350" i="256" s="1"/>
  <c r="L1350" i="256" s="1"/>
  <c r="I1326" i="256"/>
  <c r="K1326" i="256" s="1"/>
  <c r="L1326" i="256" s="1"/>
  <c r="J1326" i="256"/>
  <c r="I1333" i="256"/>
  <c r="J1333" i="256"/>
  <c r="I1338" i="256"/>
  <c r="K1338" i="256" s="1"/>
  <c r="L1338" i="256" s="1"/>
  <c r="J1338" i="256"/>
  <c r="J1351" i="256"/>
  <c r="I1327" i="256"/>
  <c r="K1327" i="256" s="1"/>
  <c r="L1327" i="256" s="1"/>
  <c r="I1335" i="256"/>
  <c r="K1335" i="256" s="1"/>
  <c r="I1343" i="256"/>
  <c r="I1351" i="256"/>
  <c r="I1331" i="256"/>
  <c r="J1331" i="256"/>
  <c r="J1336" i="256"/>
  <c r="I1341" i="256"/>
  <c r="J1341" i="256"/>
  <c r="J1344" i="256"/>
  <c r="I1346" i="256"/>
  <c r="J1346" i="256"/>
  <c r="I1349" i="256"/>
  <c r="J1349" i="256"/>
  <c r="I1336" i="256"/>
  <c r="K1336" i="256" s="1"/>
  <c r="I1344" i="256"/>
  <c r="I1352" i="256"/>
  <c r="K1352" i="256" s="1"/>
  <c r="L1352" i="256" s="1"/>
  <c r="K1349" i="256" l="1"/>
  <c r="L1349" i="256" s="1"/>
  <c r="K1331" i="256"/>
  <c r="L1331" i="256" s="1"/>
  <c r="K1348" i="256"/>
  <c r="L1348" i="256" s="1"/>
  <c r="K1340" i="256"/>
  <c r="L1340" i="256" s="1"/>
  <c r="K1329" i="256"/>
  <c r="L1329" i="256" s="1"/>
  <c r="K1351" i="256"/>
  <c r="L1351" i="256" s="1"/>
  <c r="K1333" i="256"/>
  <c r="L1333" i="256" s="1"/>
  <c r="K1346" i="256"/>
  <c r="L1346" i="256" s="1"/>
  <c r="K1343" i="256"/>
  <c r="L1343" i="256" s="1"/>
  <c r="K1339" i="256"/>
  <c r="L1339" i="256" s="1"/>
  <c r="K1344" i="256"/>
  <c r="L1344" i="256" s="1"/>
  <c r="K1341" i="256"/>
  <c r="L1341" i="256" s="1"/>
  <c r="K1334" i="256"/>
  <c r="L1334" i="256" s="1"/>
  <c r="K1345" i="256"/>
  <c r="L1345" i="256" s="1"/>
  <c r="L1336" i="256"/>
  <c r="L1335" i="256"/>
  <c r="K77" i="3"/>
  <c r="K79" i="3"/>
  <c r="K78" i="3"/>
  <c r="K81" i="3"/>
  <c r="F48" i="194" l="1"/>
  <c r="F77" i="194" s="1"/>
  <c r="F82" i="194" l="1"/>
  <c r="F42" i="198" l="1"/>
  <c r="Q119" i="3" l="1"/>
  <c r="C28" i="218" l="1"/>
  <c r="I36" i="224" s="1"/>
  <c r="C28" i="164"/>
  <c r="F47" i="198"/>
  <c r="H105" i="3" l="1"/>
  <c r="B27" i="164" l="1"/>
  <c r="B27" i="218"/>
  <c r="C35" i="224" s="1"/>
  <c r="B25" i="231" l="1"/>
  <c r="B123" i="183"/>
  <c r="F8" i="189" l="1"/>
  <c r="A3" i="189" l="1"/>
  <c r="H33" i="3" s="1"/>
  <c r="B9" i="164" s="1"/>
  <c r="B7" i="231" s="1"/>
  <c r="F13" i="189"/>
  <c r="B9" i="218" l="1"/>
  <c r="C22" i="224" s="1"/>
  <c r="B105" i="183"/>
  <c r="F91" i="212" l="1"/>
  <c r="N24" i="3"/>
  <c r="I30" i="3"/>
  <c r="J79" i="3"/>
  <c r="O106" i="3"/>
  <c r="J71" i="3"/>
  <c r="L102" i="3"/>
  <c r="I122" i="3"/>
  <c r="O53" i="3"/>
  <c r="L64" i="3"/>
  <c r="J58" i="3"/>
  <c r="O128" i="3"/>
  <c r="J45" i="3"/>
  <c r="M95" i="3"/>
  <c r="J63" i="3"/>
  <c r="L23" i="3"/>
  <c r="O74" i="3"/>
  <c r="M45" i="3"/>
  <c r="J93" i="3"/>
  <c r="J67" i="3"/>
  <c r="I131" i="3"/>
  <c r="N89" i="3"/>
  <c r="L69" i="3"/>
  <c r="N82" i="3"/>
  <c r="N123" i="3"/>
  <c r="J140" i="3"/>
  <c r="I135" i="3"/>
  <c r="N100" i="3"/>
  <c r="O56" i="3"/>
  <c r="L98" i="3"/>
  <c r="N66" i="3"/>
  <c r="I53" i="3"/>
  <c r="I100" i="3"/>
  <c r="K113" i="3"/>
  <c r="L21" i="3"/>
  <c r="O80" i="3"/>
  <c r="L122" i="3"/>
  <c r="J25" i="3"/>
  <c r="N69" i="3"/>
  <c r="N97" i="3"/>
  <c r="N122" i="3"/>
  <c r="I71" i="3"/>
  <c r="I102" i="3"/>
  <c r="I56" i="3"/>
  <c r="N31" i="3"/>
  <c r="O113" i="3"/>
  <c r="L155" i="3"/>
  <c r="N116" i="3"/>
  <c r="I157" i="3"/>
  <c r="J46" i="3"/>
  <c r="K108" i="3"/>
  <c r="I138" i="3"/>
  <c r="R117" i="3"/>
  <c r="M72" i="3"/>
  <c r="L29" i="3"/>
  <c r="I70" i="3"/>
  <c r="N67" i="3"/>
  <c r="N63" i="3"/>
  <c r="N74" i="3"/>
  <c r="O135" i="3"/>
  <c r="J34" i="3"/>
  <c r="N141" i="3"/>
  <c r="M24" i="3"/>
  <c r="J16" i="3"/>
  <c r="N93" i="3"/>
  <c r="M138" i="3"/>
  <c r="L109" i="3"/>
  <c r="L137" i="3"/>
  <c r="N78" i="3"/>
  <c r="J29" i="3"/>
  <c r="J106" i="3"/>
  <c r="O51" i="3"/>
  <c r="N106" i="3"/>
  <c r="M123" i="3"/>
  <c r="N118" i="3"/>
  <c r="J44" i="3"/>
  <c r="N49" i="3"/>
  <c r="M127" i="3"/>
  <c r="N146" i="3"/>
  <c r="M43" i="3"/>
  <c r="L54" i="3"/>
  <c r="J19" i="3"/>
  <c r="O50" i="3"/>
  <c r="N64" i="3"/>
  <c r="L24" i="3"/>
  <c r="L93" i="3"/>
  <c r="I116" i="3"/>
  <c r="N140" i="3"/>
  <c r="L70" i="3"/>
  <c r="N26" i="3"/>
  <c r="O47" i="3"/>
  <c r="N29" i="3"/>
  <c r="I78" i="3"/>
  <c r="J42" i="3"/>
  <c r="L34" i="3"/>
  <c r="O90" i="3"/>
  <c r="O156" i="3"/>
  <c r="L129" i="3"/>
  <c r="M136" i="3"/>
  <c r="M87" i="3"/>
  <c r="N115" i="3"/>
  <c r="O104" i="3"/>
  <c r="L116" i="3"/>
  <c r="O143" i="3"/>
  <c r="L146" i="3"/>
  <c r="I111" i="3"/>
  <c r="N104" i="3"/>
  <c r="O108" i="3"/>
  <c r="O29" i="3"/>
  <c r="N90" i="3"/>
  <c r="J108" i="3"/>
  <c r="N80" i="3"/>
  <c r="L153" i="3"/>
  <c r="M131" i="3"/>
  <c r="J141" i="3"/>
  <c r="N46" i="3"/>
  <c r="M141" i="3"/>
  <c r="M115" i="3"/>
  <c r="L44" i="3"/>
  <c r="J20" i="3"/>
  <c r="L81" i="3"/>
  <c r="L71" i="3"/>
  <c r="J117" i="3"/>
  <c r="N129" i="3"/>
  <c r="N125" i="3"/>
  <c r="O46" i="3"/>
  <c r="I129" i="3"/>
  <c r="R107" i="3"/>
  <c r="I54" i="3"/>
  <c r="J157" i="3"/>
  <c r="L16" i="3"/>
  <c r="M76" i="3"/>
  <c r="O84" i="3"/>
  <c r="I76" i="3"/>
  <c r="I32" i="3"/>
  <c r="N58" i="3"/>
  <c r="J109" i="3"/>
  <c r="N54" i="3"/>
  <c r="O64" i="3"/>
  <c r="N53" i="3"/>
  <c r="O141" i="3"/>
  <c r="I109" i="3"/>
  <c r="O100" i="3"/>
  <c r="O82" i="3"/>
  <c r="J145" i="3"/>
  <c r="M146" i="3"/>
  <c r="I66" i="3"/>
  <c r="M147" i="3"/>
  <c r="M53" i="3"/>
  <c r="K111" i="3"/>
  <c r="M135" i="3"/>
  <c r="M23" i="3"/>
  <c r="O127" i="3"/>
  <c r="I147" i="3"/>
  <c r="L65" i="3"/>
  <c r="N85" i="3"/>
  <c r="N45" i="3"/>
  <c r="K112" i="3"/>
  <c r="N155" i="3"/>
  <c r="I112" i="3"/>
  <c r="I146" i="3"/>
  <c r="L78" i="3"/>
  <c r="O102" i="3"/>
  <c r="O148" i="3"/>
  <c r="M132" i="3"/>
  <c r="L90" i="3"/>
  <c r="J135" i="3"/>
  <c r="M19" i="3"/>
  <c r="N113" i="3"/>
  <c r="O67" i="3"/>
  <c r="J111" i="3"/>
  <c r="L25" i="3"/>
  <c r="I46" i="3"/>
  <c r="N109" i="3"/>
  <c r="O28" i="3"/>
  <c r="J146" i="3"/>
  <c r="L134" i="3"/>
  <c r="J21" i="3"/>
  <c r="O73" i="3"/>
  <c r="M83" i="3"/>
  <c r="L123" i="3"/>
  <c r="O155" i="3"/>
  <c r="K107" i="3"/>
  <c r="N128" i="3"/>
  <c r="O89" i="3"/>
  <c r="I72" i="3"/>
  <c r="I95" i="3"/>
  <c r="M92" i="3"/>
  <c r="I106" i="3"/>
  <c r="I24" i="3"/>
  <c r="M124" i="3"/>
  <c r="L115" i="3"/>
  <c r="M112" i="3"/>
  <c r="R112" i="3"/>
  <c r="L110" i="3"/>
  <c r="N154" i="3"/>
  <c r="N87" i="3"/>
  <c r="L117" i="3"/>
  <c r="L156" i="3"/>
  <c r="L126" i="3"/>
  <c r="L106" i="3"/>
  <c r="J75" i="3"/>
  <c r="J153" i="3"/>
  <c r="O92" i="3"/>
  <c r="R119" i="3"/>
  <c r="O83" i="3"/>
  <c r="N131" i="3"/>
  <c r="I19" i="3"/>
  <c r="J41" i="3"/>
  <c r="N59" i="3"/>
  <c r="I50" i="3"/>
  <c r="I16" i="3"/>
  <c r="L57" i="3"/>
  <c r="L59" i="3"/>
  <c r="L32" i="3"/>
  <c r="L62" i="3"/>
  <c r="N148" i="3"/>
  <c r="M69" i="3"/>
  <c r="L82" i="3"/>
  <c r="O77" i="3"/>
  <c r="N16" i="3"/>
  <c r="O112" i="3"/>
  <c r="O134" i="3"/>
  <c r="J76" i="3"/>
  <c r="I48" i="3"/>
  <c r="O137" i="3"/>
  <c r="I98" i="3"/>
  <c r="M78" i="3"/>
  <c r="N73" i="3"/>
  <c r="N137" i="3"/>
  <c r="N20" i="3"/>
  <c r="M50" i="3"/>
  <c r="L148" i="3"/>
  <c r="L89" i="3"/>
  <c r="I22" i="3"/>
  <c r="O20" i="3"/>
  <c r="J127" i="3"/>
  <c r="L143" i="3"/>
  <c r="J132" i="3"/>
  <c r="J64" i="3"/>
  <c r="I104" i="3"/>
  <c r="I128" i="3"/>
  <c r="L48" i="3"/>
  <c r="M102" i="3"/>
  <c r="N126" i="3"/>
  <c r="J22" i="3"/>
  <c r="N145" i="3"/>
  <c r="M32" i="3"/>
  <c r="I27" i="3"/>
  <c r="R111" i="3"/>
  <c r="J154" i="3"/>
  <c r="N25" i="3"/>
  <c r="L111" i="3"/>
  <c r="J123" i="3"/>
  <c r="L61" i="3"/>
  <c r="O98" i="3"/>
  <c r="N57" i="3"/>
  <c r="J87" i="3"/>
  <c r="N30" i="3"/>
  <c r="J56" i="3"/>
  <c r="I154" i="3"/>
  <c r="O72" i="3"/>
  <c r="N60" i="3"/>
  <c r="I140" i="3"/>
  <c r="J47" i="3"/>
  <c r="I59" i="3"/>
  <c r="I65" i="3"/>
  <c r="N22" i="3"/>
  <c r="I79" i="3"/>
  <c r="L20" i="3"/>
  <c r="J129" i="3"/>
  <c r="M18" i="3"/>
  <c r="J124" i="3"/>
  <c r="J54" i="3"/>
  <c r="M104" i="3"/>
  <c r="M126" i="3"/>
  <c r="O81" i="3"/>
  <c r="N132" i="3"/>
  <c r="O111" i="3"/>
  <c r="M128" i="3"/>
  <c r="I31" i="3"/>
  <c r="L77" i="3"/>
  <c r="I93" i="3"/>
  <c r="M145" i="3"/>
  <c r="N23" i="3"/>
  <c r="M113" i="3"/>
  <c r="L124" i="3"/>
  <c r="J95" i="3"/>
  <c r="J27" i="3"/>
  <c r="J28" i="3"/>
  <c r="O107" i="3"/>
  <c r="I117" i="3"/>
  <c r="N43" i="3"/>
  <c r="M48" i="3"/>
  <c r="O116" i="3"/>
  <c r="I51" i="3"/>
  <c r="N114" i="3"/>
  <c r="L60" i="3"/>
  <c r="O63" i="3"/>
  <c r="N157" i="3"/>
  <c r="J138" i="3"/>
  <c r="I26" i="3"/>
  <c r="J18" i="3"/>
  <c r="L76" i="3"/>
  <c r="O78" i="3"/>
  <c r="N147" i="3"/>
  <c r="N34" i="3"/>
  <c r="O54" i="3"/>
  <c r="O93" i="3"/>
  <c r="O154" i="3"/>
  <c r="O123" i="3"/>
  <c r="N77" i="3"/>
  <c r="N48" i="3"/>
  <c r="O97" i="3"/>
  <c r="I74" i="3"/>
  <c r="I61" i="3"/>
  <c r="J143" i="3"/>
  <c r="M65" i="3"/>
  <c r="O30" i="3"/>
  <c r="I97" i="3"/>
  <c r="M20" i="3"/>
  <c r="L140" i="3"/>
  <c r="M51" i="3"/>
  <c r="J125" i="3"/>
  <c r="L49" i="3"/>
  <c r="M122" i="3"/>
  <c r="N134" i="3"/>
  <c r="O87" i="3"/>
  <c r="O131" i="3"/>
  <c r="O31" i="3"/>
  <c r="J113" i="3"/>
  <c r="N135" i="3"/>
  <c r="M31" i="3"/>
  <c r="K117" i="3"/>
  <c r="L131" i="3"/>
  <c r="M89" i="3"/>
  <c r="L22" i="3"/>
  <c r="L118" i="3"/>
  <c r="L107" i="3"/>
  <c r="J98" i="3"/>
  <c r="J70" i="3"/>
  <c r="J60" i="3"/>
  <c r="N143" i="3"/>
  <c r="J32" i="3"/>
  <c r="M106" i="3"/>
  <c r="O124" i="3"/>
  <c r="O129" i="3"/>
  <c r="L112" i="3"/>
  <c r="I69" i="3"/>
  <c r="N44" i="3"/>
  <c r="L28" i="3"/>
  <c r="O117" i="3"/>
  <c r="L53" i="3"/>
  <c r="O59" i="3"/>
  <c r="L84" i="3"/>
  <c r="O27" i="3"/>
  <c r="I113" i="3"/>
  <c r="M22" i="3"/>
  <c r="M66" i="3"/>
  <c r="J30" i="3"/>
  <c r="J74" i="3"/>
  <c r="M134" i="3"/>
  <c r="R114" i="3"/>
  <c r="L51" i="3"/>
  <c r="O136" i="3"/>
  <c r="M117" i="3"/>
  <c r="N102" i="3"/>
  <c r="O44" i="3"/>
  <c r="I23" i="3"/>
  <c r="J50" i="3"/>
  <c r="J126" i="3"/>
  <c r="O42" i="3"/>
  <c r="O114" i="3"/>
  <c r="M57" i="3"/>
  <c r="O75" i="3"/>
  <c r="M30" i="3"/>
  <c r="O118" i="3"/>
  <c r="M118" i="3"/>
  <c r="L136" i="3"/>
  <c r="L75" i="3"/>
  <c r="R109" i="3"/>
  <c r="O132" i="3"/>
  <c r="M154" i="3"/>
  <c r="I156" i="3"/>
  <c r="L147" i="3"/>
  <c r="M114" i="3"/>
  <c r="L80" i="3"/>
  <c r="J78" i="3"/>
  <c r="J148" i="3"/>
  <c r="M21" i="3"/>
  <c r="L113" i="3"/>
  <c r="M107" i="3"/>
  <c r="I153" i="3"/>
  <c r="I124" i="3"/>
  <c r="M137" i="3"/>
  <c r="L83" i="3"/>
  <c r="L104" i="3"/>
  <c r="J110" i="3"/>
  <c r="J73" i="3"/>
  <c r="N50" i="3"/>
  <c r="O34" i="3"/>
  <c r="M75" i="3"/>
  <c r="J107" i="3"/>
  <c r="I81" i="3"/>
  <c r="N136" i="3"/>
  <c r="N62" i="3"/>
  <c r="N138" i="3"/>
  <c r="I127" i="3"/>
  <c r="O66" i="3"/>
  <c r="J31" i="3"/>
  <c r="O21" i="3"/>
  <c r="O76" i="3"/>
  <c r="J92" i="3"/>
  <c r="N81" i="3"/>
  <c r="N112" i="3"/>
  <c r="L18" i="3"/>
  <c r="O45" i="3"/>
  <c r="M129" i="3"/>
  <c r="N76" i="3"/>
  <c r="I145" i="3"/>
  <c r="N65" i="3"/>
  <c r="L47" i="3"/>
  <c r="N19" i="3"/>
  <c r="M153" i="3"/>
  <c r="N70" i="3"/>
  <c r="L56" i="3"/>
  <c r="N79" i="3"/>
  <c r="M109" i="3"/>
  <c r="J62" i="3"/>
  <c r="M60" i="3"/>
  <c r="L66" i="3"/>
  <c r="M64" i="3"/>
  <c r="O69" i="3"/>
  <c r="M49" i="3"/>
  <c r="I80" i="3"/>
  <c r="N71" i="3"/>
  <c r="L58" i="3"/>
  <c r="L19" i="3"/>
  <c r="J102" i="3"/>
  <c r="I83" i="3"/>
  <c r="I134" i="3"/>
  <c r="I108" i="3"/>
  <c r="N84" i="3"/>
  <c r="J84" i="3"/>
  <c r="N117" i="3"/>
  <c r="I25" i="3"/>
  <c r="L95" i="3"/>
  <c r="J134" i="3"/>
  <c r="M62" i="3"/>
  <c r="M79" i="3"/>
  <c r="J80" i="3"/>
  <c r="I87" i="3"/>
  <c r="M44" i="3"/>
  <c r="J118" i="3"/>
  <c r="O22" i="3"/>
  <c r="O79" i="3"/>
  <c r="I45" i="3"/>
  <c r="J23" i="3"/>
  <c r="M157" i="3"/>
  <c r="M110" i="3"/>
  <c r="L157" i="3"/>
  <c r="N108" i="3"/>
  <c r="N98" i="3"/>
  <c r="M58" i="3"/>
  <c r="O157" i="3"/>
  <c r="I137" i="3"/>
  <c r="N61" i="3"/>
  <c r="O19" i="3"/>
  <c r="J97" i="3"/>
  <c r="M84" i="3"/>
  <c r="N42" i="3"/>
  <c r="I115" i="3"/>
  <c r="I64" i="3"/>
  <c r="O60" i="3"/>
  <c r="M143" i="3"/>
  <c r="I141" i="3"/>
  <c r="N92" i="3"/>
  <c r="O110" i="3"/>
  <c r="R106" i="3"/>
  <c r="L97" i="3"/>
  <c r="N56" i="3"/>
  <c r="N32" i="3"/>
  <c r="M61" i="3"/>
  <c r="L135" i="3"/>
  <c r="J72" i="3"/>
  <c r="J61" i="3"/>
  <c r="I90" i="3"/>
  <c r="K34" i="3"/>
  <c r="I57" i="3"/>
  <c r="J81" i="3"/>
  <c r="M47" i="3"/>
  <c r="J26" i="3"/>
  <c r="J147" i="3"/>
  <c r="J65" i="3"/>
  <c r="J122" i="3"/>
  <c r="M63" i="3"/>
  <c r="O153" i="3"/>
  <c r="J57" i="3"/>
  <c r="J66" i="3"/>
  <c r="I49" i="3"/>
  <c r="L138" i="3"/>
  <c r="I126" i="3"/>
  <c r="O58" i="3"/>
  <c r="I75" i="3"/>
  <c r="I29" i="3"/>
  <c r="O32" i="3"/>
  <c r="J115" i="3"/>
  <c r="M125" i="3"/>
  <c r="N18" i="3"/>
  <c r="N110" i="3"/>
  <c r="I41" i="3"/>
  <c r="I143" i="3"/>
  <c r="M85" i="3"/>
  <c r="I107" i="3"/>
  <c r="M111" i="3"/>
  <c r="L31" i="3"/>
  <c r="L30" i="3"/>
  <c r="I20" i="3"/>
  <c r="J24" i="3"/>
  <c r="O146" i="3"/>
  <c r="J128" i="3"/>
  <c r="L132" i="3"/>
  <c r="L45" i="3"/>
  <c r="N72" i="3"/>
  <c r="O122" i="3"/>
  <c r="I148" i="3"/>
  <c r="O115" i="3"/>
  <c r="N156" i="3"/>
  <c r="J77" i="3"/>
  <c r="L26" i="3"/>
  <c r="I62" i="3"/>
  <c r="K118" i="3"/>
  <c r="I155" i="3"/>
  <c r="I82" i="3"/>
  <c r="O85" i="3"/>
  <c r="M71" i="3"/>
  <c r="N41" i="3"/>
  <c r="O41" i="3"/>
  <c r="O71" i="3"/>
  <c r="M56" i="3"/>
  <c r="O61" i="3"/>
  <c r="N47" i="3"/>
  <c r="L43" i="3"/>
  <c r="J137" i="3"/>
  <c r="L100" i="3"/>
  <c r="L27" i="3"/>
  <c r="O16" i="3"/>
  <c r="L67" i="3"/>
  <c r="M34" i="3"/>
  <c r="I63" i="3"/>
  <c r="M156" i="3"/>
  <c r="I136" i="3"/>
  <c r="N95" i="3"/>
  <c r="J112" i="3"/>
  <c r="O23" i="3"/>
  <c r="R118" i="3"/>
  <c r="R110" i="3"/>
  <c r="O48" i="3"/>
  <c r="K109" i="3"/>
  <c r="J51" i="3"/>
  <c r="M77" i="3"/>
  <c r="L125" i="3"/>
  <c r="L46" i="3"/>
  <c r="O24" i="3"/>
  <c r="O126" i="3"/>
  <c r="M140" i="3"/>
  <c r="L50" i="3"/>
  <c r="J131" i="3"/>
  <c r="I118" i="3"/>
  <c r="J85" i="3"/>
  <c r="J49" i="3"/>
  <c r="N111" i="3"/>
  <c r="R115" i="3"/>
  <c r="R108" i="3"/>
  <c r="L128" i="3"/>
  <c r="I110" i="3"/>
  <c r="M25" i="3"/>
  <c r="M73" i="3"/>
  <c r="N28" i="3"/>
  <c r="M59" i="3"/>
  <c r="O109" i="3"/>
  <c r="I73" i="3"/>
  <c r="J82" i="3"/>
  <c r="N75" i="3"/>
  <c r="L73" i="3"/>
  <c r="M108" i="3"/>
  <c r="L114" i="3"/>
  <c r="O49" i="3"/>
  <c r="O138" i="3"/>
  <c r="J104" i="3"/>
  <c r="J83" i="3"/>
  <c r="O62" i="3"/>
  <c r="M74" i="3"/>
  <c r="R113" i="3"/>
  <c r="L141" i="3"/>
  <c r="O145" i="3"/>
  <c r="L87" i="3"/>
  <c r="N127" i="3"/>
  <c r="M116" i="3"/>
  <c r="M67" i="3"/>
  <c r="M155" i="3"/>
  <c r="J100" i="3"/>
  <c r="L154" i="3"/>
  <c r="L41" i="3"/>
  <c r="M46" i="3"/>
  <c r="N124" i="3"/>
  <c r="I67" i="3"/>
  <c r="R116" i="3"/>
  <c r="J69" i="3"/>
  <c r="M90" i="3"/>
  <c r="M93" i="3"/>
  <c r="O26" i="3"/>
  <c r="J156" i="3"/>
  <c r="J90" i="3"/>
  <c r="M70" i="3"/>
  <c r="I47" i="3"/>
  <c r="N83" i="3"/>
  <c r="M41" i="3"/>
  <c r="I92" i="3"/>
  <c r="K110" i="3"/>
  <c r="N51" i="3"/>
  <c r="M81" i="3"/>
  <c r="I58" i="3"/>
  <c r="N153" i="3"/>
  <c r="I89" i="3"/>
  <c r="L108" i="3"/>
  <c r="I77" i="3"/>
  <c r="R34" i="3"/>
  <c r="M28" i="3"/>
  <c r="I85" i="3"/>
  <c r="I84" i="3"/>
  <c r="I132" i="3"/>
  <c r="K116" i="3"/>
  <c r="M27" i="3"/>
  <c r="M80" i="3"/>
  <c r="I34" i="3"/>
  <c r="O43" i="3"/>
  <c r="M26" i="3"/>
  <c r="I43" i="3"/>
  <c r="M100" i="3"/>
  <c r="K115" i="3"/>
  <c r="I18" i="3"/>
  <c r="L42" i="3"/>
  <c r="M16" i="3"/>
  <c r="J114" i="3"/>
  <c r="O18" i="3"/>
  <c r="L127" i="3"/>
  <c r="J89" i="3"/>
  <c r="O147" i="3"/>
  <c r="L74" i="3"/>
  <c r="I44" i="3"/>
  <c r="L92" i="3"/>
  <c r="M97" i="3"/>
  <c r="N107" i="3"/>
  <c r="L145" i="3"/>
  <c r="I114" i="3"/>
  <c r="O125" i="3"/>
  <c r="O65" i="3"/>
  <c r="M54" i="3"/>
  <c r="L79" i="3"/>
  <c r="O57" i="3"/>
  <c r="I42" i="3"/>
  <c r="L63" i="3"/>
  <c r="I125" i="3"/>
  <c r="J48" i="3"/>
  <c r="M29" i="3"/>
  <c r="I21" i="3"/>
  <c r="M82" i="3"/>
  <c r="K106" i="3"/>
  <c r="O95" i="3"/>
  <c r="O25" i="3"/>
  <c r="N21" i="3"/>
  <c r="J116" i="3"/>
  <c r="K114" i="3"/>
  <c r="J53" i="3"/>
  <c r="L72" i="3"/>
  <c r="J155" i="3"/>
  <c r="I60" i="3"/>
  <c r="J136" i="3"/>
  <c r="J59" i="3"/>
  <c r="P41" i="3" l="1"/>
  <c r="Q41" i="3" s="1"/>
  <c r="P47" i="3"/>
  <c r="Q47" i="3" s="1"/>
  <c r="P132" i="3"/>
  <c r="Q132" i="3" s="1"/>
  <c r="Y82" i="3"/>
  <c r="T82" i="3"/>
  <c r="P23" i="3"/>
  <c r="Q23" i="3" s="1"/>
  <c r="Y85" i="3"/>
  <c r="T85" i="3"/>
  <c r="Y109" i="3"/>
  <c r="T109" i="3"/>
  <c r="T69" i="3"/>
  <c r="Y69" i="3"/>
  <c r="P21" i="3"/>
  <c r="Q21" i="3" s="1"/>
  <c r="Y81" i="3"/>
  <c r="T81" i="3"/>
  <c r="Y122" i="3"/>
  <c r="T122" i="3"/>
  <c r="T118" i="3"/>
  <c r="Y118" i="3"/>
  <c r="Y59" i="3"/>
  <c r="T59" i="3"/>
  <c r="Y97" i="3"/>
  <c r="T97" i="3"/>
  <c r="P138" i="3"/>
  <c r="Q138" i="3" s="1"/>
  <c r="Y90" i="3"/>
  <c r="T90" i="3"/>
  <c r="P114" i="3"/>
  <c r="Q114" i="3" s="1"/>
  <c r="P89" i="3"/>
  <c r="Q89" i="3" s="1"/>
  <c r="P19" i="3"/>
  <c r="Q19" i="3" s="1"/>
  <c r="Y128" i="3"/>
  <c r="T128" i="3"/>
  <c r="P61" i="3"/>
  <c r="Q61" i="3" s="1"/>
  <c r="P72" i="3"/>
  <c r="Q72" i="3" s="1"/>
  <c r="Y98" i="3"/>
  <c r="T98" i="3"/>
  <c r="P113" i="3"/>
  <c r="Q113" i="3" s="1"/>
  <c r="T140" i="3"/>
  <c r="P31" i="3"/>
  <c r="Q31" i="3" s="1"/>
  <c r="P49" i="3"/>
  <c r="Q49" i="3" s="1"/>
  <c r="P66" i="3"/>
  <c r="Q66" i="3" s="1"/>
  <c r="P69" i="3"/>
  <c r="Q69" i="3" s="1"/>
  <c r="T64" i="3"/>
  <c r="Y64" i="3"/>
  <c r="P117" i="3"/>
  <c r="Q117" i="3" s="1"/>
  <c r="Y48" i="3"/>
  <c r="T48" i="3"/>
  <c r="P45" i="3"/>
  <c r="Q45" i="3" s="1"/>
  <c r="Y125" i="3"/>
  <c r="T125" i="3"/>
  <c r="P48" i="3"/>
  <c r="Q48" i="3" s="1"/>
  <c r="Y74" i="3"/>
  <c r="T74" i="3"/>
  <c r="P115" i="3"/>
  <c r="Q115" i="3" s="1"/>
  <c r="P92" i="3"/>
  <c r="Q92" i="3" s="1"/>
  <c r="P153" i="3"/>
  <c r="Q153" i="3" s="1"/>
  <c r="T27" i="3"/>
  <c r="Y27" i="3"/>
  <c r="T53" i="3"/>
  <c r="Y53" i="3"/>
  <c r="P34" i="3"/>
  <c r="Q34" i="3" s="1"/>
  <c r="Y117" i="3"/>
  <c r="T117" i="3"/>
  <c r="Y110" i="3"/>
  <c r="T110" i="3"/>
  <c r="T113" i="3"/>
  <c r="Y113" i="3"/>
  <c r="T67" i="3"/>
  <c r="Y67" i="3"/>
  <c r="T45" i="3"/>
  <c r="Y45" i="3"/>
  <c r="P100" i="3"/>
  <c r="Q100" i="3" s="1"/>
  <c r="T32" i="3"/>
  <c r="Y32" i="3"/>
  <c r="P54" i="3"/>
  <c r="Q54" i="3" s="1"/>
  <c r="T20" i="3"/>
  <c r="Y20" i="3"/>
  <c r="T145" i="3"/>
  <c r="Y145" i="3"/>
  <c r="P90" i="3"/>
  <c r="Q90" i="3" s="1"/>
  <c r="P25" i="3"/>
  <c r="Q25" i="3" s="1"/>
  <c r="P126" i="3"/>
  <c r="Q126" i="3" s="1"/>
  <c r="Y93" i="3"/>
  <c r="T93" i="3"/>
  <c r="P110" i="3"/>
  <c r="Q110" i="3" s="1"/>
  <c r="T83" i="3"/>
  <c r="Y83" i="3"/>
  <c r="T56" i="3"/>
  <c r="Y56" i="3"/>
  <c r="P87" i="3"/>
  <c r="Q87" i="3" s="1"/>
  <c r="P134" i="3"/>
  <c r="Q134" i="3" s="1"/>
  <c r="Y26" i="3"/>
  <c r="T26" i="3"/>
  <c r="P141" i="3"/>
  <c r="Q141" i="3" s="1"/>
  <c r="T92" i="3"/>
  <c r="Y92" i="3"/>
  <c r="T41" i="3"/>
  <c r="Y41" i="3"/>
  <c r="P65" i="3"/>
  <c r="Q65" i="3" s="1"/>
  <c r="Y73" i="3"/>
  <c r="T73" i="3"/>
  <c r="P112" i="3"/>
  <c r="Q112" i="3" s="1"/>
  <c r="P95" i="3"/>
  <c r="Q95" i="3" s="1"/>
  <c r="Y19" i="3"/>
  <c r="T19" i="3"/>
  <c r="P56" i="3"/>
  <c r="Q56" i="3" s="1"/>
  <c r="P26" i="3"/>
  <c r="Q26" i="3" s="1"/>
  <c r="P157" i="3"/>
  <c r="Q157" i="3" s="1"/>
  <c r="T24" i="3"/>
  <c r="Y24" i="3"/>
  <c r="P71" i="3"/>
  <c r="Q71" i="3" s="1"/>
  <c r="Y132" i="3"/>
  <c r="T132" i="3"/>
  <c r="Y135" i="3"/>
  <c r="T135" i="3"/>
  <c r="P108" i="3"/>
  <c r="Q108" i="3" s="1"/>
  <c r="T70" i="3"/>
  <c r="Y22" i="3"/>
  <c r="T22" i="3"/>
  <c r="T137" i="3"/>
  <c r="Y137" i="3"/>
  <c r="Y42" i="3"/>
  <c r="T42" i="3"/>
  <c r="T61" i="3"/>
  <c r="Y61" i="3"/>
  <c r="Y50" i="3"/>
  <c r="T50" i="3"/>
  <c r="P122" i="3"/>
  <c r="Q122" i="3" s="1"/>
  <c r="Y54" i="3"/>
  <c r="T54" i="3"/>
  <c r="P32" i="3"/>
  <c r="Q32" i="3" s="1"/>
  <c r="Y62" i="3"/>
  <c r="T62" i="3"/>
  <c r="P97" i="3"/>
  <c r="Q97" i="3" s="1"/>
  <c r="P154" i="3"/>
  <c r="Q154" i="3" s="1"/>
  <c r="Y23" i="3"/>
  <c r="T23" i="3"/>
  <c r="P24" i="3"/>
  <c r="Q24" i="3" s="1"/>
  <c r="P80" i="3"/>
  <c r="Q80" i="3" s="1"/>
  <c r="Y51" i="3"/>
  <c r="T51" i="3"/>
  <c r="T116" i="3"/>
  <c r="Y116" i="3"/>
  <c r="P93" i="3"/>
  <c r="Q93" i="3" s="1"/>
  <c r="T29" i="3"/>
  <c r="Y29" i="3"/>
  <c r="P77" i="3"/>
  <c r="Q77" i="3" s="1"/>
  <c r="P53" i="3"/>
  <c r="Q53" i="3" s="1"/>
  <c r="T126" i="3"/>
  <c r="Y126" i="3"/>
  <c r="P127" i="3"/>
  <c r="Q127" i="3" s="1"/>
  <c r="T153" i="3"/>
  <c r="Y153" i="3"/>
  <c r="Y79" i="3"/>
  <c r="T79" i="3"/>
  <c r="Y87" i="3"/>
  <c r="T87" i="3"/>
  <c r="T71" i="3"/>
  <c r="Y71" i="3"/>
  <c r="T147" i="3"/>
  <c r="Y147" i="3"/>
  <c r="T76" i="3"/>
  <c r="Y76" i="3"/>
  <c r="Y124" i="3"/>
  <c r="T124" i="3"/>
  <c r="T112" i="3"/>
  <c r="Y112" i="3"/>
  <c r="P64" i="3"/>
  <c r="Q64" i="3" s="1"/>
  <c r="P109" i="3"/>
  <c r="Q109" i="3" s="1"/>
  <c r="P125" i="3"/>
  <c r="Q125" i="3" s="1"/>
  <c r="T136" i="3"/>
  <c r="Y136" i="3"/>
  <c r="Y129" i="3"/>
  <c r="T129" i="3"/>
  <c r="Y131" i="3"/>
  <c r="T131" i="3"/>
  <c r="T104" i="3"/>
  <c r="Y104" i="3"/>
  <c r="P116" i="3"/>
  <c r="Q116" i="3" s="1"/>
  <c r="Y66" i="3"/>
  <c r="T66" i="3"/>
  <c r="Y138" i="3"/>
  <c r="T138" i="3"/>
  <c r="T34" i="3"/>
  <c r="Y34" i="3"/>
  <c r="P124" i="3"/>
  <c r="Q124" i="3" s="1"/>
  <c r="P84" i="3"/>
  <c r="Q84" i="3" s="1"/>
  <c r="T65" i="3"/>
  <c r="Y65" i="3"/>
  <c r="P30" i="3"/>
  <c r="Q30" i="3" s="1"/>
  <c r="T21" i="3"/>
  <c r="Y21" i="3"/>
  <c r="T102" i="3"/>
  <c r="Y102" i="3"/>
  <c r="P145" i="3"/>
  <c r="Q145" i="3" s="1"/>
  <c r="T157" i="3"/>
  <c r="Y157" i="3"/>
  <c r="Y78" i="3"/>
  <c r="T78" i="3"/>
  <c r="P63" i="3"/>
  <c r="Q63" i="3" s="1"/>
  <c r="P128" i="3"/>
  <c r="Q128" i="3" s="1"/>
  <c r="P102" i="3"/>
  <c r="Q102" i="3" s="1"/>
  <c r="P73" i="3"/>
  <c r="Q73" i="3" s="1"/>
  <c r="Y141" i="3"/>
  <c r="T141" i="3"/>
  <c r="Y111" i="3"/>
  <c r="T111" i="3"/>
  <c r="Y84" i="3"/>
  <c r="T84" i="3"/>
  <c r="P22" i="3"/>
  <c r="Q22" i="3" s="1"/>
  <c r="P76" i="3"/>
  <c r="Q76" i="3" s="1"/>
  <c r="P129" i="3"/>
  <c r="Q129" i="3" s="1"/>
  <c r="T31" i="3"/>
  <c r="Y31" i="3"/>
  <c r="P137" i="3"/>
  <c r="Q137" i="3" s="1"/>
  <c r="P156" i="3"/>
  <c r="Q156" i="3" s="1"/>
  <c r="T72" i="3"/>
  <c r="Y72" i="3"/>
  <c r="Y49" i="3"/>
  <c r="T49" i="3"/>
  <c r="T100" i="3"/>
  <c r="Y100" i="3"/>
  <c r="P106" i="3"/>
  <c r="Q106" i="3" s="1"/>
  <c r="P111" i="3"/>
  <c r="Q111" i="3" s="1"/>
  <c r="P60" i="3"/>
  <c r="Q60" i="3" s="1"/>
  <c r="P143" i="3"/>
  <c r="Q143" i="3" s="1"/>
  <c r="Y106" i="3"/>
  <c r="T106" i="3"/>
  <c r="Y146" i="3"/>
  <c r="T146" i="3"/>
  <c r="T155" i="3"/>
  <c r="Y155" i="3"/>
  <c r="Y89" i="3"/>
  <c r="T89" i="3"/>
  <c r="T154" i="3"/>
  <c r="Y154" i="3"/>
  <c r="Y58" i="3"/>
  <c r="T58" i="3"/>
  <c r="P136" i="3"/>
  <c r="Q136" i="3" s="1"/>
  <c r="Y57" i="3"/>
  <c r="T57" i="3"/>
  <c r="Y46" i="3"/>
  <c r="T46" i="3"/>
  <c r="Y114" i="3"/>
  <c r="T114" i="3"/>
  <c r="T108" i="3"/>
  <c r="Y108" i="3"/>
  <c r="P146" i="3"/>
  <c r="Q146" i="3" s="1"/>
  <c r="P82" i="3"/>
  <c r="Q82" i="3" s="1"/>
  <c r="T107" i="3"/>
  <c r="Y107" i="3"/>
  <c r="P67" i="3"/>
  <c r="Q67" i="3" s="1"/>
  <c r="T43" i="3"/>
  <c r="Y43" i="3"/>
  <c r="T127" i="3"/>
  <c r="Y127" i="3"/>
  <c r="P81" i="3"/>
  <c r="Q81" i="3" s="1"/>
  <c r="P62" i="3"/>
  <c r="Q62" i="3" s="1"/>
  <c r="P135" i="3"/>
  <c r="Q135" i="3" s="1"/>
  <c r="T25" i="3"/>
  <c r="Y25" i="3"/>
  <c r="T115" i="3"/>
  <c r="Y115" i="3"/>
  <c r="P44" i="3"/>
  <c r="Q44" i="3" s="1"/>
  <c r="P50" i="3"/>
  <c r="Q50" i="3" s="1"/>
  <c r="P79" i="3"/>
  <c r="Q79" i="3" s="1"/>
  <c r="P46" i="3"/>
  <c r="Q46" i="3" s="1"/>
  <c r="P29" i="3"/>
  <c r="Q29" i="3" s="1"/>
  <c r="P147" i="3"/>
  <c r="Q147" i="3" s="1"/>
  <c r="P118" i="3"/>
  <c r="Q118" i="3" s="1"/>
  <c r="Y18" i="3"/>
  <c r="T18" i="3"/>
  <c r="Y134" i="3"/>
  <c r="T134" i="3"/>
  <c r="Y63" i="3"/>
  <c r="T63" i="3"/>
  <c r="T95" i="3"/>
  <c r="Y95" i="3"/>
  <c r="P78" i="3"/>
  <c r="Q78" i="3" s="1"/>
  <c r="Y80" i="3"/>
  <c r="T80" i="3"/>
  <c r="P83" i="3"/>
  <c r="Q83" i="3" s="1"/>
  <c r="P131" i="3"/>
  <c r="Q131" i="3" s="1"/>
  <c r="P16" i="3"/>
  <c r="Q16" i="3" s="1"/>
  <c r="P74" i="3"/>
  <c r="Q74" i="3" s="1"/>
  <c r="P107" i="3"/>
  <c r="Q107" i="3" s="1"/>
  <c r="T77" i="3"/>
  <c r="Y77" i="3"/>
  <c r="P104" i="3"/>
  <c r="Q104" i="3" s="1"/>
  <c r="Y75" i="3"/>
  <c r="T75" i="3"/>
  <c r="P155" i="3"/>
  <c r="Q155" i="3" s="1"/>
  <c r="P59" i="3"/>
  <c r="Q59" i="3" s="1"/>
  <c r="T44" i="3"/>
  <c r="Y44" i="3"/>
  <c r="P57" i="3"/>
  <c r="Q57" i="3" s="1"/>
  <c r="P51" i="3"/>
  <c r="Q51" i="3" s="1"/>
  <c r="P75" i="3"/>
  <c r="Q75" i="3" s="1"/>
  <c r="T47" i="3"/>
  <c r="Y47" i="3"/>
  <c r="P43" i="3"/>
  <c r="Q43" i="3" s="1"/>
  <c r="P58" i="3"/>
  <c r="Q58" i="3" s="1"/>
  <c r="T60" i="3"/>
  <c r="Y60" i="3"/>
  <c r="P18" i="3"/>
  <c r="Q18" i="3" s="1"/>
  <c r="P20" i="3"/>
  <c r="Q20" i="3" s="1"/>
  <c r="Y156" i="3"/>
  <c r="T156" i="3"/>
  <c r="Y148" i="3"/>
  <c r="T148" i="3"/>
  <c r="T30" i="3"/>
  <c r="Y30" i="3"/>
  <c r="T143" i="3"/>
  <c r="Y143" i="3"/>
  <c r="T16" i="3"/>
  <c r="Y16" i="3"/>
  <c r="H147" i="3"/>
  <c r="H148" i="3"/>
  <c r="H89" i="3"/>
  <c r="H77" i="3"/>
  <c r="H113" i="3"/>
  <c r="H125" i="3"/>
  <c r="H78" i="3"/>
  <c r="H31" i="3"/>
  <c r="H81" i="3"/>
  <c r="H102" i="3"/>
  <c r="H141" i="3"/>
  <c r="H98" i="3"/>
  <c r="H109" i="3"/>
  <c r="H62" i="3"/>
  <c r="H58" i="3"/>
  <c r="H126" i="3"/>
  <c r="H21" i="3"/>
  <c r="H131" i="3"/>
  <c r="H85" i="3"/>
  <c r="H87" i="3"/>
  <c r="M98" i="3"/>
  <c r="H146" i="3"/>
  <c r="H137" i="3"/>
  <c r="H74" i="3"/>
  <c r="H19" i="3"/>
  <c r="H50" i="3"/>
  <c r="H128" i="3"/>
  <c r="H145" i="3"/>
  <c r="H127" i="3"/>
  <c r="H65" i="3"/>
  <c r="H115" i="3"/>
  <c r="H49" i="3"/>
  <c r="H107" i="3"/>
  <c r="H41" i="3"/>
  <c r="H106" i="3"/>
  <c r="L85" i="3"/>
  <c r="H92" i="3"/>
  <c r="M42" i="3"/>
  <c r="H67" i="3"/>
  <c r="H79" i="3"/>
  <c r="H135" i="3"/>
  <c r="H110" i="3"/>
  <c r="J43" i="3"/>
  <c r="H134" i="3"/>
  <c r="H82" i="3"/>
  <c r="H24" i="3"/>
  <c r="H76" i="3"/>
  <c r="O70" i="3"/>
  <c r="H66" i="3"/>
  <c r="H27" i="3"/>
  <c r="H29" i="3"/>
  <c r="H20" i="3"/>
  <c r="H73" i="3"/>
  <c r="H18" i="3"/>
  <c r="H154" i="3"/>
  <c r="H153" i="3"/>
  <c r="H60" i="3"/>
  <c r="H114" i="3"/>
  <c r="H22" i="3"/>
  <c r="H45" i="3"/>
  <c r="H97" i="3"/>
  <c r="H23" i="3"/>
  <c r="H44" i="3"/>
  <c r="H129" i="3"/>
  <c r="H48" i="3"/>
  <c r="H61" i="3"/>
  <c r="H136" i="3"/>
  <c r="N27" i="3"/>
  <c r="H93" i="3"/>
  <c r="M148" i="3"/>
  <c r="H34" i="3"/>
  <c r="H108" i="3"/>
  <c r="H56" i="3"/>
  <c r="H75" i="3"/>
  <c r="H47" i="3"/>
  <c r="H104" i="3"/>
  <c r="H122" i="3"/>
  <c r="H43" i="3"/>
  <c r="H70" i="3"/>
  <c r="H64" i="3"/>
  <c r="H69" i="3"/>
  <c r="H90" i="3"/>
  <c r="H26" i="3"/>
  <c r="H132" i="3"/>
  <c r="H112" i="3"/>
  <c r="H59" i="3"/>
  <c r="H95" i="3"/>
  <c r="H118" i="3"/>
  <c r="H42" i="3"/>
  <c r="H16" i="3"/>
  <c r="H156" i="3"/>
  <c r="H100" i="3"/>
  <c r="I123" i="3"/>
  <c r="H83" i="3"/>
  <c r="H124" i="3"/>
  <c r="H54" i="3"/>
  <c r="H116" i="3"/>
  <c r="I28" i="3"/>
  <c r="H140" i="3"/>
  <c r="H32" i="3"/>
  <c r="H111" i="3"/>
  <c r="H63" i="3"/>
  <c r="H57" i="3"/>
  <c r="H53" i="3"/>
  <c r="H138" i="3"/>
  <c r="H80" i="3"/>
  <c r="H143" i="3"/>
  <c r="H157" i="3"/>
  <c r="H51" i="3"/>
  <c r="H155" i="3"/>
  <c r="H71" i="3"/>
  <c r="H25" i="3"/>
  <c r="H72" i="3"/>
  <c r="H84" i="3"/>
  <c r="H30" i="3"/>
  <c r="H117" i="3"/>
  <c r="H46" i="3"/>
  <c r="O140" i="3"/>
  <c r="P85" i="3" l="1"/>
  <c r="Q85" i="3" s="1"/>
  <c r="P98" i="3"/>
  <c r="Q98" i="3" s="1"/>
  <c r="AA98" i="3" s="1"/>
  <c r="P27" i="3"/>
  <c r="Q27" i="3" s="1"/>
  <c r="Z27" i="3" s="1"/>
  <c r="P70" i="3"/>
  <c r="Q70" i="3" s="1"/>
  <c r="Y70" i="3"/>
  <c r="X70" i="3" s="1"/>
  <c r="P148" i="3"/>
  <c r="Q148" i="3" s="1"/>
  <c r="AA148" i="3" s="1"/>
  <c r="P140" i="3"/>
  <c r="Q140" i="3" s="1"/>
  <c r="Q139" i="3" s="1"/>
  <c r="Y140" i="3"/>
  <c r="W140" i="3" s="1"/>
  <c r="P42" i="3"/>
  <c r="Q42" i="3" s="1"/>
  <c r="Y28" i="3"/>
  <c r="X28" i="3" s="1"/>
  <c r="T28" i="3"/>
  <c r="P28" i="3"/>
  <c r="Q28" i="3" s="1"/>
  <c r="Z28" i="3" s="1"/>
  <c r="Y123" i="3"/>
  <c r="V123" i="3" s="1"/>
  <c r="T123" i="3"/>
  <c r="P123" i="3"/>
  <c r="Q123" i="3" s="1"/>
  <c r="Z123" i="3" s="1"/>
  <c r="Z58" i="3"/>
  <c r="AA58" i="3"/>
  <c r="Q150" i="3"/>
  <c r="V60" i="3"/>
  <c r="U60" i="3"/>
  <c r="W60" i="3"/>
  <c r="X60" i="3"/>
  <c r="Q151" i="3"/>
  <c r="AA104" i="3"/>
  <c r="Z104" i="3"/>
  <c r="Q103" i="3"/>
  <c r="Q15" i="3"/>
  <c r="AA16" i="3"/>
  <c r="Z16" i="3"/>
  <c r="AA29" i="3"/>
  <c r="Z29" i="3"/>
  <c r="Q149" i="3"/>
  <c r="W115" i="3"/>
  <c r="U115" i="3"/>
  <c r="X115" i="3"/>
  <c r="V115" i="3"/>
  <c r="Z67" i="3"/>
  <c r="AA67" i="3"/>
  <c r="U57" i="3"/>
  <c r="V57" i="3"/>
  <c r="X57" i="3"/>
  <c r="W57" i="3"/>
  <c r="AA106" i="3"/>
  <c r="Z106" i="3"/>
  <c r="Q105" i="3"/>
  <c r="U84" i="3"/>
  <c r="V84" i="3"/>
  <c r="W84" i="3"/>
  <c r="X84" i="3"/>
  <c r="Z128" i="3"/>
  <c r="AA128" i="3"/>
  <c r="AA30" i="3"/>
  <c r="Z30" i="3"/>
  <c r="W147" i="3"/>
  <c r="U147" i="3"/>
  <c r="V147" i="3"/>
  <c r="X147" i="3"/>
  <c r="W126" i="3"/>
  <c r="V126" i="3"/>
  <c r="U126" i="3"/>
  <c r="X126" i="3"/>
  <c r="AA80" i="3"/>
  <c r="Z80" i="3"/>
  <c r="AA97" i="3"/>
  <c r="Z97" i="3"/>
  <c r="Q96" i="3"/>
  <c r="V54" i="3"/>
  <c r="U54" i="3"/>
  <c r="X54" i="3"/>
  <c r="W54" i="3"/>
  <c r="W42" i="3"/>
  <c r="U42" i="3"/>
  <c r="X42" i="3"/>
  <c r="V42" i="3"/>
  <c r="V22" i="3"/>
  <c r="U22" i="3"/>
  <c r="W22" i="3"/>
  <c r="X22" i="3"/>
  <c r="Z108" i="3"/>
  <c r="AA108" i="3"/>
  <c r="W24" i="3"/>
  <c r="X24" i="3"/>
  <c r="V24" i="3"/>
  <c r="U24" i="3"/>
  <c r="Q36" i="3"/>
  <c r="U45" i="3"/>
  <c r="W45" i="3"/>
  <c r="V45" i="3"/>
  <c r="X45" i="3"/>
  <c r="Z48" i="3"/>
  <c r="AA48" i="3"/>
  <c r="AA45" i="3"/>
  <c r="Z45" i="3"/>
  <c r="AA31" i="3"/>
  <c r="Z31" i="3"/>
  <c r="Z61" i="3"/>
  <c r="AA61" i="3"/>
  <c r="AA28" i="3"/>
  <c r="V128" i="3"/>
  <c r="U128" i="3"/>
  <c r="W128" i="3"/>
  <c r="X128" i="3"/>
  <c r="Z19" i="3"/>
  <c r="AA19" i="3"/>
  <c r="X90" i="3"/>
  <c r="U90" i="3"/>
  <c r="W90" i="3"/>
  <c r="V90" i="3"/>
  <c r="U123" i="3"/>
  <c r="Q35" i="3"/>
  <c r="Z155" i="3"/>
  <c r="AA155" i="3"/>
  <c r="Z131" i="3"/>
  <c r="AA131" i="3"/>
  <c r="Q130" i="3"/>
  <c r="V134" i="3"/>
  <c r="X134" i="3"/>
  <c r="W134" i="3"/>
  <c r="U134" i="3"/>
  <c r="AA135" i="3"/>
  <c r="Z135" i="3"/>
  <c r="AA62" i="3"/>
  <c r="Z62" i="3"/>
  <c r="V127" i="3"/>
  <c r="U127" i="3"/>
  <c r="W127" i="3"/>
  <c r="X127" i="3"/>
  <c r="X154" i="3"/>
  <c r="U154" i="3"/>
  <c r="V154" i="3"/>
  <c r="W154" i="3"/>
  <c r="W155" i="3"/>
  <c r="X155" i="3"/>
  <c r="V155" i="3"/>
  <c r="U155" i="3"/>
  <c r="V146" i="3"/>
  <c r="X146" i="3"/>
  <c r="W146" i="3"/>
  <c r="U146" i="3"/>
  <c r="Z156" i="3"/>
  <c r="AA156" i="3"/>
  <c r="Z129" i="3"/>
  <c r="AA129" i="3"/>
  <c r="W141" i="3"/>
  <c r="U141" i="3"/>
  <c r="X141" i="3"/>
  <c r="V141" i="3"/>
  <c r="Z63" i="3"/>
  <c r="AA63" i="3"/>
  <c r="X21" i="3"/>
  <c r="U21" i="3"/>
  <c r="W21" i="3"/>
  <c r="V21" i="3"/>
  <c r="V19" i="3"/>
  <c r="X19" i="3"/>
  <c r="U19" i="3"/>
  <c r="W19" i="3"/>
  <c r="AA112" i="3"/>
  <c r="Z112" i="3"/>
  <c r="AA65" i="3"/>
  <c r="Z65" i="3"/>
  <c r="Z134" i="3"/>
  <c r="AA134" i="3"/>
  <c r="Q133" i="3"/>
  <c r="V67" i="3"/>
  <c r="W67" i="3"/>
  <c r="U67" i="3"/>
  <c r="X67" i="3"/>
  <c r="AA66" i="3"/>
  <c r="Z66" i="3"/>
  <c r="U98" i="3"/>
  <c r="X98" i="3"/>
  <c r="V98" i="3"/>
  <c r="W98" i="3"/>
  <c r="Z72" i="3"/>
  <c r="AA72" i="3"/>
  <c r="AA89" i="3"/>
  <c r="Z89" i="3"/>
  <c r="Q88" i="3"/>
  <c r="U59" i="3"/>
  <c r="X59" i="3"/>
  <c r="V59" i="3"/>
  <c r="W59" i="3"/>
  <c r="U109" i="3"/>
  <c r="W109" i="3"/>
  <c r="V109" i="3"/>
  <c r="X109" i="3"/>
  <c r="U85" i="3"/>
  <c r="V85" i="3"/>
  <c r="X85" i="3"/>
  <c r="W85" i="3"/>
  <c r="AA20" i="3"/>
  <c r="Z20" i="3"/>
  <c r="Z43" i="3"/>
  <c r="AA43" i="3"/>
  <c r="AA107" i="3"/>
  <c r="Z107" i="3"/>
  <c r="Z83" i="3"/>
  <c r="AA83" i="3"/>
  <c r="AA79" i="3"/>
  <c r="Z79" i="3"/>
  <c r="X107" i="3"/>
  <c r="U107" i="3"/>
  <c r="W107" i="3"/>
  <c r="V107" i="3"/>
  <c r="AA82" i="3"/>
  <c r="Z82" i="3"/>
  <c r="V58" i="3"/>
  <c r="U58" i="3"/>
  <c r="X58" i="3"/>
  <c r="W58" i="3"/>
  <c r="Q142" i="3"/>
  <c r="AA143" i="3"/>
  <c r="Z143" i="3"/>
  <c r="V100" i="3"/>
  <c r="X100" i="3"/>
  <c r="W100" i="3"/>
  <c r="U100" i="3"/>
  <c r="AA137" i="3"/>
  <c r="Z137" i="3"/>
  <c r="Z84" i="3"/>
  <c r="AA84" i="3"/>
  <c r="U104" i="3"/>
  <c r="W104" i="3"/>
  <c r="X104" i="3"/>
  <c r="V104" i="3"/>
  <c r="V129" i="3"/>
  <c r="X129" i="3"/>
  <c r="U129" i="3"/>
  <c r="W129" i="3"/>
  <c r="AA64" i="3"/>
  <c r="Z64" i="3"/>
  <c r="X112" i="3"/>
  <c r="W112" i="3"/>
  <c r="V112" i="3"/>
  <c r="U112" i="3"/>
  <c r="Z77" i="3"/>
  <c r="AA77" i="3"/>
  <c r="W29" i="3"/>
  <c r="X29" i="3"/>
  <c r="V29" i="3"/>
  <c r="U29" i="3"/>
  <c r="X137" i="3"/>
  <c r="U137" i="3"/>
  <c r="V137" i="3"/>
  <c r="W137" i="3"/>
  <c r="AA71" i="3"/>
  <c r="Z71" i="3"/>
  <c r="AA56" i="3"/>
  <c r="Z56" i="3"/>
  <c r="Q55" i="3"/>
  <c r="Z98" i="3"/>
  <c r="AA87" i="3"/>
  <c r="Q86" i="3"/>
  <c r="Z87" i="3"/>
  <c r="X83" i="3"/>
  <c r="V83" i="3"/>
  <c r="U83" i="3"/>
  <c r="W83" i="3"/>
  <c r="U20" i="3"/>
  <c r="X20" i="3"/>
  <c r="W20" i="3"/>
  <c r="V20" i="3"/>
  <c r="V27" i="3"/>
  <c r="U27" i="3"/>
  <c r="X27" i="3"/>
  <c r="W27" i="3"/>
  <c r="AA117" i="3"/>
  <c r="Z117" i="3"/>
  <c r="AA69" i="3"/>
  <c r="Z69" i="3"/>
  <c r="AA47" i="3"/>
  <c r="Z47" i="3"/>
  <c r="V75" i="3"/>
  <c r="W75" i="3"/>
  <c r="X75" i="3"/>
  <c r="U75" i="3"/>
  <c r="X63" i="3"/>
  <c r="W63" i="3"/>
  <c r="U63" i="3"/>
  <c r="V63" i="3"/>
  <c r="AA44" i="3"/>
  <c r="Z44" i="3"/>
  <c r="U25" i="3"/>
  <c r="X25" i="3"/>
  <c r="V25" i="3"/>
  <c r="W25" i="3"/>
  <c r="Z81" i="3"/>
  <c r="AA81" i="3"/>
  <c r="Z146" i="3"/>
  <c r="AA146" i="3"/>
  <c r="X108" i="3"/>
  <c r="U108" i="3"/>
  <c r="W108" i="3"/>
  <c r="V108" i="3"/>
  <c r="Z60" i="3"/>
  <c r="AA60" i="3"/>
  <c r="AA73" i="3"/>
  <c r="Z73" i="3"/>
  <c r="U157" i="3"/>
  <c r="W157" i="3"/>
  <c r="V157" i="3"/>
  <c r="X157" i="3"/>
  <c r="V136" i="3"/>
  <c r="U136" i="3"/>
  <c r="X136" i="3"/>
  <c r="W136" i="3"/>
  <c r="W87" i="3"/>
  <c r="V87" i="3"/>
  <c r="U87" i="3"/>
  <c r="X87" i="3"/>
  <c r="U79" i="3"/>
  <c r="W79" i="3"/>
  <c r="V79" i="3"/>
  <c r="X79" i="3"/>
  <c r="W153" i="3"/>
  <c r="V153" i="3"/>
  <c r="U153" i="3"/>
  <c r="X153" i="3"/>
  <c r="X116" i="3"/>
  <c r="V116" i="3"/>
  <c r="W116" i="3"/>
  <c r="U116" i="3"/>
  <c r="Q37" i="3"/>
  <c r="Z154" i="3"/>
  <c r="AA154" i="3"/>
  <c r="W50" i="3"/>
  <c r="V50" i="3"/>
  <c r="X50" i="3"/>
  <c r="U50" i="3"/>
  <c r="U70" i="3"/>
  <c r="V135" i="3"/>
  <c r="U135" i="3"/>
  <c r="W135" i="3"/>
  <c r="X135" i="3"/>
  <c r="Z157" i="3"/>
  <c r="AA157" i="3"/>
  <c r="X26" i="3"/>
  <c r="W26" i="3"/>
  <c r="U26" i="3"/>
  <c r="V26" i="3"/>
  <c r="U56" i="3"/>
  <c r="V56" i="3"/>
  <c r="W56" i="3"/>
  <c r="X56" i="3"/>
  <c r="V93" i="3"/>
  <c r="W93" i="3"/>
  <c r="U93" i="3"/>
  <c r="X93" i="3"/>
  <c r="Q99" i="3"/>
  <c r="AA100" i="3"/>
  <c r="Z100" i="3"/>
  <c r="Q33" i="3"/>
  <c r="AA34" i="3"/>
  <c r="Z34" i="3"/>
  <c r="W48" i="3"/>
  <c r="V48" i="3"/>
  <c r="U48" i="3"/>
  <c r="X48" i="3"/>
  <c r="X122" i="3"/>
  <c r="U122" i="3"/>
  <c r="W122" i="3"/>
  <c r="V122" i="3"/>
  <c r="X82" i="3"/>
  <c r="W82" i="3"/>
  <c r="V82" i="3"/>
  <c r="U82" i="3"/>
  <c r="W44" i="3"/>
  <c r="V44" i="3"/>
  <c r="U44" i="3"/>
  <c r="X44" i="3"/>
  <c r="V95" i="3"/>
  <c r="W95" i="3"/>
  <c r="U95" i="3"/>
  <c r="X95" i="3"/>
  <c r="U16" i="3"/>
  <c r="W16" i="3"/>
  <c r="V16" i="3"/>
  <c r="X16" i="3"/>
  <c r="W143" i="3"/>
  <c r="U143" i="3"/>
  <c r="V143" i="3"/>
  <c r="X143" i="3"/>
  <c r="W156" i="3"/>
  <c r="V156" i="3"/>
  <c r="U156" i="3"/>
  <c r="X156" i="3"/>
  <c r="Z18" i="3"/>
  <c r="AA18" i="3"/>
  <c r="U47" i="3"/>
  <c r="V47" i="3"/>
  <c r="X47" i="3"/>
  <c r="W47" i="3"/>
  <c r="X80" i="3"/>
  <c r="U80" i="3"/>
  <c r="V80" i="3"/>
  <c r="W80" i="3"/>
  <c r="Z147" i="3"/>
  <c r="AA147" i="3"/>
  <c r="Z46" i="3"/>
  <c r="AA46" i="3"/>
  <c r="X46" i="3"/>
  <c r="V46" i="3"/>
  <c r="U46" i="3"/>
  <c r="W46" i="3"/>
  <c r="X49" i="3"/>
  <c r="V49" i="3"/>
  <c r="U49" i="3"/>
  <c r="W49" i="3"/>
  <c r="U72" i="3"/>
  <c r="V72" i="3"/>
  <c r="X72" i="3"/>
  <c r="W72" i="3"/>
  <c r="W31" i="3"/>
  <c r="V31" i="3"/>
  <c r="U31" i="3"/>
  <c r="X31" i="3"/>
  <c r="AA76" i="3"/>
  <c r="Z76" i="3"/>
  <c r="X111" i="3"/>
  <c r="W111" i="3"/>
  <c r="U111" i="3"/>
  <c r="V111" i="3"/>
  <c r="Q101" i="3"/>
  <c r="Z102" i="3"/>
  <c r="AA102" i="3"/>
  <c r="X138" i="3"/>
  <c r="W138" i="3"/>
  <c r="U138" i="3"/>
  <c r="V138" i="3"/>
  <c r="V66" i="3"/>
  <c r="W66" i="3"/>
  <c r="U66" i="3"/>
  <c r="X66" i="3"/>
  <c r="U124" i="3"/>
  <c r="V124" i="3"/>
  <c r="X124" i="3"/>
  <c r="W124" i="3"/>
  <c r="X71" i="3"/>
  <c r="U71" i="3"/>
  <c r="W71" i="3"/>
  <c r="V71" i="3"/>
  <c r="Z93" i="3"/>
  <c r="AA93" i="3"/>
  <c r="AA24" i="3"/>
  <c r="Z24" i="3"/>
  <c r="W23" i="3"/>
  <c r="V23" i="3"/>
  <c r="U23" i="3"/>
  <c r="X23" i="3"/>
  <c r="V73" i="3"/>
  <c r="X73" i="3"/>
  <c r="W73" i="3"/>
  <c r="U73" i="3"/>
  <c r="Q39" i="3"/>
  <c r="AA126" i="3"/>
  <c r="Z126" i="3"/>
  <c r="Z54" i="3"/>
  <c r="AA54" i="3"/>
  <c r="X117" i="3"/>
  <c r="V117" i="3"/>
  <c r="W117" i="3"/>
  <c r="U117" i="3"/>
  <c r="U53" i="3"/>
  <c r="W53" i="3"/>
  <c r="X53" i="3"/>
  <c r="V53" i="3"/>
  <c r="AA92" i="3"/>
  <c r="Z92" i="3"/>
  <c r="Q91" i="3"/>
  <c r="X125" i="3"/>
  <c r="V125" i="3"/>
  <c r="U125" i="3"/>
  <c r="W125" i="3"/>
  <c r="W118" i="3"/>
  <c r="U118" i="3"/>
  <c r="V118" i="3"/>
  <c r="X118" i="3"/>
  <c r="U81" i="3"/>
  <c r="W81" i="3"/>
  <c r="X81" i="3"/>
  <c r="V81" i="3"/>
  <c r="V69" i="3"/>
  <c r="U69" i="3"/>
  <c r="X69" i="3"/>
  <c r="W69" i="3"/>
  <c r="W28" i="3"/>
  <c r="V28" i="3"/>
  <c r="X18" i="3"/>
  <c r="V18" i="3"/>
  <c r="U18" i="3"/>
  <c r="W18" i="3"/>
  <c r="V43" i="3"/>
  <c r="W43" i="3"/>
  <c r="U43" i="3"/>
  <c r="X43" i="3"/>
  <c r="W114" i="3"/>
  <c r="X114" i="3"/>
  <c r="V114" i="3"/>
  <c r="U114" i="3"/>
  <c r="W89" i="3"/>
  <c r="U89" i="3"/>
  <c r="X89" i="3"/>
  <c r="V89" i="3"/>
  <c r="X106" i="3"/>
  <c r="W106" i="3"/>
  <c r="U106" i="3"/>
  <c r="V106" i="3"/>
  <c r="Z111" i="3"/>
  <c r="AA111" i="3"/>
  <c r="AA22" i="3"/>
  <c r="Z22" i="3"/>
  <c r="V65" i="3"/>
  <c r="W65" i="3"/>
  <c r="X65" i="3"/>
  <c r="U65" i="3"/>
  <c r="Z116" i="3"/>
  <c r="AA116" i="3"/>
  <c r="Z125" i="3"/>
  <c r="AA125" i="3"/>
  <c r="Z127" i="3"/>
  <c r="AA127" i="3"/>
  <c r="U62" i="3"/>
  <c r="X62" i="3"/>
  <c r="W62" i="3"/>
  <c r="V62" i="3"/>
  <c r="AA122" i="3"/>
  <c r="Z122" i="3"/>
  <c r="U92" i="3"/>
  <c r="X92" i="3"/>
  <c r="W92" i="3"/>
  <c r="V92" i="3"/>
  <c r="Z110" i="3"/>
  <c r="AA110" i="3"/>
  <c r="X64" i="3"/>
  <c r="U64" i="3"/>
  <c r="W64" i="3"/>
  <c r="V64" i="3"/>
  <c r="Z49" i="3"/>
  <c r="AA49" i="3"/>
  <c r="X97" i="3"/>
  <c r="U97" i="3"/>
  <c r="W97" i="3"/>
  <c r="V97" i="3"/>
  <c r="Z70" i="3"/>
  <c r="AA70" i="3"/>
  <c r="AA74" i="3"/>
  <c r="Z74" i="3"/>
  <c r="AA75" i="3"/>
  <c r="Z75" i="3"/>
  <c r="AA51" i="3"/>
  <c r="Z51" i="3"/>
  <c r="W77" i="3"/>
  <c r="X77" i="3"/>
  <c r="V77" i="3"/>
  <c r="U77" i="3"/>
  <c r="AA78" i="3"/>
  <c r="Z78" i="3"/>
  <c r="Z118" i="3"/>
  <c r="AA118" i="3"/>
  <c r="AA50" i="3"/>
  <c r="Z50" i="3"/>
  <c r="Z136" i="3"/>
  <c r="AA136" i="3"/>
  <c r="Z85" i="3"/>
  <c r="AA85" i="3"/>
  <c r="Z145" i="3"/>
  <c r="AA145" i="3"/>
  <c r="X102" i="3"/>
  <c r="V102" i="3"/>
  <c r="U102" i="3"/>
  <c r="W102" i="3"/>
  <c r="AA124" i="3"/>
  <c r="Z124" i="3"/>
  <c r="X34" i="3"/>
  <c r="U34" i="3"/>
  <c r="V34" i="3"/>
  <c r="W34" i="3"/>
  <c r="X131" i="3"/>
  <c r="U131" i="3"/>
  <c r="V131" i="3"/>
  <c r="W131" i="3"/>
  <c r="AA109" i="3"/>
  <c r="Z109" i="3"/>
  <c r="W76" i="3"/>
  <c r="U76" i="3"/>
  <c r="V76" i="3"/>
  <c r="X76" i="3"/>
  <c r="U61" i="3"/>
  <c r="W61" i="3"/>
  <c r="V61" i="3"/>
  <c r="X61" i="3"/>
  <c r="W132" i="3"/>
  <c r="U132" i="3"/>
  <c r="X132" i="3"/>
  <c r="V132" i="3"/>
  <c r="Q94" i="3"/>
  <c r="AA95" i="3"/>
  <c r="Z95" i="3"/>
  <c r="V41" i="3"/>
  <c r="X41" i="3"/>
  <c r="U41" i="3"/>
  <c r="W41" i="3"/>
  <c r="Z25" i="3"/>
  <c r="AA25" i="3"/>
  <c r="V32" i="3"/>
  <c r="X32" i="3"/>
  <c r="W32" i="3"/>
  <c r="U32" i="3"/>
  <c r="X110" i="3"/>
  <c r="W110" i="3"/>
  <c r="U110" i="3"/>
  <c r="V110" i="3"/>
  <c r="AA115" i="3"/>
  <c r="Z115" i="3"/>
  <c r="V74" i="3"/>
  <c r="U74" i="3"/>
  <c r="X74" i="3"/>
  <c r="W74" i="3"/>
  <c r="AA113" i="3"/>
  <c r="Z113" i="3"/>
  <c r="Z114" i="3"/>
  <c r="AA114" i="3"/>
  <c r="AA138" i="3"/>
  <c r="Z138" i="3"/>
  <c r="Z132" i="3"/>
  <c r="AA132" i="3"/>
  <c r="Z59" i="3"/>
  <c r="AA59" i="3"/>
  <c r="Z42" i="3"/>
  <c r="AA42" i="3"/>
  <c r="U30" i="3"/>
  <c r="X30" i="3"/>
  <c r="W30" i="3"/>
  <c r="V30" i="3"/>
  <c r="X148" i="3"/>
  <c r="U148" i="3"/>
  <c r="W148" i="3"/>
  <c r="V148" i="3"/>
  <c r="Z57" i="3"/>
  <c r="AA57" i="3"/>
  <c r="W78" i="3"/>
  <c r="X78" i="3"/>
  <c r="V78" i="3"/>
  <c r="U78" i="3"/>
  <c r="Z53" i="3"/>
  <c r="AA53" i="3"/>
  <c r="Q52" i="3"/>
  <c r="W51" i="3"/>
  <c r="U51" i="3"/>
  <c r="X51" i="3"/>
  <c r="V51" i="3"/>
  <c r="Z32" i="3"/>
  <c r="AA32" i="3"/>
  <c r="Z26" i="3"/>
  <c r="AA26" i="3"/>
  <c r="AA141" i="3"/>
  <c r="Z141" i="3"/>
  <c r="AA90" i="3"/>
  <c r="Z90" i="3"/>
  <c r="X145" i="3"/>
  <c r="W145" i="3"/>
  <c r="V145" i="3"/>
  <c r="U145" i="3"/>
  <c r="W113" i="3"/>
  <c r="U113" i="3"/>
  <c r="X113" i="3"/>
  <c r="V113" i="3"/>
  <c r="AA153" i="3"/>
  <c r="Q152" i="3"/>
  <c r="Z153" i="3"/>
  <c r="Q38" i="3"/>
  <c r="Z21" i="3"/>
  <c r="AA21" i="3"/>
  <c r="AA23" i="3"/>
  <c r="Z23" i="3"/>
  <c r="Q40" i="3"/>
  <c r="Z41" i="3"/>
  <c r="AA41" i="3"/>
  <c r="H28" i="3"/>
  <c r="H123" i="3"/>
  <c r="Q68" i="3" l="1"/>
  <c r="C18" i="164" s="1"/>
  <c r="Q121" i="3"/>
  <c r="C29" i="164" s="1"/>
  <c r="U28" i="3"/>
  <c r="AB28" i="3" s="1"/>
  <c r="AA27" i="3"/>
  <c r="AB27" i="3" s="1"/>
  <c r="Z148" i="3"/>
  <c r="Q144" i="3"/>
  <c r="C34" i="164" s="1"/>
  <c r="Q17" i="3"/>
  <c r="C8" i="164" s="1"/>
  <c r="W70" i="3"/>
  <c r="W123" i="3"/>
  <c r="V70" i="3"/>
  <c r="Z140" i="3"/>
  <c r="AA140" i="3"/>
  <c r="AA123" i="3"/>
  <c r="U140" i="3"/>
  <c r="S140" i="3" s="1"/>
  <c r="V140" i="3"/>
  <c r="X140" i="3"/>
  <c r="X123" i="3"/>
  <c r="AC57" i="3"/>
  <c r="AC109" i="3"/>
  <c r="AC84" i="3"/>
  <c r="AC26" i="3"/>
  <c r="AC90" i="3"/>
  <c r="AC116" i="3"/>
  <c r="AC115" i="3"/>
  <c r="AC60" i="3"/>
  <c r="AC21" i="3"/>
  <c r="AC24" i="3"/>
  <c r="AC147" i="3"/>
  <c r="AC136" i="3"/>
  <c r="AC27" i="3"/>
  <c r="AC100" i="3"/>
  <c r="AC112" i="3"/>
  <c r="AC123" i="3"/>
  <c r="AC22" i="3"/>
  <c r="AC54" i="3"/>
  <c r="AC126" i="3"/>
  <c r="AC75" i="3"/>
  <c r="AC134" i="3"/>
  <c r="AC73" i="3"/>
  <c r="AC124" i="3"/>
  <c r="AC48" i="3"/>
  <c r="AC50" i="3"/>
  <c r="AC25" i="3"/>
  <c r="AC42" i="3"/>
  <c r="AC59" i="3"/>
  <c r="AC132" i="3"/>
  <c r="AC82" i="3"/>
  <c r="AC122" i="3"/>
  <c r="AC138" i="3"/>
  <c r="AC153" i="3"/>
  <c r="AC85" i="3"/>
  <c r="AC114" i="3"/>
  <c r="AC111" i="3"/>
  <c r="AC137" i="3"/>
  <c r="AC141" i="3"/>
  <c r="AC146" i="3"/>
  <c r="AC154" i="3"/>
  <c r="AC127" i="3"/>
  <c r="AC76" i="3"/>
  <c r="AC23" i="3"/>
  <c r="AC64" i="3"/>
  <c r="AC89" i="3"/>
  <c r="AC53" i="3"/>
  <c r="AC117" i="3"/>
  <c r="AC49" i="3"/>
  <c r="AC108" i="3"/>
  <c r="AC155" i="3"/>
  <c r="AC148" i="3"/>
  <c r="AC46" i="3"/>
  <c r="AC156" i="3"/>
  <c r="AC143" i="3"/>
  <c r="AC44" i="3"/>
  <c r="AC20" i="3"/>
  <c r="AC51" i="3"/>
  <c r="AC92" i="3"/>
  <c r="AC43" i="3"/>
  <c r="AC47" i="3"/>
  <c r="AC63" i="3"/>
  <c r="AC129" i="3"/>
  <c r="AC107" i="3"/>
  <c r="AC45" i="3"/>
  <c r="AC77" i="3"/>
  <c r="AC71" i="3"/>
  <c r="AC95" i="3"/>
  <c r="AC98" i="3"/>
  <c r="AC67" i="3"/>
  <c r="AC19" i="3"/>
  <c r="AC69" i="3"/>
  <c r="AC118" i="3"/>
  <c r="AC93" i="3"/>
  <c r="AC87" i="3"/>
  <c r="AC106" i="3"/>
  <c r="AC110" i="3"/>
  <c r="AC102" i="3"/>
  <c r="C9" i="164"/>
  <c r="AB20" i="3"/>
  <c r="S20" i="3"/>
  <c r="AB29" i="3"/>
  <c r="S29" i="3"/>
  <c r="S58" i="3"/>
  <c r="AB58" i="3"/>
  <c r="S107" i="3"/>
  <c r="AB107" i="3"/>
  <c r="AB127" i="3"/>
  <c r="S127" i="3"/>
  <c r="S45" i="3"/>
  <c r="AB45" i="3"/>
  <c r="C23" i="164"/>
  <c r="AB126" i="3"/>
  <c r="S126" i="3"/>
  <c r="S41" i="3"/>
  <c r="AB41" i="3"/>
  <c r="S145" i="3"/>
  <c r="AB145" i="3"/>
  <c r="S131" i="3"/>
  <c r="AB131" i="3"/>
  <c r="AC145" i="3"/>
  <c r="S62" i="3"/>
  <c r="AB62" i="3"/>
  <c r="AB16" i="3"/>
  <c r="S16" i="3"/>
  <c r="S56" i="3"/>
  <c r="AB56" i="3"/>
  <c r="S70" i="3"/>
  <c r="S116" i="3"/>
  <c r="AB116" i="3"/>
  <c r="AB153" i="3"/>
  <c r="S153" i="3"/>
  <c r="S112" i="3"/>
  <c r="AB112" i="3"/>
  <c r="AB109" i="3"/>
  <c r="S109" i="3"/>
  <c r="S146" i="3"/>
  <c r="AB146" i="3"/>
  <c r="AC41" i="3"/>
  <c r="S113" i="3"/>
  <c r="AB113" i="3"/>
  <c r="C16" i="164"/>
  <c r="AB78" i="3"/>
  <c r="S78" i="3"/>
  <c r="AB30" i="3"/>
  <c r="S30" i="3"/>
  <c r="S74" i="3"/>
  <c r="AB74" i="3"/>
  <c r="AC78" i="3"/>
  <c r="S97" i="3"/>
  <c r="AB97" i="3"/>
  <c r="AB65" i="3"/>
  <c r="S65" i="3"/>
  <c r="AB114" i="3"/>
  <c r="S114" i="3"/>
  <c r="AB18" i="3"/>
  <c r="S18" i="3"/>
  <c r="S53" i="3"/>
  <c r="AB53" i="3"/>
  <c r="S138" i="3"/>
  <c r="AB138" i="3"/>
  <c r="S47" i="3"/>
  <c r="AB47" i="3"/>
  <c r="C24" i="164"/>
  <c r="AB21" i="3"/>
  <c r="S21" i="3"/>
  <c r="S141" i="3"/>
  <c r="AB141" i="3"/>
  <c r="AC62" i="3"/>
  <c r="AC131" i="3"/>
  <c r="AC30" i="3"/>
  <c r="C27" i="164"/>
  <c r="C7" i="164"/>
  <c r="S110" i="3"/>
  <c r="AB110" i="3"/>
  <c r="AB32" i="3"/>
  <c r="S32" i="3"/>
  <c r="AB132" i="3"/>
  <c r="S132" i="3"/>
  <c r="AB61" i="3"/>
  <c r="S61" i="3"/>
  <c r="AB77" i="3"/>
  <c r="S77" i="3"/>
  <c r="S28" i="3"/>
  <c r="S66" i="3"/>
  <c r="AB66" i="3"/>
  <c r="AB111" i="3"/>
  <c r="S111" i="3"/>
  <c r="S49" i="3"/>
  <c r="AB49" i="3"/>
  <c r="AB156" i="3"/>
  <c r="S156" i="3"/>
  <c r="AB44" i="3"/>
  <c r="S44" i="3"/>
  <c r="S93" i="3"/>
  <c r="AB93" i="3"/>
  <c r="AB79" i="3"/>
  <c r="S79" i="3"/>
  <c r="AB157" i="3"/>
  <c r="S157" i="3"/>
  <c r="AB108" i="3"/>
  <c r="S108" i="3"/>
  <c r="C19" i="164"/>
  <c r="S154" i="3"/>
  <c r="AB154" i="3"/>
  <c r="C30" i="164"/>
  <c r="S90" i="3"/>
  <c r="AB90" i="3"/>
  <c r="C11" i="164"/>
  <c r="AB84" i="3"/>
  <c r="S84" i="3"/>
  <c r="C38" i="164"/>
  <c r="C13" i="164"/>
  <c r="AC32" i="3"/>
  <c r="AC74" i="3"/>
  <c r="AB81" i="3"/>
  <c r="S81" i="3"/>
  <c r="C21" i="164"/>
  <c r="S73" i="3"/>
  <c r="AB73" i="3"/>
  <c r="AB124" i="3"/>
  <c r="S124" i="3"/>
  <c r="AB143" i="3"/>
  <c r="S143" i="3"/>
  <c r="AB82" i="3"/>
  <c r="S82" i="3"/>
  <c r="S48" i="3"/>
  <c r="AB48" i="3"/>
  <c r="AC81" i="3"/>
  <c r="S63" i="3"/>
  <c r="AB63" i="3"/>
  <c r="S75" i="3"/>
  <c r="AB75" i="3"/>
  <c r="AB98" i="3"/>
  <c r="S98" i="3"/>
  <c r="C31" i="164"/>
  <c r="C10" i="164"/>
  <c r="S123" i="3"/>
  <c r="AB24" i="3"/>
  <c r="S24" i="3"/>
  <c r="AB42" i="3"/>
  <c r="S42" i="3"/>
  <c r="S115" i="3"/>
  <c r="AB115" i="3"/>
  <c r="S60" i="3"/>
  <c r="AB60" i="3"/>
  <c r="S148" i="3"/>
  <c r="AB148" i="3"/>
  <c r="AC113" i="3"/>
  <c r="S34" i="3"/>
  <c r="AB34" i="3"/>
  <c r="C32" i="164"/>
  <c r="AB64" i="3"/>
  <c r="S64" i="3"/>
  <c r="AB43" i="3"/>
  <c r="S43" i="3"/>
  <c r="AC125" i="3"/>
  <c r="C14" i="164"/>
  <c r="C25" i="164"/>
  <c r="AC34" i="3"/>
  <c r="AC157" i="3"/>
  <c r="S135" i="3"/>
  <c r="AB135" i="3"/>
  <c r="S87" i="3"/>
  <c r="AB87" i="3"/>
  <c r="S25" i="3"/>
  <c r="AB25" i="3"/>
  <c r="S104" i="3"/>
  <c r="AB104" i="3"/>
  <c r="S85" i="3"/>
  <c r="AB85" i="3"/>
  <c r="AC66" i="3"/>
  <c r="AB155" i="3"/>
  <c r="S155" i="3"/>
  <c r="AC135" i="3"/>
  <c r="S134" i="3"/>
  <c r="AB134" i="3"/>
  <c r="S128" i="3"/>
  <c r="AB128" i="3"/>
  <c r="S22" i="3"/>
  <c r="AB22" i="3"/>
  <c r="S147" i="3"/>
  <c r="AB147" i="3"/>
  <c r="C37" i="164"/>
  <c r="AC58" i="3"/>
  <c r="C15" i="164"/>
  <c r="C22" i="164"/>
  <c r="AB76" i="3"/>
  <c r="S76" i="3"/>
  <c r="S51" i="3"/>
  <c r="AB51" i="3"/>
  <c r="S102" i="3"/>
  <c r="AB102" i="3"/>
  <c r="S92" i="3"/>
  <c r="AB92" i="3"/>
  <c r="S106" i="3"/>
  <c r="AB106" i="3"/>
  <c r="AB125" i="3"/>
  <c r="S125" i="3"/>
  <c r="S31" i="3"/>
  <c r="AB31" i="3"/>
  <c r="S72" i="3"/>
  <c r="AB72" i="3"/>
  <c r="AB80" i="3"/>
  <c r="S80" i="3"/>
  <c r="AC18" i="3"/>
  <c r="S26" i="3"/>
  <c r="AB26" i="3"/>
  <c r="AB50" i="3"/>
  <c r="S50" i="3"/>
  <c r="AB136" i="3"/>
  <c r="S136" i="3"/>
  <c r="S27" i="3"/>
  <c r="AB83" i="3"/>
  <c r="S83" i="3"/>
  <c r="AC56" i="3"/>
  <c r="C33" i="164"/>
  <c r="AC83" i="3"/>
  <c r="AC72" i="3"/>
  <c r="AC61" i="3"/>
  <c r="AC80" i="3"/>
  <c r="S57" i="3"/>
  <c r="AB57" i="3"/>
  <c r="AC104" i="3"/>
  <c r="S89" i="3"/>
  <c r="AB89" i="3"/>
  <c r="AB69" i="3"/>
  <c r="S69" i="3"/>
  <c r="AB118" i="3"/>
  <c r="S118" i="3"/>
  <c r="AB117" i="3"/>
  <c r="S117" i="3"/>
  <c r="S23" i="3"/>
  <c r="AB23" i="3"/>
  <c r="AB71" i="3"/>
  <c r="S71" i="3"/>
  <c r="AB46" i="3"/>
  <c r="S46" i="3"/>
  <c r="AB95" i="3"/>
  <c r="S95" i="3"/>
  <c r="AB122" i="3"/>
  <c r="S122" i="3"/>
  <c r="C12" i="164"/>
  <c r="C17" i="164"/>
  <c r="AB137" i="3"/>
  <c r="S137" i="3"/>
  <c r="AB129" i="3"/>
  <c r="S129" i="3"/>
  <c r="S100" i="3"/>
  <c r="AB100" i="3"/>
  <c r="AC79" i="3"/>
  <c r="S59" i="3"/>
  <c r="AB59" i="3"/>
  <c r="C20" i="164"/>
  <c r="AB67" i="3"/>
  <c r="S67" i="3"/>
  <c r="AC65" i="3"/>
  <c r="S19" i="3"/>
  <c r="AB19" i="3"/>
  <c r="AC28" i="3"/>
  <c r="AC31" i="3"/>
  <c r="S54" i="3"/>
  <c r="AB54" i="3"/>
  <c r="AC97" i="3"/>
  <c r="AC128" i="3"/>
  <c r="C35" i="164"/>
  <c r="AC29" i="3"/>
  <c r="AC16" i="3"/>
  <c r="C26" i="164"/>
  <c r="C36" i="164"/>
  <c r="R52" i="3"/>
  <c r="R35" i="3"/>
  <c r="R55" i="3"/>
  <c r="R133" i="3"/>
  <c r="R15" i="3"/>
  <c r="R149" i="3"/>
  <c r="R94" i="3"/>
  <c r="R142" i="3"/>
  <c r="R99" i="3"/>
  <c r="R68" i="3"/>
  <c r="R105" i="3"/>
  <c r="R36" i="3"/>
  <c r="R33" i="3"/>
  <c r="R38" i="3"/>
  <c r="R37" i="3"/>
  <c r="R130" i="3"/>
  <c r="R151" i="3"/>
  <c r="R40" i="3"/>
  <c r="R139" i="3"/>
  <c r="R121" i="3"/>
  <c r="R150" i="3"/>
  <c r="R96" i="3"/>
  <c r="R101" i="3"/>
  <c r="R152" i="3"/>
  <c r="R39" i="3"/>
  <c r="R91" i="3"/>
  <c r="R103" i="3"/>
  <c r="R88" i="3"/>
  <c r="R86" i="3"/>
  <c r="AC70" i="3" l="1"/>
  <c r="AB70" i="3"/>
  <c r="AB68" i="3" s="1"/>
  <c r="C18" i="218" s="1"/>
  <c r="AB123" i="3"/>
  <c r="AB121" i="3" s="1"/>
  <c r="C29" i="218" s="1"/>
  <c r="AC140" i="3"/>
  <c r="AB140" i="3"/>
  <c r="AB139" i="3" s="1"/>
  <c r="C32" i="218" s="1"/>
  <c r="AB101" i="3"/>
  <c r="C25" i="218" s="1"/>
  <c r="I33" i="224" s="1"/>
  <c r="C11" i="218"/>
  <c r="AB103" i="3"/>
  <c r="C26" i="218" s="1"/>
  <c r="AB152" i="3"/>
  <c r="C38" i="218" s="1"/>
  <c r="AB142" i="3"/>
  <c r="C33" i="218" s="1"/>
  <c r="AB55" i="3"/>
  <c r="C17" i="218" s="1"/>
  <c r="AB40" i="3"/>
  <c r="C15" i="218" s="1"/>
  <c r="AB133" i="3"/>
  <c r="C31" i="218" s="1"/>
  <c r="AB52" i="3"/>
  <c r="C16" i="218" s="1"/>
  <c r="AB96" i="3"/>
  <c r="C23" i="218" s="1"/>
  <c r="AB144" i="3"/>
  <c r="C34" i="218" s="1"/>
  <c r="AB105" i="3"/>
  <c r="C27" i="218" s="1"/>
  <c r="AB33" i="3"/>
  <c r="C9" i="218" s="1"/>
  <c r="C10" i="218"/>
  <c r="AB15" i="3"/>
  <c r="C7" i="218" s="1"/>
  <c r="AB130" i="3"/>
  <c r="C30" i="218" s="1"/>
  <c r="C12" i="218"/>
  <c r="AB94" i="3"/>
  <c r="C22" i="218" s="1"/>
  <c r="AB86" i="3"/>
  <c r="C19" i="218" s="1"/>
  <c r="AB91" i="3"/>
  <c r="C21" i="218" s="1"/>
  <c r="C35" i="218"/>
  <c r="C36" i="218"/>
  <c r="C37" i="218"/>
  <c r="AB99" i="3"/>
  <c r="C24" i="218" s="1"/>
  <c r="AB88" i="3"/>
  <c r="C20" i="218" s="1"/>
  <c r="AB17" i="3"/>
  <c r="C8" i="218" s="1"/>
  <c r="C13" i="218"/>
  <c r="C14" i="218"/>
  <c r="R144" i="3"/>
  <c r="R17" i="3"/>
  <c r="I34" i="224" l="1"/>
  <c r="I23" i="224"/>
  <c r="I25" i="224"/>
  <c r="I43" i="224"/>
  <c r="I32" i="224"/>
  <c r="I22" i="224"/>
  <c r="I41" i="224"/>
  <c r="I30" i="224"/>
  <c r="I35" i="224"/>
  <c r="I26" i="224"/>
  <c r="I40" i="224"/>
  <c r="I38" i="224"/>
  <c r="I42" i="224"/>
  <c r="I31" i="224"/>
  <c r="I27" i="224"/>
  <c r="I39" i="224"/>
  <c r="D23" i="183"/>
  <c r="I21" i="224"/>
  <c r="I20" i="224"/>
  <c r="I28" i="224"/>
  <c r="I29" i="224"/>
  <c r="I24" i="224"/>
  <c r="I37" i="224"/>
  <c r="D27" i="183" l="1"/>
  <c r="D25" i="183"/>
  <c r="D30" i="183"/>
  <c r="D31" i="183"/>
  <c r="D32" i="183"/>
  <c r="D24" i="183"/>
  <c r="D29" i="183"/>
  <c r="D33" i="183"/>
  <c r="E33" i="183" s="1"/>
  <c r="D26" i="183"/>
  <c r="D28" i="183"/>
  <c r="F113" i="212" l="1"/>
  <c r="A3" i="212" l="1"/>
  <c r="A14" i="212" l="1"/>
  <c r="A36" i="212" s="1"/>
  <c r="F3" i="212"/>
  <c r="F80" i="212" l="1"/>
  <c r="A58" i="212"/>
  <c r="A69" i="212" s="1"/>
  <c r="A80" i="212" s="1"/>
  <c r="A91" i="212" s="1"/>
  <c r="F58" i="212" l="1"/>
  <c r="A102" i="212"/>
  <c r="A113" i="212" s="1"/>
  <c r="O136" i="212" l="1"/>
  <c r="A124" i="212"/>
  <c r="A135" i="212" s="1"/>
  <c r="H4" i="3" s="1"/>
  <c r="B6" i="218" s="1"/>
  <c r="C19" i="224" s="1"/>
  <c r="F135" i="212" l="1"/>
  <c r="B6" i="164"/>
  <c r="B102" i="183" s="1"/>
  <c r="F124" i="212"/>
  <c r="O12" i="3"/>
  <c r="J14" i="3"/>
  <c r="M9" i="3"/>
  <c r="N10" i="3"/>
  <c r="R6" i="3"/>
  <c r="M13" i="3"/>
  <c r="N6" i="3"/>
  <c r="K12" i="3"/>
  <c r="K5" i="3"/>
  <c r="I14" i="3"/>
  <c r="R7" i="3"/>
  <c r="L5" i="3"/>
  <c r="M5" i="3"/>
  <c r="L8" i="3"/>
  <c r="O13" i="3"/>
  <c r="K6" i="3"/>
  <c r="I10" i="3"/>
  <c r="R9" i="3"/>
  <c r="J12" i="3"/>
  <c r="L9" i="3"/>
  <c r="K9" i="3"/>
  <c r="I8" i="3"/>
  <c r="M6" i="3"/>
  <c r="J5" i="3"/>
  <c r="O8" i="3"/>
  <c r="J7" i="3"/>
  <c r="N8" i="3"/>
  <c r="M11" i="3"/>
  <c r="M14" i="3"/>
  <c r="K11" i="3"/>
  <c r="L7" i="3"/>
  <c r="R12" i="3"/>
  <c r="L6" i="3"/>
  <c r="N12" i="3"/>
  <c r="J8" i="3"/>
  <c r="O11" i="3"/>
  <c r="I11" i="3"/>
  <c r="O6" i="3"/>
  <c r="N14" i="3"/>
  <c r="R11" i="3"/>
  <c r="L11" i="3"/>
  <c r="J13" i="3"/>
  <c r="M10" i="3"/>
  <c r="R10" i="3"/>
  <c r="R13" i="3"/>
  <c r="K14" i="3"/>
  <c r="R8" i="3"/>
  <c r="M12" i="3"/>
  <c r="K10" i="3"/>
  <c r="K13" i="3"/>
  <c r="N13" i="3"/>
  <c r="L12" i="3"/>
  <c r="L13" i="3"/>
  <c r="J9" i="3"/>
  <c r="K8" i="3"/>
  <c r="L14" i="3"/>
  <c r="R14" i="3"/>
  <c r="I5" i="3"/>
  <c r="N5" i="3"/>
  <c r="O9" i="3"/>
  <c r="N9" i="3"/>
  <c r="O5" i="3"/>
  <c r="N11" i="3"/>
  <c r="I9" i="3"/>
  <c r="J11" i="3"/>
  <c r="M7" i="3"/>
  <c r="O10" i="3"/>
  <c r="J6" i="3"/>
  <c r="K7" i="3"/>
  <c r="M8" i="3"/>
  <c r="L10" i="3"/>
  <c r="I6" i="3"/>
  <c r="N7" i="3"/>
  <c r="R5" i="3"/>
  <c r="I13" i="3"/>
  <c r="O14" i="3"/>
  <c r="I12" i="3"/>
  <c r="J10" i="3"/>
  <c r="O7" i="3"/>
  <c r="I7" i="3"/>
  <c r="T10" i="3" l="1"/>
  <c r="F255" i="212"/>
  <c r="F260" i="212" s="1"/>
  <c r="T6" i="3"/>
  <c r="Y13" i="3"/>
  <c r="V13" i="3" s="1"/>
  <c r="T13" i="3"/>
  <c r="B4" i="231"/>
  <c r="P7" i="3"/>
  <c r="Q7" i="3" s="1"/>
  <c r="AA7" i="3" s="1"/>
  <c r="T11" i="3"/>
  <c r="Y11" i="3"/>
  <c r="X11" i="3" s="1"/>
  <c r="P14" i="3"/>
  <c r="Q14" i="3" s="1"/>
  <c r="Z14" i="3" s="1"/>
  <c r="Y8" i="3"/>
  <c r="W8" i="3" s="1"/>
  <c r="T8" i="3"/>
  <c r="Y10" i="3"/>
  <c r="X10" i="3" s="1"/>
  <c r="P10" i="3"/>
  <c r="Q10" i="3" s="1"/>
  <c r="AA10" i="3" s="1"/>
  <c r="P8" i="3"/>
  <c r="Q8" i="3" s="1"/>
  <c r="Z8" i="3" s="1"/>
  <c r="T7" i="3"/>
  <c r="Y7" i="3"/>
  <c r="U7" i="3" s="1"/>
  <c r="P12" i="3"/>
  <c r="Q12" i="3" s="1"/>
  <c r="AA12" i="3" s="1"/>
  <c r="P5" i="3"/>
  <c r="Q5" i="3" s="1"/>
  <c r="AA5" i="3" s="1"/>
  <c r="Y5" i="3"/>
  <c r="V5" i="3" s="1"/>
  <c r="P13" i="3"/>
  <c r="Q13" i="3" s="1"/>
  <c r="AA13" i="3" s="1"/>
  <c r="T12" i="3"/>
  <c r="Y12" i="3"/>
  <c r="X12" i="3" s="1"/>
  <c r="P9" i="3"/>
  <c r="Q9" i="3" s="1"/>
  <c r="Z9" i="3" s="1"/>
  <c r="Y9" i="3"/>
  <c r="V9" i="3" s="1"/>
  <c r="T9" i="3"/>
  <c r="P6" i="3"/>
  <c r="Q6" i="3" s="1"/>
  <c r="Z6" i="3" s="1"/>
  <c r="Y6" i="3"/>
  <c r="V6" i="3" s="1"/>
  <c r="P11" i="3"/>
  <c r="Q11" i="3" s="1"/>
  <c r="Z11" i="3" s="1"/>
  <c r="T14" i="3"/>
  <c r="Y14" i="3"/>
  <c r="U14" i="3" s="1"/>
  <c r="H10" i="3"/>
  <c r="H11" i="3"/>
  <c r="H12" i="3"/>
  <c r="H13" i="3"/>
  <c r="H7" i="3"/>
  <c r="H14" i="3"/>
  <c r="H6" i="3"/>
  <c r="H9" i="3"/>
  <c r="H5" i="3"/>
  <c r="H8" i="3"/>
  <c r="W13" i="3" l="1"/>
  <c r="U13" i="3"/>
  <c r="V10" i="3"/>
  <c r="X13" i="3"/>
  <c r="U11" i="3"/>
  <c r="S11" i="3" s="1"/>
  <c r="V11" i="3"/>
  <c r="AA11" i="3"/>
  <c r="U10" i="3"/>
  <c r="Z10" i="3"/>
  <c r="W10" i="3"/>
  <c r="X9" i="3"/>
  <c r="X7" i="3"/>
  <c r="W9" i="3"/>
  <c r="V7" i="3"/>
  <c r="U9" i="3"/>
  <c r="S9" i="3" s="1"/>
  <c r="W7" i="3"/>
  <c r="W11" i="3"/>
  <c r="AA14" i="3"/>
  <c r="W14" i="3"/>
  <c r="Z12" i="3"/>
  <c r="U6" i="3"/>
  <c r="AA8" i="3"/>
  <c r="U12" i="3"/>
  <c r="S12" i="3" s="1"/>
  <c r="Z7" i="3"/>
  <c r="Z5" i="3"/>
  <c r="W5" i="3"/>
  <c r="AA9" i="3"/>
  <c r="AA6" i="3"/>
  <c r="X8" i="3"/>
  <c r="X6" i="3"/>
  <c r="W6" i="3"/>
  <c r="Q4" i="3"/>
  <c r="Q159" i="3" s="1"/>
  <c r="C41" i="164" s="1"/>
  <c r="X5" i="3"/>
  <c r="W12" i="3"/>
  <c r="U5" i="3"/>
  <c r="S5" i="3" s="1"/>
  <c r="V12" i="3"/>
  <c r="V14" i="3"/>
  <c r="Z13" i="3"/>
  <c r="X14" i="3"/>
  <c r="Y158" i="3"/>
  <c r="V8" i="3"/>
  <c r="U8" i="3"/>
  <c r="S13" i="3"/>
  <c r="S14" i="3"/>
  <c r="S7" i="3"/>
  <c r="AB13" i="3" l="1"/>
  <c r="AC13" i="3"/>
  <c r="AC9" i="3"/>
  <c r="AC10" i="3"/>
  <c r="AC11" i="3"/>
  <c r="S10" i="3"/>
  <c r="AB10" i="3"/>
  <c r="V158" i="3"/>
  <c r="X158" i="3"/>
  <c r="AB11" i="3"/>
  <c r="AC7" i="3"/>
  <c r="AC14" i="3"/>
  <c r="AC6" i="3"/>
  <c r="AB9" i="3"/>
  <c r="AB7" i="3"/>
  <c r="C6" i="164"/>
  <c r="AC8" i="3"/>
  <c r="AC12" i="3"/>
  <c r="AB14" i="3"/>
  <c r="AB6" i="3"/>
  <c r="S6" i="3"/>
  <c r="Q158" i="3"/>
  <c r="C40" i="164" s="1"/>
  <c r="W158" i="3"/>
  <c r="AB8" i="3"/>
  <c r="S8" i="3"/>
  <c r="AA158" i="3"/>
  <c r="AB12" i="3"/>
  <c r="AC5" i="3"/>
  <c r="U158" i="3"/>
  <c r="AB5" i="3"/>
  <c r="Z158" i="3"/>
  <c r="R4" i="3"/>
  <c r="Q160" i="3" l="1"/>
  <c r="F92" i="221" s="1"/>
  <c r="F94" i="221" s="1"/>
  <c r="S158" i="3"/>
  <c r="C42" i="164"/>
  <c r="D39" i="164" s="1"/>
  <c r="AB4" i="3"/>
  <c r="AB158" i="3" s="1"/>
  <c r="U160" i="3" l="1"/>
  <c r="D40" i="164"/>
  <c r="C6" i="218"/>
  <c r="I19" i="224" s="1"/>
  <c r="D36" i="164"/>
  <c r="D12" i="164"/>
  <c r="D25" i="164"/>
  <c r="D15" i="164"/>
  <c r="D30" i="164"/>
  <c r="D27" i="164"/>
  <c r="D9" i="164"/>
  <c r="D11" i="164"/>
  <c r="D35" i="164"/>
  <c r="D37" i="164"/>
  <c r="D18" i="164"/>
  <c r="D22" i="164"/>
  <c r="D29" i="164"/>
  <c r="D31" i="164"/>
  <c r="D6" i="164"/>
  <c r="D20" i="164"/>
  <c r="D17" i="164"/>
  <c r="D23" i="164"/>
  <c r="D8" i="164"/>
  <c r="D13" i="164"/>
  <c r="D21" i="164"/>
  <c r="D41" i="164"/>
  <c r="D38" i="164"/>
  <c r="D16" i="164"/>
  <c r="D19" i="164"/>
  <c r="F42" i="164"/>
  <c r="D14" i="164"/>
  <c r="D26" i="164"/>
  <c r="D24" i="164"/>
  <c r="D7" i="164"/>
  <c r="D28" i="164"/>
  <c r="D33" i="164"/>
  <c r="D34" i="164"/>
  <c r="D32" i="164"/>
  <c r="D10" i="164"/>
  <c r="C40" i="218" l="1"/>
  <c r="D6" i="218" s="1"/>
  <c r="I45" i="224" l="1"/>
  <c r="D14" i="218"/>
  <c r="D28" i="218"/>
  <c r="D31" i="218"/>
  <c r="D23" i="218"/>
  <c r="D36" i="218"/>
  <c r="D10" i="218"/>
  <c r="D8" i="218"/>
  <c r="D30" i="218"/>
  <c r="D27" i="218"/>
  <c r="D7" i="218"/>
  <c r="D34" i="218"/>
  <c r="D19" i="218"/>
  <c r="D13" i="218"/>
  <c r="D32" i="218"/>
  <c r="D22" i="218"/>
  <c r="D16" i="218"/>
  <c r="D35" i="218"/>
  <c r="F40" i="218"/>
  <c r="D11" i="218"/>
  <c r="D18" i="218"/>
  <c r="D24" i="218"/>
  <c r="D38" i="218"/>
  <c r="D33" i="218"/>
  <c r="D9" i="218"/>
  <c r="D15" i="218"/>
  <c r="D12" i="218"/>
  <c r="D17" i="218"/>
  <c r="D37" i="218"/>
  <c r="D29" i="218"/>
  <c r="D25" i="218"/>
  <c r="D26" i="218"/>
  <c r="D21" i="218"/>
  <c r="D20" i="218"/>
  <c r="D39" i="2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Leon Cui</author>
  </authors>
  <commentList>
    <comment ref="B3" authorId="0" shapeId="0" xr:uid="{D8DC7929-B795-44EA-81A7-722822D75EB0}">
      <text>
        <r>
          <rPr>
            <b/>
            <sz val="9"/>
            <color indexed="81"/>
            <rFont val="Tahoma"/>
            <family val="2"/>
          </rPr>
          <t>Leon Cui:</t>
        </r>
        <r>
          <rPr>
            <sz val="9"/>
            <color indexed="81"/>
            <rFont val="Tahoma"/>
            <family val="2"/>
          </rPr>
          <t xml:space="preserve">
Group by sizes (height by width) and no of panels
e.g. W01 - 1500 high x 1200 wide - 2 Lite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<sst xmlns="http://schemas.openxmlformats.org/spreadsheetml/2006/main" count="19534" uniqueCount="2491">
  <si>
    <t>ITEM</t>
  </si>
  <si>
    <t>QTY</t>
  </si>
  <si>
    <t>UNIT</t>
  </si>
  <si>
    <t>RATE</t>
  </si>
  <si>
    <t>TOTAL</t>
  </si>
  <si>
    <t>No.</t>
  </si>
  <si>
    <t>L</t>
  </si>
  <si>
    <t>W</t>
  </si>
  <si>
    <t>H / D</t>
  </si>
  <si>
    <t>Area</t>
  </si>
  <si>
    <t>Volume</t>
  </si>
  <si>
    <t>m2</t>
  </si>
  <si>
    <t>PROJECT</t>
  </si>
  <si>
    <t>LOCATION</t>
  </si>
  <si>
    <t>DESCRIPTION</t>
  </si>
  <si>
    <t>Lm</t>
  </si>
  <si>
    <t xml:space="preserve"> </t>
  </si>
  <si>
    <t>PRELIMINARIES</t>
  </si>
  <si>
    <t>CONTINGENCY</t>
  </si>
  <si>
    <t>ALLOWANCES</t>
  </si>
  <si>
    <t>EXCLUSIONS</t>
  </si>
  <si>
    <t>ASSUMPTIONS</t>
  </si>
  <si>
    <t>COMMENTS</t>
  </si>
  <si>
    <t>MARGIN</t>
  </si>
  <si>
    <t>item</t>
  </si>
  <si>
    <t>m3</t>
  </si>
  <si>
    <t>LABOUR</t>
  </si>
  <si>
    <t>MATERIALS</t>
  </si>
  <si>
    <t>PLANT</t>
  </si>
  <si>
    <t>TRADE</t>
  </si>
  <si>
    <t>Total (ex GST)</t>
  </si>
  <si>
    <t>NOTES</t>
  </si>
  <si>
    <t>SUB</t>
  </si>
  <si>
    <t>Item</t>
  </si>
  <si>
    <t>MISC</t>
  </si>
  <si>
    <t>PROJECT TOTAL (ex GST)</t>
  </si>
  <si>
    <t>MATERIAL</t>
  </si>
  <si>
    <t>Labour Total</t>
  </si>
  <si>
    <t>Material Total</t>
  </si>
  <si>
    <t>Plant Total</t>
  </si>
  <si>
    <t>Misc. Total</t>
  </si>
  <si>
    <t>BREAKDOWN</t>
  </si>
  <si>
    <t>Total Error Check</t>
  </si>
  <si>
    <t xml:space="preserve">Unless finishes are specifically noted in the project documentation allowance is generally made for a medium level of finish throughout. If your project will require a high end finish or is to be a low end budget finish please advise us and we can adjust the rates accordingly. </t>
  </si>
  <si>
    <t xml:space="preserve">Preliminaries have been allowed based on our previous experience working on similar projects but this is a difficult element of the job to allow for as every builder will approach a project in a different way. We highly recommend that you carefully consider the allowances we have made and adjust these as you see fit. Site team allowances and the expected project duration can be adjusted above while all other items can be adjusted in the Preliminaries sheet. </t>
  </si>
  <si>
    <t>CLIENT NOTES</t>
  </si>
  <si>
    <t>Council &amp; infrastructure charges</t>
  </si>
  <si>
    <t>Professional &amp; consultant fees</t>
  </si>
  <si>
    <r>
      <t xml:space="preserve">Scaffold Hire 
</t>
    </r>
    <r>
      <rPr>
        <sz val="8"/>
        <color theme="1"/>
        <rFont val="Calibri"/>
        <family val="2"/>
        <scheme val="minor"/>
      </rPr>
      <t>(refer scaffolding sheet for weekly cost)</t>
    </r>
  </si>
  <si>
    <t>Construction Cadet</t>
  </si>
  <si>
    <t>OH&amp;S Manager</t>
  </si>
  <si>
    <t>Site Supervisor</t>
  </si>
  <si>
    <t>Foreman</t>
  </si>
  <si>
    <t>Site Manager</t>
  </si>
  <si>
    <t>Contracts Administrator</t>
  </si>
  <si>
    <t>Project Manager</t>
  </si>
  <si>
    <t>Construction Manager</t>
  </si>
  <si>
    <t>Project Duration</t>
  </si>
  <si>
    <t>Weekly Cost</t>
  </si>
  <si>
    <t>Weeks</t>
  </si>
  <si>
    <t>Commitment
(%)</t>
  </si>
  <si>
    <t>As per Summary &amp; Breakdown</t>
  </si>
  <si>
    <t xml:space="preserve">Yes, we will apply loadings to all rates depending on your location. We advise you check through our allowances for each trade as we find pricing can fluctuate greatly in areas with a lower population. </t>
  </si>
  <si>
    <t>A:</t>
  </si>
  <si>
    <r>
      <t xml:space="preserve">I'm in a </t>
    </r>
    <r>
      <rPr>
        <b/>
        <u/>
        <sz val="11"/>
        <color theme="1"/>
        <rFont val="Calibri"/>
        <family val="2"/>
        <scheme val="minor"/>
      </rPr>
      <t>rural area,</t>
    </r>
    <r>
      <rPr>
        <sz val="11"/>
        <color theme="1"/>
        <rFont val="Calibri"/>
        <family val="2"/>
        <scheme val="minor"/>
      </rPr>
      <t xml:space="preserve"> do you adjust the rates for my location?</t>
    </r>
  </si>
  <si>
    <t>Q:</t>
  </si>
  <si>
    <r>
      <t xml:space="preserve">What happens if the project </t>
    </r>
    <r>
      <rPr>
        <b/>
        <u/>
        <sz val="11"/>
        <color theme="1"/>
        <rFont val="Calibri"/>
        <family val="2"/>
        <scheme val="minor"/>
      </rPr>
      <t>documentation changes</t>
    </r>
    <r>
      <rPr>
        <sz val="11"/>
        <color theme="1"/>
        <rFont val="Calibri"/>
        <family val="2"/>
        <scheme val="minor"/>
      </rPr>
      <t xml:space="preserve"> after you've submitted the job?</t>
    </r>
  </si>
  <si>
    <t>Yes we can, if you let us know how you would like to cover these costs and we can add an allowance in.</t>
  </si>
  <si>
    <r>
      <t xml:space="preserve">In all of my projects I make an allowance to </t>
    </r>
    <r>
      <rPr>
        <b/>
        <u/>
        <sz val="11"/>
        <color theme="1"/>
        <rFont val="Calibri"/>
        <family val="2"/>
        <scheme val="minor"/>
      </rPr>
      <t>cover my business overheads</t>
    </r>
    <r>
      <rPr>
        <sz val="11"/>
        <color theme="1"/>
        <rFont val="Calibri"/>
        <family val="2"/>
        <scheme val="minor"/>
      </rPr>
      <t>. Can you allow for this?</t>
    </r>
  </si>
  <si>
    <t xml:space="preserve">On this project you're welcome to adjust any rates as you see fit in the trade sheets. We prefer you run your eye through everything before submitting to your client. Moving forward we are happy to follow any rates you can provide. A number of our clients tweak rates and notify us of this so we can inlcude these in all of their future projects. </t>
  </si>
  <si>
    <r>
      <t xml:space="preserve">I have </t>
    </r>
    <r>
      <rPr>
        <b/>
        <u/>
        <sz val="11"/>
        <color theme="1"/>
        <rFont val="Calibri"/>
        <family val="2"/>
        <scheme val="minor"/>
      </rPr>
      <t>my own rates</t>
    </r>
    <r>
      <rPr>
        <sz val="11"/>
        <color theme="1"/>
        <rFont val="Calibri"/>
        <family val="2"/>
        <scheme val="minor"/>
      </rPr>
      <t xml:space="preserve"> that vary from the industry standard rates you've used.</t>
    </r>
  </si>
  <si>
    <t>You've included an item in one trade but I would normally include it in another.</t>
  </si>
  <si>
    <t xml:space="preserve">We lock a lot of the cells to ensure the spreadsheet flows correctly while still allowing you to edit certain elements such as the rates and item descriptions. </t>
  </si>
  <si>
    <t xml:space="preserve">Yes, you can either forward your quotes to us to enter or you can do this yourself by entering the price for each item in to the "Sub" column on each trade sheet. Please be sure to enter the total amount for the item and not the rate as the spreadsheet will divide the total subcontractor price entered by the quantity we've measured. </t>
  </si>
  <si>
    <r>
      <t xml:space="preserve">I've got </t>
    </r>
    <r>
      <rPr>
        <b/>
        <u/>
        <sz val="11"/>
        <color theme="1"/>
        <rFont val="Calibri"/>
        <family val="2"/>
        <scheme val="minor"/>
      </rPr>
      <t>subcontractor pricing</t>
    </r>
    <r>
      <rPr>
        <sz val="11"/>
        <color theme="1"/>
        <rFont val="Calibri"/>
        <family val="2"/>
        <scheme val="minor"/>
      </rPr>
      <t xml:space="preserve"> on a number of trades, can I enter these prices in to the BOQ?</t>
    </r>
  </si>
  <si>
    <t xml:space="preserve">We use the contingency to cover unknown costs that are very difficult for us to allow for without further information or for costs that will be unknown until you start the project. These include poor project documentation, difficult site access, site logisitical issues, difficult market conditions, tight time frames etc. You are welcome to adjust this percentage as you see fit just as you can do with the margin. </t>
  </si>
  <si>
    <r>
      <t xml:space="preserve">What is the </t>
    </r>
    <r>
      <rPr>
        <b/>
        <u/>
        <sz val="11"/>
        <color theme="1"/>
        <rFont val="Calibri"/>
        <family val="2"/>
        <scheme val="minor"/>
      </rPr>
      <t>contingency</t>
    </r>
    <r>
      <rPr>
        <sz val="11"/>
        <color theme="1"/>
        <rFont val="Calibri"/>
        <family val="2"/>
        <scheme val="minor"/>
      </rPr>
      <t xml:space="preserve"> for?</t>
    </r>
  </si>
  <si>
    <r>
      <t xml:space="preserve">Can I send your spreadsheet </t>
    </r>
    <r>
      <rPr>
        <b/>
        <u/>
        <sz val="11"/>
        <color theme="1"/>
        <rFont val="Calibri"/>
        <family val="2"/>
        <scheme val="minor"/>
      </rPr>
      <t>straight on to my client</t>
    </r>
    <r>
      <rPr>
        <sz val="11"/>
        <color theme="1"/>
        <rFont val="Calibri"/>
        <family val="2"/>
        <scheme val="minor"/>
      </rPr>
      <t>?</t>
    </r>
  </si>
  <si>
    <t xml:space="preserve">Yes, we highly recommend you adjust the margin and contingency percentages as you see fit. This allows you to control the final price if you don't want to adjust our rates. Simply change the orange percentage cells at the bottom of the brekadown page and the project total will flow through the spreadsheet. </t>
  </si>
  <si>
    <r>
      <t xml:space="preserve">I really want to win this job, can I </t>
    </r>
    <r>
      <rPr>
        <b/>
        <u/>
        <sz val="11"/>
        <color theme="1"/>
        <rFont val="Calibri"/>
        <family val="2"/>
        <scheme val="minor"/>
      </rPr>
      <t>adjust the margin</t>
    </r>
    <r>
      <rPr>
        <sz val="11"/>
        <color theme="1"/>
        <rFont val="Calibri"/>
        <family val="2"/>
        <scheme val="minor"/>
      </rPr>
      <t>?</t>
    </r>
  </si>
  <si>
    <t>FAQs</t>
  </si>
  <si>
    <t>Units of Measurement</t>
  </si>
  <si>
    <t xml:space="preserve">Rates entered in the green row will overide those in the white rows </t>
  </si>
  <si>
    <t xml:space="preserve">Subcontractor pricing can be entered in to the "Sub" column and this will override all other pricing entered. If a subcontractor has included the item you are rating but this allowance has been entered elsewhere in the BOQ you can write included, incl or inc in the subcontractor column and this will overide any rates entered to make the item 0.  </t>
  </si>
  <si>
    <t xml:space="preserve">You can enter rates in the green rows within a trade tab or in the white rows below. Should you wish to use a build up of rates to calculate an overall price you may enter this buildup in the white rows and the rate will automatically calculate based on the pricing you have listed here. </t>
  </si>
  <si>
    <t xml:space="preserve">Rates for each item should be entered within each trade tab. The rate of each item will automatically flow through to the breakdown page and on to the summary page. </t>
  </si>
  <si>
    <t>Rates</t>
  </si>
  <si>
    <t>Error Checker</t>
  </si>
  <si>
    <t xml:space="preserve">Each trade sheet includes a totals section to the far right. Be sure to scroll to the right to see this if you are using a small screen. This shows the total allowance for labour, materials, plant, misc and subcontract for each item as a whole rather than per unit. This can be useful when completing the works on site to calculate how much you have to buy your materials or how many man hours you have to complete each item. </t>
  </si>
  <si>
    <t>Totals</t>
  </si>
  <si>
    <t>Each trade is calculated on a separate sheet. On these sheets you will see the quantities listed to the left with the buildup of rates per unit to the right. The item total is calculated as the rate x quantity. See below for how the rates can be entered/adjusted.</t>
  </si>
  <si>
    <t>Trades</t>
  </si>
  <si>
    <t xml:space="preserve">This sheet is for items often paid for by the builder to manage the project and site. A number of these items are linked to the project duration such as the project team, site sheds and toilets, as you adjust the project duration in the notes tab the allowances in this tab will automatically change. </t>
  </si>
  <si>
    <t>Preliminaries</t>
  </si>
  <si>
    <t>This sheet provides a breakdown of the items included within each trade as well as the trade totals listed in the summary page. At the bottom of this sheet you will find allowances for contingency (allowance for unknowns such as design issues, site unknowns, market uncertainty) and margin (profit)</t>
  </si>
  <si>
    <t>Breakdown</t>
  </si>
  <si>
    <t>This sheet provides a snapshot of the project and gives a trade by trade breakdown of the project costs</t>
  </si>
  <si>
    <t>Summary</t>
  </si>
  <si>
    <t xml:space="preserve">On this sheet we list any provisional sums, rates that often require adjustment by clients,  assumptions, exclusions and client notes to cover items discussed between us that you won't want to pass on to your client. On this sheet you can also adjust your expected project duration and your site team. This will adjust the allowances made throughout the spreadsheet and the project total price.  </t>
  </si>
  <si>
    <t>Notes</t>
  </si>
  <si>
    <t>The spreadsheet is made up of a number of tabs or sheets (Notes, Summary, Breakdown, Prelimiaries, Scaffolding etc). These sheets can be opened at the bottom of the screen.</t>
  </si>
  <si>
    <t>Spreadsheet Layout</t>
  </si>
  <si>
    <t>INSTRUCTIONS</t>
  </si>
  <si>
    <t xml:space="preserve">Should you have a specific issue you may use the find tool (ctrl+f) to search for keywords in this sheet. If you can not find the information you require please do not hesitate to contact us on the details listed in the submission email of this project. We are always happy to help. </t>
  </si>
  <si>
    <t>INSTRUCTIONS &amp; FAQs</t>
  </si>
  <si>
    <t>General sundries</t>
  </si>
  <si>
    <t>Heath and safety allowance</t>
  </si>
  <si>
    <t>Site Securty (single guard)</t>
  </si>
  <si>
    <t>Surveyor</t>
  </si>
  <si>
    <t>Geotechnical report</t>
  </si>
  <si>
    <t>Mobile crane - 50 tonne</t>
  </si>
  <si>
    <t>Mobile crane - 20 tonne</t>
  </si>
  <si>
    <t>Mobile crane - 12 tonne</t>
  </si>
  <si>
    <t>Asbestos Skip bin - 12m3</t>
  </si>
  <si>
    <t>Asbestos Skip bin - 8m3</t>
  </si>
  <si>
    <t>Asbestos Skip bin - 4m3</t>
  </si>
  <si>
    <t>Skip bin - 12m3 bin</t>
  </si>
  <si>
    <t>Skip bin - 8m3 bin</t>
  </si>
  <si>
    <t>Skip bin- 4m3 bin</t>
  </si>
  <si>
    <t>Connection to sewer main</t>
  </si>
  <si>
    <t>Disconnection of water service</t>
  </si>
  <si>
    <t>Connection to water supply - including meter - 20mm diameter</t>
  </si>
  <si>
    <t>Temporary - power pole meter box pole - single phase</t>
  </si>
  <si>
    <t>Overhead electrical mains protection - tiger tails (up to 5m)</t>
  </si>
  <si>
    <t>Site shed - lunchroom - 4.8 x 2.4m</t>
  </si>
  <si>
    <t>Site shed - site office - 3.6 x 2.4m</t>
  </si>
  <si>
    <t>Traffic control including signage - 3 man crew</t>
  </si>
  <si>
    <t>Building site signs - corflute - 600mm x 900mm</t>
  </si>
  <si>
    <t>Mandatory safety signs - mesh - 1500x1000mm</t>
  </si>
  <si>
    <t>Roof Insulation</t>
  </si>
  <si>
    <t>Gutter</t>
  </si>
  <si>
    <t>External Soffit</t>
  </si>
  <si>
    <t>Plywood Bracing</t>
  </si>
  <si>
    <t>Rectangular Hollow Sections (RHS)</t>
  </si>
  <si>
    <t>Circular Hollow Sections (CHS)</t>
  </si>
  <si>
    <t>Universal Columns (UC)</t>
  </si>
  <si>
    <t>Balustrade</t>
  </si>
  <si>
    <t>Mirror</t>
  </si>
  <si>
    <t>Aluminium Sliding Windows</t>
  </si>
  <si>
    <t>Aluminium Double Hung Windows</t>
  </si>
  <si>
    <t>Aluminium Awning Windows</t>
  </si>
  <si>
    <t>Aluminium Casement Windows</t>
  </si>
  <si>
    <t>Aluminium Bi-Fold Windows</t>
  </si>
  <si>
    <t>Aluminium Fixed Windows</t>
  </si>
  <si>
    <t>Aluminium Louvre Windows</t>
  </si>
  <si>
    <t>Carpet</t>
  </si>
  <si>
    <t>Timber</t>
  </si>
  <si>
    <t>Vinyl</t>
  </si>
  <si>
    <t>Make Good Disrupted Areas</t>
  </si>
  <si>
    <t>Unit</t>
  </si>
  <si>
    <t>Date prices updated:</t>
  </si>
  <si>
    <t>RHS</t>
  </si>
  <si>
    <t>SHS</t>
  </si>
  <si>
    <t>week</t>
  </si>
  <si>
    <t>hrs</t>
  </si>
  <si>
    <t>TOTAL ITEM ALLOWANCES</t>
  </si>
  <si>
    <t>Tower Crane - 6 tonne</t>
  </si>
  <si>
    <t>Tower Crane - 12 tonne</t>
  </si>
  <si>
    <t>Tower Crane - 24 tonne</t>
  </si>
  <si>
    <t>wks</t>
  </si>
  <si>
    <t>Delivery/Erection/Dismantle of Tower Crane</t>
  </si>
  <si>
    <t>Sub. Total</t>
  </si>
  <si>
    <t>General Client Notes</t>
  </si>
  <si>
    <r>
      <rPr>
        <b/>
        <u/>
        <sz val="11"/>
        <rFont val="Calibri"/>
        <family val="2"/>
        <scheme val="minor"/>
      </rPr>
      <t xml:space="preserve">Quality of Documentation </t>
    </r>
    <r>
      <rPr>
        <sz val="12"/>
        <rFont val="Calibri"/>
        <family val="2"/>
        <scheme val="minor"/>
      </rPr>
      <t xml:space="preserve">
Due to the preliminary nature of documents available we highly advise obtaining further documentation prior to entering an agreement with your client. The quantities provided are as accurate as is possible with the current documentation available. </t>
    </r>
  </si>
  <si>
    <t>SUMMARY</t>
  </si>
  <si>
    <t>Terminate Services</t>
  </si>
  <si>
    <t>Required if any internal demolition is taking place</t>
  </si>
  <si>
    <t>Allowance to cart spoil up to 10km from site</t>
  </si>
  <si>
    <t>225mm diameter x 1.0 metre deep</t>
  </si>
  <si>
    <t>300mm diameter x 1.0 metre deep</t>
  </si>
  <si>
    <t>Thickness</t>
  </si>
  <si>
    <t>0.42BMT</t>
  </si>
  <si>
    <t>Skylight</t>
  </si>
  <si>
    <t>Roof insulation blanket - glasswool - R 1.3 - 60mm thick</t>
  </si>
  <si>
    <t>Total Roofing Area</t>
  </si>
  <si>
    <t>Tie Down to External Wall Framing</t>
  </si>
  <si>
    <t>Wall Type</t>
  </si>
  <si>
    <t>10mm thick Plasterboard Sheeting to Wall</t>
  </si>
  <si>
    <t>H/D</t>
  </si>
  <si>
    <t>Volum</t>
  </si>
  <si>
    <t>Wall Area (m2)</t>
  </si>
  <si>
    <t>Wall Sheeting (m2)</t>
  </si>
  <si>
    <t>Timber Wall Framing</t>
  </si>
  <si>
    <t>Metal Wall Framing</t>
  </si>
  <si>
    <t>Masonry Wall Framing</t>
  </si>
  <si>
    <t>Ceiling Area (m2)</t>
  </si>
  <si>
    <t>Ceiling Sheeting (m2)</t>
  </si>
  <si>
    <t>10mm thick Plasterboard Sheeting to Ceiling</t>
  </si>
  <si>
    <t>10mm thick Water Resistant Plasterboard Sheeting to Ceiling</t>
  </si>
  <si>
    <t>Cornice (Lm)</t>
  </si>
  <si>
    <t>Square Set</t>
  </si>
  <si>
    <t>Shadow line</t>
  </si>
  <si>
    <t>External Soffit - Blank 1</t>
  </si>
  <si>
    <t>External Soffit - Blank 2</t>
  </si>
  <si>
    <t>Ceiling Insulation</t>
  </si>
  <si>
    <t>Soffit Area (m2)</t>
  </si>
  <si>
    <t>Fully Enclosed Covered Area (FECA)</t>
  </si>
  <si>
    <t>External Angle</t>
  </si>
  <si>
    <t>Sanitary Fixtures &amp; Tapware (PC item)</t>
  </si>
  <si>
    <t>Floor Waste - Square/Round</t>
  </si>
  <si>
    <t>Demolish Solid Walls</t>
  </si>
  <si>
    <t>Demolish Columns</t>
  </si>
  <si>
    <t>Brick wall - 230mm thick (Machine)</t>
  </si>
  <si>
    <t>Remove steel post (hand)</t>
  </si>
  <si>
    <t>Demolish Windows/Sliding Doors</t>
  </si>
  <si>
    <t>1 - 2m2</t>
  </si>
  <si>
    <t>4 - 5m2</t>
  </si>
  <si>
    <t>Demolish Doors &amp; Jamb</t>
  </si>
  <si>
    <t>Solid core - single door &amp; timber jamb</t>
  </si>
  <si>
    <t>PROVISIONAL SUMS &amp; PRIME COST (included in project total)</t>
  </si>
  <si>
    <t>Domestic</t>
  </si>
  <si>
    <t>Steel - galvanised</t>
  </si>
  <si>
    <t>External Angles</t>
  </si>
  <si>
    <t>External Angles Quantity (Lm)</t>
  </si>
  <si>
    <t>Bulkhead</t>
  </si>
  <si>
    <t>Bulkhead Quantity (Lm)</t>
  </si>
  <si>
    <t>Universal Beams (UB)</t>
  </si>
  <si>
    <t>6mm thick Villaboard Sheeting to Wall</t>
  </si>
  <si>
    <t>tonnes</t>
  </si>
  <si>
    <t>Kickboard</t>
  </si>
  <si>
    <t>Dress/End Panel</t>
  </si>
  <si>
    <t>Base Cabinet</t>
  </si>
  <si>
    <t>Shelving</t>
  </si>
  <si>
    <t>Hanging Rail</t>
  </si>
  <si>
    <t>Vanity</t>
  </si>
  <si>
    <t>Water supply - ground level</t>
  </si>
  <si>
    <t>Sanitary drainage - ground level - bathroom/ensuite</t>
  </si>
  <si>
    <t>Sanitary drainage - ground level - kitchen</t>
  </si>
  <si>
    <t>Electrical &amp; Communication (Provisional Sum)</t>
  </si>
  <si>
    <t>Plumbing &amp; Drainage (Provisional Sum)</t>
  </si>
  <si>
    <t>Roof Safety System (Provisional Sum)</t>
  </si>
  <si>
    <t>Building Type</t>
  </si>
  <si>
    <t>PROJECT INFORMATION</t>
  </si>
  <si>
    <t>Total Levels</t>
  </si>
  <si>
    <t>Basement Levels</t>
  </si>
  <si>
    <t>TV Outlet</t>
  </si>
  <si>
    <t>Single GPO</t>
  </si>
  <si>
    <t>Double GPO</t>
  </si>
  <si>
    <t>Bathroom Accessories</t>
  </si>
  <si>
    <t>Contigency</t>
  </si>
  <si>
    <t>Margin</t>
  </si>
  <si>
    <t>Total (inc)</t>
  </si>
  <si>
    <t>Demolish Cupboards</t>
  </si>
  <si>
    <t>Kitchen - Base cabinets &amp; Bench top</t>
  </si>
  <si>
    <t>Certifier</t>
  </si>
  <si>
    <t>Home Warranty Insurance</t>
  </si>
  <si>
    <r>
      <rPr>
        <sz val="17"/>
        <color rgb="FF0090BA"/>
        <rFont val="Tahoma"/>
        <family val="2"/>
      </rPr>
      <t xml:space="preserve">Home Warranty Scheme </t>
    </r>
    <r>
      <rPr>
        <b/>
        <sz val="17"/>
        <color rgb="FF0090BA"/>
        <rFont val="Tahoma"/>
        <family val="2"/>
      </rPr>
      <t>Premium Table</t>
    </r>
  </si>
  <si>
    <t>Top Cabinet</t>
  </si>
  <si>
    <t>Full Height Cabinet</t>
  </si>
  <si>
    <t>Aluminium Sliding Doors</t>
  </si>
  <si>
    <t>Wall to Dry/Dry Areas</t>
  </si>
  <si>
    <t>Wall to Dry/Wet Areas</t>
  </si>
  <si>
    <t>Wall to Wet/Wet Areas</t>
  </si>
  <si>
    <t>Wall to Dry/External Areas</t>
  </si>
  <si>
    <t>Wall to Wet/External Areas</t>
  </si>
  <si>
    <t>Wall to Dry Areas</t>
  </si>
  <si>
    <t>Wall to Wet Areas</t>
  </si>
  <si>
    <t>Wall Framing (m2)</t>
  </si>
  <si>
    <t>Plaster</t>
  </si>
  <si>
    <t>Villaboard</t>
  </si>
  <si>
    <t>Water Resistant Plasterboard</t>
  </si>
  <si>
    <t>Acoustic Plasterboard</t>
  </si>
  <si>
    <t>Fire Resistant Plasterboard</t>
  </si>
  <si>
    <t>6mm</t>
  </si>
  <si>
    <t>9mm</t>
  </si>
  <si>
    <t>10mm</t>
  </si>
  <si>
    <t>13mm</t>
  </si>
  <si>
    <t>16mm</t>
  </si>
  <si>
    <t>Standard Plasterboard</t>
  </si>
  <si>
    <t>70mm x 35mm @ 600mm ctrs</t>
  </si>
  <si>
    <t>Internal Timber Wall Framing</t>
  </si>
  <si>
    <t>External Timber Wall Framing</t>
  </si>
  <si>
    <t>Internal Metal Wall Framing</t>
  </si>
  <si>
    <t>External Metal Wall Framing</t>
  </si>
  <si>
    <t>150mm @ 450mm ctrs</t>
  </si>
  <si>
    <t>70mm x 35mm @ 450mm ctrs</t>
  </si>
  <si>
    <t>70mm x 45mm @ 450mm ctrs</t>
  </si>
  <si>
    <t>70mm x 45mm @ 600mm ctrs</t>
  </si>
  <si>
    <t>90mm x 35mm @ 450mm ctrs</t>
  </si>
  <si>
    <t>90mm x 35mm @ 600mm ctrs</t>
  </si>
  <si>
    <t>90mm x 45mm @ 450mm ctrs</t>
  </si>
  <si>
    <t>140mm x 35mm @ 450mm ctrs</t>
  </si>
  <si>
    <t>140mm x 35mm @ 600mm ctrs</t>
  </si>
  <si>
    <t>140mm x 45mm @ 450mm ctrs</t>
  </si>
  <si>
    <t>140mm x 45mm @ 600mm ctrs</t>
  </si>
  <si>
    <t>Wall Insulation</t>
  </si>
  <si>
    <t>Wall Framing - Blank 1</t>
  </si>
  <si>
    <t>Wall Sheeting - Blank 1</t>
  </si>
  <si>
    <t>Wall Sheeting - Blank 2</t>
  </si>
  <si>
    <t>Wall Sheeting - Blank 3</t>
  </si>
  <si>
    <t>Wall Framing - Blank 2</t>
  </si>
  <si>
    <t>Wall Framing - Blank 3</t>
  </si>
  <si>
    <t>Glasswool Batts</t>
  </si>
  <si>
    <t>Wall Insulation (m2)</t>
  </si>
  <si>
    <t>Wall Insulation - Glasswool Batts</t>
  </si>
  <si>
    <t>Wall Insulation - Polyester Batts</t>
  </si>
  <si>
    <t>Wall Insulation - Foil Faced Polystyrene Batts</t>
  </si>
  <si>
    <t>Foil Faced Polystyrene Batts</t>
  </si>
  <si>
    <t>Polyester Batts</t>
  </si>
  <si>
    <t>40mm</t>
  </si>
  <si>
    <t>60mm</t>
  </si>
  <si>
    <t>75mm</t>
  </si>
  <si>
    <t>100mm</t>
  </si>
  <si>
    <t>75mm - R 1.5</t>
  </si>
  <si>
    <t>75mm - R 2.0</t>
  </si>
  <si>
    <t>90mm - R 2.0</t>
  </si>
  <si>
    <t>90mm - R 2.5</t>
  </si>
  <si>
    <t>140mm - R 3.1</t>
  </si>
  <si>
    <t>75mm - R 1.0</t>
  </si>
  <si>
    <t>90mm - R 1.5</t>
  </si>
  <si>
    <t>Wall Insulation - Blank 1</t>
  </si>
  <si>
    <t>Wall Insulation - Blank 2</t>
  </si>
  <si>
    <t>Ceiling Type</t>
  </si>
  <si>
    <t>Ceiling to Dry Areas</t>
  </si>
  <si>
    <t>Ceiling to Wet Areas</t>
  </si>
  <si>
    <t>Ceiling Insulation (m2)</t>
  </si>
  <si>
    <t>Acoustic/Thermal Glasswool Batts</t>
  </si>
  <si>
    <t>Acoustic/Thermal Polyester Batts</t>
  </si>
  <si>
    <t>50mm - R 1.3</t>
  </si>
  <si>
    <t>75mm - R 1.9</t>
  </si>
  <si>
    <t>175mm - R 3.5</t>
  </si>
  <si>
    <t>175mm - R 4.0</t>
  </si>
  <si>
    <t>215mm - R 5.0</t>
  </si>
  <si>
    <t>250mm - R 6.0</t>
  </si>
  <si>
    <t>290mm - R 7.0</t>
  </si>
  <si>
    <t>100mm - R 2.5</t>
  </si>
  <si>
    <t>200mm - R 4.5</t>
  </si>
  <si>
    <t>Wool Batts</t>
  </si>
  <si>
    <t>Wall Insulation - Wool Batts</t>
  </si>
  <si>
    <t>110mm - R 2.5</t>
  </si>
  <si>
    <t>135mm - R 3.0</t>
  </si>
  <si>
    <t>Fire Seal Party Wall Batt</t>
  </si>
  <si>
    <t>Wall Insulation - Fire Seal Party Wall Batts</t>
  </si>
  <si>
    <t>50mm</t>
  </si>
  <si>
    <t>Ceiling Insulation - Glasswool Batts</t>
  </si>
  <si>
    <t>75mm - R 2.1</t>
  </si>
  <si>
    <t>125mm - R 2.5</t>
  </si>
  <si>
    <t>140mm - R 3.0</t>
  </si>
  <si>
    <t>160mm - R 3.5</t>
  </si>
  <si>
    <t>Ceiling Insulation - Polyester Batts</t>
  </si>
  <si>
    <t>Ceiling Insulation - Blank 1</t>
  </si>
  <si>
    <t>Ceiling Insulation - Blank 2</t>
  </si>
  <si>
    <t>Wall/Ceiling Insulation - Acoustic/Thermal Glasswool Batts</t>
  </si>
  <si>
    <t>Wall/Ceiling Insulation - Acoustic/Thermal Polyester Batts</t>
  </si>
  <si>
    <t>Party Wall to Dry/Dry Area</t>
  </si>
  <si>
    <t>Party Wall to Dry/Wet Area</t>
  </si>
  <si>
    <t>Party Wall to Wet/Wet Area</t>
  </si>
  <si>
    <t>In.</t>
  </si>
  <si>
    <t>Ex.</t>
  </si>
  <si>
    <t>90mm x 45mm @ 600mm ctrs</t>
  </si>
  <si>
    <t>110mm - R 3.0 (Soundscreen)</t>
  </si>
  <si>
    <t xml:space="preserve">90mm - R 2.7 </t>
  </si>
  <si>
    <t>90mm - R 2.5 (Soundscreen)</t>
  </si>
  <si>
    <t>60mm - R 1.7 (Soundscreen)</t>
  </si>
  <si>
    <t>Demolish Ceiling</t>
  </si>
  <si>
    <t>Plasterboard</t>
  </si>
  <si>
    <t>Fibrecement</t>
  </si>
  <si>
    <t>Insulation batts</t>
  </si>
  <si>
    <t>Demolish External Timber/Steel Wall Framing</t>
  </si>
  <si>
    <t>Demolish Internal Timber/Steel Wall Framing</t>
  </si>
  <si>
    <t>Demolish Wall Lining</t>
  </si>
  <si>
    <t>Demolish Skirting</t>
  </si>
  <si>
    <t>Tile</t>
  </si>
  <si>
    <t>Light point</t>
  </si>
  <si>
    <t>COST CODES</t>
  </si>
  <si>
    <t>LABOUR COST CODE</t>
  </si>
  <si>
    <t>MATERIAL COST CODE</t>
  </si>
  <si>
    <t>PLANT COST CODE</t>
  </si>
  <si>
    <t>MISC COST CODE</t>
  </si>
  <si>
    <t>SUB COST CODE</t>
  </si>
  <si>
    <t>TOTAL COST CODE</t>
  </si>
  <si>
    <t>CostCategory</t>
  </si>
  <si>
    <t>CostCode</t>
  </si>
  <si>
    <t>Budget</t>
  </si>
  <si>
    <t>0100 - PRELIMINAIRES</t>
  </si>
  <si>
    <t>0100 - Preliminaries (General)</t>
  </si>
  <si>
    <t>0110 - Head Office Preliminaries</t>
  </si>
  <si>
    <t>0111 - General Fees</t>
  </si>
  <si>
    <t>0112 - All Risk Insurance</t>
  </si>
  <si>
    <t>0113 - WorkCover</t>
  </si>
  <si>
    <t>0115 - Q-Leave</t>
  </si>
  <si>
    <t>0116 - QBCC home Warranty Insurance</t>
  </si>
  <si>
    <t>0120 - On Site Prelimiaries</t>
  </si>
  <si>
    <t>0121 - Travel</t>
  </si>
  <si>
    <t>0122 - Traffic Management</t>
  </si>
  <si>
    <t>0123 - Site Power</t>
  </si>
  <si>
    <t>0124 - Builder Signage</t>
  </si>
  <si>
    <t>0125 - Storage Costs</t>
  </si>
  <si>
    <t>0126 - Deliveries</t>
  </si>
  <si>
    <t>0200 - NON TRADE CONSULTATIONS</t>
  </si>
  <si>
    <t>0201 - Architectural Services</t>
  </si>
  <si>
    <t>0202 - Level Services</t>
  </si>
  <si>
    <t>0203 - Private Certifier</t>
  </si>
  <si>
    <t>0204 - Quantity Surveyor</t>
  </si>
  <si>
    <t>0205 - Structural Engineer</t>
  </si>
  <si>
    <t>0206 - Surveyor</t>
  </si>
  <si>
    <t>0207 - Valuation Services</t>
  </si>
  <si>
    <t>0208 - Other Consultant</t>
  </si>
  <si>
    <t>0300 - INTERNAL RESOURCING</t>
  </si>
  <si>
    <t>0311 - Site Supervision</t>
  </si>
  <si>
    <t>0312 - Project Management</t>
  </si>
  <si>
    <t>0313 - Contract Administration</t>
  </si>
  <si>
    <t>0320 - Site Labour</t>
  </si>
  <si>
    <t>0321 - Apprentice Labour</t>
  </si>
  <si>
    <t>0322 - General Labour</t>
  </si>
  <si>
    <t>0323 - Skilled Labour</t>
  </si>
  <si>
    <t>0400 - HIRE ITEMS</t>
  </si>
  <si>
    <t>0400 - Hire Items (General)</t>
  </si>
  <si>
    <t>0410 - Hire - External Tools and Equipment</t>
  </si>
  <si>
    <t>0411 - Hire - Scaffolding</t>
  </si>
  <si>
    <t>0412 - Hire - Cranes</t>
  </si>
  <si>
    <t>0413 - Hire Pump</t>
  </si>
  <si>
    <t>0414 - Hire Toilets and Temp Fencing</t>
  </si>
  <si>
    <t>0420 - Hire -Internal Tools and Equipment</t>
  </si>
  <si>
    <t>0421 - Hire - Mobile Scaffold</t>
  </si>
  <si>
    <t>1000 - PREPARATION &amp; CLEANING</t>
  </si>
  <si>
    <t>1000 - Preparation &amp; Cleaning (General)</t>
  </si>
  <si>
    <t>1012 - Builders Clean</t>
  </si>
  <si>
    <t>1100 - DEMOLITION &amp; CLEARANCE</t>
  </si>
  <si>
    <t>1100 - Demolition &amp; Clearance (General)</t>
  </si>
  <si>
    <t>1130 - Tipping &amp; Rubbish Removal Fees</t>
  </si>
  <si>
    <t>1200 - EXCAVATION</t>
  </si>
  <si>
    <t>1200 - Excavation (General)</t>
  </si>
  <si>
    <t>2000 - CONCRETE</t>
  </si>
  <si>
    <t>2000 - Concreting (General)</t>
  </si>
  <si>
    <t>2100 - BRICK / BLOCK</t>
  </si>
  <si>
    <t>2100 - Brick / Block (General)</t>
  </si>
  <si>
    <t>2200 - STRUCTURAL STEEL</t>
  </si>
  <si>
    <t>2200 - Structural Steel (General)</t>
  </si>
  <si>
    <t>2300 - FRAMING</t>
  </si>
  <si>
    <t>2300 - Prefabricated Trusses &amp; Wall Framing (General)</t>
  </si>
  <si>
    <t>2400 - ROOFING</t>
  </si>
  <si>
    <t>2400 - Roofing (General)</t>
  </si>
  <si>
    <t>2500 - FASCIA &amp; CLADDING</t>
  </si>
  <si>
    <t>2600 - RENDERING</t>
  </si>
  <si>
    <t>2600 - Rendering (General)</t>
  </si>
  <si>
    <t>2700 - INSULATION</t>
  </si>
  <si>
    <t>2700 - Insulation (General)</t>
  </si>
  <si>
    <t>2800 - PLUMBING</t>
  </si>
  <si>
    <t>2800 - Plumbing (General)</t>
  </si>
  <si>
    <t>2821 - Plumbing PC's</t>
  </si>
  <si>
    <t>2830 - Hudraulic Engineer</t>
  </si>
  <si>
    <t>2900 - Electrical (General)</t>
  </si>
  <si>
    <t>2930 - Electrical PC's</t>
  </si>
  <si>
    <t>3000 - Pest Control (General)</t>
  </si>
  <si>
    <t>3200 - Windows and Doors (General)</t>
  </si>
  <si>
    <t>3224 - Skylights</t>
  </si>
  <si>
    <t>3300 - Glazing (General)</t>
  </si>
  <si>
    <t>3421 - Air Conditioning</t>
  </si>
  <si>
    <t>3500 - Stairs &amp; Balustrades (General)</t>
  </si>
  <si>
    <t>3600 - Metal Work (General)</t>
  </si>
  <si>
    <t>3700 - Gyprock &amp; Partitioning (General)</t>
  </si>
  <si>
    <t>4000 - Cabinetry &amp; Joinery (General)</t>
  </si>
  <si>
    <t>4100 - Carpentry (General)</t>
  </si>
  <si>
    <t>4200 - Waterproofing (General)</t>
  </si>
  <si>
    <t>4300 - Floor and Wall Tiling (General)</t>
  </si>
  <si>
    <t>4400 - Painting &amp; Decorating (General)</t>
  </si>
  <si>
    <t>4521 - Timber Flooring Supply &amp; Install</t>
  </si>
  <si>
    <t>4522 - Carpet Supply &amp; Install</t>
  </si>
  <si>
    <t>4524 - Vinyl/Laminate Flooring</t>
  </si>
  <si>
    <t>4600 - Fixtures and Fittings (General)</t>
  </si>
  <si>
    <t>4601 - Mirrors</t>
  </si>
  <si>
    <t>4602 - Curtains &amp; Blinds</t>
  </si>
  <si>
    <t>4603 - Bathroom Fittings</t>
  </si>
  <si>
    <t>4604 - Shower Screen</t>
  </si>
  <si>
    <t>4605 - Kitchen Fittings</t>
  </si>
  <si>
    <t>4610 - Appliances</t>
  </si>
  <si>
    <t>4620 - Audio Visual</t>
  </si>
  <si>
    <t>4650 - Furnishings (General)</t>
  </si>
  <si>
    <t>4800 - House Raising</t>
  </si>
  <si>
    <t>5031 - Garage Door</t>
  </si>
  <si>
    <t>5032 - Fencing and Gates</t>
  </si>
  <si>
    <t>5100 - Landscaping (General)</t>
  </si>
  <si>
    <t>6000 - Specialist (General)</t>
  </si>
  <si>
    <t>6010 - Miscellaneous (General)</t>
  </si>
  <si>
    <t>6040 - Swimming Pool</t>
  </si>
  <si>
    <t>Agreed Project Total</t>
  </si>
  <si>
    <r>
      <t xml:space="preserve">Is it possible to break the estimate down in to specific </t>
    </r>
    <r>
      <rPr>
        <b/>
        <u/>
        <sz val="12"/>
        <rFont val="Calibri"/>
        <family val="2"/>
        <scheme val="minor"/>
      </rPr>
      <t>cost codes</t>
    </r>
    <r>
      <rPr>
        <sz val="12"/>
        <rFont val="Calibri"/>
        <family val="2"/>
        <scheme val="minor"/>
      </rPr>
      <t xml:space="preserve"> to suit my project management software?</t>
    </r>
  </si>
  <si>
    <t xml:space="preserve">We highly recommend checking through our work before sending anything to your client. The Summary and Breakdown pages show your profit and amounts allowed for contingency and many people want to keep this information confidential. We advise that you provide the Summary (inc) sheet or simply copy the Item Description column in the Breakdown page and paste it in to your quote template. This will provide your client will a full list of allowances without showing them how much you hope to make. </t>
  </si>
  <si>
    <t>Summary (inc)</t>
  </si>
  <si>
    <t xml:space="preserve">This sheet is identical to the Summary page but includes the contingency and margin included within the trade pricing. This sheet makes it easy to provide trade by trade costings to your client. </t>
  </si>
  <si>
    <t>Roofing &amp; Metal Cladding</t>
  </si>
  <si>
    <t>Roof sheeting: Colourbond 0.42BMT</t>
  </si>
  <si>
    <t>Ceilings &amp; Partitions</t>
  </si>
  <si>
    <t>Cornice: square set</t>
  </si>
  <si>
    <t>External wall insulation: glasswool batts 90mm R2.5</t>
  </si>
  <si>
    <t>Roof insulation: glasswool blanket 60mm R1.3</t>
  </si>
  <si>
    <t>Carpentry</t>
  </si>
  <si>
    <t>Wall Sheeting - Blank 4</t>
  </si>
  <si>
    <t>VJ Panel</t>
  </si>
  <si>
    <t>Timber VJ Panel</t>
  </si>
  <si>
    <t>Cornice - Blank 2</t>
  </si>
  <si>
    <t>Cove</t>
  </si>
  <si>
    <t>D</t>
  </si>
  <si>
    <t>PFC</t>
  </si>
  <si>
    <t>Ceiling &amp; Partitions</t>
  </si>
  <si>
    <t>Quality</t>
  </si>
  <si>
    <t>Timber Sliding Windows</t>
  </si>
  <si>
    <t>Timber Double Hung Windows</t>
  </si>
  <si>
    <t>Timber Awning Windows</t>
  </si>
  <si>
    <t>Timber Louvre Windows</t>
  </si>
  <si>
    <t>Timber Casement Windows</t>
  </si>
  <si>
    <t>Timber Fixed Windows</t>
  </si>
  <si>
    <t>LVL</t>
  </si>
  <si>
    <t>LVLx2</t>
  </si>
  <si>
    <t>MGP10</t>
  </si>
  <si>
    <t>MGP12</t>
  </si>
  <si>
    <t>HWD</t>
  </si>
  <si>
    <t>HWDx2</t>
  </si>
  <si>
    <t>MGP10x2</t>
  </si>
  <si>
    <t>LABOUR (Domestic)</t>
  </si>
  <si>
    <t>LABOUR (Commercial)</t>
  </si>
  <si>
    <t>MGP12x2</t>
  </si>
  <si>
    <t>Concealed Grid Suspended Ceiling Framing</t>
  </si>
  <si>
    <t>Ceiling Framing (m2)</t>
  </si>
  <si>
    <t>Concealed Furring Channel Ceiling Framing</t>
  </si>
  <si>
    <t>28mm Furring Channel</t>
  </si>
  <si>
    <t>28mm Furring Channel @ 450mm Centres with Direct Fix Bracket to Masonry Walls</t>
  </si>
  <si>
    <t>Access Panel</t>
  </si>
  <si>
    <t>GL18</t>
  </si>
  <si>
    <t>64mm @ 450mm ctrs</t>
  </si>
  <si>
    <t>64mm @ 600mm ctrs</t>
  </si>
  <si>
    <t>92mm @ 450mm ctrs</t>
  </si>
  <si>
    <t>92mm @ 600mm ctrs</t>
  </si>
  <si>
    <t xml:space="preserve">Thanks for choosing TCA Estimating to complete the estimate/measure of your project. To help you further understand what we have provided please read through the details below: </t>
  </si>
  <si>
    <t xml:space="preserve">Throughout the spreadsheet you will see a number of error checkers. These have been built to ensure all items listed in the trade sheets have correctly been included in the breakdown and summary sheets. Should you find any error checker cell is red this indicates an error within the spreadsheet. If you can not work out what is wrong please notify your TCA Estimating contact and we will fix the problem. </t>
  </si>
  <si>
    <t xml:space="preserve">All rates entered by TCA Estimating are based on the Cordells industry standard rates. Should you wish us to adjust any of these and don't feel confident doing this yourself don't hesitate to give your TCA Estimating contact a call or email. </t>
  </si>
  <si>
    <t xml:space="preserve">Should you wish to change the units of measurement used please feel free to adjust these yourself in the trade sheets or notify your TCA Estimating contact for a revision. When adjusting the units of measurement be sure to adjust the rates accordingly. </t>
  </si>
  <si>
    <t xml:space="preserve">Yes, we can automatically integrate with BuilderTrend and if you are using other software we can adjust our cost codes to allow you to export direct from our spreadsheet in to your software. Please ask your TCA Estimating contact for details on how to do this. </t>
  </si>
  <si>
    <t xml:space="preserve">Notify your TCA Estimating contact and we will adjust this for you. </t>
  </si>
  <si>
    <t>Should you receive revisions to the project after we have submitted the BOQ to you please notify your TCA Estimating contact and we will adjust accordingly. Revisions to projects are charged at our standard hourly rate.</t>
  </si>
  <si>
    <t>20MPa</t>
  </si>
  <si>
    <t>32MPa</t>
  </si>
  <si>
    <t>40MPa</t>
  </si>
  <si>
    <t>50MPa</t>
  </si>
  <si>
    <t>Type</t>
  </si>
  <si>
    <t>laminated</t>
  </si>
  <si>
    <t>901mm to 1200mm</t>
  </si>
  <si>
    <t>Width</t>
  </si>
  <si>
    <t>glass</t>
  </si>
  <si>
    <t>$20,386.05</t>
  </si>
  <si>
    <t>Over $3M: $20,386.05
+ ($3.15 for every
$1,000 over $3M)</t>
  </si>
  <si>
    <t>Stackwork - bathroom/ensuite</t>
  </si>
  <si>
    <t>average</t>
  </si>
  <si>
    <t>quality</t>
  </si>
  <si>
    <t>prestige</t>
  </si>
  <si>
    <t>up to 600mm</t>
  </si>
  <si>
    <t>601mm to 750mm</t>
  </si>
  <si>
    <t>751mm to 900mm</t>
  </si>
  <si>
    <t>1201mm to 1500mm</t>
  </si>
  <si>
    <t>1501mm to 1800mm</t>
  </si>
  <si>
    <t>1801mm to 2100mm</t>
  </si>
  <si>
    <t>2101mm to 2400mm</t>
  </si>
  <si>
    <t>2401mm to 2700mm</t>
  </si>
  <si>
    <t>2701mm to 3000mm</t>
  </si>
  <si>
    <t>301mm to 450mm</t>
  </si>
  <si>
    <t>451mm to 600mm</t>
  </si>
  <si>
    <t>2100mm</t>
  </si>
  <si>
    <t>2400mm</t>
  </si>
  <si>
    <t>Height</t>
  </si>
  <si>
    <t>Aluminium Skirting</t>
  </si>
  <si>
    <t>140x19mm</t>
  </si>
  <si>
    <t>Ceiling Sheeting - Blank 1</t>
  </si>
  <si>
    <t>Ceiling Sheeting - Blank 2</t>
  </si>
  <si>
    <t>Ceiling Sheeting - Blank 3</t>
  </si>
  <si>
    <t>Ceiling Sheeting - Blank 4</t>
  </si>
  <si>
    <t>100x19mm</t>
  </si>
  <si>
    <t>We refer to above project and herewith submit for your consideration our quotation for the works outlined below</t>
  </si>
  <si>
    <t>Civil</t>
  </si>
  <si>
    <t>pine</t>
  </si>
  <si>
    <t>Floor</t>
  </si>
  <si>
    <t>150mm up turn</t>
  </si>
  <si>
    <t>2000mm shower up turn</t>
  </si>
  <si>
    <t>Windows &amp; Doors</t>
  </si>
  <si>
    <t>Windows and glazed doors to be aluminium framing</t>
  </si>
  <si>
    <t>Structural Steel Framing (No Design Available) (Provisional Sum)</t>
  </si>
  <si>
    <t>Window Blinds</t>
  </si>
  <si>
    <t>This Bill of Quantities has been prepared by TCA Estimating:
W: www.tcaestimating.com.au
E: projects@tcaestimating.com.au
P: 07 3023 5059</t>
  </si>
  <si>
    <t>up to 3600mm</t>
  </si>
  <si>
    <t>3601mm to 4800mm</t>
  </si>
  <si>
    <t>4801mm to 6000mm</t>
  </si>
  <si>
    <t>6001mm to 7200mm</t>
  </si>
  <si>
    <t>7201mm to 9000mm</t>
  </si>
  <si>
    <t>9001mm to 12000mm</t>
  </si>
  <si>
    <t>12000mm plus</t>
  </si>
  <si>
    <t>up to 4800mm</t>
  </si>
  <si>
    <t>6001mm to 9000mm</t>
  </si>
  <si>
    <t>&lt;= 25 deg.</t>
  </si>
  <si>
    <t>&gt; 25 deg.</t>
  </si>
  <si>
    <t>float clear</t>
  </si>
  <si>
    <t>float tinted</t>
  </si>
  <si>
    <t>4mm</t>
  </si>
  <si>
    <t>5mm</t>
  </si>
  <si>
    <t>12mm</t>
  </si>
  <si>
    <t>Extra Cost/m2</t>
  </si>
  <si>
    <t>Float Clear 4mm Cost/m2</t>
  </si>
  <si>
    <t>Cost/m2</t>
  </si>
  <si>
    <t>toughened clear</t>
  </si>
  <si>
    <t>toughened tinted</t>
  </si>
  <si>
    <t>laminated clear</t>
  </si>
  <si>
    <t>laminated tinted</t>
  </si>
  <si>
    <t>V</t>
  </si>
  <si>
    <t>Windows and glazed doors to be single glazed - 5mm toughened glass</t>
  </si>
  <si>
    <t>0200 - Non-Trade Consultants  (General)</t>
  </si>
  <si>
    <t>2500 - Metal Cladding (General)</t>
  </si>
  <si>
    <t>4523 - Concrete Polished Flooring Materials</t>
  </si>
  <si>
    <t>Estimated Contract Amount at Current Values</t>
  </si>
  <si>
    <t>Construction Times in Weeks</t>
  </si>
  <si>
    <t>Short</t>
  </si>
  <si>
    <t>Normal</t>
  </si>
  <si>
    <t>Long</t>
  </si>
  <si>
    <t>Single door</t>
  </si>
  <si>
    <t>15MPa</t>
  </si>
  <si>
    <t>Internal doors: hollow core</t>
  </si>
  <si>
    <t>External doors: solidcore</t>
  </si>
  <si>
    <t>SUBCONTRACTOR</t>
  </si>
  <si>
    <t>Project Team</t>
  </si>
  <si>
    <t>Site Preliminaries</t>
  </si>
  <si>
    <t>Traffic Control</t>
  </si>
  <si>
    <t>Temporary Services</t>
  </si>
  <si>
    <t>Waste Removal</t>
  </si>
  <si>
    <t>Cranage</t>
  </si>
  <si>
    <t>General Expenses</t>
  </si>
  <si>
    <t>Professional &amp; Consultant Fees</t>
  </si>
  <si>
    <t>Final Clean</t>
  </si>
  <si>
    <t>Colorbond - 150mm dia.</t>
  </si>
  <si>
    <r>
      <t xml:space="preserve">SUBCONTRACTOR/SUPPLIER PRICING
</t>
    </r>
    <r>
      <rPr>
        <b/>
        <sz val="12"/>
        <color theme="3"/>
        <rFont val="Calibri"/>
        <family val="2"/>
        <scheme val="minor"/>
      </rPr>
      <t>(ENTER TOTAL PRICING)</t>
    </r>
  </si>
  <si>
    <t>2900 - ELECTRICAL</t>
  </si>
  <si>
    <t>3000 - PEST CONTROL</t>
  </si>
  <si>
    <t>3200 - WINDOWS  &amp; DOORS</t>
  </si>
  <si>
    <t>3300 - GLAZING</t>
  </si>
  <si>
    <t>3400 - MECHANICAL</t>
  </si>
  <si>
    <t>3500 - STAIRS  &amp; BALUSTRADES</t>
  </si>
  <si>
    <t>3600 - METAL WORK</t>
  </si>
  <si>
    <t>3700 - GYPROCK  &amp; PARTITIONING</t>
  </si>
  <si>
    <t>4000 - CABINETRY &amp; JOINERY</t>
  </si>
  <si>
    <t>4100 - CARPENTRY</t>
  </si>
  <si>
    <t>4200 - WATERPROOFING</t>
  </si>
  <si>
    <t>4300 - TILING</t>
  </si>
  <si>
    <t>4400 - PAINTING  &amp; DECORATING</t>
  </si>
  <si>
    <t>4500 - FLOORING</t>
  </si>
  <si>
    <t>4600 - FIXTURES  &amp; FITTINGS</t>
  </si>
  <si>
    <t>4600 - FIXTURES &amp; FITTINGS</t>
  </si>
  <si>
    <t>4650 - FURNISHINGS</t>
  </si>
  <si>
    <t>4800 - HOUSE RAISING</t>
  </si>
  <si>
    <t>5000 - 5999 EXTERNAL</t>
  </si>
  <si>
    <t>5100 - LANDSCAPING</t>
  </si>
  <si>
    <t>6000 - 6999 MISCELLANEOUS</t>
  </si>
  <si>
    <t>up to 2400mm</t>
  </si>
  <si>
    <t>2401mm to 3000mm</t>
  </si>
  <si>
    <t>3001mm to 4800mm</t>
  </si>
  <si>
    <t>9000mm plus</t>
  </si>
  <si>
    <t>Roof Trusses - Half (As Per Design)</t>
  </si>
  <si>
    <t>W&amp;D&amp;A</t>
  </si>
  <si>
    <t>colorbond</t>
  </si>
  <si>
    <t>0.42 BMT</t>
  </si>
  <si>
    <t>ultra colorbond</t>
  </si>
  <si>
    <t>galvanised steel</t>
  </si>
  <si>
    <t>0.48 BMT</t>
  </si>
  <si>
    <t>0.60 BMT</t>
  </si>
  <si>
    <t>zincalum</t>
  </si>
  <si>
    <t>Demolition Rates</t>
  </si>
  <si>
    <t>125mm</t>
  </si>
  <si>
    <t>150mm</t>
  </si>
  <si>
    <t>hand</t>
  </si>
  <si>
    <t>machine</t>
  </si>
  <si>
    <t>Concrete Slab on Ground</t>
  </si>
  <si>
    <t>Concrete Suspended Slab</t>
  </si>
  <si>
    <t>200mm</t>
  </si>
  <si>
    <t>Demolish Roof (Including Framing, Sheeting &amp; Associated Fixtures)</t>
  </si>
  <si>
    <t>Long Services Leave Payment</t>
  </si>
  <si>
    <t>Tarping</t>
  </si>
  <si>
    <t>Site Sheds &amp; Toilets</t>
  </si>
  <si>
    <t>Stormwater Drains (PVC) (Including Excvation, Backfill, Pipes &amp; Fittings)</t>
  </si>
  <si>
    <t>Light Fittings &amp; Fans (PC item)</t>
  </si>
  <si>
    <t>Metal Ceiling Framing</t>
  </si>
  <si>
    <t>0.575% of total project cost &gt; $150K</t>
  </si>
  <si>
    <t>Flyscreens</t>
  </si>
  <si>
    <t>Security Screens</t>
  </si>
  <si>
    <t>TCA Trade</t>
  </si>
  <si>
    <t>Labour Type</t>
  </si>
  <si>
    <t>TCA Rate</t>
  </si>
  <si>
    <t>Client Rate</t>
  </si>
  <si>
    <t>Adjustment</t>
  </si>
  <si>
    <t>Cordells</t>
  </si>
  <si>
    <t>Supervisor</t>
  </si>
  <si>
    <t>Carpenter/Joiner</t>
  </si>
  <si>
    <t>Bricklayer/Blocklayer</t>
  </si>
  <si>
    <t>Stonemason</t>
  </si>
  <si>
    <t>Electrician - licensed</t>
  </si>
  <si>
    <t>Roofer</t>
  </si>
  <si>
    <t>Plasterer - Cement Renderer</t>
  </si>
  <si>
    <t>Plasterer - Dry linings</t>
  </si>
  <si>
    <t>Painter</t>
  </si>
  <si>
    <t>Wall and Floor Tiler</t>
  </si>
  <si>
    <t>Glazier</t>
  </si>
  <si>
    <t>Carpet/Vinyl Layer</t>
  </si>
  <si>
    <t>General Labour - skilled</t>
  </si>
  <si>
    <t>General Labour - unskilled</t>
  </si>
  <si>
    <t>Boilermaker - welder</t>
  </si>
  <si>
    <t>Cleaner - technical</t>
  </si>
  <si>
    <t>Refrigeration engineer</t>
  </si>
  <si>
    <t>LABOUR RATES</t>
  </si>
  <si>
    <t>Trade</t>
  </si>
  <si>
    <t>Hourly Rate</t>
  </si>
  <si>
    <t>Storey</t>
  </si>
  <si>
    <t>Structure</t>
  </si>
  <si>
    <t>Electrical Rates</t>
  </si>
  <si>
    <t>timber</t>
  </si>
  <si>
    <t>masonry</t>
  </si>
  <si>
    <t>Electrical</t>
  </si>
  <si>
    <t>up to 165m2</t>
  </si>
  <si>
    <t>166 to 235m2</t>
  </si>
  <si>
    <t>236 to 305m2</t>
  </si>
  <si>
    <t>306m2 plus</t>
  </si>
  <si>
    <t>Data</t>
  </si>
  <si>
    <t>Labour Hours</t>
  </si>
  <si>
    <t>Labour Rate</t>
  </si>
  <si>
    <t>To adjust labour allowances throughout the estimate revise the rates below.</t>
  </si>
  <si>
    <t>The below rates are based on award wages and include standard award allowances, statutory on-costs and overheads.</t>
  </si>
  <si>
    <t xml:space="preserve">Allowance has been made for long service leave and home warranty insurance within the Preliminaries section. Further insurances are assumed to be an operational business expense and have therefore not been included within the estimate/measure. Should you require us to include these sorts of operational expenses please advise and we can add these in accordingly. </t>
  </si>
  <si>
    <t>821mm to 920mm</t>
  </si>
  <si>
    <t>921mm to 1220mm</t>
  </si>
  <si>
    <t>MDF</t>
  </si>
  <si>
    <t>up to 820mm</t>
  </si>
  <si>
    <t>particleboard</t>
  </si>
  <si>
    <t>19mm</t>
  </si>
  <si>
    <t>22mm</t>
  </si>
  <si>
    <t>25mm</t>
  </si>
  <si>
    <t>15mm</t>
  </si>
  <si>
    <t>17mm</t>
  </si>
  <si>
    <t>21mm</t>
  </si>
  <si>
    <t>plywood</t>
  </si>
  <si>
    <t>18mm</t>
  </si>
  <si>
    <t>24mm</t>
  </si>
  <si>
    <t>CFC</t>
  </si>
  <si>
    <t>Plasterboard Material Increase</t>
  </si>
  <si>
    <t>Metal Wall Framing Material Increase</t>
  </si>
  <si>
    <t>Roof batten: 70 x 35mm pine, 3No. at the first/last 1200mm &amp; 900mm centers in the middle</t>
  </si>
  <si>
    <t>Ceiling &amp; Soffit batten: 42 x 35mm pine at 450mm centers</t>
  </si>
  <si>
    <t>0-250mm</t>
  </si>
  <si>
    <t>250-500mm</t>
  </si>
  <si>
    <t>500-750mm</t>
  </si>
  <si>
    <t>750-1000mm</t>
  </si>
  <si>
    <t>class 3</t>
  </si>
  <si>
    <t>class 2</t>
  </si>
  <si>
    <t>Edgeboards, Steps &amp; Penetrations</t>
  </si>
  <si>
    <t>over 1000mm</t>
  </si>
  <si>
    <t>0-3.7m</t>
  </si>
  <si>
    <t>3.7-5.2m</t>
  </si>
  <si>
    <t>5.2-7.0m</t>
  </si>
  <si>
    <t>7.0-8.0m</t>
  </si>
  <si>
    <t>over 8.0m</t>
  </si>
  <si>
    <t>Lift Roof</t>
  </si>
  <si>
    <t>raked</t>
  </si>
  <si>
    <t>flat</t>
  </si>
  <si>
    <t>Suspended Slab Soffits - Traditional Formwork</t>
  </si>
  <si>
    <t>Suspended Slab Soffits - Lost Formwork</t>
  </si>
  <si>
    <t>0.75 BMT</t>
  </si>
  <si>
    <t>1.00 BMT</t>
  </si>
  <si>
    <t>Walls - Traditional Formwork</t>
  </si>
  <si>
    <t>0-3.6m</t>
  </si>
  <si>
    <t>3.6-4.8m</t>
  </si>
  <si>
    <t>4.8-6.0m</t>
  </si>
  <si>
    <t>6.0-7.0m</t>
  </si>
  <si>
    <t>Columns</t>
  </si>
  <si>
    <t>Circular Columns</t>
  </si>
  <si>
    <t>300mm</t>
  </si>
  <si>
    <t>400mm</t>
  </si>
  <si>
    <t>500mm</t>
  </si>
  <si>
    <t>600mm</t>
  </si>
  <si>
    <t>750mm</t>
  </si>
  <si>
    <t>900mm</t>
  </si>
  <si>
    <t>25MPa</t>
  </si>
  <si>
    <t>class 1</t>
  </si>
  <si>
    <t>Concrete Supply</t>
  </si>
  <si>
    <t>60MPa</t>
  </si>
  <si>
    <t>FORMWORK RATES</t>
  </si>
  <si>
    <t>knob</t>
  </si>
  <si>
    <t>2700mm</t>
  </si>
  <si>
    <t>lever</t>
  </si>
  <si>
    <t>Range</t>
  </si>
  <si>
    <t>sliding</t>
  </si>
  <si>
    <t>combined</t>
  </si>
  <si>
    <t>trilock</t>
  </si>
  <si>
    <t>passage</t>
  </si>
  <si>
    <t>privacy</t>
  </si>
  <si>
    <t>2 x up to 820mm</t>
  </si>
  <si>
    <t>2 x 821mm to 920mm</t>
  </si>
  <si>
    <t>2 x 921mm to 1220mm</t>
  </si>
  <si>
    <t>Passage Door Latch</t>
  </si>
  <si>
    <t>Privacy Door Latch</t>
  </si>
  <si>
    <t>entry</t>
  </si>
  <si>
    <t>Single Hinged Door Leaf - Hollowcore</t>
  </si>
  <si>
    <t>Single Hinged Door Leaf - Solidcore</t>
  </si>
  <si>
    <t>Single Hinged Door Frame</t>
  </si>
  <si>
    <t>Door Stop &amp; Catch</t>
  </si>
  <si>
    <t>Timber Architrave</t>
  </si>
  <si>
    <t>wall area</t>
  </si>
  <si>
    <t>wall length</t>
  </si>
  <si>
    <t>Lintels (No Design Available)</t>
  </si>
  <si>
    <t>Lintels (As Per Design)</t>
  </si>
  <si>
    <t>Price Range:</t>
  </si>
  <si>
    <t>Leading Hand Carpenter</t>
  </si>
  <si>
    <t>Percentage</t>
  </si>
  <si>
    <t>Estimating Cost</t>
  </si>
  <si>
    <t>Builder fee</t>
  </si>
  <si>
    <t>TCA fee</t>
  </si>
  <si>
    <t>Single Hinged Door</t>
  </si>
  <si>
    <t>composite</t>
  </si>
  <si>
    <t>blackbutt</t>
  </si>
  <si>
    <t>Ironbark</t>
  </si>
  <si>
    <t>engineered</t>
  </si>
  <si>
    <t>Toilet pumpout &amp; clean fee (once every 2 weeks)</t>
  </si>
  <si>
    <t>Toilet delivery &amp; drop off</t>
  </si>
  <si>
    <t>Toilet - single - chemical</t>
  </si>
  <si>
    <t>Temporary fencing (up to 1800mm high)</t>
  </si>
  <si>
    <t>200x45</t>
  </si>
  <si>
    <t>300x45</t>
  </si>
  <si>
    <t>300x90</t>
  </si>
  <si>
    <t>400x90</t>
  </si>
  <si>
    <t>400x45</t>
  </si>
  <si>
    <t>400x75</t>
  </si>
  <si>
    <t>KPI</t>
  </si>
  <si>
    <t>Carpenter</t>
  </si>
  <si>
    <t>Commercial</t>
  </si>
  <si>
    <t>Value 1</t>
  </si>
  <si>
    <t>Value 2</t>
  </si>
  <si>
    <t>Value 3</t>
  </si>
  <si>
    <t>1&amp;2&amp;3</t>
  </si>
  <si>
    <t>300x75</t>
  </si>
  <si>
    <t>90x45</t>
  </si>
  <si>
    <t>100x50</t>
  </si>
  <si>
    <t>200x50</t>
  </si>
  <si>
    <t>300x50</t>
  </si>
  <si>
    <t>200x75</t>
  </si>
  <si>
    <t>300x65</t>
  </si>
  <si>
    <t>GL17</t>
  </si>
  <si>
    <t>Box Gutter</t>
  </si>
  <si>
    <t>Concrete Tilt-up Panel</t>
  </si>
  <si>
    <t>**** RATES</t>
  </si>
  <si>
    <t>MATERIAL
(Breakdown)</t>
  </si>
  <si>
    <t>Mesh</t>
  </si>
  <si>
    <t>SL81</t>
  </si>
  <si>
    <t>SL102</t>
  </si>
  <si>
    <t>SL92</t>
  </si>
  <si>
    <t>SL82</t>
  </si>
  <si>
    <t>SL72</t>
  </si>
  <si>
    <t>SL62</t>
  </si>
  <si>
    <t>SL52</t>
  </si>
  <si>
    <t>SL42</t>
  </si>
  <si>
    <t>REINFORCEMENT RATES</t>
  </si>
  <si>
    <t>CONCRETE RATES</t>
  </si>
  <si>
    <t>175mm</t>
  </si>
  <si>
    <t>Concrete Precast Panel</t>
  </si>
  <si>
    <t>70x35mm @ 600mm cts</t>
  </si>
  <si>
    <t>70x35mm @ 450mm cts</t>
  </si>
  <si>
    <t>70x45mm @ 450mm cts</t>
  </si>
  <si>
    <t>90x35mm @ 450mm cts</t>
  </si>
  <si>
    <t>90x45mm @ 450mm cts</t>
  </si>
  <si>
    <t>140x35mm @ 450mm cts</t>
  </si>
  <si>
    <t>140x45mm @ 450mm cts</t>
  </si>
  <si>
    <t>70x45mm @ 600mm cts</t>
  </si>
  <si>
    <t>90x35mm @ 600mm cts</t>
  </si>
  <si>
    <t>90x45mm @ 600mm cts</t>
  </si>
  <si>
    <t>140x35mm @ 600mm cts</t>
  </si>
  <si>
    <t>140x45mm @ 600mm cts</t>
  </si>
  <si>
    <t>QLD</t>
  </si>
  <si>
    <t>VIC</t>
  </si>
  <si>
    <t>NSW</t>
  </si>
  <si>
    <t>WA</t>
  </si>
  <si>
    <t>Traffic control including signage - 2 man crew</t>
  </si>
  <si>
    <t>Traffic Guidance Scheme</t>
  </si>
  <si>
    <t>Police Permit Application</t>
  </si>
  <si>
    <t>Brisbane City Council Permit Fee</t>
  </si>
  <si>
    <t>Council Permit Application</t>
  </si>
  <si>
    <t>FENCING RATES</t>
  </si>
  <si>
    <t>Timber Piling Fence</t>
  </si>
  <si>
    <t>Skilled</t>
  </si>
  <si>
    <t>SA</t>
  </si>
  <si>
    <t>State:</t>
  </si>
  <si>
    <t>1500mm</t>
  </si>
  <si>
    <t>1800mm</t>
  </si>
  <si>
    <t>butted</t>
  </si>
  <si>
    <t>lapped/capped</t>
  </si>
  <si>
    <t>Metal Downpipes</t>
  </si>
  <si>
    <t>Metal Parapet Capping</t>
  </si>
  <si>
    <t>Temporary Roof Edge Protection</t>
  </si>
  <si>
    <t>Date:</t>
  </si>
  <si>
    <t>**/**/****</t>
  </si>
  <si>
    <t>Metal Roof Sheeting</t>
  </si>
  <si>
    <t>metal</t>
  </si>
  <si>
    <t>heavy duty</t>
  </si>
  <si>
    <t>extra heavy duty</t>
  </si>
  <si>
    <t>Roof Sarking</t>
  </si>
  <si>
    <t>Roof Batten</t>
  </si>
  <si>
    <t>1200mm</t>
  </si>
  <si>
    <t>Value 1
(Data)</t>
  </si>
  <si>
    <t>Value 2
(Data)</t>
  </si>
  <si>
    <t>Value 3
(Data)</t>
  </si>
  <si>
    <t>Quality Range</t>
  </si>
  <si>
    <t>sarking</t>
  </si>
  <si>
    <t>Perimeter of roof</t>
  </si>
  <si>
    <t>Final clean (total internal m2)</t>
  </si>
  <si>
    <t>Fibre Cement (FC) Weatherboard Cladding (Including Cladding, Wall Wrap, Batten &amp; Fixing)</t>
  </si>
  <si>
    <t>ROOFING RATES</t>
  </si>
  <si>
    <t>Sheet</t>
  </si>
  <si>
    <t>F/C</t>
  </si>
  <si>
    <t>ACT</t>
  </si>
  <si>
    <t>NT</t>
  </si>
  <si>
    <t>TAS</t>
  </si>
  <si>
    <t>V1&amp;V2&amp;V3&amp;QR</t>
  </si>
  <si>
    <t>tilt-up</t>
  </si>
  <si>
    <t>precast</t>
  </si>
  <si>
    <t>Budget (inc)</t>
  </si>
  <si>
    <t>TILING RATES</t>
  </si>
  <si>
    <t>Tiling Material</t>
  </si>
  <si>
    <t>feature</t>
  </si>
  <si>
    <t>mosaic</t>
  </si>
  <si>
    <t>timber look</t>
  </si>
  <si>
    <t>terracotta</t>
  </si>
  <si>
    <t>marble</t>
  </si>
  <si>
    <t>slate</t>
  </si>
  <si>
    <t>terrazzo</t>
  </si>
  <si>
    <t>natural stone</t>
  </si>
  <si>
    <t>outdoor/balcony</t>
  </si>
  <si>
    <t>crazy paving</t>
  </si>
  <si>
    <t>ceramic/porcelain</t>
  </si>
  <si>
    <t>walls</t>
  </si>
  <si>
    <t>columns</t>
  </si>
  <si>
    <t>tonne</t>
  </si>
  <si>
    <t>bar</t>
  </si>
  <si>
    <t>Bar</t>
  </si>
  <si>
    <t>metal roof</t>
  </si>
  <si>
    <t>tiled roof</t>
  </si>
  <si>
    <t>WINDOWS &amp; DOORS RATES</t>
  </si>
  <si>
    <t>T&amp;T</t>
  </si>
  <si>
    <t>Timber Bi-Fold Windows</t>
  </si>
  <si>
    <t>AL/DHW</t>
  </si>
  <si>
    <t>AL/ANW</t>
  </si>
  <si>
    <t>AL/CMW</t>
  </si>
  <si>
    <t>AL/BFW</t>
  </si>
  <si>
    <t>AL/FXW</t>
  </si>
  <si>
    <t>AL/LVW</t>
  </si>
  <si>
    <t>TB/DHW</t>
  </si>
  <si>
    <t>TB/ANW</t>
  </si>
  <si>
    <t>TB/CMW</t>
  </si>
  <si>
    <t>TB/BFW</t>
  </si>
  <si>
    <t>TB/FXW</t>
  </si>
  <si>
    <t>TB/LVW</t>
  </si>
  <si>
    <t>GLAZING OPTIONS</t>
  </si>
  <si>
    <t>AL/SLW</t>
  </si>
  <si>
    <t>TB/SLW</t>
  </si>
  <si>
    <t>AL/SLD</t>
  </si>
  <si>
    <t>Aluminium Stacking Doors</t>
  </si>
  <si>
    <t>AL/STD</t>
  </si>
  <si>
    <t>Aluminium Single Hinged Doors</t>
  </si>
  <si>
    <t>AL/SHD</t>
  </si>
  <si>
    <t>Aluminium Double Hinged Doors</t>
  </si>
  <si>
    <t>AL/DHD</t>
  </si>
  <si>
    <t>Aluminium Bi-Folding Doors</t>
  </si>
  <si>
    <t>AL/BFD</t>
  </si>
  <si>
    <t>Based on 50% of the total window areas</t>
  </si>
  <si>
    <t>Based on 50% of the total glazing door areas</t>
  </si>
  <si>
    <t>WATERPROOFING RATES</t>
  </si>
  <si>
    <t>wet areas</t>
  </si>
  <si>
    <t>balcony</t>
  </si>
  <si>
    <t>Waterproofing to Wet Areas</t>
  </si>
  <si>
    <t>others</t>
  </si>
  <si>
    <t>Waterproofing</t>
  </si>
  <si>
    <t>Floor Bedding</t>
  </si>
  <si>
    <t>20mm</t>
  </si>
  <si>
    <t>30mm</t>
  </si>
  <si>
    <t>FLOOR FINISHES RATES</t>
  </si>
  <si>
    <t>sheet</t>
  </si>
  <si>
    <t>tile</t>
  </si>
  <si>
    <t>wool</t>
  </si>
  <si>
    <t>wool/nylon blend</t>
  </si>
  <si>
    <t>nylon</t>
  </si>
  <si>
    <t>plank</t>
  </si>
  <si>
    <t>Carpet/Vinyl</t>
  </si>
  <si>
    <t>hardwood</t>
  </si>
  <si>
    <t>bamboo</t>
  </si>
  <si>
    <t>Polished Concrete</t>
  </si>
  <si>
    <t>polished</t>
  </si>
  <si>
    <t>epoxy</t>
  </si>
  <si>
    <t>JOINERY RATES</t>
  </si>
  <si>
    <t>Epoxy Concrete Finish</t>
  </si>
  <si>
    <t>base cabinet</t>
  </si>
  <si>
    <t>standard laminated</t>
  </si>
  <si>
    <t>designer laminated</t>
  </si>
  <si>
    <t>standard 2 pack</t>
  </si>
  <si>
    <t>designer 2 pack</t>
  </si>
  <si>
    <t>top cabinet</t>
  </si>
  <si>
    <t>full height cabinet</t>
  </si>
  <si>
    <t>benchtop</t>
  </si>
  <si>
    <r>
      <t xml:space="preserve">I </t>
    </r>
    <r>
      <rPr>
        <b/>
        <u/>
        <sz val="11"/>
        <color theme="1"/>
        <rFont val="Calibri"/>
        <family val="2"/>
        <scheme val="minor"/>
      </rPr>
      <t>can't click on some of the cells</t>
    </r>
    <r>
      <rPr>
        <sz val="11"/>
        <color theme="1"/>
        <rFont val="Calibri"/>
        <family val="2"/>
        <scheme val="minor"/>
      </rPr>
      <t xml:space="preserve"> in the spreadsheet? </t>
    </r>
  </si>
  <si>
    <t>engineered stone</t>
  </si>
  <si>
    <t>601mm to 900mm</t>
  </si>
  <si>
    <t>Benchtop (m2)</t>
  </si>
  <si>
    <t>Benchtop (Lm)</t>
  </si>
  <si>
    <t>area</t>
  </si>
  <si>
    <t>base end panel</t>
  </si>
  <si>
    <t>front dress panel</t>
  </si>
  <si>
    <t>Sundry</t>
  </si>
  <si>
    <t>top end panel</t>
  </si>
  <si>
    <t>full height end panel</t>
  </si>
  <si>
    <t>kickboard</t>
  </si>
  <si>
    <t>aluminium</t>
  </si>
  <si>
    <t>splashback</t>
  </si>
  <si>
    <t>Splashback (m2)</t>
  </si>
  <si>
    <t>stainless steel</t>
  </si>
  <si>
    <t>acrylic</t>
  </si>
  <si>
    <t>vanity</t>
  </si>
  <si>
    <t>shelving</t>
  </si>
  <si>
    <t>up to 300mm</t>
  </si>
  <si>
    <t>Doors - Sliding Mirror</t>
  </si>
  <si>
    <t>sliding mirror</t>
  </si>
  <si>
    <t>up to 1500mm</t>
  </si>
  <si>
    <t>3001mm to 3300mm</t>
  </si>
  <si>
    <t>3301mm to 3600mm</t>
  </si>
  <si>
    <t>Doors - Sliding Vinyl</t>
  </si>
  <si>
    <t>sliding vinyl</t>
  </si>
  <si>
    <t>Doors - Sliding Gyprock</t>
  </si>
  <si>
    <t>sliding gyprock</t>
  </si>
  <si>
    <t>enclosed</t>
  </si>
  <si>
    <t>open</t>
  </si>
  <si>
    <t>hanging rail</t>
  </si>
  <si>
    <t>Drawer</t>
  </si>
  <si>
    <t>2 drawer</t>
  </si>
  <si>
    <t>4 drawer</t>
  </si>
  <si>
    <t>3 drawer</t>
  </si>
  <si>
    <t>up to 450mm</t>
  </si>
  <si>
    <t>Study Nook Supporting Frame</t>
  </si>
  <si>
    <t>supporting frame</t>
  </si>
  <si>
    <t>Toilet/Urinal Partition</t>
  </si>
  <si>
    <t>toilet partition</t>
  </si>
  <si>
    <t>urinal partition</t>
  </si>
  <si>
    <t>Extra over</t>
  </si>
  <si>
    <t>Rolled edges</t>
  </si>
  <si>
    <t>Structural Steel</t>
  </si>
  <si>
    <t>All exposed steelwork to be hot dip galvanised unless noted otherwise</t>
  </si>
  <si>
    <t>STRUCTURAL STEEL RATES</t>
  </si>
  <si>
    <t>Boilermaker</t>
  </si>
  <si>
    <t>Kg/Lm</t>
  </si>
  <si>
    <t>Square Hollow Sections (SHS)</t>
  </si>
  <si>
    <t>Parallel Flange Channels (PFC)</t>
  </si>
  <si>
    <t>Welded Beams (WB)</t>
  </si>
  <si>
    <t>Welded Columns (WC)</t>
  </si>
  <si>
    <t>Equal Angles (EA)</t>
  </si>
  <si>
    <t>UB</t>
  </si>
  <si>
    <t>UC</t>
  </si>
  <si>
    <t>WB</t>
  </si>
  <si>
    <t>WC</t>
  </si>
  <si>
    <t>CHS</t>
  </si>
  <si>
    <t>180-16.1</t>
  </si>
  <si>
    <t>180-18.1</t>
  </si>
  <si>
    <t>180-22.2</t>
  </si>
  <si>
    <t>200-18.2</t>
  </si>
  <si>
    <t>200-22.3</t>
  </si>
  <si>
    <t>200-25.4</t>
  </si>
  <si>
    <t>200-29.8</t>
  </si>
  <si>
    <t>250-25.7</t>
  </si>
  <si>
    <t>250-31.4</t>
  </si>
  <si>
    <t>250-37.3</t>
  </si>
  <si>
    <t>310-40.4</t>
  </si>
  <si>
    <t>310-46.2</t>
  </si>
  <si>
    <t>360-44.7</t>
  </si>
  <si>
    <t>360-50.7</t>
  </si>
  <si>
    <t>360-56.7</t>
  </si>
  <si>
    <t>410-53.7</t>
  </si>
  <si>
    <t>410-59.7</t>
  </si>
  <si>
    <t>460-67.1</t>
  </si>
  <si>
    <t>460-74.6</t>
  </si>
  <si>
    <t>460-82.1</t>
  </si>
  <si>
    <t>530-92.4</t>
  </si>
  <si>
    <t>150-14.0</t>
  </si>
  <si>
    <t>150-18.0</t>
  </si>
  <si>
    <t>310-32.0</t>
  </si>
  <si>
    <t>530-82.0</t>
  </si>
  <si>
    <t>610-101.0</t>
  </si>
  <si>
    <t>610-113.0</t>
  </si>
  <si>
    <t>610-125.0</t>
  </si>
  <si>
    <t>100-14.8</t>
  </si>
  <si>
    <t>150-23.4</t>
  </si>
  <si>
    <t>150-37.2</t>
  </si>
  <si>
    <t>200-46.2</t>
  </si>
  <si>
    <t>200-42.3</t>
  </si>
  <si>
    <t>200-59.5</t>
  </si>
  <si>
    <t>250-72.9</t>
  </si>
  <si>
    <t>250-89.5</t>
  </si>
  <si>
    <t>310-96.8</t>
  </si>
  <si>
    <t>150-30.0</t>
  </si>
  <si>
    <t>310-118.0</t>
  </si>
  <si>
    <t>310-137.0</t>
  </si>
  <si>
    <t>310-158.0</t>
  </si>
  <si>
    <t>74x40-5.9</t>
  </si>
  <si>
    <t>100x50-8.3</t>
  </si>
  <si>
    <t>125x65-11.9</t>
  </si>
  <si>
    <t>150x75-17.7</t>
  </si>
  <si>
    <t>180x75-20.9</t>
  </si>
  <si>
    <t>200x75-22.9</t>
  </si>
  <si>
    <t>230x75-25.1</t>
  </si>
  <si>
    <t>250x90-35.5</t>
  </si>
  <si>
    <t>300x90-40.1</t>
  </si>
  <si>
    <t>380x100-55.2</t>
  </si>
  <si>
    <t>700-115</t>
  </si>
  <si>
    <t>700-130</t>
  </si>
  <si>
    <t>700-150</t>
  </si>
  <si>
    <t>700-173</t>
  </si>
  <si>
    <t>800-122</t>
  </si>
  <si>
    <t>800-146</t>
  </si>
  <si>
    <t>800-168</t>
  </si>
  <si>
    <t>800-192</t>
  </si>
  <si>
    <t>900-175</t>
  </si>
  <si>
    <t>900-218</t>
  </si>
  <si>
    <t>900-257</t>
  </si>
  <si>
    <t>900-282</t>
  </si>
  <si>
    <t>1000-215</t>
  </si>
  <si>
    <t>1000-258</t>
  </si>
  <si>
    <t>1000-296</t>
  </si>
  <si>
    <t>1000-322</t>
  </si>
  <si>
    <t>1200-249</t>
  </si>
  <si>
    <t>1200-278</t>
  </si>
  <si>
    <t>1200-317</t>
  </si>
  <si>
    <t>1200-342</t>
  </si>
  <si>
    <t>1200-392</t>
  </si>
  <si>
    <t>1200-423</t>
  </si>
  <si>
    <t>1200-455</t>
  </si>
  <si>
    <t>350-197</t>
  </si>
  <si>
    <t>350-230</t>
  </si>
  <si>
    <t>350-258</t>
  </si>
  <si>
    <t>350-280</t>
  </si>
  <si>
    <t>400-144</t>
  </si>
  <si>
    <t>400-181</t>
  </si>
  <si>
    <t>400-212</t>
  </si>
  <si>
    <t>400-270</t>
  </si>
  <si>
    <t>400-303</t>
  </si>
  <si>
    <t>400-328</t>
  </si>
  <si>
    <t>400-361</t>
  </si>
  <si>
    <t>500-228</t>
  </si>
  <si>
    <t>500-267</t>
  </si>
  <si>
    <t>500-290</t>
  </si>
  <si>
    <t>500-340</t>
  </si>
  <si>
    <t>500-383</t>
  </si>
  <si>
    <t>500-414</t>
  </si>
  <si>
    <t>500-440</t>
  </si>
  <si>
    <t>50x25-3.8</t>
  </si>
  <si>
    <t>13x13x1.8</t>
  </si>
  <si>
    <t>15x15x1.8</t>
  </si>
  <si>
    <t>20x20x1.6</t>
  </si>
  <si>
    <t>25x25x1.6</t>
  </si>
  <si>
    <t>25x25x2</t>
  </si>
  <si>
    <t>25x25x2.5</t>
  </si>
  <si>
    <t>25x25x3</t>
  </si>
  <si>
    <t>30x30x1.6</t>
  </si>
  <si>
    <t>30x30x2</t>
  </si>
  <si>
    <t>30x30x2.5</t>
  </si>
  <si>
    <t>30x30x3</t>
  </si>
  <si>
    <t>35x35x1.6</t>
  </si>
  <si>
    <t>35x35x2</t>
  </si>
  <si>
    <t>35x35x2.5</t>
  </si>
  <si>
    <t>35x35x3</t>
  </si>
  <si>
    <t>40x40x1.6</t>
  </si>
  <si>
    <t>40x40x2</t>
  </si>
  <si>
    <t>40x40x2.5</t>
  </si>
  <si>
    <t>40x40x3</t>
  </si>
  <si>
    <t>40x40x4</t>
  </si>
  <si>
    <t>50x50x1.6</t>
  </si>
  <si>
    <t>50x50x2</t>
  </si>
  <si>
    <t>50x50x2.5</t>
  </si>
  <si>
    <t>50x50x3</t>
  </si>
  <si>
    <t>50x50x4</t>
  </si>
  <si>
    <t>50x50x5</t>
  </si>
  <si>
    <t>50x50x6</t>
  </si>
  <si>
    <t>65x65x1.6</t>
  </si>
  <si>
    <t>65x65x2</t>
  </si>
  <si>
    <t>65x65x2.5</t>
  </si>
  <si>
    <t>65x65x3</t>
  </si>
  <si>
    <t>65x65x4</t>
  </si>
  <si>
    <t>65x65x5</t>
  </si>
  <si>
    <t>65x65x6</t>
  </si>
  <si>
    <t>75x75x2</t>
  </si>
  <si>
    <t>75x75x2.5</t>
  </si>
  <si>
    <t>75x75x3</t>
  </si>
  <si>
    <t>75x75x3.5</t>
  </si>
  <si>
    <t>75x75x4</t>
  </si>
  <si>
    <t>75x75x5</t>
  </si>
  <si>
    <t>75x75x6</t>
  </si>
  <si>
    <t>89x89x2</t>
  </si>
  <si>
    <t>89x89x3.5</t>
  </si>
  <si>
    <t>89x89x5</t>
  </si>
  <si>
    <t>89x89x6</t>
  </si>
  <si>
    <t>100x100x2</t>
  </si>
  <si>
    <t>100x100x2.5</t>
  </si>
  <si>
    <t>100x100x3</t>
  </si>
  <si>
    <t>100x100x4</t>
  </si>
  <si>
    <t>100x100x5</t>
  </si>
  <si>
    <t>100x100x6</t>
  </si>
  <si>
    <t>100x100x9</t>
  </si>
  <si>
    <t>125x125x4</t>
  </si>
  <si>
    <t>125x125x5</t>
  </si>
  <si>
    <t>125x125x6</t>
  </si>
  <si>
    <t>125x125x9</t>
  </si>
  <si>
    <t>150x150x5</t>
  </si>
  <si>
    <t>150x150x6</t>
  </si>
  <si>
    <t>150x150x9</t>
  </si>
  <si>
    <t>200x200x5</t>
  </si>
  <si>
    <t>200x200x6</t>
  </si>
  <si>
    <t>200x200x9</t>
  </si>
  <si>
    <t>200x200x12.5</t>
  </si>
  <si>
    <t>200x200x16</t>
  </si>
  <si>
    <t>250x250x6</t>
  </si>
  <si>
    <t>250x250x9</t>
  </si>
  <si>
    <t>250x250x12.5</t>
  </si>
  <si>
    <t>250x250x16</t>
  </si>
  <si>
    <t>300x300x6</t>
  </si>
  <si>
    <t>300x300x9</t>
  </si>
  <si>
    <t>300x300x10</t>
  </si>
  <si>
    <t>300x300x12.5</t>
  </si>
  <si>
    <t>300x300x16</t>
  </si>
  <si>
    <t>350x350x9</t>
  </si>
  <si>
    <t>350x350x10</t>
  </si>
  <si>
    <t>350x350x12.5</t>
  </si>
  <si>
    <t>350x350x16</t>
  </si>
  <si>
    <t>400x400x9</t>
  </si>
  <si>
    <t>400x400x12.5</t>
  </si>
  <si>
    <t>400x400x16</t>
  </si>
  <si>
    <t>21.3x3.6</t>
  </si>
  <si>
    <t>26.9x2</t>
  </si>
  <si>
    <t>26.9x2.3</t>
  </si>
  <si>
    <t>26.9x2.6</t>
  </si>
  <si>
    <t>26.9x3.2</t>
  </si>
  <si>
    <t>26.9x4</t>
  </si>
  <si>
    <t>33.7x2</t>
  </si>
  <si>
    <t>33.7x2.6</t>
  </si>
  <si>
    <t>33.7x3.2</t>
  </si>
  <si>
    <t>33.7x4</t>
  </si>
  <si>
    <t>33.7x4.5</t>
  </si>
  <si>
    <t>42.4x2</t>
  </si>
  <si>
    <t>42.4x2.6</t>
  </si>
  <si>
    <t>42.4x3.2</t>
  </si>
  <si>
    <t>42.4x4</t>
  </si>
  <si>
    <t>42.4x4.9</t>
  </si>
  <si>
    <t>48.3x2.3</t>
  </si>
  <si>
    <t>48.3x2.9</t>
  </si>
  <si>
    <t>48.3x3.2</t>
  </si>
  <si>
    <t>48.3x3.5</t>
  </si>
  <si>
    <t>48.3x4</t>
  </si>
  <si>
    <t>48.3x4.9</t>
  </si>
  <si>
    <t>60.3x2.3</t>
  </si>
  <si>
    <t>60.3x2.9</t>
  </si>
  <si>
    <t>60.3x3.5</t>
  </si>
  <si>
    <t>60.3x3.6</t>
  </si>
  <si>
    <t>60.3x4.5</t>
  </si>
  <si>
    <t>60.3x5.4</t>
  </si>
  <si>
    <t>76.1x2.3</t>
  </si>
  <si>
    <t>76.1x3.2</t>
  </si>
  <si>
    <t>76.1x3.6</t>
  </si>
  <si>
    <t>76.1x4.5</t>
  </si>
  <si>
    <t>76.1x5.9</t>
  </si>
  <si>
    <t>88.9x2.6</t>
  </si>
  <si>
    <t>88.9x3.2</t>
  </si>
  <si>
    <t>88.9x4</t>
  </si>
  <si>
    <t>88.9x4.8</t>
  </si>
  <si>
    <t>88.9x5</t>
  </si>
  <si>
    <t>88.9x5.5</t>
  </si>
  <si>
    <t>88.9x5.9</t>
  </si>
  <si>
    <t>101.6x2.6</t>
  </si>
  <si>
    <t>101.6x3.2</t>
  </si>
  <si>
    <t>101.6x4</t>
  </si>
  <si>
    <t>101.6x5</t>
  </si>
  <si>
    <t>114.3x3.2</t>
  </si>
  <si>
    <t>114.3x3.6</t>
  </si>
  <si>
    <t>114.3x4.5</t>
  </si>
  <si>
    <t>114.3x4.8</t>
  </si>
  <si>
    <t>114.3x5.4</t>
  </si>
  <si>
    <t>114.3x6</t>
  </si>
  <si>
    <t>139.7x3</t>
  </si>
  <si>
    <t>139.7x3.5</t>
  </si>
  <si>
    <t>139.7x5</t>
  </si>
  <si>
    <t>139.7x5.4</t>
  </si>
  <si>
    <t>165.1x3</t>
  </si>
  <si>
    <t>165.1x3.5</t>
  </si>
  <si>
    <t>165.1x5</t>
  </si>
  <si>
    <t>165.1x5.4</t>
  </si>
  <si>
    <t>219.1x4.8</t>
  </si>
  <si>
    <t>219.1x6.4</t>
  </si>
  <si>
    <t>219.1x8.2</t>
  </si>
  <si>
    <t>273.1x4.8</t>
  </si>
  <si>
    <t>273.1x6.4</t>
  </si>
  <si>
    <t>273.1x9.3</t>
  </si>
  <si>
    <t>323.9x6.4</t>
  </si>
  <si>
    <t>323.9x9.5</t>
  </si>
  <si>
    <t>323.9x12.7</t>
  </si>
  <si>
    <t>355.6x6.4</t>
  </si>
  <si>
    <t>355.6x9.5</t>
  </si>
  <si>
    <t>355.6x12.7</t>
  </si>
  <si>
    <t>406.4x6.4</t>
  </si>
  <si>
    <t>406.4x9.5</t>
  </si>
  <si>
    <t>406.4x12.7</t>
  </si>
  <si>
    <t>457x6.4</t>
  </si>
  <si>
    <t>457x9.5</t>
  </si>
  <si>
    <t>457x12.7</t>
  </si>
  <si>
    <t>508x6.4</t>
  </si>
  <si>
    <t>508x9.5</t>
  </si>
  <si>
    <t>508x12.7</t>
  </si>
  <si>
    <t>610x6.4</t>
  </si>
  <si>
    <t>610x9.5</t>
  </si>
  <si>
    <t>610x12.7</t>
  </si>
  <si>
    <t>50x20x1.6</t>
  </si>
  <si>
    <t>50x20x2</t>
  </si>
  <si>
    <t>50x20x2.5</t>
  </si>
  <si>
    <t>50x20x3</t>
  </si>
  <si>
    <t>50x25x1.6</t>
  </si>
  <si>
    <t>50x25x2</t>
  </si>
  <si>
    <t>50x25x2.5</t>
  </si>
  <si>
    <t>50x25x3</t>
  </si>
  <si>
    <t>65x35x1.6</t>
  </si>
  <si>
    <t>65x35x2</t>
  </si>
  <si>
    <t>65x35x2.5</t>
  </si>
  <si>
    <t>65x35x3</t>
  </si>
  <si>
    <t>75x25x1.6</t>
  </si>
  <si>
    <t>75x25x2</t>
  </si>
  <si>
    <t>75x25x2.5</t>
  </si>
  <si>
    <t>75x50x1.6</t>
  </si>
  <si>
    <t>75x50x2</t>
  </si>
  <si>
    <t>75x50x2.5</t>
  </si>
  <si>
    <t>75x50x3</t>
  </si>
  <si>
    <t>75x50x4</t>
  </si>
  <si>
    <t>75x50x5</t>
  </si>
  <si>
    <t>75x50x6</t>
  </si>
  <si>
    <t>100x50x1.6</t>
  </si>
  <si>
    <t>100x50x2</t>
  </si>
  <si>
    <t>100x50x2.5</t>
  </si>
  <si>
    <t>100x50x3</t>
  </si>
  <si>
    <t>100x50x3.5</t>
  </si>
  <si>
    <t>100x50x4</t>
  </si>
  <si>
    <t>100x50x5</t>
  </si>
  <si>
    <t>100x50x6</t>
  </si>
  <si>
    <t>125x75x2.5</t>
  </si>
  <si>
    <t>125x75x3</t>
  </si>
  <si>
    <t>125x75x4</t>
  </si>
  <si>
    <t>125x75x5</t>
  </si>
  <si>
    <t>125x75x6</t>
  </si>
  <si>
    <t>150x50x2</t>
  </si>
  <si>
    <t>150x50x2.5</t>
  </si>
  <si>
    <t>150x50x3</t>
  </si>
  <si>
    <t>150x50x4</t>
  </si>
  <si>
    <t>150x50x5</t>
  </si>
  <si>
    <t>150x50x6</t>
  </si>
  <si>
    <t>150x100x4</t>
  </si>
  <si>
    <t>150x100x5</t>
  </si>
  <si>
    <t>150x100x6</t>
  </si>
  <si>
    <t>150x100x9</t>
  </si>
  <si>
    <t>200x100x4</t>
  </si>
  <si>
    <t>200x100x5</t>
  </si>
  <si>
    <t>200x100x6</t>
  </si>
  <si>
    <t>200x100x9</t>
  </si>
  <si>
    <t>250x150x5</t>
  </si>
  <si>
    <t>250x150x6</t>
  </si>
  <si>
    <t>250x150x9</t>
  </si>
  <si>
    <t>250x150x12.5</t>
  </si>
  <si>
    <t>250x150x16</t>
  </si>
  <si>
    <t>300x200x6</t>
  </si>
  <si>
    <t>300x200x8</t>
  </si>
  <si>
    <t>300x200x9</t>
  </si>
  <si>
    <t>300x200x10</t>
  </si>
  <si>
    <t>300x200x12.5</t>
  </si>
  <si>
    <t>300x200x16</t>
  </si>
  <si>
    <t>350x250x12.5</t>
  </si>
  <si>
    <t>350x250x16</t>
  </si>
  <si>
    <t>400x200x6</t>
  </si>
  <si>
    <t>400x200x9</t>
  </si>
  <si>
    <t>400x200x10</t>
  </si>
  <si>
    <t>400x200x12.5</t>
  </si>
  <si>
    <t>400x300x9</t>
  </si>
  <si>
    <t>400x300x12.5</t>
  </si>
  <si>
    <t>400x300x16</t>
  </si>
  <si>
    <t>25x25x5</t>
  </si>
  <si>
    <t>25x25x6</t>
  </si>
  <si>
    <t>30x30x5</t>
  </si>
  <si>
    <t>30x30x6</t>
  </si>
  <si>
    <t>40x40x5</t>
  </si>
  <si>
    <t>40x40x6</t>
  </si>
  <si>
    <t>45x45x3</t>
  </si>
  <si>
    <t>45x45x5</t>
  </si>
  <si>
    <t>45x45x6</t>
  </si>
  <si>
    <t>50x50x8</t>
  </si>
  <si>
    <t>55x55x5</t>
  </si>
  <si>
    <t>55x55x6</t>
  </si>
  <si>
    <t>65x65x8</t>
  </si>
  <si>
    <t>65x65x10</t>
  </si>
  <si>
    <t>75x75x8</t>
  </si>
  <si>
    <t>75x75x10</t>
  </si>
  <si>
    <t>90x90x6</t>
  </si>
  <si>
    <t>90x90x8</t>
  </si>
  <si>
    <t>90x90x10</t>
  </si>
  <si>
    <t>100x100x8</t>
  </si>
  <si>
    <t>100x100x10</t>
  </si>
  <si>
    <t>100x100x12</t>
  </si>
  <si>
    <t>EA</t>
  </si>
  <si>
    <t>125x125x8</t>
  </si>
  <si>
    <t>125x125x10</t>
  </si>
  <si>
    <t>125x125x12</t>
  </si>
  <si>
    <t>125x125x16</t>
  </si>
  <si>
    <t>20x20x3</t>
  </si>
  <si>
    <t>150x150x10</t>
  </si>
  <si>
    <t>150x150x12</t>
  </si>
  <si>
    <t>150x150x16</t>
  </si>
  <si>
    <t>150x150x19</t>
  </si>
  <si>
    <t>200x200x13</t>
  </si>
  <si>
    <t>200x200x18</t>
  </si>
  <si>
    <t>200x200x20</t>
  </si>
  <si>
    <t>200x200x26</t>
  </si>
  <si>
    <t>65x50x5</t>
  </si>
  <si>
    <t>65x50x6</t>
  </si>
  <si>
    <t>65x50x8</t>
  </si>
  <si>
    <t>75x50x8</t>
  </si>
  <si>
    <t>100x75x6</t>
  </si>
  <si>
    <t>100x75x8</t>
  </si>
  <si>
    <t>100x75x10</t>
  </si>
  <si>
    <t>125x75x8</t>
  </si>
  <si>
    <t>125x75x10</t>
  </si>
  <si>
    <t>125x75x12</t>
  </si>
  <si>
    <t>150x90x8</t>
  </si>
  <si>
    <t>150x90x10</t>
  </si>
  <si>
    <t>150x90x12</t>
  </si>
  <si>
    <t>150x90x16</t>
  </si>
  <si>
    <t>150x100x10</t>
  </si>
  <si>
    <t>150x100x12</t>
  </si>
  <si>
    <t>UA</t>
  </si>
  <si>
    <t>Unequal Angles (UA)</t>
  </si>
  <si>
    <t>Round Bars (RB)</t>
  </si>
  <si>
    <t>Square Bars (SB)</t>
  </si>
  <si>
    <t>RB</t>
  </si>
  <si>
    <t>SB</t>
  </si>
  <si>
    <t>Purlins</t>
  </si>
  <si>
    <t>100-15</t>
  </si>
  <si>
    <t>100-19</t>
  </si>
  <si>
    <t>150-12</t>
  </si>
  <si>
    <t>100-10</t>
  </si>
  <si>
    <t>100-12</t>
  </si>
  <si>
    <t>150-15</t>
  </si>
  <si>
    <t>150-19</t>
  </si>
  <si>
    <t>150-24</t>
  </si>
  <si>
    <t>200-15</t>
  </si>
  <si>
    <t>200-19</t>
  </si>
  <si>
    <t>200-24</t>
  </si>
  <si>
    <t>250-19</t>
  </si>
  <si>
    <t>250-24</t>
  </si>
  <si>
    <t>300-24</t>
  </si>
  <si>
    <t>300-30</t>
  </si>
  <si>
    <t>350-30</t>
  </si>
  <si>
    <t>C section</t>
  </si>
  <si>
    <t>Z section</t>
  </si>
  <si>
    <t>Bridging</t>
  </si>
  <si>
    <t>bridging</t>
  </si>
  <si>
    <t>WEIGHT/t</t>
  </si>
  <si>
    <t>75-10</t>
  </si>
  <si>
    <t>75-12</t>
  </si>
  <si>
    <t>75-15</t>
  </si>
  <si>
    <t>100-24</t>
  </si>
  <si>
    <t>350-24</t>
  </si>
  <si>
    <t>400-19</t>
  </si>
  <si>
    <t>400-24</t>
  </si>
  <si>
    <t>400-30</t>
  </si>
  <si>
    <t>400-32</t>
  </si>
  <si>
    <t>HDG</t>
  </si>
  <si>
    <t>primed</t>
  </si>
  <si>
    <t>Primed</t>
  </si>
  <si>
    <t>Hot Dip Galvanized</t>
  </si>
  <si>
    <t>10x3</t>
  </si>
  <si>
    <t>10x4</t>
  </si>
  <si>
    <t>10x5</t>
  </si>
  <si>
    <t>10x6</t>
  </si>
  <si>
    <t>10x8</t>
  </si>
  <si>
    <t>10x10</t>
  </si>
  <si>
    <t>10x12</t>
  </si>
  <si>
    <t>10x16</t>
  </si>
  <si>
    <t>10x20</t>
  </si>
  <si>
    <t>10x22</t>
  </si>
  <si>
    <t>10x25</t>
  </si>
  <si>
    <t>10x28</t>
  </si>
  <si>
    <t>10x32</t>
  </si>
  <si>
    <t>10x36</t>
  </si>
  <si>
    <t>10x40</t>
  </si>
  <si>
    <t>10x45</t>
  </si>
  <si>
    <t>10x50</t>
  </si>
  <si>
    <t>10x55</t>
  </si>
  <si>
    <t>10x60</t>
  </si>
  <si>
    <t>10x65</t>
  </si>
  <si>
    <t>10x70</t>
  </si>
  <si>
    <t>10x75</t>
  </si>
  <si>
    <t>10x80</t>
  </si>
  <si>
    <t>10x90</t>
  </si>
  <si>
    <t>10x100</t>
  </si>
  <si>
    <t>20x3</t>
  </si>
  <si>
    <t>20x4</t>
  </si>
  <si>
    <t>20x5</t>
  </si>
  <si>
    <t>20x6</t>
  </si>
  <si>
    <t>20x8</t>
  </si>
  <si>
    <t>20x10</t>
  </si>
  <si>
    <t>20x12</t>
  </si>
  <si>
    <t>20x16</t>
  </si>
  <si>
    <t>20x20</t>
  </si>
  <si>
    <t>20x22</t>
  </si>
  <si>
    <t>20x25</t>
  </si>
  <si>
    <t>20x28</t>
  </si>
  <si>
    <t>20x32</t>
  </si>
  <si>
    <t>20x36</t>
  </si>
  <si>
    <t>20x40</t>
  </si>
  <si>
    <t>20x45</t>
  </si>
  <si>
    <t>20x50</t>
  </si>
  <si>
    <t>20x55</t>
  </si>
  <si>
    <t>20x60</t>
  </si>
  <si>
    <t>20x65</t>
  </si>
  <si>
    <t>20x70</t>
  </si>
  <si>
    <t>20x75</t>
  </si>
  <si>
    <t>20x80</t>
  </si>
  <si>
    <t>20x90</t>
  </si>
  <si>
    <t>20x100</t>
  </si>
  <si>
    <t>30x3</t>
  </si>
  <si>
    <t>30x4</t>
  </si>
  <si>
    <t>30x5</t>
  </si>
  <si>
    <t>30x6</t>
  </si>
  <si>
    <t>30x8</t>
  </si>
  <si>
    <t>30x10</t>
  </si>
  <si>
    <t>30x12</t>
  </si>
  <si>
    <t>30x16</t>
  </si>
  <si>
    <t>30x20</t>
  </si>
  <si>
    <t>30x22</t>
  </si>
  <si>
    <t>30x25</t>
  </si>
  <si>
    <t>30x28</t>
  </si>
  <si>
    <t>30x32</t>
  </si>
  <si>
    <t>30x36</t>
  </si>
  <si>
    <t>30x40</t>
  </si>
  <si>
    <t>30x45</t>
  </si>
  <si>
    <t>30x50</t>
  </si>
  <si>
    <t>30x55</t>
  </si>
  <si>
    <t>30x60</t>
  </si>
  <si>
    <t>30x65</t>
  </si>
  <si>
    <t>30x70</t>
  </si>
  <si>
    <t>30x75</t>
  </si>
  <si>
    <t>30x80</t>
  </si>
  <si>
    <t>30x90</t>
  </si>
  <si>
    <t>30x100</t>
  </si>
  <si>
    <t>40x3</t>
  </si>
  <si>
    <t>40x4</t>
  </si>
  <si>
    <t>40x5</t>
  </si>
  <si>
    <t>40x6</t>
  </si>
  <si>
    <t>40x8</t>
  </si>
  <si>
    <t>40x10</t>
  </si>
  <si>
    <t>40x12</t>
  </si>
  <si>
    <t>40x16</t>
  </si>
  <si>
    <t>40x20</t>
  </si>
  <si>
    <t>40x22</t>
  </si>
  <si>
    <t>40x25</t>
  </si>
  <si>
    <t>40x28</t>
  </si>
  <si>
    <t>40x32</t>
  </si>
  <si>
    <t>40x36</t>
  </si>
  <si>
    <t>40x40</t>
  </si>
  <si>
    <t>40x45</t>
  </si>
  <si>
    <t>40x50</t>
  </si>
  <si>
    <t>40x55</t>
  </si>
  <si>
    <t>40x60</t>
  </si>
  <si>
    <t>40x65</t>
  </si>
  <si>
    <t>40x70</t>
  </si>
  <si>
    <t>40x75</t>
  </si>
  <si>
    <t>40x80</t>
  </si>
  <si>
    <t>40x90</t>
  </si>
  <si>
    <t>40x100</t>
  </si>
  <si>
    <t>50x3</t>
  </si>
  <si>
    <t>50x4</t>
  </si>
  <si>
    <t>50x5</t>
  </si>
  <si>
    <t>50x6</t>
  </si>
  <si>
    <t>50x8</t>
  </si>
  <si>
    <t>50x10</t>
  </si>
  <si>
    <t>50x12</t>
  </si>
  <si>
    <t>50x16</t>
  </si>
  <si>
    <t>50x20</t>
  </si>
  <si>
    <t>50x22</t>
  </si>
  <si>
    <t>50x25</t>
  </si>
  <si>
    <t>50x28</t>
  </si>
  <si>
    <t>50x32</t>
  </si>
  <si>
    <t>50x36</t>
  </si>
  <si>
    <t>50x40</t>
  </si>
  <si>
    <t>50x45</t>
  </si>
  <si>
    <t>50x50</t>
  </si>
  <si>
    <t>50x55</t>
  </si>
  <si>
    <t>50x60</t>
  </si>
  <si>
    <t>50x65</t>
  </si>
  <si>
    <t>50x70</t>
  </si>
  <si>
    <t>50x75</t>
  </si>
  <si>
    <t>50x80</t>
  </si>
  <si>
    <t>50x90</t>
  </si>
  <si>
    <t>50x100</t>
  </si>
  <si>
    <t>60x3</t>
  </si>
  <si>
    <t>60x4</t>
  </si>
  <si>
    <t>60x5</t>
  </si>
  <si>
    <t>60x6</t>
  </si>
  <si>
    <t>60x8</t>
  </si>
  <si>
    <t>60x10</t>
  </si>
  <si>
    <t>60x12</t>
  </si>
  <si>
    <t>60x16</t>
  </si>
  <si>
    <t>60x20</t>
  </si>
  <si>
    <t>60x22</t>
  </si>
  <si>
    <t>60x25</t>
  </si>
  <si>
    <t>60x28</t>
  </si>
  <si>
    <t>60x32</t>
  </si>
  <si>
    <t>60x36</t>
  </si>
  <si>
    <t>60x40</t>
  </si>
  <si>
    <t>60x45</t>
  </si>
  <si>
    <t>60x50</t>
  </si>
  <si>
    <t>60x55</t>
  </si>
  <si>
    <t>60x60</t>
  </si>
  <si>
    <t>60x65</t>
  </si>
  <si>
    <t>60x70</t>
  </si>
  <si>
    <t>60x75</t>
  </si>
  <si>
    <t>60x80</t>
  </si>
  <si>
    <t>60x90</t>
  </si>
  <si>
    <t>60x100</t>
  </si>
  <si>
    <t>70x3</t>
  </si>
  <si>
    <t>70x4</t>
  </si>
  <si>
    <t>70x5</t>
  </si>
  <si>
    <t>70x6</t>
  </si>
  <si>
    <t>70x8</t>
  </si>
  <si>
    <t>70x10</t>
  </si>
  <si>
    <t>70x12</t>
  </si>
  <si>
    <t>70x16</t>
  </si>
  <si>
    <t>70x20</t>
  </si>
  <si>
    <t>70x22</t>
  </si>
  <si>
    <t>70x25</t>
  </si>
  <si>
    <t>70x28</t>
  </si>
  <si>
    <t>70x32</t>
  </si>
  <si>
    <t>70x36</t>
  </si>
  <si>
    <t>70x40</t>
  </si>
  <si>
    <t>70x45</t>
  </si>
  <si>
    <t>70x50</t>
  </si>
  <si>
    <t>70x55</t>
  </si>
  <si>
    <t>70x60</t>
  </si>
  <si>
    <t>70x65</t>
  </si>
  <si>
    <t>70x70</t>
  </si>
  <si>
    <t>70x75</t>
  </si>
  <si>
    <t>70x80</t>
  </si>
  <si>
    <t>70x90</t>
  </si>
  <si>
    <t>70x100</t>
  </si>
  <si>
    <t>80x3</t>
  </si>
  <si>
    <t>80x4</t>
  </si>
  <si>
    <t>80x5</t>
  </si>
  <si>
    <t>80x6</t>
  </si>
  <si>
    <t>80x8</t>
  </si>
  <si>
    <t>80x10</t>
  </si>
  <si>
    <t>80x12</t>
  </si>
  <si>
    <t>80x16</t>
  </si>
  <si>
    <t>80x20</t>
  </si>
  <si>
    <t>80x22</t>
  </si>
  <si>
    <t>80x25</t>
  </si>
  <si>
    <t>80x28</t>
  </si>
  <si>
    <t>80x32</t>
  </si>
  <si>
    <t>80x36</t>
  </si>
  <si>
    <t>80x40</t>
  </si>
  <si>
    <t>80x45</t>
  </si>
  <si>
    <t>80x50</t>
  </si>
  <si>
    <t>80x55</t>
  </si>
  <si>
    <t>80x60</t>
  </si>
  <si>
    <t>80x65</t>
  </si>
  <si>
    <t>80x70</t>
  </si>
  <si>
    <t>80x75</t>
  </si>
  <si>
    <t>80x80</t>
  </si>
  <si>
    <t>80x90</t>
  </si>
  <si>
    <t>80x100</t>
  </si>
  <si>
    <t>90x3</t>
  </si>
  <si>
    <t>90x4</t>
  </si>
  <si>
    <t>90x5</t>
  </si>
  <si>
    <t>90x6</t>
  </si>
  <si>
    <t>90x8</t>
  </si>
  <si>
    <t>90x10</t>
  </si>
  <si>
    <t>90x12</t>
  </si>
  <si>
    <t>90x16</t>
  </si>
  <si>
    <t>90x20</t>
  </si>
  <si>
    <t>90x22</t>
  </si>
  <si>
    <t>90x25</t>
  </si>
  <si>
    <t>90x28</t>
  </si>
  <si>
    <t>90x32</t>
  </si>
  <si>
    <t>90x36</t>
  </si>
  <si>
    <t>90x40</t>
  </si>
  <si>
    <t>90x50</t>
  </si>
  <si>
    <t>90x55</t>
  </si>
  <si>
    <t>90x60</t>
  </si>
  <si>
    <t>90x65</t>
  </si>
  <si>
    <t>90x70</t>
  </si>
  <si>
    <t>90x75</t>
  </si>
  <si>
    <t>90x80</t>
  </si>
  <si>
    <t>90x90</t>
  </si>
  <si>
    <t>90x100</t>
  </si>
  <si>
    <t>100x3</t>
  </si>
  <si>
    <t>100x4</t>
  </si>
  <si>
    <t>100x5</t>
  </si>
  <si>
    <t>100x6</t>
  </si>
  <si>
    <t>100x8</t>
  </si>
  <si>
    <t>100x10</t>
  </si>
  <si>
    <t>100x12</t>
  </si>
  <si>
    <t>100x16</t>
  </si>
  <si>
    <t>100x20</t>
  </si>
  <si>
    <t>100x22</t>
  </si>
  <si>
    <t>100x25</t>
  </si>
  <si>
    <t>100x28</t>
  </si>
  <si>
    <t>100x32</t>
  </si>
  <si>
    <t>100x36</t>
  </si>
  <si>
    <t>100x40</t>
  </si>
  <si>
    <t>100x45</t>
  </si>
  <si>
    <t>100x55</t>
  </si>
  <si>
    <t>100x60</t>
  </si>
  <si>
    <t>100x65</t>
  </si>
  <si>
    <t>100x70</t>
  </si>
  <si>
    <t>100x75</t>
  </si>
  <si>
    <t>100x80</t>
  </si>
  <si>
    <t>100x90</t>
  </si>
  <si>
    <t>100x100</t>
  </si>
  <si>
    <t>200x3</t>
  </si>
  <si>
    <t>200x4</t>
  </si>
  <si>
    <t>200x5</t>
  </si>
  <si>
    <t>200x6</t>
  </si>
  <si>
    <t>200x8</t>
  </si>
  <si>
    <t>200x10</t>
  </si>
  <si>
    <t>200x12</t>
  </si>
  <si>
    <t>200x16</t>
  </si>
  <si>
    <t>200x20</t>
  </si>
  <si>
    <t>200x22</t>
  </si>
  <si>
    <t>200x25</t>
  </si>
  <si>
    <t>200x28</t>
  </si>
  <si>
    <t>200x32</t>
  </si>
  <si>
    <t>200x36</t>
  </si>
  <si>
    <t>200x40</t>
  </si>
  <si>
    <t>200x55</t>
  </si>
  <si>
    <t>200x60</t>
  </si>
  <si>
    <t>200x65</t>
  </si>
  <si>
    <t>200x70</t>
  </si>
  <si>
    <t>200x80</t>
  </si>
  <si>
    <t>200x90</t>
  </si>
  <si>
    <t>200x100</t>
  </si>
  <si>
    <t>300x3</t>
  </si>
  <si>
    <t>300x4</t>
  </si>
  <si>
    <t>300x5</t>
  </si>
  <si>
    <t>300x6</t>
  </si>
  <si>
    <t>300x8</t>
  </si>
  <si>
    <t>300x10</t>
  </si>
  <si>
    <t>300x12</t>
  </si>
  <si>
    <t>300x16</t>
  </si>
  <si>
    <t>300x20</t>
  </si>
  <si>
    <t>300x22</t>
  </si>
  <si>
    <t>300x25</t>
  </si>
  <si>
    <t>300x28</t>
  </si>
  <si>
    <t>300x32</t>
  </si>
  <si>
    <t>300x36</t>
  </si>
  <si>
    <t>300x40</t>
  </si>
  <si>
    <t>300x55</t>
  </si>
  <si>
    <t>300x60</t>
  </si>
  <si>
    <t>300x70</t>
  </si>
  <si>
    <t>300x80</t>
  </si>
  <si>
    <t>300x100</t>
  </si>
  <si>
    <t>400x3</t>
  </si>
  <si>
    <t>400x4</t>
  </si>
  <si>
    <t>400x5</t>
  </si>
  <si>
    <t>400x6</t>
  </si>
  <si>
    <t>400x8</t>
  </si>
  <si>
    <t>400x10</t>
  </si>
  <si>
    <t>400x12</t>
  </si>
  <si>
    <t>400x16</t>
  </si>
  <si>
    <t>400x20</t>
  </si>
  <si>
    <t>400x22</t>
  </si>
  <si>
    <t>400x25</t>
  </si>
  <si>
    <t>400x28</t>
  </si>
  <si>
    <t>400x32</t>
  </si>
  <si>
    <t>400x36</t>
  </si>
  <si>
    <t>400x40</t>
  </si>
  <si>
    <t>400x50</t>
  </si>
  <si>
    <t>400x55</t>
  </si>
  <si>
    <t>400x60</t>
  </si>
  <si>
    <t>400x65</t>
  </si>
  <si>
    <t>400x70</t>
  </si>
  <si>
    <t>400x80</t>
  </si>
  <si>
    <t>400x100</t>
  </si>
  <si>
    <t>500x3</t>
  </si>
  <si>
    <t>500x4</t>
  </si>
  <si>
    <t>500x5</t>
  </si>
  <si>
    <t>500x6</t>
  </si>
  <si>
    <t>500x8</t>
  </si>
  <si>
    <t>500x10</t>
  </si>
  <si>
    <t>500x12</t>
  </si>
  <si>
    <t>500x16</t>
  </si>
  <si>
    <t>500x20</t>
  </si>
  <si>
    <t>500x22</t>
  </si>
  <si>
    <t>500x25</t>
  </si>
  <si>
    <t>500x28</t>
  </si>
  <si>
    <t>500x32</t>
  </si>
  <si>
    <t>500x36</t>
  </si>
  <si>
    <t>500x40</t>
  </si>
  <si>
    <t>500x45</t>
  </si>
  <si>
    <t>500x50</t>
  </si>
  <si>
    <t>500x55</t>
  </si>
  <si>
    <t>500x60</t>
  </si>
  <si>
    <t>500x65</t>
  </si>
  <si>
    <t>500x70</t>
  </si>
  <si>
    <t>500x75</t>
  </si>
  <si>
    <t>500x80</t>
  </si>
  <si>
    <t>500x90</t>
  </si>
  <si>
    <t>500x100</t>
  </si>
  <si>
    <t>1000x3</t>
  </si>
  <si>
    <t>1000x4</t>
  </si>
  <si>
    <t>1000x5</t>
  </si>
  <si>
    <t>1000x6</t>
  </si>
  <si>
    <t>1000x8</t>
  </si>
  <si>
    <t>1000x10</t>
  </si>
  <si>
    <t>1000x12</t>
  </si>
  <si>
    <t>1000x16</t>
  </si>
  <si>
    <t>1000x20</t>
  </si>
  <si>
    <t>1000x22</t>
  </si>
  <si>
    <t>1000x25</t>
  </si>
  <si>
    <t>1000x28</t>
  </si>
  <si>
    <t>1000x32</t>
  </si>
  <si>
    <t>1000x36</t>
  </si>
  <si>
    <t>1000x40</t>
  </si>
  <si>
    <t>1000x45</t>
  </si>
  <si>
    <t>1000x50</t>
  </si>
  <si>
    <t>1000x55</t>
  </si>
  <si>
    <t>1000x60</t>
  </si>
  <si>
    <t>1000x65</t>
  </si>
  <si>
    <t>1000x70</t>
  </si>
  <si>
    <t>1000x75</t>
  </si>
  <si>
    <t>1000x80</t>
  </si>
  <si>
    <t>1000x90</t>
  </si>
  <si>
    <t>1000x100</t>
  </si>
  <si>
    <t>2000x3</t>
  </si>
  <si>
    <t>2000x4</t>
  </si>
  <si>
    <t>2000x5</t>
  </si>
  <si>
    <t>2000x6</t>
  </si>
  <si>
    <t>2000x8</t>
  </si>
  <si>
    <t>2000x10</t>
  </si>
  <si>
    <t>2000x12</t>
  </si>
  <si>
    <t>2000x16</t>
  </si>
  <si>
    <t>2000x20</t>
  </si>
  <si>
    <t>2000x22</t>
  </si>
  <si>
    <t>2000x25</t>
  </si>
  <si>
    <t>2000x28</t>
  </si>
  <si>
    <t>2000x32</t>
  </si>
  <si>
    <t>2000x36</t>
  </si>
  <si>
    <t>2000x40</t>
  </si>
  <si>
    <t>2000x45</t>
  </si>
  <si>
    <t>2000x50</t>
  </si>
  <si>
    <t>2000x55</t>
  </si>
  <si>
    <t>2000x60</t>
  </si>
  <si>
    <t>2000x65</t>
  </si>
  <si>
    <t>2000x70</t>
  </si>
  <si>
    <t>2000x75</t>
  </si>
  <si>
    <t>2000x80</t>
  </si>
  <si>
    <t>2000x90</t>
  </si>
  <si>
    <t>2000x100</t>
  </si>
  <si>
    <t>Flat Plates (PL)</t>
  </si>
  <si>
    <t>PL</t>
  </si>
  <si>
    <t>BLOCKWORK RATES</t>
  </si>
  <si>
    <t>ChemSet</t>
  </si>
  <si>
    <t>chemset</t>
  </si>
  <si>
    <t>CARPENTRY RATES</t>
  </si>
  <si>
    <t>450mm</t>
  </si>
  <si>
    <t>Truncated Truss (No.)</t>
  </si>
  <si>
    <t>Truncated Girder Truss (No.)</t>
  </si>
  <si>
    <t>Girder Truss (No.)</t>
  </si>
  <si>
    <t>Half Truss (No.)</t>
  </si>
  <si>
    <t>Standard Truss (No.)</t>
  </si>
  <si>
    <t>Standard Truss (m2)</t>
  </si>
  <si>
    <t>Roof Framing - LVL (m2)</t>
  </si>
  <si>
    <t>Rafter/Joist/Lintel (Lm)</t>
  </si>
  <si>
    <t>I-joist</t>
  </si>
  <si>
    <t>rafter/joist/lintel</t>
  </si>
  <si>
    <t>PCT</t>
  </si>
  <si>
    <t>Floor Truss (Lm)</t>
  </si>
  <si>
    <t>Beam/Bearer (Lm)</t>
  </si>
  <si>
    <t>Hip End Truss (m2)</t>
  </si>
  <si>
    <t>Hip Truss (No.)</t>
  </si>
  <si>
    <t>Subflooring (m2)</t>
  </si>
  <si>
    <t>Ceiling &amp; Soffit Batten (m2)</t>
  </si>
  <si>
    <t>ceiling batten</t>
  </si>
  <si>
    <t>soffit batten</t>
  </si>
  <si>
    <t>Fascia &amp; Barge Board (Lm)</t>
  </si>
  <si>
    <t>fascia/barge</t>
  </si>
  <si>
    <t>Plumber - licensed</t>
  </si>
  <si>
    <t>Post/Column/Stump (Lm)</t>
  </si>
  <si>
    <t>Work into Existing Roof</t>
  </si>
  <si>
    <t>work into existing roof</t>
  </si>
  <si>
    <t>tie down</t>
  </si>
  <si>
    <t>Tie Down (Lm)</t>
  </si>
  <si>
    <t>Plywood Bracing (m2)</t>
  </si>
  <si>
    <t>plywood bracing</t>
  </si>
  <si>
    <t>Strap Bracing (Lm)</t>
  </si>
  <si>
    <t>strap bracing</t>
  </si>
  <si>
    <t>FC</t>
  </si>
  <si>
    <t>soffit</t>
  </si>
  <si>
    <t>FC Soffit (m2)</t>
  </si>
  <si>
    <t>VJ Panel (m2)</t>
  </si>
  <si>
    <t>internal</t>
  </si>
  <si>
    <t>external</t>
  </si>
  <si>
    <t>VJ panel</t>
  </si>
  <si>
    <t>4.5mm</t>
  </si>
  <si>
    <t>6.0mm</t>
  </si>
  <si>
    <t>9.0mm</t>
  </si>
  <si>
    <t>75x75mm</t>
  </si>
  <si>
    <t>90x90mm</t>
  </si>
  <si>
    <t>100x100mm</t>
  </si>
  <si>
    <t>125x125mm</t>
  </si>
  <si>
    <t>150x150mm</t>
  </si>
  <si>
    <t>200x200mm</t>
  </si>
  <si>
    <t>150mm dia.</t>
  </si>
  <si>
    <t>200mm dia.</t>
  </si>
  <si>
    <t>250mm dia.</t>
  </si>
  <si>
    <t>300mm dia.</t>
  </si>
  <si>
    <t>190x19mm</t>
  </si>
  <si>
    <t>180x25mm</t>
  </si>
  <si>
    <t>190x30mm</t>
  </si>
  <si>
    <t>240x25mm</t>
  </si>
  <si>
    <t>280x30mm</t>
  </si>
  <si>
    <t>200x70x35mm</t>
  </si>
  <si>
    <t>200x90x35mm</t>
  </si>
  <si>
    <t>250x70x35mm</t>
  </si>
  <si>
    <t>250x70x45mm</t>
  </si>
  <si>
    <t>250x90x35mm</t>
  </si>
  <si>
    <t>250x90x45mm</t>
  </si>
  <si>
    <t>300x70x35mm</t>
  </si>
  <si>
    <t>300x70x45mm</t>
  </si>
  <si>
    <t>300x90x35mm</t>
  </si>
  <si>
    <t>300x90x45mm</t>
  </si>
  <si>
    <t>400x70x45mm</t>
  </si>
  <si>
    <t>400x90x45mm</t>
  </si>
  <si>
    <t>45x35mm</t>
  </si>
  <si>
    <t>70x35mm</t>
  </si>
  <si>
    <t>70x45mm</t>
  </si>
  <si>
    <t>90x35mm</t>
  </si>
  <si>
    <t>90x45mm</t>
  </si>
  <si>
    <t>140x35mm</t>
  </si>
  <si>
    <t>140x45mm</t>
  </si>
  <si>
    <t>190x35mm</t>
  </si>
  <si>
    <t>190x45mm</t>
  </si>
  <si>
    <t>240x45mm</t>
  </si>
  <si>
    <t>290x45mm</t>
  </si>
  <si>
    <t>200x45mm</t>
  </si>
  <si>
    <t>240x40mm</t>
  </si>
  <si>
    <t>240x63mm</t>
  </si>
  <si>
    <t>240x90mm</t>
  </si>
  <si>
    <t>300x40mm</t>
  </si>
  <si>
    <t>300x45mm</t>
  </si>
  <si>
    <t>300x63mm</t>
  </si>
  <si>
    <t>300x90mm</t>
  </si>
  <si>
    <t>360x63mm</t>
  </si>
  <si>
    <t>360x90mm</t>
  </si>
  <si>
    <t>400x90mm</t>
  </si>
  <si>
    <t>95x36mm</t>
  </si>
  <si>
    <t>95x63mm</t>
  </si>
  <si>
    <t>130x36mm</t>
  </si>
  <si>
    <t>130x45mm</t>
  </si>
  <si>
    <t>130x63mm</t>
  </si>
  <si>
    <t>150x36mm</t>
  </si>
  <si>
    <t>150x45mm</t>
  </si>
  <si>
    <t>150x75mm</t>
  </si>
  <si>
    <t>170x36mm</t>
  </si>
  <si>
    <t>170x45mm</t>
  </si>
  <si>
    <t>170x63mm</t>
  </si>
  <si>
    <t>200x36mm</t>
  </si>
  <si>
    <t>200x63mm</t>
  </si>
  <si>
    <t>240x36mm</t>
  </si>
  <si>
    <t>300x75mm</t>
  </si>
  <si>
    <t>360x45mm</t>
  </si>
  <si>
    <t>400x45mm</t>
  </si>
  <si>
    <t>400x63mm</t>
  </si>
  <si>
    <t>400x75mm</t>
  </si>
  <si>
    <t>450x63mm</t>
  </si>
  <si>
    <t>525x75mm</t>
  </si>
  <si>
    <t>600x75mm</t>
  </si>
  <si>
    <t>50x25mm</t>
  </si>
  <si>
    <t>50x38mm</t>
  </si>
  <si>
    <t>75x25mm</t>
  </si>
  <si>
    <t>75x38mm</t>
  </si>
  <si>
    <t>75x50mm</t>
  </si>
  <si>
    <t>100x25mm</t>
  </si>
  <si>
    <t>100x38mm</t>
  </si>
  <si>
    <t>100x50mm</t>
  </si>
  <si>
    <t>100x75mm</t>
  </si>
  <si>
    <t>125x25mm</t>
  </si>
  <si>
    <t>125x38mm</t>
  </si>
  <si>
    <t>125x50mm</t>
  </si>
  <si>
    <t>125x75mm</t>
  </si>
  <si>
    <t>150x25mm</t>
  </si>
  <si>
    <t>150x38mm</t>
  </si>
  <si>
    <t>150x50mm</t>
  </si>
  <si>
    <t>175x50mm</t>
  </si>
  <si>
    <t>175x75mm</t>
  </si>
  <si>
    <t>200x25mm</t>
  </si>
  <si>
    <t>200x38mm</t>
  </si>
  <si>
    <t>200x50mm</t>
  </si>
  <si>
    <t>200x75mm</t>
  </si>
  <si>
    <t>250x38mm</t>
  </si>
  <si>
    <t>250x50mm</t>
  </si>
  <si>
    <t>250x75mm</t>
  </si>
  <si>
    <t>300x50mm</t>
  </si>
  <si>
    <t>260x65mm</t>
  </si>
  <si>
    <t>260x85mm</t>
  </si>
  <si>
    <t>295x65mm</t>
  </si>
  <si>
    <t>295x85mm</t>
  </si>
  <si>
    <t>360x65mm</t>
  </si>
  <si>
    <t>360x85mm</t>
  </si>
  <si>
    <t>395x65mm</t>
  </si>
  <si>
    <t>395x85mm</t>
  </si>
  <si>
    <t>460x65mm</t>
  </si>
  <si>
    <t>460x85mm</t>
  </si>
  <si>
    <t>495x65mm</t>
  </si>
  <si>
    <t>495x85mm</t>
  </si>
  <si>
    <t>150x40mm</t>
  </si>
  <si>
    <t>150x65mm</t>
  </si>
  <si>
    <t>150x85mm</t>
  </si>
  <si>
    <t>210x40mm</t>
  </si>
  <si>
    <t>210x65mm</t>
  </si>
  <si>
    <t>210x85mm</t>
  </si>
  <si>
    <t>240x65mm</t>
  </si>
  <si>
    <t>240x85mm</t>
  </si>
  <si>
    <t>270x40mm</t>
  </si>
  <si>
    <t>270x65mm</t>
  </si>
  <si>
    <t>270x85mm</t>
  </si>
  <si>
    <t>300x65mm</t>
  </si>
  <si>
    <t>300x85mm</t>
  </si>
  <si>
    <t>360x40mm</t>
  </si>
  <si>
    <t>420x40mm</t>
  </si>
  <si>
    <t>420x65mm</t>
  </si>
  <si>
    <t>420x85mm</t>
  </si>
  <si>
    <t>450x65mm</t>
  </si>
  <si>
    <t>450x85mm</t>
  </si>
  <si>
    <t>510x65mm</t>
  </si>
  <si>
    <t>510x85mm</t>
  </si>
  <si>
    <t>120x45mm</t>
  </si>
  <si>
    <t>300x64mm</t>
  </si>
  <si>
    <t>42x12mm</t>
  </si>
  <si>
    <t>42x18mm</t>
  </si>
  <si>
    <t>92x18mm</t>
  </si>
  <si>
    <t>140x18mm</t>
  </si>
  <si>
    <t>68x12mm</t>
  </si>
  <si>
    <t>68x18mm</t>
  </si>
  <si>
    <t>Skirting/Architrave (Lm)</t>
  </si>
  <si>
    <t>Trim (Lm)</t>
  </si>
  <si>
    <t>trim</t>
  </si>
  <si>
    <t>skirting/architrave</t>
  </si>
  <si>
    <t>18x18mm</t>
  </si>
  <si>
    <t>23x23mm</t>
  </si>
  <si>
    <t>18x12mm</t>
  </si>
  <si>
    <t>31x12mm</t>
  </si>
  <si>
    <t>31x18mm</t>
  </si>
  <si>
    <t>31x31mm</t>
  </si>
  <si>
    <t>Batten Screen (m2)</t>
  </si>
  <si>
    <t>frieze work</t>
  </si>
  <si>
    <t>straight</t>
  </si>
  <si>
    <t>arched</t>
  </si>
  <si>
    <t>corner bracket</t>
  </si>
  <si>
    <t>Decorative Frieze Work (Lm)</t>
  </si>
  <si>
    <t>Decorative Corner Bracket (No.)</t>
  </si>
  <si>
    <t>Pelmet (Lm)</t>
  </si>
  <si>
    <t>pelmet</t>
  </si>
  <si>
    <t>90mm</t>
  </si>
  <si>
    <t>140mm</t>
  </si>
  <si>
    <t>185mm</t>
  </si>
  <si>
    <t>Balustrade (Lm)</t>
  </si>
  <si>
    <t>batten screen</t>
  </si>
  <si>
    <t>balustrade</t>
  </si>
  <si>
    <t>Decking (m2)</t>
  </si>
  <si>
    <t>decking</t>
  </si>
  <si>
    <t>Niche Framing (No.)</t>
  </si>
  <si>
    <t>niche</t>
  </si>
  <si>
    <t>1000mm</t>
  </si>
  <si>
    <t>1100mm</t>
  </si>
  <si>
    <t>Internal Stair Landing (m2)</t>
  </si>
  <si>
    <t>Blocking (Lm)</t>
  </si>
  <si>
    <t>blocking</t>
  </si>
  <si>
    <t>Internal Stair Handrail (Lm)</t>
  </si>
  <si>
    <t>Internal Stair Balustrade (Lm)</t>
  </si>
  <si>
    <t>internal stair open tread</t>
  </si>
  <si>
    <t>internal stair landing</t>
  </si>
  <si>
    <t>internal stair handrail</t>
  </si>
  <si>
    <t>External Stair Landing (m2)</t>
  </si>
  <si>
    <t>Internal Stair (Lm)</t>
  </si>
  <si>
    <t>External Stair (Lm)</t>
  </si>
  <si>
    <t>external stair open tread</t>
  </si>
  <si>
    <t>external stair landing</t>
  </si>
  <si>
    <t>External Stair Balustrade (Lm)</t>
  </si>
  <si>
    <t>internal stair balustrade</t>
  </si>
  <si>
    <t>external stair balustrade</t>
  </si>
  <si>
    <t>Pergola (m2)</t>
  </si>
  <si>
    <t>pergola</t>
  </si>
  <si>
    <t>Single Door Leaf - Hollowcore (No.)</t>
  </si>
  <si>
    <t>Double Door Leaf - Hollowcore (No.)</t>
  </si>
  <si>
    <t>Single Door Leaf - Solidcore (No.)</t>
  </si>
  <si>
    <t>Double Door Leaf - Solidcore (No.)</t>
  </si>
  <si>
    <t>Single Door Leaf - Fire (No.)</t>
  </si>
  <si>
    <t>Double Door Leaf - Fire (No.)</t>
  </si>
  <si>
    <t>Single Entry/Feature Door Leaf - Moulded (No.)</t>
  </si>
  <si>
    <t>Double Entry/Feature Door Leaf - Moulded (No.)</t>
  </si>
  <si>
    <t>Single Entry/Feature Door Leaf - Glazed (No.)</t>
  </si>
  <si>
    <t>Double Entry/Feature Door Leaf - Glazed (No.)</t>
  </si>
  <si>
    <t>Single Hinged Door Frame (No.)</t>
  </si>
  <si>
    <t>Double Hinged Door Frame (No.)</t>
  </si>
  <si>
    <t>Cavity Sliding Door Frame (No.)</t>
  </si>
  <si>
    <t>Surface Sliding Door Frame (No.)</t>
  </si>
  <si>
    <t>SHDF</t>
  </si>
  <si>
    <t>DHDF</t>
  </si>
  <si>
    <t>CSDF</t>
  </si>
  <si>
    <t>SSDF</t>
  </si>
  <si>
    <t>Single Fire Door Frame (No.)</t>
  </si>
  <si>
    <t>SFDF</t>
  </si>
  <si>
    <t>Double Fire Door Frame (No.)</t>
  </si>
  <si>
    <t>DFDF</t>
  </si>
  <si>
    <t>SEDF</t>
  </si>
  <si>
    <t>Single Entry/Feature Door Frame (No.)</t>
  </si>
  <si>
    <t>Double Entry/Feature Door Frame (No.)</t>
  </si>
  <si>
    <t>DEDF</t>
  </si>
  <si>
    <t>Door Latch - Passage Set (No.)</t>
  </si>
  <si>
    <t>Door Latch - Privacy Set (No.)</t>
  </si>
  <si>
    <t>Door Lock - Entrance Set (No.)</t>
  </si>
  <si>
    <t>standard truss</t>
  </si>
  <si>
    <t>truncated truss</t>
  </si>
  <si>
    <t>girder truss</t>
  </si>
  <si>
    <t>truncated girder truss</t>
  </si>
  <si>
    <t>hip truss</t>
  </si>
  <si>
    <t>half truss</t>
  </si>
  <si>
    <t>beam/bearer</t>
  </si>
  <si>
    <t>Saddle Truss (No.)</t>
  </si>
  <si>
    <t>saddle truss</t>
  </si>
  <si>
    <t>Floor Framing (m2)</t>
  </si>
  <si>
    <t>ground floor</t>
  </si>
  <si>
    <t>upper floor</t>
  </si>
  <si>
    <t>200x45mm/200x63mm</t>
  </si>
  <si>
    <t>240x45mm/240x63mm</t>
  </si>
  <si>
    <t>300x45mm/300x75mm</t>
  </si>
  <si>
    <t>No design available</t>
  </si>
  <si>
    <t>as per design</t>
  </si>
  <si>
    <t>no design available</t>
  </si>
  <si>
    <t>Strap Bracing</t>
  </si>
  <si>
    <t>Fixings &amp; Hardware</t>
  </si>
  <si>
    <t>Post/column/stump</t>
  </si>
  <si>
    <t>15% of the total structural carpentry material cost</t>
  </si>
  <si>
    <t>4.5mm thick FC External Soffit</t>
  </si>
  <si>
    <t>6.0mm thick FC External Soffit</t>
  </si>
  <si>
    <t>92x12mm</t>
  </si>
  <si>
    <t>subflooring</t>
  </si>
  <si>
    <t>spotted gum</t>
  </si>
  <si>
    <t>internal stair close tread</t>
  </si>
  <si>
    <t>SD/HC</t>
  </si>
  <si>
    <t>DD/HC</t>
  </si>
  <si>
    <t>SD/SC</t>
  </si>
  <si>
    <t>DD/SC</t>
  </si>
  <si>
    <t>SD/FR</t>
  </si>
  <si>
    <t>DD/FR</t>
  </si>
  <si>
    <t>SD/MD</t>
  </si>
  <si>
    <t>DD/MD</t>
  </si>
  <si>
    <t>SD/GL</t>
  </si>
  <si>
    <t>DD/GL</t>
  </si>
  <si>
    <t>Door stop &amp; catch</t>
  </si>
  <si>
    <t>door stop &amp; catch</t>
  </si>
  <si>
    <t>Door Stop &amp; Catch (No.)</t>
  </si>
  <si>
    <t>Painting to Internal Walls</t>
  </si>
  <si>
    <t>Painting to External Walls (Other Than Rendered Finish)</t>
  </si>
  <si>
    <t>Painting to Timber Architrave</t>
  </si>
  <si>
    <t>Painting to External Rendered Walls</t>
  </si>
  <si>
    <t>Painting to Internal Ceilings</t>
  </si>
  <si>
    <t>Painting to Timber Doors</t>
  </si>
  <si>
    <t>Painting to Existing Doors</t>
  </si>
  <si>
    <t>Bathroom Accessories (No.)</t>
  </si>
  <si>
    <t>toilet roll holder</t>
  </si>
  <si>
    <t>towel rail holder</t>
  </si>
  <si>
    <t>single</t>
  </si>
  <si>
    <t>double</t>
  </si>
  <si>
    <t>towel rail heated</t>
  </si>
  <si>
    <t>rack</t>
  </si>
  <si>
    <t>toilet roll dispenser</t>
  </si>
  <si>
    <t>plastic</t>
  </si>
  <si>
    <t>towel ring</t>
  </si>
  <si>
    <t>soap holder</t>
  </si>
  <si>
    <t>shower curtain</t>
  </si>
  <si>
    <t>paper towel dispenser</t>
  </si>
  <si>
    <t>liquid hand cleaner dispenser</t>
  </si>
  <si>
    <t>robe hook</t>
  </si>
  <si>
    <t>hand dryer</t>
  </si>
  <si>
    <t>disabled grab rail</t>
  </si>
  <si>
    <t>disabled toilet back rest</t>
  </si>
  <si>
    <t>shower seat</t>
  </si>
  <si>
    <t>shelf</t>
  </si>
  <si>
    <t>niche tiling work</t>
  </si>
  <si>
    <t>TCA Hourly Rate (Domestic)</t>
  </si>
  <si>
    <t>TCA Hourly Rate (Commercial)</t>
  </si>
  <si>
    <t>390Lx90Wx190H</t>
  </si>
  <si>
    <t>390Lx140Wx190H</t>
  </si>
  <si>
    <t>390Lx190Wx190H</t>
  </si>
  <si>
    <t>390Lx290Wx190H</t>
  </si>
  <si>
    <t>Wall Framing - On Site (m2)</t>
  </si>
  <si>
    <t>Wall Framing - Prefab (m2)</t>
  </si>
  <si>
    <t>wall (on site)</t>
  </si>
  <si>
    <t>wall (prefab)</t>
  </si>
  <si>
    <t>block supply</t>
  </si>
  <si>
    <t>blocklaying</t>
  </si>
  <si>
    <t>brick supply</t>
  </si>
  <si>
    <t>230Lx110Wx76H</t>
  </si>
  <si>
    <t>common</t>
  </si>
  <si>
    <t>face</t>
  </si>
  <si>
    <t>bricklaying</t>
  </si>
  <si>
    <t>sand supply</t>
  </si>
  <si>
    <t>yellow</t>
  </si>
  <si>
    <t>white</t>
  </si>
  <si>
    <t>bag</t>
  </si>
  <si>
    <t>cement supply</t>
  </si>
  <si>
    <t>off white</t>
  </si>
  <si>
    <t>grey</t>
  </si>
  <si>
    <t>lime supply</t>
  </si>
  <si>
    <t>reo supply</t>
  </si>
  <si>
    <t>reo installation</t>
  </si>
  <si>
    <t>block lintel</t>
  </si>
  <si>
    <t>core fill</t>
  </si>
  <si>
    <t>starter supply</t>
  </si>
  <si>
    <t>starter installation</t>
  </si>
  <si>
    <t>brick lintel</t>
  </si>
  <si>
    <t>85x8mm</t>
  </si>
  <si>
    <t>flat bar</t>
  </si>
  <si>
    <t>angle</t>
  </si>
  <si>
    <t>100x100x6mm</t>
  </si>
  <si>
    <t>100x100x10mm</t>
  </si>
  <si>
    <t>150x100x6mm</t>
  </si>
  <si>
    <t>150x100x10mm</t>
  </si>
  <si>
    <t>T bar</t>
  </si>
  <si>
    <t>200x200x7mm</t>
  </si>
  <si>
    <t>200x200x9mm</t>
  </si>
  <si>
    <t>cavity tie</t>
  </si>
  <si>
    <t>Blockwork (See Below Items for Detailed Prices)</t>
  </si>
  <si>
    <t>bags</t>
  </si>
  <si>
    <t>Lime supply</t>
  </si>
  <si>
    <t>N12-400</t>
  </si>
  <si>
    <t>N12-200</t>
  </si>
  <si>
    <t>N16-200</t>
  </si>
  <si>
    <t>N16-400</t>
  </si>
  <si>
    <t>N20-200</t>
  </si>
  <si>
    <t>N20-400</t>
  </si>
  <si>
    <t>Blockwork - Blocklaying</t>
  </si>
  <si>
    <t>Blockwork - Block Supply</t>
  </si>
  <si>
    <t>Blockwork - Sand Supply</t>
  </si>
  <si>
    <t>Blockwork - Cement Supply</t>
  </si>
  <si>
    <t>Blockwork - Lime Supply</t>
  </si>
  <si>
    <t>Blockwork - Reinforcement Installation</t>
  </si>
  <si>
    <t>Blockwork - Reinforcement Supply</t>
  </si>
  <si>
    <t>Blockwork - Concrete Core Fill</t>
  </si>
  <si>
    <t>Blockwork - Pointing &amp; Cleaning</t>
  </si>
  <si>
    <t>pointing &amp; cleaning</t>
  </si>
  <si>
    <t>Pointing &amp; cleaning</t>
  </si>
  <si>
    <t>Blockwork - Starter Bars Installation</t>
  </si>
  <si>
    <t>Blockwork - Starter Bars Supply</t>
  </si>
  <si>
    <t>Blockwok - Block Supply (No.)</t>
  </si>
  <si>
    <t>Blockwok - Blocklaying (No.)</t>
  </si>
  <si>
    <t>Blockwok - Sand Supply (Tonne)</t>
  </si>
  <si>
    <t>Blockwok - Cement Supply (Bag) 20kg</t>
  </si>
  <si>
    <t>Blockwok - Lime Supply (Bag) 20kg</t>
  </si>
  <si>
    <t>Blockwok - Reinforcement Supply (Lm)</t>
  </si>
  <si>
    <t>Blockwok - Reinforcement Installation (Lm)</t>
  </si>
  <si>
    <t>Blockwok - Core Fill (m2)</t>
  </si>
  <si>
    <t>Blockwok - Pointing &amp; Cleaning (m2)</t>
  </si>
  <si>
    <t>Blockwork - Lintels (Extra Over) (Lm)</t>
  </si>
  <si>
    <t>Blockwok - Starter Bars Installation (No.)</t>
  </si>
  <si>
    <t>Blockwok - Starter Bars Supply (No.)</t>
  </si>
  <si>
    <t>Blockwork - Curved Walls (Extra Over) (m2)</t>
  </si>
  <si>
    <t>Blockwork - Raking Cutting (Extra Over) (Lm)</t>
  </si>
  <si>
    <t>Blockwork - Columns/Piers (Extra Over) (Lm)</t>
  </si>
  <si>
    <t>curved wall</t>
  </si>
  <si>
    <t>raking cutting</t>
  </si>
  <si>
    <t>column/pier</t>
  </si>
  <si>
    <t>capping</t>
  </si>
  <si>
    <t>Brickwork - Brick Supply (No.)</t>
  </si>
  <si>
    <t>Brickwork - Bricklaying (No.)</t>
  </si>
  <si>
    <t>Brickwork - Lintel (Lm)</t>
  </si>
  <si>
    <t>Blockwork - Capping (Lm)</t>
  </si>
  <si>
    <t>Blockwork - Accessories (Including Control Joints, Damp Proof Course, Flashing, Slip Joints, Strapping Where Required)</t>
  </si>
  <si>
    <t>Brickwork - Sills (Extra Over) (Lm)</t>
  </si>
  <si>
    <t>brick sill</t>
  </si>
  <si>
    <t>Brickwork - Feature Pattern (Extra Over) (m2)</t>
  </si>
  <si>
    <t>Brickwork - Feature Course (Extra Over) (Lm)</t>
  </si>
  <si>
    <t>brick feature course</t>
  </si>
  <si>
    <t>brick feature pattern</t>
  </si>
  <si>
    <t>Brickwork - Archwork (Extra Over) (No.)</t>
  </si>
  <si>
    <t>Brickwork - Cavity Ties (No.)</t>
  </si>
  <si>
    <t>archwork</t>
  </si>
  <si>
    <t>Rendering to Blockwork</t>
  </si>
  <si>
    <t>RENDERING RATES</t>
  </si>
  <si>
    <t>skim coat</t>
  </si>
  <si>
    <t>1 coat</t>
  </si>
  <si>
    <t>trowel-on</t>
  </si>
  <si>
    <t>roll-on</t>
  </si>
  <si>
    <t>spray-on</t>
  </si>
  <si>
    <t>new</t>
  </si>
  <si>
    <t>existing</t>
  </si>
  <si>
    <t>Rendering to New</t>
  </si>
  <si>
    <t>Rendering to Existing</t>
  </si>
  <si>
    <t>2 coats</t>
  </si>
  <si>
    <t>PAINTING RATES</t>
  </si>
  <si>
    <r>
      <rPr>
        <b/>
        <u/>
        <sz val="11"/>
        <rFont val="Calibri"/>
        <family val="2"/>
        <scheme val="minor"/>
      </rPr>
      <t>Variable Rates, Provisional Sums &amp; Preliminaries</t>
    </r>
    <r>
      <rPr>
        <sz val="11"/>
        <rFont val="Calibri"/>
        <family val="2"/>
        <scheme val="minor"/>
      </rPr>
      <t xml:space="preserve">
Variable rates, Preliminarites &amp; Provisional sums listed above can be adjusted on this page, this will feed throughout the spreadsheet to adjust all totals relating to these items. These rates are listed above due to their varying nature. </t>
    </r>
  </si>
  <si>
    <r>
      <rPr>
        <b/>
        <u/>
        <sz val="11"/>
        <rFont val="Calibri"/>
        <family val="2"/>
        <scheme val="minor"/>
      </rPr>
      <t>Subcontractor Pricing</t>
    </r>
    <r>
      <rPr>
        <sz val="11"/>
        <rFont val="Calibri"/>
        <family val="2"/>
        <scheme val="minor"/>
      </rPr>
      <t xml:space="preserve">
Subcontract prices can be added within the trade sheets in the Subcontractor column. This will override all rates previously entered for the item. Subcontractor pricing should be entered as a total price for the item and not a per unit rate. e.g. $20,000 for 200m2 concrete slab, not $100 per m2. </t>
    </r>
  </si>
  <si>
    <r>
      <rPr>
        <b/>
        <u/>
        <sz val="11"/>
        <rFont val="Calibri"/>
        <family val="2"/>
        <scheme val="minor"/>
      </rPr>
      <t>Locked Cells</t>
    </r>
    <r>
      <rPr>
        <sz val="11"/>
        <rFont val="Calibri"/>
        <family val="2"/>
        <scheme val="minor"/>
      </rPr>
      <t xml:space="preserve">
You will find the majority of cells in this spreadsheet can not be edited, this is to ensure formulas are not broken which may affect the pricing shown. If you wish to adjust something that is locked please call or email your TCA Estimating contact and they will unlock this for you. </t>
    </r>
  </si>
  <si>
    <r>
      <rPr>
        <b/>
        <u/>
        <sz val="11"/>
        <rFont val="Calibri"/>
        <family val="2"/>
        <scheme val="minor"/>
      </rPr>
      <t>Price Increases</t>
    </r>
    <r>
      <rPr>
        <sz val="11"/>
        <rFont val="Calibri"/>
        <family val="2"/>
        <scheme val="minor"/>
      </rPr>
      <t xml:space="preserve">
Due to the current economic conditions we advise keeping a contingency allowance to cover potential price increases between the tender period and construction commencement. </t>
    </r>
  </si>
  <si>
    <t>C&amp;P RATES</t>
  </si>
  <si>
    <t>Redevelopment of Council Workshop</t>
  </si>
  <si>
    <t>25-31 Dunn St. Biloela QLD 4715</t>
  </si>
  <si>
    <t>Location Factor (Postcode 4715):</t>
  </si>
  <si>
    <t>Gutter - Sratco OG Big One 600</t>
  </si>
  <si>
    <t>Roof Framing: Half Truss at 900ctrs</t>
  </si>
  <si>
    <t>External Angles 1</t>
  </si>
  <si>
    <t xml:space="preserve">Ceiling to Dry Areas </t>
  </si>
  <si>
    <t>Cornice - 90mm</t>
  </si>
  <si>
    <t>Painting to Existing Steel Rail</t>
  </si>
  <si>
    <t>Mirror - 1500mmHx600mmW</t>
  </si>
  <si>
    <t xml:space="preserve">TV1 - Smart TV </t>
  </si>
  <si>
    <t xml:space="preserve">TV2 - Smart TV </t>
  </si>
  <si>
    <t>Other Misc Items (Install only)</t>
  </si>
  <si>
    <t>Epoxy Coved Skirting, 100mmH</t>
  </si>
  <si>
    <t>Site Clearing, Sediment Control &amp; Bulk Excavation</t>
  </si>
  <si>
    <t>4.5mm thick FC Internal Lining To Fascia</t>
  </si>
  <si>
    <t>12mm EzyLap Hardie Panels</t>
  </si>
  <si>
    <t>Demolition</t>
  </si>
  <si>
    <t>Demolish roof as per RCP area (no detail provided)</t>
  </si>
  <si>
    <t>Allow demolition of existing gutter &amp; DP (locations similar to new DP locations)</t>
  </si>
  <si>
    <t>Commercial - Building Type - 1 Storey</t>
  </si>
  <si>
    <t>Aluminium Sliding Windows - 1600W x 1200H - 2 Lite</t>
  </si>
  <si>
    <t>Allow Aluminium Sliding Windows - 1600W x 1200H - 2 Lite to Counter</t>
  </si>
  <si>
    <t>Aluminium Sliding Windows - 1600W x 1200H - 2 Lite (tinted-one way)</t>
  </si>
  <si>
    <t>Counter</t>
  </si>
  <si>
    <t>W14</t>
  </si>
  <si>
    <t>Aluminium Sliding Windows - 600W x 600H - 2 Lite (obscure)</t>
  </si>
  <si>
    <t>W3</t>
  </si>
  <si>
    <t>Aluminium Fixed Windows - 1600W x 1200H - 2 Lite (tinted one way)</t>
  </si>
  <si>
    <t>Aluminium Fixed Windows - 1600W x 1200H - 2 Lite (tinted)</t>
  </si>
  <si>
    <t>W12</t>
  </si>
  <si>
    <t>W7/8/9/10/11</t>
  </si>
  <si>
    <t>Aluminium Swing Doors with View Panels 1/2 - 920W x 2100H - 1 Lite</t>
  </si>
  <si>
    <t>D2</t>
  </si>
  <si>
    <t>Aluminium Sliding Windows - 1800W x 600H - 2 Lite (Existing - Security Screen only)</t>
  </si>
  <si>
    <t>Aluminium Swing Doors - 900W x 2100H with View Panels 1/2 - 1 Lite (Existing - Security Screen only)</t>
  </si>
  <si>
    <t>W1</t>
  </si>
  <si>
    <t>D1</t>
  </si>
  <si>
    <t/>
  </si>
  <si>
    <t>Wet Area Walls - 150x300 Subway Tile</t>
  </si>
  <si>
    <t>Epoxy Concrete Finish - Wet Area</t>
  </si>
  <si>
    <t>Internal wall framing: MGP10 blue 90x35mm stud @ 450mm centres</t>
  </si>
  <si>
    <t>External wall framing: MGP10 blue 90x35mm stud @ 450mm centres</t>
  </si>
  <si>
    <t>Metal Roofing - Colorbond 'Trimdeck' (Including Sheeting, Capping, Flashing &amp; Fixing)</t>
  </si>
  <si>
    <t>100mm girth</t>
  </si>
  <si>
    <t xml:space="preserve">Spitter </t>
  </si>
  <si>
    <t>Colorbond Cladding - Custom Orb</t>
  </si>
  <si>
    <t>Ground</t>
  </si>
  <si>
    <t>Pipe trench allow 400x400mm</t>
  </si>
  <si>
    <t>Lunchroom (Including Benchtop, Cabinets, End Panel &amp; Kickboard)</t>
  </si>
  <si>
    <t>Entry Counter (Including Benchtop, Cabinets, End Panel &amp; Kickboard)</t>
  </si>
  <si>
    <t>Fluorescent light - L1-1200mm Long Surface Mounted LED Batten, IP44, 4000K, Thorn College Batten,</t>
  </si>
  <si>
    <t>Ceiling mounted light - E1 - Recessed Non-Maintained Emergency Luminaire Clevertronic, Clife Pro D40 with LED lamp &amp; Lithium ION Phosphate Batteries</t>
  </si>
  <si>
    <t>Exit Light - EXIT - Maintained EXIT Light with Pictograph Signage Clevertronic, Clife Pro Cleverfit with LED lamp &amp; Lithium ION Phosphate Batteries</t>
  </si>
  <si>
    <t>Existing - Modify</t>
  </si>
  <si>
    <t>Switchboard &amp; Meters - Re-arrange Circuites &amp; Change out 2-pole RCD to Single Pole Combos</t>
  </si>
  <si>
    <t xml:space="preserve">Light switches - Single Pole </t>
  </si>
  <si>
    <t>Light switches - Two Way</t>
  </si>
  <si>
    <t>Double GPO with Single USB Outlet</t>
  </si>
  <si>
    <t>Single Communication Outlet</t>
  </si>
  <si>
    <t>Double Communication Outlet</t>
  </si>
  <si>
    <t>WAP - Wireless Access Point</t>
  </si>
  <si>
    <t>Communications Cabinet</t>
  </si>
  <si>
    <t>Lintel; L1 120x35 MGP10</t>
  </si>
  <si>
    <t>Lintel; L2 140x35 MGP10</t>
  </si>
  <si>
    <t>Lintel; L3 90x35 MGP10</t>
  </si>
  <si>
    <t>Lintel; L4 140x42 LVL15</t>
  </si>
  <si>
    <t>VP3 Viewing Panel</t>
  </si>
  <si>
    <t>VP4 Viewing Panel</t>
  </si>
  <si>
    <t>CH; Coat Hook - Liano Robe Hook</t>
  </si>
  <si>
    <t>GR1; Grab rail - 140D Virtu Comfort 870x700 Angled</t>
  </si>
  <si>
    <t>GR2; Grab rail - Virtu Comfort 300mm</t>
  </si>
  <si>
    <t xml:space="preserve">GR3; Grab Rail - Britex 90D Ambulant </t>
  </si>
  <si>
    <t>HD; Hand Dryer - Dyson Airblade V-HU02</t>
  </si>
  <si>
    <t>TRH; Toilet Roll Holder - Contour Double Roll Toilet Paper Dispenser Britex BTX-06-060 280W x 135H x 130D</t>
  </si>
  <si>
    <t>TRH; Toilet Roll Holder - Single Surface Mounted Toilet Paper Dispenser JDMacDonald 10-0710</t>
  </si>
  <si>
    <t>Toilet Backrest - Britex Adjustable Backrest BTR-BR-S-VR</t>
  </si>
  <si>
    <t>Shower Curtain - ML-SC-SERIES</t>
  </si>
  <si>
    <t>Shelf - Great Grab 304 Stainless Steel Finish 310x125</t>
  </si>
  <si>
    <t>SEAT; Shower Seat - Confort Shower seat 960x400mm</t>
  </si>
  <si>
    <t>S; Soap Holder - Cosmo Metal</t>
  </si>
  <si>
    <t>SD; Soap Dispenser - DEB2127 Stoko Proline Chrome Border 1L</t>
  </si>
  <si>
    <t>SD; Soap Dispenser - Star Hygiene ASI JDI MACDonaldcode: 10-0347</t>
  </si>
  <si>
    <t>Mechanical - Removal of the existing splits.</t>
  </si>
  <si>
    <t>Electrical - CCTV (not shown on plans)</t>
  </si>
  <si>
    <t>HWU - Hot Water Unit (Existing- Reconnect)</t>
  </si>
  <si>
    <t>Lunchroom Single Bowl Sink - SNK - Sink - B&amp;S Single Bowl, RH Tray (Install only)</t>
  </si>
  <si>
    <t>WC Suite &amp; Cistern Tapware - Caroma Anthracite Grey Seat 843705W</t>
  </si>
  <si>
    <t>WC Suite &amp; Cistern Tapware - Caroma Caravelle Easy Height Close Coupled Suite</t>
  </si>
  <si>
    <t>Lunchroom Sink Tapware</t>
  </si>
  <si>
    <t>Lunchroom Sink Tapware - ZIP - Zip Boiler</t>
  </si>
  <si>
    <t>Shower Tapware &amp; Rose Set - SHW; Shower - Virtu Plaus Stardafe 2 / Britex Shower Mixer TW-MIX-22</t>
  </si>
  <si>
    <t>Hand Basin -  GWA Group Care 700 Wall Basin with Shelf</t>
  </si>
  <si>
    <t>Hand Basin - Caroma Care 700 Wall Basin with Shelf</t>
  </si>
  <si>
    <t>Hand/Wash Basin Tapware</t>
  </si>
  <si>
    <t>Relocate Existing Rail</t>
  </si>
  <si>
    <t>Demolish Existing Gutter</t>
  </si>
  <si>
    <t>Demolish Existing Downpipes</t>
  </si>
  <si>
    <t>MS-Demolish Metal Screen</t>
  </si>
  <si>
    <t>Wall to Wet/External Areas (Masonry)</t>
  </si>
  <si>
    <t>Wall to Dry/External Areas (Masonry)</t>
  </si>
  <si>
    <t>Wall to Dry/External Areas (Stud Frame only)</t>
  </si>
  <si>
    <t>RBX</t>
  </si>
  <si>
    <t>1600 wide x 1200 high</t>
  </si>
  <si>
    <t>Lunchroom Chairs (Install Only)</t>
  </si>
  <si>
    <t>Lunchroom Table, 2400x800 (Install Only)</t>
  </si>
  <si>
    <t>Meeting Room Chair (Install Only)</t>
  </si>
  <si>
    <t>Meeting Room Table (Install Only)</t>
  </si>
  <si>
    <t>Office Chair (Install only)</t>
  </si>
  <si>
    <t>Office Workstation, 1800x700 (Install only)</t>
  </si>
  <si>
    <t>Photocopier</t>
  </si>
  <si>
    <t>WB1 - White Board (Install only)</t>
  </si>
  <si>
    <t>Commercial - Building Type - 1 Storey - Existing AC1-3 To Be Removed (Retain for Reuse)</t>
  </si>
  <si>
    <t>Demolition of Existing Plumbing Services (Provisional Sum)</t>
  </si>
  <si>
    <t>Water supply - connect to existing</t>
  </si>
  <si>
    <t>Sewer - connect to existing</t>
  </si>
  <si>
    <t>Mechanical - HVAC (Elemental Estimating) (Provisional Sum)</t>
  </si>
  <si>
    <t>Fire Protection (Elemental Estimating) (Including Relocation of FHR) (Provisional Sum)</t>
  </si>
  <si>
    <t xml:space="preserve">50 mm PVC Cover Strip </t>
  </si>
  <si>
    <t>Proprietary Item. We advise obtaining quote.</t>
  </si>
  <si>
    <t>Demolition of Existing Electrical Services (Provisional Sum)</t>
  </si>
  <si>
    <t>Dry wall lining: 10mm plasterboard</t>
  </si>
  <si>
    <t>Dry ceiling: 10mm plasterboard</t>
  </si>
  <si>
    <t>Wet wall lining: 6mm villaboard</t>
  </si>
  <si>
    <t>Wet ceiling: 10mm water resistant plasterboard</t>
  </si>
  <si>
    <t xml:space="preserve">Soffit: 4.5mm FC sheeting </t>
  </si>
  <si>
    <t>Empire Office Furniture</t>
  </si>
  <si>
    <t>Other Misc Items (Supply Only)</t>
  </si>
  <si>
    <t>SCAFFOLDING</t>
  </si>
  <si>
    <t>DEMOLITION</t>
  </si>
  <si>
    <t>CIVIL</t>
  </si>
  <si>
    <t>ROOFING &amp; METAL CLADDING</t>
  </si>
  <si>
    <t>colorbond roofing - 0.42 BMT</t>
  </si>
  <si>
    <t>EXTERNAL CLADDING</t>
  </si>
  <si>
    <t>CEILINGS &amp; PARTITIONS</t>
  </si>
  <si>
    <t>CARPENTRY</t>
  </si>
  <si>
    <t>Half truss - 9000mm plus span</t>
  </si>
  <si>
    <t>Internal timber single doors - 130x45mm LVL</t>
  </si>
  <si>
    <t>Skirting/architrave - 42x12mm pine</t>
  </si>
  <si>
    <t>up to 820mm wide x 2100mm high</t>
  </si>
  <si>
    <t>821mm to 920mm wide x 2100mm high</t>
  </si>
  <si>
    <t>Passage door latch - lever</t>
  </si>
  <si>
    <t>Privacy door latch - lever</t>
  </si>
  <si>
    <t>STRUCTURAL STEEL</t>
  </si>
  <si>
    <t>METALWORK</t>
  </si>
  <si>
    <t>PLUMBING</t>
  </si>
  <si>
    <t>PLUMBING PC ITEM</t>
  </si>
  <si>
    <t>ELECTRICAL</t>
  </si>
  <si>
    <t>ELECTRICAL PC ITEM</t>
  </si>
  <si>
    <t>MECHANICAL</t>
  </si>
  <si>
    <t>FIRE</t>
  </si>
  <si>
    <t>BLOCKWORK</t>
  </si>
  <si>
    <t>190mm wide blockwork - common</t>
  </si>
  <si>
    <t>Blocklaying - 390Lx190Wx190H - common</t>
  </si>
  <si>
    <t>Block supply - 390Lx190Wx190H - common</t>
  </si>
  <si>
    <t>Sand supply - yellow</t>
  </si>
  <si>
    <t>Cement supply - grey</t>
  </si>
  <si>
    <t>Reo installation - N12-400</t>
  </si>
  <si>
    <t>Reo supply - N12-400</t>
  </si>
  <si>
    <t>Starter installation - N12-400</t>
  </si>
  <si>
    <t>Starter supply - N12-400</t>
  </si>
  <si>
    <t>Core fill - 190mm wide blockwork - 20MPa</t>
  </si>
  <si>
    <t>RENDERING</t>
  </si>
  <si>
    <t>PAINTING</t>
  </si>
  <si>
    <t>JOINERY</t>
  </si>
  <si>
    <t>engineered stone benchtop - up to 600mm wide</t>
  </si>
  <si>
    <t>standard laminated base cabinet - enclosed</t>
  </si>
  <si>
    <t>standard laminated top cabinet - enclosed</t>
  </si>
  <si>
    <t>standard laminated top cabinet - open</t>
  </si>
  <si>
    <t>standard laminated full height cabinet - enclosed</t>
  </si>
  <si>
    <t>standard laminated base end panel</t>
  </si>
  <si>
    <t>standard laminated top end panel</t>
  </si>
  <si>
    <t>standard laminated full height end panel</t>
  </si>
  <si>
    <t>standard laminated kickboard</t>
  </si>
  <si>
    <t>engineered stone splashback</t>
  </si>
  <si>
    <t>engineered stone benchtop - 1201mm to 1500mm wide</t>
  </si>
  <si>
    <t>standard laminated front dress panel</t>
  </si>
  <si>
    <t>standard laminated 4 drawer - 451mm to 600mm wide</t>
  </si>
  <si>
    <t>WINDOWS &amp; DOORS</t>
  </si>
  <si>
    <t>WATERPROOFING</t>
  </si>
  <si>
    <t>TILING</t>
  </si>
  <si>
    <t>FLOOR FINISHES</t>
  </si>
  <si>
    <t>MISCELLANEOUS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</si>
</sst>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C09]* #,##0.00_-;\-[$$-C09]* #,##0.00_-;_-[$$-C09]* &quot;-&quot;??_-;_-@_-"/>
    <numFmt numFmtId="168" formatCode="[$-409]d\-mmm\-yy;@"/>
    <numFmt numFmtId="169" formatCode="&quot;$&quot;#,##0.00"/>
    <numFmt numFmtId="170" formatCode="_-&quot;$&quot;* #,##0.00_-;\-&quot;$&quot;* #,##0.00_-;_-&quot;$&quot;* &quot;-&quot;??_-;_-@"/>
    <numFmt numFmtId="171" formatCode="_(* #,##0_);_(* \(#,##0\);_(* &quot;-&quot;??_);_(@_)"/>
    <numFmt numFmtId="172" formatCode="[$-F800]dddd\,\ mmmm\ dd\,\ yyyy"/>
    <numFmt numFmtId="173" formatCode="0.000"/>
  </numFmts>
  <fonts count="83" x14ac:knownFonts="1">
    <font>
      <sz val="11"/>
      <color theme="1"/>
      <name val="Calibri"/>
      <family val="2"/>
      <scheme val="minor"/>
    </font>
    <font>
      <sz val="12"/>
      <color theme="1"/>
      <name val="Calibri"/>
      <family val="2"/>
      <scheme val="minor"/>
    </font>
    <font>
      <b/>
      <sz val="11"/>
      <color theme="1"/>
      <name val="Calibri"/>
      <family val="2"/>
      <scheme val="minor"/>
    </font>
    <font>
      <b/>
      <sz val="10"/>
      <name val="Calibri"/>
      <family val="2"/>
      <scheme val="minor"/>
    </font>
    <font>
      <b/>
      <sz val="12"/>
      <name val="Calibri"/>
      <family val="2"/>
      <scheme val="minor"/>
    </font>
    <font>
      <b/>
      <sz val="14"/>
      <name val="Calibri"/>
      <family val="2"/>
      <scheme val="minor"/>
    </font>
    <font>
      <sz val="12"/>
      <name val="Calibri"/>
      <family val="2"/>
      <scheme val="minor"/>
    </font>
    <font>
      <sz val="11"/>
      <color theme="1"/>
      <name val="Calibri"/>
      <family val="2"/>
      <scheme val="minor"/>
    </font>
    <font>
      <b/>
      <sz val="15"/>
      <color theme="3"/>
      <name val="Calibri"/>
      <family val="2"/>
      <scheme val="minor"/>
    </font>
    <font>
      <b/>
      <sz val="11"/>
      <color theme="3"/>
      <name val="Calibri"/>
      <family val="2"/>
      <scheme val="minor"/>
    </font>
    <font>
      <b/>
      <sz val="12"/>
      <color theme="3"/>
      <name val="Calibri"/>
      <family val="2"/>
      <scheme val="minor"/>
    </font>
    <font>
      <sz val="12"/>
      <color theme="1"/>
      <name val="Calibri"/>
      <family val="2"/>
      <scheme val="minor"/>
    </font>
    <font>
      <b/>
      <sz val="14"/>
      <color theme="3"/>
      <name val="Calibri"/>
      <family val="2"/>
      <scheme val="minor"/>
    </font>
    <font>
      <sz val="14"/>
      <color theme="1"/>
      <name val="Calibri"/>
      <family val="2"/>
      <scheme val="minor"/>
    </font>
    <font>
      <b/>
      <u/>
      <sz val="14"/>
      <name val="Calibri"/>
      <family val="2"/>
      <scheme val="minor"/>
    </font>
    <font>
      <sz val="16"/>
      <color theme="1"/>
      <name val="Calibri"/>
      <family val="2"/>
      <scheme val="minor"/>
    </font>
    <font>
      <b/>
      <sz val="16"/>
      <color theme="3"/>
      <name val="Calibri"/>
      <family val="2"/>
      <scheme val="minor"/>
    </font>
    <font>
      <sz val="11"/>
      <name val="Calibri"/>
      <family val="2"/>
      <scheme val="minor"/>
    </font>
    <font>
      <b/>
      <sz val="12"/>
      <color rgb="FF0033CC"/>
      <name val="Calibri"/>
      <family val="2"/>
      <scheme val="minor"/>
    </font>
    <font>
      <b/>
      <sz val="16"/>
      <color rgb="FFFA7D00"/>
      <name val="Calibri"/>
      <family val="2"/>
      <scheme val="minor"/>
    </font>
    <font>
      <b/>
      <sz val="16"/>
      <name val="Calibri"/>
      <family val="2"/>
      <scheme val="minor"/>
    </font>
    <font>
      <b/>
      <sz val="16"/>
      <color theme="1"/>
      <name val="Calibri"/>
      <family val="2"/>
      <scheme val="minor"/>
    </font>
    <font>
      <sz val="10"/>
      <name val="Arial"/>
      <family val="2"/>
    </font>
    <font>
      <sz val="9"/>
      <name val="Arial"/>
      <family val="2"/>
    </font>
    <font>
      <b/>
      <sz val="11"/>
      <color rgb="FF0033CC"/>
      <name val="Calibri"/>
      <family val="2"/>
      <scheme val="minor"/>
    </font>
    <font>
      <b/>
      <sz val="11"/>
      <color rgb="FFFF0000"/>
      <name val="Calibri"/>
      <family val="2"/>
      <scheme val="minor"/>
    </font>
    <font>
      <b/>
      <sz val="14"/>
      <color theme="1"/>
      <name val="Calibri"/>
      <family val="2"/>
      <scheme val="minor"/>
    </font>
    <font>
      <u/>
      <sz val="11"/>
      <color theme="10"/>
      <name val="Calibri"/>
      <family val="2"/>
      <scheme val="minor"/>
    </font>
    <font>
      <u/>
      <sz val="11"/>
      <color theme="11"/>
      <name val="Calibri"/>
      <family val="2"/>
      <scheme val="minor"/>
    </font>
    <font>
      <b/>
      <sz val="12"/>
      <color theme="1"/>
      <name val="Calibri"/>
      <family val="2"/>
      <scheme val="minor"/>
    </font>
    <font>
      <b/>
      <sz val="14"/>
      <color rgb="FF0033CC"/>
      <name val="Calibri"/>
      <family val="2"/>
      <scheme val="minor"/>
    </font>
    <font>
      <b/>
      <sz val="11"/>
      <name val="Calibri"/>
      <family val="2"/>
      <scheme val="minor"/>
    </font>
    <font>
      <sz val="8"/>
      <name val="Calibri"/>
      <family val="2"/>
      <scheme val="minor"/>
    </font>
    <font>
      <sz val="11"/>
      <name val="Calibri"/>
      <family val="2"/>
    </font>
    <font>
      <sz val="9"/>
      <name val="Calibri"/>
      <family val="2"/>
    </font>
    <font>
      <b/>
      <sz val="12"/>
      <color rgb="FF002060"/>
      <name val="Calibri"/>
      <family val="2"/>
      <scheme val="minor"/>
    </font>
    <font>
      <b/>
      <u/>
      <sz val="11"/>
      <color theme="1"/>
      <name val="Calibri"/>
      <family val="2"/>
      <scheme val="minor"/>
    </font>
    <font>
      <sz val="8"/>
      <color theme="1"/>
      <name val="Calibri"/>
      <family val="2"/>
      <scheme val="minor"/>
    </font>
    <font>
      <sz val="11"/>
      <color rgb="FF000000"/>
      <name val="Calibri"/>
      <family val="2"/>
    </font>
    <font>
      <b/>
      <sz val="11"/>
      <color rgb="FF000000"/>
      <name val="Calibri"/>
      <family val="2"/>
    </font>
    <font>
      <sz val="16"/>
      <color rgb="FF000000"/>
      <name val="Calibri"/>
      <family val="2"/>
    </font>
    <font>
      <b/>
      <sz val="14"/>
      <color rgb="FF44546A"/>
      <name val="Calibri"/>
      <family val="2"/>
    </font>
    <font>
      <b/>
      <sz val="16"/>
      <color rgb="FF44546A"/>
      <name val="Calibri"/>
      <family val="2"/>
    </font>
    <font>
      <sz val="14"/>
      <name val="Calibri"/>
      <family val="2"/>
    </font>
    <font>
      <b/>
      <sz val="12"/>
      <color rgb="FF000000"/>
      <name val="Calibri"/>
      <family val="2"/>
    </font>
    <font>
      <b/>
      <u/>
      <sz val="12"/>
      <color theme="1"/>
      <name val="Calibri"/>
      <family val="2"/>
      <scheme val="minor"/>
    </font>
    <font>
      <b/>
      <sz val="9"/>
      <name val="Arial"/>
      <family val="2"/>
    </font>
    <font>
      <b/>
      <u/>
      <sz val="11"/>
      <name val="Calibri"/>
      <family val="2"/>
      <scheme val="minor"/>
    </font>
    <font>
      <sz val="17"/>
      <color rgb="FF0090BA"/>
      <name val="Tahoma"/>
      <family val="2"/>
    </font>
    <font>
      <b/>
      <sz val="17"/>
      <color rgb="FF0090BA"/>
      <name val="Tahoma"/>
      <family val="2"/>
    </font>
    <font>
      <sz val="8"/>
      <color rgb="FF000000"/>
      <name val="Arial"/>
      <family val="2"/>
    </font>
    <font>
      <b/>
      <sz val="12"/>
      <color rgb="FF1F497D"/>
      <name val="Calibri"/>
      <family val="2"/>
      <scheme val="minor"/>
    </font>
    <font>
      <b/>
      <sz val="10"/>
      <color rgb="FF1F497D"/>
      <name val="Calibri"/>
      <family val="2"/>
      <scheme val="minor"/>
    </font>
    <font>
      <sz val="10"/>
      <color rgb="FF000000"/>
      <name val="Arial"/>
      <family val="2"/>
    </font>
    <font>
      <b/>
      <sz val="12"/>
      <color rgb="FF000000"/>
      <name val="Calibri"/>
      <family val="2"/>
    </font>
    <font>
      <sz val="11"/>
      <color rgb="FF000000"/>
      <name val="Calibri"/>
      <family val="2"/>
    </font>
    <font>
      <sz val="10"/>
      <name val="Arial"/>
      <family val="2"/>
    </font>
    <font>
      <b/>
      <sz val="14"/>
      <name val="Arial"/>
      <family val="2"/>
    </font>
    <font>
      <b/>
      <u/>
      <sz val="12"/>
      <name val="Calibri"/>
      <family val="2"/>
      <scheme val="minor"/>
    </font>
    <font>
      <b/>
      <i/>
      <u/>
      <sz val="12"/>
      <name val="Calibri"/>
      <family val="2"/>
      <scheme val="minor"/>
    </font>
    <font>
      <b/>
      <sz val="12"/>
      <color rgb="FFFF0000"/>
      <name val="Calibri"/>
      <family val="2"/>
      <scheme val="minor"/>
    </font>
    <font>
      <sz val="11"/>
      <color rgb="FFFF0000"/>
      <name val="Calibri"/>
      <family val="2"/>
    </font>
    <font>
      <sz val="11"/>
      <color theme="1"/>
      <name val="Calibri"/>
      <family val="2"/>
    </font>
    <font>
      <sz val="11"/>
      <color rgb="FFFF0000"/>
      <name val="Calibri"/>
      <family val="2"/>
      <scheme val="minor"/>
    </font>
    <font>
      <b/>
      <sz val="11"/>
      <color rgb="FF44546A"/>
      <name val="Calibri"/>
      <family val="2"/>
    </font>
    <font>
      <b/>
      <sz val="14"/>
      <name val="Calibri"/>
      <family val="2"/>
    </font>
    <font>
      <sz val="11"/>
      <color rgb="FF362F2D"/>
      <name val="Calibri"/>
      <family val="2"/>
      <scheme val="minor"/>
    </font>
    <font>
      <b/>
      <sz val="13.5"/>
      <color rgb="FF000000"/>
      <name val="Arial"/>
      <family val="2"/>
    </font>
    <font>
      <sz val="13.5"/>
      <color rgb="FF000000"/>
      <name val="Calibri"/>
      <family val="2"/>
      <scheme val="minor"/>
    </font>
    <font>
      <sz val="11"/>
      <color indexed="64"/>
      <name val="Calibri"/>
      <family val="2"/>
    </font>
    <font>
      <b/>
      <sz val="22"/>
      <color theme="1"/>
      <name val="Calibri"/>
      <family val="2"/>
      <scheme val="minor"/>
    </font>
    <font>
      <b/>
      <sz val="12"/>
      <color rgb="FFFF0000"/>
      <name val="Calibri"/>
      <family val="2"/>
    </font>
    <font>
      <sz val="9"/>
      <color indexed="81"/>
      <name val="Tahoma"/>
      <family val="2"/>
    </font>
    <font>
      <b/>
      <sz val="9"/>
      <color indexed="81"/>
      <name val="Tahoma"/>
      <family val="2"/>
    </font>
    <font>
      <b/>
      <sz val="12"/>
      <name val="Calibri"/>
      <family val="2"/>
    </font>
    <font>
      <b/>
      <sz val="11"/>
      <name val="Calibri"/>
      <family val="2"/>
    </font>
    <font>
      <sz val="11"/>
      <color theme="0" tint="-0.34998626667073579"/>
      <name val="Calibri"/>
      <family val="2"/>
      <scheme val="minor"/>
    </font>
    <font>
      <b/>
      <sz val="12"/>
      <color theme="0" tint="-0.34998626667073579"/>
      <name val="Calibri"/>
      <family val="2"/>
    </font>
    <font>
      <sz val="11"/>
      <color theme="0" tint="-0.34998626667073579"/>
      <name val="Calibri"/>
      <family val="2"/>
    </font>
    <font>
      <b/>
      <sz val="16"/>
      <name val="Calibri"/>
      <family val="2"/>
    </font>
    <font>
      <b/>
      <sz val="14"/>
      <color rgb="FFFA7D00"/>
      <name val="Calibri"/>
      <family val="2"/>
      <scheme val="minor"/>
    </font>
    <font>
      <sz val="12"/>
      <color rgb="FFFF0000"/>
      <name val="Calibri"/>
      <family val="2"/>
      <scheme val="minor"/>
    </font>
    <font>
      <b/>
      <i/>
      <u/>
      <sz val="11"/>
      <color theme="1"/>
      <name val="Calibri"/>
      <family val="2"/>
      <scheme val="minor"/>
    </font>
  </fonts>
  <fills count="39">
    <fill>
      <patternFill patternType="none"/>
    </fill>
    <fill>
      <patternFill patternType="gray125"/>
    </fill>
    <fill>
      <patternFill patternType="solid">
        <fgColor theme="7" tint="0.59999389629810485"/>
        <bgColor indexed="64"/>
      </patternFill>
    </fill>
    <fill>
      <patternFill patternType="solid">
        <fgColor theme="5" tint="0.59999389629810485"/>
        <bgColor indexed="64"/>
      </patternFill>
    </fill>
    <fill>
      <patternFill patternType="solid">
        <fgColor rgb="FFF2F2F2"/>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4D79B"/>
        <bgColor rgb="FF000000"/>
      </patternFill>
    </fill>
    <fill>
      <patternFill patternType="solid">
        <fgColor theme="8" tint="0.399975585192419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B4C6E7"/>
        <bgColor rgb="FFB4C6E7"/>
      </patternFill>
    </fill>
    <fill>
      <patternFill patternType="solid">
        <fgColor rgb="FFFFE598"/>
        <bgColor rgb="FFFFE598"/>
      </patternFill>
    </fill>
    <fill>
      <patternFill patternType="solid">
        <fgColor rgb="FFF7CAAC"/>
        <bgColor rgb="FFF7CAAC"/>
      </patternFill>
    </fill>
    <fill>
      <patternFill patternType="solid">
        <fgColor rgb="FFFFFFFF"/>
        <bgColor rgb="FFFFFFFF"/>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CCC0D9"/>
        <bgColor indexed="64"/>
      </patternFill>
    </fill>
    <fill>
      <patternFill patternType="solid">
        <fgColor rgb="FFE5B8B7"/>
        <bgColor indexed="64"/>
      </patternFill>
    </fill>
    <fill>
      <patternFill patternType="solid">
        <fgColor rgb="FFD8D8D8"/>
        <bgColor indexed="64"/>
      </patternFill>
    </fill>
    <fill>
      <patternFill patternType="solid">
        <fgColor theme="0"/>
        <bgColor indexed="64"/>
      </patternFill>
    </fill>
    <fill>
      <patternFill patternType="solid">
        <fgColor theme="0"/>
        <bgColor theme="0"/>
      </patternFill>
    </fill>
    <fill>
      <patternFill patternType="solid">
        <fgColor theme="6" tint="0.79998168889431442"/>
        <bgColor rgb="FFFFE598"/>
      </patternFill>
    </fill>
    <fill>
      <patternFill patternType="solid">
        <fgColor theme="8" tint="0.79998168889431442"/>
        <bgColor rgb="FFFFE598"/>
      </patternFill>
    </fill>
    <fill>
      <patternFill patternType="solid">
        <fgColor theme="9" tint="0.79998168889431442"/>
        <bgColor indexed="64"/>
      </patternFill>
    </fill>
    <fill>
      <patternFill patternType="solid">
        <fgColor theme="5" tint="0.79998168889431442"/>
        <bgColor rgb="FFFFE598"/>
      </patternFill>
    </fill>
    <fill>
      <patternFill patternType="solid">
        <fgColor rgb="FF92D050"/>
        <bgColor rgb="FFB4C6E7"/>
      </patternFill>
    </fill>
    <fill>
      <patternFill patternType="solid">
        <fgColor theme="2" tint="-9.9978637043366805E-2"/>
        <bgColor indexed="64"/>
      </patternFill>
    </fill>
    <fill>
      <patternFill patternType="solid">
        <fgColor rgb="FFFFFF00"/>
        <bgColor rgb="FFFFE598"/>
      </patternFill>
    </fill>
    <fill>
      <patternFill patternType="solid">
        <fgColor theme="3" tint="0.59999389629810485"/>
        <bgColor rgb="FFFFE598"/>
      </patternFill>
    </fill>
    <fill>
      <patternFill patternType="solid">
        <fgColor theme="3" tint="0.79998168889431442"/>
        <bgColor rgb="FFB4C6E7"/>
      </patternFill>
    </fill>
    <fill>
      <patternFill patternType="solid">
        <fgColor rgb="FFFFFF99"/>
        <bgColor indexed="64"/>
      </patternFill>
    </fill>
    <fill>
      <patternFill patternType="solid">
        <fgColor theme="4" tint="0.79998168889431442"/>
        <bgColor rgb="FFB4C6E7"/>
      </patternFill>
    </fill>
    <fill>
      <patternFill patternType="solid">
        <fgColor theme="5" tint="0.59999389629810485"/>
        <bgColor rgb="FFF7CAAC"/>
      </patternFill>
    </fill>
  </fills>
  <borders count="109">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auto="1"/>
      </top>
      <bottom style="medium">
        <color auto="1"/>
      </bottom>
      <diagonal/>
    </border>
    <border>
      <left style="thin">
        <color theme="0" tint="-0.24994659260841701"/>
      </left>
      <right style="thin">
        <color theme="0" tint="-0.24994659260841701"/>
      </right>
      <top style="thin">
        <color auto="1"/>
      </top>
      <bottom style="medium">
        <color auto="1"/>
      </bottom>
      <diagonal/>
    </border>
    <border>
      <left style="thin">
        <color theme="0" tint="-0.24994659260841701"/>
      </left>
      <right style="thin">
        <color theme="0" tint="-0.24994659260841701"/>
      </right>
      <top/>
      <bottom/>
      <diagonal/>
    </border>
    <border>
      <left/>
      <right/>
      <top/>
      <bottom style="thick">
        <color theme="4"/>
      </bottom>
      <diagonal/>
    </border>
    <border>
      <left/>
      <right/>
      <top/>
      <bottom style="medium">
        <color theme="4" tint="0.39997558519241921"/>
      </bottom>
      <diagonal/>
    </border>
    <border>
      <left style="medium">
        <color auto="1"/>
      </left>
      <right/>
      <top style="medium">
        <color auto="1"/>
      </top>
      <bottom style="thick">
        <color theme="4"/>
      </bottom>
      <diagonal/>
    </border>
    <border>
      <left/>
      <right/>
      <top style="medium">
        <color auto="1"/>
      </top>
      <bottom style="thick">
        <color theme="4"/>
      </bottom>
      <diagonal/>
    </border>
    <border>
      <left/>
      <right style="medium">
        <color auto="1"/>
      </right>
      <top style="medium">
        <color auto="1"/>
      </top>
      <bottom style="thick">
        <color theme="4"/>
      </bottom>
      <diagonal/>
    </border>
    <border>
      <left/>
      <right style="medium">
        <color auto="1"/>
      </right>
      <top/>
      <bottom style="medium">
        <color auto="1"/>
      </bottom>
      <diagonal/>
    </border>
    <border>
      <left style="medium">
        <color auto="1"/>
      </left>
      <right/>
      <top style="thick">
        <color theme="4"/>
      </top>
      <bottom style="thick">
        <color theme="4"/>
      </bottom>
      <diagonal/>
    </border>
    <border>
      <left/>
      <right/>
      <top style="thick">
        <color theme="4"/>
      </top>
      <bottom style="thick">
        <color theme="4"/>
      </bottom>
      <diagonal/>
    </border>
    <border>
      <left/>
      <right style="medium">
        <color auto="1"/>
      </right>
      <top style="thick">
        <color theme="4"/>
      </top>
      <bottom style="thick">
        <color theme="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thin">
        <color auto="1"/>
      </top>
      <bottom style="thin">
        <color auto="1"/>
      </bottom>
      <diagonal/>
    </border>
    <border>
      <left style="medium">
        <color auto="1"/>
      </left>
      <right style="thin">
        <color theme="0" tint="-0.24994659260841701"/>
      </right>
      <top/>
      <bottom style="medium">
        <color auto="1"/>
      </bottom>
      <diagonal/>
    </border>
    <border>
      <left style="thin">
        <color theme="0" tint="-0.24994659260841701"/>
      </left>
      <right/>
      <top/>
      <bottom style="medium">
        <color auto="1"/>
      </bottom>
      <diagonal/>
    </border>
    <border>
      <left/>
      <right/>
      <top/>
      <bottom style="medium">
        <color auto="1"/>
      </bottom>
      <diagonal/>
    </border>
    <border>
      <left/>
      <right style="thin">
        <color theme="0" tint="-0.24994659260841701"/>
      </right>
      <top/>
      <bottom style="medium">
        <color auto="1"/>
      </bottom>
      <diagonal/>
    </border>
    <border>
      <left style="thin">
        <color theme="0" tint="-0.24994659260841701"/>
      </left>
      <right style="thin">
        <color theme="0" tint="-0.24994659260841701"/>
      </right>
      <top/>
      <bottom style="medium">
        <color auto="1"/>
      </bottom>
      <diagonal/>
    </border>
    <border>
      <left style="thin">
        <color theme="0" tint="-0.24994659260841701"/>
      </left>
      <right style="medium">
        <color auto="1"/>
      </right>
      <top/>
      <bottom style="medium">
        <color auto="1"/>
      </bottom>
      <diagonal/>
    </border>
    <border>
      <left style="medium">
        <color auto="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style="medium">
        <color auto="1"/>
      </left>
      <right/>
      <top/>
      <bottom style="medium">
        <color auto="1"/>
      </bottom>
      <diagonal/>
    </border>
    <border>
      <left style="thin">
        <color rgb="FF7F7F7F"/>
      </left>
      <right style="thin">
        <color rgb="FF7F7F7F"/>
      </right>
      <top style="thin">
        <color rgb="FF7F7F7F"/>
      </top>
      <bottom/>
      <diagonal/>
    </border>
    <border>
      <left/>
      <right style="medium">
        <color auto="1"/>
      </right>
      <top/>
      <bottom/>
      <diagonal/>
    </border>
    <border>
      <left style="thin">
        <color theme="0" tint="-0.24994659260841701"/>
      </left>
      <right/>
      <top style="thick">
        <color theme="4"/>
      </top>
      <bottom style="thin">
        <color theme="0" tint="-0.24994659260841701"/>
      </bottom>
      <diagonal/>
    </border>
    <border>
      <left/>
      <right/>
      <top style="thick">
        <color theme="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auto="1"/>
      </right>
      <top style="thin">
        <color auto="1"/>
      </top>
      <bottom style="thin">
        <color auto="1"/>
      </bottom>
      <diagonal/>
    </border>
    <border>
      <left/>
      <right/>
      <top style="thin">
        <color theme="0" tint="-0.24994659260841701"/>
      </top>
      <bottom/>
      <diagonal/>
    </border>
    <border>
      <left style="medium">
        <color indexed="64"/>
      </left>
      <right/>
      <top style="medium">
        <color indexed="64"/>
      </top>
      <bottom style="medium">
        <color theme="4" tint="0.39997558519241921"/>
      </bottom>
      <diagonal/>
    </border>
    <border>
      <left/>
      <right/>
      <top style="medium">
        <color indexed="64"/>
      </top>
      <bottom style="medium">
        <color theme="4" tint="0.39997558519241921"/>
      </bottom>
      <diagonal/>
    </border>
    <border>
      <left/>
      <right style="medium">
        <color indexed="64"/>
      </right>
      <top style="medium">
        <color indexed="64"/>
      </top>
      <bottom style="medium">
        <color theme="4" tint="0.39997558519241921"/>
      </bottom>
      <diagonal/>
    </border>
    <border>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style="thin">
        <color rgb="FFBFBFBF"/>
      </left>
      <right style="thin">
        <color rgb="FFBFBFBF"/>
      </right>
      <top/>
      <bottom/>
      <diagonal/>
    </border>
    <border>
      <left style="thin">
        <color theme="0" tint="-0.24994659260841701"/>
      </left>
      <right style="thin">
        <color theme="0" tint="-0.24994659260841701"/>
      </right>
      <top style="thin">
        <color theme="0" tint="-0.249977111117893"/>
      </top>
      <bottom/>
      <diagonal/>
    </border>
    <border>
      <left/>
      <right/>
      <top/>
      <bottom style="medium">
        <color rgb="FF8EAADB"/>
      </bottom>
      <diagonal/>
    </border>
    <border>
      <left style="thin">
        <color theme="0" tint="-0.2499465926084170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rgb="FF7F7F7F"/>
      </right>
      <top/>
      <bottom/>
      <diagonal/>
    </border>
    <border>
      <left style="thin">
        <color auto="1"/>
      </left>
      <right style="thin">
        <color rgb="FF7F7F7F"/>
      </right>
      <top style="thin">
        <color auto="1"/>
      </top>
      <bottom/>
      <diagonal/>
    </border>
    <border>
      <left style="thin">
        <color auto="1"/>
      </left>
      <right style="thin">
        <color rgb="FF7F7F7F"/>
      </right>
      <top/>
      <bottom style="thin">
        <color auto="1"/>
      </bottom>
      <diagonal/>
    </border>
    <border>
      <left style="thin">
        <color rgb="FF7F7F7F"/>
      </left>
      <right style="thin">
        <color rgb="FF7F7F7F"/>
      </right>
      <top style="thin">
        <color auto="1"/>
      </top>
      <bottom/>
      <diagonal/>
    </border>
    <border>
      <left style="thin">
        <color rgb="FF7F7F7F"/>
      </left>
      <right style="thin">
        <color rgb="FF7F7F7F"/>
      </right>
      <top/>
      <bottom style="thin">
        <color auto="1"/>
      </bottom>
      <diagonal/>
    </border>
    <border>
      <left style="thin">
        <color rgb="FF7F7F7F"/>
      </left>
      <right/>
      <top style="thin">
        <color auto="1"/>
      </top>
      <bottom/>
      <diagonal/>
    </border>
    <border>
      <left style="thin">
        <color rgb="FF7F7F7F"/>
      </left>
      <right/>
      <top/>
      <bottom style="thin">
        <color auto="1"/>
      </bottom>
      <diagonal/>
    </border>
    <border>
      <left style="thin">
        <color theme="0" tint="-0.24994659260841701"/>
      </left>
      <right style="thin">
        <color auto="1"/>
      </right>
      <top style="thin">
        <color auto="1"/>
      </top>
      <bottom style="thin">
        <color indexed="64"/>
      </bottom>
      <diagonal/>
    </border>
    <border>
      <left style="thin">
        <color rgb="FF5F6062"/>
      </left>
      <right/>
      <top/>
      <bottom/>
      <diagonal/>
    </border>
    <border>
      <left/>
      <right/>
      <top style="thin">
        <color rgb="FF5F6062"/>
      </top>
      <bottom/>
      <diagonal/>
    </border>
    <border>
      <left style="thin">
        <color auto="1"/>
      </left>
      <right style="thin">
        <color rgb="FF7F7F7F"/>
      </right>
      <top/>
      <bottom/>
      <diagonal/>
    </border>
    <border>
      <left style="thin">
        <color rgb="FF7F7F7F"/>
      </left>
      <right style="thin">
        <color rgb="FF7F7F7F"/>
      </right>
      <top/>
      <bottom/>
      <diagonal/>
    </border>
    <border>
      <left style="thin">
        <color rgb="FF7F7F7F"/>
      </left>
      <right/>
      <top/>
      <bottom/>
      <diagonal/>
    </border>
    <border>
      <left style="medium">
        <color rgb="FF000000"/>
      </left>
      <right/>
      <top style="thick">
        <color rgb="FF4F81BD"/>
      </top>
      <bottom style="thick">
        <color rgb="FF4F81BD"/>
      </bottom>
      <diagonal/>
    </border>
    <border>
      <left/>
      <right/>
      <top style="thick">
        <color rgb="FF4F81BD"/>
      </top>
      <bottom style="thick">
        <color rgb="FF4F81BD"/>
      </bottom>
      <diagonal/>
    </border>
    <border>
      <left/>
      <right style="medium">
        <color auto="1"/>
      </right>
      <top style="thick">
        <color rgb="FF4F81BD"/>
      </top>
      <bottom style="thick">
        <color rgb="FF4F81BD"/>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CCCCCC"/>
      </left>
      <right style="medium">
        <color rgb="FFCCCCCC"/>
      </right>
      <top style="medium">
        <color rgb="FFCCCCCC"/>
      </top>
      <bottom/>
      <diagonal/>
    </border>
    <border>
      <left style="medium">
        <color rgb="FFCCCCCC"/>
      </left>
      <right style="medium">
        <color indexed="64"/>
      </right>
      <top style="medium">
        <color rgb="FFCCCCCC"/>
      </top>
      <bottom/>
      <diagonal/>
    </border>
    <border>
      <left style="thin">
        <color auto="1"/>
      </left>
      <right style="medium">
        <color indexed="64"/>
      </right>
      <top style="thin">
        <color auto="1"/>
      </top>
      <bottom style="thin">
        <color auto="1"/>
      </bottom>
      <diagonal/>
    </border>
    <border>
      <left style="thin">
        <color auto="1"/>
      </left>
      <right/>
      <top style="thin">
        <color theme="0" tint="-0.24994659260841701"/>
      </top>
      <bottom style="thin">
        <color theme="0" tint="-0.24994659260841701"/>
      </bottom>
      <diagonal/>
    </border>
    <border>
      <left/>
      <right/>
      <top/>
      <bottom style="thin">
        <color theme="0" tint="-0.249977111117893"/>
      </bottom>
      <diagonal/>
    </border>
    <border>
      <left/>
      <right/>
      <top style="thin">
        <color theme="0" tint="-0.249977111117893"/>
      </top>
      <bottom/>
      <diagonal/>
    </border>
    <border>
      <left style="medium">
        <color auto="1"/>
      </left>
      <right style="medium">
        <color indexed="64"/>
      </right>
      <top/>
      <bottom/>
      <diagonal/>
    </border>
    <border>
      <left style="thin">
        <color rgb="FF000000"/>
      </left>
      <right style="thin">
        <color auto="1"/>
      </right>
      <top style="thin">
        <color rgb="FF000000"/>
      </top>
      <bottom style="thin">
        <color rgb="FF000000"/>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theme="0" tint="-0.24994659260841701"/>
      </left>
      <right style="thin">
        <color theme="0" tint="-0.24994659260841701"/>
      </right>
      <top style="thin">
        <color auto="1"/>
      </top>
      <bottom style="thin">
        <color indexed="64"/>
      </bottom>
      <diagonal/>
    </border>
    <border>
      <left style="thin">
        <color auto="1"/>
      </left>
      <right style="thin">
        <color auto="1"/>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top style="medium">
        <color auto="1"/>
      </top>
      <bottom style="thick">
        <color theme="4"/>
      </bottom>
      <diagonal/>
    </border>
    <border>
      <left/>
      <right style="thin">
        <color indexed="64"/>
      </right>
      <top style="medium">
        <color auto="1"/>
      </top>
      <bottom style="thick">
        <color theme="4"/>
      </bottom>
      <diagonal/>
    </border>
    <border>
      <left style="thin">
        <color indexed="64"/>
      </left>
      <right style="thin">
        <color theme="0" tint="-0.24994659260841701"/>
      </right>
      <top style="thin">
        <color theme="0" tint="-0.24994659260841701"/>
      </top>
      <bottom style="thin">
        <color theme="0" tint="-0.24994659260841701"/>
      </bottom>
      <diagonal/>
    </border>
    <border>
      <left/>
      <right style="thin">
        <color indexed="64"/>
      </right>
      <top style="thick">
        <color theme="4"/>
      </top>
      <bottom style="thin">
        <color theme="0" tint="-0.24994659260841701"/>
      </bottom>
      <diagonal/>
    </border>
    <border>
      <left style="thin">
        <color theme="0" tint="-0.1499984740745262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auto="1"/>
      </top>
      <bottom style="thin">
        <color indexed="64"/>
      </bottom>
      <diagonal/>
    </border>
    <border>
      <left style="thin">
        <color indexed="64"/>
      </left>
      <right/>
      <top/>
      <bottom style="thick">
        <color theme="4"/>
      </bottom>
      <diagonal/>
    </border>
    <border>
      <left/>
      <right style="thin">
        <color indexed="64"/>
      </right>
      <top style="thin">
        <color theme="0" tint="-0.24994659260841701"/>
      </top>
      <bottom style="thin">
        <color theme="0" tint="-0.24994659260841701"/>
      </bottom>
      <diagonal/>
    </border>
  </borders>
  <cellStyleXfs count="615">
    <xf numFmtId="0" fontId="0" fillId="0" borderId="0"/>
    <xf numFmtId="0" fontId="2" fillId="0" borderId="0" applyNumberFormat="0" applyFill="0" applyBorder="0" applyAlignment="0" applyProtection="0"/>
    <xf numFmtId="165" fontId="7" fillId="0" borderId="0" applyFont="0" applyFill="0" applyBorder="0" applyAlignment="0" applyProtection="0"/>
    <xf numFmtId="0" fontId="8" fillId="0" borderId="8" applyNumberFormat="0" applyFill="0" applyAlignment="0" applyProtection="0"/>
    <xf numFmtId="0" fontId="9" fillId="0" borderId="9" applyNumberFormat="0" applyFill="0" applyAlignment="0" applyProtection="0"/>
    <xf numFmtId="0" fontId="7" fillId="0" borderId="0"/>
    <xf numFmtId="164" fontId="7" fillId="0" borderId="0" applyFont="0" applyFill="0" applyBorder="0" applyAlignment="0" applyProtection="0"/>
    <xf numFmtId="0" fontId="22" fillId="0" borderId="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9" fontId="7"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44" fontId="7"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43" fontId="7"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8" fillId="0" borderId="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53" fillId="0" borderId="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cellStyleXfs>
  <cellXfs count="674">
    <xf numFmtId="0" fontId="0" fillId="0" borderId="0" xfId="0"/>
    <xf numFmtId="0" fontId="0" fillId="0" borderId="17" xfId="0" applyBorder="1" applyAlignment="1" applyProtection="1">
      <alignment horizontal="center"/>
      <protection hidden="1"/>
    </xf>
    <xf numFmtId="44" fontId="0" fillId="0" borderId="17" xfId="0" applyNumberFormat="1" applyBorder="1"/>
    <xf numFmtId="170" fontId="39" fillId="0" borderId="17" xfId="577" applyNumberFormat="1" applyFont="1" applyBorder="1"/>
    <xf numFmtId="0" fontId="38" fillId="0" borderId="17" xfId="577" applyBorder="1" applyAlignment="1">
      <alignment horizontal="center"/>
    </xf>
    <xf numFmtId="170" fontId="41" fillId="15" borderId="0" xfId="577" applyNumberFormat="1" applyFont="1" applyFill="1" applyAlignment="1">
      <alignment horizontal="center" vertical="center"/>
    </xf>
    <xf numFmtId="0" fontId="41" fillId="15" borderId="0" xfId="577" applyFont="1" applyFill="1" applyAlignment="1">
      <alignment horizontal="center" vertical="center" wrapText="1"/>
    </xf>
    <xf numFmtId="170" fontId="38" fillId="0" borderId="17" xfId="577" applyNumberFormat="1" applyBorder="1"/>
    <xf numFmtId="170" fontId="38" fillId="17" borderId="17" xfId="577" applyNumberFormat="1" applyFill="1" applyBorder="1"/>
    <xf numFmtId="0" fontId="43" fillId="0" borderId="0" xfId="577" applyFont="1"/>
    <xf numFmtId="0" fontId="0" fillId="0" borderId="17" xfId="0" applyBorder="1"/>
    <xf numFmtId="44" fontId="0" fillId="0" borderId="17" xfId="485" applyFont="1" applyBorder="1"/>
    <xf numFmtId="0" fontId="0" fillId="0" borderId="0" xfId="0" applyAlignment="1">
      <alignment horizontal="center" vertical="top"/>
    </xf>
    <xf numFmtId="0" fontId="0" fillId="0" borderId="0" xfId="0" applyAlignment="1">
      <alignment horizontal="left" vertical="top"/>
    </xf>
    <xf numFmtId="3" fontId="50" fillId="0" borderId="71" xfId="0" applyNumberFormat="1" applyFont="1" applyBorder="1" applyAlignment="1">
      <alignment horizontal="right" vertical="top" wrapText="1" indent="1"/>
    </xf>
    <xf numFmtId="2" fontId="50" fillId="0" borderId="0" xfId="0" applyNumberFormat="1" applyFont="1" applyAlignment="1">
      <alignment horizontal="right" vertical="top" wrapText="1"/>
    </xf>
    <xf numFmtId="0" fontId="0" fillId="0" borderId="72" xfId="0" applyBorder="1" applyAlignment="1">
      <alignment vertical="top" wrapText="1"/>
    </xf>
    <xf numFmtId="0" fontId="0" fillId="0" borderId="0" xfId="0" applyAlignment="1">
      <alignment vertical="top" wrapText="1"/>
    </xf>
    <xf numFmtId="0" fontId="48" fillId="0" borderId="0" xfId="0" applyFont="1" applyAlignment="1">
      <alignment horizontal="left" vertical="top"/>
    </xf>
    <xf numFmtId="0" fontId="0" fillId="0" borderId="0" xfId="0" applyAlignment="1" applyProtection="1">
      <alignment vertical="center"/>
      <protection locked="0" hidden="1"/>
    </xf>
    <xf numFmtId="0" fontId="17" fillId="0" borderId="17" xfId="0" applyFont="1" applyBorder="1" applyAlignment="1" applyProtection="1">
      <alignment vertical="center" wrapText="1"/>
      <protection locked="0" hidden="1"/>
    </xf>
    <xf numFmtId="166" fontId="10" fillId="2" borderId="10" xfId="3" applyNumberFormat="1" applyFont="1" applyFill="1" applyBorder="1" applyAlignment="1" applyProtection="1">
      <alignment horizontal="left" vertical="center"/>
      <protection locked="0" hidden="1"/>
    </xf>
    <xf numFmtId="165" fontId="18" fillId="0" borderId="0" xfId="2" applyFont="1" applyAlignment="1" applyProtection="1">
      <alignment horizontal="center" vertical="center" wrapText="1"/>
      <protection locked="0" hidden="1"/>
    </xf>
    <xf numFmtId="166" fontId="16" fillId="2" borderId="0" xfId="3" applyNumberFormat="1" applyFont="1" applyFill="1" applyBorder="1" applyAlignment="1" applyProtection="1">
      <alignment horizontal="center" vertical="center"/>
      <protection locked="0" hidden="1"/>
    </xf>
    <xf numFmtId="0" fontId="1" fillId="0" borderId="7" xfId="0" quotePrefix="1" applyFont="1" applyBorder="1" applyAlignment="1" applyProtection="1">
      <alignment vertical="top" wrapText="1"/>
      <protection locked="0" hidden="1"/>
    </xf>
    <xf numFmtId="0" fontId="0" fillId="0" borderId="0" xfId="0" applyProtection="1">
      <protection locked="0" hidden="1"/>
    </xf>
    <xf numFmtId="44" fontId="18" fillId="0" borderId="0" xfId="0" applyNumberFormat="1" applyFont="1" applyAlignment="1" applyProtection="1">
      <alignment horizontal="left" vertical="center"/>
      <protection locked="0" hidden="1"/>
    </xf>
    <xf numFmtId="0" fontId="14" fillId="5" borderId="7" xfId="0" applyFont="1" applyFill="1" applyBorder="1" applyAlignment="1" applyProtection="1">
      <alignment vertical="top" wrapText="1"/>
      <protection locked="0" hidden="1"/>
    </xf>
    <xf numFmtId="165" fontId="30" fillId="5" borderId="7" xfId="2" applyFont="1" applyFill="1" applyBorder="1" applyAlignment="1" applyProtection="1">
      <alignment horizontal="center" vertical="center" wrapText="1"/>
      <protection locked="0" hidden="1"/>
    </xf>
    <xf numFmtId="165" fontId="5" fillId="5" borderId="7" xfId="2" applyFont="1" applyFill="1" applyBorder="1" applyAlignment="1" applyProtection="1">
      <alignment horizontal="center" vertical="top"/>
      <protection locked="0" hidden="1"/>
    </xf>
    <xf numFmtId="44" fontId="12" fillId="5" borderId="0" xfId="0" applyNumberFormat="1" applyFont="1" applyFill="1" applyAlignment="1" applyProtection="1">
      <alignment vertical="top" wrapText="1"/>
      <protection locked="0" hidden="1"/>
    </xf>
    <xf numFmtId="165" fontId="18" fillId="10" borderId="0" xfId="2" applyFont="1" applyFill="1" applyAlignment="1" applyProtection="1">
      <alignment horizontal="center" vertical="center" wrapText="1"/>
      <protection locked="0" hidden="1"/>
    </xf>
    <xf numFmtId="165" fontId="6" fillId="0" borderId="0" xfId="2" applyFont="1" applyAlignment="1" applyProtection="1">
      <alignment horizontal="center" vertical="top"/>
      <protection locked="0" hidden="1"/>
    </xf>
    <xf numFmtId="44" fontId="18" fillId="0" borderId="34" xfId="0" applyNumberFormat="1" applyFont="1" applyBorder="1" applyAlignment="1" applyProtection="1">
      <alignment horizontal="left" vertical="center"/>
      <protection locked="0" hidden="1"/>
    </xf>
    <xf numFmtId="165" fontId="6" fillId="0" borderId="17" xfId="2" applyFont="1" applyBorder="1" applyAlignment="1" applyProtection="1">
      <alignment horizontal="center" vertical="top"/>
      <protection locked="0" hidden="1"/>
    </xf>
    <xf numFmtId="165" fontId="30" fillId="5" borderId="2" xfId="2" applyFont="1" applyFill="1" applyBorder="1" applyAlignment="1" applyProtection="1">
      <alignment horizontal="center" vertical="center" wrapText="1"/>
      <protection locked="0" hidden="1"/>
    </xf>
    <xf numFmtId="165" fontId="0" fillId="0" borderId="0" xfId="2" applyFont="1" applyProtection="1">
      <protection locked="0" hidden="1"/>
    </xf>
    <xf numFmtId="0" fontId="16" fillId="2" borderId="11" xfId="3" applyFont="1" applyFill="1" applyBorder="1" applyAlignment="1" applyProtection="1">
      <alignment horizontal="center" vertical="center" wrapText="1"/>
      <protection locked="0" hidden="1"/>
    </xf>
    <xf numFmtId="0" fontId="13" fillId="0" borderId="0" xfId="0" applyFont="1" applyProtection="1">
      <protection locked="0" hidden="1"/>
    </xf>
    <xf numFmtId="166" fontId="4" fillId="3" borderId="3" xfId="0" applyNumberFormat="1" applyFont="1" applyFill="1" applyBorder="1" applyAlignment="1" applyProtection="1">
      <alignment horizontal="center" vertical="top"/>
      <protection locked="0" hidden="1"/>
    </xf>
    <xf numFmtId="166" fontId="3" fillId="2" borderId="5" xfId="0" applyNumberFormat="1" applyFont="1" applyFill="1" applyBorder="1" applyAlignment="1" applyProtection="1">
      <alignment horizontal="center" vertical="center"/>
      <protection locked="0" hidden="1"/>
    </xf>
    <xf numFmtId="0" fontId="5" fillId="2" borderId="6" xfId="0" applyFont="1" applyFill="1" applyBorder="1" applyAlignment="1" applyProtection="1">
      <alignment horizontal="left" vertical="center" wrapText="1"/>
      <protection locked="0" hidden="1"/>
    </xf>
    <xf numFmtId="0" fontId="20" fillId="2" borderId="6" xfId="0" applyFont="1" applyFill="1" applyBorder="1" applyAlignment="1" applyProtection="1">
      <alignment horizontal="center" vertical="center" wrapText="1"/>
      <protection locked="0" hidden="1"/>
    </xf>
    <xf numFmtId="0" fontId="21" fillId="0" borderId="0" xfId="0" applyFont="1" applyAlignment="1" applyProtection="1">
      <alignment horizontal="center"/>
      <protection locked="0" hidden="1"/>
    </xf>
    <xf numFmtId="44" fontId="0" fillId="0" borderId="0" xfId="0" applyNumberFormat="1" applyProtection="1">
      <protection locked="0" hidden="1"/>
    </xf>
    <xf numFmtId="0" fontId="12" fillId="2" borderId="11" xfId="3" applyFont="1" applyFill="1" applyBorder="1" applyAlignment="1" applyProtection="1">
      <alignment horizontal="left" vertical="center" wrapText="1"/>
      <protection locked="0" hidden="1"/>
    </xf>
    <xf numFmtId="44" fontId="12" fillId="2" borderId="11" xfId="3" applyNumberFormat="1" applyFont="1" applyFill="1" applyBorder="1" applyAlignment="1" applyProtection="1">
      <alignment horizontal="left" vertical="center" wrapText="1"/>
      <protection locked="0" hidden="1"/>
    </xf>
    <xf numFmtId="0" fontId="4" fillId="3" borderId="1" xfId="0" applyFont="1" applyFill="1" applyBorder="1" applyAlignment="1" applyProtection="1">
      <alignment horizontal="center" vertical="center" wrapText="1"/>
      <protection locked="0" hidden="1"/>
    </xf>
    <xf numFmtId="44" fontId="4" fillId="3" borderId="1" xfId="0" applyNumberFormat="1" applyFont="1" applyFill="1" applyBorder="1" applyAlignment="1" applyProtection="1">
      <alignment vertical="top" wrapText="1"/>
      <protection locked="0" hidden="1"/>
    </xf>
    <xf numFmtId="0" fontId="20" fillId="3" borderId="1" xfId="0" applyFont="1" applyFill="1" applyBorder="1" applyAlignment="1" applyProtection="1">
      <alignment horizontal="center" vertical="top" wrapText="1"/>
      <protection locked="0" hidden="1"/>
    </xf>
    <xf numFmtId="166" fontId="6" fillId="0" borderId="29" xfId="0" applyNumberFormat="1" applyFont="1" applyBorder="1" applyAlignment="1" applyProtection="1">
      <alignment horizontal="center" vertical="top"/>
      <protection locked="0" hidden="1"/>
    </xf>
    <xf numFmtId="0" fontId="6" fillId="0" borderId="30" xfId="0" applyFont="1" applyBorder="1" applyAlignment="1" applyProtection="1">
      <alignment vertical="top" wrapText="1"/>
      <protection locked="0" hidden="1"/>
    </xf>
    <xf numFmtId="44" fontId="6" fillId="0" borderId="30" xfId="0" applyNumberFormat="1" applyFont="1" applyBorder="1" applyAlignment="1" applyProtection="1">
      <alignment vertical="top" wrapText="1"/>
      <protection locked="0" hidden="1"/>
    </xf>
    <xf numFmtId="0" fontId="6" fillId="0" borderId="1" xfId="0" applyFont="1" applyBorder="1" applyAlignment="1" applyProtection="1">
      <alignment horizontal="center" vertical="top" wrapText="1"/>
      <protection locked="0" hidden="1"/>
    </xf>
    <xf numFmtId="166" fontId="6" fillId="0" borderId="17" xfId="0" applyNumberFormat="1" applyFont="1" applyBorder="1" applyAlignment="1" applyProtection="1">
      <alignment horizontal="center" vertical="top"/>
      <protection locked="0" hidden="1"/>
    </xf>
    <xf numFmtId="0" fontId="4" fillId="0" borderId="17" xfId="0" applyFont="1" applyBorder="1" applyAlignment="1" applyProtection="1">
      <alignment vertical="top" wrapText="1"/>
      <protection locked="0" hidden="1"/>
    </xf>
    <xf numFmtId="44" fontId="4" fillId="0" borderId="17" xfId="0" applyNumberFormat="1" applyFont="1" applyBorder="1" applyAlignment="1" applyProtection="1">
      <alignment vertical="top" wrapText="1"/>
      <protection locked="0" hidden="1"/>
    </xf>
    <xf numFmtId="0" fontId="17" fillId="0" borderId="17" xfId="0" applyFont="1" applyBorder="1" applyAlignment="1" applyProtection="1">
      <alignment horizontal="center" vertical="center"/>
      <protection locked="0" hidden="1"/>
    </xf>
    <xf numFmtId="0" fontId="0" fillId="0" borderId="17" xfId="0" applyBorder="1" applyAlignment="1" applyProtection="1">
      <alignment horizontal="center" vertical="center"/>
      <protection locked="0" hidden="1"/>
    </xf>
    <xf numFmtId="0" fontId="26" fillId="0" borderId="17" xfId="0" applyFont="1" applyBorder="1" applyProtection="1">
      <protection locked="0" hidden="1"/>
    </xf>
    <xf numFmtId="44" fontId="26" fillId="0" borderId="17" xfId="0" applyNumberFormat="1" applyFont="1" applyBorder="1" applyProtection="1">
      <protection locked="0" hidden="1"/>
    </xf>
    <xf numFmtId="44" fontId="5" fillId="2" borderId="6" xfId="0" applyNumberFormat="1" applyFont="1" applyFill="1" applyBorder="1" applyAlignment="1" applyProtection="1">
      <alignment horizontal="left" vertical="center" wrapText="1"/>
      <protection locked="0" hidden="1"/>
    </xf>
    <xf numFmtId="44" fontId="0" fillId="0" borderId="0" xfId="485" applyFont="1" applyAlignment="1" applyProtection="1">
      <alignment horizontal="center" vertical="center"/>
      <protection locked="0" hidden="1"/>
    </xf>
    <xf numFmtId="0" fontId="16" fillId="2" borderId="0" xfId="3" applyFont="1" applyFill="1" applyBorder="1" applyAlignment="1" applyProtection="1">
      <alignment horizontal="center" vertical="center" wrapText="1"/>
      <protection locked="0" hidden="1"/>
    </xf>
    <xf numFmtId="165" fontId="19" fillId="4" borderId="33" xfId="2" applyFont="1" applyFill="1" applyBorder="1" applyAlignment="1" applyProtection="1">
      <alignment horizontal="center" vertical="center" wrapText="1"/>
      <protection locked="0" hidden="1"/>
    </xf>
    <xf numFmtId="2" fontId="16" fillId="2" borderId="0" xfId="2" applyNumberFormat="1" applyFont="1" applyFill="1" applyAlignment="1" applyProtection="1">
      <alignment horizontal="center" vertical="center"/>
      <protection locked="0" hidden="1"/>
    </xf>
    <xf numFmtId="165" fontId="16" fillId="2" borderId="0" xfId="3" applyNumberFormat="1" applyFont="1" applyFill="1" applyBorder="1" applyAlignment="1" applyProtection="1">
      <alignment horizontal="center" vertical="center"/>
      <protection locked="0" hidden="1"/>
    </xf>
    <xf numFmtId="44" fontId="16" fillId="2" borderId="0" xfId="3" applyNumberFormat="1" applyFont="1" applyFill="1" applyBorder="1" applyAlignment="1" applyProtection="1">
      <alignment horizontal="center" vertical="center"/>
      <protection locked="0" hidden="1"/>
    </xf>
    <xf numFmtId="167" fontId="16" fillId="2" borderId="0" xfId="3" applyNumberFormat="1" applyFont="1" applyFill="1" applyBorder="1" applyAlignment="1" applyProtection="1">
      <alignment horizontal="center" vertical="center"/>
      <protection locked="0" hidden="1"/>
    </xf>
    <xf numFmtId="0" fontId="15" fillId="0" borderId="0" xfId="0" applyFont="1" applyAlignment="1" applyProtection="1">
      <alignment vertical="center"/>
      <protection locked="0" hidden="1"/>
    </xf>
    <xf numFmtId="44" fontId="16" fillId="3" borderId="17" xfId="4" applyNumberFormat="1" applyFont="1" applyFill="1" applyBorder="1" applyAlignment="1" applyProtection="1">
      <alignment horizontal="center" vertical="center"/>
      <protection locked="0" hidden="1"/>
    </xf>
    <xf numFmtId="44" fontId="15" fillId="0" borderId="0" xfId="485" applyFont="1" applyAlignment="1" applyProtection="1">
      <alignment vertical="center"/>
      <protection locked="0" hidden="1"/>
    </xf>
    <xf numFmtId="166" fontId="16" fillId="3" borderId="42" xfId="4" applyNumberFormat="1" applyFont="1" applyFill="1" applyBorder="1" applyAlignment="1" applyProtection="1">
      <alignment horizontal="center" vertical="top"/>
      <protection locked="0" hidden="1"/>
    </xf>
    <xf numFmtId="0" fontId="16" fillId="3" borderId="43" xfId="4" applyFont="1" applyFill="1" applyBorder="1" applyAlignment="1" applyProtection="1">
      <alignment vertical="top" wrapText="1"/>
      <protection locked="0" hidden="1"/>
    </xf>
    <xf numFmtId="165" fontId="16" fillId="3" borderId="43" xfId="2" applyFont="1" applyFill="1" applyBorder="1" applyAlignment="1" applyProtection="1">
      <alignment horizontal="center" vertical="center" wrapText="1"/>
      <protection locked="0" hidden="1"/>
    </xf>
    <xf numFmtId="2" fontId="16" fillId="3" borderId="43" xfId="2" applyNumberFormat="1" applyFont="1" applyFill="1" applyBorder="1" applyAlignment="1" applyProtection="1">
      <alignment vertical="top" wrapText="1"/>
      <protection locked="0" hidden="1"/>
    </xf>
    <xf numFmtId="165" fontId="16" fillId="3" borderId="43" xfId="4" applyNumberFormat="1" applyFont="1" applyFill="1" applyBorder="1" applyAlignment="1" applyProtection="1">
      <alignment horizontal="center" vertical="top"/>
      <protection locked="0" hidden="1"/>
    </xf>
    <xf numFmtId="44" fontId="16" fillId="3" borderId="43" xfId="4" applyNumberFormat="1" applyFont="1" applyFill="1" applyBorder="1" applyAlignment="1" applyProtection="1">
      <alignment vertical="top"/>
      <protection locked="0" hidden="1"/>
    </xf>
    <xf numFmtId="167" fontId="16" fillId="3" borderId="44" xfId="4" applyNumberFormat="1" applyFont="1" applyFill="1" applyBorder="1" applyAlignment="1" applyProtection="1">
      <alignment vertical="top"/>
      <protection locked="0" hidden="1"/>
    </xf>
    <xf numFmtId="0" fontId="15" fillId="0" borderId="0" xfId="0" applyFont="1" applyProtection="1">
      <protection locked="0" hidden="1"/>
    </xf>
    <xf numFmtId="44" fontId="15" fillId="0" borderId="17" xfId="485" applyFont="1" applyBorder="1" applyAlignment="1" applyProtection="1">
      <alignment vertical="center"/>
      <protection locked="0" hidden="1"/>
    </xf>
    <xf numFmtId="44" fontId="16" fillId="3" borderId="17" xfId="4" applyNumberFormat="1" applyFont="1" applyFill="1" applyBorder="1" applyAlignment="1" applyProtection="1">
      <alignment vertical="top"/>
      <protection locked="0" hidden="1"/>
    </xf>
    <xf numFmtId="2" fontId="14" fillId="5" borderId="29" xfId="0" applyNumberFormat="1" applyFont="1" applyFill="1" applyBorder="1" applyAlignment="1" applyProtection="1">
      <alignment horizontal="center" vertical="center"/>
      <protection locked="0" hidden="1"/>
    </xf>
    <xf numFmtId="2" fontId="5" fillId="5" borderId="7" xfId="2" applyNumberFormat="1" applyFont="1" applyFill="1" applyBorder="1" applyAlignment="1" applyProtection="1">
      <alignment vertical="top" wrapText="1"/>
      <protection locked="0" hidden="1"/>
    </xf>
    <xf numFmtId="44" fontId="5" fillId="5" borderId="0" xfId="0" applyNumberFormat="1" applyFont="1" applyFill="1" applyAlignment="1" applyProtection="1">
      <alignment vertical="top" wrapText="1"/>
      <protection locked="0" hidden="1"/>
    </xf>
    <xf numFmtId="44" fontId="5" fillId="5" borderId="0" xfId="0" applyNumberFormat="1" applyFont="1" applyFill="1" applyAlignment="1" applyProtection="1">
      <alignment vertical="top"/>
      <protection locked="0" hidden="1"/>
    </xf>
    <xf numFmtId="44" fontId="5" fillId="5" borderId="4" xfId="0" applyNumberFormat="1" applyFont="1" applyFill="1" applyBorder="1" applyAlignment="1" applyProtection="1">
      <alignment vertical="top"/>
      <protection locked="0" hidden="1"/>
    </xf>
    <xf numFmtId="44" fontId="0" fillId="0" borderId="17" xfId="485" applyFont="1" applyBorder="1" applyAlignment="1" applyProtection="1">
      <alignment vertical="center"/>
      <protection locked="0" hidden="1"/>
    </xf>
    <xf numFmtId="44" fontId="0" fillId="0" borderId="0" xfId="485" applyFont="1" applyAlignment="1" applyProtection="1">
      <alignment vertical="center"/>
      <protection locked="0" hidden="1"/>
    </xf>
    <xf numFmtId="44" fontId="0" fillId="0" borderId="17" xfId="0" applyNumberFormat="1" applyBorder="1" applyProtection="1">
      <protection locked="0" hidden="1"/>
    </xf>
    <xf numFmtId="0" fontId="0" fillId="5" borderId="0" xfId="0" applyFill="1" applyProtection="1">
      <protection locked="0" hidden="1"/>
    </xf>
    <xf numFmtId="0" fontId="1" fillId="0" borderId="7" xfId="0" quotePrefix="1" applyFont="1" applyBorder="1" applyAlignment="1" applyProtection="1">
      <alignment horizontal="center" vertical="top" wrapText="1"/>
      <protection locked="0" hidden="1"/>
    </xf>
    <xf numFmtId="44" fontId="18" fillId="0" borderId="0" xfId="0" applyNumberFormat="1" applyFont="1" applyAlignment="1" applyProtection="1">
      <alignment vertical="top"/>
      <protection locked="0" hidden="1"/>
    </xf>
    <xf numFmtId="44" fontId="18" fillId="0" borderId="4" xfId="0" applyNumberFormat="1" applyFont="1" applyBorder="1" applyAlignment="1" applyProtection="1">
      <alignment vertical="top"/>
      <protection locked="0" hidden="1"/>
    </xf>
    <xf numFmtId="0" fontId="24" fillId="0" borderId="0" xfId="0" applyFont="1" applyProtection="1">
      <protection locked="0" hidden="1"/>
    </xf>
    <xf numFmtId="2" fontId="1" fillId="0" borderId="7" xfId="0" quotePrefix="1" applyNumberFormat="1" applyFont="1" applyBorder="1" applyAlignment="1" applyProtection="1">
      <alignment horizontal="center" vertical="top" wrapText="1"/>
      <protection locked="0" hidden="1"/>
    </xf>
    <xf numFmtId="44" fontId="18" fillId="0" borderId="0" xfId="0" applyNumberFormat="1" applyFont="1" applyAlignment="1" applyProtection="1">
      <alignment vertical="center"/>
      <protection locked="0" hidden="1"/>
    </xf>
    <xf numFmtId="2" fontId="5" fillId="5" borderId="2" xfId="1" applyNumberFormat="1" applyFont="1" applyFill="1" applyBorder="1" applyAlignment="1" applyProtection="1">
      <alignment vertical="top" wrapText="1"/>
      <protection locked="0" hidden="1"/>
    </xf>
    <xf numFmtId="2" fontId="5" fillId="5" borderId="1" xfId="2" applyNumberFormat="1" applyFont="1" applyFill="1" applyBorder="1" applyAlignment="1" applyProtection="1">
      <alignment vertical="top" wrapText="1"/>
      <protection locked="0" hidden="1"/>
    </xf>
    <xf numFmtId="166" fontId="20" fillId="2" borderId="23" xfId="0" applyNumberFormat="1" applyFont="1" applyFill="1" applyBorder="1" applyAlignment="1" applyProtection="1">
      <alignment horizontal="center" vertical="center"/>
      <protection locked="0" hidden="1"/>
    </xf>
    <xf numFmtId="44" fontId="20" fillId="2" borderId="27" xfId="0" applyNumberFormat="1" applyFont="1" applyFill="1" applyBorder="1" applyAlignment="1" applyProtection="1">
      <alignment horizontal="left" vertical="center"/>
      <protection locked="0" hidden="1"/>
    </xf>
    <xf numFmtId="167" fontId="20" fillId="2" borderId="28" xfId="0" applyNumberFormat="1" applyFont="1" applyFill="1" applyBorder="1" applyAlignment="1" applyProtection="1">
      <alignment horizontal="center" vertical="center"/>
      <protection locked="0" hidden="1"/>
    </xf>
    <xf numFmtId="44" fontId="2" fillId="0" borderId="17" xfId="485" applyFont="1" applyBorder="1" applyAlignment="1" applyProtection="1">
      <alignment horizontal="center" vertical="center"/>
      <protection locked="0" hidden="1"/>
    </xf>
    <xf numFmtId="44" fontId="2" fillId="0" borderId="0" xfId="485" applyFont="1" applyAlignment="1" applyProtection="1">
      <alignment horizontal="center" vertical="center"/>
      <protection locked="0" hidden="1"/>
    </xf>
    <xf numFmtId="44" fontId="20" fillId="2" borderId="17" xfId="0" applyNumberFormat="1" applyFont="1" applyFill="1" applyBorder="1" applyAlignment="1" applyProtection="1">
      <alignment horizontal="left" vertical="center"/>
      <protection locked="0" hidden="1"/>
    </xf>
    <xf numFmtId="166" fontId="18" fillId="0" borderId="19" xfId="0" applyNumberFormat="1" applyFont="1" applyBorder="1" applyAlignment="1" applyProtection="1">
      <alignment horizontal="center" vertical="top"/>
      <protection locked="0" hidden="1"/>
    </xf>
    <xf numFmtId="2" fontId="17" fillId="0" borderId="0" xfId="1" applyNumberFormat="1" applyFont="1" applyAlignment="1" applyProtection="1">
      <alignment vertical="top" wrapText="1"/>
      <protection locked="0" hidden="1"/>
    </xf>
    <xf numFmtId="167" fontId="18" fillId="0" borderId="0" xfId="0" applyNumberFormat="1" applyFont="1" applyAlignment="1" applyProtection="1">
      <alignment vertical="top"/>
      <protection locked="0" hidden="1"/>
    </xf>
    <xf numFmtId="167" fontId="0" fillId="0" borderId="0" xfId="0" applyNumberFormat="1" applyProtection="1">
      <protection locked="0" hidden="1"/>
    </xf>
    <xf numFmtId="2" fontId="17" fillId="0" borderId="0" xfId="0" applyNumberFormat="1" applyFont="1" applyAlignment="1" applyProtection="1">
      <alignment vertical="top" wrapText="1"/>
      <protection locked="0" hidden="1"/>
    </xf>
    <xf numFmtId="2" fontId="0" fillId="0" borderId="0" xfId="2" applyNumberFormat="1" applyFont="1" applyProtection="1">
      <protection locked="0" hidden="1"/>
    </xf>
    <xf numFmtId="44" fontId="16" fillId="2" borderId="0" xfId="3" applyNumberFormat="1" applyFont="1" applyFill="1" applyBorder="1" applyAlignment="1" applyProtection="1">
      <alignment horizontal="center" vertical="center" wrapText="1"/>
      <protection locked="0" hidden="1"/>
    </xf>
    <xf numFmtId="0" fontId="1" fillId="0" borderId="7" xfId="0" quotePrefix="1" applyFont="1" applyBorder="1" applyAlignment="1" applyProtection="1">
      <alignment horizontal="center" vertical="center" wrapText="1"/>
      <protection locked="0" hidden="1"/>
    </xf>
    <xf numFmtId="0" fontId="1" fillId="0" borderId="52" xfId="0" quotePrefix="1" applyFont="1" applyBorder="1" applyAlignment="1" applyProtection="1">
      <alignment vertical="top" wrapText="1"/>
      <protection locked="0" hidden="1"/>
    </xf>
    <xf numFmtId="0" fontId="14" fillId="5" borderId="52" xfId="0" applyFont="1" applyFill="1" applyBorder="1" applyAlignment="1" applyProtection="1">
      <alignment vertical="top" wrapText="1"/>
      <protection locked="0" hidden="1"/>
    </xf>
    <xf numFmtId="0" fontId="24" fillId="0" borderId="17" xfId="0" applyFont="1" applyBorder="1" applyProtection="1">
      <protection locked="0" hidden="1"/>
    </xf>
    <xf numFmtId="0" fontId="25" fillId="0" borderId="0" xfId="0" applyFont="1" applyProtection="1">
      <protection locked="0" hidden="1"/>
    </xf>
    <xf numFmtId="0" fontId="1" fillId="0" borderId="0" xfId="0" applyFont="1" applyProtection="1">
      <protection locked="0" hidden="1"/>
    </xf>
    <xf numFmtId="165" fontId="1" fillId="0" borderId="0" xfId="2" applyFont="1" applyProtection="1">
      <protection locked="0" hidden="1"/>
    </xf>
    <xf numFmtId="2" fontId="1" fillId="0" borderId="0" xfId="2" applyNumberFormat="1" applyFont="1" applyProtection="1">
      <protection locked="0" hidden="1"/>
    </xf>
    <xf numFmtId="167" fontId="1" fillId="0" borderId="0" xfId="0" applyNumberFormat="1" applyFont="1" applyProtection="1">
      <protection locked="0" hidden="1"/>
    </xf>
    <xf numFmtId="44" fontId="1" fillId="0" borderId="0" xfId="485" applyFont="1" applyAlignment="1" applyProtection="1">
      <alignment vertical="center"/>
      <protection locked="0" hidden="1"/>
    </xf>
    <xf numFmtId="0" fontId="16" fillId="3" borderId="17" xfId="4" applyFont="1" applyFill="1" applyBorder="1" applyAlignment="1" applyProtection="1">
      <alignment horizontal="center" vertical="top" wrapText="1"/>
      <protection locked="0" hidden="1"/>
    </xf>
    <xf numFmtId="165" fontId="2" fillId="5" borderId="17" xfId="2" applyFont="1" applyFill="1" applyBorder="1" applyAlignment="1" applyProtection="1">
      <alignment horizontal="center" vertical="center" wrapText="1"/>
      <protection locked="0" hidden="1"/>
    </xf>
    <xf numFmtId="165" fontId="2" fillId="19" borderId="17" xfId="2" applyFont="1" applyFill="1" applyBorder="1" applyAlignment="1" applyProtection="1">
      <alignment horizontal="center" vertical="center" wrapText="1"/>
      <protection locked="0" hidden="1"/>
    </xf>
    <xf numFmtId="165" fontId="29" fillId="5" borderId="18" xfId="2" applyFont="1" applyFill="1" applyBorder="1" applyAlignment="1" applyProtection="1">
      <alignment horizontal="center"/>
      <protection locked="0" hidden="1"/>
    </xf>
    <xf numFmtId="165" fontId="29" fillId="5" borderId="17" xfId="2" applyFont="1" applyFill="1" applyBorder="1" applyAlignment="1" applyProtection="1">
      <alignment horizontal="center"/>
      <protection locked="0" hidden="1"/>
    </xf>
    <xf numFmtId="165" fontId="29" fillId="19" borderId="18" xfId="2" applyFont="1" applyFill="1" applyBorder="1" applyAlignment="1" applyProtection="1">
      <alignment horizontal="center"/>
      <protection locked="0" hidden="1"/>
    </xf>
    <xf numFmtId="165" fontId="29" fillId="19" borderId="17" xfId="2" applyFont="1" applyFill="1" applyBorder="1" applyAlignment="1" applyProtection="1">
      <alignment horizontal="center"/>
      <protection locked="0" hidden="1"/>
    </xf>
    <xf numFmtId="0" fontId="29" fillId="5" borderId="18" xfId="0" applyFont="1" applyFill="1" applyBorder="1" applyProtection="1">
      <protection locked="0" hidden="1"/>
    </xf>
    <xf numFmtId="165" fontId="1" fillId="5" borderId="22" xfId="2" applyFont="1" applyFill="1" applyBorder="1" applyProtection="1">
      <protection locked="0" hidden="1"/>
    </xf>
    <xf numFmtId="2" fontId="29" fillId="5" borderId="22" xfId="0" applyNumberFormat="1" applyFont="1" applyFill="1" applyBorder="1" applyProtection="1">
      <protection locked="0" hidden="1"/>
    </xf>
    <xf numFmtId="165" fontId="5" fillId="5" borderId="70" xfId="2" applyFont="1" applyFill="1" applyBorder="1" applyAlignment="1" applyProtection="1">
      <alignment horizontal="center" vertical="top"/>
      <protection locked="0" hidden="1"/>
    </xf>
    <xf numFmtId="165" fontId="29" fillId="9" borderId="18" xfId="0" applyNumberFormat="1" applyFont="1" applyFill="1" applyBorder="1" applyProtection="1">
      <protection locked="0" hidden="1"/>
    </xf>
    <xf numFmtId="165" fontId="29" fillId="9" borderId="22" xfId="0" applyNumberFormat="1" applyFont="1" applyFill="1" applyBorder="1" applyProtection="1">
      <protection locked="0" hidden="1"/>
    </xf>
    <xf numFmtId="165" fontId="29" fillId="9" borderId="40" xfId="0" applyNumberFormat="1" applyFont="1" applyFill="1" applyBorder="1" applyProtection="1">
      <protection locked="0" hidden="1"/>
    </xf>
    <xf numFmtId="165" fontId="29" fillId="20" borderId="18" xfId="0" applyNumberFormat="1" applyFont="1" applyFill="1" applyBorder="1" applyProtection="1">
      <protection locked="0" hidden="1"/>
    </xf>
    <xf numFmtId="165" fontId="29" fillId="20" borderId="22" xfId="0" applyNumberFormat="1" applyFont="1" applyFill="1" applyBorder="1" applyProtection="1">
      <protection locked="0" hidden="1"/>
    </xf>
    <xf numFmtId="0" fontId="1" fillId="0" borderId="58" xfId="0" applyFont="1" applyBorder="1" applyAlignment="1" applyProtection="1">
      <alignment horizontal="right"/>
      <protection locked="0" hidden="1"/>
    </xf>
    <xf numFmtId="165" fontId="18" fillId="0" borderId="58" xfId="2" applyFont="1" applyBorder="1" applyAlignment="1" applyProtection="1">
      <alignment horizontal="center" vertical="center" wrapText="1"/>
      <protection locked="0" hidden="1"/>
    </xf>
    <xf numFmtId="165" fontId="18" fillId="0" borderId="56" xfId="2" applyFont="1" applyBorder="1" applyAlignment="1" applyProtection="1">
      <alignment horizontal="center" vertical="center" wrapText="1"/>
      <protection locked="0" hidden="1"/>
    </xf>
    <xf numFmtId="165" fontId="18" fillId="0" borderId="57" xfId="2" applyFont="1" applyBorder="1" applyAlignment="1" applyProtection="1">
      <alignment horizontal="center" vertical="center" wrapText="1"/>
      <protection locked="0" hidden="1"/>
    </xf>
    <xf numFmtId="165" fontId="18" fillId="0" borderId="55" xfId="2" applyFont="1" applyBorder="1" applyAlignment="1" applyProtection="1">
      <alignment horizontal="center" vertical="center" wrapText="1"/>
      <protection locked="0" hidden="1"/>
    </xf>
    <xf numFmtId="165" fontId="18" fillId="0" borderId="59" xfId="2" applyFont="1" applyBorder="1" applyAlignment="1" applyProtection="1">
      <alignment horizontal="center" vertical="center" wrapText="1"/>
      <protection locked="0" hidden="1"/>
    </xf>
    <xf numFmtId="165" fontId="18" fillId="0" borderId="0" xfId="2" applyFont="1" applyBorder="1" applyAlignment="1" applyProtection="1">
      <alignment horizontal="center" vertical="center" wrapText="1"/>
      <protection locked="0" hidden="1"/>
    </xf>
    <xf numFmtId="0" fontId="1" fillId="0" borderId="60" xfId="0" applyFont="1" applyBorder="1" applyAlignment="1" applyProtection="1">
      <alignment horizontal="right"/>
      <protection locked="0" hidden="1"/>
    </xf>
    <xf numFmtId="165" fontId="6" fillId="0" borderId="61" xfId="2" applyFont="1" applyBorder="1" applyAlignment="1" applyProtection="1">
      <alignment horizontal="center" vertical="top"/>
      <protection locked="0" hidden="1"/>
    </xf>
    <xf numFmtId="165" fontId="18" fillId="0" borderId="60" xfId="2" applyFont="1" applyBorder="1" applyAlignment="1" applyProtection="1">
      <alignment horizontal="center" vertical="center" wrapText="1"/>
      <protection locked="0" hidden="1"/>
    </xf>
    <xf numFmtId="165" fontId="18" fillId="0" borderId="61" xfId="2" applyFont="1" applyBorder="1" applyAlignment="1" applyProtection="1">
      <alignment horizontal="center" vertical="center" wrapText="1"/>
      <protection locked="0" hidden="1"/>
    </xf>
    <xf numFmtId="165" fontId="18" fillId="0" borderId="62" xfId="2" applyFont="1" applyBorder="1" applyAlignment="1" applyProtection="1">
      <alignment horizontal="center" vertical="center" wrapText="1"/>
      <protection locked="0" hidden="1"/>
    </xf>
    <xf numFmtId="165" fontId="29" fillId="20" borderId="40" xfId="0" applyNumberFormat="1" applyFont="1" applyFill="1" applyBorder="1" applyProtection="1">
      <protection locked="0" hidden="1"/>
    </xf>
    <xf numFmtId="165" fontId="1" fillId="0" borderId="56" xfId="2" applyFont="1" applyBorder="1" applyProtection="1">
      <protection locked="0" hidden="1"/>
    </xf>
    <xf numFmtId="165" fontId="6" fillId="0" borderId="56" xfId="2" applyFont="1" applyBorder="1" applyAlignment="1" applyProtection="1">
      <alignment horizontal="center" vertical="top"/>
      <protection locked="0" hidden="1"/>
    </xf>
    <xf numFmtId="2" fontId="1" fillId="0" borderId="56" xfId="0" applyNumberFormat="1" applyFont="1" applyBorder="1" applyAlignment="1" applyProtection="1">
      <alignment horizontal="right"/>
      <protection locked="0" hidden="1"/>
    </xf>
    <xf numFmtId="0" fontId="29" fillId="0" borderId="0" xfId="0" applyFont="1" applyProtection="1">
      <protection locked="0" hidden="1"/>
    </xf>
    <xf numFmtId="2" fontId="16" fillId="2" borderId="53" xfId="2" applyNumberFormat="1" applyFont="1" applyFill="1" applyBorder="1" applyAlignment="1" applyProtection="1">
      <alignment horizontal="center" vertical="center"/>
      <protection locked="0" hidden="1"/>
    </xf>
    <xf numFmtId="165" fontId="19" fillId="4" borderId="63" xfId="2" applyFont="1" applyFill="1" applyBorder="1" applyAlignment="1" applyProtection="1">
      <alignment horizontal="center" vertical="center" wrapText="1"/>
      <protection locked="0" hidden="1"/>
    </xf>
    <xf numFmtId="2" fontId="16" fillId="2" borderId="40" xfId="2" applyNumberFormat="1" applyFont="1" applyFill="1" applyBorder="1" applyAlignment="1" applyProtection="1">
      <alignment horizontal="center" vertical="center"/>
      <protection locked="0" hidden="1"/>
    </xf>
    <xf numFmtId="165" fontId="6" fillId="0" borderId="59" xfId="2" applyFont="1" applyBorder="1" applyAlignment="1" applyProtection="1">
      <alignment horizontal="center" vertical="top"/>
      <protection locked="0" hidden="1"/>
    </xf>
    <xf numFmtId="165" fontId="6" fillId="0" borderId="62" xfId="2" applyFont="1" applyBorder="1" applyAlignment="1" applyProtection="1">
      <alignment horizontal="center" vertical="top"/>
      <protection locked="0" hidden="1"/>
    </xf>
    <xf numFmtId="0" fontId="1" fillId="0" borderId="0" xfId="0" applyFont="1" applyAlignment="1" applyProtection="1">
      <alignment horizontal="right"/>
      <protection locked="0" hidden="1"/>
    </xf>
    <xf numFmtId="165" fontId="29" fillId="9" borderId="17" xfId="0" applyNumberFormat="1" applyFont="1" applyFill="1" applyBorder="1" applyProtection="1">
      <protection locked="0" hidden="1"/>
    </xf>
    <xf numFmtId="0" fontId="14" fillId="8" borderId="49" xfId="0" applyFont="1" applyFill="1" applyBorder="1" applyAlignment="1" applyProtection="1">
      <alignment vertical="top" wrapText="1"/>
      <protection locked="0" hidden="1"/>
    </xf>
    <xf numFmtId="0" fontId="14" fillId="8" borderId="48" xfId="0" applyFont="1" applyFill="1" applyBorder="1" applyAlignment="1" applyProtection="1">
      <alignment vertical="top" wrapText="1"/>
      <protection locked="0" hidden="1"/>
    </xf>
    <xf numFmtId="0" fontId="14" fillId="8" borderId="37" xfId="0" applyFont="1" applyFill="1" applyBorder="1" applyAlignment="1" applyProtection="1">
      <alignment vertical="top" wrapText="1"/>
      <protection locked="0" hidden="1"/>
    </xf>
    <xf numFmtId="0" fontId="6" fillId="0" borderId="0" xfId="0" applyFont="1" applyAlignment="1" applyProtection="1">
      <alignment horizontal="left"/>
      <protection locked="0" hidden="1"/>
    </xf>
    <xf numFmtId="0" fontId="6" fillId="0" borderId="50" xfId="0" quotePrefix="1" applyFont="1" applyBorder="1" applyAlignment="1" applyProtection="1">
      <alignment vertical="top" wrapText="1"/>
      <protection locked="0" hidden="1"/>
    </xf>
    <xf numFmtId="44" fontId="18" fillId="0" borderId="1" xfId="0" applyNumberFormat="1" applyFont="1" applyBorder="1" applyAlignment="1" applyProtection="1">
      <alignment vertical="top"/>
      <protection locked="0" hidden="1"/>
    </xf>
    <xf numFmtId="44" fontId="0" fillId="0" borderId="0" xfId="485" applyFont="1" applyProtection="1">
      <protection locked="0" hidden="1"/>
    </xf>
    <xf numFmtId="0" fontId="36" fillId="0" borderId="0" xfId="0" applyFont="1" applyProtection="1">
      <protection locked="0" hidden="1"/>
    </xf>
    <xf numFmtId="165" fontId="29" fillId="20" borderId="17" xfId="0" applyNumberFormat="1" applyFont="1" applyFill="1" applyBorder="1" applyProtection="1">
      <protection locked="0" hidden="1"/>
    </xf>
    <xf numFmtId="0" fontId="54" fillId="0" borderId="79" xfId="595" applyFont="1" applyBorder="1" applyAlignment="1" applyProtection="1">
      <alignment horizontal="left"/>
      <protection locked="0" hidden="1"/>
    </xf>
    <xf numFmtId="0" fontId="54" fillId="0" borderId="80" xfId="595" applyFont="1" applyBorder="1" applyAlignment="1" applyProtection="1">
      <alignment horizontal="left"/>
      <protection locked="0" hidden="1"/>
    </xf>
    <xf numFmtId="0" fontId="55" fillId="0" borderId="79" xfId="595" applyFont="1" applyBorder="1" applyAlignment="1" applyProtection="1">
      <alignment horizontal="left" vertical="top"/>
      <protection locked="0" hidden="1"/>
    </xf>
    <xf numFmtId="0" fontId="53" fillId="0" borderId="0" xfId="595" applyProtection="1">
      <protection locked="0" hidden="1"/>
    </xf>
    <xf numFmtId="0" fontId="57" fillId="0" borderId="80" xfId="595" applyFont="1" applyBorder="1" applyProtection="1">
      <protection locked="0" hidden="1"/>
    </xf>
    <xf numFmtId="44" fontId="54" fillId="0" borderId="17" xfId="485" applyFont="1" applyBorder="1" applyAlignment="1" applyProtection="1">
      <alignment horizontal="left"/>
      <protection hidden="1"/>
    </xf>
    <xf numFmtId="0" fontId="0" fillId="0" borderId="0" xfId="0" applyProtection="1">
      <protection hidden="1"/>
    </xf>
    <xf numFmtId="44" fontId="0" fillId="0" borderId="17" xfId="485" applyFont="1" applyBorder="1" applyProtection="1">
      <protection hidden="1"/>
    </xf>
    <xf numFmtId="44" fontId="0" fillId="0" borderId="0" xfId="485" applyFont="1" applyProtection="1">
      <protection hidden="1"/>
    </xf>
    <xf numFmtId="44" fontId="0" fillId="0" borderId="17" xfId="0" applyNumberFormat="1" applyBorder="1" applyProtection="1">
      <protection hidden="1"/>
    </xf>
    <xf numFmtId="0" fontId="56" fillId="0" borderId="81" xfId="595" applyFont="1" applyBorder="1" applyProtection="1">
      <protection hidden="1"/>
    </xf>
    <xf numFmtId="44" fontId="26" fillId="0" borderId="17" xfId="485" applyFont="1" applyBorder="1" applyProtection="1">
      <protection hidden="1"/>
    </xf>
    <xf numFmtId="0" fontId="56" fillId="0" borderId="17" xfId="595" applyFont="1" applyBorder="1" applyAlignment="1" applyProtection="1">
      <alignment horizontal="center"/>
      <protection hidden="1"/>
    </xf>
    <xf numFmtId="0" fontId="38" fillId="0" borderId="0" xfId="577" applyAlignment="1">
      <alignment horizontal="center"/>
    </xf>
    <xf numFmtId="0" fontId="45" fillId="0" borderId="0" xfId="0" applyFont="1" applyProtection="1">
      <protection locked="0" hidden="1"/>
    </xf>
    <xf numFmtId="44" fontId="17" fillId="25" borderId="17" xfId="0" applyNumberFormat="1" applyFont="1" applyFill="1" applyBorder="1" applyAlignment="1">
      <alignment horizontal="center"/>
    </xf>
    <xf numFmtId="0" fontId="38" fillId="0" borderId="0" xfId="577"/>
    <xf numFmtId="170" fontId="62" fillId="26" borderId="79" xfId="0" applyNumberFormat="1" applyFont="1" applyFill="1" applyBorder="1" applyAlignment="1">
      <alignment horizontal="center"/>
    </xf>
    <xf numFmtId="170" fontId="64" fillId="27" borderId="0" xfId="577" applyNumberFormat="1" applyFont="1" applyFill="1" applyAlignment="1">
      <alignment horizontal="center" vertical="center" wrapText="1"/>
    </xf>
    <xf numFmtId="170" fontId="64" fillId="28" borderId="0" xfId="577" applyNumberFormat="1" applyFont="1" applyFill="1" applyAlignment="1">
      <alignment horizontal="center" vertical="center" wrapText="1"/>
    </xf>
    <xf numFmtId="44" fontId="17" fillId="0" borderId="17" xfId="0" applyNumberFormat="1" applyFont="1" applyBorder="1" applyAlignment="1">
      <alignment horizontal="center"/>
    </xf>
    <xf numFmtId="44" fontId="17" fillId="19" borderId="17" xfId="0" applyNumberFormat="1" applyFont="1" applyFill="1" applyBorder="1" applyAlignment="1">
      <alignment horizontal="center"/>
    </xf>
    <xf numFmtId="165" fontId="6" fillId="0" borderId="0" xfId="2" applyFont="1" applyBorder="1" applyAlignment="1" applyProtection="1">
      <alignment horizontal="center" vertical="top"/>
      <protection locked="0" hidden="1"/>
    </xf>
    <xf numFmtId="165" fontId="1" fillId="0" borderId="0" xfId="2" applyFont="1" applyBorder="1" applyProtection="1">
      <protection locked="0" hidden="1"/>
    </xf>
    <xf numFmtId="2" fontId="1" fillId="0" borderId="0" xfId="2" applyNumberFormat="1" applyFont="1" applyBorder="1" applyProtection="1">
      <protection locked="0" hidden="1"/>
    </xf>
    <xf numFmtId="44" fontId="1" fillId="0" borderId="0" xfId="485" applyFont="1" applyBorder="1" applyAlignment="1" applyProtection="1">
      <alignment vertical="center"/>
      <protection locked="0" hidden="1"/>
    </xf>
    <xf numFmtId="44" fontId="0" fillId="0" borderId="0" xfId="485" applyFont="1" applyBorder="1" applyAlignment="1" applyProtection="1">
      <alignment vertical="center"/>
      <protection locked="0" hidden="1"/>
    </xf>
    <xf numFmtId="44" fontId="66" fillId="20" borderId="17" xfId="0" applyNumberFormat="1" applyFont="1" applyFill="1" applyBorder="1" applyAlignment="1">
      <alignment horizontal="right"/>
    </xf>
    <xf numFmtId="9" fontId="0" fillId="0" borderId="0" xfId="0" applyNumberFormat="1" applyProtection="1">
      <protection locked="0" hidden="1"/>
    </xf>
    <xf numFmtId="0" fontId="0" fillId="0" borderId="0" xfId="0" applyAlignment="1">
      <alignment wrapText="1"/>
    </xf>
    <xf numFmtId="2" fontId="0" fillId="0" borderId="0" xfId="0" applyNumberFormat="1" applyAlignment="1">
      <alignment horizontal="right"/>
    </xf>
    <xf numFmtId="4" fontId="0" fillId="0" borderId="0" xfId="0" applyNumberFormat="1"/>
    <xf numFmtId="3" fontId="0" fillId="0" borderId="0" xfId="0" applyNumberFormat="1"/>
    <xf numFmtId="0" fontId="38" fillId="10" borderId="17" xfId="577" applyFill="1" applyBorder="1" applyAlignment="1">
      <alignment horizontal="center"/>
    </xf>
    <xf numFmtId="0" fontId="38" fillId="0" borderId="17" xfId="577" applyBorder="1"/>
    <xf numFmtId="0" fontId="61" fillId="0" borderId="17" xfId="577" applyFont="1" applyBorder="1"/>
    <xf numFmtId="0" fontId="15" fillId="2" borderId="34" xfId="0" applyFont="1" applyFill="1" applyBorder="1" applyProtection="1">
      <protection locked="0" hidden="1"/>
    </xf>
    <xf numFmtId="4" fontId="0" fillId="2" borderId="34" xfId="0" applyNumberFormat="1" applyFill="1" applyBorder="1" applyProtection="1">
      <protection locked="0" hidden="1"/>
    </xf>
    <xf numFmtId="165" fontId="6" fillId="2" borderId="34" xfId="2" applyFont="1" applyFill="1" applyBorder="1" applyAlignment="1" applyProtection="1">
      <alignment horizontal="center" vertical="top"/>
      <protection locked="0" hidden="1"/>
    </xf>
    <xf numFmtId="165" fontId="6" fillId="2" borderId="88" xfId="2" applyFont="1" applyFill="1" applyBorder="1" applyAlignment="1" applyProtection="1">
      <alignment horizontal="center" vertical="top"/>
      <protection locked="0" hidden="1"/>
    </xf>
    <xf numFmtId="0" fontId="24" fillId="2" borderId="0" xfId="0" applyFont="1" applyFill="1" applyProtection="1">
      <protection locked="0" hidden="1"/>
    </xf>
    <xf numFmtId="0" fontId="0" fillId="2" borderId="0" xfId="0" applyFill="1" applyProtection="1">
      <protection locked="0" hidden="1"/>
    </xf>
    <xf numFmtId="44" fontId="20" fillId="2" borderId="26" xfId="0" applyNumberFormat="1" applyFont="1" applyFill="1" applyBorder="1" applyAlignment="1" applyProtection="1">
      <alignment horizontal="left" vertical="center"/>
      <protection locked="0" hidden="1"/>
    </xf>
    <xf numFmtId="0" fontId="15" fillId="2" borderId="88" xfId="0" applyFont="1" applyFill="1" applyBorder="1" applyProtection="1">
      <protection locked="0" hidden="1"/>
    </xf>
    <xf numFmtId="0" fontId="15" fillId="2" borderId="88" xfId="0" applyFont="1" applyFill="1" applyBorder="1" applyAlignment="1" applyProtection="1">
      <alignment vertical="center"/>
      <protection locked="0" hidden="1"/>
    </xf>
    <xf numFmtId="0" fontId="69" fillId="0" borderId="89" xfId="0" applyFont="1" applyBorder="1" applyAlignment="1">
      <alignment horizontal="left" vertical="top"/>
    </xf>
    <xf numFmtId="44" fontId="0" fillId="0" borderId="0" xfId="485" applyFont="1"/>
    <xf numFmtId="44" fontId="0" fillId="0" borderId="17" xfId="485" applyFont="1" applyBorder="1" applyAlignment="1">
      <alignment horizontal="center" vertical="center" wrapText="1"/>
    </xf>
    <xf numFmtId="44" fontId="0" fillId="0" borderId="17" xfId="485" applyFont="1" applyBorder="1" applyAlignment="1">
      <alignment horizontal="center"/>
    </xf>
    <xf numFmtId="0" fontId="0" fillId="0" borderId="17" xfId="0" applyBorder="1" applyAlignment="1">
      <alignment horizontal="center" vertical="center"/>
    </xf>
    <xf numFmtId="44" fontId="10" fillId="18" borderId="62" xfId="3" applyNumberFormat="1" applyFont="1" applyFill="1" applyBorder="1" applyAlignment="1" applyProtection="1">
      <alignment horizontal="center" vertical="center" wrapText="1"/>
      <protection locked="0" hidden="1"/>
    </xf>
    <xf numFmtId="44" fontId="10" fillId="18" borderId="54" xfId="3" applyNumberFormat="1" applyFont="1" applyFill="1" applyBorder="1" applyAlignment="1" applyProtection="1">
      <alignment horizontal="center" vertical="center" wrapText="1"/>
      <protection locked="0" hidden="1"/>
    </xf>
    <xf numFmtId="44" fontId="25" fillId="0" borderId="0" xfId="0" applyNumberFormat="1" applyFont="1" applyProtection="1">
      <protection locked="0" hidden="1"/>
    </xf>
    <xf numFmtId="0" fontId="38" fillId="0" borderId="79" xfId="0" applyFont="1" applyBorder="1" applyAlignment="1" applyProtection="1">
      <alignment horizontal="left" vertical="top"/>
      <protection locked="0"/>
    </xf>
    <xf numFmtId="0" fontId="43" fillId="0" borderId="0" xfId="577" applyFont="1" applyAlignment="1">
      <alignment vertical="center"/>
    </xf>
    <xf numFmtId="0" fontId="38" fillId="0" borderId="0" xfId="577" applyAlignment="1">
      <alignment horizontal="center" vertical="center"/>
    </xf>
    <xf numFmtId="0" fontId="38" fillId="0" borderId="0" xfId="577" applyAlignment="1">
      <alignment vertical="center"/>
    </xf>
    <xf numFmtId="0" fontId="43" fillId="0" borderId="0" xfId="577" applyFont="1" applyAlignment="1">
      <alignment horizontal="center" vertical="center"/>
    </xf>
    <xf numFmtId="0" fontId="39" fillId="0" borderId="0" xfId="577" applyFont="1" applyAlignment="1">
      <alignment horizontal="center" vertical="center"/>
    </xf>
    <xf numFmtId="0" fontId="0" fillId="0" borderId="17" xfId="0" applyBorder="1" applyAlignment="1">
      <alignment horizontal="center"/>
    </xf>
    <xf numFmtId="9" fontId="0" fillId="0" borderId="0" xfId="406" applyFont="1"/>
    <xf numFmtId="0" fontId="0" fillId="0" borderId="0" xfId="0" applyAlignment="1">
      <alignment vertical="center"/>
    </xf>
    <xf numFmtId="0" fontId="31" fillId="11" borderId="17" xfId="0" applyFont="1" applyFill="1" applyBorder="1" applyAlignment="1" applyProtection="1">
      <alignment horizontal="center" vertical="center" wrapText="1"/>
      <protection locked="0" hidden="1"/>
    </xf>
    <xf numFmtId="9" fontId="31" fillId="11" borderId="17" xfId="406" applyFont="1" applyFill="1" applyBorder="1" applyAlignment="1" applyProtection="1">
      <alignment horizontal="center" vertical="center" wrapText="1"/>
      <protection locked="0" hidden="1"/>
    </xf>
    <xf numFmtId="9" fontId="0" fillId="0" borderId="17" xfId="406" applyFont="1" applyBorder="1"/>
    <xf numFmtId="9" fontId="0" fillId="0" borderId="17" xfId="406" applyFont="1" applyBorder="1" applyAlignment="1">
      <alignment horizontal="center"/>
    </xf>
    <xf numFmtId="9" fontId="0" fillId="0" borderId="0" xfId="0" applyNumberFormat="1"/>
    <xf numFmtId="44" fontId="17" fillId="21" borderId="17" xfId="0" applyNumberFormat="1" applyFont="1" applyFill="1" applyBorder="1" applyAlignment="1">
      <alignment horizontal="center"/>
    </xf>
    <xf numFmtId="10" fontId="0" fillId="0" borderId="0" xfId="0" applyNumberFormat="1" applyProtection="1">
      <protection locked="0" hidden="1"/>
    </xf>
    <xf numFmtId="0" fontId="63" fillId="0" borderId="0" xfId="0" applyFont="1" applyAlignment="1" applyProtection="1">
      <alignment horizontal="center"/>
      <protection locked="0" hidden="1"/>
    </xf>
    <xf numFmtId="165" fontId="18" fillId="5" borderId="92" xfId="2" applyFont="1" applyFill="1" applyBorder="1" applyAlignment="1" applyProtection="1">
      <alignment horizontal="center" vertical="center"/>
      <protection locked="0" hidden="1"/>
    </xf>
    <xf numFmtId="166" fontId="6" fillId="0" borderId="29" xfId="0" applyNumberFormat="1" applyFont="1" applyBorder="1" applyAlignment="1" applyProtection="1">
      <alignment horizontal="center" vertical="center"/>
      <protection locked="0" hidden="1"/>
    </xf>
    <xf numFmtId="0" fontId="6" fillId="0" borderId="30" xfId="0" applyFont="1" applyBorder="1" applyAlignment="1" applyProtection="1">
      <alignment vertical="center" wrapText="1"/>
      <protection locked="0" hidden="1"/>
    </xf>
    <xf numFmtId="44" fontId="6" fillId="0" borderId="30" xfId="0" applyNumberFormat="1" applyFont="1" applyBorder="1" applyAlignment="1" applyProtection="1">
      <alignment vertical="center" wrapText="1"/>
      <protection locked="0" hidden="1"/>
    </xf>
    <xf numFmtId="0" fontId="6" fillId="0" borderId="1" xfId="0" applyFont="1" applyBorder="1" applyAlignment="1" applyProtection="1">
      <alignment horizontal="center" vertical="center" wrapText="1"/>
      <protection locked="0" hidden="1"/>
    </xf>
    <xf numFmtId="166" fontId="6" fillId="0" borderId="17" xfId="0" applyNumberFormat="1" applyFont="1" applyBorder="1" applyAlignment="1" applyProtection="1">
      <alignment horizontal="center" vertical="center"/>
      <protection locked="0" hidden="1"/>
    </xf>
    <xf numFmtId="0" fontId="4" fillId="0" borderId="17" xfId="0" applyFont="1" applyBorder="1" applyAlignment="1" applyProtection="1">
      <alignment vertical="center" wrapText="1"/>
      <protection locked="0" hidden="1"/>
    </xf>
    <xf numFmtId="10" fontId="17" fillId="0" borderId="17" xfId="406" applyNumberFormat="1" applyFont="1" applyBorder="1" applyAlignment="1" applyProtection="1">
      <alignment horizontal="center" vertical="center" wrapText="1"/>
      <protection locked="0" hidden="1"/>
    </xf>
    <xf numFmtId="0" fontId="26" fillId="0" borderId="17" xfId="0" applyFont="1" applyBorder="1" applyAlignment="1" applyProtection="1">
      <alignment vertical="center"/>
      <protection locked="0" hidden="1"/>
    </xf>
    <xf numFmtId="44" fontId="26" fillId="0" borderId="17" xfId="0" applyNumberFormat="1" applyFont="1" applyBorder="1" applyAlignment="1" applyProtection="1">
      <alignment vertical="center"/>
      <protection locked="0" hidden="1"/>
    </xf>
    <xf numFmtId="0" fontId="21" fillId="0" borderId="0" xfId="0" applyFont="1" applyAlignment="1" applyProtection="1">
      <alignment horizontal="center" vertical="center"/>
      <protection locked="0" hidden="1"/>
    </xf>
    <xf numFmtId="44" fontId="4" fillId="0" borderId="17" xfId="0" applyNumberFormat="1" applyFont="1" applyBorder="1" applyAlignment="1" applyProtection="1">
      <alignment horizontal="left" vertical="center" wrapText="1"/>
      <protection locked="0" hidden="1"/>
    </xf>
    <xf numFmtId="9" fontId="71" fillId="31" borderId="17" xfId="577" applyNumberFormat="1" applyFont="1" applyFill="1" applyBorder="1" applyAlignment="1">
      <alignment horizontal="center" vertical="center"/>
    </xf>
    <xf numFmtId="9" fontId="74" fillId="31" borderId="17" xfId="577" applyNumberFormat="1" applyFont="1" applyFill="1" applyBorder="1" applyAlignment="1">
      <alignment horizontal="center" vertical="center"/>
    </xf>
    <xf numFmtId="44" fontId="76" fillId="21" borderId="17" xfId="0" applyNumberFormat="1" applyFont="1" applyFill="1" applyBorder="1" applyAlignment="1">
      <alignment horizontal="center"/>
    </xf>
    <xf numFmtId="9" fontId="77" fillId="31" borderId="17" xfId="577" applyNumberFormat="1" applyFont="1" applyFill="1" applyBorder="1" applyAlignment="1">
      <alignment horizontal="center" vertical="center"/>
    </xf>
    <xf numFmtId="0" fontId="78" fillId="0" borderId="17" xfId="577" applyFont="1" applyBorder="1"/>
    <xf numFmtId="44" fontId="76" fillId="19" borderId="17" xfId="0" applyNumberFormat="1" applyFont="1" applyFill="1" applyBorder="1" applyAlignment="1">
      <alignment horizontal="center"/>
    </xf>
    <xf numFmtId="44" fontId="76" fillId="20" borderId="17" xfId="0" applyNumberFormat="1" applyFont="1" applyFill="1" applyBorder="1" applyAlignment="1">
      <alignment horizontal="right"/>
    </xf>
    <xf numFmtId="170" fontId="78" fillId="26" borderId="79" xfId="0" applyNumberFormat="1" applyFont="1" applyFill="1" applyBorder="1" applyAlignment="1">
      <alignment horizontal="center"/>
    </xf>
    <xf numFmtId="44" fontId="76" fillId="0" borderId="17" xfId="0" applyNumberFormat="1" applyFont="1" applyBorder="1" applyAlignment="1">
      <alignment horizontal="center"/>
    </xf>
    <xf numFmtId="8" fontId="33" fillId="19" borderId="17" xfId="577" applyNumberFormat="1" applyFont="1" applyFill="1" applyBorder="1" applyAlignment="1">
      <alignment horizontal="center" vertical="center"/>
    </xf>
    <xf numFmtId="8" fontId="38" fillId="20" borderId="17" xfId="577" applyNumberFormat="1" applyFill="1" applyBorder="1" applyAlignment="1">
      <alignment horizontal="center" vertical="center"/>
    </xf>
    <xf numFmtId="0" fontId="65" fillId="15" borderId="17" xfId="577" applyFont="1" applyFill="1" applyBorder="1" applyAlignment="1">
      <alignment horizontal="center" vertical="center" wrapText="1"/>
    </xf>
    <xf numFmtId="170" fontId="75" fillId="27" borderId="17" xfId="577" applyNumberFormat="1" applyFont="1" applyFill="1" applyBorder="1" applyAlignment="1">
      <alignment horizontal="center" vertical="center" wrapText="1"/>
    </xf>
    <xf numFmtId="170" fontId="75" fillId="28" borderId="17" xfId="577" applyNumberFormat="1" applyFont="1" applyFill="1" applyBorder="1" applyAlignment="1">
      <alignment horizontal="center" vertical="center" wrapText="1"/>
    </xf>
    <xf numFmtId="170" fontId="65" fillId="15" borderId="17" xfId="577" applyNumberFormat="1" applyFont="1" applyFill="1" applyBorder="1" applyAlignment="1">
      <alignment horizontal="center" vertical="center"/>
    </xf>
    <xf numFmtId="44" fontId="17" fillId="21" borderId="53" xfId="0" applyNumberFormat="1" applyFont="1" applyFill="1" applyBorder="1" applyAlignment="1">
      <alignment horizontal="center"/>
    </xf>
    <xf numFmtId="0" fontId="65" fillId="33" borderId="17" xfId="577" applyFont="1" applyFill="1" applyBorder="1" applyAlignment="1">
      <alignment horizontal="center" vertical="center" wrapText="1"/>
    </xf>
    <xf numFmtId="44" fontId="78" fillId="10" borderId="17" xfId="577" applyNumberFormat="1" applyFont="1" applyFill="1" applyBorder="1" applyAlignment="1">
      <alignment horizontal="center"/>
    </xf>
    <xf numFmtId="10" fontId="77" fillId="31" borderId="17" xfId="577" applyNumberFormat="1" applyFont="1" applyFill="1" applyBorder="1" applyAlignment="1">
      <alignment horizontal="center" vertical="center"/>
    </xf>
    <xf numFmtId="0" fontId="39" fillId="0" borderId="17" xfId="577" applyFont="1" applyBorder="1" applyAlignment="1">
      <alignment horizontal="center" vertical="center"/>
    </xf>
    <xf numFmtId="0" fontId="0" fillId="0" borderId="94" xfId="0" applyBorder="1" applyAlignment="1">
      <alignment horizontal="center" vertical="center"/>
    </xf>
    <xf numFmtId="170" fontId="75" fillId="27" borderId="94" xfId="577" applyNumberFormat="1" applyFont="1" applyFill="1" applyBorder="1" applyAlignment="1">
      <alignment horizontal="center" vertical="center" wrapText="1"/>
    </xf>
    <xf numFmtId="170" fontId="75" fillId="28" borderId="94" xfId="577" applyNumberFormat="1" applyFont="1" applyFill="1" applyBorder="1" applyAlignment="1">
      <alignment horizontal="center" vertical="center" wrapText="1"/>
    </xf>
    <xf numFmtId="170" fontId="75" fillId="30" borderId="94" xfId="577" applyNumberFormat="1" applyFont="1" applyFill="1" applyBorder="1" applyAlignment="1">
      <alignment vertical="center" wrapText="1"/>
    </xf>
    <xf numFmtId="0" fontId="43" fillId="0" borderId="94" xfId="577" applyFont="1" applyBorder="1" applyAlignment="1">
      <alignment horizontal="center" vertical="center"/>
    </xf>
    <xf numFmtId="0" fontId="38" fillId="0" borderId="94" xfId="577" applyBorder="1" applyAlignment="1">
      <alignment horizontal="center" vertical="center"/>
    </xf>
    <xf numFmtId="0" fontId="78" fillId="0" borderId="94" xfId="577" applyFont="1" applyBorder="1" applyAlignment="1">
      <alignment horizontal="center" vertical="center"/>
    </xf>
    <xf numFmtId="44" fontId="76" fillId="19" borderId="94" xfId="0" applyNumberFormat="1" applyFont="1" applyFill="1" applyBorder="1" applyAlignment="1">
      <alignment horizontal="center" vertical="center"/>
    </xf>
    <xf numFmtId="44" fontId="76" fillId="20" borderId="94" xfId="0" applyNumberFormat="1" applyFont="1" applyFill="1" applyBorder="1" applyAlignment="1">
      <alignment horizontal="center" vertical="center"/>
    </xf>
    <xf numFmtId="170" fontId="78" fillId="0" borderId="94" xfId="0" applyNumberFormat="1" applyFont="1" applyBorder="1" applyAlignment="1">
      <alignment horizontal="center" vertical="center"/>
    </xf>
    <xf numFmtId="44" fontId="76" fillId="0" borderId="94" xfId="0" applyNumberFormat="1" applyFont="1" applyBorder="1" applyAlignment="1">
      <alignment horizontal="center" vertical="center"/>
    </xf>
    <xf numFmtId="0" fontId="61" fillId="0" borderId="94" xfId="577" applyFont="1" applyBorder="1" applyAlignment="1">
      <alignment horizontal="center" vertical="center"/>
    </xf>
    <xf numFmtId="44" fontId="17" fillId="21" borderId="94" xfId="0" applyNumberFormat="1" applyFont="1" applyFill="1" applyBorder="1" applyAlignment="1">
      <alignment horizontal="center" vertical="center"/>
    </xf>
    <xf numFmtId="170" fontId="38" fillId="0" borderId="94" xfId="577" applyNumberFormat="1" applyBorder="1" applyAlignment="1">
      <alignment horizontal="center" vertical="center"/>
    </xf>
    <xf numFmtId="0" fontId="65" fillId="34" borderId="94" xfId="577" applyFont="1" applyFill="1" applyBorder="1" applyAlignment="1">
      <alignment horizontal="center" vertical="center" wrapText="1"/>
    </xf>
    <xf numFmtId="170" fontId="65" fillId="34" borderId="94" xfId="577" applyNumberFormat="1" applyFont="1" applyFill="1" applyBorder="1" applyAlignment="1">
      <alignment horizontal="center" vertical="center"/>
    </xf>
    <xf numFmtId="0" fontId="65" fillId="36" borderId="94" xfId="577" applyFont="1" applyFill="1" applyBorder="1" applyAlignment="1">
      <alignment horizontal="center" vertical="center" wrapText="1"/>
    </xf>
    <xf numFmtId="0" fontId="38" fillId="36" borderId="94" xfId="577" applyFill="1" applyBorder="1" applyAlignment="1">
      <alignment horizontal="center" vertical="center"/>
    </xf>
    <xf numFmtId="9" fontId="71" fillId="37" borderId="94" xfId="577" applyNumberFormat="1" applyFont="1" applyFill="1" applyBorder="1" applyAlignment="1">
      <alignment horizontal="center" vertical="center"/>
    </xf>
    <xf numFmtId="8" fontId="71" fillId="19" borderId="94" xfId="577" applyNumberFormat="1" applyFont="1" applyFill="1" applyBorder="1" applyAlignment="1">
      <alignment horizontal="center" vertical="center"/>
    </xf>
    <xf numFmtId="8" fontId="71" fillId="20" borderId="94" xfId="577" applyNumberFormat="1" applyFont="1" applyFill="1" applyBorder="1" applyAlignment="1">
      <alignment horizontal="center" vertical="center"/>
    </xf>
    <xf numFmtId="0" fontId="79" fillId="38" borderId="94" xfId="577" applyFont="1" applyFill="1" applyBorder="1" applyAlignment="1">
      <alignment horizontal="left" vertical="center"/>
    </xf>
    <xf numFmtId="0" fontId="79" fillId="38" borderId="94" xfId="577" applyFont="1" applyFill="1" applyBorder="1" applyAlignment="1">
      <alignment horizontal="center" vertical="center" wrapText="1"/>
    </xf>
    <xf numFmtId="0" fontId="44" fillId="3" borderId="94" xfId="577" applyFont="1" applyFill="1" applyBorder="1" applyAlignment="1">
      <alignment horizontal="center" vertical="center"/>
    </xf>
    <xf numFmtId="0" fontId="38" fillId="3" borderId="94" xfId="577" applyFill="1" applyBorder="1" applyAlignment="1">
      <alignment horizontal="center" vertical="center"/>
    </xf>
    <xf numFmtId="0" fontId="75" fillId="34" borderId="94" xfId="577" applyFont="1" applyFill="1" applyBorder="1" applyAlignment="1">
      <alignment horizontal="center" vertical="center" wrapText="1"/>
    </xf>
    <xf numFmtId="0" fontId="40" fillId="35" borderId="94" xfId="577" applyFont="1" applyFill="1" applyBorder="1" applyAlignment="1">
      <alignment horizontal="left" vertical="center"/>
    </xf>
    <xf numFmtId="173" fontId="38" fillId="36" borderId="94" xfId="577" applyNumberFormat="1" applyFill="1" applyBorder="1" applyAlignment="1">
      <alignment horizontal="center" vertical="center"/>
    </xf>
    <xf numFmtId="14" fontId="38" fillId="3" borderId="94" xfId="577" applyNumberFormat="1" applyFill="1" applyBorder="1" applyAlignment="1">
      <alignment horizontal="center" vertical="center"/>
    </xf>
    <xf numFmtId="170" fontId="75" fillId="30" borderId="94" xfId="577" applyNumberFormat="1" applyFont="1" applyFill="1" applyBorder="1" applyAlignment="1">
      <alignment horizontal="center" vertical="center"/>
    </xf>
    <xf numFmtId="9" fontId="74" fillId="37" borderId="94" xfId="577" applyNumberFormat="1" applyFont="1" applyFill="1" applyBorder="1" applyAlignment="1">
      <alignment horizontal="center" vertical="center"/>
    </xf>
    <xf numFmtId="0" fontId="33" fillId="0" borderId="94" xfId="577" applyFont="1" applyBorder="1" applyAlignment="1">
      <alignment horizontal="center" vertical="center"/>
    </xf>
    <xf numFmtId="0" fontId="7" fillId="0" borderId="94" xfId="0" applyFont="1" applyBorder="1" applyAlignment="1">
      <alignment horizontal="center" vertical="center"/>
    </xf>
    <xf numFmtId="44" fontId="44" fillId="0" borderId="17" xfId="485" applyFont="1" applyBorder="1" applyAlignment="1" applyProtection="1">
      <alignment horizontal="left"/>
      <protection hidden="1"/>
    </xf>
    <xf numFmtId="165" fontId="80" fillId="4" borderId="33" xfId="2" applyFont="1" applyFill="1" applyBorder="1" applyAlignment="1" applyProtection="1">
      <alignment horizontal="center" vertical="center" wrapText="1"/>
      <protection locked="0" hidden="1"/>
    </xf>
    <xf numFmtId="0" fontId="78" fillId="36" borderId="94" xfId="577" applyFont="1" applyFill="1" applyBorder="1" applyAlignment="1">
      <alignment horizontal="center" vertical="center"/>
    </xf>
    <xf numFmtId="2" fontId="78" fillId="36" borderId="94" xfId="577" applyNumberFormat="1" applyFont="1" applyFill="1" applyBorder="1" applyAlignment="1">
      <alignment horizontal="center" vertical="center"/>
    </xf>
    <xf numFmtId="2" fontId="38" fillId="36" borderId="94" xfId="577" applyNumberFormat="1" applyFill="1" applyBorder="1" applyAlignment="1">
      <alignment horizontal="center" vertical="center"/>
    </xf>
    <xf numFmtId="44" fontId="76" fillId="21" borderId="94" xfId="0" applyNumberFormat="1" applyFont="1" applyFill="1" applyBorder="1" applyAlignment="1">
      <alignment horizontal="center" vertical="center"/>
    </xf>
    <xf numFmtId="44" fontId="17" fillId="0" borderId="94" xfId="0" applyNumberFormat="1" applyFont="1" applyBorder="1" applyAlignment="1">
      <alignment horizontal="center" vertical="center"/>
    </xf>
    <xf numFmtId="170" fontId="78" fillId="0" borderId="94" xfId="577" applyNumberFormat="1" applyFont="1" applyBorder="1" applyAlignment="1">
      <alignment horizontal="center" vertical="center"/>
    </xf>
    <xf numFmtId="170" fontId="75" fillId="34" borderId="94" xfId="577" applyNumberFormat="1" applyFont="1" applyFill="1" applyBorder="1" applyAlignment="1">
      <alignment horizontal="center" vertical="center"/>
    </xf>
    <xf numFmtId="170" fontId="75" fillId="34" borderId="94" xfId="577" applyNumberFormat="1" applyFont="1" applyFill="1" applyBorder="1" applyAlignment="1">
      <alignment horizontal="center" vertical="center" wrapText="1"/>
    </xf>
    <xf numFmtId="44" fontId="7" fillId="0" borderId="94" xfId="0" applyNumberFormat="1" applyFont="1" applyBorder="1" applyAlignment="1">
      <alignment horizontal="center" vertical="center"/>
    </xf>
    <xf numFmtId="44" fontId="60" fillId="21" borderId="94" xfId="0" applyNumberFormat="1" applyFont="1" applyFill="1" applyBorder="1" applyAlignment="1">
      <alignment horizontal="center" vertical="center"/>
    </xf>
    <xf numFmtId="0" fontId="0" fillId="21" borderId="94" xfId="0" applyFill="1" applyBorder="1" applyAlignment="1">
      <alignment horizontal="center" vertical="center"/>
    </xf>
    <xf numFmtId="44" fontId="78" fillId="0" borderId="94" xfId="577" applyNumberFormat="1" applyFont="1" applyBorder="1" applyAlignment="1">
      <alignment horizontal="center" vertical="center"/>
    </xf>
    <xf numFmtId="170" fontId="33" fillId="0" borderId="94" xfId="577" applyNumberFormat="1" applyFont="1" applyBorder="1" applyAlignment="1">
      <alignment horizontal="center" vertical="center"/>
    </xf>
    <xf numFmtId="0" fontId="25" fillId="0" borderId="94" xfId="0" applyFont="1" applyBorder="1" applyAlignment="1">
      <alignment horizontal="right" vertical="center"/>
    </xf>
    <xf numFmtId="44" fontId="17" fillId="0" borderId="17" xfId="485" applyFont="1" applyBorder="1" applyAlignment="1" applyProtection="1">
      <alignment vertical="center" wrapText="1"/>
      <protection locked="0" hidden="1"/>
    </xf>
    <xf numFmtId="166" fontId="38" fillId="0" borderId="94" xfId="577" applyNumberFormat="1" applyBorder="1" applyAlignment="1">
      <alignment horizontal="center" vertical="center"/>
    </xf>
    <xf numFmtId="44" fontId="71" fillId="37" borderId="94" xfId="577" applyNumberFormat="1" applyFont="1" applyFill="1" applyBorder="1" applyAlignment="1">
      <alignment horizontal="center" vertical="center"/>
    </xf>
    <xf numFmtId="2" fontId="71" fillId="37" borderId="94" xfId="577" applyNumberFormat="1" applyFont="1" applyFill="1" applyBorder="1" applyAlignment="1">
      <alignment horizontal="center" vertical="center"/>
    </xf>
    <xf numFmtId="8" fontId="71" fillId="21" borderId="94" xfId="577" applyNumberFormat="1" applyFont="1" applyFill="1" applyBorder="1" applyAlignment="1">
      <alignment horizontal="center" vertical="center"/>
    </xf>
    <xf numFmtId="0" fontId="79" fillId="38" borderId="94" xfId="577" applyFont="1" applyFill="1" applyBorder="1" applyAlignment="1">
      <alignment horizontal="center" vertical="center"/>
    </xf>
    <xf numFmtId="173" fontId="78" fillId="36" borderId="94" xfId="577" applyNumberFormat="1" applyFont="1" applyFill="1" applyBorder="1" applyAlignment="1">
      <alignment horizontal="center" vertical="center"/>
    </xf>
    <xf numFmtId="44" fontId="38" fillId="0" borderId="94" xfId="577" applyNumberFormat="1" applyBorder="1" applyAlignment="1">
      <alignment horizontal="center" vertical="center"/>
    </xf>
    <xf numFmtId="2" fontId="33" fillId="0" borderId="94" xfId="577" applyNumberFormat="1" applyFont="1" applyBorder="1" applyAlignment="1">
      <alignment horizontal="center" vertical="center"/>
    </xf>
    <xf numFmtId="2" fontId="38" fillId="0" borderId="94" xfId="577" applyNumberFormat="1" applyBorder="1" applyAlignment="1">
      <alignment horizontal="center" vertical="center"/>
    </xf>
    <xf numFmtId="0" fontId="76" fillId="0" borderId="94" xfId="0" applyFont="1" applyBorder="1" applyAlignment="1">
      <alignment horizontal="center" vertical="center"/>
    </xf>
    <xf numFmtId="0" fontId="76" fillId="20" borderId="94" xfId="0" applyFont="1" applyFill="1" applyBorder="1" applyAlignment="1">
      <alignment horizontal="center" vertical="center"/>
    </xf>
    <xf numFmtId="1" fontId="38" fillId="0" borderId="94" xfId="577" applyNumberFormat="1" applyBorder="1" applyAlignment="1">
      <alignment horizontal="center" vertical="center"/>
    </xf>
    <xf numFmtId="173" fontId="38" fillId="0" borderId="94" xfId="577" applyNumberFormat="1" applyBorder="1" applyAlignment="1">
      <alignment horizontal="center" vertical="center"/>
    </xf>
    <xf numFmtId="165" fontId="6" fillId="0" borderId="17" xfId="2" applyFont="1" applyBorder="1" applyAlignment="1" applyProtection="1">
      <alignment horizontal="center" vertical="center"/>
      <protection locked="0" hidden="1"/>
    </xf>
    <xf numFmtId="44" fontId="15" fillId="0" borderId="17" xfId="485" applyFont="1" applyBorder="1" applyAlignment="1" applyProtection="1">
      <alignment horizontal="center" vertical="center"/>
      <protection locked="0" hidden="1"/>
    </xf>
    <xf numFmtId="44" fontId="0" fillId="0" borderId="17" xfId="485" applyFont="1" applyBorder="1" applyAlignment="1" applyProtection="1">
      <alignment horizontal="center" vertical="center"/>
      <protection locked="0" hidden="1"/>
    </xf>
    <xf numFmtId="2" fontId="16" fillId="3" borderId="17" xfId="4" applyNumberFormat="1" applyFont="1" applyFill="1" applyBorder="1" applyAlignment="1" applyProtection="1">
      <alignment horizontal="center" vertical="center"/>
      <protection locked="0" hidden="1"/>
    </xf>
    <xf numFmtId="2" fontId="6" fillId="0" borderId="17" xfId="2" applyNumberFormat="1" applyFont="1" applyBorder="1" applyAlignment="1" applyProtection="1">
      <alignment horizontal="center" vertical="center"/>
      <protection locked="0" hidden="1"/>
    </xf>
    <xf numFmtId="2" fontId="26" fillId="0" borderId="17" xfId="485" applyNumberFormat="1" applyFont="1" applyBorder="1" applyAlignment="1" applyProtection="1">
      <alignment horizontal="center" vertical="center"/>
      <protection locked="0" hidden="1"/>
    </xf>
    <xf numFmtId="2" fontId="1" fillId="0" borderId="17" xfId="485" applyNumberFormat="1" applyFont="1" applyBorder="1" applyAlignment="1" applyProtection="1">
      <alignment horizontal="center" vertical="center"/>
      <protection locked="0" hidden="1"/>
    </xf>
    <xf numFmtId="2" fontId="1" fillId="0" borderId="0" xfId="485" applyNumberFormat="1" applyFont="1" applyAlignment="1" applyProtection="1">
      <alignment horizontal="center" vertical="center"/>
      <protection locked="0" hidden="1"/>
    </xf>
    <xf numFmtId="173" fontId="33" fillId="0" borderId="94" xfId="577" applyNumberFormat="1" applyFont="1" applyBorder="1" applyAlignment="1">
      <alignment horizontal="center" vertical="center"/>
    </xf>
    <xf numFmtId="2" fontId="79" fillId="38" borderId="94" xfId="577" applyNumberFormat="1" applyFont="1" applyFill="1" applyBorder="1" applyAlignment="1">
      <alignment horizontal="center" vertical="center" wrapText="1"/>
    </xf>
    <xf numFmtId="2" fontId="0" fillId="0" borderId="94" xfId="0" applyNumberFormat="1" applyBorder="1" applyAlignment="1">
      <alignment horizontal="center" vertical="center"/>
    </xf>
    <xf numFmtId="2" fontId="65" fillId="36" borderId="94" xfId="577" applyNumberFormat="1" applyFont="1" applyFill="1" applyBorder="1" applyAlignment="1">
      <alignment horizontal="center" vertical="center" wrapText="1"/>
    </xf>
    <xf numFmtId="2" fontId="40" fillId="35" borderId="94" xfId="577" applyNumberFormat="1" applyFont="1" applyFill="1" applyBorder="1" applyAlignment="1">
      <alignment horizontal="left" vertical="center"/>
    </xf>
    <xf numFmtId="2" fontId="61" fillId="0" borderId="94" xfId="577" applyNumberFormat="1" applyFont="1" applyBorder="1" applyAlignment="1">
      <alignment horizontal="center" vertical="center"/>
    </xf>
    <xf numFmtId="0" fontId="31" fillId="11" borderId="18" xfId="0" applyFont="1" applyFill="1" applyBorder="1" applyAlignment="1" applyProtection="1">
      <alignment horizontal="center" vertical="center" wrapText="1"/>
      <protection locked="0" hidden="1"/>
    </xf>
    <xf numFmtId="0" fontId="38" fillId="0" borderId="94" xfId="577" applyBorder="1" applyAlignment="1">
      <alignment vertical="center"/>
    </xf>
    <xf numFmtId="0" fontId="0" fillId="0" borderId="18" xfId="0" applyBorder="1"/>
    <xf numFmtId="0" fontId="38" fillId="0" borderId="94" xfId="577" applyBorder="1" applyAlignment="1">
      <alignment horizontal="left" vertical="center"/>
    </xf>
    <xf numFmtId="171" fontId="1" fillId="0" borderId="52" xfId="0" quotePrefix="1" applyNumberFormat="1" applyFont="1" applyBorder="1" applyAlignment="1" applyProtection="1">
      <alignment vertical="top" wrapText="1"/>
      <protection locked="0" hidden="1"/>
    </xf>
    <xf numFmtId="0" fontId="34" fillId="0" borderId="0" xfId="0" applyFont="1" applyAlignment="1" applyProtection="1">
      <alignment horizontal="right" wrapText="1"/>
      <protection hidden="1"/>
    </xf>
    <xf numFmtId="0" fontId="33" fillId="0" borderId="0" xfId="0" applyFont="1" applyProtection="1">
      <protection hidden="1"/>
    </xf>
    <xf numFmtId="0" fontId="7" fillId="0" borderId="0" xfId="0" applyFont="1" applyProtection="1">
      <protection hidden="1"/>
    </xf>
    <xf numFmtId="0" fontId="7" fillId="0" borderId="0" xfId="0" applyFont="1" applyAlignment="1" applyProtection="1">
      <alignment vertical="center" wrapText="1"/>
      <protection hidden="1"/>
    </xf>
    <xf numFmtId="166" fontId="10" fillId="2" borderId="101" xfId="3" applyNumberFormat="1" applyFont="1" applyFill="1" applyBorder="1" applyAlignment="1" applyProtection="1">
      <alignment horizontal="left" vertical="center"/>
      <protection hidden="1"/>
    </xf>
    <xf numFmtId="0" fontId="16" fillId="2" borderId="102" xfId="3" applyFont="1" applyFill="1" applyBorder="1" applyAlignment="1" applyProtection="1">
      <alignment horizontal="center" vertical="center" wrapText="1"/>
      <protection hidden="1"/>
    </xf>
    <xf numFmtId="0" fontId="13" fillId="0" borderId="0" xfId="0" applyFont="1" applyProtection="1">
      <protection hidden="1"/>
    </xf>
    <xf numFmtId="166" fontId="4" fillId="3" borderId="103" xfId="0" applyNumberFormat="1" applyFont="1" applyFill="1" applyBorder="1" applyAlignment="1" applyProtection="1">
      <alignment horizontal="center" vertical="top"/>
      <protection hidden="1"/>
    </xf>
    <xf numFmtId="166" fontId="4" fillId="3" borderId="104" xfId="0" applyNumberFormat="1" applyFont="1" applyFill="1" applyBorder="1" applyAlignment="1" applyProtection="1">
      <alignment horizontal="center" vertical="top"/>
      <protection hidden="1"/>
    </xf>
    <xf numFmtId="166" fontId="6" fillId="0" borderId="103" xfId="0" applyNumberFormat="1" applyFont="1" applyBorder="1" applyAlignment="1" applyProtection="1">
      <alignment horizontal="center" vertical="top"/>
      <protection hidden="1"/>
    </xf>
    <xf numFmtId="0" fontId="6" fillId="0" borderId="37" xfId="0" applyFont="1" applyBorder="1" applyAlignment="1" applyProtection="1">
      <alignment horizontal="left" vertical="center" wrapText="1"/>
      <protection hidden="1"/>
    </xf>
    <xf numFmtId="0" fontId="6" fillId="0" borderId="31" xfId="0" applyFont="1" applyBorder="1" applyAlignment="1" applyProtection="1">
      <alignment horizontal="left" vertical="center" wrapText="1"/>
      <protection hidden="1"/>
    </xf>
    <xf numFmtId="166" fontId="6" fillId="0" borderId="105" xfId="0" applyNumberFormat="1" applyFont="1" applyBorder="1" applyAlignment="1" applyProtection="1">
      <alignment horizontal="center" vertical="top"/>
      <protection hidden="1"/>
    </xf>
    <xf numFmtId="166" fontId="20" fillId="7" borderId="103" xfId="0" applyNumberFormat="1" applyFont="1" applyFill="1" applyBorder="1" applyAlignment="1" applyProtection="1">
      <alignment horizontal="center" vertical="center"/>
      <protection hidden="1"/>
    </xf>
    <xf numFmtId="166" fontId="20" fillId="7" borderId="105" xfId="0" applyNumberFormat="1" applyFont="1" applyFill="1" applyBorder="1" applyAlignment="1" applyProtection="1">
      <alignment horizontal="center" vertical="center"/>
      <protection hidden="1"/>
    </xf>
    <xf numFmtId="0" fontId="7" fillId="7" borderId="0" xfId="0" applyFont="1" applyFill="1" applyProtection="1">
      <protection hidden="1"/>
    </xf>
    <xf numFmtId="166" fontId="6" fillId="0" borderId="103" xfId="0" applyNumberFormat="1" applyFont="1" applyBorder="1" applyAlignment="1" applyProtection="1">
      <alignment horizontal="center" vertical="center"/>
      <protection hidden="1"/>
    </xf>
    <xf numFmtId="166" fontId="6" fillId="0" borderId="105" xfId="0" applyNumberFormat="1" applyFont="1" applyBorder="1" applyAlignment="1" applyProtection="1">
      <alignment horizontal="center" vertical="center"/>
      <protection hidden="1"/>
    </xf>
    <xf numFmtId="0" fontId="7" fillId="0" borderId="0" xfId="0" applyFont="1" applyAlignment="1" applyProtection="1">
      <alignment vertical="center"/>
      <protection hidden="1"/>
    </xf>
    <xf numFmtId="166" fontId="3" fillId="2" borderId="106" xfId="0" applyNumberFormat="1" applyFont="1" applyFill="1" applyBorder="1" applyAlignment="1" applyProtection="1">
      <alignment horizontal="center" vertical="center"/>
      <protection hidden="1"/>
    </xf>
    <xf numFmtId="0" fontId="5" fillId="2" borderId="92" xfId="0" applyFont="1" applyFill="1" applyBorder="1" applyAlignment="1" applyProtection="1">
      <alignment horizontal="left" vertical="center" wrapText="1"/>
      <protection hidden="1"/>
    </xf>
    <xf numFmtId="0" fontId="20" fillId="2" borderId="92" xfId="0" applyFont="1" applyFill="1" applyBorder="1" applyAlignment="1" applyProtection="1">
      <alignment horizontal="center" vertical="center" wrapText="1"/>
      <protection hidden="1"/>
    </xf>
    <xf numFmtId="0" fontId="20" fillId="2" borderId="70" xfId="0" applyFont="1" applyFill="1" applyBorder="1" applyAlignment="1" applyProtection="1">
      <alignment horizontal="center" vertical="center" wrapText="1"/>
      <protection hidden="1"/>
    </xf>
    <xf numFmtId="0" fontId="7" fillId="0" borderId="0" xfId="0" applyFont="1" applyAlignment="1" applyProtection="1">
      <alignment wrapText="1"/>
      <protection hidden="1"/>
    </xf>
    <xf numFmtId="0" fontId="21" fillId="0" borderId="0" xfId="0" applyFont="1" applyAlignment="1" applyProtection="1">
      <alignment horizontal="center" wrapText="1"/>
      <protection hidden="1"/>
    </xf>
    <xf numFmtId="0" fontId="21" fillId="0" borderId="0" xfId="0" applyFont="1" applyAlignment="1" applyProtection="1">
      <alignment horizontal="center"/>
      <protection hidden="1"/>
    </xf>
    <xf numFmtId="9" fontId="77" fillId="37" borderId="94" xfId="577" applyNumberFormat="1" applyFont="1" applyFill="1" applyBorder="1" applyAlignment="1">
      <alignment horizontal="center" vertical="center"/>
    </xf>
    <xf numFmtId="171" fontId="1" fillId="0" borderId="7" xfId="0" quotePrefix="1" applyNumberFormat="1" applyFont="1" applyBorder="1" applyAlignment="1" applyProtection="1">
      <alignment vertical="top" wrapText="1"/>
      <protection locked="0" hidden="1"/>
    </xf>
    <xf numFmtId="2" fontId="33" fillId="36" borderId="94" xfId="577" applyNumberFormat="1" applyFont="1" applyFill="1" applyBorder="1" applyAlignment="1">
      <alignment horizontal="center" vertical="center"/>
    </xf>
    <xf numFmtId="44" fontId="77" fillId="37" borderId="94" xfId="577" applyNumberFormat="1" applyFont="1" applyFill="1" applyBorder="1" applyAlignment="1">
      <alignment horizontal="center" vertical="center"/>
    </xf>
    <xf numFmtId="0" fontId="81" fillId="0" borderId="7" xfId="0" quotePrefix="1" applyFont="1" applyBorder="1" applyAlignment="1" applyProtection="1">
      <alignment vertical="top" wrapText="1"/>
      <protection locked="0" hidden="1"/>
    </xf>
    <xf numFmtId="0" fontId="29" fillId="0" borderId="7" xfId="0" quotePrefix="1" applyFont="1" applyBorder="1" applyAlignment="1" applyProtection="1">
      <alignment vertical="top" wrapText="1"/>
      <protection locked="0" hidden="1"/>
    </xf>
    <xf numFmtId="0" fontId="6" fillId="0" borderId="7" xfId="0" quotePrefix="1" applyFont="1" applyBorder="1" applyAlignment="1" applyProtection="1">
      <alignment vertical="top" wrapText="1"/>
      <protection locked="0" hidden="1"/>
    </xf>
    <xf numFmtId="0" fontId="6" fillId="0" borderId="0" xfId="0" applyFont="1" applyAlignment="1" applyProtection="1">
      <alignment horizontal="left" wrapText="1"/>
      <protection locked="0" hidden="1"/>
    </xf>
    <xf numFmtId="0" fontId="6" fillId="0" borderId="37" xfId="0" applyFont="1" applyBorder="1" applyAlignment="1" applyProtection="1">
      <alignment horizontal="left" vertical="top" wrapText="1"/>
      <protection hidden="1"/>
    </xf>
    <xf numFmtId="0" fontId="6" fillId="0" borderId="31" xfId="0" applyFont="1" applyBorder="1" applyAlignment="1" applyProtection="1">
      <alignment horizontal="left" vertical="top" wrapText="1"/>
      <protection hidden="1"/>
    </xf>
    <xf numFmtId="0" fontId="23" fillId="0" borderId="0" xfId="0" applyFont="1" applyAlignment="1" applyProtection="1">
      <alignment horizontal="left" vertical="center" wrapText="1"/>
      <protection hidden="1"/>
    </xf>
    <xf numFmtId="165" fontId="31" fillId="19" borderId="17" xfId="2" applyFont="1" applyFill="1" applyBorder="1" applyAlignment="1" applyProtection="1">
      <alignment horizontal="center" vertical="center" wrapText="1"/>
      <protection locked="0" hidden="1"/>
    </xf>
    <xf numFmtId="0" fontId="6" fillId="0" borderId="52" xfId="0" quotePrefix="1" applyFont="1" applyBorder="1" applyAlignment="1" applyProtection="1">
      <alignment vertical="top" wrapText="1"/>
      <protection locked="0" hidden="1"/>
    </xf>
    <xf numFmtId="0" fontId="20" fillId="2" borderId="24" xfId="0" applyFont="1" applyFill="1" applyBorder="1" applyAlignment="1" applyProtection="1">
      <alignment horizontal="left" vertical="center" wrapText="1"/>
      <protection locked="0" hidden="1"/>
    </xf>
    <xf numFmtId="0" fontId="20" fillId="2" borderId="25" xfId="0" applyFont="1" applyFill="1" applyBorder="1" applyAlignment="1" applyProtection="1">
      <alignment horizontal="left" vertical="center" wrapText="1"/>
      <protection locked="0" hidden="1"/>
    </xf>
    <xf numFmtId="0" fontId="20" fillId="2" borderId="26" xfId="0" applyFont="1" applyFill="1" applyBorder="1" applyAlignment="1" applyProtection="1">
      <alignment horizontal="left" vertical="center" wrapText="1"/>
      <protection locked="0" hidden="1"/>
    </xf>
    <xf numFmtId="172" fontId="0" fillId="0" borderId="0" xfId="0" applyNumberFormat="1" applyAlignment="1" applyProtection="1">
      <alignment horizontal="left"/>
      <protection hidden="1"/>
    </xf>
    <xf numFmtId="0" fontId="0" fillId="10" borderId="0" xfId="0" applyFill="1" applyProtection="1">
      <protection hidden="1"/>
    </xf>
    <xf numFmtId="0" fontId="26" fillId="0" borderId="0" xfId="0" applyFont="1" applyProtection="1">
      <protection hidden="1"/>
    </xf>
    <xf numFmtId="44" fontId="2" fillId="10" borderId="17" xfId="0" applyNumberFormat="1" applyFont="1" applyFill="1" applyBorder="1" applyAlignment="1" applyProtection="1">
      <alignment horizontal="center"/>
      <protection hidden="1"/>
    </xf>
    <xf numFmtId="44" fontId="26" fillId="0" borderId="17" xfId="0" applyNumberFormat="1" applyFont="1" applyBorder="1" applyProtection="1">
      <protection hidden="1"/>
    </xf>
    <xf numFmtId="0" fontId="0" fillId="0" borderId="86" xfId="0" applyBorder="1" applyProtection="1">
      <protection hidden="1"/>
    </xf>
    <xf numFmtId="0" fontId="0" fillId="0" borderId="86" xfId="0" applyBorder="1" applyAlignment="1" applyProtection="1">
      <alignment horizontal="center"/>
      <protection hidden="1"/>
    </xf>
    <xf numFmtId="0" fontId="0" fillId="0" borderId="0" xfId="0" applyAlignment="1" applyProtection="1">
      <alignment horizontal="center"/>
      <protection hidden="1"/>
    </xf>
    <xf numFmtId="0" fontId="0" fillId="0" borderId="87" xfId="0" applyBorder="1" applyProtection="1">
      <protection hidden="1"/>
    </xf>
    <xf numFmtId="44" fontId="2" fillId="10" borderId="17" xfId="0" applyNumberFormat="1" applyFont="1" applyFill="1" applyBorder="1" applyProtection="1">
      <protection hidden="1"/>
    </xf>
    <xf numFmtId="0" fontId="0" fillId="0" borderId="0" xfId="0" applyAlignment="1" applyProtection="1">
      <alignment wrapText="1"/>
      <protection hidden="1"/>
    </xf>
    <xf numFmtId="44" fontId="0" fillId="0" borderId="17" xfId="0" applyNumberFormat="1" applyBorder="1" applyAlignment="1" applyProtection="1">
      <alignment wrapText="1"/>
      <protection hidden="1"/>
    </xf>
    <xf numFmtId="0" fontId="0" fillId="0" borderId="86" xfId="0" applyBorder="1" applyAlignment="1" applyProtection="1">
      <alignment wrapText="1"/>
      <protection hidden="1"/>
    </xf>
    <xf numFmtId="0" fontId="0" fillId="0" borderId="86" xfId="0" applyBorder="1" applyAlignment="1" applyProtection="1">
      <alignment horizontal="left" wrapText="1"/>
      <protection hidden="1"/>
    </xf>
    <xf numFmtId="44" fontId="0" fillId="0" borderId="86" xfId="0" applyNumberFormat="1" applyBorder="1" applyAlignment="1" applyProtection="1">
      <alignment wrapText="1"/>
      <protection hidden="1"/>
    </xf>
    <xf numFmtId="0" fontId="26" fillId="10" borderId="0" xfId="0" applyFont="1" applyFill="1" applyAlignment="1" applyProtection="1">
      <alignment vertical="center"/>
      <protection hidden="1"/>
    </xf>
    <xf numFmtId="0" fontId="67" fillId="10" borderId="0" xfId="0" applyFont="1" applyFill="1" applyAlignment="1" applyProtection="1">
      <alignment vertical="center"/>
      <protection hidden="1"/>
    </xf>
    <xf numFmtId="0" fontId="68" fillId="10" borderId="0" xfId="0" applyFont="1" applyFill="1" applyAlignment="1" applyProtection="1">
      <alignment vertical="center"/>
      <protection hidden="1"/>
    </xf>
    <xf numFmtId="0" fontId="0" fillId="10" borderId="86" xfId="0" applyFill="1" applyBorder="1" applyProtection="1">
      <protection hidden="1"/>
    </xf>
    <xf numFmtId="44" fontId="0" fillId="0" borderId="0" xfId="0" applyNumberFormat="1" applyProtection="1">
      <protection hidden="1"/>
    </xf>
    <xf numFmtId="0" fontId="63" fillId="0" borderId="0" xfId="0" applyFont="1" applyProtection="1">
      <protection locked="0" hidden="1"/>
    </xf>
    <xf numFmtId="0" fontId="0" fillId="0" borderId="0" xfId="0" applyAlignment="1" applyProtection="1">
      <alignment vertical="center" wrapText="1"/>
      <protection hidden="1"/>
    </xf>
    <xf numFmtId="166" fontId="10" fillId="2" borderId="107" xfId="3" applyNumberFormat="1" applyFont="1" applyFill="1" applyBorder="1" applyAlignment="1" applyProtection="1">
      <alignment horizontal="left" vertical="center"/>
      <protection hidden="1"/>
    </xf>
    <xf numFmtId="166" fontId="32" fillId="0" borderId="103" xfId="0" applyNumberFormat="1" applyFont="1" applyBorder="1" applyAlignment="1" applyProtection="1">
      <alignment horizontal="center" vertical="top"/>
      <protection hidden="1"/>
    </xf>
    <xf numFmtId="0" fontId="6" fillId="0" borderId="45" xfId="0" applyFont="1" applyBorder="1" applyAlignment="1" applyProtection="1">
      <alignment horizontal="left" vertical="top" wrapText="1"/>
      <protection hidden="1"/>
    </xf>
    <xf numFmtId="166" fontId="32" fillId="0" borderId="103" xfId="0" applyNumberFormat="1" applyFont="1" applyBorder="1" applyAlignment="1" applyProtection="1">
      <alignment horizontal="center" vertical="top" wrapText="1"/>
      <protection hidden="1"/>
    </xf>
    <xf numFmtId="0" fontId="6" fillId="0" borderId="17" xfId="0" applyFont="1" applyBorder="1" applyAlignment="1" applyProtection="1">
      <alignment horizontal="left" vertical="top" wrapText="1"/>
      <protection hidden="1"/>
    </xf>
    <xf numFmtId="10" fontId="6" fillId="10" borderId="17" xfId="0" applyNumberFormat="1" applyFont="1" applyFill="1" applyBorder="1" applyAlignment="1" applyProtection="1">
      <alignment horizontal="center" vertical="center" wrapText="1"/>
      <protection hidden="1"/>
    </xf>
    <xf numFmtId="0" fontId="31" fillId="11" borderId="17" xfId="0" applyFont="1" applyFill="1" applyBorder="1" applyAlignment="1" applyProtection="1">
      <alignment horizontal="center" vertical="top" wrapText="1"/>
      <protection hidden="1"/>
    </xf>
    <xf numFmtId="0" fontId="3" fillId="11" borderId="17" xfId="0" applyFont="1" applyFill="1" applyBorder="1" applyAlignment="1" applyProtection="1">
      <alignment horizontal="center" vertical="top" wrapText="1"/>
      <protection hidden="1"/>
    </xf>
    <xf numFmtId="0" fontId="31" fillId="13" borderId="17" xfId="0" applyFont="1" applyFill="1" applyBorder="1" applyAlignment="1" applyProtection="1">
      <alignment horizontal="left" vertical="top" wrapText="1"/>
      <protection hidden="1"/>
    </xf>
    <xf numFmtId="9" fontId="31" fillId="13" borderId="17" xfId="406" applyFont="1" applyFill="1" applyBorder="1" applyAlignment="1" applyProtection="1">
      <alignment horizontal="left" vertical="top" wrapText="1"/>
      <protection hidden="1"/>
    </xf>
    <xf numFmtId="0" fontId="31" fillId="13" borderId="17" xfId="0" applyFont="1" applyFill="1" applyBorder="1" applyAlignment="1" applyProtection="1">
      <alignment horizontal="center" vertical="top" wrapText="1"/>
      <protection hidden="1"/>
    </xf>
    <xf numFmtId="0" fontId="0" fillId="0" borderId="17" xfId="0" applyBorder="1" applyAlignment="1" applyProtection="1">
      <alignment wrapText="1"/>
      <protection hidden="1"/>
    </xf>
    <xf numFmtId="9" fontId="0" fillId="0" borderId="17" xfId="406" applyFont="1" applyFill="1" applyBorder="1" applyAlignment="1" applyProtection="1">
      <alignment wrapText="1"/>
      <protection hidden="1"/>
    </xf>
    <xf numFmtId="0" fontId="17" fillId="0" borderId="17" xfId="0" applyFont="1" applyBorder="1" applyAlignment="1" applyProtection="1">
      <alignment horizontal="center" vertical="top" wrapText="1"/>
      <protection hidden="1"/>
    </xf>
    <xf numFmtId="44" fontId="17" fillId="0" borderId="17" xfId="485" applyFont="1" applyBorder="1" applyAlignment="1" applyProtection="1">
      <alignment horizontal="center" vertical="top" wrapText="1"/>
      <protection hidden="1"/>
    </xf>
    <xf numFmtId="9" fontId="0" fillId="0" borderId="17" xfId="406" applyFont="1" applyBorder="1" applyAlignment="1" applyProtection="1">
      <alignment wrapText="1"/>
      <protection hidden="1"/>
    </xf>
    <xf numFmtId="0" fontId="0" fillId="0" borderId="17" xfId="0" applyBorder="1" applyAlignment="1" applyProtection="1">
      <alignment vertical="center" wrapText="1"/>
      <protection hidden="1"/>
    </xf>
    <xf numFmtId="9" fontId="0" fillId="10" borderId="17" xfId="406" applyFont="1" applyFill="1" applyBorder="1" applyAlignment="1" applyProtection="1">
      <alignment vertical="center" wrapText="1"/>
      <protection hidden="1"/>
    </xf>
    <xf numFmtId="0" fontId="17" fillId="0" borderId="17" xfId="0" applyFont="1" applyBorder="1" applyAlignment="1" applyProtection="1">
      <alignment horizontal="center" vertical="center" wrapText="1"/>
      <protection hidden="1"/>
    </xf>
    <xf numFmtId="44" fontId="17" fillId="0" borderId="17" xfId="485" applyFont="1" applyBorder="1" applyAlignment="1" applyProtection="1">
      <alignment horizontal="center" vertical="center" wrapText="1"/>
      <protection hidden="1"/>
    </xf>
    <xf numFmtId="0" fontId="6" fillId="0" borderId="48" xfId="0" applyFont="1" applyBorder="1" applyAlignment="1" applyProtection="1">
      <alignment horizontal="left" vertical="top" wrapText="1"/>
      <protection hidden="1"/>
    </xf>
    <xf numFmtId="0" fontId="6" fillId="0" borderId="47" xfId="0" applyFont="1" applyBorder="1" applyAlignment="1" applyProtection="1">
      <alignment horizontal="left" vertical="top" wrapText="1"/>
      <protection hidden="1"/>
    </xf>
    <xf numFmtId="0" fontId="6" fillId="0" borderId="46" xfId="0" applyFont="1" applyBorder="1" applyAlignment="1" applyProtection="1">
      <alignment horizontal="left" vertical="top" wrapText="1"/>
      <protection hidden="1"/>
    </xf>
    <xf numFmtId="44" fontId="17" fillId="10" borderId="17" xfId="0" applyNumberFormat="1" applyFont="1" applyFill="1" applyBorder="1" applyAlignment="1" applyProtection="1">
      <alignment horizontal="left" vertical="top" wrapText="1"/>
      <protection hidden="1"/>
    </xf>
    <xf numFmtId="0" fontId="17" fillId="0" borderId="0" xfId="0" applyFont="1" applyProtection="1">
      <protection hidden="1"/>
    </xf>
    <xf numFmtId="166" fontId="6" fillId="0" borderId="85" xfId="0" applyNumberFormat="1" applyFont="1" applyBorder="1" applyAlignment="1" applyProtection="1">
      <alignment horizontal="center" vertical="top"/>
      <protection hidden="1"/>
    </xf>
    <xf numFmtId="166" fontId="6" fillId="0" borderId="108" xfId="0" applyNumberFormat="1" applyFont="1" applyBorder="1" applyAlignment="1" applyProtection="1">
      <alignment horizontal="center" vertical="top"/>
      <protection hidden="1"/>
    </xf>
    <xf numFmtId="44" fontId="0" fillId="0" borderId="17" xfId="485" applyFont="1" applyFill="1" applyBorder="1" applyAlignment="1" applyProtection="1">
      <alignment horizontal="center"/>
      <protection hidden="1"/>
    </xf>
    <xf numFmtId="49" fontId="13" fillId="0" borderId="0" xfId="0" applyNumberFormat="1" applyFont="1" applyAlignment="1" applyProtection="1">
      <alignment horizontal="center" vertical="center"/>
      <protection locked="0" hidden="1"/>
    </xf>
    <xf numFmtId="49" fontId="13" fillId="0" borderId="34" xfId="0" applyNumberFormat="1" applyFont="1" applyBorder="1" applyAlignment="1" applyProtection="1">
      <alignment horizontal="center" vertical="center"/>
      <protection locked="0" hidden="1"/>
    </xf>
    <xf numFmtId="166" fontId="10" fillId="2" borderId="10" xfId="3" applyNumberFormat="1" applyFont="1" applyFill="1" applyBorder="1" applyAlignment="1" applyProtection="1">
      <alignment horizontal="center" vertical="center"/>
      <protection locked="0" hidden="1"/>
    </xf>
    <xf numFmtId="2" fontId="12" fillId="2" borderId="11" xfId="3" applyNumberFormat="1" applyFont="1" applyFill="1" applyBorder="1" applyAlignment="1" applyProtection="1">
      <alignment horizontal="center" vertical="center" wrapText="1"/>
      <protection locked="0" hidden="1"/>
    </xf>
    <xf numFmtId="0" fontId="12" fillId="2" borderId="11" xfId="3" applyFont="1" applyFill="1" applyBorder="1" applyAlignment="1" applyProtection="1">
      <alignment horizontal="center" vertical="center" wrapText="1"/>
      <protection locked="0" hidden="1"/>
    </xf>
    <xf numFmtId="44" fontId="12" fillId="2" borderId="11" xfId="485" applyFont="1" applyFill="1" applyBorder="1" applyAlignment="1" applyProtection="1">
      <alignment horizontal="center" vertical="center" wrapText="1"/>
      <protection locked="0" hidden="1"/>
    </xf>
    <xf numFmtId="168" fontId="12" fillId="2" borderId="12" xfId="3" applyNumberFormat="1" applyFont="1" applyFill="1" applyBorder="1" applyAlignment="1" applyProtection="1">
      <alignment horizontal="center" vertical="center"/>
      <protection locked="0" hidden="1"/>
    </xf>
    <xf numFmtId="0" fontId="13" fillId="0" borderId="0" xfId="0" applyFont="1" applyAlignment="1" applyProtection="1">
      <alignment vertical="center"/>
      <protection locked="0" hidden="1"/>
    </xf>
    <xf numFmtId="2" fontId="13" fillId="0" borderId="0" xfId="0" applyNumberFormat="1" applyFont="1" applyAlignment="1" applyProtection="1">
      <alignment horizontal="center" vertical="center"/>
      <protection locked="0" hidden="1"/>
    </xf>
    <xf numFmtId="44" fontId="13" fillId="0" borderId="0" xfId="485" applyFont="1" applyAlignment="1" applyProtection="1">
      <alignment horizontal="center" vertical="center"/>
      <protection locked="0" hidden="1"/>
    </xf>
    <xf numFmtId="49" fontId="52" fillId="23" borderId="82" xfId="0" applyNumberFormat="1" applyFont="1" applyFill="1" applyBorder="1" applyAlignment="1" applyProtection="1">
      <alignment horizontal="center" vertical="center" wrapText="1"/>
      <protection locked="0" hidden="1"/>
    </xf>
    <xf numFmtId="49" fontId="52" fillId="23" borderId="83" xfId="0" applyNumberFormat="1" applyFont="1" applyFill="1" applyBorder="1" applyAlignment="1" applyProtection="1">
      <alignment horizontal="center" vertical="center" wrapText="1"/>
      <protection locked="0" hidden="1"/>
    </xf>
    <xf numFmtId="166" fontId="10" fillId="3" borderId="0" xfId="4" applyNumberFormat="1" applyFont="1" applyFill="1" applyBorder="1" applyAlignment="1" applyProtection="1">
      <alignment horizontal="center" vertical="center"/>
      <protection locked="0" hidden="1"/>
    </xf>
    <xf numFmtId="0" fontId="10" fillId="3" borderId="0" xfId="4" applyFont="1" applyFill="1" applyBorder="1" applyAlignment="1" applyProtection="1">
      <alignment horizontal="center" vertical="center" wrapText="1"/>
      <protection locked="0" hidden="1"/>
    </xf>
    <xf numFmtId="2" fontId="10" fillId="3" borderId="0" xfId="4" applyNumberFormat="1" applyFont="1" applyFill="1" applyBorder="1" applyAlignment="1" applyProtection="1">
      <alignment horizontal="center" vertical="center" wrapText="1"/>
      <protection locked="0" hidden="1"/>
    </xf>
    <xf numFmtId="44" fontId="10" fillId="18" borderId="0" xfId="485" applyFont="1" applyFill="1" applyAlignment="1" applyProtection="1">
      <alignment horizontal="center" vertical="center" wrapText="1"/>
      <protection locked="0" hidden="1"/>
    </xf>
    <xf numFmtId="44" fontId="10" fillId="3" borderId="0" xfId="485" applyFont="1" applyFill="1" applyAlignment="1" applyProtection="1">
      <alignment horizontal="center" vertical="center" wrapText="1"/>
      <protection locked="0" hidden="1"/>
    </xf>
    <xf numFmtId="167" fontId="10" fillId="3" borderId="0" xfId="4" applyNumberFormat="1" applyFont="1" applyFill="1" applyBorder="1" applyAlignment="1" applyProtection="1">
      <alignment horizontal="center" vertical="center"/>
      <protection locked="0" hidden="1"/>
    </xf>
    <xf numFmtId="167" fontId="10" fillId="3" borderId="17" xfId="4" applyNumberFormat="1" applyFont="1" applyFill="1" applyBorder="1" applyAlignment="1" applyProtection="1">
      <alignment horizontal="center" vertical="center"/>
      <protection locked="0" hidden="1"/>
    </xf>
    <xf numFmtId="2" fontId="10" fillId="3" borderId="91" xfId="4" applyNumberFormat="1" applyFont="1" applyFill="1" applyBorder="1" applyAlignment="1" applyProtection="1">
      <alignment horizontal="center" vertical="center"/>
      <protection locked="0" hidden="1"/>
    </xf>
    <xf numFmtId="44" fontId="10" fillId="3" borderId="91" xfId="485" applyFont="1" applyFill="1" applyBorder="1" applyAlignment="1" applyProtection="1">
      <alignment horizontal="center" vertical="center"/>
      <protection locked="0" hidden="1"/>
    </xf>
    <xf numFmtId="167" fontId="10" fillId="3" borderId="91" xfId="4" applyNumberFormat="1" applyFont="1" applyFill="1" applyBorder="1" applyAlignment="1" applyProtection="1">
      <alignment horizontal="center" vertical="center"/>
      <protection locked="0" hidden="1"/>
    </xf>
    <xf numFmtId="0" fontId="11" fillId="0" borderId="0" xfId="0" applyFont="1" applyAlignment="1" applyProtection="1">
      <alignment vertical="center"/>
      <protection locked="0" hidden="1"/>
    </xf>
    <xf numFmtId="49" fontId="1" fillId="24" borderId="17" xfId="0" applyNumberFormat="1" applyFont="1" applyFill="1" applyBorder="1" applyAlignment="1" applyProtection="1">
      <alignment horizontal="center" vertical="center" wrapText="1"/>
      <protection locked="0" hidden="1"/>
    </xf>
    <xf numFmtId="49" fontId="1" fillId="24" borderId="84" xfId="0" applyNumberFormat="1" applyFont="1" applyFill="1" applyBorder="1" applyAlignment="1" applyProtection="1">
      <alignment horizontal="center" vertical="center" wrapText="1"/>
      <protection locked="0" hidden="1"/>
    </xf>
    <xf numFmtId="2" fontId="18" fillId="7" borderId="40" xfId="0" applyNumberFormat="1" applyFont="1" applyFill="1" applyBorder="1" applyAlignment="1" applyProtection="1">
      <alignment horizontal="center" vertical="center" wrapText="1"/>
      <protection locked="0" hidden="1"/>
    </xf>
    <xf numFmtId="0" fontId="18" fillId="7" borderId="17" xfId="0" applyFont="1" applyFill="1" applyBorder="1" applyAlignment="1" applyProtection="1">
      <alignment vertical="center" wrapText="1"/>
      <protection locked="0" hidden="1"/>
    </xf>
    <xf numFmtId="2" fontId="6" fillId="7" borderId="17" xfId="0" applyNumberFormat="1" applyFont="1" applyFill="1" applyBorder="1" applyAlignment="1" applyProtection="1">
      <alignment horizontal="center" vertical="center" wrapText="1"/>
      <protection locked="0" hidden="1"/>
    </xf>
    <xf numFmtId="165" fontId="6" fillId="7" borderId="18" xfId="0" applyNumberFormat="1" applyFont="1" applyFill="1" applyBorder="1" applyAlignment="1" applyProtection="1">
      <alignment horizontal="center" vertical="center" wrapText="1"/>
      <protection locked="0" hidden="1"/>
    </xf>
    <xf numFmtId="44" fontId="6" fillId="7" borderId="17" xfId="485" applyFont="1" applyFill="1" applyBorder="1" applyAlignment="1" applyProtection="1">
      <alignment horizontal="center" vertical="center" wrapText="1"/>
      <protection locked="0" hidden="1"/>
    </xf>
    <xf numFmtId="44" fontId="18" fillId="7" borderId="17" xfId="0" applyNumberFormat="1" applyFont="1" applyFill="1" applyBorder="1" applyAlignment="1" applyProtection="1">
      <alignment horizontal="center" vertical="center" wrapText="1"/>
      <protection locked="0" hidden="1"/>
    </xf>
    <xf numFmtId="44" fontId="6" fillId="7" borderId="18" xfId="0" applyNumberFormat="1" applyFont="1" applyFill="1" applyBorder="1" applyAlignment="1" applyProtection="1">
      <alignment vertical="center"/>
      <protection locked="0" hidden="1"/>
    </xf>
    <xf numFmtId="2" fontId="6" fillId="7" borderId="54" xfId="0" applyNumberFormat="1" applyFont="1" applyFill="1" applyBorder="1" applyAlignment="1" applyProtection="1">
      <alignment horizontal="center"/>
      <protection locked="0" hidden="1"/>
    </xf>
    <xf numFmtId="44" fontId="6" fillId="7" borderId="54" xfId="485" applyFont="1" applyFill="1" applyBorder="1" applyAlignment="1" applyProtection="1">
      <alignment horizontal="center"/>
      <protection locked="0" hidden="1"/>
    </xf>
    <xf numFmtId="0" fontId="6" fillId="7" borderId="54" xfId="0" applyFont="1" applyFill="1" applyBorder="1" applyProtection="1">
      <protection locked="0" hidden="1"/>
    </xf>
    <xf numFmtId="44" fontId="18" fillId="7" borderId="54" xfId="0" applyNumberFormat="1" applyFont="1" applyFill="1" applyBorder="1" applyAlignment="1" applyProtection="1">
      <alignment horizontal="center" vertical="center" wrapText="1"/>
      <protection locked="0" hidden="1"/>
    </xf>
    <xf numFmtId="0" fontId="6" fillId="0" borderId="0" xfId="0" applyFont="1" applyAlignment="1" applyProtection="1">
      <alignment vertical="center"/>
      <protection locked="0" hidden="1"/>
    </xf>
    <xf numFmtId="49" fontId="6" fillId="0" borderId="17" xfId="0" applyNumberFormat="1" applyFont="1" applyBorder="1" applyAlignment="1" applyProtection="1">
      <alignment horizontal="center" vertical="center"/>
      <protection locked="0" hidden="1"/>
    </xf>
    <xf numFmtId="49" fontId="6" fillId="0" borderId="84" xfId="0" applyNumberFormat="1" applyFont="1" applyBorder="1" applyAlignment="1" applyProtection="1">
      <alignment horizontal="center" vertical="center"/>
      <protection locked="0" hidden="1"/>
    </xf>
    <xf numFmtId="2" fontId="6" fillId="0" borderId="40" xfId="0" applyNumberFormat="1" applyFont="1" applyBorder="1" applyAlignment="1" applyProtection="1">
      <alignment horizontal="center" vertical="center" wrapText="1"/>
      <protection locked="0" hidden="1"/>
    </xf>
    <xf numFmtId="0" fontId="6" fillId="0" borderId="17" xfId="0" applyFont="1" applyBorder="1" applyAlignment="1" applyProtection="1">
      <alignment horizontal="left" vertical="center" wrapText="1"/>
      <protection locked="0" hidden="1"/>
    </xf>
    <xf numFmtId="2" fontId="6" fillId="0" borderId="17" xfId="0" applyNumberFormat="1" applyFont="1" applyBorder="1" applyAlignment="1" applyProtection="1">
      <alignment horizontal="center" vertical="center" wrapText="1"/>
      <protection locked="0" hidden="1"/>
    </xf>
    <xf numFmtId="0" fontId="6" fillId="0" borderId="17" xfId="0" applyFont="1" applyBorder="1" applyAlignment="1" applyProtection="1">
      <alignment horizontal="center" vertical="center" wrapText="1"/>
      <protection locked="0" hidden="1"/>
    </xf>
    <xf numFmtId="44" fontId="6" fillId="0" borderId="17" xfId="485" applyFont="1" applyBorder="1" applyAlignment="1" applyProtection="1">
      <alignment horizontal="center" vertical="center" wrapText="1"/>
      <protection locked="0" hidden="1"/>
    </xf>
    <xf numFmtId="44" fontId="6" fillId="0" borderId="17" xfId="0" applyNumberFormat="1" applyFont="1" applyBorder="1" applyAlignment="1" applyProtection="1">
      <alignment horizontal="left" vertical="center" wrapText="1"/>
      <protection locked="0" hidden="1"/>
    </xf>
    <xf numFmtId="167" fontId="6" fillId="0" borderId="17" xfId="0" applyNumberFormat="1" applyFont="1" applyBorder="1" applyAlignment="1" applyProtection="1">
      <alignment horizontal="center" vertical="center"/>
      <protection locked="0" hidden="1"/>
    </xf>
    <xf numFmtId="171" fontId="18" fillId="0" borderId="17" xfId="2" applyNumberFormat="1" applyFont="1" applyFill="1" applyBorder="1" applyAlignment="1" applyProtection="1">
      <alignment horizontal="center" vertical="center" wrapText="1"/>
      <protection locked="0" hidden="1"/>
    </xf>
    <xf numFmtId="2" fontId="11" fillId="0" borderId="17" xfId="0" applyNumberFormat="1" applyFont="1" applyBorder="1" applyAlignment="1" applyProtection="1">
      <alignment horizontal="center"/>
      <protection locked="0" hidden="1"/>
    </xf>
    <xf numFmtId="44" fontId="1" fillId="0" borderId="17" xfId="485" applyFont="1" applyBorder="1" applyAlignment="1" applyProtection="1">
      <alignment horizontal="center"/>
      <protection locked="0" hidden="1"/>
    </xf>
    <xf numFmtId="44" fontId="11" fillId="0" borderId="17" xfId="0" applyNumberFormat="1" applyFont="1" applyBorder="1" applyProtection="1">
      <protection locked="0" hidden="1"/>
    </xf>
    <xf numFmtId="44" fontId="1" fillId="0" borderId="17" xfId="0" applyNumberFormat="1" applyFont="1" applyBorder="1" applyProtection="1">
      <protection locked="0" hidden="1"/>
    </xf>
    <xf numFmtId="44" fontId="6" fillId="0" borderId="0" xfId="0" applyNumberFormat="1" applyFont="1" applyAlignment="1" applyProtection="1">
      <alignment vertical="center"/>
      <protection locked="0" hidden="1"/>
    </xf>
    <xf numFmtId="44" fontId="11" fillId="0" borderId="17" xfId="485" applyFont="1" applyBorder="1" applyAlignment="1" applyProtection="1">
      <alignment horizontal="center"/>
      <protection locked="0" hidden="1"/>
    </xf>
    <xf numFmtId="0" fontId="11" fillId="0" borderId="0" xfId="0" applyFont="1" applyProtection="1">
      <protection locked="0" hidden="1"/>
    </xf>
    <xf numFmtId="49" fontId="1" fillId="0" borderId="84" xfId="0" applyNumberFormat="1" applyFont="1" applyBorder="1" applyAlignment="1" applyProtection="1">
      <alignment horizontal="center"/>
      <protection locked="0" hidden="1"/>
    </xf>
    <xf numFmtId="166" fontId="18" fillId="7" borderId="40" xfId="0" applyNumberFormat="1" applyFont="1" applyFill="1" applyBorder="1" applyAlignment="1" applyProtection="1">
      <alignment horizontal="center" vertical="center"/>
      <protection locked="0" hidden="1"/>
    </xf>
    <xf numFmtId="0" fontId="6" fillId="7" borderId="17" xfId="0" applyFont="1" applyFill="1" applyBorder="1" applyProtection="1">
      <protection locked="0" hidden="1"/>
    </xf>
    <xf numFmtId="49" fontId="1" fillId="0" borderId="17" xfId="0" applyNumberFormat="1" applyFont="1" applyBorder="1" applyAlignment="1" applyProtection="1">
      <alignment horizontal="center"/>
      <protection locked="0" hidden="1"/>
    </xf>
    <xf numFmtId="9" fontId="11" fillId="0" borderId="0" xfId="406" applyFont="1" applyProtection="1">
      <protection locked="0" hidden="1"/>
    </xf>
    <xf numFmtId="166" fontId="18" fillId="7" borderId="40" xfId="0" applyNumberFormat="1" applyFont="1" applyFill="1" applyBorder="1" applyAlignment="1" applyProtection="1">
      <alignment horizontal="center" vertical="center" wrapText="1"/>
      <protection locked="0" hidden="1"/>
    </xf>
    <xf numFmtId="0" fontId="5" fillId="6" borderId="22" xfId="0" applyFont="1" applyFill="1" applyBorder="1" applyAlignment="1" applyProtection="1">
      <alignment horizontal="left" vertical="center" wrapText="1"/>
      <protection locked="0" hidden="1"/>
    </xf>
    <xf numFmtId="0" fontId="5" fillId="6" borderId="40" xfId="0" applyFont="1" applyFill="1" applyBorder="1" applyAlignment="1" applyProtection="1">
      <alignment horizontal="left" vertical="center" wrapText="1"/>
      <protection locked="0" hidden="1"/>
    </xf>
    <xf numFmtId="9" fontId="4" fillId="6" borderId="17" xfId="406" applyFont="1" applyFill="1" applyBorder="1" applyAlignment="1" applyProtection="1">
      <alignment horizontal="center" vertical="center" wrapText="1"/>
      <protection locked="0" hidden="1"/>
    </xf>
    <xf numFmtId="9" fontId="4" fillId="6" borderId="18" xfId="0" applyNumberFormat="1" applyFont="1" applyFill="1" applyBorder="1" applyAlignment="1" applyProtection="1">
      <alignment horizontal="center" vertical="center" wrapText="1"/>
      <protection locked="0" hidden="1"/>
    </xf>
    <xf numFmtId="9" fontId="4" fillId="6" borderId="22" xfId="0" applyNumberFormat="1" applyFont="1" applyFill="1" applyBorder="1" applyAlignment="1" applyProtection="1">
      <alignment horizontal="center" vertical="center" wrapText="1"/>
      <protection locked="0" hidden="1"/>
    </xf>
    <xf numFmtId="167" fontId="5" fillId="6" borderId="17" xfId="0" applyNumberFormat="1" applyFont="1" applyFill="1" applyBorder="1" applyAlignment="1" applyProtection="1">
      <alignment horizontal="center" vertical="center"/>
      <protection locked="0" hidden="1"/>
    </xf>
    <xf numFmtId="0" fontId="6" fillId="0" borderId="0" xfId="0" applyFont="1" applyAlignment="1" applyProtection="1">
      <alignment vertical="center" wrapText="1"/>
      <protection locked="0" hidden="1"/>
    </xf>
    <xf numFmtId="2" fontId="2" fillId="7" borderId="17" xfId="0" applyNumberFormat="1" applyFont="1" applyFill="1" applyBorder="1" applyAlignment="1" applyProtection="1">
      <alignment horizontal="center" vertical="center"/>
      <protection locked="0" hidden="1"/>
    </xf>
    <xf numFmtId="44" fontId="2" fillId="7" borderId="17" xfId="485" applyFont="1" applyFill="1" applyBorder="1" applyAlignment="1" applyProtection="1">
      <alignment horizontal="center" vertical="center"/>
      <protection locked="0" hidden="1"/>
    </xf>
    <xf numFmtId="169" fontId="2" fillId="7" borderId="17" xfId="0" applyNumberFormat="1" applyFont="1" applyFill="1" applyBorder="1" applyAlignment="1" applyProtection="1">
      <alignment vertical="center"/>
      <protection locked="0" hidden="1"/>
    </xf>
    <xf numFmtId="49" fontId="1" fillId="0" borderId="17" xfId="0" applyNumberFormat="1" applyFont="1" applyBorder="1" applyAlignment="1" applyProtection="1">
      <alignment horizontal="center" vertical="center"/>
      <protection locked="0" hidden="1"/>
    </xf>
    <xf numFmtId="49" fontId="1" fillId="0" borderId="84" xfId="0" applyNumberFormat="1" applyFont="1" applyBorder="1" applyAlignment="1" applyProtection="1">
      <alignment horizontal="center" vertical="center"/>
      <protection locked="0" hidden="1"/>
    </xf>
    <xf numFmtId="2" fontId="0" fillId="0" borderId="0" xfId="0" applyNumberFormat="1" applyAlignment="1" applyProtection="1">
      <alignment horizontal="center" vertical="center"/>
      <protection locked="0" hidden="1"/>
    </xf>
    <xf numFmtId="49" fontId="1" fillId="0" borderId="0" xfId="0" applyNumberFormat="1" applyFont="1" applyAlignment="1" applyProtection="1">
      <alignment horizontal="center" vertical="center"/>
      <protection locked="0" hidden="1"/>
    </xf>
    <xf numFmtId="0" fontId="8" fillId="2" borderId="20" xfId="3" applyFill="1" applyBorder="1" applyAlignment="1" applyProtection="1">
      <alignment vertical="center"/>
      <protection locked="0" hidden="1"/>
    </xf>
    <xf numFmtId="0" fontId="8" fillId="2" borderId="21" xfId="3" applyFill="1" applyBorder="1" applyAlignment="1" applyProtection="1">
      <alignment vertical="center"/>
      <protection locked="0" hidden="1"/>
    </xf>
    <xf numFmtId="44" fontId="8" fillId="2" borderId="17" xfId="3" applyNumberFormat="1" applyFill="1" applyBorder="1" applyAlignment="1" applyProtection="1">
      <alignment horizontal="center" vertical="center"/>
      <protection locked="0" hidden="1"/>
    </xf>
    <xf numFmtId="169" fontId="6" fillId="7" borderId="18" xfId="0" applyNumberFormat="1" applyFont="1" applyFill="1" applyBorder="1" applyAlignment="1" applyProtection="1">
      <alignment vertical="center"/>
      <protection locked="0" hidden="1"/>
    </xf>
    <xf numFmtId="0" fontId="0" fillId="0" borderId="17" xfId="0" applyBorder="1" applyAlignment="1" applyProtection="1">
      <alignment vertical="center"/>
      <protection locked="0" hidden="1"/>
    </xf>
    <xf numFmtId="49" fontId="0" fillId="0" borderId="0" xfId="0" applyNumberFormat="1" applyAlignment="1" applyProtection="1">
      <alignment horizontal="center" vertical="center"/>
      <protection locked="0" hidden="1"/>
    </xf>
    <xf numFmtId="169" fontId="0" fillId="0" borderId="0" xfId="0" applyNumberFormat="1" applyAlignment="1" applyProtection="1">
      <alignment vertical="center"/>
      <protection locked="0" hidden="1"/>
    </xf>
    <xf numFmtId="166" fontId="0" fillId="0" borderId="0" xfId="0" applyNumberFormat="1" applyAlignment="1" applyProtection="1">
      <alignment horizontal="center" vertical="center"/>
      <protection locked="0" hidden="1"/>
    </xf>
    <xf numFmtId="0" fontId="0" fillId="0" borderId="0" xfId="0" applyAlignment="1" applyProtection="1">
      <alignment horizontal="center" vertical="center"/>
      <protection locked="0" hidden="1"/>
    </xf>
    <xf numFmtId="167" fontId="0" fillId="0" borderId="0" xfId="0" applyNumberFormat="1" applyAlignment="1" applyProtection="1">
      <alignment horizontal="center" vertical="center"/>
      <protection locked="0" hidden="1"/>
    </xf>
    <xf numFmtId="0" fontId="70" fillId="0" borderId="0" xfId="0" applyFont="1" applyAlignment="1" applyProtection="1">
      <alignment horizontal="center" vertical="center"/>
      <protection hidden="1"/>
    </xf>
    <xf numFmtId="165" fontId="0" fillId="0" borderId="0" xfId="2" applyFont="1" applyBorder="1" applyAlignment="1" applyProtection="1">
      <alignment horizontal="center" wrapText="1"/>
      <protection hidden="1"/>
    </xf>
    <xf numFmtId="0" fontId="2" fillId="10" borderId="17" xfId="0" applyFont="1" applyFill="1" applyBorder="1" applyAlignment="1" applyProtection="1">
      <alignment horizontal="center"/>
      <protection hidden="1"/>
    </xf>
    <xf numFmtId="0" fontId="0" fillId="0" borderId="17" xfId="0" applyBorder="1" applyAlignment="1" applyProtection="1">
      <alignment horizontal="left" wrapText="1"/>
      <protection hidden="1"/>
    </xf>
    <xf numFmtId="0" fontId="26" fillId="0" borderId="17" xfId="0" applyFont="1" applyBorder="1" applyAlignment="1" applyProtection="1">
      <alignment horizontal="center"/>
      <protection hidden="1"/>
    </xf>
    <xf numFmtId="0" fontId="0" fillId="0" borderId="0" xfId="0" applyAlignment="1" applyProtection="1">
      <alignment horizontal="left" wrapText="1"/>
      <protection hidden="1"/>
    </xf>
    <xf numFmtId="0" fontId="2" fillId="0" borderId="0" xfId="0" applyFont="1" applyAlignment="1" applyProtection="1">
      <alignment horizontal="left"/>
      <protection hidden="1"/>
    </xf>
    <xf numFmtId="0" fontId="82" fillId="0" borderId="0" xfId="0" applyFont="1" applyAlignment="1" applyProtection="1">
      <alignment horizontal="left" wrapText="1"/>
      <protection hidden="1"/>
    </xf>
    <xf numFmtId="0" fontId="6" fillId="0" borderId="37" xfId="0" applyFont="1" applyBorder="1" applyAlignment="1" applyProtection="1">
      <alignment horizontal="left" vertical="top" wrapText="1"/>
      <protection hidden="1"/>
    </xf>
    <xf numFmtId="0" fontId="6" fillId="0" borderId="31" xfId="0" applyFont="1" applyBorder="1" applyAlignment="1" applyProtection="1">
      <alignment horizontal="left" vertical="top" wrapText="1"/>
      <protection hidden="1"/>
    </xf>
    <xf numFmtId="0" fontId="4" fillId="0" borderId="37" xfId="0" applyFont="1" applyBorder="1" applyAlignment="1" applyProtection="1">
      <alignment horizontal="left" vertical="top" wrapText="1"/>
      <protection hidden="1"/>
    </xf>
    <xf numFmtId="0" fontId="4" fillId="0" borderId="31" xfId="0" applyFont="1" applyBorder="1" applyAlignment="1" applyProtection="1">
      <alignment horizontal="left" vertical="top" wrapText="1"/>
      <protection hidden="1"/>
    </xf>
    <xf numFmtId="0" fontId="6" fillId="0" borderId="37" xfId="0" applyFont="1" applyBorder="1" applyAlignment="1" applyProtection="1">
      <alignment horizontal="left" vertical="center" wrapText="1"/>
      <protection hidden="1"/>
    </xf>
    <xf numFmtId="0" fontId="6" fillId="0" borderId="31" xfId="0" applyFont="1" applyBorder="1" applyAlignment="1" applyProtection="1">
      <alignment horizontal="left" vertical="center" wrapText="1"/>
      <protection hidden="1"/>
    </xf>
    <xf numFmtId="0" fontId="23" fillId="0" borderId="0" xfId="0" applyFont="1" applyAlignment="1" applyProtection="1">
      <alignment horizontal="left" vertical="center" wrapText="1"/>
      <protection hidden="1"/>
    </xf>
    <xf numFmtId="0" fontId="7" fillId="0" borderId="0" xfId="0" applyFont="1" applyAlignment="1" applyProtection="1">
      <alignment horizontal="center"/>
      <protection hidden="1"/>
    </xf>
    <xf numFmtId="0" fontId="4" fillId="7" borderId="37" xfId="0" applyFont="1" applyFill="1" applyBorder="1" applyAlignment="1" applyProtection="1">
      <alignment horizontal="center" vertical="center" wrapText="1"/>
      <protection hidden="1"/>
    </xf>
    <xf numFmtId="0" fontId="4" fillId="7" borderId="31" xfId="0" applyFont="1" applyFill="1" applyBorder="1" applyAlignment="1" applyProtection="1">
      <alignment horizontal="center" vertical="center" wrapText="1"/>
      <protection hidden="1"/>
    </xf>
    <xf numFmtId="0" fontId="4" fillId="0" borderId="38" xfId="0" applyFont="1" applyBorder="1" applyAlignment="1" applyProtection="1">
      <alignment horizontal="left" vertical="top" wrapText="1"/>
      <protection hidden="1"/>
    </xf>
    <xf numFmtId="0" fontId="4" fillId="0" borderId="39" xfId="0" applyFont="1" applyBorder="1" applyAlignment="1" applyProtection="1">
      <alignment horizontal="left" vertical="top" wrapText="1"/>
      <protection hidden="1"/>
    </xf>
    <xf numFmtId="0" fontId="33" fillId="0" borderId="55" xfId="0" applyFont="1" applyBorder="1" applyAlignment="1" applyProtection="1">
      <alignment horizontal="center"/>
      <protection hidden="1"/>
    </xf>
    <xf numFmtId="0" fontId="33" fillId="0" borderId="97" xfId="0" applyFont="1" applyBorder="1" applyAlignment="1" applyProtection="1">
      <alignment horizontal="center"/>
      <protection hidden="1"/>
    </xf>
    <xf numFmtId="0" fontId="33" fillId="0" borderId="58" xfId="0" applyFont="1" applyBorder="1" applyAlignment="1" applyProtection="1">
      <alignment horizontal="center"/>
      <protection hidden="1"/>
    </xf>
    <xf numFmtId="0" fontId="33" fillId="0" borderId="34" xfId="0" applyFont="1" applyBorder="1" applyAlignment="1" applyProtection="1">
      <alignment horizontal="center"/>
      <protection hidden="1"/>
    </xf>
    <xf numFmtId="0" fontId="33" fillId="0" borderId="99" xfId="0" applyFont="1" applyBorder="1" applyAlignment="1" applyProtection="1">
      <alignment horizontal="center"/>
      <protection hidden="1"/>
    </xf>
    <xf numFmtId="0" fontId="33" fillId="0" borderId="13" xfId="0" applyFont="1" applyBorder="1" applyAlignment="1" applyProtection="1">
      <alignment horizontal="center"/>
      <protection hidden="1"/>
    </xf>
    <xf numFmtId="0" fontId="34" fillId="0" borderId="98" xfId="0" applyFont="1" applyBorder="1" applyAlignment="1" applyProtection="1">
      <alignment horizontal="right" wrapText="1"/>
      <protection hidden="1"/>
    </xf>
    <xf numFmtId="0" fontId="34" fillId="0" borderId="57" xfId="0" applyFont="1" applyBorder="1" applyAlignment="1" applyProtection="1">
      <alignment horizontal="right" wrapText="1"/>
      <protection hidden="1"/>
    </xf>
    <xf numFmtId="0" fontId="34" fillId="0" borderId="19" xfId="0" applyFont="1" applyBorder="1" applyAlignment="1" applyProtection="1">
      <alignment horizontal="right" wrapText="1"/>
      <protection hidden="1"/>
    </xf>
    <xf numFmtId="0" fontId="34" fillId="0" borderId="59" xfId="0" applyFont="1" applyBorder="1" applyAlignment="1" applyProtection="1">
      <alignment horizontal="right" wrapText="1"/>
      <protection hidden="1"/>
    </xf>
    <xf numFmtId="0" fontId="34" fillId="0" borderId="32" xfId="0" applyFont="1" applyBorder="1" applyAlignment="1" applyProtection="1">
      <alignment horizontal="right" wrapText="1"/>
      <protection hidden="1"/>
    </xf>
    <xf numFmtId="0" fontId="34" fillId="0" borderId="100" xfId="0" applyFont="1" applyBorder="1" applyAlignment="1" applyProtection="1">
      <alignment horizontal="right" wrapText="1"/>
      <protection hidden="1"/>
    </xf>
    <xf numFmtId="0" fontId="12" fillId="2" borderId="15" xfId="3" applyFont="1" applyFill="1" applyBorder="1" applyAlignment="1" applyProtection="1">
      <alignment horizontal="center" vertical="center" wrapText="1"/>
      <protection hidden="1"/>
    </xf>
    <xf numFmtId="0" fontId="35" fillId="3" borderId="35" xfId="0" applyFont="1" applyFill="1" applyBorder="1" applyAlignment="1" applyProtection="1">
      <alignment horizontal="center" vertical="center" wrapText="1"/>
      <protection hidden="1"/>
    </xf>
    <xf numFmtId="0" fontId="35" fillId="3" borderId="36" xfId="0" applyFont="1" applyFill="1" applyBorder="1" applyAlignment="1" applyProtection="1">
      <alignment horizontal="center" vertical="center" wrapText="1"/>
      <protection hidden="1"/>
    </xf>
    <xf numFmtId="0" fontId="17" fillId="0" borderId="37" xfId="0" applyFont="1" applyBorder="1" applyAlignment="1" applyProtection="1">
      <alignment horizontal="left" vertical="top" wrapText="1"/>
      <protection hidden="1"/>
    </xf>
    <xf numFmtId="0" fontId="17" fillId="0" borderId="45" xfId="0" applyFont="1" applyBorder="1" applyAlignment="1" applyProtection="1">
      <alignment horizontal="left" vertical="top" wrapText="1"/>
      <protection hidden="1"/>
    </xf>
    <xf numFmtId="0" fontId="6" fillId="0" borderId="45" xfId="0" applyFont="1" applyBorder="1" applyAlignment="1" applyProtection="1">
      <alignment horizontal="left" vertical="top" wrapText="1"/>
      <protection hidden="1"/>
    </xf>
    <xf numFmtId="0" fontId="4" fillId="0" borderId="45" xfId="0" applyFont="1" applyBorder="1" applyAlignment="1" applyProtection="1">
      <alignment horizontal="left" vertical="top" wrapText="1"/>
      <protection hidden="1"/>
    </xf>
    <xf numFmtId="0" fontId="0" fillId="0" borderId="18" xfId="0" applyBorder="1" applyAlignment="1" applyProtection="1">
      <alignment horizontal="center"/>
      <protection hidden="1"/>
    </xf>
    <xf numFmtId="0" fontId="0" fillId="0" borderId="22" xfId="0" applyBorder="1" applyAlignment="1" applyProtection="1">
      <alignment horizontal="center"/>
      <protection hidden="1"/>
    </xf>
    <xf numFmtId="0" fontId="0" fillId="0" borderId="40" xfId="0" applyBorder="1" applyAlignment="1" applyProtection="1">
      <alignment horizontal="center"/>
      <protection hidden="1"/>
    </xf>
    <xf numFmtId="0" fontId="31" fillId="11" borderId="18" xfId="0" applyFont="1" applyFill="1" applyBorder="1" applyAlignment="1" applyProtection="1">
      <alignment horizontal="center" vertical="top" wrapText="1"/>
      <protection hidden="1"/>
    </xf>
    <xf numFmtId="0" fontId="31" fillId="11" borderId="22" xfId="0" applyFont="1" applyFill="1" applyBorder="1" applyAlignment="1" applyProtection="1">
      <alignment horizontal="center" vertical="top" wrapText="1"/>
      <protection hidden="1"/>
    </xf>
    <xf numFmtId="0" fontId="31" fillId="11" borderId="40" xfId="0" applyFont="1" applyFill="1" applyBorder="1" applyAlignment="1" applyProtection="1">
      <alignment horizontal="center" vertical="top" wrapText="1"/>
      <protection hidden="1"/>
    </xf>
    <xf numFmtId="0" fontId="17" fillId="0" borderId="48" xfId="0" applyFont="1" applyBorder="1" applyAlignment="1" applyProtection="1">
      <alignment horizontal="left" vertical="top" wrapText="1"/>
      <protection hidden="1"/>
    </xf>
    <xf numFmtId="0" fontId="17" fillId="0" borderId="47" xfId="0" applyFont="1" applyBorder="1" applyAlignment="1" applyProtection="1">
      <alignment horizontal="left" vertical="top" wrapText="1"/>
      <protection hidden="1"/>
    </xf>
    <xf numFmtId="0" fontId="17" fillId="0" borderId="46" xfId="0" applyFont="1" applyBorder="1" applyAlignment="1" applyProtection="1">
      <alignment horizontal="left" vertical="top" wrapText="1"/>
      <protection hidden="1"/>
    </xf>
    <xf numFmtId="0" fontId="6" fillId="0" borderId="17" xfId="0" applyFont="1" applyBorder="1" applyAlignment="1" applyProtection="1">
      <alignment horizontal="left" vertical="top" wrapText="1"/>
      <protection hidden="1"/>
    </xf>
    <xf numFmtId="0" fontId="59" fillId="0" borderId="37" xfId="0" applyFont="1" applyBorder="1" applyAlignment="1" applyProtection="1">
      <alignment horizontal="left" vertical="top" wrapText="1"/>
      <protection hidden="1"/>
    </xf>
    <xf numFmtId="0" fontId="59" fillId="0" borderId="45" xfId="0" applyFont="1" applyBorder="1" applyAlignment="1" applyProtection="1">
      <alignment horizontal="left" vertical="top" wrapText="1"/>
      <protection hidden="1"/>
    </xf>
    <xf numFmtId="0" fontId="59" fillId="0" borderId="31" xfId="0" applyFont="1" applyBorder="1" applyAlignment="1" applyProtection="1">
      <alignment horizontal="left" vertical="top" wrapText="1"/>
      <protection hidden="1"/>
    </xf>
    <xf numFmtId="0" fontId="0" fillId="0" borderId="0" xfId="0" applyAlignment="1" applyProtection="1">
      <alignment horizontal="center"/>
      <protection hidden="1"/>
    </xf>
    <xf numFmtId="0" fontId="46" fillId="0" borderId="0" xfId="0" applyFont="1" applyAlignment="1" applyProtection="1">
      <alignment horizontal="left" vertical="center" wrapText="1"/>
      <protection hidden="1"/>
    </xf>
    <xf numFmtId="0" fontId="47" fillId="0" borderId="37" xfId="0" applyFont="1" applyBorder="1" applyAlignment="1" applyProtection="1">
      <alignment horizontal="left" vertical="top" wrapText="1"/>
      <protection hidden="1"/>
    </xf>
    <xf numFmtId="0" fontId="4" fillId="0" borderId="41" xfId="0" applyFont="1" applyBorder="1" applyAlignment="1" applyProtection="1">
      <alignment horizontal="left" vertical="top" wrapText="1"/>
      <protection hidden="1"/>
    </xf>
    <xf numFmtId="0" fontId="17" fillId="10" borderId="18" xfId="0" applyFont="1" applyFill="1" applyBorder="1" applyAlignment="1" applyProtection="1">
      <alignment horizontal="left" vertical="top" wrapText="1"/>
      <protection hidden="1"/>
    </xf>
    <xf numFmtId="0" fontId="17" fillId="10" borderId="22" xfId="0" applyFont="1" applyFill="1" applyBorder="1" applyAlignment="1" applyProtection="1">
      <alignment horizontal="left" vertical="top" wrapText="1"/>
      <protection hidden="1"/>
    </xf>
    <xf numFmtId="0" fontId="17" fillId="10" borderId="40" xfId="0" applyFont="1" applyFill="1" applyBorder="1" applyAlignment="1" applyProtection="1">
      <alignment horizontal="left" vertical="top" wrapText="1"/>
      <protection hidden="1"/>
    </xf>
    <xf numFmtId="0" fontId="12" fillId="2" borderId="11" xfId="3" applyFont="1" applyFill="1" applyBorder="1" applyAlignment="1" applyProtection="1">
      <alignment horizontal="left" vertical="center" wrapText="1"/>
      <protection hidden="1"/>
    </xf>
    <xf numFmtId="0" fontId="12" fillId="2" borderId="15" xfId="3" applyFont="1" applyFill="1" applyBorder="1" applyAlignment="1" applyProtection="1">
      <alignment horizontal="left" vertical="center" wrapText="1"/>
      <protection hidden="1"/>
    </xf>
    <xf numFmtId="0" fontId="34" fillId="0" borderId="56" xfId="0" applyFont="1" applyBorder="1" applyAlignment="1" applyProtection="1">
      <alignment horizontal="right" wrapText="1"/>
      <protection hidden="1"/>
    </xf>
    <xf numFmtId="0" fontId="34" fillId="0" borderId="0" xfId="0" applyFont="1" applyAlignment="1" applyProtection="1">
      <alignment horizontal="right" wrapText="1"/>
      <protection hidden="1"/>
    </xf>
    <xf numFmtId="0" fontId="34" fillId="0" borderId="25" xfId="0" applyFont="1" applyBorder="1" applyAlignment="1" applyProtection="1">
      <alignment horizontal="right" wrapText="1"/>
      <protection hidden="1"/>
    </xf>
    <xf numFmtId="0" fontId="32" fillId="0" borderId="85" xfId="0" applyFont="1" applyBorder="1" applyAlignment="1" applyProtection="1">
      <alignment horizontal="left" vertical="center" wrapText="1"/>
      <protection hidden="1"/>
    </xf>
    <xf numFmtId="0" fontId="32" fillId="0" borderId="31" xfId="0" applyFont="1" applyBorder="1" applyAlignment="1" applyProtection="1">
      <alignment horizontal="left" vertical="center" wrapText="1"/>
      <protection hidden="1"/>
    </xf>
    <xf numFmtId="0" fontId="0" fillId="0" borderId="18" xfId="0" applyBorder="1" applyAlignment="1">
      <alignment horizontal="center" vertical="center"/>
    </xf>
    <xf numFmtId="0" fontId="0" fillId="0" borderId="22" xfId="0" applyBorder="1" applyAlignment="1">
      <alignment horizontal="center" vertical="center"/>
    </xf>
    <xf numFmtId="0" fontId="0" fillId="0" borderId="40" xfId="0" applyBorder="1" applyAlignment="1">
      <alignment horizontal="center" vertical="center"/>
    </xf>
    <xf numFmtId="0" fontId="5" fillId="6" borderId="22" xfId="0" applyFont="1" applyFill="1" applyBorder="1" applyAlignment="1" applyProtection="1">
      <alignment horizontal="left" vertical="center" wrapText="1"/>
      <protection locked="0" hidden="1"/>
    </xf>
    <xf numFmtId="0" fontId="5" fillId="6" borderId="40" xfId="0" applyFont="1" applyFill="1" applyBorder="1" applyAlignment="1" applyProtection="1">
      <alignment horizontal="left" vertical="center" wrapText="1"/>
      <protection locked="0" hidden="1"/>
    </xf>
    <xf numFmtId="166" fontId="10" fillId="2" borderId="14" xfId="3" applyNumberFormat="1" applyFont="1" applyFill="1" applyBorder="1" applyAlignment="1" applyProtection="1">
      <alignment horizontal="center" vertical="center"/>
      <protection locked="0" hidden="1"/>
    </xf>
    <xf numFmtId="166" fontId="10" fillId="2" borderId="15" xfId="3" applyNumberFormat="1" applyFont="1" applyFill="1" applyBorder="1" applyAlignment="1" applyProtection="1">
      <alignment horizontal="center" vertical="center"/>
      <protection locked="0" hidden="1"/>
    </xf>
    <xf numFmtId="166" fontId="10" fillId="2" borderId="16" xfId="3" applyNumberFormat="1" applyFont="1" applyFill="1" applyBorder="1" applyAlignment="1" applyProtection="1">
      <alignment horizontal="center" vertical="center"/>
      <protection locked="0" hidden="1"/>
    </xf>
    <xf numFmtId="167" fontId="10" fillId="12" borderId="60" xfId="4" applyNumberFormat="1" applyFont="1" applyFill="1" applyBorder="1" applyAlignment="1" applyProtection="1">
      <alignment horizontal="center" vertical="center"/>
      <protection locked="0" hidden="1"/>
    </xf>
    <xf numFmtId="167" fontId="10" fillId="12" borderId="61" xfId="4" applyNumberFormat="1" applyFont="1" applyFill="1" applyBorder="1" applyAlignment="1" applyProtection="1">
      <alignment horizontal="center" vertical="center"/>
      <protection locked="0" hidden="1"/>
    </xf>
    <xf numFmtId="49" fontId="51" fillId="22" borderId="76" xfId="0" applyNumberFormat="1" applyFont="1" applyFill="1" applyBorder="1" applyAlignment="1" applyProtection="1">
      <alignment horizontal="center" vertical="center" wrapText="1"/>
      <protection locked="0" hidden="1"/>
    </xf>
    <xf numFmtId="49" fontId="51" fillId="22" borderId="77" xfId="0" applyNumberFormat="1" applyFont="1" applyFill="1" applyBorder="1" applyAlignment="1" applyProtection="1">
      <alignment horizontal="center" vertical="center" wrapText="1"/>
      <protection locked="0" hidden="1"/>
    </xf>
    <xf numFmtId="49" fontId="51" fillId="22" borderId="78" xfId="0" applyNumberFormat="1" applyFont="1" applyFill="1" applyBorder="1" applyAlignment="1" applyProtection="1">
      <alignment horizontal="center" vertical="center" wrapText="1"/>
      <protection locked="0" hidden="1"/>
    </xf>
    <xf numFmtId="0" fontId="16" fillId="2" borderId="90" xfId="3" applyFont="1" applyFill="1" applyBorder="1" applyAlignment="1" applyProtection="1">
      <alignment horizontal="center" vertical="center" wrapText="1"/>
      <protection locked="0" hidden="1"/>
    </xf>
    <xf numFmtId="0" fontId="16" fillId="2" borderId="91" xfId="3" applyFont="1" applyFill="1" applyBorder="1" applyAlignment="1" applyProtection="1">
      <alignment horizontal="center" vertical="center" wrapText="1"/>
      <protection locked="0" hidden="1"/>
    </xf>
    <xf numFmtId="0" fontId="61" fillId="0" borderId="18" xfId="577" applyFont="1" applyBorder="1" applyAlignment="1">
      <alignment horizontal="center"/>
    </xf>
    <xf numFmtId="0" fontId="61" fillId="0" borderId="22" xfId="577" applyFont="1" applyBorder="1" applyAlignment="1">
      <alignment horizontal="center"/>
    </xf>
    <xf numFmtId="0" fontId="61" fillId="0" borderId="40" xfId="577" applyFont="1" applyBorder="1" applyAlignment="1">
      <alignment horizontal="center"/>
    </xf>
    <xf numFmtId="0" fontId="42" fillId="16" borderId="0" xfId="577" applyFont="1" applyFill="1" applyAlignment="1">
      <alignment horizontal="center" vertical="center" wrapText="1"/>
    </xf>
    <xf numFmtId="0" fontId="33" fillId="0" borderId="0" xfId="577" applyFont="1"/>
    <xf numFmtId="0" fontId="38" fillId="0" borderId="0" xfId="577"/>
    <xf numFmtId="0" fontId="33" fillId="0" borderId="51" xfId="577" applyFont="1" applyBorder="1"/>
    <xf numFmtId="0" fontId="44" fillId="0" borderId="0" xfId="577" applyFont="1" applyAlignment="1">
      <alignment horizontal="center" wrapText="1"/>
    </xf>
    <xf numFmtId="14" fontId="38" fillId="0" borderId="0" xfId="577" applyNumberFormat="1" applyAlignment="1">
      <alignment horizontal="center"/>
    </xf>
    <xf numFmtId="0" fontId="40" fillId="14" borderId="17" xfId="577" applyFont="1" applyFill="1" applyBorder="1" applyAlignment="1">
      <alignment horizontal="center"/>
    </xf>
    <xf numFmtId="0" fontId="20" fillId="2" borderId="24" xfId="0" applyFont="1" applyFill="1" applyBorder="1" applyAlignment="1" applyProtection="1">
      <alignment horizontal="left" vertical="center" wrapText="1"/>
      <protection locked="0" hidden="1"/>
    </xf>
    <xf numFmtId="0" fontId="20" fillId="2" borderId="25" xfId="0" applyFont="1" applyFill="1" applyBorder="1" applyAlignment="1" applyProtection="1">
      <alignment horizontal="left" vertical="center" wrapText="1"/>
      <protection locked="0" hidden="1"/>
    </xf>
    <xf numFmtId="0" fontId="20" fillId="2" borderId="26" xfId="0" applyFont="1" applyFill="1" applyBorder="1" applyAlignment="1" applyProtection="1">
      <alignment horizontal="left" vertical="center" wrapText="1"/>
      <protection locked="0" hidden="1"/>
    </xf>
    <xf numFmtId="44" fontId="16" fillId="3" borderId="17" xfId="4" applyNumberFormat="1" applyFont="1" applyFill="1" applyBorder="1" applyAlignment="1" applyProtection="1">
      <alignment horizontal="center" vertical="top"/>
      <protection locked="0" hidden="1"/>
    </xf>
    <xf numFmtId="44" fontId="16" fillId="3" borderId="18" xfId="4" applyNumberFormat="1" applyFont="1" applyFill="1" applyBorder="1" applyAlignment="1" applyProtection="1">
      <alignment horizontal="center" vertical="top"/>
      <protection locked="0" hidden="1"/>
    </xf>
    <xf numFmtId="44" fontId="16" fillId="3" borderId="22" xfId="4" applyNumberFormat="1" applyFont="1" applyFill="1" applyBorder="1" applyAlignment="1" applyProtection="1">
      <alignment horizontal="center" vertical="top"/>
      <protection locked="0" hidden="1"/>
    </xf>
    <xf numFmtId="44" fontId="16" fillId="3" borderId="40" xfId="4" applyNumberFormat="1" applyFont="1" applyFill="1" applyBorder="1" applyAlignment="1" applyProtection="1">
      <alignment horizontal="center" vertical="top"/>
      <protection locked="0" hidden="1"/>
    </xf>
    <xf numFmtId="0" fontId="16" fillId="3" borderId="18" xfId="4" applyFont="1" applyFill="1" applyBorder="1" applyAlignment="1" applyProtection="1">
      <alignment horizontal="center" vertical="top" wrapText="1"/>
      <protection locked="0" hidden="1"/>
    </xf>
    <xf numFmtId="0" fontId="16" fillId="3" borderId="22" xfId="4" applyFont="1" applyFill="1" applyBorder="1" applyAlignment="1" applyProtection="1">
      <alignment horizontal="center" vertical="top" wrapText="1"/>
      <protection locked="0" hidden="1"/>
    </xf>
    <xf numFmtId="0" fontId="16" fillId="3" borderId="40" xfId="4" applyFont="1" applyFill="1" applyBorder="1" applyAlignment="1" applyProtection="1">
      <alignment horizontal="center" vertical="top" wrapText="1"/>
      <protection locked="0" hidden="1"/>
    </xf>
    <xf numFmtId="165" fontId="19" fillId="4" borderId="56" xfId="2" applyFont="1" applyFill="1" applyBorder="1" applyAlignment="1" applyProtection="1">
      <alignment horizontal="center" vertical="center" wrapText="1"/>
      <protection locked="0" hidden="1"/>
    </xf>
    <xf numFmtId="165" fontId="19" fillId="4" borderId="0" xfId="2" applyFont="1" applyFill="1" applyBorder="1" applyAlignment="1" applyProtection="1">
      <alignment horizontal="center" vertical="center" wrapText="1"/>
      <protection locked="0" hidden="1"/>
    </xf>
    <xf numFmtId="165" fontId="19" fillId="4" borderId="61" xfId="2" applyFont="1" applyFill="1" applyBorder="1" applyAlignment="1" applyProtection="1">
      <alignment horizontal="center" vertical="center" wrapText="1"/>
      <protection locked="0" hidden="1"/>
    </xf>
    <xf numFmtId="165" fontId="19" fillId="4" borderId="66" xfId="2" applyFont="1" applyFill="1" applyBorder="1" applyAlignment="1" applyProtection="1">
      <alignment horizontal="center" vertical="center" wrapText="1"/>
      <protection locked="0" hidden="1"/>
    </xf>
    <xf numFmtId="165" fontId="19" fillId="4" borderId="74" xfId="2" applyFont="1" applyFill="1" applyBorder="1" applyAlignment="1" applyProtection="1">
      <alignment horizontal="center" vertical="center" wrapText="1"/>
      <protection locked="0" hidden="1"/>
    </xf>
    <xf numFmtId="165" fontId="19" fillId="4" borderId="67" xfId="2" applyFont="1" applyFill="1" applyBorder="1" applyAlignment="1" applyProtection="1">
      <alignment horizontal="center" vertical="center" wrapText="1"/>
      <protection locked="0" hidden="1"/>
    </xf>
    <xf numFmtId="2" fontId="16" fillId="2" borderId="56" xfId="2" applyNumberFormat="1" applyFont="1" applyFill="1" applyBorder="1" applyAlignment="1" applyProtection="1">
      <alignment horizontal="center" vertical="center"/>
      <protection locked="0" hidden="1"/>
    </xf>
    <xf numFmtId="2" fontId="16" fillId="2" borderId="0" xfId="2" applyNumberFormat="1" applyFont="1" applyFill="1" applyBorder="1" applyAlignment="1" applyProtection="1">
      <alignment horizontal="center" vertical="center"/>
      <protection locked="0" hidden="1"/>
    </xf>
    <xf numFmtId="2" fontId="16" fillId="2" borderId="61" xfId="2" applyNumberFormat="1" applyFont="1" applyFill="1" applyBorder="1" applyAlignment="1" applyProtection="1">
      <alignment horizontal="center" vertical="center"/>
      <protection locked="0" hidden="1"/>
    </xf>
    <xf numFmtId="2" fontId="16" fillId="2" borderId="55" xfId="2" applyNumberFormat="1" applyFont="1" applyFill="1" applyBorder="1" applyAlignment="1" applyProtection="1">
      <alignment horizontal="center" vertical="center"/>
      <protection locked="0" hidden="1"/>
    </xf>
    <xf numFmtId="2" fontId="16" fillId="2" borderId="58" xfId="2" applyNumberFormat="1" applyFont="1" applyFill="1" applyBorder="1" applyAlignment="1" applyProtection="1">
      <alignment horizontal="center" vertical="center"/>
      <protection locked="0" hidden="1"/>
    </xf>
    <xf numFmtId="2" fontId="16" fillId="2" borderId="60" xfId="2" applyNumberFormat="1" applyFont="1" applyFill="1" applyBorder="1" applyAlignment="1" applyProtection="1">
      <alignment horizontal="center" vertical="center"/>
      <protection locked="0" hidden="1"/>
    </xf>
    <xf numFmtId="165" fontId="19" fillId="4" borderId="64" xfId="2" applyFont="1" applyFill="1" applyBorder="1" applyAlignment="1" applyProtection="1">
      <alignment horizontal="center" vertical="center" wrapText="1"/>
      <protection locked="0" hidden="1"/>
    </xf>
    <xf numFmtId="165" fontId="19" fillId="4" borderId="73" xfId="2" applyFont="1" applyFill="1" applyBorder="1" applyAlignment="1" applyProtection="1">
      <alignment horizontal="center" vertical="center" wrapText="1"/>
      <protection locked="0" hidden="1"/>
    </xf>
    <xf numFmtId="165" fontId="19" fillId="4" borderId="65" xfId="2" applyFont="1" applyFill="1" applyBorder="1" applyAlignment="1" applyProtection="1">
      <alignment horizontal="center" vertical="center" wrapText="1"/>
      <protection locked="0" hidden="1"/>
    </xf>
    <xf numFmtId="165" fontId="19" fillId="4" borderId="68" xfId="2" applyFont="1" applyFill="1" applyBorder="1" applyAlignment="1" applyProtection="1">
      <alignment horizontal="center" vertical="center" wrapText="1"/>
      <protection locked="0" hidden="1"/>
    </xf>
    <xf numFmtId="165" fontId="19" fillId="4" borderId="75" xfId="2" applyFont="1" applyFill="1" applyBorder="1" applyAlignment="1" applyProtection="1">
      <alignment horizontal="center" vertical="center" wrapText="1"/>
      <protection locked="0" hidden="1"/>
    </xf>
    <xf numFmtId="165" fontId="19" fillId="4" borderId="69" xfId="2" applyFont="1" applyFill="1" applyBorder="1" applyAlignment="1" applyProtection="1">
      <alignment horizontal="center" vertical="center" wrapText="1"/>
      <protection locked="0" hidden="1"/>
    </xf>
    <xf numFmtId="0" fontId="16" fillId="21" borderId="18" xfId="4" applyFont="1" applyFill="1" applyBorder="1" applyAlignment="1" applyProtection="1">
      <alignment horizontal="center" vertical="top" wrapText="1"/>
      <protection locked="0" hidden="1"/>
    </xf>
    <xf numFmtId="0" fontId="16" fillId="21" borderId="22" xfId="4" applyFont="1" applyFill="1" applyBorder="1" applyAlignment="1" applyProtection="1">
      <alignment horizontal="center" vertical="top" wrapText="1"/>
      <protection locked="0" hidden="1"/>
    </xf>
    <xf numFmtId="0" fontId="16" fillId="21" borderId="40" xfId="4" applyFont="1" applyFill="1" applyBorder="1" applyAlignment="1" applyProtection="1">
      <alignment horizontal="center" vertical="top" wrapText="1"/>
      <protection locked="0" hidden="1"/>
    </xf>
    <xf numFmtId="0" fontId="79" fillId="38" borderId="95" xfId="577" applyFont="1" applyFill="1" applyBorder="1" applyAlignment="1">
      <alignment horizontal="center" vertical="center"/>
    </xf>
    <xf numFmtId="0" fontId="79" fillId="38" borderId="96" xfId="577" applyFont="1" applyFill="1" applyBorder="1" applyAlignment="1">
      <alignment horizontal="center" vertical="center"/>
    </xf>
    <xf numFmtId="44" fontId="0" fillId="0" borderId="0" xfId="485" applyFont="1" applyAlignment="1" applyProtection="1">
      <alignment horizontal="center"/>
      <protection locked="0" hidden="1"/>
    </xf>
    <xf numFmtId="0" fontId="0" fillId="0" borderId="0" xfId="0" applyAlignment="1" applyProtection="1">
      <alignment horizontal="center"/>
      <protection locked="0" hidden="1"/>
    </xf>
    <xf numFmtId="0" fontId="65" fillId="38" borderId="95" xfId="577" applyFont="1" applyFill="1" applyBorder="1" applyAlignment="1">
      <alignment horizontal="center" vertical="center"/>
    </xf>
    <xf numFmtId="0" fontId="65" fillId="38" borderId="96" xfId="577" applyFont="1" applyFill="1" applyBorder="1" applyAlignment="1">
      <alignment horizontal="center" vertical="center"/>
    </xf>
    <xf numFmtId="0" fontId="61" fillId="0" borderId="17" xfId="577" applyFont="1" applyBorder="1" applyAlignment="1">
      <alignment horizontal="center"/>
    </xf>
    <xf numFmtId="170" fontId="75" fillId="30" borderId="17" xfId="577" applyNumberFormat="1" applyFont="1" applyFill="1" applyBorder="1" applyAlignment="1">
      <alignment horizontal="center" vertical="center" wrapText="1"/>
    </xf>
    <xf numFmtId="0" fontId="79" fillId="16" borderId="17" xfId="577" applyFont="1" applyFill="1" applyBorder="1" applyAlignment="1">
      <alignment horizontal="center" vertical="center" wrapText="1"/>
    </xf>
    <xf numFmtId="0" fontId="33" fillId="0" borderId="17" xfId="577" applyFont="1" applyBorder="1"/>
    <xf numFmtId="0" fontId="44" fillId="32" borderId="40" xfId="577" applyFont="1" applyFill="1" applyBorder="1" applyAlignment="1">
      <alignment horizontal="center" wrapText="1"/>
    </xf>
    <xf numFmtId="0" fontId="38" fillId="32" borderId="17" xfId="577" applyFill="1" applyBorder="1"/>
    <xf numFmtId="0" fontId="38" fillId="32" borderId="40" xfId="577" applyFill="1" applyBorder="1"/>
    <xf numFmtId="0" fontId="44" fillId="29" borderId="53" xfId="577" applyFont="1" applyFill="1" applyBorder="1" applyAlignment="1">
      <alignment horizontal="center" vertical="center" wrapText="1"/>
    </xf>
    <xf numFmtId="0" fontId="44" fillId="29" borderId="93" xfId="577" applyFont="1" applyFill="1" applyBorder="1" applyAlignment="1">
      <alignment horizontal="center" vertical="center" wrapText="1"/>
    </xf>
    <xf numFmtId="0" fontId="44" fillId="29" borderId="54" xfId="577" applyFont="1" applyFill="1" applyBorder="1" applyAlignment="1">
      <alignment horizontal="center" vertical="center" wrapText="1"/>
    </xf>
    <xf numFmtId="8" fontId="75" fillId="19" borderId="53" xfId="577" applyNumberFormat="1" applyFont="1" applyFill="1" applyBorder="1" applyAlignment="1">
      <alignment horizontal="center" vertical="center"/>
    </xf>
    <xf numFmtId="8" fontId="75" fillId="19" borderId="54" xfId="577" applyNumberFormat="1" applyFont="1" applyFill="1" applyBorder="1" applyAlignment="1">
      <alignment horizontal="center" vertical="center"/>
    </xf>
    <xf numFmtId="0" fontId="39" fillId="20" borderId="53" xfId="577" applyFont="1" applyFill="1" applyBorder="1" applyAlignment="1">
      <alignment horizontal="center" vertical="center"/>
    </xf>
    <xf numFmtId="0" fontId="39" fillId="20" borderId="54" xfId="577" applyFont="1" applyFill="1" applyBorder="1" applyAlignment="1">
      <alignment horizontal="center" vertical="center"/>
    </xf>
    <xf numFmtId="14" fontId="38" fillId="32" borderId="40" xfId="577" applyNumberFormat="1" applyFill="1" applyBorder="1" applyAlignment="1">
      <alignment horizontal="center"/>
    </xf>
  </cellXfs>
  <cellStyles count="615">
    <cellStyle name="ColLevel_1" xfId="1" builtinId="2" iLevel="0"/>
    <cellStyle name="Comma" xfId="2" builtinId="3"/>
    <cellStyle name="Comma 2" xfId="498" xr:uid="{00000000-0005-0000-0000-000003000000}"/>
    <cellStyle name="Comma 2 2" xfId="586" xr:uid="{00000000-0005-0000-0000-000004000000}"/>
    <cellStyle name="Comma 2 2 2" xfId="594" xr:uid="{00000000-0005-0000-0000-000005000000}"/>
    <cellStyle name="Comma 2 2 2 2" xfId="614" xr:uid="{00000000-0005-0000-0000-000006000000}"/>
    <cellStyle name="Comma 2 2 3" xfId="606" xr:uid="{00000000-0005-0000-0000-000007000000}"/>
    <cellStyle name="Comma 2 3" xfId="591" xr:uid="{00000000-0005-0000-0000-000008000000}"/>
    <cellStyle name="Comma 2 3 2" xfId="611" xr:uid="{00000000-0005-0000-0000-000009000000}"/>
    <cellStyle name="Comma 2 4" xfId="583" xr:uid="{00000000-0005-0000-0000-00000A000000}"/>
    <cellStyle name="Comma 2 4 2" xfId="603" xr:uid="{00000000-0005-0000-0000-00000B000000}"/>
    <cellStyle name="Comma 2 5" xfId="597" xr:uid="{00000000-0005-0000-0000-00000C000000}"/>
    <cellStyle name="Comma 3" xfId="580" xr:uid="{00000000-0005-0000-0000-00000D000000}"/>
    <cellStyle name="Comma 3 2" xfId="588" xr:uid="{00000000-0005-0000-0000-00000E000000}"/>
    <cellStyle name="Comma 3 2 2" xfId="608" xr:uid="{00000000-0005-0000-0000-00000F000000}"/>
    <cellStyle name="Comma 3 3" xfId="600" xr:uid="{00000000-0005-0000-0000-000010000000}"/>
    <cellStyle name="Currency" xfId="485" builtinId="4"/>
    <cellStyle name="Currency 2" xfId="6" xr:uid="{00000000-0005-0000-0000-000012000000}"/>
    <cellStyle name="Currency 2 2" xfId="584" xr:uid="{00000000-0005-0000-0000-000013000000}"/>
    <cellStyle name="Currency 2 2 2" xfId="592" xr:uid="{00000000-0005-0000-0000-000014000000}"/>
    <cellStyle name="Currency 2 2 2 2" xfId="612" xr:uid="{00000000-0005-0000-0000-000015000000}"/>
    <cellStyle name="Currency 2 2 3" xfId="604" xr:uid="{00000000-0005-0000-0000-000016000000}"/>
    <cellStyle name="Currency 2 3" xfId="581" xr:uid="{00000000-0005-0000-0000-000017000000}"/>
    <cellStyle name="Currency 2 3 2" xfId="589" xr:uid="{00000000-0005-0000-0000-000018000000}"/>
    <cellStyle name="Currency 2 3 2 2" xfId="609" xr:uid="{00000000-0005-0000-0000-000019000000}"/>
    <cellStyle name="Currency 2 3 3" xfId="601" xr:uid="{00000000-0005-0000-0000-00001A000000}"/>
    <cellStyle name="Currency 2 4" xfId="578" xr:uid="{00000000-0005-0000-0000-00001B000000}"/>
    <cellStyle name="Currency 2 4 2" xfId="598" xr:uid="{00000000-0005-0000-0000-00001C000000}"/>
    <cellStyle name="Currency 3" xfId="585" xr:uid="{00000000-0005-0000-0000-00001D000000}"/>
    <cellStyle name="Currency 3 2" xfId="593" xr:uid="{00000000-0005-0000-0000-00001E000000}"/>
    <cellStyle name="Currency 3 2 2" xfId="613" xr:uid="{00000000-0005-0000-0000-00001F000000}"/>
    <cellStyle name="Currency 3 3" xfId="605" xr:uid="{00000000-0005-0000-0000-000020000000}"/>
    <cellStyle name="Currency 4" xfId="582" xr:uid="{00000000-0005-0000-0000-000021000000}"/>
    <cellStyle name="Currency 4 2" xfId="590" xr:uid="{00000000-0005-0000-0000-000022000000}"/>
    <cellStyle name="Currency 4 2 2" xfId="610" xr:uid="{00000000-0005-0000-0000-000023000000}"/>
    <cellStyle name="Currency 4 3" xfId="602" xr:uid="{00000000-0005-0000-0000-000024000000}"/>
    <cellStyle name="Currency 5" xfId="587" xr:uid="{00000000-0005-0000-0000-000025000000}"/>
    <cellStyle name="Currency 5 2" xfId="607" xr:uid="{00000000-0005-0000-0000-000026000000}"/>
    <cellStyle name="Currency 6" xfId="579" xr:uid="{00000000-0005-0000-0000-000027000000}"/>
    <cellStyle name="Currency 6 2" xfId="599" xr:uid="{00000000-0005-0000-0000-000028000000}"/>
    <cellStyle name="Currency 7" xfId="596" xr:uid="{00000000-0005-0000-0000-000029000000}"/>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Heading 1" xfId="3" builtinId="16"/>
    <cellStyle name="Heading 3" xfId="4" builtinId="18"/>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Normal" xfId="0" builtinId="0"/>
    <cellStyle name="Normal 2" xfId="5" xr:uid="{00000000-0005-0000-0000-000063020000}"/>
    <cellStyle name="Normal 3" xfId="7" xr:uid="{00000000-0005-0000-0000-000064020000}"/>
    <cellStyle name="Normal 4" xfId="577" xr:uid="{00000000-0005-0000-0000-000065020000}"/>
    <cellStyle name="Normal 5" xfId="595" xr:uid="{00000000-0005-0000-0000-000066020000}"/>
    <cellStyle name="Percent" xfId="406" builtinId="5"/>
  </cellStyles>
  <dxfs count="242">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strike val="0"/>
        <color rgb="FF0033CC"/>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5700"/>
      </font>
      <fill>
        <patternFill>
          <bgColor rgb="FFFFEB9C"/>
        </patternFill>
      </fill>
    </dxf>
    <dxf>
      <font>
        <color rgb="FF0033CC"/>
      </font>
      <fill>
        <patternFill>
          <bgColor rgb="FFFFFF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lor auto="1"/>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color auto="1"/>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lor auto="1"/>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lor auto="1"/>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lor auto="1"/>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strike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0033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17860</xdr:colOff>
      <xdr:row>0</xdr:row>
      <xdr:rowOff>16837</xdr:rowOff>
    </xdr:from>
    <xdr:to>
      <xdr:col>1</xdr:col>
      <xdr:colOff>2693974</xdr:colOff>
      <xdr:row>3</xdr:row>
      <xdr:rowOff>286603</xdr:rowOff>
    </xdr:to>
    <xdr:pic>
      <xdr:nvPicPr>
        <xdr:cNvPr id="3" name="Picture 2">
          <a:extLst>
            <a:ext uri="{FF2B5EF4-FFF2-40B4-BE49-F238E27FC236}">
              <a16:creationId xmlns:a16="http://schemas.microsoft.com/office/drawing/2014/main" id="{F9CA320D-9D2C-4449-BC6D-6DD0CAEBA400}"/>
            </a:ext>
          </a:extLst>
        </xdr:cNvPr>
        <xdr:cNvPicPr>
          <a:picLocks noChangeAspect="1"/>
        </xdr:cNvPicPr>
      </xdr:nvPicPr>
      <xdr:blipFill>
        <a:blip xmlns:r="http://schemas.openxmlformats.org/officeDocument/2006/relationships" r:embed="rId1"/>
        <a:stretch>
          <a:fillRect/>
        </a:stretch>
      </xdr:blipFill>
      <xdr:spPr>
        <a:xfrm>
          <a:off x="17860" y="16837"/>
          <a:ext cx="3660161" cy="930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37466</xdr:colOff>
      <xdr:row>0</xdr:row>
      <xdr:rowOff>26239</xdr:rowOff>
    </xdr:from>
    <xdr:to>
      <xdr:col>1</xdr:col>
      <xdr:colOff>2781300</xdr:colOff>
      <xdr:row>3</xdr:row>
      <xdr:rowOff>278219</xdr:rowOff>
    </xdr:to>
    <xdr:pic>
      <xdr:nvPicPr>
        <xdr:cNvPr id="4" name="Picture 3">
          <a:extLst>
            <a:ext uri="{FF2B5EF4-FFF2-40B4-BE49-F238E27FC236}">
              <a16:creationId xmlns:a16="http://schemas.microsoft.com/office/drawing/2014/main" id="{9CBE58E6-31A3-955C-6733-A89E2F937C9A}"/>
            </a:ext>
          </a:extLst>
        </xdr:cNvPr>
        <xdr:cNvPicPr>
          <a:picLocks noChangeAspect="1"/>
        </xdr:cNvPicPr>
      </xdr:nvPicPr>
      <xdr:blipFill>
        <a:blip xmlns:r="http://schemas.openxmlformats.org/officeDocument/2006/relationships" r:embed="rId1"/>
        <a:stretch>
          <a:fillRect/>
        </a:stretch>
      </xdr:blipFill>
      <xdr:spPr>
        <a:xfrm>
          <a:off x="37466" y="26239"/>
          <a:ext cx="3601084" cy="9123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rgb="FFFF0000"/>
  </sheetPr>
  <dimension ref="B2:J120"/>
  <sheetViews>
    <sheetView tabSelected="1" view="pageBreakPreview" topLeftCell="A91" zoomScaleNormal="100" zoomScaleSheetLayoutView="100" workbookViewId="0">
      <selection activeCell="E119" sqref="E119"/>
    </sheetView>
  </sheetViews>
  <sheetFormatPr defaultColWidth="9.140625" defaultRowHeight="15" x14ac:dyDescent="0.25"/>
  <cols>
    <col min="1" max="1" width="4.5703125" style="177" customWidth="1"/>
    <col min="2" max="2" width="3.42578125" style="177" customWidth="1"/>
    <col min="3" max="3" width="34.5703125" style="177" customWidth="1"/>
    <col min="4" max="5" width="9.140625" style="177"/>
    <col min="6" max="6" width="7" style="177" customWidth="1"/>
    <col min="7" max="7" width="14.42578125" style="177" customWidth="1"/>
    <col min="8" max="8" width="6" style="177" customWidth="1"/>
    <col min="9" max="9" width="18.5703125" style="177" customWidth="1"/>
    <col min="10" max="10" width="2.85546875" style="177" customWidth="1"/>
    <col min="11" max="16384" width="9.140625" style="177"/>
  </cols>
  <sheetData>
    <row r="2" spans="3:9" x14ac:dyDescent="0.25">
      <c r="C2" s="397"/>
      <c r="G2" s="531"/>
      <c r="H2" s="531"/>
      <c r="I2" s="531"/>
    </row>
    <row r="3" spans="3:9" x14ac:dyDescent="0.25">
      <c r="G3" s="531"/>
      <c r="H3" s="531"/>
      <c r="I3" s="531"/>
    </row>
    <row r="4" spans="3:9" x14ac:dyDescent="0.25">
      <c r="G4" s="531"/>
      <c r="H4" s="531"/>
      <c r="I4" s="531"/>
    </row>
    <row r="6" spans="3:9" x14ac:dyDescent="0.25">
      <c r="C6" s="398"/>
    </row>
    <row r="7" spans="3:9" x14ac:dyDescent="0.25">
      <c r="C7" s="398"/>
    </row>
    <row r="8" spans="3:9" x14ac:dyDescent="0.25">
      <c r="C8" s="398"/>
    </row>
    <row r="10" spans="3:9" x14ac:dyDescent="0.25">
      <c r="C10" s="398"/>
    </row>
    <row r="11" spans="3:9" x14ac:dyDescent="0.25">
      <c r="C11" s="398"/>
    </row>
    <row r="12" spans="3:9" x14ac:dyDescent="0.25">
      <c r="C12" s="398"/>
    </row>
    <row r="14" spans="3:9" ht="18.75" x14ac:dyDescent="0.3">
      <c r="C14" s="399" t="str">
        <f>"Quote for: "&amp;Notes!B5</f>
        <v>Quote for: Redevelopment of Council Workshop</v>
      </c>
    </row>
    <row r="16" spans="3:9" ht="31.5" customHeight="1" x14ac:dyDescent="0.25">
      <c r="C16" s="532" t="s">
        <v>567</v>
      </c>
      <c r="D16" s="532"/>
      <c r="E16" s="532"/>
      <c r="F16" s="532"/>
      <c r="G16" s="532"/>
      <c r="H16" s="532"/>
      <c r="I16" s="532"/>
    </row>
    <row r="18" spans="3:9" x14ac:dyDescent="0.25">
      <c r="C18" s="533" t="str">
        <f>'SUMMARY (inc)'!B5</f>
        <v>TRADE</v>
      </c>
      <c r="D18" s="533"/>
      <c r="E18" s="533"/>
      <c r="F18" s="533"/>
      <c r="G18" s="533"/>
      <c r="H18" s="533"/>
      <c r="I18" s="400" t="str">
        <f>'SUMMARY (inc)'!C5</f>
        <v>Total (ex GST)</v>
      </c>
    </row>
    <row r="19" spans="3:9" x14ac:dyDescent="0.25">
      <c r="C19" s="1" t="str">
        <f ca="1">'SUMMARY (inc)'!B6</f>
        <v>PRELIMINARIES</v>
      </c>
      <c r="D19" s="1"/>
      <c r="E19" s="1"/>
      <c r="F19" s="1"/>
      <c r="G19" s="1"/>
      <c r="H19" s="1"/>
      <c r="I19" s="180">
        <f ca="1">'SUMMARY (inc)'!C6</f>
        <v>0</v>
      </c>
    </row>
    <row r="20" spans="3:9" x14ac:dyDescent="0.25">
      <c r="C20" s="1" t="str">
        <f ca="1">'SUMMARY (inc)'!B7</f>
        <v>SCAFFOLDING</v>
      </c>
      <c r="D20" s="1"/>
      <c r="E20" s="1"/>
      <c r="F20" s="1"/>
      <c r="G20" s="1"/>
      <c r="H20" s="1"/>
      <c r="I20" s="180">
        <f ca="1">'SUMMARY (inc)'!C7</f>
        <v>0</v>
      </c>
    </row>
    <row r="21" spans="3:9" x14ac:dyDescent="0.25">
      <c r="C21" s="1" t="str">
        <f ca="1">'SUMMARY (inc)'!B8</f>
        <v>DEMOLITION</v>
      </c>
      <c r="D21" s="1"/>
      <c r="E21" s="1"/>
      <c r="F21" s="1"/>
      <c r="G21" s="1"/>
      <c r="H21" s="1"/>
      <c r="I21" s="180">
        <f ca="1">'SUMMARY (inc)'!C8</f>
        <v>0</v>
      </c>
    </row>
    <row r="22" spans="3:9" x14ac:dyDescent="0.25">
      <c r="C22" s="1" t="str">
        <f ca="1">'SUMMARY (inc)'!B9</f>
        <v>CIVIL</v>
      </c>
      <c r="D22" s="1"/>
      <c r="E22" s="1"/>
      <c r="F22" s="1"/>
      <c r="G22" s="1"/>
      <c r="H22" s="1"/>
      <c r="I22" s="180">
        <f ca="1">'SUMMARY (inc)'!C9</f>
        <v>0</v>
      </c>
    </row>
    <row r="23" spans="3:9" x14ac:dyDescent="0.25">
      <c r="C23" s="1" t="str">
        <f ca="1">'SUMMARY (inc)'!B15</f>
        <v>ROOFING &amp; METAL CLADDING</v>
      </c>
      <c r="D23" s="1"/>
      <c r="E23" s="1"/>
      <c r="F23" s="1"/>
      <c r="G23" s="1"/>
      <c r="H23" s="1"/>
      <c r="I23" s="180">
        <f ca="1">'SUMMARY (inc)'!C15</f>
        <v>0</v>
      </c>
    </row>
    <row r="24" spans="3:9" x14ac:dyDescent="0.25">
      <c r="C24" s="1" t="str">
        <f ca="1">'SUMMARY (inc)'!B16</f>
        <v>EXTERNAL CLADDING</v>
      </c>
      <c r="D24" s="1"/>
      <c r="E24" s="1"/>
      <c r="F24" s="1"/>
      <c r="G24" s="1"/>
      <c r="H24" s="1"/>
      <c r="I24" s="180">
        <f ca="1">'SUMMARY (inc)'!C16</f>
        <v>0</v>
      </c>
    </row>
    <row r="25" spans="3:9" x14ac:dyDescent="0.25">
      <c r="C25" s="1" t="str">
        <f ca="1">'SUMMARY (inc)'!B17</f>
        <v>CEILINGS &amp; PARTITIONS</v>
      </c>
      <c r="D25" s="1"/>
      <c r="E25" s="1"/>
      <c r="F25" s="1"/>
      <c r="G25" s="1"/>
      <c r="H25" s="1"/>
      <c r="I25" s="180">
        <f ca="1">'SUMMARY (inc)'!C17</f>
        <v>0</v>
      </c>
    </row>
    <row r="26" spans="3:9" x14ac:dyDescent="0.25">
      <c r="C26" s="1" t="str">
        <f ca="1">'SUMMARY (inc)'!B18</f>
        <v>CARPENTRY</v>
      </c>
      <c r="D26" s="1"/>
      <c r="E26" s="1"/>
      <c r="F26" s="1"/>
      <c r="G26" s="1"/>
      <c r="H26" s="1"/>
      <c r="I26" s="180">
        <f ca="1">'SUMMARY (inc)'!C18</f>
        <v>0</v>
      </c>
    </row>
    <row r="27" spans="3:9" x14ac:dyDescent="0.25">
      <c r="C27" s="1" t="str">
        <f ca="1">'SUMMARY (inc)'!B19</f>
        <v>STRUCTURAL STEEL</v>
      </c>
      <c r="D27" s="1"/>
      <c r="E27" s="1"/>
      <c r="F27" s="1"/>
      <c r="G27" s="1"/>
      <c r="H27" s="1"/>
      <c r="I27" s="180">
        <f ca="1">'SUMMARY (inc)'!C19</f>
        <v>0</v>
      </c>
    </row>
    <row r="28" spans="3:9" x14ac:dyDescent="0.25">
      <c r="C28" s="1" t="str">
        <f ca="1">'SUMMARY (inc)'!B20</f>
        <v>METALWORK</v>
      </c>
      <c r="D28" s="1"/>
      <c r="E28" s="1"/>
      <c r="F28" s="1"/>
      <c r="G28" s="1"/>
      <c r="H28" s="1"/>
      <c r="I28" s="180">
        <f ca="1">'SUMMARY (inc)'!C20</f>
        <v>0</v>
      </c>
    </row>
    <row r="29" spans="3:9" x14ac:dyDescent="0.25">
      <c r="C29" s="1" t="str">
        <f ca="1">'SUMMARY (inc)'!B21</f>
        <v>PLUMBING</v>
      </c>
      <c r="D29" s="1"/>
      <c r="E29" s="1"/>
      <c r="F29" s="1"/>
      <c r="G29" s="1"/>
      <c r="H29" s="1"/>
      <c r="I29" s="180">
        <f ca="1">'SUMMARY (inc)'!C21</f>
        <v>0</v>
      </c>
    </row>
    <row r="30" spans="3:9" x14ac:dyDescent="0.25">
      <c r="C30" s="1" t="str">
        <f ca="1">'SUMMARY (inc)'!B22</f>
        <v>PLUMBING PC ITEM</v>
      </c>
      <c r="D30" s="1"/>
      <c r="E30" s="1"/>
      <c r="F30" s="1"/>
      <c r="G30" s="1"/>
      <c r="H30" s="1"/>
      <c r="I30" s="180">
        <f ca="1">'SUMMARY (inc)'!C22</f>
        <v>0</v>
      </c>
    </row>
    <row r="31" spans="3:9" x14ac:dyDescent="0.25">
      <c r="C31" s="1" t="str">
        <f ca="1">'SUMMARY (inc)'!B23</f>
        <v>ELECTRICAL</v>
      </c>
      <c r="D31" s="1"/>
      <c r="E31" s="1"/>
      <c r="F31" s="1"/>
      <c r="G31" s="1"/>
      <c r="H31" s="1"/>
      <c r="I31" s="180">
        <f ca="1">'SUMMARY (inc)'!C23</f>
        <v>0</v>
      </c>
    </row>
    <row r="32" spans="3:9" x14ac:dyDescent="0.25">
      <c r="C32" s="1" t="str">
        <f ca="1">'SUMMARY (inc)'!B24</f>
        <v>ELECTRICAL PC ITEM</v>
      </c>
      <c r="D32" s="1"/>
      <c r="E32" s="1"/>
      <c r="F32" s="1"/>
      <c r="G32" s="1"/>
      <c r="H32" s="1"/>
      <c r="I32" s="180">
        <f ca="1">'SUMMARY (inc)'!C24</f>
        <v>0</v>
      </c>
    </row>
    <row r="33" spans="2:10" x14ac:dyDescent="0.25">
      <c r="C33" s="1" t="str">
        <f ca="1">'SUMMARY (inc)'!B25</f>
        <v>MECHANICAL</v>
      </c>
      <c r="D33" s="1"/>
      <c r="E33" s="1"/>
      <c r="F33" s="1"/>
      <c r="G33" s="1"/>
      <c r="H33" s="1"/>
      <c r="I33" s="180">
        <f ca="1">'SUMMARY (inc)'!C25</f>
        <v>0</v>
      </c>
    </row>
    <row r="34" spans="2:10" x14ac:dyDescent="0.25">
      <c r="C34" s="1" t="str">
        <f ca="1">'SUMMARY (inc)'!B26</f>
        <v>FIRE</v>
      </c>
      <c r="D34" s="1"/>
      <c r="E34" s="1"/>
      <c r="F34" s="1"/>
      <c r="G34" s="1"/>
      <c r="H34" s="1"/>
      <c r="I34" s="180">
        <f ca="1">'SUMMARY (inc)'!C26</f>
        <v>0</v>
      </c>
    </row>
    <row r="35" spans="2:10" x14ac:dyDescent="0.25">
      <c r="C35" s="1" t="str">
        <f ca="1">'SUMMARY (inc)'!B27</f>
        <v>BLOCKWORK</v>
      </c>
      <c r="D35" s="1"/>
      <c r="E35" s="1"/>
      <c r="F35" s="1"/>
      <c r="G35" s="1"/>
      <c r="H35" s="1"/>
      <c r="I35" s="180">
        <f ca="1">'SUMMARY (inc)'!C27</f>
        <v>0</v>
      </c>
    </row>
    <row r="36" spans="2:10" x14ac:dyDescent="0.25">
      <c r="C36" s="1" t="str">
        <f ca="1">'SUMMARY (inc)'!B28</f>
        <v>RENDERING</v>
      </c>
      <c r="D36" s="1"/>
      <c r="E36" s="1"/>
      <c r="F36" s="1"/>
      <c r="G36" s="1"/>
      <c r="H36" s="1"/>
      <c r="I36" s="180">
        <f ca="1">'SUMMARY (inc)'!C28</f>
        <v>0</v>
      </c>
    </row>
    <row r="37" spans="2:10" x14ac:dyDescent="0.25">
      <c r="C37" s="1" t="str">
        <f ca="1">'SUMMARY (inc)'!B29</f>
        <v>PAINTING</v>
      </c>
      <c r="D37" s="1"/>
      <c r="E37" s="1"/>
      <c r="F37" s="1"/>
      <c r="G37" s="1"/>
      <c r="H37" s="1"/>
      <c r="I37" s="180">
        <f ca="1">'SUMMARY (inc)'!C29</f>
        <v>0</v>
      </c>
    </row>
    <row r="38" spans="2:10" x14ac:dyDescent="0.25">
      <c r="C38" s="1" t="str">
        <f ca="1">'SUMMARY (inc)'!B30</f>
        <v>JOINERY</v>
      </c>
      <c r="D38" s="1"/>
      <c r="E38" s="1"/>
      <c r="F38" s="1"/>
      <c r="G38" s="1"/>
      <c r="H38" s="1"/>
      <c r="I38" s="180">
        <f ca="1">'SUMMARY (inc)'!C30</f>
        <v>0</v>
      </c>
    </row>
    <row r="39" spans="2:10" x14ac:dyDescent="0.25">
      <c r="C39" s="1" t="str">
        <f ca="1">'SUMMARY (inc)'!B31</f>
        <v>WINDOWS &amp; DOORS</v>
      </c>
      <c r="D39" s="1"/>
      <c r="E39" s="1"/>
      <c r="F39" s="1"/>
      <c r="G39" s="1"/>
      <c r="H39" s="1"/>
      <c r="I39" s="180">
        <f ca="1">'SUMMARY (inc)'!C31</f>
        <v>0</v>
      </c>
    </row>
    <row r="40" spans="2:10" x14ac:dyDescent="0.25">
      <c r="C40" s="1" t="str">
        <f ca="1">'SUMMARY (inc)'!B32</f>
        <v>WATERPROOFING</v>
      </c>
      <c r="D40" s="1"/>
      <c r="E40" s="1"/>
      <c r="F40" s="1"/>
      <c r="G40" s="1"/>
      <c r="H40" s="1"/>
      <c r="I40" s="180">
        <f ca="1">'SUMMARY (inc)'!C32</f>
        <v>0</v>
      </c>
    </row>
    <row r="41" spans="2:10" x14ac:dyDescent="0.25">
      <c r="C41" s="1" t="str">
        <f ca="1">'SUMMARY (inc)'!B33</f>
        <v>TILING</v>
      </c>
      <c r="D41" s="1"/>
      <c r="E41" s="1"/>
      <c r="F41" s="1"/>
      <c r="G41" s="1"/>
      <c r="H41" s="1"/>
      <c r="I41" s="180">
        <f ca="1">'SUMMARY (inc)'!C33</f>
        <v>0</v>
      </c>
    </row>
    <row r="42" spans="2:10" x14ac:dyDescent="0.25">
      <c r="C42" s="1" t="str">
        <f ca="1">'SUMMARY (inc)'!B34</f>
        <v>FLOOR FINISHES</v>
      </c>
      <c r="D42" s="1"/>
      <c r="E42" s="1"/>
      <c r="F42" s="1"/>
      <c r="G42" s="1"/>
      <c r="H42" s="1"/>
      <c r="I42" s="180">
        <f ca="1">'SUMMARY (inc)'!C34</f>
        <v>0</v>
      </c>
    </row>
    <row r="43" spans="2:10" x14ac:dyDescent="0.25">
      <c r="C43" s="1" t="str">
        <f ca="1">'SUMMARY (inc)'!B38</f>
        <v>MISCELLANEOUS</v>
      </c>
      <c r="D43" s="1"/>
      <c r="E43" s="1"/>
      <c r="F43" s="1"/>
      <c r="G43" s="1"/>
      <c r="H43" s="1"/>
      <c r="I43" s="180">
        <f ca="1">'SUMMARY (inc)'!C38</f>
        <v>0</v>
      </c>
    </row>
    <row r="44" spans="2:10" hidden="1" x14ac:dyDescent="0.25">
      <c r="C44" s="1" t="str">
        <f ca="1">'SUMMARY (inc)'!B39</f>
        <v/>
      </c>
      <c r="D44" s="1"/>
      <c r="E44" s="1"/>
      <c r="F44" s="1"/>
      <c r="G44" s="1"/>
      <c r="H44" s="1"/>
      <c r="I44" s="180" t="str">
        <f ca="1">'SUMMARY (inc)'!C39</f>
        <v/>
      </c>
    </row>
    <row r="45" spans="2:10" ht="18.75" x14ac:dyDescent="0.3">
      <c r="C45" s="535" t="str">
        <f>'SUMMARY (inc)'!B40</f>
        <v>PROJECT TOTAL (ex GST)</v>
      </c>
      <c r="D45" s="535"/>
      <c r="E45" s="535"/>
      <c r="F45" s="535"/>
      <c r="G45" s="535"/>
      <c r="H45" s="535"/>
      <c r="I45" s="401">
        <f ca="1">'SUMMARY (inc)'!C40</f>
        <v>0</v>
      </c>
    </row>
    <row r="46" spans="2:10" x14ac:dyDescent="0.25">
      <c r="B46" s="402"/>
      <c r="C46" s="403"/>
      <c r="D46" s="403"/>
      <c r="E46" s="403"/>
      <c r="F46" s="403"/>
      <c r="G46" s="403"/>
      <c r="H46" s="403"/>
      <c r="I46" s="402"/>
      <c r="J46" s="402"/>
    </row>
    <row r="47" spans="2:10" x14ac:dyDescent="0.25">
      <c r="C47" s="404"/>
      <c r="D47" s="404"/>
      <c r="E47" s="404"/>
      <c r="F47" s="404"/>
      <c r="G47" s="404"/>
      <c r="H47" s="404"/>
    </row>
    <row r="48" spans="2:10" x14ac:dyDescent="0.25">
      <c r="C48" s="404"/>
      <c r="D48" s="404"/>
      <c r="E48" s="404"/>
      <c r="F48" s="404"/>
      <c r="G48" s="404"/>
      <c r="H48" s="404"/>
    </row>
    <row r="49" spans="2:10" x14ac:dyDescent="0.25">
      <c r="B49" s="405"/>
      <c r="C49" s="405"/>
      <c r="D49" s="405"/>
      <c r="E49" s="405"/>
      <c r="F49" s="405"/>
      <c r="G49" s="405"/>
      <c r="H49" s="405"/>
      <c r="I49" s="405"/>
      <c r="J49" s="405"/>
    </row>
    <row r="50" spans="2:10" x14ac:dyDescent="0.25">
      <c r="C50" s="533" t="str">
        <f>Notes!B36</f>
        <v>PROVISIONAL SUMS &amp; PRIME COST (included in project total)</v>
      </c>
      <c r="D50" s="533"/>
      <c r="E50" s="533"/>
      <c r="F50" s="533"/>
      <c r="G50" s="533"/>
      <c r="H50" s="533"/>
      <c r="I50" s="406"/>
    </row>
    <row r="51" spans="2:10" s="407" customFormat="1" x14ac:dyDescent="0.25">
      <c r="C51" s="534" t="str">
        <f>Notes!B37</f>
        <v>Roof Safety System (Provisional Sum)</v>
      </c>
      <c r="D51" s="534"/>
      <c r="E51" s="534"/>
      <c r="F51" s="534"/>
      <c r="G51" s="534"/>
      <c r="H51" s="534"/>
      <c r="I51" s="408">
        <f>Notes!E37</f>
        <v>0</v>
      </c>
    </row>
    <row r="52" spans="2:10" s="407" customFormat="1" ht="14.45" customHeight="1" x14ac:dyDescent="0.25">
      <c r="C52" s="534" t="str">
        <f>Notes!B38</f>
        <v>Structural Steel Framing (No Design Available) (Provisional Sum)</v>
      </c>
      <c r="D52" s="534"/>
      <c r="E52" s="534"/>
      <c r="F52" s="534"/>
      <c r="G52" s="534"/>
      <c r="H52" s="534"/>
      <c r="I52" s="408">
        <f>Notes!E38</f>
        <v>0</v>
      </c>
    </row>
    <row r="53" spans="2:10" s="407" customFormat="1" ht="14.45" customHeight="1" x14ac:dyDescent="0.25">
      <c r="C53" s="534" t="str">
        <f>Notes!B39</f>
        <v>Plumbing &amp; Drainage (Provisional Sum)</v>
      </c>
      <c r="D53" s="534"/>
      <c r="E53" s="534"/>
      <c r="F53" s="534"/>
      <c r="G53" s="534"/>
      <c r="H53" s="534"/>
      <c r="I53" s="408">
        <f>Notes!E39</f>
        <v>0</v>
      </c>
    </row>
    <row r="54" spans="2:10" s="407" customFormat="1" ht="14.45" customHeight="1" x14ac:dyDescent="0.25">
      <c r="C54" s="534" t="str">
        <f>Notes!B40</f>
        <v>Demolition of Existing Plumbing Services (Provisional Sum)</v>
      </c>
      <c r="D54" s="534"/>
      <c r="E54" s="534"/>
      <c r="F54" s="534"/>
      <c r="G54" s="534"/>
      <c r="H54" s="534"/>
      <c r="I54" s="408">
        <f>Notes!E40</f>
        <v>0</v>
      </c>
    </row>
    <row r="55" spans="2:10" s="407" customFormat="1" ht="14.45" customHeight="1" x14ac:dyDescent="0.25">
      <c r="C55" s="534" t="str">
        <f>Notes!B41</f>
        <v>Sanitary Fixtures &amp; Tapware (PC item)</v>
      </c>
      <c r="D55" s="534"/>
      <c r="E55" s="534"/>
      <c r="F55" s="534"/>
      <c r="G55" s="534"/>
      <c r="H55" s="534"/>
      <c r="I55" s="408">
        <f>Notes!E41</f>
        <v>0</v>
      </c>
    </row>
    <row r="56" spans="2:10" s="407" customFormat="1" ht="14.45" customHeight="1" x14ac:dyDescent="0.25">
      <c r="C56" s="534" t="str">
        <f>Notes!B42</f>
        <v>Electrical &amp; Communication (Provisional Sum)</v>
      </c>
      <c r="D56" s="534"/>
      <c r="E56" s="534"/>
      <c r="F56" s="534"/>
      <c r="G56" s="534"/>
      <c r="H56" s="534"/>
      <c r="I56" s="408">
        <f>Notes!E42</f>
        <v>0</v>
      </c>
    </row>
    <row r="57" spans="2:10" s="407" customFormat="1" ht="14.45" customHeight="1" x14ac:dyDescent="0.25">
      <c r="C57" s="534" t="str">
        <f>Notes!B43</f>
        <v>Demolition of Existing Electrical Services (Provisional Sum)</v>
      </c>
      <c r="D57" s="534"/>
      <c r="E57" s="534"/>
      <c r="F57" s="534"/>
      <c r="G57" s="534"/>
      <c r="H57" s="534"/>
      <c r="I57" s="408">
        <f>Notes!E43</f>
        <v>0</v>
      </c>
    </row>
    <row r="58" spans="2:10" s="407" customFormat="1" ht="14.45" customHeight="1" x14ac:dyDescent="0.25">
      <c r="C58" s="534" t="str">
        <f>Notes!B44</f>
        <v>Light Fittings &amp; Fans (PC item)</v>
      </c>
      <c r="D58" s="534"/>
      <c r="E58" s="534"/>
      <c r="F58" s="534"/>
      <c r="G58" s="534"/>
      <c r="H58" s="534"/>
      <c r="I58" s="408">
        <f>Notes!E44</f>
        <v>0</v>
      </c>
    </row>
    <row r="59" spans="2:10" s="407" customFormat="1" ht="14.45" customHeight="1" x14ac:dyDescent="0.25">
      <c r="C59" s="534" t="str">
        <f>Notes!B45</f>
        <v>Mechanical - HVAC (Elemental Estimating) (Provisional Sum)</v>
      </c>
      <c r="D59" s="534"/>
      <c r="E59" s="534"/>
      <c r="F59" s="534"/>
      <c r="G59" s="534"/>
      <c r="H59" s="534"/>
      <c r="I59" s="408">
        <f>Notes!E45</f>
        <v>0</v>
      </c>
    </row>
    <row r="60" spans="2:10" s="407" customFormat="1" ht="14.45" customHeight="1" x14ac:dyDescent="0.25">
      <c r="C60" s="534" t="str">
        <f>Notes!B46</f>
        <v>Fire Protection (Elemental Estimating) (Including Relocation of FHR) (Provisional Sum)</v>
      </c>
      <c r="D60" s="534"/>
      <c r="E60" s="534"/>
      <c r="F60" s="534"/>
      <c r="G60" s="534"/>
      <c r="H60" s="534"/>
      <c r="I60" s="408">
        <f>Notes!E46</f>
        <v>0</v>
      </c>
    </row>
    <row r="61" spans="2:10" s="407" customFormat="1" x14ac:dyDescent="0.25">
      <c r="B61" s="409"/>
      <c r="C61" s="410"/>
      <c r="D61" s="410"/>
      <c r="E61" s="410"/>
      <c r="F61" s="410"/>
      <c r="G61" s="410"/>
      <c r="H61" s="410"/>
      <c r="I61" s="411"/>
      <c r="J61" s="409"/>
    </row>
    <row r="64" spans="2:10" x14ac:dyDescent="0.25">
      <c r="B64" s="405"/>
      <c r="C64" s="405"/>
      <c r="D64" s="405"/>
      <c r="E64" s="405"/>
      <c r="F64" s="405"/>
      <c r="G64" s="405"/>
      <c r="H64" s="405"/>
      <c r="I64" s="405"/>
      <c r="J64" s="405"/>
    </row>
    <row r="65" spans="3:9" x14ac:dyDescent="0.25">
      <c r="C65" s="537" t="str">
        <f>Notes!B49</f>
        <v>EXCLUSIONS</v>
      </c>
      <c r="D65" s="537"/>
      <c r="E65" s="537"/>
      <c r="F65" s="537"/>
      <c r="G65" s="537"/>
      <c r="H65" s="537"/>
      <c r="I65" s="537"/>
    </row>
    <row r="66" spans="3:9" x14ac:dyDescent="0.25">
      <c r="C66" s="536" t="str">
        <f>IF(Notes!B50="","",Notes!B50)</f>
        <v>Professional &amp; consultant fees</v>
      </c>
      <c r="D66" s="536"/>
      <c r="E66" s="536"/>
      <c r="F66" s="536"/>
      <c r="G66" s="536"/>
      <c r="H66" s="536"/>
      <c r="I66" s="536"/>
    </row>
    <row r="67" spans="3:9" x14ac:dyDescent="0.25">
      <c r="C67" s="536" t="str">
        <f>IF(Notes!B51="","",Notes!B51)</f>
        <v>Council &amp; infrastructure charges</v>
      </c>
      <c r="D67" s="536"/>
      <c r="E67" s="536"/>
      <c r="F67" s="536"/>
      <c r="G67" s="536"/>
      <c r="H67" s="536"/>
      <c r="I67" s="536"/>
    </row>
    <row r="68" spans="3:9" x14ac:dyDescent="0.25">
      <c r="C68" s="536" t="str">
        <f>IF(Notes!B53="","",Notes!B53)</f>
        <v>Mechanical - Removal of the existing splits.</v>
      </c>
      <c r="D68" s="536"/>
      <c r="E68" s="536"/>
      <c r="F68" s="536"/>
      <c r="G68" s="536"/>
      <c r="H68" s="536"/>
      <c r="I68" s="536"/>
    </row>
    <row r="69" spans="3:9" x14ac:dyDescent="0.25">
      <c r="C69" s="536" t="str">
        <f>IF(Notes!B55="","",Notes!B55)</f>
        <v/>
      </c>
      <c r="D69" s="536"/>
      <c r="E69" s="536"/>
      <c r="F69" s="536"/>
      <c r="G69" s="536"/>
      <c r="H69" s="536"/>
      <c r="I69" s="536"/>
    </row>
    <row r="70" spans="3:9" x14ac:dyDescent="0.25">
      <c r="C70" s="537" t="str">
        <f>Notes!B56</f>
        <v>ASSUMPTIONS</v>
      </c>
      <c r="D70" s="537"/>
      <c r="E70" s="537"/>
      <c r="F70" s="537"/>
      <c r="G70" s="537"/>
      <c r="H70" s="537"/>
      <c r="I70" s="537"/>
    </row>
    <row r="71" spans="3:9" x14ac:dyDescent="0.25">
      <c r="C71" s="538" t="str">
        <f>Notes!B57</f>
        <v>Civil</v>
      </c>
      <c r="D71" s="538"/>
      <c r="E71" s="538"/>
      <c r="F71" s="538"/>
      <c r="G71" s="538"/>
      <c r="H71" s="538"/>
      <c r="I71" s="538"/>
    </row>
    <row r="72" spans="3:9" ht="14.45" customHeight="1" x14ac:dyDescent="0.25">
      <c r="C72" s="536" t="str">
        <f>Notes!B58</f>
        <v>Allowance to cart spoil up to 10km from site</v>
      </c>
      <c r="D72" s="536"/>
      <c r="E72" s="536"/>
      <c r="F72" s="536"/>
      <c r="G72" s="536"/>
      <c r="H72" s="536"/>
      <c r="I72" s="536"/>
    </row>
    <row r="73" spans="3:9" x14ac:dyDescent="0.25">
      <c r="C73" s="536" t="str">
        <f>Notes!B59</f>
        <v>Pipe trench allow 400x400mm</v>
      </c>
      <c r="D73" s="536"/>
      <c r="E73" s="536"/>
      <c r="F73" s="536"/>
      <c r="G73" s="536"/>
      <c r="H73" s="536"/>
      <c r="I73" s="536"/>
    </row>
    <row r="74" spans="3:9" x14ac:dyDescent="0.25">
      <c r="C74" s="536"/>
      <c r="D74" s="536"/>
      <c r="E74" s="536"/>
      <c r="F74" s="536"/>
      <c r="G74" s="536"/>
      <c r="H74" s="536"/>
      <c r="I74" s="536"/>
    </row>
    <row r="75" spans="3:9" x14ac:dyDescent="0.25">
      <c r="C75" s="538" t="str">
        <f>Notes!B61</f>
        <v>Demolition</v>
      </c>
      <c r="D75" s="538"/>
      <c r="E75" s="538"/>
      <c r="F75" s="538"/>
      <c r="G75" s="538"/>
      <c r="H75" s="538"/>
      <c r="I75" s="538"/>
    </row>
    <row r="76" spans="3:9" ht="14.45" customHeight="1" x14ac:dyDescent="0.25">
      <c r="C76" s="536" t="str">
        <f>Notes!B62</f>
        <v>Demolish roof as per RCP area (no detail provided)</v>
      </c>
      <c r="D76" s="536"/>
      <c r="E76" s="536"/>
      <c r="F76" s="536"/>
      <c r="G76" s="536"/>
      <c r="H76" s="536"/>
      <c r="I76" s="536"/>
    </row>
    <row r="77" spans="3:9" x14ac:dyDescent="0.25">
      <c r="C77" s="536" t="str">
        <f>Notes!B63</f>
        <v>Allow demolition of existing gutter &amp; DP (locations similar to new DP locations)</v>
      </c>
      <c r="D77" s="536"/>
      <c r="E77" s="536"/>
      <c r="F77" s="536"/>
      <c r="G77" s="536"/>
      <c r="H77" s="536"/>
      <c r="I77" s="536"/>
    </row>
    <row r="78" spans="3:9" ht="14.45" customHeight="1" x14ac:dyDescent="0.25">
      <c r="C78" s="536"/>
      <c r="D78" s="536"/>
      <c r="E78" s="536"/>
      <c r="F78" s="536"/>
      <c r="G78" s="536"/>
      <c r="H78" s="536"/>
      <c r="I78" s="536"/>
    </row>
    <row r="79" spans="3:9" ht="14.45" customHeight="1" x14ac:dyDescent="0.25">
      <c r="C79" s="538" t="str">
        <f>Notes!B65</f>
        <v>Roofing &amp; Metal Cladding</v>
      </c>
      <c r="D79" s="538"/>
      <c r="E79" s="538"/>
      <c r="F79" s="538"/>
      <c r="G79" s="538"/>
      <c r="H79" s="538"/>
      <c r="I79" s="538"/>
    </row>
    <row r="80" spans="3:9" ht="14.45" customHeight="1" x14ac:dyDescent="0.25">
      <c r="C80" s="536" t="str">
        <f>Notes!B66</f>
        <v>Roof sheeting: Colourbond 0.42BMT</v>
      </c>
      <c r="D80" s="536"/>
      <c r="E80" s="536"/>
      <c r="F80" s="536"/>
      <c r="G80" s="536"/>
      <c r="H80" s="536"/>
      <c r="I80" s="536"/>
    </row>
    <row r="81" spans="3:9" ht="14.45" customHeight="1" x14ac:dyDescent="0.25">
      <c r="C81" s="536" t="str">
        <f>Notes!B67</f>
        <v>Roof insulation: glasswool blanket 60mm R1.3</v>
      </c>
      <c r="D81" s="536"/>
      <c r="E81" s="536"/>
      <c r="F81" s="536"/>
      <c r="G81" s="536"/>
      <c r="H81" s="536"/>
      <c r="I81" s="536"/>
    </row>
    <row r="82" spans="3:9" ht="14.45" customHeight="1" x14ac:dyDescent="0.25">
      <c r="C82" s="536"/>
      <c r="D82" s="536"/>
      <c r="E82" s="536"/>
      <c r="F82" s="536"/>
      <c r="G82" s="536"/>
      <c r="H82" s="536"/>
      <c r="I82" s="536"/>
    </row>
    <row r="83" spans="3:9" ht="14.45" customHeight="1" x14ac:dyDescent="0.25">
      <c r="C83" s="538" t="str">
        <f>Notes!B69</f>
        <v>Ceilings &amp; Partitions</v>
      </c>
      <c r="D83" s="538"/>
      <c r="E83" s="538"/>
      <c r="F83" s="538"/>
      <c r="G83" s="538"/>
      <c r="H83" s="538"/>
      <c r="I83" s="538"/>
    </row>
    <row r="84" spans="3:9" ht="14.45" customHeight="1" x14ac:dyDescent="0.25">
      <c r="C84" s="536" t="str">
        <f>Notes!B70</f>
        <v>Dry wall lining: 10mm plasterboard</v>
      </c>
      <c r="D84" s="536"/>
      <c r="E84" s="536"/>
      <c r="F84" s="536"/>
      <c r="G84" s="536"/>
      <c r="H84" s="536"/>
      <c r="I84" s="536"/>
    </row>
    <row r="85" spans="3:9" ht="14.45" customHeight="1" x14ac:dyDescent="0.25">
      <c r="C85" s="536" t="str">
        <f>Notes!B71</f>
        <v>Wet wall lining: 6mm villaboard</v>
      </c>
      <c r="D85" s="536"/>
      <c r="E85" s="536"/>
      <c r="F85" s="536"/>
      <c r="G85" s="536"/>
      <c r="H85" s="536"/>
      <c r="I85" s="536"/>
    </row>
    <row r="86" spans="3:9" ht="14.45" customHeight="1" x14ac:dyDescent="0.25">
      <c r="C86" s="536" t="str">
        <f>Notes!B72</f>
        <v>Dry ceiling: 10mm plasterboard</v>
      </c>
      <c r="D86" s="536"/>
      <c r="E86" s="536"/>
      <c r="F86" s="536"/>
      <c r="G86" s="536"/>
      <c r="H86" s="536"/>
      <c r="I86" s="536"/>
    </row>
    <row r="87" spans="3:9" ht="14.45" customHeight="1" x14ac:dyDescent="0.25">
      <c r="C87" s="536" t="str">
        <f>Notes!B73</f>
        <v>Wet ceiling: 10mm water resistant plasterboard</v>
      </c>
      <c r="D87" s="536"/>
      <c r="E87" s="536"/>
      <c r="F87" s="536"/>
      <c r="G87" s="536"/>
      <c r="H87" s="536"/>
      <c r="I87" s="536"/>
    </row>
    <row r="88" spans="3:9" ht="14.45" customHeight="1" x14ac:dyDescent="0.25">
      <c r="C88" s="536" t="str">
        <f>Notes!B74</f>
        <v>Cornice: square set</v>
      </c>
      <c r="D88" s="536"/>
      <c r="E88" s="536"/>
      <c r="F88" s="536"/>
      <c r="G88" s="536"/>
      <c r="H88" s="536"/>
      <c r="I88" s="536"/>
    </row>
    <row r="89" spans="3:9" ht="14.45" customHeight="1" x14ac:dyDescent="0.25">
      <c r="C89" s="536" t="str">
        <f>Notes!B75</f>
        <v xml:space="preserve">Soffit: 4.5mm FC sheeting </v>
      </c>
      <c r="D89" s="536"/>
      <c r="E89" s="536"/>
      <c r="F89" s="536"/>
      <c r="G89" s="536"/>
      <c r="H89" s="536"/>
      <c r="I89" s="536"/>
    </row>
    <row r="90" spans="3:9" ht="14.45" customHeight="1" x14ac:dyDescent="0.25">
      <c r="C90" s="536" t="str">
        <f>Notes!B76</f>
        <v>External wall insulation: glasswool batts 90mm R2.5</v>
      </c>
      <c r="D90" s="536"/>
      <c r="E90" s="536"/>
      <c r="F90" s="536"/>
      <c r="G90" s="536"/>
      <c r="H90" s="536"/>
      <c r="I90" s="536"/>
    </row>
    <row r="91" spans="3:9" x14ac:dyDescent="0.25">
      <c r="C91" s="536"/>
      <c r="D91" s="536"/>
      <c r="E91" s="536"/>
      <c r="F91" s="536"/>
      <c r="G91" s="536"/>
      <c r="H91" s="536"/>
      <c r="I91" s="536"/>
    </row>
    <row r="92" spans="3:9" x14ac:dyDescent="0.25">
      <c r="C92" s="538" t="str">
        <f>Notes!B78</f>
        <v>Carpentry</v>
      </c>
      <c r="D92" s="538"/>
      <c r="E92" s="538"/>
      <c r="F92" s="538"/>
      <c r="G92" s="538"/>
      <c r="H92" s="538"/>
      <c r="I92" s="538"/>
    </row>
    <row r="93" spans="3:9" x14ac:dyDescent="0.25">
      <c r="C93" s="536" t="str">
        <f>Notes!B79</f>
        <v>Internal wall framing: MGP10 blue 90x35mm stud @ 450mm centres</v>
      </c>
      <c r="D93" s="536"/>
      <c r="E93" s="536"/>
      <c r="F93" s="536"/>
      <c r="G93" s="536"/>
      <c r="H93" s="536"/>
      <c r="I93" s="536"/>
    </row>
    <row r="94" spans="3:9" x14ac:dyDescent="0.25">
      <c r="C94" s="536" t="str">
        <f>Notes!B80</f>
        <v>External wall framing: MGP10 blue 90x35mm stud @ 450mm centres</v>
      </c>
      <c r="D94" s="536"/>
      <c r="E94" s="536"/>
      <c r="F94" s="536"/>
      <c r="G94" s="536"/>
      <c r="H94" s="536"/>
      <c r="I94" s="536"/>
    </row>
    <row r="95" spans="3:9" ht="14.45" customHeight="1" x14ac:dyDescent="0.25">
      <c r="C95" s="536" t="str">
        <f>Notes!B81</f>
        <v>Roof batten: 70 x 35mm pine, 3No. at the first/last 1200mm &amp; 900mm centers in the middle</v>
      </c>
      <c r="D95" s="536"/>
      <c r="E95" s="536"/>
      <c r="F95" s="536"/>
      <c r="G95" s="536"/>
      <c r="H95" s="536"/>
      <c r="I95" s="536"/>
    </row>
    <row r="96" spans="3:9" x14ac:dyDescent="0.25">
      <c r="C96" s="536" t="str">
        <f>Notes!B82</f>
        <v>Ceiling &amp; Soffit batten: 42 x 35mm pine at 450mm centers</v>
      </c>
      <c r="D96" s="536"/>
      <c r="E96" s="536"/>
      <c r="F96" s="536"/>
      <c r="G96" s="536"/>
      <c r="H96" s="536"/>
      <c r="I96" s="536"/>
    </row>
    <row r="97" spans="3:9" ht="14.45" customHeight="1" x14ac:dyDescent="0.25">
      <c r="C97" s="536" t="str">
        <f>Notes!B83</f>
        <v>Internal doors: hollow core</v>
      </c>
      <c r="D97" s="536"/>
      <c r="E97" s="536"/>
      <c r="F97" s="536"/>
      <c r="G97" s="536"/>
      <c r="H97" s="536"/>
      <c r="I97" s="536"/>
    </row>
    <row r="98" spans="3:9" ht="14.45" customHeight="1" x14ac:dyDescent="0.25">
      <c r="C98" s="536" t="str">
        <f>Notes!B84</f>
        <v>External doors: solidcore</v>
      </c>
      <c r="D98" s="536"/>
      <c r="E98" s="536"/>
      <c r="F98" s="536"/>
      <c r="G98" s="536"/>
      <c r="H98" s="536"/>
      <c r="I98" s="536"/>
    </row>
    <row r="99" spans="3:9" ht="14.45" customHeight="1" x14ac:dyDescent="0.25">
      <c r="C99" s="536" t="str">
        <f>Notes!B85</f>
        <v>Roof Framing: Half Truss at 900ctrs</v>
      </c>
      <c r="D99" s="536"/>
      <c r="E99" s="536"/>
      <c r="F99" s="536"/>
      <c r="G99" s="536"/>
      <c r="H99" s="536"/>
      <c r="I99" s="536"/>
    </row>
    <row r="100" spans="3:9" ht="14.45" customHeight="1" x14ac:dyDescent="0.25">
      <c r="C100" s="536"/>
      <c r="D100" s="536"/>
      <c r="E100" s="536"/>
      <c r="F100" s="536"/>
      <c r="G100" s="536"/>
      <c r="H100" s="536"/>
      <c r="I100" s="536"/>
    </row>
    <row r="101" spans="3:9" ht="14.45" customHeight="1" x14ac:dyDescent="0.25">
      <c r="C101" s="538" t="str">
        <f>Notes!B87</f>
        <v>Structural Steel</v>
      </c>
      <c r="D101" s="538"/>
      <c r="E101" s="538"/>
      <c r="F101" s="538"/>
      <c r="G101" s="538"/>
      <c r="H101" s="538"/>
      <c r="I101" s="538"/>
    </row>
    <row r="102" spans="3:9" x14ac:dyDescent="0.25">
      <c r="C102" s="536" t="str">
        <f>Notes!B88</f>
        <v>All exposed steelwork to be hot dip galvanised unless noted otherwise</v>
      </c>
      <c r="D102" s="536"/>
      <c r="E102" s="536"/>
      <c r="F102" s="536"/>
      <c r="G102" s="536"/>
      <c r="H102" s="536"/>
      <c r="I102" s="536"/>
    </row>
    <row r="103" spans="3:9" x14ac:dyDescent="0.25">
      <c r="C103" s="536"/>
      <c r="D103" s="536"/>
      <c r="E103" s="536"/>
      <c r="F103" s="536"/>
      <c r="G103" s="536"/>
      <c r="H103" s="536"/>
      <c r="I103" s="536"/>
    </row>
    <row r="104" spans="3:9" x14ac:dyDescent="0.25">
      <c r="C104" s="538" t="str">
        <f>Notes!B90</f>
        <v>Windows &amp; Doors</v>
      </c>
      <c r="D104" s="538"/>
      <c r="E104" s="538"/>
      <c r="F104" s="538"/>
      <c r="G104" s="538"/>
      <c r="H104" s="538"/>
      <c r="I104" s="538"/>
    </row>
    <row r="105" spans="3:9" ht="14.45" customHeight="1" x14ac:dyDescent="0.25">
      <c r="C105" s="536" t="str">
        <f>Notes!B91</f>
        <v>Windows and glazed doors to be aluminium framing</v>
      </c>
      <c r="D105" s="536"/>
      <c r="E105" s="536"/>
      <c r="F105" s="536"/>
      <c r="G105" s="536"/>
      <c r="H105" s="536"/>
      <c r="I105" s="536"/>
    </row>
    <row r="106" spans="3:9" ht="14.45" customHeight="1" x14ac:dyDescent="0.25">
      <c r="C106" s="536" t="str">
        <f>Notes!B92</f>
        <v>Windows and glazed doors to be single glazed - 5mm toughened glass</v>
      </c>
      <c r="D106" s="536"/>
      <c r="E106" s="536"/>
      <c r="F106" s="536"/>
      <c r="G106" s="536"/>
      <c r="H106" s="536"/>
      <c r="I106" s="536"/>
    </row>
    <row r="107" spans="3:9" ht="14.45" customHeight="1" x14ac:dyDescent="0.25">
      <c r="C107" s="536" t="str">
        <f>Notes!B93</f>
        <v>Allow Aluminium Sliding Windows - 1600W x 1200H - 2 Lite to Counter</v>
      </c>
      <c r="D107" s="536"/>
      <c r="E107" s="536"/>
      <c r="F107" s="536"/>
      <c r="G107" s="536"/>
      <c r="H107" s="536"/>
      <c r="I107" s="536"/>
    </row>
    <row r="108" spans="3:9" ht="14.45" customHeight="1" x14ac:dyDescent="0.25">
      <c r="C108" s="536"/>
      <c r="D108" s="536"/>
      <c r="E108" s="536"/>
      <c r="F108" s="536"/>
      <c r="G108" s="536"/>
      <c r="H108" s="536"/>
      <c r="I108" s="536"/>
    </row>
    <row r="109" spans="3:9" ht="14.45" customHeight="1" x14ac:dyDescent="0.25">
      <c r="C109" s="536"/>
      <c r="D109" s="536"/>
      <c r="E109" s="536"/>
      <c r="F109" s="536"/>
      <c r="G109" s="536"/>
      <c r="H109" s="536"/>
      <c r="I109" s="536"/>
    </row>
    <row r="110" spans="3:9" ht="14.45" customHeight="1" x14ac:dyDescent="0.25">
      <c r="C110" s="536"/>
      <c r="D110" s="536"/>
      <c r="E110" s="536"/>
      <c r="F110" s="536"/>
      <c r="G110" s="536"/>
      <c r="H110" s="536"/>
      <c r="I110" s="536"/>
    </row>
    <row r="111" spans="3:9" x14ac:dyDescent="0.25">
      <c r="C111" s="536"/>
      <c r="D111" s="536"/>
      <c r="E111" s="536"/>
      <c r="F111" s="536"/>
      <c r="G111" s="536"/>
      <c r="H111" s="536"/>
      <c r="I111" s="536"/>
    </row>
    <row r="115" spans="2:10" ht="18.75" x14ac:dyDescent="0.25">
      <c r="C115" s="412"/>
    </row>
    <row r="116" spans="2:10" ht="17.25" x14ac:dyDescent="0.25">
      <c r="C116" s="413"/>
    </row>
    <row r="117" spans="2:10" ht="18" x14ac:dyDescent="0.25">
      <c r="C117" s="414"/>
    </row>
    <row r="118" spans="2:10" ht="18" x14ac:dyDescent="0.25">
      <c r="C118" s="414"/>
    </row>
    <row r="119" spans="2:10" x14ac:dyDescent="0.25">
      <c r="C119" s="398"/>
    </row>
    <row r="120" spans="2:10" x14ac:dyDescent="0.25">
      <c r="B120" s="402"/>
      <c r="C120" s="415"/>
      <c r="D120" s="402"/>
      <c r="E120" s="402"/>
      <c r="F120" s="402"/>
      <c r="G120" s="402"/>
      <c r="H120" s="402"/>
      <c r="I120" s="402"/>
      <c r="J120" s="402"/>
    </row>
  </sheetData>
  <mergeCells count="88">
    <mergeCell ref="C107:I107"/>
    <mergeCell ref="C101:I101"/>
    <mergeCell ref="C108:I108"/>
    <mergeCell ref="C109:I109"/>
    <mergeCell ref="C110:I110"/>
    <mergeCell ref="C102:I102"/>
    <mergeCell ref="C103:I103"/>
    <mergeCell ref="C104:I104"/>
    <mergeCell ref="C105:I105"/>
    <mergeCell ref="C106:I106"/>
    <mergeCell ref="C93:I93"/>
    <mergeCell ref="C94:I94"/>
    <mergeCell ref="C99:I99"/>
    <mergeCell ref="C100:I100"/>
    <mergeCell ref="C97:I97"/>
    <mergeCell ref="C98:I98"/>
    <mergeCell ref="C84:I84"/>
    <mergeCell ref="C77:I77"/>
    <mergeCell ref="C78:I78"/>
    <mergeCell ref="C79:I79"/>
    <mergeCell ref="C92:I92"/>
    <mergeCell ref="C73:I73"/>
    <mergeCell ref="C80:I80"/>
    <mergeCell ref="C81:I81"/>
    <mergeCell ref="C82:I82"/>
    <mergeCell ref="C83:I83"/>
    <mergeCell ref="C66:I66"/>
    <mergeCell ref="C65:I65"/>
    <mergeCell ref="C111:I111"/>
    <mergeCell ref="C74:I74"/>
    <mergeCell ref="C75:I75"/>
    <mergeCell ref="C76:I76"/>
    <mergeCell ref="C87:I87"/>
    <mergeCell ref="C88:I88"/>
    <mergeCell ref="C89:I89"/>
    <mergeCell ref="C90:I90"/>
    <mergeCell ref="C85:I85"/>
    <mergeCell ref="C86:I86"/>
    <mergeCell ref="C95:I95"/>
    <mergeCell ref="C96:I96"/>
    <mergeCell ref="C91:I91"/>
    <mergeCell ref="C72:I72"/>
    <mergeCell ref="C67:I67"/>
    <mergeCell ref="C70:I70"/>
    <mergeCell ref="C69:I69"/>
    <mergeCell ref="C71:I71"/>
    <mergeCell ref="C68:I68"/>
    <mergeCell ref="C44:H44"/>
    <mergeCell ref="C60:H60"/>
    <mergeCell ref="C51:H51"/>
    <mergeCell ref="C52:H52"/>
    <mergeCell ref="C53:H53"/>
    <mergeCell ref="C55:H55"/>
    <mergeCell ref="C58:H58"/>
    <mergeCell ref="C54:H54"/>
    <mergeCell ref="C56:H56"/>
    <mergeCell ref="C57:H57"/>
    <mergeCell ref="C59:H59"/>
    <mergeCell ref="C50:H50"/>
    <mergeCell ref="C45:H45"/>
    <mergeCell ref="C40:H40"/>
    <mergeCell ref="C41:H41"/>
    <mergeCell ref="C42:H42"/>
    <mergeCell ref="C43:H43"/>
    <mergeCell ref="C29:H29"/>
    <mergeCell ref="C35:H35"/>
    <mergeCell ref="C36:H36"/>
    <mergeCell ref="C37:H37"/>
    <mergeCell ref="C38:H38"/>
    <mergeCell ref="C39:H39"/>
    <mergeCell ref="C30:H30"/>
    <mergeCell ref="C31:H31"/>
    <mergeCell ref="C32:H32"/>
    <mergeCell ref="C33:H33"/>
    <mergeCell ref="C34:H34"/>
    <mergeCell ref="C28:H28"/>
    <mergeCell ref="G2:I4"/>
    <mergeCell ref="C22:H22"/>
    <mergeCell ref="C16:I16"/>
    <mergeCell ref="C18:H18"/>
    <mergeCell ref="C19:H19"/>
    <mergeCell ref="C20:H20"/>
    <mergeCell ref="C21:H21"/>
    <mergeCell ref="C23:H23"/>
    <mergeCell ref="C24:H24"/>
    <mergeCell ref="C25:H25"/>
    <mergeCell ref="C26:H26"/>
    <mergeCell ref="C27:H27"/>
  </mergeCells>
  <pageMargins left="0.7" right="0.7" top="0.75" bottom="0.75" header="0.3" footer="0.3"/>
  <pageSetup scale="75" orientation="portrait" r:id="rId1"/>
  <rowBreaks count="1" manualBreakCount="1">
    <brk id="49" min="1"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00B050"/>
  </sheetPr>
  <dimension ref="A1:S405"/>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Row="1" outlineLevelCol="1" x14ac:dyDescent="0.25"/>
  <cols>
    <col min="1" max="1" width="11" style="25" customWidth="1"/>
    <col min="2" max="2" width="58.42578125" style="25" customWidth="1"/>
    <col min="3" max="3" width="15.5703125" style="110" customWidth="1"/>
    <col min="4" max="4" width="15.5703125" style="36" customWidth="1"/>
    <col min="5" max="5" width="17" style="25" customWidth="1"/>
    <col min="6" max="6" width="21.42578125" style="108" bestFit="1" customWidth="1"/>
    <col min="7" max="7" width="1.140625" style="212" customWidth="1"/>
    <col min="8" max="11" width="15.5703125" style="25" customWidth="1" outlineLevel="1"/>
    <col min="12" max="12" width="17.5703125" style="25" customWidth="1" outlineLevel="1"/>
    <col min="13" max="13" width="61" style="88" customWidth="1" outlineLevel="1"/>
    <col min="14"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70" t="s">
        <v>22</v>
      </c>
      <c r="N1" s="71"/>
    </row>
    <row r="2" spans="1:19" s="79" customFormat="1" ht="20.100000000000001" customHeight="1" thickBot="1" x14ac:dyDescent="0.4">
      <c r="A2" s="72">
        <v>1</v>
      </c>
      <c r="B2" s="73" t="s" cm="1">
        <v>17</v>
      </c>
      <c r="C2" s="75"/>
      <c r="D2" s="76"/>
      <c r="E2" s="77"/>
      <c r="F2" s="78"/>
      <c r="G2" s="207"/>
      <c r="H2" s="221" t="s">
        <v>26</v>
      </c>
      <c r="I2" s="222" t="s">
        <v>27</v>
      </c>
      <c r="J2" s="222" t="s">
        <v>28</v>
      </c>
      <c r="K2" s="222" t="s">
        <v>34</v>
      </c>
      <c r="L2" s="222" t="s">
        <v>615</v>
      </c>
      <c r="M2" s="34"/>
      <c r="N2" s="71"/>
    </row>
    <row r="3" spans="1:19" s="90" customFormat="1" ht="18.75" x14ac:dyDescent="0.25">
      <c r="A3" s="82">
        <f ca="1">IF(C3&gt;0,MAX($A$1:OFFSET(A3,-1,0))+0.01,"")</f>
        <v>1.01</v>
      </c>
      <c r="B3" s="27" t="s">
        <v>616</v>
      </c>
      <c r="C3" s="83">
        <v>1</v>
      </c>
      <c r="D3" s="29" t="s">
        <v>24</v>
      </c>
      <c r="E3" s="85"/>
      <c r="F3" s="86">
        <f>IF(E3="inc",0,IF(C3="",0,C3*E3))</f>
        <v>0</v>
      </c>
      <c r="G3" s="208"/>
      <c r="H3" s="30"/>
      <c r="I3" s="30"/>
      <c r="J3" s="30"/>
      <c r="K3" s="30"/>
      <c r="L3" s="30"/>
      <c r="M3" s="34"/>
      <c r="N3" s="88"/>
      <c r="O3" s="25"/>
      <c r="P3" s="25"/>
      <c r="Q3" s="25"/>
      <c r="R3" s="25"/>
      <c r="S3" s="25"/>
    </row>
    <row r="4" spans="1:19" s="94" customFormat="1" ht="15.75" x14ac:dyDescent="0.25">
      <c r="A4" s="91"/>
      <c r="B4" s="24" t="s">
        <v>56</v>
      </c>
      <c r="C4" s="32">
        <v>0</v>
      </c>
      <c r="D4" s="32" t="s">
        <v>2346</v>
      </c>
      <c r="E4" s="92"/>
      <c r="F4" s="93"/>
      <c r="G4" s="209"/>
      <c r="H4" s="26"/>
      <c r="I4" s="26"/>
      <c r="J4" s="26"/>
      <c r="K4" s="26"/>
      <c r="L4" s="26"/>
      <c r="M4" s="34"/>
      <c r="N4" s="32"/>
      <c r="O4" s="44"/>
    </row>
    <row r="5" spans="1:19" s="94" customFormat="1" ht="15.75" x14ac:dyDescent="0.25">
      <c r="A5" s="91"/>
      <c r="B5" s="24" t="s">
        <v>55</v>
      </c>
      <c r="C5" s="32">
        <v>6</v>
      </c>
      <c r="D5" s="32" t="s">
        <v>159</v>
      </c>
      <c r="E5" s="92"/>
      <c r="F5" s="93"/>
      <c r="G5" s="209"/>
      <c r="H5" s="26"/>
      <c r="I5" s="26"/>
      <c r="J5" s="26"/>
      <c r="K5" s="26"/>
      <c r="L5" s="26"/>
      <c r="M5" s="34"/>
      <c r="N5" s="32"/>
      <c r="O5" s="44"/>
    </row>
    <row r="6" spans="1:19" s="94" customFormat="1" ht="15.75" x14ac:dyDescent="0.25">
      <c r="A6" s="91"/>
      <c r="B6" s="24" t="s">
        <v>54</v>
      </c>
      <c r="C6" s="32">
        <v>21</v>
      </c>
      <c r="D6" s="32" t="s">
        <v>159</v>
      </c>
      <c r="E6" s="92"/>
      <c r="F6" s="93"/>
      <c r="G6" s="209"/>
      <c r="H6" s="26"/>
      <c r="I6" s="26"/>
      <c r="J6" s="26"/>
      <c r="K6" s="26"/>
      <c r="L6" s="26"/>
      <c r="M6" s="34"/>
      <c r="N6" s="32"/>
      <c r="O6" s="44"/>
    </row>
    <row r="7" spans="1:19" s="94" customFormat="1" ht="15.75" x14ac:dyDescent="0.25">
      <c r="A7" s="91"/>
      <c r="B7" s="24" t="s">
        <v>53</v>
      </c>
      <c r="C7" s="32">
        <v>21</v>
      </c>
      <c r="D7" s="32" t="s">
        <v>159</v>
      </c>
      <c r="E7" s="92"/>
      <c r="F7" s="93"/>
      <c r="G7" s="209"/>
      <c r="H7" s="26"/>
      <c r="I7" s="26"/>
      <c r="J7" s="26"/>
      <c r="K7" s="26"/>
      <c r="L7" s="26"/>
      <c r="M7" s="34"/>
      <c r="N7" s="32"/>
      <c r="O7" s="44"/>
    </row>
    <row r="8" spans="1:19" s="94" customFormat="1" ht="15.75" x14ac:dyDescent="0.25">
      <c r="A8" s="91"/>
      <c r="B8" s="24" t="s">
        <v>52</v>
      </c>
      <c r="C8" s="32">
        <v>0</v>
      </c>
      <c r="D8" s="32" t="s">
        <v>2346</v>
      </c>
      <c r="E8" s="92"/>
      <c r="F8" s="93"/>
      <c r="G8" s="209"/>
      <c r="H8" s="26"/>
      <c r="I8" s="26"/>
      <c r="J8" s="26"/>
      <c r="K8" s="26"/>
      <c r="L8" s="26"/>
      <c r="M8" s="34"/>
      <c r="N8" s="32"/>
      <c r="O8" s="44"/>
    </row>
    <row r="9" spans="1:19" s="94" customFormat="1" ht="15.75" x14ac:dyDescent="0.25">
      <c r="A9" s="91"/>
      <c r="B9" s="24" t="s">
        <v>51</v>
      </c>
      <c r="C9" s="32">
        <v>0</v>
      </c>
      <c r="D9" s="32" t="s">
        <v>2346</v>
      </c>
      <c r="E9" s="92"/>
      <c r="F9" s="93"/>
      <c r="G9" s="209"/>
      <c r="H9" s="26"/>
      <c r="I9" s="26"/>
      <c r="J9" s="26"/>
      <c r="K9" s="26"/>
      <c r="L9" s="26"/>
      <c r="M9" s="34"/>
      <c r="N9" s="32"/>
      <c r="O9" s="44"/>
    </row>
    <row r="10" spans="1:19" s="94" customFormat="1" ht="15.75" x14ac:dyDescent="0.25">
      <c r="A10" s="91"/>
      <c r="B10" s="24" t="s">
        <v>803</v>
      </c>
      <c r="C10" s="32">
        <v>0</v>
      </c>
      <c r="D10" s="32" t="s">
        <v>2346</v>
      </c>
      <c r="E10" s="92"/>
      <c r="F10" s="93"/>
      <c r="G10" s="209"/>
      <c r="H10" s="26"/>
      <c r="I10" s="26"/>
      <c r="J10" s="26"/>
      <c r="K10" s="26"/>
      <c r="L10" s="26"/>
      <c r="M10" s="34"/>
      <c r="N10" s="32"/>
      <c r="O10" s="44"/>
    </row>
    <row r="11" spans="1:19" s="94" customFormat="1" ht="15.75" x14ac:dyDescent="0.25">
      <c r="A11" s="91"/>
      <c r="B11" s="24" t="s">
        <v>50</v>
      </c>
      <c r="C11" s="32">
        <v>6</v>
      </c>
      <c r="D11" s="32" t="s">
        <v>159</v>
      </c>
      <c r="E11" s="92"/>
      <c r="F11" s="93"/>
      <c r="G11" s="209"/>
      <c r="H11" s="26"/>
      <c r="I11" s="26"/>
      <c r="J11" s="26"/>
      <c r="K11" s="26"/>
      <c r="L11" s="26"/>
      <c r="M11" s="34"/>
      <c r="N11" s="32"/>
      <c r="O11" s="44"/>
    </row>
    <row r="12" spans="1:19" s="94" customFormat="1" ht="15.75" x14ac:dyDescent="0.25">
      <c r="A12" s="91"/>
      <c r="B12" s="24" t="s">
        <v>49</v>
      </c>
      <c r="C12" s="32">
        <v>21</v>
      </c>
      <c r="D12" s="32" t="s">
        <v>159</v>
      </c>
      <c r="E12" s="92"/>
      <c r="F12" s="93"/>
      <c r="G12" s="210"/>
      <c r="H12" s="26"/>
      <c r="I12" s="26"/>
      <c r="J12" s="26"/>
      <c r="K12" s="26"/>
      <c r="L12" s="26"/>
      <c r="M12" s="34"/>
      <c r="N12" s="32"/>
      <c r="O12" s="44"/>
    </row>
    <row r="13" spans="1:19" s="94" customFormat="1" ht="15.75" x14ac:dyDescent="0.25">
      <c r="A13" s="24"/>
      <c r="B13" s="24"/>
      <c r="C13" s="32">
        <v>0</v>
      </c>
      <c r="D13" s="32">
        <v>0</v>
      </c>
      <c r="E13" s="92"/>
      <c r="F13" s="93"/>
      <c r="G13" s="210"/>
      <c r="H13" s="26"/>
      <c r="I13" s="26"/>
      <c r="J13" s="26"/>
      <c r="K13" s="26"/>
      <c r="L13" s="26"/>
      <c r="M13" s="34"/>
      <c r="N13" s="32"/>
      <c r="O13" s="44"/>
    </row>
    <row r="14" spans="1:19" s="90" customFormat="1" ht="18.75" x14ac:dyDescent="0.25">
      <c r="A14" s="82">
        <f ca="1">IF(C14&gt;0,MAX($A$1:OFFSET(A14,-1,0))+0.01,"")</f>
        <v>1.02</v>
      </c>
      <c r="B14" s="27" t="s">
        <v>617</v>
      </c>
      <c r="C14" s="83">
        <v>1</v>
      </c>
      <c r="D14" s="29" t="s">
        <v>24</v>
      </c>
      <c r="E14" s="85"/>
      <c r="F14" s="86">
        <f>IF(E14="inc",0,IF(C14="",0,C14*E14))</f>
        <v>0</v>
      </c>
      <c r="G14" s="208"/>
      <c r="H14" s="30"/>
      <c r="I14" s="30"/>
      <c r="J14" s="30"/>
      <c r="K14" s="30"/>
      <c r="L14" s="30"/>
      <c r="M14" s="34"/>
      <c r="N14" s="88"/>
      <c r="O14" s="25"/>
      <c r="P14" s="25"/>
      <c r="Q14" s="25"/>
      <c r="R14" s="25"/>
      <c r="S14" s="25"/>
    </row>
    <row r="15" spans="1:19" s="94" customFormat="1" ht="15.75" x14ac:dyDescent="0.25">
      <c r="A15" s="95"/>
      <c r="B15" s="24" t="s">
        <v>816</v>
      </c>
      <c r="C15" s="32">
        <v>41</v>
      </c>
      <c r="D15" s="32" t="s">
        <v>15</v>
      </c>
      <c r="E15" s="96"/>
      <c r="F15" s="93"/>
      <c r="G15" s="210"/>
      <c r="H15" s="26"/>
      <c r="I15" s="26"/>
      <c r="J15" s="26"/>
      <c r="K15" s="26"/>
      <c r="L15" s="26"/>
      <c r="M15" s="34"/>
      <c r="N15" s="32"/>
      <c r="O15" s="44"/>
    </row>
    <row r="16" spans="1:19" s="94" customFormat="1" ht="15.75" x14ac:dyDescent="0.25">
      <c r="A16" s="91"/>
      <c r="B16" s="24" t="s">
        <v>671</v>
      </c>
      <c r="C16" s="32">
        <v>0</v>
      </c>
      <c r="D16" s="32" t="s">
        <v>24</v>
      </c>
      <c r="E16" s="92"/>
      <c r="F16" s="93"/>
      <c r="G16" s="210"/>
      <c r="H16" s="26"/>
      <c r="I16" s="26"/>
      <c r="J16" s="26"/>
      <c r="K16" s="26"/>
      <c r="L16" s="26"/>
      <c r="M16" s="34"/>
      <c r="N16" s="32"/>
      <c r="O16" s="44"/>
    </row>
    <row r="17" spans="1:19" s="94" customFormat="1" ht="15.75" x14ac:dyDescent="0.25">
      <c r="A17" s="91"/>
      <c r="B17" s="24" t="s">
        <v>128</v>
      </c>
      <c r="C17" s="32">
        <v>1</v>
      </c>
      <c r="D17" s="32" t="s">
        <v>5</v>
      </c>
      <c r="E17" s="92"/>
      <c r="F17" s="93"/>
      <c r="G17" s="210"/>
      <c r="H17" s="26"/>
      <c r="I17" s="26"/>
      <c r="J17" s="26"/>
      <c r="K17" s="26"/>
      <c r="L17" s="26"/>
      <c r="M17" s="34"/>
      <c r="N17" s="32"/>
      <c r="O17" s="44"/>
    </row>
    <row r="18" spans="1:19" s="94" customFormat="1" ht="15.75" x14ac:dyDescent="0.25">
      <c r="A18" s="91"/>
      <c r="B18" s="24" t="s">
        <v>127</v>
      </c>
      <c r="C18" s="32">
        <v>1</v>
      </c>
      <c r="D18" s="32" t="s">
        <v>5</v>
      </c>
      <c r="E18" s="92"/>
      <c r="F18" s="93"/>
      <c r="G18" s="210"/>
      <c r="H18" s="26"/>
      <c r="I18" s="26"/>
      <c r="J18" s="26"/>
      <c r="K18" s="26"/>
      <c r="L18" s="26"/>
      <c r="M18" s="34"/>
      <c r="N18" s="32"/>
      <c r="O18" s="44"/>
    </row>
    <row r="19" spans="1:19" s="94" customFormat="1" ht="15.75" outlineLevel="1" x14ac:dyDescent="0.25">
      <c r="A19" s="91"/>
      <c r="B19" s="24"/>
      <c r="C19" s="32">
        <v>0</v>
      </c>
      <c r="D19" s="32">
        <v>0</v>
      </c>
      <c r="E19" s="92"/>
      <c r="F19" s="93"/>
      <c r="G19" s="210"/>
      <c r="H19" s="26"/>
      <c r="I19" s="26"/>
      <c r="J19" s="26"/>
      <c r="K19" s="26"/>
      <c r="L19" s="26"/>
      <c r="M19" s="34"/>
      <c r="N19" s="32"/>
      <c r="O19" s="44"/>
    </row>
    <row r="20" spans="1:19" s="94" customFormat="1" ht="15.75" outlineLevel="1" x14ac:dyDescent="0.25">
      <c r="A20" s="91"/>
      <c r="B20" s="24"/>
      <c r="C20" s="32">
        <v>0</v>
      </c>
      <c r="D20" s="32">
        <v>0</v>
      </c>
      <c r="E20" s="92"/>
      <c r="F20" s="93"/>
      <c r="G20" s="210"/>
      <c r="H20" s="26"/>
      <c r="I20" s="26"/>
      <c r="J20" s="26"/>
      <c r="K20" s="26"/>
      <c r="L20" s="26"/>
      <c r="M20" s="34"/>
      <c r="N20" s="32"/>
      <c r="O20" s="44"/>
    </row>
    <row r="21" spans="1:19" s="94" customFormat="1" ht="15.75" outlineLevel="1" x14ac:dyDescent="0.25">
      <c r="A21" s="24"/>
      <c r="B21" s="24"/>
      <c r="C21" s="32">
        <v>0</v>
      </c>
      <c r="D21" s="32">
        <v>0</v>
      </c>
      <c r="E21" s="92"/>
      <c r="F21" s="93"/>
      <c r="G21" s="210"/>
      <c r="H21" s="26"/>
      <c r="I21" s="26"/>
      <c r="J21" s="26"/>
      <c r="K21" s="26"/>
      <c r="L21" s="26"/>
      <c r="M21" s="34"/>
      <c r="N21" s="32"/>
      <c r="O21" s="44"/>
    </row>
    <row r="22" spans="1:19" s="94" customFormat="1" ht="15.75" outlineLevel="1" x14ac:dyDescent="0.25">
      <c r="A22" s="24"/>
      <c r="B22" s="24"/>
      <c r="C22" s="32">
        <v>0</v>
      </c>
      <c r="D22" s="32">
        <v>0</v>
      </c>
      <c r="E22" s="92"/>
      <c r="F22" s="93"/>
      <c r="G22" s="210"/>
      <c r="H22" s="26"/>
      <c r="I22" s="26"/>
      <c r="J22" s="26"/>
      <c r="K22" s="26"/>
      <c r="L22" s="26"/>
      <c r="M22" s="34"/>
      <c r="N22" s="32"/>
      <c r="O22" s="44"/>
    </row>
    <row r="23" spans="1:19" s="94" customFormat="1" ht="15.75" outlineLevel="1" x14ac:dyDescent="0.25">
      <c r="A23" s="24"/>
      <c r="B23" s="24"/>
      <c r="C23" s="32">
        <v>0</v>
      </c>
      <c r="D23" s="32">
        <v>0</v>
      </c>
      <c r="E23" s="92"/>
      <c r="F23" s="93"/>
      <c r="G23" s="210"/>
      <c r="H23" s="26"/>
      <c r="I23" s="26"/>
      <c r="J23" s="26"/>
      <c r="K23" s="26"/>
      <c r="L23" s="26"/>
      <c r="M23" s="34"/>
      <c r="N23" s="32"/>
      <c r="O23" s="44"/>
    </row>
    <row r="24" spans="1:19" s="94" customFormat="1" ht="15.75" x14ac:dyDescent="0.25">
      <c r="A24" s="24"/>
      <c r="B24" s="24"/>
      <c r="C24" s="32">
        <v>0</v>
      </c>
      <c r="D24" s="32">
        <v>0</v>
      </c>
      <c r="E24" s="92"/>
      <c r="F24" s="93"/>
      <c r="G24" s="210"/>
      <c r="H24" s="26"/>
      <c r="I24" s="26"/>
      <c r="J24" s="26"/>
      <c r="K24" s="26"/>
      <c r="L24" s="26"/>
      <c r="M24" s="34"/>
      <c r="N24" s="32"/>
      <c r="O24" s="44"/>
    </row>
    <row r="25" spans="1:19" s="90" customFormat="1" ht="18.75" x14ac:dyDescent="0.25">
      <c r="A25" s="82" t="str">
        <f ca="1">IF(C25&gt;0,MAX($A$1:OFFSET(A25,-1,0))+0.01,"")</f>
        <v/>
      </c>
      <c r="B25" s="27" t="s">
        <v>621</v>
      </c>
      <c r="C25" s="83">
        <v>0</v>
      </c>
      <c r="D25" s="29" t="s">
        <v>24</v>
      </c>
      <c r="E25" s="85"/>
      <c r="F25" s="86">
        <f>IF(E25="inc",0,IF(C25="",0,C25*E25))</f>
        <v>0</v>
      </c>
      <c r="G25" s="208"/>
      <c r="H25" s="30"/>
      <c r="I25" s="30"/>
      <c r="J25" s="30"/>
      <c r="K25" s="30"/>
      <c r="L25" s="30"/>
      <c r="M25" s="87"/>
      <c r="N25" s="88"/>
      <c r="O25" s="25"/>
      <c r="P25" s="25"/>
      <c r="Q25" s="25"/>
      <c r="R25" s="25"/>
      <c r="S25" s="25"/>
    </row>
    <row r="26" spans="1:19" s="94" customFormat="1" ht="15.75" x14ac:dyDescent="0.25">
      <c r="A26" s="91"/>
      <c r="B26" s="24" t="s">
        <v>112</v>
      </c>
      <c r="C26" s="32">
        <v>0</v>
      </c>
      <c r="D26" s="32" t="s">
        <v>154</v>
      </c>
      <c r="E26" s="92"/>
      <c r="F26" s="93"/>
      <c r="G26" s="210"/>
      <c r="H26" s="26"/>
      <c r="I26" s="26"/>
      <c r="J26" s="26"/>
      <c r="K26" s="26"/>
      <c r="L26" s="26"/>
      <c r="M26" s="34"/>
      <c r="N26" s="32"/>
      <c r="O26" s="44"/>
    </row>
    <row r="27" spans="1:19" s="94" customFormat="1" ht="15.75" x14ac:dyDescent="0.25">
      <c r="A27" s="91"/>
      <c r="B27" s="24" t="s">
        <v>111</v>
      </c>
      <c r="C27" s="32">
        <v>0</v>
      </c>
      <c r="D27" s="32" t="s">
        <v>154</v>
      </c>
      <c r="E27" s="92"/>
      <c r="F27" s="93"/>
      <c r="G27" s="210"/>
      <c r="H27" s="26"/>
      <c r="I27" s="26"/>
      <c r="J27" s="26"/>
      <c r="K27" s="26"/>
      <c r="L27" s="26"/>
      <c r="M27" s="34"/>
      <c r="N27" s="32"/>
      <c r="O27" s="44"/>
    </row>
    <row r="28" spans="1:19" s="94" customFormat="1" ht="15.75" x14ac:dyDescent="0.25">
      <c r="A28" s="91"/>
      <c r="B28" s="24" t="s">
        <v>110</v>
      </c>
      <c r="C28" s="32">
        <v>0</v>
      </c>
      <c r="D28" s="32" t="s">
        <v>154</v>
      </c>
      <c r="E28" s="92"/>
      <c r="F28" s="93"/>
      <c r="G28" s="210"/>
      <c r="H28" s="26"/>
      <c r="I28" s="26"/>
      <c r="J28" s="26"/>
      <c r="K28" s="26"/>
      <c r="L28" s="26"/>
      <c r="M28" s="34"/>
      <c r="N28" s="32"/>
      <c r="O28" s="44"/>
    </row>
    <row r="29" spans="1:19" s="94" customFormat="1" ht="15.75" x14ac:dyDescent="0.25">
      <c r="A29" s="91"/>
      <c r="B29" s="24" t="s">
        <v>156</v>
      </c>
      <c r="C29" s="32">
        <v>0</v>
      </c>
      <c r="D29" s="32" t="s">
        <v>159</v>
      </c>
      <c r="E29" s="92"/>
      <c r="F29" s="93"/>
      <c r="G29" s="210"/>
      <c r="H29" s="26"/>
      <c r="I29" s="26"/>
      <c r="J29" s="26"/>
      <c r="K29" s="26"/>
      <c r="L29" s="26"/>
      <c r="M29" s="34"/>
      <c r="N29" s="32"/>
      <c r="O29" s="44"/>
    </row>
    <row r="30" spans="1:19" s="94" customFormat="1" ht="15.75" x14ac:dyDescent="0.25">
      <c r="A30" s="91"/>
      <c r="B30" s="24" t="s">
        <v>157</v>
      </c>
      <c r="C30" s="32">
        <v>0</v>
      </c>
      <c r="D30" s="32" t="s">
        <v>159</v>
      </c>
      <c r="E30" s="92"/>
      <c r="F30" s="93"/>
      <c r="G30" s="210"/>
      <c r="H30" s="26"/>
      <c r="I30" s="26"/>
      <c r="J30" s="26"/>
      <c r="K30" s="26"/>
      <c r="L30" s="26"/>
      <c r="M30" s="34"/>
      <c r="N30" s="32"/>
      <c r="O30" s="44"/>
    </row>
    <row r="31" spans="1:19" s="94" customFormat="1" ht="15.75" x14ac:dyDescent="0.25">
      <c r="A31" s="91"/>
      <c r="B31" s="24" t="s">
        <v>158</v>
      </c>
      <c r="C31" s="32">
        <v>0</v>
      </c>
      <c r="D31" s="32" t="s">
        <v>159</v>
      </c>
      <c r="E31" s="92"/>
      <c r="F31" s="93"/>
      <c r="G31" s="210"/>
      <c r="H31" s="26"/>
      <c r="I31" s="26"/>
      <c r="J31" s="26"/>
      <c r="K31" s="26"/>
      <c r="L31" s="26"/>
      <c r="M31" s="34"/>
      <c r="N31" s="32"/>
      <c r="O31" s="44"/>
    </row>
    <row r="32" spans="1:19" s="94" customFormat="1" ht="15.75" x14ac:dyDescent="0.25">
      <c r="A32" s="91"/>
      <c r="B32" s="24" t="s">
        <v>160</v>
      </c>
      <c r="C32" s="32">
        <v>0</v>
      </c>
      <c r="D32" s="32" t="s">
        <v>24</v>
      </c>
      <c r="E32" s="92"/>
      <c r="F32" s="93"/>
      <c r="G32" s="210"/>
      <c r="H32" s="26"/>
      <c r="I32" s="26"/>
      <c r="J32" s="26"/>
      <c r="K32" s="26"/>
      <c r="L32" s="26"/>
      <c r="M32" s="34"/>
      <c r="N32" s="32"/>
      <c r="O32" s="44"/>
    </row>
    <row r="33" spans="1:19" s="94" customFormat="1" ht="15.75" outlineLevel="1" x14ac:dyDescent="0.25">
      <c r="A33" s="91"/>
      <c r="B33" s="24"/>
      <c r="C33" s="32">
        <v>0</v>
      </c>
      <c r="D33" s="32">
        <v>0</v>
      </c>
      <c r="E33" s="92"/>
      <c r="F33" s="93"/>
      <c r="G33" s="208"/>
      <c r="H33" s="26"/>
      <c r="I33" s="26"/>
      <c r="J33" s="26"/>
      <c r="K33" s="26"/>
      <c r="L33" s="26"/>
      <c r="M33" s="34"/>
      <c r="N33" s="32"/>
      <c r="O33" s="44"/>
    </row>
    <row r="34" spans="1:19" s="94" customFormat="1" ht="15.75" outlineLevel="1" x14ac:dyDescent="0.25">
      <c r="A34" s="24"/>
      <c r="B34" s="24"/>
      <c r="C34" s="32">
        <v>0</v>
      </c>
      <c r="D34" s="32">
        <v>0</v>
      </c>
      <c r="E34" s="92"/>
      <c r="F34" s="93"/>
      <c r="G34" s="210"/>
      <c r="H34" s="26"/>
      <c r="I34" s="26"/>
      <c r="J34" s="26"/>
      <c r="K34" s="26"/>
      <c r="L34" s="26"/>
      <c r="M34" s="34"/>
      <c r="N34" s="32"/>
      <c r="O34" s="44"/>
    </row>
    <row r="35" spans="1:19" s="94" customFormat="1" ht="15.75" x14ac:dyDescent="0.25">
      <c r="A35" s="24"/>
      <c r="B35" s="24"/>
      <c r="C35" s="32">
        <v>0</v>
      </c>
      <c r="D35" s="32">
        <v>0</v>
      </c>
      <c r="E35" s="92"/>
      <c r="F35" s="93"/>
      <c r="G35" s="210"/>
      <c r="H35" s="26"/>
      <c r="I35" s="26"/>
      <c r="J35" s="26"/>
      <c r="K35" s="26"/>
      <c r="L35" s="26"/>
      <c r="M35" s="34"/>
      <c r="N35" s="32"/>
      <c r="O35" s="44"/>
    </row>
    <row r="36" spans="1:19" s="90" customFormat="1" ht="18.75" x14ac:dyDescent="0.25">
      <c r="A36" s="82">
        <f ca="1">IF(C36&gt;0,MAX($A$1:OFFSET(A36,-1,0))+0.01,"")</f>
        <v>1.03</v>
      </c>
      <c r="B36" s="27" t="s">
        <v>624</v>
      </c>
      <c r="C36" s="83">
        <v>1</v>
      </c>
      <c r="D36" s="29" t="s">
        <v>24</v>
      </c>
      <c r="E36" s="85"/>
      <c r="F36" s="86">
        <f>IF(E36="inc",0,IF(C36="",0,C36*E36))</f>
        <v>0</v>
      </c>
      <c r="G36" s="208"/>
      <c r="H36" s="30"/>
      <c r="I36" s="30"/>
      <c r="J36" s="30"/>
      <c r="K36" s="30"/>
      <c r="L36" s="30"/>
      <c r="M36" s="87"/>
      <c r="N36" s="88"/>
      <c r="O36" s="25"/>
      <c r="P36" s="25"/>
      <c r="Q36" s="25"/>
      <c r="R36" s="25"/>
      <c r="S36" s="25"/>
    </row>
    <row r="37" spans="1:19" s="94" customFormat="1" ht="15.75" x14ac:dyDescent="0.25">
      <c r="A37" s="91"/>
      <c r="B37" s="24" t="s">
        <v>903</v>
      </c>
      <c r="C37" s="32">
        <v>120.247</v>
      </c>
      <c r="D37" s="32" t="s">
        <v>11</v>
      </c>
      <c r="E37" s="92"/>
      <c r="F37" s="93"/>
      <c r="G37" s="210"/>
      <c r="H37" s="26"/>
      <c r="I37" s="26"/>
      <c r="J37" s="26"/>
      <c r="K37" s="26"/>
      <c r="L37" s="26"/>
      <c r="M37" s="34"/>
      <c r="N37" s="32"/>
      <c r="O37" s="44"/>
    </row>
    <row r="38" spans="1:19" s="94" customFormat="1" ht="15.75" outlineLevel="1" x14ac:dyDescent="0.25">
      <c r="A38" s="91"/>
      <c r="B38" s="24"/>
      <c r="C38" s="32" t="s">
        <v>2346</v>
      </c>
      <c r="D38" s="32">
        <v>0</v>
      </c>
      <c r="E38" s="92"/>
      <c r="F38" s="93"/>
      <c r="G38" s="210"/>
      <c r="H38" s="26"/>
      <c r="I38" s="26"/>
      <c r="J38" s="26"/>
      <c r="K38" s="26"/>
      <c r="L38" s="26"/>
      <c r="M38" s="34"/>
      <c r="N38" s="32"/>
      <c r="O38" s="44"/>
    </row>
    <row r="39" spans="1:19" s="94" customFormat="1" ht="15.75" outlineLevel="1" x14ac:dyDescent="0.25">
      <c r="A39" s="95"/>
      <c r="B39" s="24"/>
      <c r="C39" s="32" t="s">
        <v>2346</v>
      </c>
      <c r="D39" s="32">
        <v>0</v>
      </c>
      <c r="E39" s="92"/>
      <c r="F39" s="93"/>
      <c r="G39" s="208"/>
      <c r="H39" s="26"/>
      <c r="I39" s="26"/>
      <c r="J39" s="26"/>
      <c r="K39" s="26"/>
      <c r="L39" s="26"/>
      <c r="M39" s="34"/>
      <c r="N39" s="32"/>
      <c r="O39" s="44"/>
    </row>
    <row r="40" spans="1:19" s="94" customFormat="1" ht="15.75" outlineLevel="1" x14ac:dyDescent="0.25">
      <c r="A40" s="24"/>
      <c r="B40" s="24"/>
      <c r="C40" s="32" t="s">
        <v>2346</v>
      </c>
      <c r="D40" s="32">
        <v>0</v>
      </c>
      <c r="E40" s="26"/>
      <c r="F40" s="33"/>
      <c r="G40" s="210"/>
      <c r="H40" s="26"/>
      <c r="I40" s="26"/>
      <c r="J40" s="26"/>
      <c r="K40" s="26"/>
      <c r="L40" s="26"/>
      <c r="M40" s="34"/>
      <c r="N40" s="32"/>
      <c r="O40" s="44"/>
    </row>
    <row r="41" spans="1:19" s="94" customFormat="1" ht="15.75" outlineLevel="1" x14ac:dyDescent="0.25">
      <c r="A41" s="24"/>
      <c r="B41" s="24"/>
      <c r="C41" s="32" t="s">
        <v>2346</v>
      </c>
      <c r="D41" s="32">
        <v>0</v>
      </c>
      <c r="E41" s="26"/>
      <c r="F41" s="33"/>
      <c r="G41" s="210"/>
      <c r="H41" s="26"/>
      <c r="I41" s="26"/>
      <c r="J41" s="26"/>
      <c r="K41" s="26"/>
      <c r="L41" s="26"/>
      <c r="M41" s="34"/>
      <c r="N41" s="32"/>
      <c r="O41" s="44"/>
    </row>
    <row r="42" spans="1:19" s="94" customFormat="1" ht="15.75" outlineLevel="1" x14ac:dyDescent="0.25">
      <c r="A42" s="24"/>
      <c r="B42" s="24"/>
      <c r="C42" s="32" t="s">
        <v>2346</v>
      </c>
      <c r="D42" s="32">
        <v>0</v>
      </c>
      <c r="E42" s="26"/>
      <c r="F42" s="33"/>
      <c r="G42" s="210"/>
      <c r="H42" s="26"/>
      <c r="I42" s="26"/>
      <c r="J42" s="26"/>
      <c r="K42" s="26"/>
      <c r="L42" s="26"/>
      <c r="M42" s="34"/>
      <c r="N42" s="32"/>
      <c r="O42" s="44"/>
    </row>
    <row r="43" spans="1:19" s="94" customFormat="1" ht="15.75" outlineLevel="1" x14ac:dyDescent="0.25">
      <c r="A43" s="24"/>
      <c r="B43" s="24"/>
      <c r="C43" s="32" t="s">
        <v>2346</v>
      </c>
      <c r="D43" s="32">
        <v>0</v>
      </c>
      <c r="E43" s="26"/>
      <c r="F43" s="33"/>
      <c r="G43" s="210"/>
      <c r="H43" s="26"/>
      <c r="I43" s="26"/>
      <c r="J43" s="26"/>
      <c r="K43" s="26"/>
      <c r="L43" s="26"/>
      <c r="M43" s="34"/>
      <c r="N43" s="32"/>
      <c r="O43" s="44"/>
    </row>
    <row r="44" spans="1:19" s="94" customFormat="1" ht="15.75" outlineLevel="1" x14ac:dyDescent="0.25">
      <c r="A44" s="24"/>
      <c r="B44" s="24"/>
      <c r="C44" s="32" t="s">
        <v>2346</v>
      </c>
      <c r="D44" s="32">
        <v>0</v>
      </c>
      <c r="E44" s="26"/>
      <c r="F44" s="33"/>
      <c r="G44" s="210"/>
      <c r="H44" s="26"/>
      <c r="I44" s="26"/>
      <c r="J44" s="26"/>
      <c r="K44" s="26"/>
      <c r="L44" s="26"/>
      <c r="M44" s="34"/>
      <c r="N44" s="32"/>
      <c r="O44" s="44"/>
    </row>
    <row r="45" spans="1:19" s="94" customFormat="1" ht="15.75" outlineLevel="1" x14ac:dyDescent="0.25">
      <c r="A45" s="24"/>
      <c r="B45" s="24"/>
      <c r="C45" s="32" t="s">
        <v>2346</v>
      </c>
      <c r="D45" s="32">
        <v>0</v>
      </c>
      <c r="E45" s="26"/>
      <c r="F45" s="33"/>
      <c r="G45" s="210"/>
      <c r="H45" s="26"/>
      <c r="I45" s="26"/>
      <c r="J45" s="26"/>
      <c r="K45" s="26"/>
      <c r="L45" s="26"/>
      <c r="M45" s="34"/>
      <c r="N45" s="32"/>
      <c r="O45" s="44"/>
    </row>
    <row r="46" spans="1:19" s="94" customFormat="1" ht="15.75" x14ac:dyDescent="0.25">
      <c r="A46" s="24"/>
      <c r="B46" s="24"/>
      <c r="C46" s="32" t="s">
        <v>2346</v>
      </c>
      <c r="D46" s="32">
        <v>0</v>
      </c>
      <c r="E46" s="26"/>
      <c r="F46" s="33"/>
      <c r="G46" s="210"/>
      <c r="H46" s="26"/>
      <c r="I46" s="26"/>
      <c r="J46" s="26"/>
      <c r="K46" s="26"/>
      <c r="L46" s="26"/>
      <c r="M46" s="34"/>
      <c r="N46" s="32"/>
      <c r="O46" s="44"/>
    </row>
    <row r="47" spans="1:19" s="90" customFormat="1" ht="18.75" x14ac:dyDescent="0.25">
      <c r="A47" s="82" t="str">
        <f ca="1">IF(C47&gt;0,MAX($A$1:OFFSET(A47,-1,0))+0.01,"")</f>
        <v/>
      </c>
      <c r="B47" s="27" t="s">
        <v>618</v>
      </c>
      <c r="C47" s="83">
        <v>0</v>
      </c>
      <c r="D47" s="29" t="s">
        <v>24</v>
      </c>
      <c r="E47" s="85"/>
      <c r="F47" s="86">
        <f>IF(E47="inc",0,IF(C47="",0,C47*E47))</f>
        <v>0</v>
      </c>
      <c r="G47" s="208"/>
      <c r="H47" s="30"/>
      <c r="I47" s="30"/>
      <c r="J47" s="30"/>
      <c r="K47" s="30"/>
      <c r="L47" s="30"/>
      <c r="M47" s="87"/>
      <c r="N47" s="88"/>
      <c r="O47" s="25"/>
      <c r="P47" s="25"/>
      <c r="Q47" s="25"/>
      <c r="R47" s="25"/>
      <c r="S47" s="25"/>
    </row>
    <row r="48" spans="1:19" s="94" customFormat="1" ht="15.75" x14ac:dyDescent="0.25">
      <c r="A48" s="91"/>
      <c r="B48" s="24" t="s">
        <v>872</v>
      </c>
      <c r="C48" s="32">
        <v>0</v>
      </c>
      <c r="D48" s="32" t="s">
        <v>24</v>
      </c>
      <c r="E48" s="92"/>
      <c r="F48" s="93"/>
      <c r="G48" s="210"/>
      <c r="H48" s="26"/>
      <c r="I48" s="26"/>
      <c r="J48" s="26"/>
      <c r="K48" s="26"/>
      <c r="L48" s="26"/>
      <c r="M48" s="34"/>
      <c r="N48" s="32"/>
      <c r="O48" s="44"/>
    </row>
    <row r="49" spans="1:19" s="94" customFormat="1" ht="15.75" x14ac:dyDescent="0.25">
      <c r="A49" s="91"/>
      <c r="B49" s="24" t="s">
        <v>873</v>
      </c>
      <c r="C49" s="32">
        <v>0</v>
      </c>
      <c r="D49" s="32" t="s">
        <v>24</v>
      </c>
      <c r="E49" s="92"/>
      <c r="F49" s="93"/>
      <c r="G49" s="210"/>
      <c r="H49" s="26"/>
      <c r="I49" s="26"/>
      <c r="J49" s="26"/>
      <c r="K49" s="26"/>
      <c r="L49" s="26"/>
      <c r="M49" s="34"/>
      <c r="N49" s="32"/>
      <c r="O49" s="44"/>
    </row>
    <row r="50" spans="1:19" s="94" customFormat="1" ht="15.75" x14ac:dyDescent="0.25">
      <c r="A50" s="91"/>
      <c r="B50" s="24" t="s">
        <v>874</v>
      </c>
      <c r="C50" s="32">
        <v>0</v>
      </c>
      <c r="D50" s="32" t="s">
        <v>24</v>
      </c>
      <c r="E50" s="92"/>
      <c r="F50" s="93"/>
      <c r="G50" s="210"/>
      <c r="H50" s="26"/>
      <c r="I50" s="26"/>
      <c r="J50" s="26"/>
      <c r="K50" s="26"/>
      <c r="L50" s="26"/>
      <c r="M50" s="34"/>
      <c r="N50" s="32"/>
      <c r="O50" s="44"/>
    </row>
    <row r="51" spans="1:19" s="94" customFormat="1" ht="15.75" x14ac:dyDescent="0.25">
      <c r="A51" s="91"/>
      <c r="B51" s="24" t="s">
        <v>875</v>
      </c>
      <c r="C51" s="32">
        <v>0</v>
      </c>
      <c r="D51" s="32" t="s">
        <v>24</v>
      </c>
      <c r="E51" s="92"/>
      <c r="F51" s="93"/>
      <c r="G51" s="210"/>
      <c r="H51" s="26"/>
      <c r="I51" s="26"/>
      <c r="J51" s="26"/>
      <c r="K51" s="26"/>
      <c r="L51" s="26"/>
      <c r="M51" s="34"/>
      <c r="N51" s="32"/>
      <c r="O51" s="44"/>
    </row>
    <row r="52" spans="1:19" s="94" customFormat="1" ht="15.75" x14ac:dyDescent="0.25">
      <c r="A52" s="91"/>
      <c r="B52" s="24" t="s">
        <v>871</v>
      </c>
      <c r="C52" s="32">
        <v>0</v>
      </c>
      <c r="D52" s="32" t="s">
        <v>154</v>
      </c>
      <c r="E52" s="92"/>
      <c r="F52" s="93"/>
      <c r="G52" s="210"/>
      <c r="H52" s="26"/>
      <c r="I52" s="26"/>
      <c r="J52" s="26"/>
      <c r="K52" s="26"/>
      <c r="L52" s="26"/>
      <c r="M52" s="34"/>
      <c r="N52" s="32"/>
      <c r="O52" s="44"/>
    </row>
    <row r="53" spans="1:19" s="94" customFormat="1" ht="15.75" x14ac:dyDescent="0.25">
      <c r="A53" s="91"/>
      <c r="B53" s="24" t="s">
        <v>126</v>
      </c>
      <c r="C53" s="32">
        <v>0</v>
      </c>
      <c r="D53" s="32" t="s">
        <v>154</v>
      </c>
      <c r="E53" s="92"/>
      <c r="F53" s="93"/>
      <c r="G53" s="210"/>
      <c r="H53" s="26"/>
      <c r="I53" s="26"/>
      <c r="J53" s="26"/>
      <c r="K53" s="26"/>
      <c r="L53" s="26"/>
      <c r="M53" s="34"/>
      <c r="N53" s="32"/>
      <c r="O53" s="44"/>
    </row>
    <row r="54" spans="1:19" s="94" customFormat="1" ht="15.75" outlineLevel="1" x14ac:dyDescent="0.25">
      <c r="A54" s="91"/>
      <c r="B54" s="24"/>
      <c r="C54" s="32">
        <v>0</v>
      </c>
      <c r="D54" s="32">
        <v>0</v>
      </c>
      <c r="E54" s="92"/>
      <c r="F54" s="93"/>
      <c r="G54" s="210"/>
      <c r="H54" s="26"/>
      <c r="I54" s="26"/>
      <c r="J54" s="26"/>
      <c r="K54" s="26"/>
      <c r="L54" s="26"/>
      <c r="M54" s="34"/>
      <c r="N54" s="32"/>
      <c r="O54" s="44"/>
    </row>
    <row r="55" spans="1:19" s="94" customFormat="1" ht="15.75" outlineLevel="1" x14ac:dyDescent="0.25">
      <c r="A55" s="91"/>
      <c r="B55" s="24"/>
      <c r="C55" s="32">
        <v>0</v>
      </c>
      <c r="D55" s="32">
        <v>0</v>
      </c>
      <c r="E55" s="92"/>
      <c r="F55" s="93"/>
      <c r="G55" s="210"/>
      <c r="H55" s="26"/>
      <c r="I55" s="26"/>
      <c r="J55" s="26"/>
      <c r="K55" s="26"/>
      <c r="L55" s="26"/>
      <c r="M55" s="34"/>
      <c r="N55" s="32"/>
      <c r="O55" s="44"/>
    </row>
    <row r="56" spans="1:19" s="94" customFormat="1" ht="15.75" outlineLevel="1" x14ac:dyDescent="0.25">
      <c r="A56" s="24"/>
      <c r="B56" s="24"/>
      <c r="C56" s="32">
        <v>0</v>
      </c>
      <c r="D56" s="32">
        <v>0</v>
      </c>
      <c r="E56" s="92"/>
      <c r="F56" s="93"/>
      <c r="G56" s="210"/>
      <c r="H56" s="26"/>
      <c r="I56" s="26"/>
      <c r="J56" s="26"/>
      <c r="K56" s="26"/>
      <c r="L56" s="26"/>
      <c r="M56" s="34"/>
      <c r="N56" s="32"/>
      <c r="O56" s="44"/>
    </row>
    <row r="57" spans="1:19" s="94" customFormat="1" ht="15.75" x14ac:dyDescent="0.25">
      <c r="A57" s="24"/>
      <c r="B57" s="24"/>
      <c r="C57" s="32">
        <v>0</v>
      </c>
      <c r="D57" s="32">
        <v>0</v>
      </c>
      <c r="E57" s="92"/>
      <c r="F57" s="93"/>
      <c r="G57" s="210"/>
      <c r="H57" s="26"/>
      <c r="I57" s="26"/>
      <c r="J57" s="26"/>
      <c r="K57" s="26"/>
      <c r="L57" s="26"/>
      <c r="M57" s="34"/>
      <c r="N57" s="32"/>
      <c r="O57" s="44"/>
    </row>
    <row r="58" spans="1:19" s="90" customFormat="1" ht="18.75" x14ac:dyDescent="0.25">
      <c r="A58" s="82">
        <f ca="1">IF(C58&gt;0,MAX($A$1:OFFSET(A58,-1,0))+0.01,"")</f>
        <v>1.04</v>
      </c>
      <c r="B58" s="27" t="s">
        <v>672</v>
      </c>
      <c r="C58" s="83">
        <v>1</v>
      </c>
      <c r="D58" s="29" t="s">
        <v>24</v>
      </c>
      <c r="E58" s="85"/>
      <c r="F58" s="86">
        <f>IF(E58="inc",0,IF(C58="",0,C58*E58))</f>
        <v>0</v>
      </c>
      <c r="G58" s="208"/>
      <c r="H58" s="30"/>
      <c r="I58" s="30"/>
      <c r="J58" s="30"/>
      <c r="K58" s="30"/>
      <c r="L58" s="30"/>
      <c r="M58" s="87"/>
      <c r="N58" s="88"/>
      <c r="O58" s="25"/>
      <c r="P58" s="25"/>
      <c r="Q58" s="25"/>
      <c r="R58" s="25"/>
      <c r="S58" s="25"/>
    </row>
    <row r="59" spans="1:19" s="94" customFormat="1" ht="15.75" x14ac:dyDescent="0.25">
      <c r="A59" s="91"/>
      <c r="B59" s="24" t="s">
        <v>125</v>
      </c>
      <c r="C59" s="32">
        <v>21</v>
      </c>
      <c r="D59" s="32" t="s">
        <v>153</v>
      </c>
      <c r="E59" s="92"/>
      <c r="F59" s="93"/>
      <c r="G59" s="210"/>
      <c r="H59" s="26"/>
      <c r="I59" s="26"/>
      <c r="J59" s="26"/>
      <c r="K59" s="26"/>
      <c r="L59" s="26"/>
      <c r="M59" s="34"/>
      <c r="N59" s="32"/>
      <c r="O59" s="44"/>
    </row>
    <row r="60" spans="1:19" s="94" customFormat="1" ht="15.75" x14ac:dyDescent="0.25">
      <c r="A60" s="91"/>
      <c r="B60" s="24" t="s">
        <v>124</v>
      </c>
      <c r="C60" s="32">
        <v>21</v>
      </c>
      <c r="D60" s="32" t="s">
        <v>153</v>
      </c>
      <c r="E60" s="92"/>
      <c r="F60" s="93"/>
      <c r="G60" s="210"/>
      <c r="H60" s="26"/>
      <c r="I60" s="26"/>
      <c r="J60" s="26"/>
      <c r="K60" s="26"/>
      <c r="L60" s="26"/>
      <c r="M60" s="34"/>
      <c r="N60" s="32"/>
      <c r="O60" s="44"/>
    </row>
    <row r="61" spans="1:19" s="94" customFormat="1" ht="15.75" x14ac:dyDescent="0.25">
      <c r="A61" s="91"/>
      <c r="B61" s="24" t="s">
        <v>815</v>
      </c>
      <c r="C61" s="32">
        <v>42</v>
      </c>
      <c r="D61" s="32" t="s">
        <v>153</v>
      </c>
      <c r="E61" s="92"/>
      <c r="F61" s="93"/>
      <c r="G61" s="210"/>
      <c r="H61" s="26"/>
      <c r="I61" s="26"/>
      <c r="J61" s="26"/>
      <c r="K61" s="26"/>
      <c r="L61" s="26"/>
      <c r="M61" s="34"/>
      <c r="N61" s="32"/>
      <c r="O61" s="44"/>
    </row>
    <row r="62" spans="1:19" s="94" customFormat="1" ht="15.75" x14ac:dyDescent="0.25">
      <c r="A62" s="91"/>
      <c r="B62" s="24" t="s">
        <v>814</v>
      </c>
      <c r="C62" s="32">
        <v>1</v>
      </c>
      <c r="D62" s="32" t="s">
        <v>5</v>
      </c>
      <c r="E62" s="92"/>
      <c r="F62" s="93"/>
      <c r="G62" s="210"/>
      <c r="H62" s="26"/>
      <c r="I62" s="26"/>
      <c r="J62" s="26"/>
      <c r="K62" s="26"/>
      <c r="L62" s="26"/>
      <c r="M62" s="34"/>
      <c r="N62" s="32"/>
      <c r="O62" s="44"/>
    </row>
    <row r="63" spans="1:19" s="94" customFormat="1" ht="15.75" x14ac:dyDescent="0.25">
      <c r="A63" s="91"/>
      <c r="B63" s="24" t="s">
        <v>813</v>
      </c>
      <c r="C63" s="32">
        <v>21</v>
      </c>
      <c r="D63" s="32" t="s">
        <v>5</v>
      </c>
      <c r="E63" s="92"/>
      <c r="F63" s="93"/>
      <c r="G63" s="210"/>
      <c r="H63" s="26"/>
      <c r="I63" s="26"/>
      <c r="J63" s="26"/>
      <c r="K63" s="26"/>
      <c r="L63" s="26"/>
      <c r="M63" s="34"/>
      <c r="N63" s="32"/>
      <c r="O63" s="44"/>
    </row>
    <row r="64" spans="1:19" s="94" customFormat="1" ht="15.75" outlineLevel="1" x14ac:dyDescent="0.25">
      <c r="A64" s="91"/>
      <c r="B64" s="24"/>
      <c r="C64" s="32">
        <v>0</v>
      </c>
      <c r="D64" s="32">
        <v>0</v>
      </c>
      <c r="E64" s="92"/>
      <c r="F64" s="93"/>
      <c r="G64" s="210"/>
      <c r="H64" s="26"/>
      <c r="I64" s="26"/>
      <c r="J64" s="26"/>
      <c r="K64" s="26"/>
      <c r="L64" s="26"/>
      <c r="M64" s="34"/>
      <c r="N64" s="32"/>
      <c r="O64" s="44"/>
    </row>
    <row r="65" spans="1:19" s="94" customFormat="1" ht="15.75" outlineLevel="1" x14ac:dyDescent="0.25">
      <c r="A65" s="91"/>
      <c r="B65" s="24"/>
      <c r="C65" s="32">
        <v>0</v>
      </c>
      <c r="D65" s="32">
        <v>0</v>
      </c>
      <c r="E65" s="92"/>
      <c r="F65" s="93"/>
      <c r="G65" s="208"/>
      <c r="H65" s="26"/>
      <c r="I65" s="26"/>
      <c r="J65" s="26"/>
      <c r="K65" s="26"/>
      <c r="L65" s="26"/>
      <c r="M65" s="34"/>
      <c r="N65" s="32"/>
      <c r="O65" s="44"/>
    </row>
    <row r="66" spans="1:19" s="94" customFormat="1" ht="15.75" outlineLevel="1" x14ac:dyDescent="0.25">
      <c r="A66" s="91"/>
      <c r="B66" s="24"/>
      <c r="C66" s="32">
        <v>0</v>
      </c>
      <c r="D66" s="32">
        <v>0</v>
      </c>
      <c r="E66" s="92"/>
      <c r="F66" s="93"/>
      <c r="G66" s="210"/>
      <c r="H66" s="26"/>
      <c r="I66" s="26"/>
      <c r="J66" s="26"/>
      <c r="K66" s="26"/>
      <c r="L66" s="26"/>
      <c r="M66" s="34"/>
      <c r="N66" s="32"/>
      <c r="O66" s="44"/>
    </row>
    <row r="67" spans="1:19" s="94" customFormat="1" ht="15.75" outlineLevel="1" x14ac:dyDescent="0.25">
      <c r="A67" s="24"/>
      <c r="B67" s="24"/>
      <c r="C67" s="32">
        <v>0</v>
      </c>
      <c r="D67" s="32">
        <v>0</v>
      </c>
      <c r="E67" s="92"/>
      <c r="F67" s="93"/>
      <c r="G67" s="210"/>
      <c r="H67" s="26"/>
      <c r="I67" s="26"/>
      <c r="J67" s="26"/>
      <c r="K67" s="26"/>
      <c r="L67" s="26"/>
      <c r="M67" s="34"/>
      <c r="N67" s="32"/>
      <c r="O67" s="44"/>
    </row>
    <row r="68" spans="1:19" s="94" customFormat="1" ht="15.75" x14ac:dyDescent="0.25">
      <c r="A68" s="24"/>
      <c r="B68" s="24"/>
      <c r="C68" s="32">
        <v>0</v>
      </c>
      <c r="D68" s="32">
        <v>0</v>
      </c>
      <c r="E68" s="92"/>
      <c r="F68" s="93"/>
      <c r="G68" s="210"/>
      <c r="H68" s="26"/>
      <c r="I68" s="26"/>
      <c r="J68" s="26"/>
      <c r="K68" s="26"/>
      <c r="L68" s="26"/>
      <c r="M68" s="34"/>
      <c r="N68" s="32"/>
      <c r="O68" s="44"/>
    </row>
    <row r="69" spans="1:19" s="90" customFormat="1" ht="18.75" x14ac:dyDescent="0.25">
      <c r="A69" s="82">
        <f ca="1">IF(C69&gt;0,MAX($A$1:OFFSET(A69,-1,0))+0.01,"")</f>
        <v>1.05</v>
      </c>
      <c r="B69" s="27" t="s">
        <v>619</v>
      </c>
      <c r="C69" s="83">
        <v>1</v>
      </c>
      <c r="D69" s="29" t="s">
        <v>24</v>
      </c>
      <c r="E69" s="85"/>
      <c r="F69" s="86">
        <f>IF(E69="inc",0,IF(C69="",0,C69*E69))</f>
        <v>0</v>
      </c>
      <c r="G69" s="208"/>
      <c r="H69" s="30"/>
      <c r="I69" s="30"/>
      <c r="J69" s="30"/>
      <c r="K69" s="30"/>
      <c r="L69" s="30"/>
      <c r="M69" s="87"/>
      <c r="N69" s="88"/>
      <c r="O69" s="25"/>
      <c r="P69" s="25"/>
      <c r="Q69" s="25"/>
      <c r="R69" s="25"/>
      <c r="S69" s="25"/>
    </row>
    <row r="70" spans="1:19" s="94" customFormat="1" ht="15.75" x14ac:dyDescent="0.25">
      <c r="A70" s="95"/>
      <c r="B70" s="24" t="s">
        <v>123</v>
      </c>
      <c r="C70" s="32">
        <v>0</v>
      </c>
      <c r="D70" s="32" t="s">
        <v>24</v>
      </c>
      <c r="E70" s="92"/>
      <c r="F70" s="93"/>
      <c r="G70" s="210"/>
      <c r="H70" s="26"/>
      <c r="I70" s="26"/>
      <c r="J70" s="26"/>
      <c r="K70" s="26"/>
      <c r="L70" s="26"/>
      <c r="M70" s="34"/>
      <c r="N70" s="32"/>
      <c r="O70" s="44"/>
    </row>
    <row r="71" spans="1:19" s="94" customFormat="1" ht="15.75" x14ac:dyDescent="0.25">
      <c r="A71" s="91"/>
      <c r="B71" s="24" t="s">
        <v>122</v>
      </c>
      <c r="C71" s="32">
        <v>1</v>
      </c>
      <c r="D71" s="32" t="s">
        <v>24</v>
      </c>
      <c r="E71" s="92"/>
      <c r="F71" s="93"/>
      <c r="G71" s="210"/>
      <c r="H71" s="26"/>
      <c r="I71" s="26"/>
      <c r="J71" s="26"/>
      <c r="K71" s="26"/>
      <c r="L71" s="26"/>
      <c r="M71" s="34"/>
      <c r="N71" s="32"/>
      <c r="O71" s="44"/>
    </row>
    <row r="72" spans="1:19" s="94" customFormat="1" ht="31.5" x14ac:dyDescent="0.25">
      <c r="A72" s="91"/>
      <c r="B72" s="24" t="s">
        <v>121</v>
      </c>
      <c r="C72" s="32">
        <v>0</v>
      </c>
      <c r="D72" s="32" t="s">
        <v>24</v>
      </c>
      <c r="E72" s="92"/>
      <c r="F72" s="93"/>
      <c r="G72" s="210"/>
      <c r="H72" s="26"/>
      <c r="I72" s="26"/>
      <c r="J72" s="26"/>
      <c r="K72" s="26"/>
      <c r="L72" s="26"/>
      <c r="M72" s="34"/>
      <c r="N72" s="32"/>
      <c r="O72" s="44"/>
    </row>
    <row r="73" spans="1:19" s="94" customFormat="1" ht="15.75" x14ac:dyDescent="0.25">
      <c r="A73" s="91"/>
      <c r="B73" s="24" t="s">
        <v>120</v>
      </c>
      <c r="C73" s="32">
        <v>0</v>
      </c>
      <c r="D73" s="32" t="s">
        <v>24</v>
      </c>
      <c r="E73" s="92"/>
      <c r="F73" s="93"/>
      <c r="G73" s="210"/>
      <c r="H73" s="26"/>
      <c r="I73" s="26"/>
      <c r="J73" s="26"/>
      <c r="K73" s="26"/>
      <c r="L73" s="26"/>
      <c r="M73" s="34"/>
      <c r="N73" s="32"/>
      <c r="O73" s="44"/>
    </row>
    <row r="74" spans="1:19" s="94" customFormat="1" ht="15.75" x14ac:dyDescent="0.25">
      <c r="A74" s="91"/>
      <c r="B74" s="24" t="s">
        <v>119</v>
      </c>
      <c r="C74" s="32">
        <v>0</v>
      </c>
      <c r="D74" s="32" t="s">
        <v>24</v>
      </c>
      <c r="E74" s="92"/>
      <c r="F74" s="93"/>
      <c r="G74" s="210"/>
      <c r="H74" s="26"/>
      <c r="I74" s="26"/>
      <c r="J74" s="26"/>
      <c r="K74" s="26"/>
      <c r="L74" s="26"/>
      <c r="M74" s="34"/>
      <c r="N74" s="32"/>
      <c r="O74" s="44"/>
    </row>
    <row r="75" spans="1:19" s="94" customFormat="1" ht="15.75" outlineLevel="1" x14ac:dyDescent="0.25">
      <c r="A75" s="91"/>
      <c r="B75" s="24"/>
      <c r="C75" s="32">
        <v>0</v>
      </c>
      <c r="D75" s="32">
        <v>0</v>
      </c>
      <c r="E75" s="92"/>
      <c r="F75" s="93"/>
      <c r="G75" s="210"/>
      <c r="H75" s="26"/>
      <c r="I75" s="26"/>
      <c r="J75" s="26"/>
      <c r="K75" s="26"/>
      <c r="L75" s="26"/>
      <c r="M75" s="34"/>
      <c r="N75" s="32"/>
      <c r="O75" s="44"/>
    </row>
    <row r="76" spans="1:19" s="94" customFormat="1" ht="15.75" outlineLevel="1" x14ac:dyDescent="0.25">
      <c r="A76" s="91"/>
      <c r="B76" s="24"/>
      <c r="C76" s="32">
        <v>0</v>
      </c>
      <c r="D76" s="32">
        <v>0</v>
      </c>
      <c r="E76" s="92"/>
      <c r="F76" s="93"/>
      <c r="G76" s="210"/>
      <c r="H76" s="26"/>
      <c r="I76" s="26"/>
      <c r="J76" s="26"/>
      <c r="K76" s="26"/>
      <c r="L76" s="26"/>
      <c r="M76" s="34"/>
      <c r="N76" s="32"/>
      <c r="O76" s="44"/>
    </row>
    <row r="77" spans="1:19" s="94" customFormat="1" ht="15.75" outlineLevel="1" x14ac:dyDescent="0.25">
      <c r="A77" s="91"/>
      <c r="B77" s="24"/>
      <c r="C77" s="32">
        <v>0</v>
      </c>
      <c r="D77" s="32">
        <v>0</v>
      </c>
      <c r="E77" s="92"/>
      <c r="F77" s="93"/>
      <c r="G77" s="210"/>
      <c r="H77" s="26"/>
      <c r="I77" s="26"/>
      <c r="J77" s="26"/>
      <c r="K77" s="26"/>
      <c r="L77" s="26"/>
      <c r="M77" s="34"/>
      <c r="N77" s="32"/>
      <c r="O77" s="44"/>
    </row>
    <row r="78" spans="1:19" s="94" customFormat="1" ht="15.75" outlineLevel="1" x14ac:dyDescent="0.25">
      <c r="A78" s="24"/>
      <c r="B78" s="24"/>
      <c r="C78" s="32">
        <v>0</v>
      </c>
      <c r="D78" s="32">
        <v>0</v>
      </c>
      <c r="E78" s="92"/>
      <c r="F78" s="93"/>
      <c r="G78" s="210"/>
      <c r="H78" s="26"/>
      <c r="I78" s="26"/>
      <c r="J78" s="26"/>
      <c r="K78" s="26"/>
      <c r="L78" s="26"/>
      <c r="M78" s="34"/>
      <c r="N78" s="32"/>
      <c r="O78" s="44"/>
    </row>
    <row r="79" spans="1:19" s="94" customFormat="1" ht="15.75" x14ac:dyDescent="0.25">
      <c r="A79" s="24"/>
      <c r="B79" s="24"/>
      <c r="C79" s="32">
        <v>0</v>
      </c>
      <c r="D79" s="32">
        <v>0</v>
      </c>
      <c r="E79" s="92"/>
      <c r="F79" s="93"/>
      <c r="G79" s="208"/>
      <c r="H79" s="26"/>
      <c r="I79" s="26"/>
      <c r="J79" s="26"/>
      <c r="K79" s="26"/>
      <c r="L79" s="26"/>
      <c r="M79" s="34"/>
      <c r="N79" s="32"/>
      <c r="O79" s="44"/>
    </row>
    <row r="80" spans="1:19" s="90" customFormat="1" ht="18.75" x14ac:dyDescent="0.25">
      <c r="A80" s="82">
        <f ca="1">IF(C80&gt;0,MAX($A$1:OFFSET(A80,-1,0))+0.01,"")</f>
        <v>1.06</v>
      </c>
      <c r="B80" s="27" t="s">
        <v>620</v>
      </c>
      <c r="C80" s="83">
        <v>1</v>
      </c>
      <c r="D80" s="29" t="s">
        <v>24</v>
      </c>
      <c r="E80" s="85"/>
      <c r="F80" s="86">
        <f>IF(E80="inc",0,IF(C80="",0,C80*E80))</f>
        <v>0</v>
      </c>
      <c r="G80" s="208"/>
      <c r="H80" s="30"/>
      <c r="I80" s="30"/>
      <c r="J80" s="30"/>
      <c r="K80" s="30"/>
      <c r="L80" s="30"/>
      <c r="M80" s="87"/>
      <c r="N80" s="88"/>
      <c r="O80" s="25"/>
      <c r="P80" s="25"/>
      <c r="Q80" s="25"/>
      <c r="R80" s="25"/>
      <c r="S80" s="25"/>
    </row>
    <row r="81" spans="1:19" s="94" customFormat="1" ht="15.75" x14ac:dyDescent="0.25">
      <c r="A81" s="91"/>
      <c r="B81" s="24" t="s">
        <v>118</v>
      </c>
      <c r="C81" s="32" t="s">
        <v>2346</v>
      </c>
      <c r="D81" s="32">
        <v>0</v>
      </c>
      <c r="E81" s="92"/>
      <c r="F81" s="93"/>
      <c r="G81" s="210"/>
      <c r="H81" s="26"/>
      <c r="I81" s="26"/>
      <c r="J81" s="26"/>
      <c r="K81" s="26"/>
      <c r="L81" s="26"/>
      <c r="M81" s="34"/>
      <c r="N81" s="32"/>
      <c r="O81" s="44"/>
    </row>
    <row r="82" spans="1:19" s="94" customFormat="1" ht="15.75" x14ac:dyDescent="0.25">
      <c r="A82" s="91"/>
      <c r="B82" s="24" t="s">
        <v>117</v>
      </c>
      <c r="C82" s="32">
        <v>7</v>
      </c>
      <c r="D82" s="32" t="s">
        <v>5</v>
      </c>
      <c r="E82" s="92"/>
      <c r="F82" s="93"/>
      <c r="G82" s="210"/>
      <c r="H82" s="26"/>
      <c r="I82" s="26"/>
      <c r="J82" s="26"/>
      <c r="K82" s="26"/>
      <c r="L82" s="26"/>
      <c r="M82" s="34"/>
      <c r="N82" s="32"/>
      <c r="O82" s="44"/>
    </row>
    <row r="83" spans="1:19" s="94" customFormat="1" ht="15.75" x14ac:dyDescent="0.25">
      <c r="A83" s="91"/>
      <c r="B83" s="24" t="s">
        <v>116</v>
      </c>
      <c r="C83" s="32" t="s">
        <v>2346</v>
      </c>
      <c r="D83" s="32">
        <v>0</v>
      </c>
      <c r="E83" s="92"/>
      <c r="F83" s="93"/>
      <c r="G83" s="210"/>
      <c r="H83" s="26"/>
      <c r="I83" s="26"/>
      <c r="J83" s="26"/>
      <c r="K83" s="26"/>
      <c r="L83" s="26"/>
      <c r="M83" s="34"/>
      <c r="N83" s="32"/>
      <c r="O83" s="44"/>
    </row>
    <row r="84" spans="1:19" s="94" customFormat="1" ht="15.75" x14ac:dyDescent="0.25">
      <c r="A84" s="91"/>
      <c r="B84" s="24" t="s">
        <v>115</v>
      </c>
      <c r="C84" s="32" t="s">
        <v>2346</v>
      </c>
      <c r="D84" s="32">
        <v>0</v>
      </c>
      <c r="E84" s="92"/>
      <c r="F84" s="93"/>
      <c r="G84" s="210"/>
      <c r="H84" s="26"/>
      <c r="I84" s="26"/>
      <c r="J84" s="26"/>
      <c r="K84" s="26"/>
      <c r="L84" s="26"/>
      <c r="M84" s="34"/>
      <c r="N84" s="32"/>
      <c r="O84" s="44"/>
    </row>
    <row r="85" spans="1:19" s="94" customFormat="1" ht="15.75" x14ac:dyDescent="0.25">
      <c r="A85" s="91"/>
      <c r="B85" s="24" t="s">
        <v>114</v>
      </c>
      <c r="C85" s="32" t="s">
        <v>2346</v>
      </c>
      <c r="D85" s="32">
        <v>0</v>
      </c>
      <c r="E85" s="92"/>
      <c r="F85" s="93"/>
      <c r="G85" s="210"/>
      <c r="H85" s="26"/>
      <c r="I85" s="26"/>
      <c r="J85" s="26"/>
      <c r="K85" s="26"/>
      <c r="L85" s="26"/>
      <c r="M85" s="34"/>
      <c r="N85" s="32"/>
      <c r="O85" s="44"/>
    </row>
    <row r="86" spans="1:19" s="94" customFormat="1" ht="15.75" x14ac:dyDescent="0.25">
      <c r="A86" s="95"/>
      <c r="B86" s="24" t="s">
        <v>113</v>
      </c>
      <c r="C86" s="32" t="s">
        <v>2346</v>
      </c>
      <c r="D86" s="32">
        <v>0</v>
      </c>
      <c r="E86" s="92"/>
      <c r="F86" s="93"/>
      <c r="G86" s="210"/>
      <c r="H86" s="26"/>
      <c r="I86" s="26"/>
      <c r="J86" s="26"/>
      <c r="K86" s="26"/>
      <c r="L86" s="26"/>
      <c r="M86" s="34"/>
      <c r="N86" s="32"/>
      <c r="O86" s="44"/>
    </row>
    <row r="87" spans="1:19" s="94" customFormat="1" ht="15.75" outlineLevel="1" x14ac:dyDescent="0.25">
      <c r="A87" s="91"/>
      <c r="B87" s="24"/>
      <c r="C87" s="32" t="s">
        <v>2346</v>
      </c>
      <c r="D87" s="32">
        <v>0</v>
      </c>
      <c r="E87" s="92"/>
      <c r="F87" s="93"/>
      <c r="G87" s="210"/>
      <c r="H87" s="26"/>
      <c r="I87" s="26"/>
      <c r="J87" s="26"/>
      <c r="K87" s="26"/>
      <c r="L87" s="26"/>
      <c r="M87" s="34"/>
      <c r="N87" s="32"/>
      <c r="O87" s="44"/>
    </row>
    <row r="88" spans="1:19" s="94" customFormat="1" ht="15.75" outlineLevel="1" x14ac:dyDescent="0.25">
      <c r="A88" s="91"/>
      <c r="B88" s="24"/>
      <c r="C88" s="32" t="s">
        <v>2346</v>
      </c>
      <c r="D88" s="32">
        <v>0</v>
      </c>
      <c r="E88" s="92"/>
      <c r="F88" s="93"/>
      <c r="G88" s="210"/>
      <c r="H88" s="26"/>
      <c r="I88" s="26"/>
      <c r="J88" s="26"/>
      <c r="K88" s="26"/>
      <c r="L88" s="26"/>
      <c r="M88" s="34"/>
      <c r="N88" s="32"/>
      <c r="O88" s="44"/>
    </row>
    <row r="89" spans="1:19" s="94" customFormat="1" ht="15.75" outlineLevel="1" x14ac:dyDescent="0.25">
      <c r="A89" s="24"/>
      <c r="B89" s="24"/>
      <c r="C89" s="32" t="s">
        <v>2346</v>
      </c>
      <c r="D89" s="32">
        <v>0</v>
      </c>
      <c r="E89" s="92"/>
      <c r="F89" s="93"/>
      <c r="G89" s="210"/>
      <c r="H89" s="26"/>
      <c r="I89" s="26"/>
      <c r="J89" s="26"/>
      <c r="K89" s="26"/>
      <c r="L89" s="26"/>
      <c r="M89" s="34"/>
      <c r="N89" s="32"/>
      <c r="O89" s="44"/>
    </row>
    <row r="90" spans="1:19" s="94" customFormat="1" ht="15.75" x14ac:dyDescent="0.25">
      <c r="A90" s="24"/>
      <c r="B90" s="24"/>
      <c r="C90" s="32" t="s">
        <v>2346</v>
      </c>
      <c r="D90" s="32">
        <v>0</v>
      </c>
      <c r="E90" s="92"/>
      <c r="F90" s="93"/>
      <c r="G90" s="210"/>
      <c r="H90" s="26"/>
      <c r="I90" s="26"/>
      <c r="J90" s="26"/>
      <c r="K90" s="26"/>
      <c r="L90" s="26"/>
      <c r="M90" s="34"/>
      <c r="N90" s="32"/>
      <c r="O90" s="44"/>
    </row>
    <row r="91" spans="1:19" s="90" customFormat="1" ht="18.75" x14ac:dyDescent="0.25">
      <c r="A91" s="82">
        <f ca="1">IF(C91&gt;0,MAX($A$1:OFFSET(A91,-1,0))+0.01,"")</f>
        <v>1.07</v>
      </c>
      <c r="B91" s="27" t="s">
        <v>623</v>
      </c>
      <c r="C91" s="83">
        <v>1</v>
      </c>
      <c r="D91" s="29" t="s">
        <v>24</v>
      </c>
      <c r="E91" s="85"/>
      <c r="F91" s="86">
        <f>IF(E91="inc",0,IF(C91="",0,C91*E91))</f>
        <v>0</v>
      </c>
      <c r="G91" s="208"/>
      <c r="H91" s="30"/>
      <c r="I91" s="30"/>
      <c r="J91" s="30"/>
      <c r="K91" s="30"/>
      <c r="L91" s="30"/>
      <c r="M91" s="87"/>
      <c r="N91" s="88"/>
      <c r="O91" s="25"/>
      <c r="P91" s="25"/>
      <c r="Q91" s="25"/>
      <c r="R91" s="25"/>
      <c r="S91" s="25"/>
    </row>
    <row r="92" spans="1:19" s="94" customFormat="1" ht="15.75" x14ac:dyDescent="0.25">
      <c r="A92" s="91"/>
      <c r="B92" s="24" t="s">
        <v>109</v>
      </c>
      <c r="C92" s="32" t="s">
        <v>2346</v>
      </c>
      <c r="D92" s="32" t="s">
        <v>24</v>
      </c>
      <c r="E92" s="92"/>
      <c r="F92" s="93"/>
      <c r="G92" s="210"/>
      <c r="H92" s="26"/>
      <c r="I92" s="26"/>
      <c r="J92" s="26"/>
      <c r="K92" s="26"/>
      <c r="L92" s="26"/>
      <c r="M92" s="34"/>
      <c r="N92" s="32"/>
      <c r="O92" s="44"/>
    </row>
    <row r="93" spans="1:19" s="94" customFormat="1" ht="15.75" x14ac:dyDescent="0.25">
      <c r="A93" s="91"/>
      <c r="B93" s="24" t="s">
        <v>108</v>
      </c>
      <c r="C93" s="32">
        <v>1</v>
      </c>
      <c r="D93" s="32" t="s">
        <v>24</v>
      </c>
      <c r="E93" s="92"/>
      <c r="F93" s="93"/>
      <c r="G93" s="210"/>
      <c r="H93" s="26"/>
      <c r="I93" s="26"/>
      <c r="J93" s="26"/>
      <c r="K93" s="26"/>
      <c r="L93" s="26"/>
      <c r="M93" s="34"/>
      <c r="N93" s="32"/>
      <c r="O93" s="44"/>
    </row>
    <row r="94" spans="1:19" s="94" customFormat="1" ht="15.75" x14ac:dyDescent="0.25">
      <c r="A94" s="95"/>
      <c r="B94" s="24" t="s">
        <v>244</v>
      </c>
      <c r="C94" s="32">
        <v>1</v>
      </c>
      <c r="D94" s="32" t="s">
        <v>24</v>
      </c>
      <c r="E94" s="92"/>
      <c r="F94" s="93"/>
      <c r="G94" s="208"/>
      <c r="H94" s="26"/>
      <c r="I94" s="26"/>
      <c r="J94" s="26"/>
      <c r="K94" s="26"/>
      <c r="L94" s="26"/>
      <c r="M94" s="34"/>
      <c r="N94" s="32"/>
      <c r="O94" s="44"/>
    </row>
    <row r="95" spans="1:19" s="94" customFormat="1" ht="15.75" outlineLevel="1" x14ac:dyDescent="0.25">
      <c r="A95" s="24"/>
      <c r="B95" s="24"/>
      <c r="C95" s="32" t="s">
        <v>2346</v>
      </c>
      <c r="D95" s="32">
        <v>0</v>
      </c>
      <c r="E95" s="26"/>
      <c r="F95" s="33"/>
      <c r="G95" s="210"/>
      <c r="H95" s="26"/>
      <c r="I95" s="26"/>
      <c r="J95" s="26"/>
      <c r="K95" s="26"/>
      <c r="L95" s="26"/>
      <c r="M95" s="34"/>
      <c r="N95" s="32"/>
      <c r="O95" s="44"/>
    </row>
    <row r="96" spans="1:19" s="94" customFormat="1" ht="15.75" outlineLevel="1" x14ac:dyDescent="0.25">
      <c r="A96" s="24"/>
      <c r="B96" s="24"/>
      <c r="C96" s="32" t="s">
        <v>2346</v>
      </c>
      <c r="D96" s="32">
        <v>0</v>
      </c>
      <c r="E96" s="26"/>
      <c r="F96" s="33"/>
      <c r="G96" s="210"/>
      <c r="H96" s="26"/>
      <c r="I96" s="26"/>
      <c r="J96" s="26"/>
      <c r="K96" s="26"/>
      <c r="L96" s="26"/>
      <c r="M96" s="34"/>
      <c r="N96" s="32"/>
      <c r="O96" s="44"/>
    </row>
    <row r="97" spans="1:19" s="94" customFormat="1" ht="15.75" outlineLevel="1" x14ac:dyDescent="0.25">
      <c r="A97" s="24"/>
      <c r="B97" s="24"/>
      <c r="C97" s="32" t="s">
        <v>2346</v>
      </c>
      <c r="D97" s="32">
        <v>0</v>
      </c>
      <c r="E97" s="26"/>
      <c r="F97" s="33"/>
      <c r="G97" s="210"/>
      <c r="H97" s="26"/>
      <c r="I97" s="26"/>
      <c r="J97" s="26"/>
      <c r="K97" s="26"/>
      <c r="L97" s="26"/>
      <c r="M97" s="34"/>
      <c r="N97" s="32"/>
      <c r="O97" s="44"/>
    </row>
    <row r="98" spans="1:19" s="94" customFormat="1" ht="15.75" outlineLevel="1" x14ac:dyDescent="0.25">
      <c r="A98" s="24"/>
      <c r="B98" s="24"/>
      <c r="C98" s="32" t="s">
        <v>2346</v>
      </c>
      <c r="D98" s="32">
        <v>0</v>
      </c>
      <c r="E98" s="26"/>
      <c r="F98" s="33"/>
      <c r="G98" s="210"/>
      <c r="H98" s="26"/>
      <c r="I98" s="26"/>
      <c r="J98" s="26"/>
      <c r="K98" s="26"/>
      <c r="L98" s="26"/>
      <c r="M98" s="34"/>
      <c r="N98" s="32"/>
      <c r="O98" s="44"/>
    </row>
    <row r="99" spans="1:19" s="94" customFormat="1" ht="15.75" outlineLevel="1" x14ac:dyDescent="0.25">
      <c r="A99" s="24"/>
      <c r="B99" s="24"/>
      <c r="C99" s="32" t="s">
        <v>2346</v>
      </c>
      <c r="D99" s="32">
        <v>0</v>
      </c>
      <c r="E99" s="26"/>
      <c r="F99" s="33"/>
      <c r="G99" s="210"/>
      <c r="H99" s="26"/>
      <c r="I99" s="26"/>
      <c r="J99" s="26"/>
      <c r="K99" s="26"/>
      <c r="L99" s="26"/>
      <c r="M99" s="34"/>
      <c r="N99" s="32"/>
      <c r="O99" s="44"/>
    </row>
    <row r="100" spans="1:19" s="94" customFormat="1" ht="15.75" outlineLevel="1" x14ac:dyDescent="0.25">
      <c r="A100" s="24"/>
      <c r="B100" s="24"/>
      <c r="C100" s="32" t="s">
        <v>2346</v>
      </c>
      <c r="D100" s="32">
        <v>0</v>
      </c>
      <c r="E100" s="26"/>
      <c r="F100" s="33"/>
      <c r="G100" s="210"/>
      <c r="H100" s="26"/>
      <c r="I100" s="26"/>
      <c r="J100" s="26"/>
      <c r="K100" s="26"/>
      <c r="L100" s="26"/>
      <c r="M100" s="34"/>
      <c r="N100" s="32"/>
      <c r="O100" s="44"/>
    </row>
    <row r="101" spans="1:19" s="94" customFormat="1" ht="15.75" x14ac:dyDescent="0.25">
      <c r="A101" s="24"/>
      <c r="B101" s="24"/>
      <c r="C101" s="32" t="s">
        <v>2346</v>
      </c>
      <c r="D101" s="32">
        <v>0</v>
      </c>
      <c r="E101" s="26"/>
      <c r="F101" s="33"/>
      <c r="G101" s="210"/>
      <c r="H101" s="26"/>
      <c r="I101" s="26"/>
      <c r="J101" s="26"/>
      <c r="K101" s="26"/>
      <c r="L101" s="26"/>
      <c r="M101" s="34"/>
      <c r="N101" s="32"/>
      <c r="O101" s="44"/>
    </row>
    <row r="102" spans="1:19" s="90" customFormat="1" ht="18.75" x14ac:dyDescent="0.25">
      <c r="A102" s="82">
        <f ca="1">IF(C102&gt;0,MAX($A$1:OFFSET(A102,-1,0))+0.01,"")</f>
        <v>1.08</v>
      </c>
      <c r="B102" s="27" t="s">
        <v>805</v>
      </c>
      <c r="C102" s="83">
        <v>1</v>
      </c>
      <c r="D102" s="29" t="s">
        <v>24</v>
      </c>
      <c r="E102" s="85"/>
      <c r="F102" s="86">
        <f>IF(E102="inc",0,IF(C102="",0,C102*E102))</f>
        <v>0</v>
      </c>
      <c r="G102" s="208"/>
      <c r="H102" s="30"/>
      <c r="I102" s="30"/>
      <c r="J102" s="30"/>
      <c r="K102" s="30"/>
      <c r="L102" s="30"/>
      <c r="M102" s="87"/>
      <c r="N102" s="88"/>
      <c r="O102" s="25"/>
      <c r="P102" s="25"/>
      <c r="Q102" s="25"/>
      <c r="R102" s="25"/>
      <c r="S102" s="25"/>
    </row>
    <row r="103" spans="1:19" s="94" customFormat="1" ht="15.75" x14ac:dyDescent="0.25">
      <c r="A103" s="91"/>
      <c r="B103" s="24" t="s">
        <v>807</v>
      </c>
      <c r="C103" s="32">
        <v>1</v>
      </c>
      <c r="D103" s="32" t="s">
        <v>24</v>
      </c>
      <c r="E103" s="92"/>
      <c r="F103" s="93"/>
      <c r="G103" s="210"/>
      <c r="H103" s="26"/>
      <c r="I103" s="26"/>
      <c r="J103" s="26"/>
      <c r="K103" s="26"/>
      <c r="L103" s="26"/>
      <c r="M103" s="34"/>
      <c r="N103" s="32"/>
      <c r="O103" s="44"/>
    </row>
    <row r="104" spans="1:19" s="94" customFormat="1" ht="15.75" x14ac:dyDescent="0.25">
      <c r="A104" s="91"/>
      <c r="B104" s="24" t="s">
        <v>806</v>
      </c>
      <c r="C104" s="32" t="s">
        <v>2346</v>
      </c>
      <c r="D104" s="32" t="s">
        <v>24</v>
      </c>
      <c r="E104" s="92"/>
      <c r="F104" s="93"/>
      <c r="G104" s="210"/>
      <c r="H104" s="26"/>
      <c r="I104" s="26"/>
      <c r="J104" s="26"/>
      <c r="K104" s="26"/>
      <c r="L104" s="26"/>
      <c r="M104" s="34"/>
      <c r="N104" s="32"/>
      <c r="O104" s="44"/>
    </row>
    <row r="105" spans="1:19" s="94" customFormat="1" ht="15.75" outlineLevel="1" x14ac:dyDescent="0.25">
      <c r="A105" s="95"/>
      <c r="B105" s="24"/>
      <c r="C105" s="32" t="s">
        <v>2346</v>
      </c>
      <c r="D105" s="32">
        <v>0</v>
      </c>
      <c r="E105" s="92"/>
      <c r="F105" s="93"/>
      <c r="G105" s="208"/>
      <c r="H105" s="26"/>
      <c r="I105" s="26"/>
      <c r="J105" s="26"/>
      <c r="K105" s="26"/>
      <c r="L105" s="26"/>
      <c r="M105" s="34"/>
      <c r="N105" s="32"/>
      <c r="O105" s="44"/>
    </row>
    <row r="106" spans="1:19" s="94" customFormat="1" ht="15.75" outlineLevel="1" x14ac:dyDescent="0.25">
      <c r="A106" s="24"/>
      <c r="B106" s="24"/>
      <c r="C106" s="32" t="s">
        <v>2346</v>
      </c>
      <c r="D106" s="32">
        <v>0</v>
      </c>
      <c r="E106" s="26"/>
      <c r="F106" s="33"/>
      <c r="G106" s="210"/>
      <c r="H106" s="26"/>
      <c r="I106" s="26"/>
      <c r="J106" s="26"/>
      <c r="K106" s="26"/>
      <c r="L106" s="26"/>
      <c r="M106" s="34"/>
      <c r="N106" s="32"/>
      <c r="O106" s="44"/>
    </row>
    <row r="107" spans="1:19" s="94" customFormat="1" ht="15.75" outlineLevel="1" x14ac:dyDescent="0.25">
      <c r="A107" s="24"/>
      <c r="B107" s="24"/>
      <c r="C107" s="32" t="s">
        <v>2346</v>
      </c>
      <c r="D107" s="32">
        <v>0</v>
      </c>
      <c r="E107" s="26"/>
      <c r="F107" s="33"/>
      <c r="G107" s="210"/>
      <c r="H107" s="26"/>
      <c r="I107" s="26"/>
      <c r="J107" s="26"/>
      <c r="K107" s="26"/>
      <c r="L107" s="26"/>
      <c r="M107" s="34"/>
      <c r="N107" s="32"/>
      <c r="O107" s="44"/>
    </row>
    <row r="108" spans="1:19" s="94" customFormat="1" ht="15.75" outlineLevel="1" x14ac:dyDescent="0.25">
      <c r="A108" s="24"/>
      <c r="B108" s="24"/>
      <c r="C108" s="32" t="s">
        <v>2346</v>
      </c>
      <c r="D108" s="32">
        <v>0</v>
      </c>
      <c r="E108" s="26"/>
      <c r="F108" s="33"/>
      <c r="G108" s="210"/>
      <c r="H108" s="26"/>
      <c r="I108" s="26"/>
      <c r="J108" s="26"/>
      <c r="K108" s="26"/>
      <c r="L108" s="26"/>
      <c r="M108" s="34"/>
      <c r="N108" s="32"/>
      <c r="O108" s="44"/>
    </row>
    <row r="109" spans="1:19" s="94" customFormat="1" ht="15.75" outlineLevel="1" x14ac:dyDescent="0.25">
      <c r="A109" s="24"/>
      <c r="B109" s="24"/>
      <c r="C109" s="32" t="s">
        <v>2346</v>
      </c>
      <c r="D109" s="32">
        <v>0</v>
      </c>
      <c r="E109" s="26"/>
      <c r="F109" s="33"/>
      <c r="G109" s="210"/>
      <c r="H109" s="26"/>
      <c r="I109" s="26"/>
      <c r="J109" s="26"/>
      <c r="K109" s="26"/>
      <c r="L109" s="26"/>
      <c r="M109" s="34"/>
      <c r="N109" s="32"/>
      <c r="O109" s="44"/>
    </row>
    <row r="110" spans="1:19" s="94" customFormat="1" ht="15.75" outlineLevel="1" x14ac:dyDescent="0.25">
      <c r="A110" s="24"/>
      <c r="B110" s="24"/>
      <c r="C110" s="32" t="s">
        <v>2346</v>
      </c>
      <c r="D110" s="32">
        <v>0</v>
      </c>
      <c r="E110" s="26"/>
      <c r="F110" s="33"/>
      <c r="G110" s="210"/>
      <c r="H110" s="26"/>
      <c r="I110" s="26"/>
      <c r="J110" s="26"/>
      <c r="K110" s="26"/>
      <c r="L110" s="26"/>
      <c r="M110" s="34"/>
      <c r="N110" s="32"/>
      <c r="O110" s="44"/>
    </row>
    <row r="111" spans="1:19" s="94" customFormat="1" ht="15.75" outlineLevel="1" x14ac:dyDescent="0.25">
      <c r="A111" s="24"/>
      <c r="B111" s="24"/>
      <c r="C111" s="32" t="s">
        <v>2346</v>
      </c>
      <c r="D111" s="32">
        <v>0</v>
      </c>
      <c r="E111" s="26"/>
      <c r="F111" s="33"/>
      <c r="G111" s="210"/>
      <c r="H111" s="26"/>
      <c r="I111" s="26"/>
      <c r="J111" s="26"/>
      <c r="K111" s="26"/>
      <c r="L111" s="26"/>
      <c r="M111" s="34"/>
      <c r="N111" s="32"/>
      <c r="O111" s="44"/>
    </row>
    <row r="112" spans="1:19" s="94" customFormat="1" ht="15.75" x14ac:dyDescent="0.25">
      <c r="A112" s="24"/>
      <c r="B112" s="24"/>
      <c r="C112" s="32" t="s">
        <v>2346</v>
      </c>
      <c r="D112" s="32">
        <v>0</v>
      </c>
      <c r="E112" s="26"/>
      <c r="F112" s="33"/>
      <c r="G112" s="210"/>
      <c r="H112" s="26"/>
      <c r="I112" s="26"/>
      <c r="J112" s="26"/>
      <c r="K112" s="26"/>
      <c r="L112" s="26"/>
      <c r="M112" s="34"/>
      <c r="N112" s="32"/>
      <c r="O112" s="44"/>
    </row>
    <row r="113" spans="1:19" s="90" customFormat="1" ht="18.75" x14ac:dyDescent="0.25">
      <c r="A113" s="82">
        <f ca="1">IF(C113&gt;0,MAX($A$1:OFFSET(A113,-1,0))+0.01,"")</f>
        <v>1.0900000000000001</v>
      </c>
      <c r="B113" s="27" t="s">
        <v>622</v>
      </c>
      <c r="C113" s="83">
        <v>1</v>
      </c>
      <c r="D113" s="29" t="s">
        <v>24</v>
      </c>
      <c r="E113" s="85"/>
      <c r="F113" s="86">
        <f>IF(E113="inc",0,IF(C113="",0,C113*E113))</f>
        <v>0</v>
      </c>
      <c r="G113" s="208"/>
      <c r="H113" s="30"/>
      <c r="I113" s="30"/>
      <c r="J113" s="30"/>
      <c r="K113" s="30"/>
      <c r="L113" s="30"/>
      <c r="M113" s="87"/>
      <c r="N113" s="88"/>
      <c r="O113" s="25"/>
      <c r="P113" s="25"/>
      <c r="Q113" s="25"/>
      <c r="R113" s="25"/>
      <c r="S113" s="25"/>
    </row>
    <row r="114" spans="1:19" s="94" customFormat="1" ht="15.75" x14ac:dyDescent="0.25">
      <c r="A114" s="91"/>
      <c r="B114" s="24" t="s">
        <v>107</v>
      </c>
      <c r="C114" s="32" t="s">
        <v>2346</v>
      </c>
      <c r="D114" s="32" t="s">
        <v>159</v>
      </c>
      <c r="E114" s="92"/>
      <c r="F114" s="93"/>
      <c r="G114" s="210"/>
      <c r="H114" s="26"/>
      <c r="I114" s="26"/>
      <c r="J114" s="26"/>
      <c r="K114" s="26"/>
      <c r="L114" s="26"/>
      <c r="M114" s="34"/>
      <c r="N114" s="32"/>
      <c r="O114" s="44"/>
    </row>
    <row r="115" spans="1:19" s="94" customFormat="1" ht="15.75" x14ac:dyDescent="0.25">
      <c r="A115" s="91"/>
      <c r="B115" s="24" t="s">
        <v>106</v>
      </c>
      <c r="C115" s="32">
        <v>1</v>
      </c>
      <c r="D115" s="32" t="s">
        <v>24</v>
      </c>
      <c r="E115" s="92"/>
      <c r="F115" s="93"/>
      <c r="G115" s="210"/>
      <c r="H115" s="26"/>
      <c r="I115" s="26"/>
      <c r="J115" s="26"/>
      <c r="K115" s="26"/>
      <c r="L115" s="26"/>
      <c r="M115" s="34"/>
      <c r="N115" s="32"/>
      <c r="O115" s="44"/>
    </row>
    <row r="116" spans="1:19" s="94" customFormat="1" ht="15.75" x14ac:dyDescent="0.25">
      <c r="A116" s="91"/>
      <c r="B116" s="24" t="s">
        <v>105</v>
      </c>
      <c r="C116" s="32">
        <v>1</v>
      </c>
      <c r="D116" s="32" t="s">
        <v>24</v>
      </c>
      <c r="E116" s="92"/>
      <c r="F116" s="93"/>
      <c r="G116" s="210"/>
      <c r="H116" s="26"/>
      <c r="I116" s="26"/>
      <c r="J116" s="26"/>
      <c r="K116" s="26"/>
      <c r="L116" s="26"/>
      <c r="M116" s="34"/>
      <c r="N116" s="32"/>
      <c r="O116" s="44"/>
    </row>
    <row r="117" spans="1:19" s="94" customFormat="1" ht="15.75" outlineLevel="1" x14ac:dyDescent="0.25">
      <c r="A117" s="95"/>
      <c r="B117" s="24"/>
      <c r="C117" s="32" t="s">
        <v>2346</v>
      </c>
      <c r="D117" s="32">
        <v>0</v>
      </c>
      <c r="E117" s="92"/>
      <c r="F117" s="93"/>
      <c r="G117" s="210"/>
      <c r="H117" s="26"/>
      <c r="I117" s="26"/>
      <c r="J117" s="26"/>
      <c r="K117" s="26"/>
      <c r="L117" s="26"/>
      <c r="M117" s="34"/>
      <c r="N117" s="32"/>
      <c r="O117" s="44"/>
    </row>
    <row r="118" spans="1:19" s="94" customFormat="1" ht="15.75" outlineLevel="1" x14ac:dyDescent="0.25">
      <c r="A118" s="95"/>
      <c r="B118" s="24"/>
      <c r="C118" s="32" t="s">
        <v>2346</v>
      </c>
      <c r="D118" s="32">
        <v>0</v>
      </c>
      <c r="E118" s="92"/>
      <c r="F118" s="93"/>
      <c r="G118" s="210"/>
      <c r="H118" s="26"/>
      <c r="I118" s="26"/>
      <c r="J118" s="26"/>
      <c r="K118" s="26"/>
      <c r="L118" s="26"/>
      <c r="M118" s="34"/>
      <c r="N118" s="32"/>
      <c r="O118" s="44"/>
    </row>
    <row r="119" spans="1:19" s="94" customFormat="1" ht="15.75" outlineLevel="1" x14ac:dyDescent="0.25">
      <c r="A119" s="95"/>
      <c r="B119" s="24"/>
      <c r="C119" s="32" t="s">
        <v>2346</v>
      </c>
      <c r="D119" s="32">
        <v>0</v>
      </c>
      <c r="E119" s="92"/>
      <c r="F119" s="93"/>
      <c r="G119" s="208"/>
      <c r="H119" s="26"/>
      <c r="I119" s="26"/>
      <c r="J119" s="26"/>
      <c r="K119" s="26"/>
      <c r="L119" s="26"/>
      <c r="M119" s="34"/>
      <c r="N119" s="32"/>
      <c r="O119" s="44"/>
    </row>
    <row r="120" spans="1:19" s="94" customFormat="1" ht="15.75" outlineLevel="1" x14ac:dyDescent="0.25">
      <c r="A120" s="95"/>
      <c r="B120" s="24"/>
      <c r="C120" s="32" t="s">
        <v>2346</v>
      </c>
      <c r="D120" s="32">
        <v>0</v>
      </c>
      <c r="E120" s="92"/>
      <c r="F120" s="93"/>
      <c r="G120" s="208"/>
      <c r="H120" s="26"/>
      <c r="I120" s="26"/>
      <c r="J120" s="26"/>
      <c r="K120" s="26"/>
      <c r="L120" s="26"/>
      <c r="M120" s="34"/>
      <c r="N120" s="32"/>
      <c r="O120" s="44"/>
    </row>
    <row r="121" spans="1:19" s="94" customFormat="1" ht="15.75" outlineLevel="1" x14ac:dyDescent="0.25">
      <c r="A121" s="95"/>
      <c r="B121" s="24"/>
      <c r="C121" s="32" t="s">
        <v>2346</v>
      </c>
      <c r="D121" s="32">
        <v>0</v>
      </c>
      <c r="E121" s="92"/>
      <c r="F121" s="93"/>
      <c r="G121" s="208"/>
      <c r="H121" s="26"/>
      <c r="I121" s="26"/>
      <c r="J121" s="26"/>
      <c r="K121" s="26"/>
      <c r="L121" s="26"/>
      <c r="M121" s="34"/>
      <c r="N121" s="32"/>
      <c r="O121" s="44"/>
    </row>
    <row r="122" spans="1:19" s="94" customFormat="1" ht="15.75" outlineLevel="1" x14ac:dyDescent="0.25">
      <c r="A122" s="95"/>
      <c r="B122" s="24"/>
      <c r="C122" s="32" t="s">
        <v>2346</v>
      </c>
      <c r="D122" s="32">
        <v>0</v>
      </c>
      <c r="E122" s="92"/>
      <c r="F122" s="93"/>
      <c r="G122" s="210"/>
      <c r="H122" s="26"/>
      <c r="I122" s="26"/>
      <c r="J122" s="26"/>
      <c r="K122" s="26"/>
      <c r="L122" s="26"/>
      <c r="M122" s="34"/>
      <c r="N122" s="32"/>
      <c r="O122" s="44"/>
      <c r="P122" s="32"/>
    </row>
    <row r="123" spans="1:19" s="94" customFormat="1" ht="15.75" x14ac:dyDescent="0.25">
      <c r="A123" s="24"/>
      <c r="B123" s="24"/>
      <c r="C123" s="32" t="s">
        <v>2346</v>
      </c>
      <c r="D123" s="32">
        <v>0</v>
      </c>
      <c r="E123" s="26"/>
      <c r="F123" s="33"/>
      <c r="G123" s="210"/>
      <c r="H123" s="26"/>
      <c r="I123" s="26"/>
      <c r="J123" s="26"/>
      <c r="K123" s="26"/>
      <c r="L123" s="26"/>
      <c r="M123" s="34"/>
      <c r="N123" s="32"/>
      <c r="O123" s="44"/>
    </row>
    <row r="124" spans="1:19" s="90" customFormat="1" ht="18.75" x14ac:dyDescent="0.25">
      <c r="A124" s="82">
        <f ca="1">IF(C124&gt;0,MAX($A$1:OFFSET(A124,-1,0))+0.01,"")</f>
        <v>1.1000000000000001</v>
      </c>
      <c r="B124" s="27" t="s">
        <v>670</v>
      </c>
      <c r="C124" s="83">
        <v>1</v>
      </c>
      <c r="D124" s="29" t="s">
        <v>24</v>
      </c>
      <c r="E124" s="85"/>
      <c r="F124" s="86">
        <f>IF(E124="inc",0,IF(C124="",0,C124*E124))</f>
        <v>0</v>
      </c>
      <c r="G124" s="208"/>
      <c r="H124" s="30"/>
      <c r="I124" s="30"/>
      <c r="J124" s="30"/>
      <c r="K124" s="30"/>
      <c r="L124" s="30"/>
      <c r="M124" s="34" t="s">
        <v>676</v>
      </c>
      <c r="N124" s="88"/>
      <c r="O124" s="25"/>
      <c r="P124" s="25"/>
      <c r="Q124" s="25"/>
      <c r="R124" s="25"/>
      <c r="S124" s="25"/>
    </row>
    <row r="125" spans="1:19" s="94" customFormat="1" ht="15.75" x14ac:dyDescent="0.25">
      <c r="A125" s="91"/>
      <c r="B125" s="24"/>
      <c r="C125" s="32">
        <v>1</v>
      </c>
      <c r="D125" s="32" t="s">
        <v>24</v>
      </c>
      <c r="E125" s="92"/>
      <c r="F125" s="93"/>
      <c r="G125" s="210"/>
      <c r="H125" s="26"/>
      <c r="I125" s="26"/>
      <c r="J125" s="26"/>
      <c r="K125" s="26"/>
      <c r="L125" s="26"/>
      <c r="M125" s="34"/>
      <c r="N125" s="32"/>
      <c r="O125" s="44"/>
    </row>
    <row r="126" spans="1:19" s="94" customFormat="1" ht="15.75" outlineLevel="1" x14ac:dyDescent="0.25">
      <c r="A126" s="91"/>
      <c r="B126" s="24"/>
      <c r="C126" s="32" t="s">
        <v>2346</v>
      </c>
      <c r="D126" s="32">
        <v>0</v>
      </c>
      <c r="E126" s="92"/>
      <c r="F126" s="93"/>
      <c r="G126" s="210"/>
      <c r="H126" s="26"/>
      <c r="I126" s="26"/>
      <c r="J126" s="26"/>
      <c r="K126" s="26"/>
      <c r="L126" s="26"/>
      <c r="M126" s="34"/>
      <c r="N126" s="32"/>
      <c r="O126" s="44"/>
    </row>
    <row r="127" spans="1:19" s="94" customFormat="1" ht="15.75" outlineLevel="1" x14ac:dyDescent="0.25">
      <c r="A127" s="95"/>
      <c r="B127" s="24"/>
      <c r="C127" s="32" t="s">
        <v>2346</v>
      </c>
      <c r="D127" s="32">
        <v>0</v>
      </c>
      <c r="E127" s="92"/>
      <c r="F127" s="93"/>
      <c r="G127" s="208"/>
      <c r="H127" s="26"/>
      <c r="I127" s="26"/>
      <c r="J127" s="26"/>
      <c r="K127" s="26"/>
      <c r="L127" s="26"/>
      <c r="M127" s="34"/>
      <c r="N127" s="32"/>
      <c r="O127" s="44"/>
    </row>
    <row r="128" spans="1:19" s="94" customFormat="1" ht="15.75" outlineLevel="1" x14ac:dyDescent="0.25">
      <c r="A128" s="24"/>
      <c r="B128" s="24"/>
      <c r="C128" s="32" t="s">
        <v>2346</v>
      </c>
      <c r="D128" s="32">
        <v>0</v>
      </c>
      <c r="E128" s="26"/>
      <c r="F128" s="33"/>
      <c r="G128" s="210"/>
      <c r="H128" s="26"/>
      <c r="I128" s="26"/>
      <c r="J128" s="26"/>
      <c r="K128" s="26"/>
      <c r="L128" s="26"/>
      <c r="M128" s="34"/>
      <c r="N128" s="32"/>
      <c r="O128" s="44"/>
    </row>
    <row r="129" spans="1:19" s="94" customFormat="1" ht="15.75" outlineLevel="1" x14ac:dyDescent="0.25">
      <c r="A129" s="24"/>
      <c r="B129" s="24"/>
      <c r="C129" s="32" t="s">
        <v>2346</v>
      </c>
      <c r="D129" s="32">
        <v>0</v>
      </c>
      <c r="E129" s="26"/>
      <c r="F129" s="33"/>
      <c r="G129" s="210"/>
      <c r="H129" s="26"/>
      <c r="I129" s="26"/>
      <c r="J129" s="26"/>
      <c r="K129" s="26"/>
      <c r="L129" s="26"/>
      <c r="M129" s="34"/>
      <c r="N129" s="32"/>
      <c r="O129" s="44"/>
    </row>
    <row r="130" spans="1:19" s="94" customFormat="1" ht="15.75" outlineLevel="1" x14ac:dyDescent="0.25">
      <c r="A130" s="24"/>
      <c r="B130" s="24"/>
      <c r="C130" s="32" t="s">
        <v>2346</v>
      </c>
      <c r="D130" s="32">
        <v>0</v>
      </c>
      <c r="E130" s="26"/>
      <c r="F130" s="33"/>
      <c r="G130" s="210"/>
      <c r="H130" s="26"/>
      <c r="I130" s="26"/>
      <c r="J130" s="26"/>
      <c r="K130" s="26"/>
      <c r="L130" s="26"/>
      <c r="M130" s="34"/>
      <c r="N130" s="32"/>
      <c r="O130" s="44"/>
    </row>
    <row r="131" spans="1:19" s="94" customFormat="1" ht="15.75" outlineLevel="1" x14ac:dyDescent="0.25">
      <c r="A131" s="24"/>
      <c r="B131" s="24"/>
      <c r="C131" s="32" t="s">
        <v>2346</v>
      </c>
      <c r="D131" s="32">
        <v>0</v>
      </c>
      <c r="E131" s="26"/>
      <c r="F131" s="33"/>
      <c r="G131" s="210"/>
      <c r="H131" s="26"/>
      <c r="I131" s="26"/>
      <c r="J131" s="26"/>
      <c r="K131" s="26"/>
      <c r="L131" s="26"/>
      <c r="M131" s="34"/>
      <c r="N131" s="32"/>
      <c r="O131" s="44"/>
    </row>
    <row r="132" spans="1:19" s="94" customFormat="1" ht="15.75" outlineLevel="1" x14ac:dyDescent="0.25">
      <c r="A132" s="24"/>
      <c r="B132" s="24"/>
      <c r="C132" s="32" t="s">
        <v>2346</v>
      </c>
      <c r="D132" s="32">
        <v>0</v>
      </c>
      <c r="E132" s="26"/>
      <c r="F132" s="33"/>
      <c r="G132" s="210"/>
      <c r="H132" s="26"/>
      <c r="I132" s="26"/>
      <c r="J132" s="26"/>
      <c r="K132" s="26"/>
      <c r="L132" s="26"/>
      <c r="M132" s="34"/>
      <c r="N132" s="32"/>
      <c r="O132" s="44"/>
    </row>
    <row r="133" spans="1:19" s="94" customFormat="1" ht="15.75" outlineLevel="1" x14ac:dyDescent="0.25">
      <c r="A133" s="24"/>
      <c r="B133" s="24"/>
      <c r="C133" s="32" t="s">
        <v>2346</v>
      </c>
      <c r="D133" s="32">
        <v>0</v>
      </c>
      <c r="E133" s="26"/>
      <c r="F133" s="33"/>
      <c r="G133" s="210"/>
      <c r="H133" s="26"/>
      <c r="I133" s="26"/>
      <c r="J133" s="26"/>
      <c r="K133" s="26"/>
      <c r="L133" s="26"/>
      <c r="M133" s="34"/>
      <c r="N133" s="32"/>
      <c r="O133" s="44"/>
    </row>
    <row r="134" spans="1:19" s="94" customFormat="1" ht="15.75" x14ac:dyDescent="0.25">
      <c r="A134" s="24"/>
      <c r="B134" s="24"/>
      <c r="C134" s="32" t="s">
        <v>2346</v>
      </c>
      <c r="D134" s="32">
        <v>0</v>
      </c>
      <c r="E134" s="26"/>
      <c r="F134" s="33"/>
      <c r="G134" s="210"/>
      <c r="H134" s="26"/>
      <c r="I134" s="26"/>
      <c r="J134" s="26"/>
      <c r="K134" s="26"/>
      <c r="L134" s="26"/>
      <c r="M134" s="34"/>
      <c r="N134" s="32"/>
      <c r="O134" s="44"/>
    </row>
    <row r="135" spans="1:19" s="90" customFormat="1" ht="18.75" x14ac:dyDescent="0.25">
      <c r="A135" s="82" t="str">
        <f ca="1">IF(C135&gt;0,MAX($A$1:OFFSET(A135,-1,0))+0.01,"")</f>
        <v/>
      </c>
      <c r="B135" s="27" t="s">
        <v>245</v>
      </c>
      <c r="C135" s="83">
        <v>0</v>
      </c>
      <c r="D135" s="29" t="s">
        <v>24</v>
      </c>
      <c r="E135" s="85"/>
      <c r="F135" s="86">
        <f>IF(E135="inc",0,IF(C135="",0,C135*E135))</f>
        <v>0</v>
      </c>
      <c r="G135" s="208"/>
      <c r="H135" s="30"/>
      <c r="I135" s="30"/>
      <c r="J135" s="30"/>
      <c r="K135" s="30"/>
      <c r="L135" s="30"/>
      <c r="M135" s="87"/>
      <c r="N135" s="88"/>
      <c r="O135" s="25"/>
      <c r="P135" s="25"/>
      <c r="Q135" s="25"/>
      <c r="R135" s="25"/>
      <c r="S135" s="25"/>
    </row>
    <row r="136" spans="1:19" s="94" customFormat="1" ht="15.75" x14ac:dyDescent="0.25">
      <c r="A136" s="24"/>
      <c r="B136" s="24"/>
      <c r="C136" s="32" t="s">
        <v>2346</v>
      </c>
      <c r="D136" s="32" t="s">
        <v>24</v>
      </c>
      <c r="E136" s="26"/>
      <c r="F136" s="33"/>
      <c r="G136" s="210"/>
      <c r="H136" s="26"/>
      <c r="I136" s="26"/>
      <c r="J136" s="26"/>
      <c r="K136" s="26"/>
      <c r="L136" s="26"/>
      <c r="M136" s="34"/>
      <c r="N136" s="32"/>
      <c r="O136" s="223">
        <f ca="1">(SUM(SUMMARY!C7:C33)+SUM(F2:F123))*(1+BREAKDOWN!I158+BREAKDOWN!I159)</f>
        <v>0</v>
      </c>
    </row>
    <row r="137" spans="1:19" s="94" customFormat="1" ht="15.75" outlineLevel="1" x14ac:dyDescent="0.25">
      <c r="A137" s="24"/>
      <c r="B137" s="24"/>
      <c r="C137" s="32" t="s">
        <v>2346</v>
      </c>
      <c r="D137" s="32">
        <v>0</v>
      </c>
      <c r="E137" s="26"/>
      <c r="F137" s="33"/>
      <c r="G137" s="210"/>
      <c r="H137" s="26"/>
      <c r="I137" s="26"/>
      <c r="J137" s="26"/>
      <c r="K137" s="26"/>
      <c r="L137" s="26"/>
      <c r="M137" s="34"/>
      <c r="N137" s="32"/>
      <c r="O137" s="44"/>
    </row>
    <row r="138" spans="1:19" s="94" customFormat="1" ht="15.75" outlineLevel="1" x14ac:dyDescent="0.25">
      <c r="A138" s="24"/>
      <c r="B138" s="24"/>
      <c r="C138" s="32" t="s">
        <v>2346</v>
      </c>
      <c r="D138" s="32">
        <v>0</v>
      </c>
      <c r="E138" s="26"/>
      <c r="F138" s="33"/>
      <c r="G138" s="210"/>
      <c r="H138" s="26"/>
      <c r="I138" s="26"/>
      <c r="J138" s="26"/>
      <c r="K138" s="26"/>
      <c r="L138" s="26"/>
      <c r="M138" s="34"/>
      <c r="N138" s="32"/>
      <c r="O138" s="44"/>
    </row>
    <row r="139" spans="1:19" s="94" customFormat="1" ht="15.75" outlineLevel="1" x14ac:dyDescent="0.25">
      <c r="A139" s="24"/>
      <c r="B139" s="24"/>
      <c r="C139" s="32" t="s">
        <v>2346</v>
      </c>
      <c r="D139" s="32">
        <v>0</v>
      </c>
      <c r="E139" s="26"/>
      <c r="F139" s="33"/>
      <c r="G139" s="210"/>
      <c r="H139" s="26"/>
      <c r="I139" s="26"/>
      <c r="J139" s="26"/>
      <c r="K139" s="26"/>
      <c r="L139" s="26"/>
      <c r="M139" s="34"/>
      <c r="N139" s="32"/>
      <c r="O139" s="44"/>
    </row>
    <row r="140" spans="1:19" s="94" customFormat="1" ht="15.75" outlineLevel="1" x14ac:dyDescent="0.25">
      <c r="A140" s="24"/>
      <c r="B140" s="24"/>
      <c r="C140" s="32" t="s">
        <v>2346</v>
      </c>
      <c r="D140" s="32">
        <v>0</v>
      </c>
      <c r="E140" s="26"/>
      <c r="F140" s="33"/>
      <c r="G140" s="210"/>
      <c r="H140" s="26"/>
      <c r="I140" s="26"/>
      <c r="J140" s="26"/>
      <c r="K140" s="26"/>
      <c r="L140" s="26"/>
      <c r="M140" s="34"/>
      <c r="N140" s="32"/>
      <c r="O140" s="44"/>
    </row>
    <row r="141" spans="1:19" s="94" customFormat="1" ht="15.75" outlineLevel="1" x14ac:dyDescent="0.25">
      <c r="A141" s="24"/>
      <c r="B141" s="24"/>
      <c r="C141" s="32" t="s">
        <v>2346</v>
      </c>
      <c r="D141" s="32">
        <v>0</v>
      </c>
      <c r="E141" s="26"/>
      <c r="F141" s="33"/>
      <c r="G141" s="210"/>
      <c r="H141" s="26"/>
      <c r="I141" s="26"/>
      <c r="J141" s="26"/>
      <c r="K141" s="26"/>
      <c r="L141" s="26"/>
      <c r="M141" s="34"/>
      <c r="N141" s="32"/>
      <c r="O141" s="44"/>
    </row>
    <row r="142" spans="1:19" s="94" customFormat="1" ht="15.75" outlineLevel="1" x14ac:dyDescent="0.25">
      <c r="A142" s="24"/>
      <c r="B142" s="24"/>
      <c r="C142" s="32" t="s">
        <v>2346</v>
      </c>
      <c r="D142" s="32">
        <v>0</v>
      </c>
      <c r="E142" s="26"/>
      <c r="F142" s="33"/>
      <c r="G142" s="208"/>
      <c r="H142" s="26"/>
      <c r="I142" s="26"/>
      <c r="J142" s="26"/>
      <c r="K142" s="26"/>
      <c r="L142" s="26"/>
      <c r="M142" s="34"/>
      <c r="N142" s="32"/>
      <c r="O142" s="44"/>
    </row>
    <row r="143" spans="1:19" s="94" customFormat="1" ht="15.75" outlineLevel="1" x14ac:dyDescent="0.25">
      <c r="A143" s="24"/>
      <c r="B143" s="24"/>
      <c r="C143" s="32" t="s">
        <v>2346</v>
      </c>
      <c r="D143" s="32">
        <v>0</v>
      </c>
      <c r="E143" s="26"/>
      <c r="F143" s="33"/>
      <c r="G143" s="210"/>
      <c r="H143" s="26"/>
      <c r="I143" s="26"/>
      <c r="J143" s="26"/>
      <c r="K143" s="26"/>
      <c r="L143" s="26"/>
      <c r="M143" s="34"/>
      <c r="N143" s="32"/>
      <c r="O143" s="44"/>
    </row>
    <row r="144" spans="1:19" s="94" customFormat="1" ht="15.75" outlineLevel="1" x14ac:dyDescent="0.25">
      <c r="A144" s="24"/>
      <c r="B144" s="24"/>
      <c r="C144" s="32" t="s">
        <v>2346</v>
      </c>
      <c r="D144" s="32">
        <v>0</v>
      </c>
      <c r="E144" s="26"/>
      <c r="F144" s="33"/>
      <c r="G144" s="210"/>
      <c r="H144" s="26"/>
      <c r="I144" s="26"/>
      <c r="J144" s="26"/>
      <c r="K144" s="26"/>
      <c r="L144" s="26"/>
      <c r="M144" s="34"/>
      <c r="N144" s="32"/>
      <c r="O144" s="44"/>
    </row>
    <row r="145" spans="1:19" s="94" customFormat="1" ht="15.75" x14ac:dyDescent="0.25">
      <c r="A145" s="24"/>
      <c r="B145" s="24"/>
      <c r="C145" s="32" t="s">
        <v>2346</v>
      </c>
      <c r="D145" s="32">
        <v>0</v>
      </c>
      <c r="E145" s="26"/>
      <c r="F145" s="33"/>
      <c r="G145" s="210"/>
      <c r="H145" s="26"/>
      <c r="I145" s="26"/>
      <c r="J145" s="26"/>
      <c r="K145" s="26"/>
      <c r="L145" s="26"/>
      <c r="M145" s="34"/>
      <c r="N145" s="32"/>
      <c r="O145" s="44"/>
    </row>
    <row r="146" spans="1:19" s="90" customFormat="1" ht="18.75" x14ac:dyDescent="0.25">
      <c r="A146" s="82" t="str">
        <f ca="1">IF(C146&gt;0,MAX($A$1:OFFSET(A146,-1,0))+0.01,"")</f>
        <v/>
      </c>
      <c r="B146" s="27"/>
      <c r="C146" s="83">
        <v>0</v>
      </c>
      <c r="D146" s="29" t="s">
        <v>24</v>
      </c>
      <c r="E146" s="85"/>
      <c r="F146" s="86">
        <f>IF(E146="inc",0,IF(C146="",0,C146*E146))</f>
        <v>0</v>
      </c>
      <c r="G146" s="208"/>
      <c r="H146" s="30"/>
      <c r="I146" s="30"/>
      <c r="J146" s="30"/>
      <c r="K146" s="30"/>
      <c r="L146" s="30"/>
      <c r="M146" s="87"/>
      <c r="N146" s="88"/>
      <c r="O146" s="25"/>
      <c r="P146" s="25"/>
      <c r="Q146" s="25"/>
      <c r="R146" s="25"/>
      <c r="S146" s="25"/>
    </row>
    <row r="147" spans="1:19" s="94" customFormat="1" ht="15.75" x14ac:dyDescent="0.25">
      <c r="A147" s="24"/>
      <c r="B147" s="24"/>
      <c r="C147" s="32" t="s">
        <v>2346</v>
      </c>
      <c r="D147" s="32">
        <v>0</v>
      </c>
      <c r="E147" s="26"/>
      <c r="F147" s="33"/>
      <c r="G147" s="210"/>
      <c r="H147" s="26"/>
      <c r="I147" s="26"/>
      <c r="J147" s="26"/>
      <c r="K147" s="26"/>
      <c r="L147" s="26"/>
      <c r="M147" s="34"/>
      <c r="N147" s="32"/>
      <c r="O147" s="44"/>
    </row>
    <row r="148" spans="1:19" s="94" customFormat="1" ht="15.75" outlineLevel="1" x14ac:dyDescent="0.25">
      <c r="A148" s="24"/>
      <c r="B148" s="24"/>
      <c r="C148" s="32" t="s">
        <v>2346</v>
      </c>
      <c r="D148" s="32">
        <v>0</v>
      </c>
      <c r="E148" s="26"/>
      <c r="F148" s="33"/>
      <c r="G148" s="210"/>
      <c r="H148" s="26"/>
      <c r="I148" s="26"/>
      <c r="J148" s="26"/>
      <c r="K148" s="26"/>
      <c r="L148" s="26"/>
      <c r="M148" s="34"/>
      <c r="N148" s="32"/>
      <c r="O148" s="44"/>
    </row>
    <row r="149" spans="1:19" s="94" customFormat="1" ht="15.75" outlineLevel="1" x14ac:dyDescent="0.25">
      <c r="A149" s="24"/>
      <c r="B149" s="24"/>
      <c r="C149" s="32" t="s">
        <v>2346</v>
      </c>
      <c r="D149" s="32">
        <v>0</v>
      </c>
      <c r="E149" s="26"/>
      <c r="F149" s="33"/>
      <c r="G149" s="210"/>
      <c r="H149" s="26"/>
      <c r="I149" s="26"/>
      <c r="J149" s="26"/>
      <c r="K149" s="26"/>
      <c r="L149" s="26"/>
      <c r="M149" s="34"/>
      <c r="N149" s="32"/>
      <c r="O149" s="44"/>
    </row>
    <row r="150" spans="1:19" s="94" customFormat="1" ht="15.75" outlineLevel="1" x14ac:dyDescent="0.25">
      <c r="A150" s="24"/>
      <c r="B150" s="24"/>
      <c r="C150" s="32" t="s">
        <v>2346</v>
      </c>
      <c r="D150" s="32">
        <v>0</v>
      </c>
      <c r="E150" s="26"/>
      <c r="F150" s="33"/>
      <c r="G150" s="210"/>
      <c r="H150" s="26"/>
      <c r="I150" s="26"/>
      <c r="J150" s="26"/>
      <c r="K150" s="26"/>
      <c r="L150" s="26"/>
      <c r="M150" s="34"/>
      <c r="N150" s="32"/>
      <c r="O150" s="44"/>
    </row>
    <row r="151" spans="1:19" s="94" customFormat="1" ht="15.75" outlineLevel="1" x14ac:dyDescent="0.25">
      <c r="A151" s="24"/>
      <c r="B151" s="24"/>
      <c r="C151" s="32" t="s">
        <v>2346</v>
      </c>
      <c r="D151" s="32">
        <v>0</v>
      </c>
      <c r="E151" s="26"/>
      <c r="F151" s="33"/>
      <c r="G151" s="210"/>
      <c r="H151" s="26"/>
      <c r="I151" s="26"/>
      <c r="J151" s="26"/>
      <c r="K151" s="26"/>
      <c r="L151" s="26"/>
      <c r="M151" s="34"/>
      <c r="N151" s="32"/>
      <c r="O151" s="44"/>
    </row>
    <row r="152" spans="1:19" s="94" customFormat="1" ht="15.75" outlineLevel="1" x14ac:dyDescent="0.25">
      <c r="A152" s="24"/>
      <c r="B152" s="24"/>
      <c r="C152" s="32" t="s">
        <v>2346</v>
      </c>
      <c r="D152" s="32">
        <v>0</v>
      </c>
      <c r="E152" s="26"/>
      <c r="F152" s="33"/>
      <c r="G152" s="210"/>
      <c r="H152" s="26"/>
      <c r="I152" s="26"/>
      <c r="J152" s="26"/>
      <c r="K152" s="26"/>
      <c r="L152" s="26"/>
      <c r="M152" s="34"/>
      <c r="N152" s="32"/>
      <c r="O152" s="44"/>
    </row>
    <row r="153" spans="1:19" s="94" customFormat="1" ht="15.75" outlineLevel="1" x14ac:dyDescent="0.25">
      <c r="A153" s="24"/>
      <c r="B153" s="24"/>
      <c r="C153" s="32" t="s">
        <v>2346</v>
      </c>
      <c r="D153" s="32">
        <v>0</v>
      </c>
      <c r="E153" s="26"/>
      <c r="F153" s="33"/>
      <c r="G153" s="208"/>
      <c r="H153" s="26"/>
      <c r="I153" s="26"/>
      <c r="J153" s="26"/>
      <c r="K153" s="26"/>
      <c r="L153" s="26"/>
      <c r="M153" s="34"/>
      <c r="N153" s="32"/>
      <c r="O153" s="44"/>
    </row>
    <row r="154" spans="1:19" s="94" customFormat="1" ht="15.75" outlineLevel="1" x14ac:dyDescent="0.25">
      <c r="A154" s="24"/>
      <c r="B154" s="24"/>
      <c r="C154" s="32" t="s">
        <v>2346</v>
      </c>
      <c r="D154" s="32">
        <v>0</v>
      </c>
      <c r="E154" s="26"/>
      <c r="F154" s="33"/>
      <c r="G154" s="210"/>
      <c r="H154" s="26"/>
      <c r="I154" s="26"/>
      <c r="J154" s="26"/>
      <c r="K154" s="26"/>
      <c r="L154" s="26"/>
      <c r="M154" s="34"/>
      <c r="N154" s="32"/>
      <c r="O154" s="44"/>
    </row>
    <row r="155" spans="1:19" s="94" customFormat="1" ht="15.75" outlineLevel="1" x14ac:dyDescent="0.25">
      <c r="A155" s="24"/>
      <c r="B155" s="24"/>
      <c r="C155" s="32" t="s">
        <v>2346</v>
      </c>
      <c r="D155" s="32">
        <v>0</v>
      </c>
      <c r="E155" s="26"/>
      <c r="F155" s="33"/>
      <c r="G155" s="210"/>
      <c r="H155" s="26"/>
      <c r="I155" s="26"/>
      <c r="J155" s="26"/>
      <c r="K155" s="26"/>
      <c r="L155" s="26"/>
      <c r="M155" s="34"/>
      <c r="N155" s="32"/>
      <c r="O155" s="44"/>
    </row>
    <row r="156" spans="1:19" s="94" customFormat="1" ht="15.75" x14ac:dyDescent="0.25">
      <c r="A156" s="24"/>
      <c r="B156" s="24"/>
      <c r="C156" s="32" t="s">
        <v>2346</v>
      </c>
      <c r="D156" s="32">
        <v>0</v>
      </c>
      <c r="E156" s="26"/>
      <c r="F156" s="33"/>
      <c r="G156" s="210"/>
      <c r="H156" s="26"/>
      <c r="I156" s="26"/>
      <c r="J156" s="26"/>
      <c r="K156" s="26"/>
      <c r="L156" s="26"/>
      <c r="M156" s="34"/>
      <c r="N156" s="32"/>
      <c r="O156" s="44"/>
    </row>
    <row r="157" spans="1:19" s="90" customFormat="1" ht="18.75" x14ac:dyDescent="0.25">
      <c r="A157" s="82" t="str">
        <f ca="1">IF(C157&gt;0,MAX($A$1:OFFSET(A157,-1,0))+0.01,"")</f>
        <v/>
      </c>
      <c r="B157" s="27"/>
      <c r="C157" s="83">
        <v>0</v>
      </c>
      <c r="D157" s="29" t="s">
        <v>24</v>
      </c>
      <c r="E157" s="85"/>
      <c r="F157" s="86">
        <f>IF(E157="inc",0,IF(C157="",0,C157*E157))</f>
        <v>0</v>
      </c>
      <c r="G157" s="208"/>
      <c r="H157" s="30"/>
      <c r="I157" s="30"/>
      <c r="J157" s="30"/>
      <c r="K157" s="30"/>
      <c r="L157" s="30"/>
      <c r="M157" s="87"/>
      <c r="N157" s="88"/>
      <c r="O157" s="25"/>
      <c r="P157" s="25"/>
      <c r="Q157" s="25"/>
      <c r="R157" s="25"/>
      <c r="S157" s="25"/>
    </row>
    <row r="158" spans="1:19" s="94" customFormat="1" ht="15.75" x14ac:dyDescent="0.25">
      <c r="A158" s="24"/>
      <c r="B158" s="24"/>
      <c r="C158" s="32" t="s">
        <v>2346</v>
      </c>
      <c r="D158" s="32">
        <v>0</v>
      </c>
      <c r="E158" s="26"/>
      <c r="F158" s="33"/>
      <c r="G158" s="210"/>
      <c r="H158" s="26"/>
      <c r="I158" s="26"/>
      <c r="J158" s="26"/>
      <c r="K158" s="26"/>
      <c r="L158" s="26"/>
      <c r="M158" s="34"/>
      <c r="N158" s="32"/>
      <c r="O158" s="44"/>
    </row>
    <row r="159" spans="1:19" s="94" customFormat="1" ht="15.75" outlineLevel="1" x14ac:dyDescent="0.25">
      <c r="A159" s="24"/>
      <c r="B159" s="24"/>
      <c r="C159" s="32" t="s">
        <v>2346</v>
      </c>
      <c r="D159" s="32">
        <v>0</v>
      </c>
      <c r="E159" s="26"/>
      <c r="F159" s="33"/>
      <c r="G159" s="210"/>
      <c r="H159" s="26"/>
      <c r="I159" s="26"/>
      <c r="J159" s="26"/>
      <c r="K159" s="26"/>
      <c r="L159" s="26"/>
      <c r="M159" s="34"/>
      <c r="N159" s="32"/>
      <c r="O159" s="44"/>
    </row>
    <row r="160" spans="1:19" s="94" customFormat="1" ht="15.75" outlineLevel="1" x14ac:dyDescent="0.25">
      <c r="A160" s="24"/>
      <c r="B160" s="24"/>
      <c r="C160" s="32" t="s">
        <v>2346</v>
      </c>
      <c r="D160" s="32">
        <v>0</v>
      </c>
      <c r="E160" s="26"/>
      <c r="F160" s="33"/>
      <c r="G160" s="210"/>
      <c r="H160" s="26"/>
      <c r="I160" s="26"/>
      <c r="J160" s="26"/>
      <c r="K160" s="26"/>
      <c r="L160" s="26"/>
      <c r="M160" s="34"/>
      <c r="N160" s="32"/>
      <c r="O160" s="44"/>
    </row>
    <row r="161" spans="1:19" s="94" customFormat="1" ht="15.75" outlineLevel="1" x14ac:dyDescent="0.25">
      <c r="A161" s="24"/>
      <c r="B161" s="24"/>
      <c r="C161" s="32" t="s">
        <v>2346</v>
      </c>
      <c r="D161" s="32">
        <v>0</v>
      </c>
      <c r="E161" s="26"/>
      <c r="F161" s="33"/>
      <c r="G161" s="210"/>
      <c r="H161" s="26"/>
      <c r="I161" s="26"/>
      <c r="J161" s="26"/>
      <c r="K161" s="26"/>
      <c r="L161" s="26"/>
      <c r="M161" s="34"/>
      <c r="N161" s="32"/>
      <c r="O161" s="44"/>
    </row>
    <row r="162" spans="1:19" s="94" customFormat="1" ht="15.75" outlineLevel="1" x14ac:dyDescent="0.25">
      <c r="A162" s="24"/>
      <c r="B162" s="24"/>
      <c r="C162" s="32" t="s">
        <v>2346</v>
      </c>
      <c r="D162" s="32">
        <v>0</v>
      </c>
      <c r="E162" s="26"/>
      <c r="F162" s="33"/>
      <c r="G162" s="210"/>
      <c r="H162" s="26"/>
      <c r="I162" s="26"/>
      <c r="J162" s="26"/>
      <c r="K162" s="26"/>
      <c r="L162" s="26"/>
      <c r="M162" s="34"/>
      <c r="N162" s="32"/>
      <c r="O162" s="44"/>
    </row>
    <row r="163" spans="1:19" s="94" customFormat="1" ht="15.75" outlineLevel="1" x14ac:dyDescent="0.25">
      <c r="A163" s="24"/>
      <c r="B163" s="24"/>
      <c r="C163" s="32" t="s">
        <v>2346</v>
      </c>
      <c r="D163" s="32">
        <v>0</v>
      </c>
      <c r="E163" s="26"/>
      <c r="F163" s="33"/>
      <c r="G163" s="210"/>
      <c r="H163" s="26"/>
      <c r="I163" s="26"/>
      <c r="J163" s="26"/>
      <c r="K163" s="26"/>
      <c r="L163" s="26"/>
      <c r="M163" s="34"/>
      <c r="N163" s="32"/>
      <c r="O163" s="44"/>
    </row>
    <row r="164" spans="1:19" s="94" customFormat="1" ht="15.75" outlineLevel="1" x14ac:dyDescent="0.25">
      <c r="A164" s="24"/>
      <c r="B164" s="24"/>
      <c r="C164" s="32" t="s">
        <v>2346</v>
      </c>
      <c r="D164" s="32">
        <v>0</v>
      </c>
      <c r="E164" s="26"/>
      <c r="F164" s="33"/>
      <c r="G164" s="208"/>
      <c r="H164" s="26"/>
      <c r="I164" s="26"/>
      <c r="J164" s="26"/>
      <c r="K164" s="26"/>
      <c r="L164" s="26"/>
      <c r="M164" s="34"/>
      <c r="N164" s="32"/>
      <c r="O164" s="44"/>
    </row>
    <row r="165" spans="1:19" s="94" customFormat="1" ht="15.75" outlineLevel="1" x14ac:dyDescent="0.25">
      <c r="A165" s="24"/>
      <c r="B165" s="24"/>
      <c r="C165" s="32" t="s">
        <v>2346</v>
      </c>
      <c r="D165" s="32">
        <v>0</v>
      </c>
      <c r="E165" s="26"/>
      <c r="F165" s="33"/>
      <c r="G165" s="210"/>
      <c r="H165" s="26"/>
      <c r="I165" s="26"/>
      <c r="J165" s="26"/>
      <c r="K165" s="26"/>
      <c r="L165" s="26"/>
      <c r="M165" s="34"/>
      <c r="N165" s="32"/>
      <c r="O165" s="44"/>
    </row>
    <row r="166" spans="1:19" s="94" customFormat="1" ht="15.75" outlineLevel="1" x14ac:dyDescent="0.25">
      <c r="A166" s="24"/>
      <c r="B166" s="24"/>
      <c r="C166" s="32" t="s">
        <v>2346</v>
      </c>
      <c r="D166" s="32">
        <v>0</v>
      </c>
      <c r="E166" s="26"/>
      <c r="F166" s="33"/>
      <c r="G166" s="210"/>
      <c r="H166" s="26"/>
      <c r="I166" s="26"/>
      <c r="J166" s="26"/>
      <c r="K166" s="26"/>
      <c r="L166" s="26"/>
      <c r="M166" s="34"/>
      <c r="N166" s="32"/>
      <c r="O166" s="44"/>
    </row>
    <row r="167" spans="1:19" s="94" customFormat="1" ht="15.75" x14ac:dyDescent="0.25">
      <c r="A167" s="24"/>
      <c r="B167" s="24"/>
      <c r="C167" s="32" t="s">
        <v>2346</v>
      </c>
      <c r="D167" s="32">
        <v>0</v>
      </c>
      <c r="E167" s="26"/>
      <c r="F167" s="33"/>
      <c r="G167" s="210"/>
      <c r="H167" s="26"/>
      <c r="I167" s="26"/>
      <c r="J167" s="26"/>
      <c r="K167" s="26"/>
      <c r="L167" s="26"/>
      <c r="M167" s="34"/>
      <c r="N167" s="32"/>
      <c r="O167" s="44"/>
    </row>
    <row r="168" spans="1:19" s="90" customFormat="1" ht="18.75" x14ac:dyDescent="0.25">
      <c r="A168" s="82" t="str">
        <f ca="1">IF(C168&gt;0,MAX($A$1:OFFSET(A168,-1,0))+0.01,"")</f>
        <v/>
      </c>
      <c r="B168" s="27"/>
      <c r="C168" s="83">
        <v>0</v>
      </c>
      <c r="D168" s="29" t="s">
        <v>24</v>
      </c>
      <c r="E168" s="85"/>
      <c r="F168" s="86">
        <f>IF(E168="inc",0,IF(C168="",0,C168*E168))</f>
        <v>0</v>
      </c>
      <c r="G168" s="208"/>
      <c r="H168" s="30"/>
      <c r="I168" s="30"/>
      <c r="J168" s="30"/>
      <c r="K168" s="30"/>
      <c r="L168" s="30"/>
      <c r="M168" s="87"/>
      <c r="N168" s="88"/>
      <c r="O168" s="25"/>
      <c r="P168" s="25"/>
      <c r="Q168" s="25"/>
      <c r="R168" s="25"/>
      <c r="S168" s="25"/>
    </row>
    <row r="169" spans="1:19" s="94" customFormat="1" ht="15.75" x14ac:dyDescent="0.25">
      <c r="A169" s="24"/>
      <c r="B169" s="24"/>
      <c r="C169" s="32" t="s">
        <v>2346</v>
      </c>
      <c r="D169" s="32">
        <v>0</v>
      </c>
      <c r="E169" s="26"/>
      <c r="F169" s="33"/>
      <c r="G169" s="210"/>
      <c r="H169" s="26"/>
      <c r="I169" s="26"/>
      <c r="J169" s="26"/>
      <c r="K169" s="26"/>
      <c r="L169" s="26"/>
      <c r="M169" s="34"/>
      <c r="N169" s="32"/>
      <c r="O169" s="44"/>
    </row>
    <row r="170" spans="1:19" s="94" customFormat="1" ht="15.75" outlineLevel="1" x14ac:dyDescent="0.25">
      <c r="A170" s="24"/>
      <c r="B170" s="24"/>
      <c r="C170" s="32" t="s">
        <v>2346</v>
      </c>
      <c r="D170" s="32">
        <v>0</v>
      </c>
      <c r="E170" s="26"/>
      <c r="F170" s="33"/>
      <c r="G170" s="210"/>
      <c r="H170" s="26"/>
      <c r="I170" s="26"/>
      <c r="J170" s="26"/>
      <c r="K170" s="26"/>
      <c r="L170" s="26"/>
      <c r="M170" s="34"/>
      <c r="N170" s="32"/>
      <c r="O170" s="44"/>
    </row>
    <row r="171" spans="1:19" s="94" customFormat="1" ht="15.75" outlineLevel="1" x14ac:dyDescent="0.25">
      <c r="A171" s="24"/>
      <c r="B171" s="24"/>
      <c r="C171" s="32" t="s">
        <v>2346</v>
      </c>
      <c r="D171" s="32">
        <v>0</v>
      </c>
      <c r="E171" s="26"/>
      <c r="F171" s="33"/>
      <c r="G171" s="210"/>
      <c r="H171" s="26"/>
      <c r="I171" s="26"/>
      <c r="J171" s="26"/>
      <c r="K171" s="26"/>
      <c r="L171" s="26"/>
      <c r="M171" s="34"/>
      <c r="N171" s="32"/>
      <c r="O171" s="44"/>
    </row>
    <row r="172" spans="1:19" s="94" customFormat="1" ht="15.75" outlineLevel="1" x14ac:dyDescent="0.25">
      <c r="A172" s="24"/>
      <c r="B172" s="24"/>
      <c r="C172" s="32" t="s">
        <v>2346</v>
      </c>
      <c r="D172" s="32">
        <v>0</v>
      </c>
      <c r="E172" s="26"/>
      <c r="F172" s="33"/>
      <c r="G172" s="210"/>
      <c r="H172" s="26"/>
      <c r="I172" s="26"/>
      <c r="J172" s="26"/>
      <c r="K172" s="26"/>
      <c r="L172" s="26"/>
      <c r="M172" s="34"/>
      <c r="N172" s="32"/>
      <c r="O172" s="44"/>
    </row>
    <row r="173" spans="1:19" s="94" customFormat="1" ht="15.75" outlineLevel="1" x14ac:dyDescent="0.25">
      <c r="A173" s="24"/>
      <c r="B173" s="24"/>
      <c r="C173" s="32" t="s">
        <v>2346</v>
      </c>
      <c r="D173" s="32">
        <v>0</v>
      </c>
      <c r="E173" s="26"/>
      <c r="F173" s="33"/>
      <c r="G173" s="210"/>
      <c r="H173" s="26"/>
      <c r="I173" s="26"/>
      <c r="J173" s="26"/>
      <c r="K173" s="26"/>
      <c r="L173" s="26"/>
      <c r="M173" s="34"/>
      <c r="N173" s="32"/>
      <c r="O173" s="44"/>
    </row>
    <row r="174" spans="1:19" s="94" customFormat="1" ht="15.75" outlineLevel="1" x14ac:dyDescent="0.25">
      <c r="A174" s="24"/>
      <c r="B174" s="24"/>
      <c r="C174" s="32" t="s">
        <v>2346</v>
      </c>
      <c r="D174" s="32">
        <v>0</v>
      </c>
      <c r="E174" s="26"/>
      <c r="F174" s="33"/>
      <c r="G174" s="210"/>
      <c r="H174" s="26"/>
      <c r="I174" s="26"/>
      <c r="J174" s="26"/>
      <c r="K174" s="26"/>
      <c r="L174" s="26"/>
      <c r="M174" s="34"/>
      <c r="N174" s="32"/>
      <c r="O174" s="44"/>
    </row>
    <row r="175" spans="1:19" s="94" customFormat="1" ht="15.75" outlineLevel="1" x14ac:dyDescent="0.25">
      <c r="A175" s="24"/>
      <c r="B175" s="24"/>
      <c r="C175" s="32" t="s">
        <v>2346</v>
      </c>
      <c r="D175" s="32">
        <v>0</v>
      </c>
      <c r="E175" s="26"/>
      <c r="F175" s="33"/>
      <c r="G175" s="210"/>
      <c r="H175" s="26"/>
      <c r="I175" s="26"/>
      <c r="J175" s="26"/>
      <c r="K175" s="26"/>
      <c r="L175" s="26"/>
      <c r="M175" s="34"/>
      <c r="N175" s="32"/>
      <c r="O175" s="44"/>
    </row>
    <row r="176" spans="1:19" s="94" customFormat="1" ht="15.75" outlineLevel="1" x14ac:dyDescent="0.25">
      <c r="A176" s="24"/>
      <c r="B176" s="24"/>
      <c r="C176" s="32" t="s">
        <v>2346</v>
      </c>
      <c r="D176" s="32">
        <v>0</v>
      </c>
      <c r="E176" s="26"/>
      <c r="F176" s="33"/>
      <c r="G176" s="210"/>
      <c r="H176" s="26"/>
      <c r="I176" s="26"/>
      <c r="J176" s="26"/>
      <c r="K176" s="26"/>
      <c r="L176" s="26"/>
      <c r="M176" s="34"/>
      <c r="N176" s="32"/>
      <c r="O176" s="44"/>
    </row>
    <row r="177" spans="1:19" s="94" customFormat="1" ht="15.75" outlineLevel="1" x14ac:dyDescent="0.25">
      <c r="A177" s="24"/>
      <c r="B177" s="24"/>
      <c r="C177" s="32" t="s">
        <v>2346</v>
      </c>
      <c r="D177" s="32">
        <v>0</v>
      </c>
      <c r="E177" s="26"/>
      <c r="F177" s="33"/>
      <c r="G177" s="210"/>
      <c r="H177" s="26"/>
      <c r="I177" s="26"/>
      <c r="J177" s="26"/>
      <c r="K177" s="26"/>
      <c r="L177" s="26"/>
      <c r="M177" s="34"/>
      <c r="N177" s="32"/>
      <c r="O177" s="44"/>
    </row>
    <row r="178" spans="1:19" s="94" customFormat="1" ht="15.75" x14ac:dyDescent="0.25">
      <c r="A178" s="24"/>
      <c r="B178" s="24"/>
      <c r="C178" s="32" t="s">
        <v>2346</v>
      </c>
      <c r="D178" s="32">
        <v>0</v>
      </c>
      <c r="E178" s="26"/>
      <c r="F178" s="33"/>
      <c r="G178" s="210"/>
      <c r="H178" s="26"/>
      <c r="I178" s="26"/>
      <c r="J178" s="26"/>
      <c r="K178" s="26"/>
      <c r="L178" s="26"/>
      <c r="M178" s="34"/>
      <c r="N178" s="32"/>
      <c r="O178" s="44"/>
    </row>
    <row r="179" spans="1:19" s="90" customFormat="1" ht="18.75" x14ac:dyDescent="0.25">
      <c r="A179" s="82" t="str">
        <f ca="1">IF(C179&gt;0,MAX($A$1:OFFSET(A179,-1,0))+0.01,"")</f>
        <v/>
      </c>
      <c r="B179" s="27"/>
      <c r="C179" s="83">
        <v>0</v>
      </c>
      <c r="D179" s="29" t="s">
        <v>24</v>
      </c>
      <c r="E179" s="85"/>
      <c r="F179" s="86">
        <f>IF(E179="inc",0,IF(C179="",0,C179*E179))</f>
        <v>0</v>
      </c>
      <c r="G179" s="208"/>
      <c r="H179" s="30"/>
      <c r="I179" s="30"/>
      <c r="J179" s="30"/>
      <c r="K179" s="30"/>
      <c r="L179" s="30"/>
      <c r="M179" s="87"/>
      <c r="N179" s="88"/>
      <c r="O179" s="25"/>
      <c r="P179" s="25"/>
      <c r="Q179" s="25"/>
      <c r="R179" s="25"/>
      <c r="S179" s="25"/>
    </row>
    <row r="180" spans="1:19" s="94" customFormat="1" ht="15.75" x14ac:dyDescent="0.25">
      <c r="A180" s="24"/>
      <c r="B180" s="24"/>
      <c r="C180" s="32" t="s">
        <v>2346</v>
      </c>
      <c r="D180" s="32">
        <v>0</v>
      </c>
      <c r="E180" s="26"/>
      <c r="F180" s="33"/>
      <c r="G180" s="210"/>
      <c r="H180" s="26"/>
      <c r="I180" s="26"/>
      <c r="J180" s="26"/>
      <c r="K180" s="26"/>
      <c r="L180" s="26"/>
      <c r="M180" s="34"/>
      <c r="N180" s="32"/>
      <c r="O180" s="44"/>
    </row>
    <row r="181" spans="1:19" s="94" customFormat="1" ht="15.75" outlineLevel="1" x14ac:dyDescent="0.25">
      <c r="A181" s="24"/>
      <c r="B181" s="24"/>
      <c r="C181" s="32" t="s">
        <v>2346</v>
      </c>
      <c r="D181" s="32">
        <v>0</v>
      </c>
      <c r="E181" s="26"/>
      <c r="F181" s="33"/>
      <c r="G181" s="210"/>
      <c r="H181" s="26"/>
      <c r="I181" s="26"/>
      <c r="J181" s="26"/>
      <c r="K181" s="26"/>
      <c r="L181" s="26"/>
      <c r="M181" s="34"/>
      <c r="N181" s="32"/>
      <c r="O181" s="44"/>
    </row>
    <row r="182" spans="1:19" s="94" customFormat="1" ht="15.75" outlineLevel="1" x14ac:dyDescent="0.25">
      <c r="A182" s="24"/>
      <c r="B182" s="24"/>
      <c r="C182" s="32" t="s">
        <v>2346</v>
      </c>
      <c r="D182" s="32">
        <v>0</v>
      </c>
      <c r="E182" s="26"/>
      <c r="F182" s="33"/>
      <c r="G182" s="210"/>
      <c r="H182" s="26"/>
      <c r="I182" s="26"/>
      <c r="J182" s="26"/>
      <c r="K182" s="26"/>
      <c r="L182" s="26"/>
      <c r="M182" s="34"/>
      <c r="N182" s="32"/>
      <c r="O182" s="44"/>
    </row>
    <row r="183" spans="1:19" s="94" customFormat="1" ht="15.75" outlineLevel="1" x14ac:dyDescent="0.25">
      <c r="A183" s="24"/>
      <c r="B183" s="24"/>
      <c r="C183" s="32" t="s">
        <v>2346</v>
      </c>
      <c r="D183" s="32">
        <v>0</v>
      </c>
      <c r="E183" s="26"/>
      <c r="F183" s="33"/>
      <c r="G183" s="210"/>
      <c r="H183" s="26"/>
      <c r="I183" s="26"/>
      <c r="J183" s="26"/>
      <c r="K183" s="26"/>
      <c r="L183" s="26"/>
      <c r="M183" s="34"/>
      <c r="N183" s="32"/>
      <c r="O183" s="44"/>
    </row>
    <row r="184" spans="1:19" s="94" customFormat="1" ht="15.75" outlineLevel="1" x14ac:dyDescent="0.25">
      <c r="A184" s="24"/>
      <c r="B184" s="24"/>
      <c r="C184" s="32" t="s">
        <v>2346</v>
      </c>
      <c r="D184" s="32">
        <v>0</v>
      </c>
      <c r="E184" s="26"/>
      <c r="F184" s="33"/>
      <c r="G184" s="210"/>
      <c r="H184" s="26"/>
      <c r="I184" s="26"/>
      <c r="J184" s="26"/>
      <c r="K184" s="26"/>
      <c r="L184" s="26"/>
      <c r="M184" s="34"/>
      <c r="N184" s="32"/>
      <c r="O184" s="44"/>
    </row>
    <row r="185" spans="1:19" s="94" customFormat="1" ht="15.75" outlineLevel="1" x14ac:dyDescent="0.25">
      <c r="A185" s="24"/>
      <c r="B185" s="24"/>
      <c r="C185" s="32" t="s">
        <v>2346</v>
      </c>
      <c r="D185" s="32">
        <v>0</v>
      </c>
      <c r="E185" s="26"/>
      <c r="F185" s="33"/>
      <c r="G185" s="210"/>
      <c r="H185" s="26"/>
      <c r="I185" s="26"/>
      <c r="J185" s="26"/>
      <c r="K185" s="26"/>
      <c r="L185" s="26"/>
      <c r="M185" s="34"/>
      <c r="N185" s="32"/>
      <c r="O185" s="44"/>
    </row>
    <row r="186" spans="1:19" s="94" customFormat="1" ht="15.75" outlineLevel="1" x14ac:dyDescent="0.25">
      <c r="A186" s="24"/>
      <c r="B186" s="24"/>
      <c r="C186" s="32" t="s">
        <v>2346</v>
      </c>
      <c r="D186" s="32">
        <v>0</v>
      </c>
      <c r="E186" s="26"/>
      <c r="F186" s="33"/>
      <c r="G186" s="210"/>
      <c r="H186" s="26"/>
      <c r="I186" s="26"/>
      <c r="J186" s="26"/>
      <c r="K186" s="26"/>
      <c r="L186" s="26"/>
      <c r="M186" s="34"/>
      <c r="N186" s="32"/>
      <c r="O186" s="44"/>
    </row>
    <row r="187" spans="1:19" s="94" customFormat="1" ht="15.75" outlineLevel="1" x14ac:dyDescent="0.25">
      <c r="A187" s="24"/>
      <c r="B187" s="24"/>
      <c r="C187" s="32" t="s">
        <v>2346</v>
      </c>
      <c r="D187" s="32">
        <v>0</v>
      </c>
      <c r="E187" s="26"/>
      <c r="F187" s="33"/>
      <c r="G187" s="210"/>
      <c r="H187" s="26"/>
      <c r="I187" s="26"/>
      <c r="J187" s="26"/>
      <c r="K187" s="26"/>
      <c r="L187" s="26"/>
      <c r="M187" s="34"/>
      <c r="N187" s="32"/>
      <c r="O187" s="44"/>
    </row>
    <row r="188" spans="1:19" s="94" customFormat="1" ht="15.75" outlineLevel="1" x14ac:dyDescent="0.25">
      <c r="A188" s="24"/>
      <c r="B188" s="24"/>
      <c r="C188" s="32" t="s">
        <v>2346</v>
      </c>
      <c r="D188" s="32">
        <v>0</v>
      </c>
      <c r="E188" s="26"/>
      <c r="F188" s="33"/>
      <c r="G188" s="210"/>
      <c r="H188" s="26"/>
      <c r="I188" s="26"/>
      <c r="J188" s="26"/>
      <c r="K188" s="26"/>
      <c r="L188" s="26"/>
      <c r="M188" s="34"/>
      <c r="N188" s="32"/>
      <c r="O188" s="44"/>
    </row>
    <row r="189" spans="1:19" s="94" customFormat="1" ht="15.75" x14ac:dyDescent="0.25">
      <c r="A189" s="24"/>
      <c r="B189" s="24"/>
      <c r="C189" s="32" t="s">
        <v>2346</v>
      </c>
      <c r="D189" s="32">
        <v>0</v>
      </c>
      <c r="E189" s="26"/>
      <c r="F189" s="33"/>
      <c r="G189" s="210"/>
      <c r="H189" s="26"/>
      <c r="I189" s="26"/>
      <c r="J189" s="26"/>
      <c r="K189" s="26"/>
      <c r="L189" s="26"/>
      <c r="M189" s="34"/>
      <c r="N189" s="32"/>
      <c r="O189" s="44"/>
    </row>
    <row r="190" spans="1:19" s="90" customFormat="1" ht="18.75" x14ac:dyDescent="0.25">
      <c r="A190" s="82" t="str">
        <f ca="1">IF(C190&gt;0,MAX($A$1:OFFSET(A190,-1,0))+0.01,"")</f>
        <v/>
      </c>
      <c r="B190" s="27"/>
      <c r="C190" s="83">
        <v>0</v>
      </c>
      <c r="D190" s="29" t="s">
        <v>24</v>
      </c>
      <c r="E190" s="85"/>
      <c r="F190" s="86">
        <f>IF(E190="inc",0,IF(C190="",0,C190*E190))</f>
        <v>0</v>
      </c>
      <c r="G190" s="208"/>
      <c r="H190" s="30"/>
      <c r="I190" s="30"/>
      <c r="J190" s="30"/>
      <c r="K190" s="30"/>
      <c r="L190" s="30"/>
      <c r="M190" s="87"/>
      <c r="N190" s="88"/>
      <c r="O190" s="25"/>
      <c r="P190" s="25"/>
      <c r="Q190" s="25"/>
      <c r="R190" s="25"/>
      <c r="S190" s="25"/>
    </row>
    <row r="191" spans="1:19" s="94" customFormat="1" ht="15.75" x14ac:dyDescent="0.25">
      <c r="A191" s="24"/>
      <c r="B191" s="24"/>
      <c r="C191" s="32" t="s">
        <v>2346</v>
      </c>
      <c r="D191" s="32">
        <v>0</v>
      </c>
      <c r="E191" s="26"/>
      <c r="F191" s="33"/>
      <c r="G191" s="210"/>
      <c r="H191" s="26"/>
      <c r="I191" s="26"/>
      <c r="J191" s="26"/>
      <c r="K191" s="26"/>
      <c r="L191" s="26"/>
      <c r="M191" s="34"/>
      <c r="N191" s="32"/>
      <c r="O191" s="44"/>
    </row>
    <row r="192" spans="1:19" s="94" customFormat="1" ht="15.75" outlineLevel="1" x14ac:dyDescent="0.25">
      <c r="A192" s="24"/>
      <c r="B192" s="24"/>
      <c r="C192" s="32" t="s">
        <v>2346</v>
      </c>
      <c r="D192" s="32">
        <v>0</v>
      </c>
      <c r="E192" s="26"/>
      <c r="F192" s="33"/>
      <c r="G192" s="210"/>
      <c r="H192" s="26"/>
      <c r="I192" s="26"/>
      <c r="J192" s="26"/>
      <c r="K192" s="26"/>
      <c r="L192" s="26"/>
      <c r="M192" s="34"/>
      <c r="N192" s="32"/>
      <c r="O192" s="44"/>
    </row>
    <row r="193" spans="1:19" s="94" customFormat="1" ht="15.75" outlineLevel="1" x14ac:dyDescent="0.25">
      <c r="A193" s="24"/>
      <c r="B193" s="24"/>
      <c r="C193" s="32" t="s">
        <v>2346</v>
      </c>
      <c r="D193" s="32">
        <v>0</v>
      </c>
      <c r="E193" s="26"/>
      <c r="F193" s="33"/>
      <c r="G193" s="210"/>
      <c r="H193" s="26"/>
      <c r="I193" s="26"/>
      <c r="J193" s="26"/>
      <c r="K193" s="26"/>
      <c r="L193" s="26"/>
      <c r="M193" s="34"/>
      <c r="N193" s="32"/>
      <c r="O193" s="44"/>
    </row>
    <row r="194" spans="1:19" s="94" customFormat="1" ht="15.75" outlineLevel="1" x14ac:dyDescent="0.25">
      <c r="A194" s="24"/>
      <c r="B194" s="24"/>
      <c r="C194" s="32" t="s">
        <v>2346</v>
      </c>
      <c r="D194" s="32">
        <v>0</v>
      </c>
      <c r="E194" s="26"/>
      <c r="F194" s="33"/>
      <c r="G194" s="208"/>
      <c r="H194" s="26"/>
      <c r="I194" s="26"/>
      <c r="J194" s="26"/>
      <c r="K194" s="26"/>
      <c r="L194" s="26"/>
      <c r="M194" s="34"/>
      <c r="N194" s="32"/>
      <c r="O194" s="44"/>
    </row>
    <row r="195" spans="1:19" s="94" customFormat="1" ht="15.75" outlineLevel="1" x14ac:dyDescent="0.25">
      <c r="A195" s="24"/>
      <c r="B195" s="24"/>
      <c r="C195" s="32" t="s">
        <v>2346</v>
      </c>
      <c r="D195" s="32">
        <v>0</v>
      </c>
      <c r="E195" s="26"/>
      <c r="F195" s="33"/>
      <c r="G195" s="210"/>
      <c r="H195" s="26"/>
      <c r="I195" s="26"/>
      <c r="J195" s="26"/>
      <c r="K195" s="26"/>
      <c r="L195" s="26"/>
      <c r="M195" s="34"/>
      <c r="N195" s="32"/>
      <c r="O195" s="44"/>
    </row>
    <row r="196" spans="1:19" s="94" customFormat="1" ht="15.75" outlineLevel="1" x14ac:dyDescent="0.25">
      <c r="A196" s="24"/>
      <c r="B196" s="24"/>
      <c r="C196" s="32" t="s">
        <v>2346</v>
      </c>
      <c r="D196" s="32">
        <v>0</v>
      </c>
      <c r="E196" s="26"/>
      <c r="F196" s="33"/>
      <c r="G196" s="210"/>
      <c r="H196" s="26"/>
      <c r="I196" s="26"/>
      <c r="J196" s="26"/>
      <c r="K196" s="26"/>
      <c r="L196" s="26"/>
      <c r="M196" s="34"/>
      <c r="N196" s="32"/>
      <c r="O196" s="44"/>
    </row>
    <row r="197" spans="1:19" s="94" customFormat="1" ht="15.75" outlineLevel="1" x14ac:dyDescent="0.25">
      <c r="A197" s="24"/>
      <c r="B197" s="24"/>
      <c r="C197" s="32" t="s">
        <v>2346</v>
      </c>
      <c r="D197" s="32">
        <v>0</v>
      </c>
      <c r="E197" s="26"/>
      <c r="F197" s="33"/>
      <c r="G197" s="210"/>
      <c r="H197" s="26"/>
      <c r="I197" s="26"/>
      <c r="J197" s="26"/>
      <c r="K197" s="26"/>
      <c r="L197" s="26"/>
      <c r="M197" s="34"/>
      <c r="N197" s="32"/>
      <c r="O197" s="44"/>
    </row>
    <row r="198" spans="1:19" s="94" customFormat="1" ht="15.75" outlineLevel="1" x14ac:dyDescent="0.25">
      <c r="A198" s="24"/>
      <c r="B198" s="24"/>
      <c r="C198" s="32" t="s">
        <v>2346</v>
      </c>
      <c r="D198" s="32">
        <v>0</v>
      </c>
      <c r="E198" s="26"/>
      <c r="F198" s="33"/>
      <c r="G198" s="210"/>
      <c r="H198" s="26"/>
      <c r="I198" s="26"/>
      <c r="J198" s="26"/>
      <c r="K198" s="26"/>
      <c r="L198" s="26"/>
      <c r="M198" s="34"/>
      <c r="N198" s="32"/>
      <c r="O198" s="44"/>
    </row>
    <row r="199" spans="1:19" s="94" customFormat="1" ht="15.75" outlineLevel="1" x14ac:dyDescent="0.25">
      <c r="A199" s="24"/>
      <c r="B199" s="24"/>
      <c r="C199" s="32" t="s">
        <v>2346</v>
      </c>
      <c r="D199" s="32">
        <v>0</v>
      </c>
      <c r="E199" s="26"/>
      <c r="F199" s="33"/>
      <c r="G199" s="210"/>
      <c r="H199" s="26"/>
      <c r="I199" s="26"/>
      <c r="J199" s="26"/>
      <c r="K199" s="26"/>
      <c r="L199" s="26"/>
      <c r="M199" s="34"/>
      <c r="N199" s="32"/>
      <c r="O199" s="44"/>
    </row>
    <row r="200" spans="1:19" s="94" customFormat="1" ht="15.75" x14ac:dyDescent="0.25">
      <c r="A200" s="24"/>
      <c r="B200" s="24"/>
      <c r="C200" s="32" t="s">
        <v>2346</v>
      </c>
      <c r="D200" s="32">
        <v>0</v>
      </c>
      <c r="E200" s="26"/>
      <c r="F200" s="33"/>
      <c r="G200" s="210"/>
      <c r="H200" s="26"/>
      <c r="I200" s="26"/>
      <c r="J200" s="26"/>
      <c r="K200" s="26"/>
      <c r="L200" s="26"/>
      <c r="M200" s="34"/>
      <c r="N200" s="32"/>
      <c r="O200" s="44"/>
    </row>
    <row r="201" spans="1:19" s="90" customFormat="1" ht="18.75" x14ac:dyDescent="0.25">
      <c r="A201" s="82" t="str">
        <f ca="1">IF(C201&gt;0,MAX($A$1:OFFSET(A201,-1,0))+0.01,"")</f>
        <v/>
      </c>
      <c r="B201" s="27"/>
      <c r="C201" s="83">
        <v>0</v>
      </c>
      <c r="D201" s="29" t="s">
        <v>24</v>
      </c>
      <c r="E201" s="85"/>
      <c r="F201" s="86">
        <f>IF(E201="inc",0,IF(C201="",0,C201*E201))</f>
        <v>0</v>
      </c>
      <c r="G201" s="208"/>
      <c r="H201" s="30"/>
      <c r="I201" s="30"/>
      <c r="J201" s="30"/>
      <c r="K201" s="30"/>
      <c r="L201" s="30"/>
      <c r="M201" s="87"/>
      <c r="N201" s="88"/>
      <c r="O201" s="25"/>
      <c r="P201" s="25"/>
      <c r="Q201" s="25"/>
      <c r="R201" s="25"/>
      <c r="S201" s="25"/>
    </row>
    <row r="202" spans="1:19" s="94" customFormat="1" ht="15.75" x14ac:dyDescent="0.25">
      <c r="A202" s="24"/>
      <c r="B202" s="24"/>
      <c r="C202" s="32" t="s">
        <v>2346</v>
      </c>
      <c r="D202" s="32">
        <v>0</v>
      </c>
      <c r="E202" s="26"/>
      <c r="F202" s="33"/>
      <c r="G202" s="210"/>
      <c r="H202" s="26"/>
      <c r="I202" s="26"/>
      <c r="J202" s="26"/>
      <c r="K202" s="26"/>
      <c r="L202" s="26"/>
      <c r="M202" s="34"/>
      <c r="N202" s="32"/>
      <c r="O202" s="44"/>
    </row>
    <row r="203" spans="1:19" s="94" customFormat="1" ht="15.75" outlineLevel="1" x14ac:dyDescent="0.25">
      <c r="A203" s="24"/>
      <c r="B203" s="24"/>
      <c r="C203" s="32" t="s">
        <v>2346</v>
      </c>
      <c r="D203" s="32">
        <v>0</v>
      </c>
      <c r="E203" s="26"/>
      <c r="F203" s="33"/>
      <c r="G203" s="210"/>
      <c r="H203" s="26"/>
      <c r="I203" s="26"/>
      <c r="J203" s="26"/>
      <c r="K203" s="26"/>
      <c r="L203" s="26"/>
      <c r="M203" s="34"/>
      <c r="N203" s="32"/>
      <c r="O203" s="44"/>
    </row>
    <row r="204" spans="1:19" s="94" customFormat="1" ht="15.75" outlineLevel="1" x14ac:dyDescent="0.25">
      <c r="A204" s="24"/>
      <c r="B204" s="24"/>
      <c r="C204" s="32" t="s">
        <v>2346</v>
      </c>
      <c r="D204" s="32">
        <v>0</v>
      </c>
      <c r="E204" s="26"/>
      <c r="F204" s="33"/>
      <c r="G204" s="210"/>
      <c r="H204" s="26"/>
      <c r="I204" s="26"/>
      <c r="J204" s="26"/>
      <c r="K204" s="26"/>
      <c r="L204" s="26"/>
      <c r="M204" s="34"/>
      <c r="N204" s="32"/>
      <c r="O204" s="44"/>
    </row>
    <row r="205" spans="1:19" s="94" customFormat="1" ht="15.75" outlineLevel="1" x14ac:dyDescent="0.25">
      <c r="A205" s="24"/>
      <c r="B205" s="24"/>
      <c r="C205" s="32" t="s">
        <v>2346</v>
      </c>
      <c r="D205" s="32">
        <v>0</v>
      </c>
      <c r="E205" s="26"/>
      <c r="F205" s="33"/>
      <c r="G205" s="208"/>
      <c r="H205" s="26"/>
      <c r="I205" s="26"/>
      <c r="J205" s="26"/>
      <c r="K205" s="26"/>
      <c r="L205" s="26"/>
      <c r="M205" s="34"/>
      <c r="N205" s="32"/>
      <c r="O205" s="44"/>
    </row>
    <row r="206" spans="1:19" s="94" customFormat="1" ht="15.75" outlineLevel="1" x14ac:dyDescent="0.25">
      <c r="A206" s="24"/>
      <c r="B206" s="24"/>
      <c r="C206" s="32" t="s">
        <v>2346</v>
      </c>
      <c r="D206" s="32">
        <v>0</v>
      </c>
      <c r="E206" s="26"/>
      <c r="F206" s="33"/>
      <c r="G206" s="210"/>
      <c r="H206" s="26"/>
      <c r="I206" s="26"/>
      <c r="J206" s="26"/>
      <c r="K206" s="26"/>
      <c r="L206" s="26"/>
      <c r="M206" s="34"/>
      <c r="N206" s="32"/>
      <c r="O206" s="44"/>
    </row>
    <row r="207" spans="1:19" s="94" customFormat="1" ht="15.75" outlineLevel="1" x14ac:dyDescent="0.25">
      <c r="A207" s="24"/>
      <c r="B207" s="24"/>
      <c r="C207" s="32" t="s">
        <v>2346</v>
      </c>
      <c r="D207" s="32">
        <v>0</v>
      </c>
      <c r="E207" s="26"/>
      <c r="F207" s="33"/>
      <c r="G207" s="210"/>
      <c r="H207" s="26"/>
      <c r="I207" s="26"/>
      <c r="J207" s="26"/>
      <c r="K207" s="26"/>
      <c r="L207" s="26"/>
      <c r="M207" s="34"/>
      <c r="N207" s="32"/>
      <c r="O207" s="44"/>
    </row>
    <row r="208" spans="1:19" s="94" customFormat="1" ht="15.75" outlineLevel="1" x14ac:dyDescent="0.25">
      <c r="A208" s="24"/>
      <c r="B208" s="24"/>
      <c r="C208" s="32" t="s">
        <v>2346</v>
      </c>
      <c r="D208" s="32">
        <v>0</v>
      </c>
      <c r="E208" s="26"/>
      <c r="F208" s="33"/>
      <c r="G208" s="210"/>
      <c r="H208" s="26"/>
      <c r="I208" s="26"/>
      <c r="J208" s="26"/>
      <c r="K208" s="26"/>
      <c r="L208" s="26"/>
      <c r="M208" s="34"/>
      <c r="N208" s="32"/>
      <c r="O208" s="44"/>
    </row>
    <row r="209" spans="1:19" s="94" customFormat="1" ht="15.75" outlineLevel="1" x14ac:dyDescent="0.25">
      <c r="A209" s="24"/>
      <c r="B209" s="24"/>
      <c r="C209" s="32" t="s">
        <v>2346</v>
      </c>
      <c r="D209" s="32">
        <v>0</v>
      </c>
      <c r="E209" s="26"/>
      <c r="F209" s="33"/>
      <c r="G209" s="210"/>
      <c r="H209" s="26"/>
      <c r="I209" s="26"/>
      <c r="J209" s="26"/>
      <c r="K209" s="26"/>
      <c r="L209" s="26"/>
      <c r="M209" s="34"/>
      <c r="N209" s="32"/>
      <c r="O209" s="44"/>
    </row>
    <row r="210" spans="1:19" s="94" customFormat="1" ht="15.75" outlineLevel="1" x14ac:dyDescent="0.25">
      <c r="A210" s="24"/>
      <c r="B210" s="24"/>
      <c r="C210" s="32" t="s">
        <v>2346</v>
      </c>
      <c r="D210" s="32">
        <v>0</v>
      </c>
      <c r="E210" s="26"/>
      <c r="F210" s="33"/>
      <c r="G210" s="210"/>
      <c r="H210" s="26"/>
      <c r="I210" s="26"/>
      <c r="J210" s="26"/>
      <c r="K210" s="26"/>
      <c r="L210" s="26"/>
      <c r="M210" s="34"/>
      <c r="N210" s="32"/>
      <c r="O210" s="44"/>
    </row>
    <row r="211" spans="1:19" s="94" customFormat="1" ht="15.75" x14ac:dyDescent="0.25">
      <c r="A211" s="24"/>
      <c r="B211" s="24"/>
      <c r="C211" s="32" t="s">
        <v>2346</v>
      </c>
      <c r="D211" s="32">
        <v>0</v>
      </c>
      <c r="E211" s="26"/>
      <c r="F211" s="33"/>
      <c r="G211" s="210"/>
      <c r="H211" s="26"/>
      <c r="I211" s="26"/>
      <c r="J211" s="26"/>
      <c r="K211" s="26"/>
      <c r="L211" s="26"/>
      <c r="M211" s="34"/>
      <c r="N211" s="32"/>
      <c r="O211" s="44"/>
    </row>
    <row r="212" spans="1:19" s="90" customFormat="1" ht="18.75" x14ac:dyDescent="0.25">
      <c r="A212" s="82" t="str">
        <f ca="1">IF(C212&gt;0,MAX($A$1:OFFSET(A212,-1,0))+0.01,"")</f>
        <v/>
      </c>
      <c r="B212" s="27"/>
      <c r="C212" s="83">
        <v>0</v>
      </c>
      <c r="D212" s="29" t="s">
        <v>24</v>
      </c>
      <c r="E212" s="85"/>
      <c r="F212" s="86">
        <f>IF(E212="inc",0,IF(C212="",0,C212*E212))</f>
        <v>0</v>
      </c>
      <c r="G212" s="208"/>
      <c r="H212" s="30"/>
      <c r="I212" s="30"/>
      <c r="J212" s="30"/>
      <c r="K212" s="30"/>
      <c r="L212" s="30"/>
      <c r="M212" s="87"/>
      <c r="N212" s="88"/>
      <c r="O212" s="25"/>
      <c r="P212" s="25"/>
      <c r="Q212" s="25"/>
      <c r="R212" s="25"/>
      <c r="S212" s="25"/>
    </row>
    <row r="213" spans="1:19" s="94" customFormat="1" ht="15.75" x14ac:dyDescent="0.25">
      <c r="A213" s="24"/>
      <c r="B213" s="24"/>
      <c r="C213" s="32" t="s">
        <v>2346</v>
      </c>
      <c r="D213" s="32">
        <v>0</v>
      </c>
      <c r="E213" s="26"/>
      <c r="F213" s="33"/>
      <c r="G213" s="210"/>
      <c r="H213" s="26"/>
      <c r="I213" s="26"/>
      <c r="J213" s="26"/>
      <c r="K213" s="26"/>
      <c r="L213" s="26"/>
      <c r="M213" s="34"/>
      <c r="N213" s="32"/>
      <c r="O213" s="44"/>
    </row>
    <row r="214" spans="1:19" s="94" customFormat="1" ht="15.75" outlineLevel="1" x14ac:dyDescent="0.25">
      <c r="A214" s="24"/>
      <c r="B214" s="24"/>
      <c r="C214" s="32" t="s">
        <v>2346</v>
      </c>
      <c r="D214" s="32">
        <v>0</v>
      </c>
      <c r="E214" s="26"/>
      <c r="F214" s="33"/>
      <c r="G214" s="210"/>
      <c r="H214" s="26"/>
      <c r="I214" s="26"/>
      <c r="J214" s="26"/>
      <c r="K214" s="26"/>
      <c r="L214" s="26"/>
      <c r="M214" s="34"/>
      <c r="N214" s="32"/>
      <c r="O214" s="44"/>
    </row>
    <row r="215" spans="1:19" s="94" customFormat="1" ht="15.75" outlineLevel="1" x14ac:dyDescent="0.25">
      <c r="A215" s="24"/>
      <c r="B215" s="24"/>
      <c r="C215" s="32" t="s">
        <v>2346</v>
      </c>
      <c r="D215" s="32">
        <v>0</v>
      </c>
      <c r="E215" s="26"/>
      <c r="F215" s="33"/>
      <c r="G215" s="210"/>
      <c r="H215" s="26"/>
      <c r="I215" s="26"/>
      <c r="J215" s="26"/>
      <c r="K215" s="26"/>
      <c r="L215" s="26"/>
      <c r="M215" s="34"/>
      <c r="N215" s="32"/>
      <c r="O215" s="44"/>
    </row>
    <row r="216" spans="1:19" s="94" customFormat="1" ht="15.75" outlineLevel="1" x14ac:dyDescent="0.25">
      <c r="A216" s="24"/>
      <c r="B216" s="24"/>
      <c r="C216" s="32" t="s">
        <v>2346</v>
      </c>
      <c r="D216" s="32">
        <v>0</v>
      </c>
      <c r="E216" s="26"/>
      <c r="F216" s="33"/>
      <c r="G216" s="208"/>
      <c r="H216" s="26"/>
      <c r="I216" s="26"/>
      <c r="J216" s="26"/>
      <c r="K216" s="26"/>
      <c r="L216" s="26"/>
      <c r="M216" s="34"/>
      <c r="N216" s="32"/>
      <c r="O216" s="44"/>
    </row>
    <row r="217" spans="1:19" s="94" customFormat="1" ht="15.75" outlineLevel="1" x14ac:dyDescent="0.25">
      <c r="A217" s="24"/>
      <c r="B217" s="24"/>
      <c r="C217" s="32" t="s">
        <v>2346</v>
      </c>
      <c r="D217" s="32">
        <v>0</v>
      </c>
      <c r="E217" s="26"/>
      <c r="F217" s="33"/>
      <c r="G217" s="210"/>
      <c r="H217" s="26"/>
      <c r="I217" s="26"/>
      <c r="J217" s="26"/>
      <c r="K217" s="26"/>
      <c r="L217" s="26"/>
      <c r="M217" s="34"/>
      <c r="N217" s="32"/>
      <c r="O217" s="44"/>
    </row>
    <row r="218" spans="1:19" s="94" customFormat="1" ht="15.75" outlineLevel="1" x14ac:dyDescent="0.25">
      <c r="A218" s="24"/>
      <c r="B218" s="24"/>
      <c r="C218" s="32" t="s">
        <v>2346</v>
      </c>
      <c r="D218" s="32">
        <v>0</v>
      </c>
      <c r="E218" s="26"/>
      <c r="F218" s="33"/>
      <c r="G218" s="210"/>
      <c r="H218" s="26"/>
      <c r="I218" s="26"/>
      <c r="J218" s="26"/>
      <c r="K218" s="26"/>
      <c r="L218" s="26"/>
      <c r="M218" s="34"/>
      <c r="N218" s="32"/>
      <c r="O218" s="44"/>
    </row>
    <row r="219" spans="1:19" s="94" customFormat="1" ht="15.75" outlineLevel="1" x14ac:dyDescent="0.25">
      <c r="A219" s="24"/>
      <c r="B219" s="24"/>
      <c r="C219" s="32" t="s">
        <v>2346</v>
      </c>
      <c r="D219" s="32">
        <v>0</v>
      </c>
      <c r="E219" s="26"/>
      <c r="F219" s="33"/>
      <c r="G219" s="210"/>
      <c r="H219" s="26"/>
      <c r="I219" s="26"/>
      <c r="J219" s="26"/>
      <c r="K219" s="26"/>
      <c r="L219" s="26"/>
      <c r="M219" s="34"/>
      <c r="N219" s="32"/>
      <c r="O219" s="44"/>
    </row>
    <row r="220" spans="1:19" s="94" customFormat="1" ht="15.75" outlineLevel="1" x14ac:dyDescent="0.25">
      <c r="A220" s="24"/>
      <c r="B220" s="24"/>
      <c r="C220" s="32" t="s">
        <v>2346</v>
      </c>
      <c r="D220" s="32">
        <v>0</v>
      </c>
      <c r="E220" s="26"/>
      <c r="F220" s="33"/>
      <c r="G220" s="210"/>
      <c r="H220" s="26"/>
      <c r="I220" s="26"/>
      <c r="J220" s="26"/>
      <c r="K220" s="26"/>
      <c r="L220" s="26"/>
      <c r="M220" s="34"/>
      <c r="N220" s="32"/>
      <c r="O220" s="44"/>
    </row>
    <row r="221" spans="1:19" s="94" customFormat="1" ht="15.75" outlineLevel="1" x14ac:dyDescent="0.25">
      <c r="A221" s="24"/>
      <c r="B221" s="24"/>
      <c r="C221" s="32" t="s">
        <v>2346</v>
      </c>
      <c r="D221" s="32">
        <v>0</v>
      </c>
      <c r="E221" s="26"/>
      <c r="F221" s="33"/>
      <c r="G221" s="210"/>
      <c r="H221" s="26"/>
      <c r="I221" s="26"/>
      <c r="J221" s="26"/>
      <c r="K221" s="26"/>
      <c r="L221" s="26"/>
      <c r="M221" s="34"/>
      <c r="N221" s="32"/>
      <c r="O221" s="44"/>
    </row>
    <row r="222" spans="1:19" s="94" customFormat="1" ht="15.75" x14ac:dyDescent="0.25">
      <c r="A222" s="24"/>
      <c r="B222" s="24"/>
      <c r="C222" s="32" t="s">
        <v>2346</v>
      </c>
      <c r="D222" s="32">
        <v>0</v>
      </c>
      <c r="E222" s="26"/>
      <c r="F222" s="33"/>
      <c r="G222" s="210"/>
      <c r="H222" s="26"/>
      <c r="I222" s="26"/>
      <c r="J222" s="26"/>
      <c r="K222" s="26"/>
      <c r="L222" s="26"/>
      <c r="M222" s="34"/>
      <c r="N222" s="32"/>
      <c r="O222" s="44"/>
    </row>
    <row r="223" spans="1:19" s="90" customFormat="1" ht="18.75" x14ac:dyDescent="0.25">
      <c r="A223" s="82" t="str">
        <f ca="1">IF(C223&gt;0,MAX($A$1:OFFSET(A223,-1,0))+0.01,"")</f>
        <v/>
      </c>
      <c r="B223" s="27"/>
      <c r="C223" s="83">
        <v>0</v>
      </c>
      <c r="D223" s="29" t="s">
        <v>24</v>
      </c>
      <c r="E223" s="85"/>
      <c r="F223" s="86">
        <f>IF(E223="inc",0,IF(C223="",0,C223*E223))</f>
        <v>0</v>
      </c>
      <c r="G223" s="208"/>
      <c r="H223" s="30"/>
      <c r="I223" s="30"/>
      <c r="J223" s="30"/>
      <c r="K223" s="30"/>
      <c r="L223" s="30"/>
      <c r="M223" s="87"/>
      <c r="N223" s="88"/>
      <c r="O223" s="25"/>
      <c r="P223" s="25"/>
      <c r="Q223" s="25"/>
      <c r="R223" s="25"/>
      <c r="S223" s="25"/>
    </row>
    <row r="224" spans="1:19" s="94" customFormat="1" ht="15.75" x14ac:dyDescent="0.25">
      <c r="A224" s="24"/>
      <c r="B224" s="24"/>
      <c r="C224" s="32" t="s">
        <v>2346</v>
      </c>
      <c r="D224" s="32">
        <v>0</v>
      </c>
      <c r="E224" s="26"/>
      <c r="F224" s="33"/>
      <c r="G224" s="210"/>
      <c r="H224" s="26"/>
      <c r="I224" s="26"/>
      <c r="J224" s="26"/>
      <c r="K224" s="26"/>
      <c r="L224" s="26"/>
      <c r="M224" s="34"/>
      <c r="N224" s="32"/>
      <c r="O224" s="44"/>
    </row>
    <row r="225" spans="1:19" s="94" customFormat="1" ht="15.75" outlineLevel="1" x14ac:dyDescent="0.25">
      <c r="A225" s="24"/>
      <c r="B225" s="24"/>
      <c r="C225" s="32" t="s">
        <v>2346</v>
      </c>
      <c r="D225" s="32">
        <v>0</v>
      </c>
      <c r="E225" s="26"/>
      <c r="F225" s="33"/>
      <c r="G225" s="210"/>
      <c r="H225" s="26"/>
      <c r="I225" s="26"/>
      <c r="J225" s="26"/>
      <c r="K225" s="26"/>
      <c r="L225" s="26"/>
      <c r="M225" s="34"/>
      <c r="N225" s="32"/>
      <c r="O225" s="44"/>
    </row>
    <row r="226" spans="1:19" s="94" customFormat="1" ht="15.75" outlineLevel="1" x14ac:dyDescent="0.25">
      <c r="A226" s="24"/>
      <c r="B226" s="24"/>
      <c r="C226" s="32" t="s">
        <v>2346</v>
      </c>
      <c r="D226" s="32">
        <v>0</v>
      </c>
      <c r="E226" s="26"/>
      <c r="F226" s="33"/>
      <c r="G226" s="210"/>
      <c r="H226" s="26"/>
      <c r="I226" s="26"/>
      <c r="J226" s="26"/>
      <c r="K226" s="26"/>
      <c r="L226" s="26"/>
      <c r="M226" s="34"/>
      <c r="N226" s="32"/>
      <c r="O226" s="44"/>
    </row>
    <row r="227" spans="1:19" s="94" customFormat="1" ht="15.75" outlineLevel="1" x14ac:dyDescent="0.25">
      <c r="A227" s="24"/>
      <c r="B227" s="24"/>
      <c r="C227" s="32" t="s">
        <v>2346</v>
      </c>
      <c r="D227" s="32">
        <v>0</v>
      </c>
      <c r="E227" s="26"/>
      <c r="F227" s="33"/>
      <c r="G227" s="208"/>
      <c r="H227" s="26"/>
      <c r="I227" s="26"/>
      <c r="J227" s="26"/>
      <c r="K227" s="26"/>
      <c r="L227" s="26"/>
      <c r="M227" s="34"/>
      <c r="N227" s="32"/>
      <c r="O227" s="44"/>
    </row>
    <row r="228" spans="1:19" s="94" customFormat="1" ht="15.75" outlineLevel="1" x14ac:dyDescent="0.25">
      <c r="A228" s="24"/>
      <c r="B228" s="24"/>
      <c r="C228" s="32" t="s">
        <v>2346</v>
      </c>
      <c r="D228" s="32">
        <v>0</v>
      </c>
      <c r="E228" s="26"/>
      <c r="F228" s="33"/>
      <c r="G228" s="210"/>
      <c r="H228" s="26"/>
      <c r="I228" s="26"/>
      <c r="J228" s="26"/>
      <c r="K228" s="26"/>
      <c r="L228" s="26"/>
      <c r="M228" s="34"/>
      <c r="N228" s="32"/>
      <c r="O228" s="44"/>
    </row>
    <row r="229" spans="1:19" s="94" customFormat="1" ht="15.75" outlineLevel="1" x14ac:dyDescent="0.25">
      <c r="A229" s="24"/>
      <c r="B229" s="24"/>
      <c r="C229" s="32" t="s">
        <v>2346</v>
      </c>
      <c r="D229" s="32">
        <v>0</v>
      </c>
      <c r="E229" s="26"/>
      <c r="F229" s="33"/>
      <c r="G229" s="210"/>
      <c r="H229" s="26"/>
      <c r="I229" s="26"/>
      <c r="J229" s="26"/>
      <c r="K229" s="26"/>
      <c r="L229" s="26"/>
      <c r="M229" s="34"/>
      <c r="N229" s="32"/>
      <c r="O229" s="44"/>
    </row>
    <row r="230" spans="1:19" s="94" customFormat="1" ht="15.75" outlineLevel="1" x14ac:dyDescent="0.25">
      <c r="A230" s="24"/>
      <c r="B230" s="24"/>
      <c r="C230" s="32" t="s">
        <v>2346</v>
      </c>
      <c r="D230" s="32">
        <v>0</v>
      </c>
      <c r="E230" s="26"/>
      <c r="F230" s="33"/>
      <c r="G230" s="210"/>
      <c r="H230" s="26"/>
      <c r="I230" s="26"/>
      <c r="J230" s="26"/>
      <c r="K230" s="26"/>
      <c r="L230" s="26"/>
      <c r="M230" s="34"/>
      <c r="N230" s="32"/>
      <c r="O230" s="44"/>
    </row>
    <row r="231" spans="1:19" s="94" customFormat="1" ht="15.75" outlineLevel="1" x14ac:dyDescent="0.25">
      <c r="A231" s="24"/>
      <c r="B231" s="24"/>
      <c r="C231" s="32" t="s">
        <v>2346</v>
      </c>
      <c r="D231" s="32">
        <v>0</v>
      </c>
      <c r="E231" s="26"/>
      <c r="F231" s="33"/>
      <c r="G231" s="210"/>
      <c r="H231" s="26"/>
      <c r="I231" s="26"/>
      <c r="J231" s="26"/>
      <c r="K231" s="26"/>
      <c r="L231" s="26"/>
      <c r="M231" s="34"/>
      <c r="N231" s="32"/>
      <c r="O231" s="44"/>
    </row>
    <row r="232" spans="1:19" s="94" customFormat="1" ht="15.75" outlineLevel="1" x14ac:dyDescent="0.25">
      <c r="A232" s="24"/>
      <c r="B232" s="24"/>
      <c r="C232" s="32" t="s">
        <v>2346</v>
      </c>
      <c r="D232" s="32">
        <v>0</v>
      </c>
      <c r="E232" s="26"/>
      <c r="F232" s="33"/>
      <c r="G232" s="210"/>
      <c r="H232" s="26"/>
      <c r="I232" s="26"/>
      <c r="J232" s="26"/>
      <c r="K232" s="26"/>
      <c r="L232" s="26"/>
      <c r="M232" s="34"/>
      <c r="N232" s="32"/>
      <c r="O232" s="44"/>
    </row>
    <row r="233" spans="1:19" s="94" customFormat="1" ht="15.75" x14ac:dyDescent="0.25">
      <c r="A233" s="24"/>
      <c r="B233" s="24"/>
      <c r="C233" s="32" t="s">
        <v>2346</v>
      </c>
      <c r="D233" s="32">
        <v>0</v>
      </c>
      <c r="E233" s="26"/>
      <c r="F233" s="33"/>
      <c r="G233" s="210"/>
      <c r="H233" s="26"/>
      <c r="I233" s="26"/>
      <c r="J233" s="26"/>
      <c r="K233" s="26"/>
      <c r="L233" s="26"/>
      <c r="M233" s="34"/>
      <c r="N233" s="32"/>
      <c r="O233" s="44"/>
    </row>
    <row r="234" spans="1:19" s="90" customFormat="1" ht="18.75" x14ac:dyDescent="0.25">
      <c r="A234" s="82" t="str">
        <f ca="1">IF(C234&gt;0,MAX($A$1:OFFSET(A234,-1,0))+0.01,"")</f>
        <v/>
      </c>
      <c r="B234" s="27"/>
      <c r="C234" s="83">
        <v>0</v>
      </c>
      <c r="D234" s="29" t="s">
        <v>24</v>
      </c>
      <c r="E234" s="85"/>
      <c r="F234" s="86">
        <f>IF(E234="inc",0,IF(C234="",0,C234*E234))</f>
        <v>0</v>
      </c>
      <c r="G234" s="208"/>
      <c r="H234" s="30"/>
      <c r="I234" s="30"/>
      <c r="J234" s="30"/>
      <c r="K234" s="30"/>
      <c r="L234" s="30"/>
      <c r="M234" s="87"/>
      <c r="N234" s="88"/>
      <c r="O234" s="25"/>
      <c r="P234" s="25"/>
      <c r="Q234" s="25"/>
      <c r="R234" s="25"/>
      <c r="S234" s="25"/>
    </row>
    <row r="235" spans="1:19" s="94" customFormat="1" ht="15.75" x14ac:dyDescent="0.25">
      <c r="A235" s="24"/>
      <c r="B235" s="24"/>
      <c r="C235" s="32" t="s">
        <v>2346</v>
      </c>
      <c r="D235" s="32">
        <v>0</v>
      </c>
      <c r="E235" s="26"/>
      <c r="F235" s="33"/>
      <c r="G235" s="210"/>
      <c r="H235" s="26"/>
      <c r="I235" s="26"/>
      <c r="J235" s="26"/>
      <c r="K235" s="26"/>
      <c r="L235" s="26"/>
      <c r="M235" s="34"/>
      <c r="N235" s="32"/>
      <c r="O235" s="44"/>
    </row>
    <row r="236" spans="1:19" s="94" customFormat="1" ht="15.75" outlineLevel="1" x14ac:dyDescent="0.25">
      <c r="A236" s="24"/>
      <c r="B236" s="24"/>
      <c r="C236" s="32" t="s">
        <v>2346</v>
      </c>
      <c r="D236" s="32">
        <v>0</v>
      </c>
      <c r="E236" s="26"/>
      <c r="F236" s="33"/>
      <c r="G236" s="210"/>
      <c r="H236" s="26"/>
      <c r="I236" s="26"/>
      <c r="J236" s="26"/>
      <c r="K236" s="26"/>
      <c r="L236" s="26"/>
      <c r="M236" s="34"/>
      <c r="N236" s="32"/>
      <c r="O236" s="44"/>
    </row>
    <row r="237" spans="1:19" s="94" customFormat="1" ht="15.75" outlineLevel="1" x14ac:dyDescent="0.25">
      <c r="A237" s="24"/>
      <c r="B237" s="24"/>
      <c r="C237" s="32" t="s">
        <v>2346</v>
      </c>
      <c r="D237" s="32">
        <v>0</v>
      </c>
      <c r="E237" s="26"/>
      <c r="F237" s="33"/>
      <c r="G237" s="210"/>
      <c r="H237" s="26"/>
      <c r="I237" s="26"/>
      <c r="J237" s="26"/>
      <c r="K237" s="26"/>
      <c r="L237" s="26"/>
      <c r="M237" s="34"/>
      <c r="N237" s="32"/>
      <c r="O237" s="44"/>
    </row>
    <row r="238" spans="1:19" s="94" customFormat="1" ht="15.75" outlineLevel="1" x14ac:dyDescent="0.25">
      <c r="A238" s="24"/>
      <c r="B238" s="24"/>
      <c r="C238" s="32" t="s">
        <v>2346</v>
      </c>
      <c r="D238" s="32">
        <v>0</v>
      </c>
      <c r="E238" s="26"/>
      <c r="F238" s="33"/>
      <c r="G238" s="208"/>
      <c r="H238" s="26"/>
      <c r="I238" s="26"/>
      <c r="J238" s="26"/>
      <c r="K238" s="26"/>
      <c r="L238" s="26"/>
      <c r="M238" s="34"/>
      <c r="N238" s="32"/>
      <c r="O238" s="44"/>
    </row>
    <row r="239" spans="1:19" s="94" customFormat="1" ht="15.75" outlineLevel="1" x14ac:dyDescent="0.25">
      <c r="A239" s="24"/>
      <c r="B239" s="24"/>
      <c r="C239" s="32" t="s">
        <v>2346</v>
      </c>
      <c r="D239" s="32">
        <v>0</v>
      </c>
      <c r="E239" s="26"/>
      <c r="F239" s="33"/>
      <c r="G239" s="210"/>
      <c r="H239" s="26"/>
      <c r="I239" s="26"/>
      <c r="J239" s="26"/>
      <c r="K239" s="26"/>
      <c r="L239" s="26"/>
      <c r="M239" s="34"/>
      <c r="N239" s="32"/>
      <c r="O239" s="44"/>
    </row>
    <row r="240" spans="1:19" s="94" customFormat="1" ht="15.75" outlineLevel="1" x14ac:dyDescent="0.25">
      <c r="A240" s="24"/>
      <c r="B240" s="24"/>
      <c r="C240" s="32" t="s">
        <v>2346</v>
      </c>
      <c r="D240" s="32">
        <v>0</v>
      </c>
      <c r="E240" s="26"/>
      <c r="F240" s="33"/>
      <c r="G240" s="210"/>
      <c r="H240" s="26"/>
      <c r="I240" s="26"/>
      <c r="J240" s="26"/>
      <c r="K240" s="26"/>
      <c r="L240" s="26"/>
      <c r="M240" s="34"/>
      <c r="N240" s="32"/>
      <c r="O240" s="44"/>
    </row>
    <row r="241" spans="1:19" s="94" customFormat="1" ht="15.75" outlineLevel="1" x14ac:dyDescent="0.25">
      <c r="A241" s="24"/>
      <c r="B241" s="24"/>
      <c r="C241" s="32" t="s">
        <v>2346</v>
      </c>
      <c r="D241" s="32">
        <v>0</v>
      </c>
      <c r="E241" s="26"/>
      <c r="F241" s="33"/>
      <c r="G241" s="210"/>
      <c r="H241" s="26"/>
      <c r="I241" s="26"/>
      <c r="J241" s="26"/>
      <c r="K241" s="26"/>
      <c r="L241" s="26"/>
      <c r="M241" s="34"/>
      <c r="N241" s="32"/>
      <c r="O241" s="44"/>
    </row>
    <row r="242" spans="1:19" s="94" customFormat="1" ht="15.75" outlineLevel="1" x14ac:dyDescent="0.25">
      <c r="A242" s="24"/>
      <c r="B242" s="24"/>
      <c r="C242" s="32" t="s">
        <v>2346</v>
      </c>
      <c r="D242" s="32">
        <v>0</v>
      </c>
      <c r="E242" s="26"/>
      <c r="F242" s="33"/>
      <c r="G242" s="210"/>
      <c r="H242" s="26"/>
      <c r="I242" s="26"/>
      <c r="J242" s="26"/>
      <c r="K242" s="26"/>
      <c r="L242" s="26"/>
      <c r="M242" s="34"/>
      <c r="N242" s="32"/>
      <c r="O242" s="44"/>
    </row>
    <row r="243" spans="1:19" s="94" customFormat="1" ht="15.75" outlineLevel="1" x14ac:dyDescent="0.25">
      <c r="A243" s="24"/>
      <c r="B243" s="24"/>
      <c r="C243" s="32" t="s">
        <v>2346</v>
      </c>
      <c r="D243" s="32">
        <v>0</v>
      </c>
      <c r="E243" s="26"/>
      <c r="F243" s="33"/>
      <c r="G243" s="210"/>
      <c r="H243" s="26"/>
      <c r="I243" s="26"/>
      <c r="J243" s="26"/>
      <c r="K243" s="26"/>
      <c r="L243" s="26"/>
      <c r="M243" s="34"/>
      <c r="N243" s="32"/>
      <c r="O243" s="44"/>
    </row>
    <row r="244" spans="1:19" s="94" customFormat="1" ht="15.75" x14ac:dyDescent="0.25">
      <c r="A244" s="24"/>
      <c r="B244" s="24"/>
      <c r="C244" s="32" t="s">
        <v>2346</v>
      </c>
      <c r="D244" s="32">
        <v>0</v>
      </c>
      <c r="E244" s="26"/>
      <c r="F244" s="33"/>
      <c r="G244" s="210"/>
      <c r="H244" s="26"/>
      <c r="I244" s="26"/>
      <c r="J244" s="26"/>
      <c r="K244" s="26"/>
      <c r="L244" s="26"/>
      <c r="M244" s="34"/>
      <c r="N244" s="32"/>
      <c r="O244" s="44"/>
    </row>
    <row r="245" spans="1:19" s="90" customFormat="1" ht="18.75" x14ac:dyDescent="0.25">
      <c r="A245" s="82" t="str">
        <f ca="1">IF(C245&gt;0,MAX($A$1:OFFSET(A245,-1,0))+0.01,"")</f>
        <v/>
      </c>
      <c r="B245" s="27"/>
      <c r="C245" s="83">
        <v>0</v>
      </c>
      <c r="D245" s="29" t="s">
        <v>24</v>
      </c>
      <c r="E245" s="85"/>
      <c r="F245" s="86">
        <f>IF(E245="inc",0,IF(C245="",0,C245*E245))</f>
        <v>0</v>
      </c>
      <c r="G245" s="208"/>
      <c r="H245" s="30"/>
      <c r="I245" s="30"/>
      <c r="J245" s="30"/>
      <c r="K245" s="30"/>
      <c r="L245" s="30"/>
      <c r="M245" s="87"/>
      <c r="N245" s="88"/>
      <c r="O245" s="25"/>
      <c r="P245" s="25"/>
      <c r="Q245" s="25"/>
      <c r="R245" s="25"/>
      <c r="S245" s="25"/>
    </row>
    <row r="246" spans="1:19" s="94" customFormat="1" ht="15.75" x14ac:dyDescent="0.25">
      <c r="A246" s="24"/>
      <c r="B246" s="24"/>
      <c r="C246" s="32" t="s">
        <v>2346</v>
      </c>
      <c r="D246" s="32">
        <v>0</v>
      </c>
      <c r="E246" s="26"/>
      <c r="F246" s="33"/>
      <c r="G246" s="210"/>
      <c r="H246" s="26"/>
      <c r="I246" s="26"/>
      <c r="J246" s="26"/>
      <c r="K246" s="26"/>
      <c r="L246" s="26"/>
      <c r="M246" s="34"/>
      <c r="N246" s="32"/>
      <c r="O246" s="44"/>
    </row>
    <row r="247" spans="1:19" s="94" customFormat="1" ht="15.75" outlineLevel="1" x14ac:dyDescent="0.25">
      <c r="A247" s="24"/>
      <c r="B247" s="24"/>
      <c r="C247" s="32" t="s">
        <v>2346</v>
      </c>
      <c r="D247" s="32">
        <v>0</v>
      </c>
      <c r="E247" s="26"/>
      <c r="F247" s="33"/>
      <c r="G247" s="210"/>
      <c r="H247" s="26"/>
      <c r="I247" s="26"/>
      <c r="J247" s="26"/>
      <c r="K247" s="26"/>
      <c r="L247" s="26"/>
      <c r="M247" s="34"/>
      <c r="N247" s="32"/>
      <c r="O247" s="44"/>
    </row>
    <row r="248" spans="1:19" s="94" customFormat="1" ht="15.75" outlineLevel="1" x14ac:dyDescent="0.25">
      <c r="A248" s="24"/>
      <c r="B248" s="24"/>
      <c r="C248" s="32" t="s">
        <v>2346</v>
      </c>
      <c r="D248" s="32">
        <v>0</v>
      </c>
      <c r="E248" s="26"/>
      <c r="F248" s="33"/>
      <c r="G248" s="210"/>
      <c r="H248" s="26"/>
      <c r="I248" s="26"/>
      <c r="J248" s="26"/>
      <c r="K248" s="26"/>
      <c r="L248" s="26"/>
      <c r="M248" s="34"/>
      <c r="N248" s="32"/>
      <c r="O248" s="44"/>
    </row>
    <row r="249" spans="1:19" s="94" customFormat="1" ht="15.75" outlineLevel="1" x14ac:dyDescent="0.25">
      <c r="A249" s="24"/>
      <c r="B249" s="24"/>
      <c r="C249" s="32" t="s">
        <v>2346</v>
      </c>
      <c r="D249" s="32">
        <v>0</v>
      </c>
      <c r="E249" s="26"/>
      <c r="F249" s="33"/>
      <c r="G249" s="208"/>
      <c r="H249" s="26"/>
      <c r="I249" s="26"/>
      <c r="J249" s="26"/>
      <c r="K249" s="26"/>
      <c r="L249" s="26"/>
      <c r="M249" s="34"/>
      <c r="N249" s="32"/>
      <c r="O249" s="44"/>
    </row>
    <row r="250" spans="1:19" s="94" customFormat="1" ht="15.75" outlineLevel="1" x14ac:dyDescent="0.25">
      <c r="A250" s="24"/>
      <c r="B250" s="24"/>
      <c r="C250" s="32" t="s">
        <v>2346</v>
      </c>
      <c r="D250" s="32">
        <v>0</v>
      </c>
      <c r="E250" s="26"/>
      <c r="F250" s="33"/>
      <c r="G250" s="210"/>
      <c r="H250" s="26"/>
      <c r="I250" s="26"/>
      <c r="J250" s="26"/>
      <c r="K250" s="26"/>
      <c r="L250" s="26"/>
      <c r="M250" s="34"/>
      <c r="N250" s="32"/>
      <c r="O250" s="44"/>
    </row>
    <row r="251" spans="1:19" s="94" customFormat="1" ht="15.75" outlineLevel="1" x14ac:dyDescent="0.25">
      <c r="A251" s="24"/>
      <c r="B251" s="24"/>
      <c r="C251" s="32" t="s">
        <v>2346</v>
      </c>
      <c r="D251" s="32">
        <v>0</v>
      </c>
      <c r="E251" s="26"/>
      <c r="F251" s="33"/>
      <c r="G251" s="210"/>
      <c r="H251" s="26"/>
      <c r="I251" s="26"/>
      <c r="J251" s="26"/>
      <c r="K251" s="26"/>
      <c r="L251" s="26"/>
      <c r="M251" s="34"/>
      <c r="N251" s="32"/>
      <c r="O251" s="44"/>
    </row>
    <row r="252" spans="1:19" s="94" customFormat="1" ht="15.75" outlineLevel="1" x14ac:dyDescent="0.25">
      <c r="A252" s="24"/>
      <c r="B252" s="24"/>
      <c r="C252" s="32" t="s">
        <v>2346</v>
      </c>
      <c r="D252" s="32">
        <v>0</v>
      </c>
      <c r="E252" s="26"/>
      <c r="F252" s="33"/>
      <c r="G252" s="210"/>
      <c r="H252" s="26"/>
      <c r="I252" s="26"/>
      <c r="J252" s="26"/>
      <c r="K252" s="26"/>
      <c r="L252" s="26"/>
      <c r="M252" s="34"/>
      <c r="N252" s="32"/>
      <c r="O252" s="44"/>
    </row>
    <row r="253" spans="1:19" s="94" customFormat="1" ht="15.75" outlineLevel="1" x14ac:dyDescent="0.25">
      <c r="A253" s="24"/>
      <c r="B253" s="24"/>
      <c r="C253" s="32" t="s">
        <v>2346</v>
      </c>
      <c r="D253" s="32">
        <v>0</v>
      </c>
      <c r="E253" s="26"/>
      <c r="F253" s="33"/>
      <c r="G253" s="210"/>
      <c r="H253" s="26"/>
      <c r="I253" s="26"/>
      <c r="J253" s="26"/>
      <c r="K253" s="26"/>
      <c r="L253" s="26"/>
      <c r="M253" s="34"/>
      <c r="N253" s="32"/>
      <c r="O253" s="44"/>
    </row>
    <row r="254" spans="1:19" s="94" customFormat="1" ht="15.75" outlineLevel="1" x14ac:dyDescent="0.25">
      <c r="A254" s="24"/>
      <c r="B254" s="24"/>
      <c r="C254" s="32" t="s">
        <v>2346</v>
      </c>
      <c r="D254" s="32">
        <v>0</v>
      </c>
      <c r="E254" s="26"/>
      <c r="F254" s="33"/>
      <c r="G254" s="210"/>
      <c r="H254" s="26"/>
      <c r="I254" s="26"/>
      <c r="J254" s="26"/>
      <c r="K254" s="26"/>
      <c r="L254" s="26"/>
      <c r="M254" s="34"/>
      <c r="N254" s="32"/>
      <c r="O254" s="44"/>
    </row>
    <row r="255" spans="1:19" s="79" customFormat="1" ht="21.75" thickBot="1" x14ac:dyDescent="0.4">
      <c r="A255" s="99"/>
      <c r="B255" s="394" t="s">
        <v>4</v>
      </c>
      <c r="C255" s="395"/>
      <c r="D255" s="396"/>
      <c r="E255" s="100"/>
      <c r="F255" s="101">
        <f ca="1">SUM(F$2:OFFSET(F255,-1,0))</f>
        <v>0</v>
      </c>
      <c r="G255" s="210"/>
      <c r="H255" s="26"/>
      <c r="I255" s="26"/>
      <c r="J255" s="26"/>
      <c r="K255" s="26"/>
      <c r="L255" s="26"/>
      <c r="M255" s="102"/>
      <c r="N255" s="103"/>
    </row>
    <row r="256" spans="1:19" s="94" customFormat="1" ht="15.75" x14ac:dyDescent="0.25">
      <c r="A256" s="105"/>
      <c r="B256" s="25"/>
      <c r="C256" s="106"/>
      <c r="D256" s="32"/>
      <c r="E256" s="92"/>
      <c r="F256" s="26"/>
      <c r="G256" s="26"/>
      <c r="H256" s="26"/>
      <c r="I256" s="26"/>
      <c r="J256" s="26"/>
      <c r="K256" s="26"/>
      <c r="L256" s="26"/>
      <c r="M256" s="88"/>
      <c r="N256" s="88"/>
    </row>
    <row r="257" spans="1:19" ht="15.75" x14ac:dyDescent="0.25">
      <c r="C257" s="106"/>
      <c r="G257" s="26"/>
      <c r="H257" s="26"/>
      <c r="I257" s="26"/>
      <c r="J257" s="26"/>
      <c r="K257" s="26"/>
      <c r="L257" s="26"/>
    </row>
    <row r="258" spans="1:19" ht="15.75" x14ac:dyDescent="0.25">
      <c r="G258" s="26"/>
      <c r="H258" s="26"/>
      <c r="I258" s="26"/>
      <c r="J258" s="26"/>
      <c r="K258" s="26"/>
      <c r="L258" s="26"/>
    </row>
    <row r="259" spans="1:19" ht="15.75" x14ac:dyDescent="0.25">
      <c r="G259" s="26"/>
      <c r="H259" s="26"/>
      <c r="I259" s="26"/>
      <c r="J259" s="26"/>
      <c r="K259" s="26"/>
      <c r="L259" s="26"/>
    </row>
    <row r="260" spans="1:19" ht="15.75" x14ac:dyDescent="0.25">
      <c r="F260" s="108" t="e">
        <f ca="1">F255-#REF!</f>
        <v>#REF!</v>
      </c>
      <c r="G260" s="26"/>
      <c r="H260" s="26"/>
      <c r="I260" s="26"/>
      <c r="J260" s="26"/>
      <c r="K260" s="26"/>
      <c r="L260" s="26"/>
    </row>
    <row r="261" spans="1:19" ht="15.75" x14ac:dyDescent="0.25">
      <c r="G261" s="26"/>
      <c r="H261" s="26"/>
      <c r="I261" s="26"/>
      <c r="J261" s="26"/>
      <c r="K261" s="26"/>
      <c r="L261" s="26"/>
    </row>
    <row r="262" spans="1:19" ht="15.75" x14ac:dyDescent="0.25">
      <c r="G262" s="26"/>
      <c r="H262" s="26"/>
      <c r="I262" s="26"/>
      <c r="J262" s="26"/>
      <c r="K262" s="26"/>
      <c r="L262" s="26"/>
    </row>
    <row r="263" spans="1:19" ht="15.75" x14ac:dyDescent="0.25">
      <c r="G263" s="26"/>
      <c r="H263" s="26"/>
      <c r="I263" s="26"/>
      <c r="J263" s="26"/>
      <c r="K263" s="26"/>
      <c r="L263" s="26"/>
    </row>
    <row r="264" spans="1:19" ht="15.75" x14ac:dyDescent="0.25">
      <c r="G264" s="26"/>
      <c r="H264" s="26"/>
      <c r="I264" s="26"/>
      <c r="J264" s="26"/>
      <c r="K264" s="26"/>
      <c r="L264" s="26"/>
    </row>
    <row r="265" spans="1:19" ht="15.75" x14ac:dyDescent="0.25">
      <c r="G265" s="26"/>
      <c r="H265" s="26"/>
      <c r="I265" s="26"/>
      <c r="J265" s="26"/>
      <c r="K265" s="26"/>
      <c r="L265" s="26"/>
    </row>
    <row r="266" spans="1:19" ht="15.75" x14ac:dyDescent="0.25">
      <c r="G266" s="26"/>
      <c r="H266" s="26"/>
      <c r="I266" s="26"/>
      <c r="J266" s="26"/>
      <c r="K266" s="26"/>
      <c r="L266" s="26"/>
    </row>
    <row r="267" spans="1:19" ht="15.75" x14ac:dyDescent="0.25">
      <c r="G267" s="26"/>
      <c r="H267" s="26"/>
      <c r="I267" s="26"/>
      <c r="J267" s="26"/>
      <c r="K267" s="26"/>
      <c r="L267" s="26"/>
    </row>
    <row r="268" spans="1:19" ht="15.75" x14ac:dyDescent="0.25">
      <c r="G268" s="26"/>
      <c r="H268" s="26"/>
      <c r="I268" s="26"/>
      <c r="J268" s="26"/>
      <c r="K268" s="26"/>
      <c r="L268" s="26"/>
    </row>
    <row r="269" spans="1:19" ht="15.75" x14ac:dyDescent="0.25">
      <c r="G269" s="26"/>
      <c r="H269" s="26"/>
      <c r="I269" s="26"/>
      <c r="J269" s="26"/>
      <c r="K269" s="26"/>
      <c r="L269" s="26"/>
    </row>
    <row r="270" spans="1:19" s="110" customFormat="1" ht="15.75" x14ac:dyDescent="0.25">
      <c r="A270" s="25"/>
      <c r="B270" s="25"/>
      <c r="D270" s="36"/>
      <c r="E270" s="25"/>
      <c r="F270" s="108"/>
      <c r="G270" s="26"/>
      <c r="H270" s="26"/>
      <c r="I270" s="26"/>
      <c r="J270" s="26"/>
      <c r="K270" s="26"/>
      <c r="L270" s="26"/>
      <c r="M270" s="88"/>
      <c r="N270" s="88"/>
      <c r="O270" s="25"/>
      <c r="P270" s="25"/>
      <c r="Q270" s="25"/>
      <c r="R270" s="25"/>
      <c r="S270" s="25"/>
    </row>
    <row r="271" spans="1:19" s="110" customFormat="1" ht="15.75" x14ac:dyDescent="0.25">
      <c r="A271" s="25"/>
      <c r="B271" s="25"/>
      <c r="D271" s="36"/>
      <c r="E271" s="25"/>
      <c r="F271" s="108"/>
      <c r="G271" s="26"/>
      <c r="H271" s="26"/>
      <c r="I271" s="26"/>
      <c r="J271" s="26"/>
      <c r="K271" s="26"/>
      <c r="L271" s="26"/>
      <c r="M271" s="88"/>
      <c r="N271" s="88"/>
      <c r="O271" s="25"/>
      <c r="P271" s="25"/>
      <c r="Q271" s="25"/>
      <c r="R271" s="25"/>
      <c r="S271" s="25"/>
    </row>
    <row r="272" spans="1:19" s="110" customFormat="1" ht="15.75" x14ac:dyDescent="0.25">
      <c r="A272" s="25"/>
      <c r="B272" s="25"/>
      <c r="D272" s="36"/>
      <c r="E272" s="25"/>
      <c r="F272" s="108"/>
      <c r="G272" s="26"/>
      <c r="H272" s="26"/>
      <c r="I272" s="26"/>
      <c r="J272" s="26"/>
      <c r="K272" s="26"/>
      <c r="L272" s="26"/>
      <c r="M272" s="88"/>
      <c r="N272" s="88"/>
      <c r="O272" s="25"/>
      <c r="P272" s="25"/>
      <c r="Q272" s="25"/>
      <c r="R272" s="25"/>
      <c r="S272" s="25"/>
    </row>
    <row r="273" spans="1:19" s="110" customFormat="1" ht="15.75" x14ac:dyDescent="0.25">
      <c r="A273" s="25"/>
      <c r="B273" s="25"/>
      <c r="D273" s="36"/>
      <c r="E273" s="25"/>
      <c r="F273" s="108"/>
      <c r="G273" s="26"/>
      <c r="H273" s="26"/>
      <c r="I273" s="26"/>
      <c r="J273" s="26"/>
      <c r="K273" s="26"/>
      <c r="L273" s="26"/>
      <c r="M273" s="88"/>
      <c r="N273" s="88"/>
      <c r="O273" s="25"/>
      <c r="P273" s="25"/>
      <c r="Q273" s="25"/>
      <c r="R273" s="25"/>
      <c r="S273" s="25"/>
    </row>
    <row r="274" spans="1:19" s="110" customFormat="1" ht="15.75" x14ac:dyDescent="0.25">
      <c r="A274" s="25"/>
      <c r="B274" s="25"/>
      <c r="D274" s="36"/>
      <c r="E274" s="25"/>
      <c r="F274" s="108"/>
      <c r="G274" s="26"/>
      <c r="H274" s="26"/>
      <c r="I274" s="26"/>
      <c r="J274" s="26"/>
      <c r="K274" s="26"/>
      <c r="L274" s="26"/>
      <c r="M274" s="88"/>
      <c r="N274" s="88"/>
      <c r="O274" s="25"/>
      <c r="P274" s="25"/>
      <c r="Q274" s="25"/>
      <c r="R274" s="25"/>
      <c r="S274" s="25"/>
    </row>
    <row r="275" spans="1:19" s="110" customFormat="1" ht="15.75" x14ac:dyDescent="0.25">
      <c r="A275" s="25"/>
      <c r="B275" s="25"/>
      <c r="D275" s="36"/>
      <c r="E275" s="25"/>
      <c r="F275" s="108"/>
      <c r="G275" s="26"/>
      <c r="H275" s="26"/>
      <c r="I275" s="26"/>
      <c r="J275" s="26"/>
      <c r="K275" s="26"/>
      <c r="L275" s="26"/>
      <c r="M275" s="88"/>
      <c r="N275" s="88"/>
      <c r="O275" s="25"/>
      <c r="P275" s="25"/>
      <c r="Q275" s="25"/>
      <c r="R275" s="25"/>
      <c r="S275" s="25"/>
    </row>
    <row r="276" spans="1:19" s="110" customFormat="1" ht="15.75" x14ac:dyDescent="0.25">
      <c r="A276" s="25"/>
      <c r="B276" s="25"/>
      <c r="D276" s="36"/>
      <c r="E276" s="25"/>
      <c r="F276" s="108"/>
      <c r="G276" s="26"/>
      <c r="H276" s="26"/>
      <c r="I276" s="26"/>
      <c r="J276" s="26"/>
      <c r="K276" s="26"/>
      <c r="L276" s="26"/>
      <c r="M276" s="88"/>
      <c r="N276" s="88"/>
      <c r="O276" s="25"/>
      <c r="P276" s="25"/>
      <c r="Q276" s="25"/>
      <c r="R276" s="25"/>
      <c r="S276" s="25"/>
    </row>
    <row r="277" spans="1:19" s="110" customFormat="1" ht="15.75" x14ac:dyDescent="0.25">
      <c r="A277" s="25"/>
      <c r="B277" s="25"/>
      <c r="D277" s="36"/>
      <c r="E277" s="25"/>
      <c r="F277" s="108"/>
      <c r="G277" s="26"/>
      <c r="H277" s="26"/>
      <c r="I277" s="26"/>
      <c r="J277" s="26"/>
      <c r="K277" s="26"/>
      <c r="L277" s="26"/>
      <c r="M277" s="88"/>
      <c r="N277" s="88"/>
      <c r="O277" s="25"/>
      <c r="P277" s="25"/>
      <c r="Q277" s="25"/>
      <c r="R277" s="25"/>
      <c r="S277" s="25"/>
    </row>
    <row r="278" spans="1:19" s="110" customFormat="1" ht="15.75" x14ac:dyDescent="0.25">
      <c r="A278" s="25"/>
      <c r="B278" s="25"/>
      <c r="D278" s="36"/>
      <c r="E278" s="25"/>
      <c r="F278" s="108"/>
      <c r="G278" s="26"/>
      <c r="H278" s="26"/>
      <c r="I278" s="26"/>
      <c r="J278" s="26"/>
      <c r="K278" s="26"/>
      <c r="L278" s="26"/>
      <c r="M278" s="88"/>
      <c r="N278" s="88"/>
      <c r="O278" s="25"/>
      <c r="P278" s="25"/>
      <c r="Q278" s="25"/>
      <c r="R278" s="25"/>
      <c r="S278" s="25"/>
    </row>
    <row r="279" spans="1:19" s="110" customFormat="1" ht="15.75" x14ac:dyDescent="0.25">
      <c r="A279" s="25"/>
      <c r="B279" s="25"/>
      <c r="D279" s="36"/>
      <c r="E279" s="25"/>
      <c r="F279" s="108"/>
      <c r="G279" s="26"/>
      <c r="H279" s="26"/>
      <c r="I279" s="26"/>
      <c r="J279" s="26"/>
      <c r="K279" s="26"/>
      <c r="L279" s="26"/>
      <c r="M279" s="88"/>
      <c r="N279" s="88"/>
      <c r="O279" s="25"/>
      <c r="P279" s="25"/>
      <c r="Q279" s="25"/>
      <c r="R279" s="25"/>
      <c r="S279" s="25"/>
    </row>
    <row r="280" spans="1:19" s="110" customFormat="1" ht="15.75" x14ac:dyDescent="0.25">
      <c r="A280" s="25"/>
      <c r="B280" s="25"/>
      <c r="D280" s="36"/>
      <c r="E280" s="25"/>
      <c r="F280" s="108"/>
      <c r="G280" s="26"/>
      <c r="H280" s="26"/>
      <c r="I280" s="26"/>
      <c r="J280" s="26"/>
      <c r="K280" s="26"/>
      <c r="L280" s="26"/>
      <c r="M280" s="88"/>
      <c r="N280" s="88"/>
      <c r="O280" s="25"/>
      <c r="P280" s="25"/>
      <c r="Q280" s="25"/>
      <c r="R280" s="25"/>
      <c r="S280" s="25"/>
    </row>
    <row r="281" spans="1:19" s="110" customFormat="1" ht="15.75" x14ac:dyDescent="0.25">
      <c r="A281" s="25"/>
      <c r="B281" s="25"/>
      <c r="D281" s="36"/>
      <c r="E281" s="25"/>
      <c r="F281" s="108"/>
      <c r="G281" s="26"/>
      <c r="H281" s="26"/>
      <c r="I281" s="26"/>
      <c r="J281" s="26"/>
      <c r="K281" s="26"/>
      <c r="L281" s="26"/>
      <c r="M281" s="88"/>
      <c r="N281" s="88"/>
      <c r="O281" s="25"/>
      <c r="P281" s="25"/>
      <c r="Q281" s="25"/>
      <c r="R281" s="25"/>
      <c r="S281" s="25"/>
    </row>
    <row r="282" spans="1:19" s="110" customFormat="1" ht="15.75" x14ac:dyDescent="0.25">
      <c r="A282" s="25"/>
      <c r="B282" s="25"/>
      <c r="D282" s="36"/>
      <c r="E282" s="25"/>
      <c r="F282" s="108"/>
      <c r="G282" s="26"/>
      <c r="H282" s="26"/>
      <c r="I282" s="26"/>
      <c r="J282" s="26"/>
      <c r="K282" s="26"/>
      <c r="L282" s="26"/>
      <c r="M282" s="88"/>
      <c r="N282" s="88"/>
      <c r="O282" s="25"/>
      <c r="P282" s="25"/>
      <c r="Q282" s="25"/>
      <c r="R282" s="25"/>
      <c r="S282" s="25"/>
    </row>
    <row r="283" spans="1:19" ht="15.75" x14ac:dyDescent="0.25">
      <c r="G283" s="26"/>
      <c r="H283" s="26"/>
      <c r="I283" s="26"/>
      <c r="J283" s="26"/>
      <c r="K283" s="26"/>
      <c r="L283" s="26"/>
    </row>
    <row r="284" spans="1:19" ht="15.75" x14ac:dyDescent="0.25">
      <c r="G284" s="26"/>
      <c r="H284" s="26"/>
      <c r="I284" s="26"/>
      <c r="J284" s="26"/>
      <c r="K284" s="26"/>
      <c r="L284" s="26"/>
    </row>
    <row r="285" spans="1:19" ht="15.75" x14ac:dyDescent="0.25">
      <c r="G285" s="26"/>
      <c r="H285" s="26"/>
      <c r="I285" s="26"/>
      <c r="J285" s="26"/>
      <c r="K285" s="26"/>
      <c r="L285" s="26"/>
    </row>
    <row r="286" spans="1:19" ht="15.75" x14ac:dyDescent="0.25">
      <c r="G286" s="26"/>
      <c r="H286" s="26"/>
      <c r="I286" s="26"/>
      <c r="J286" s="26"/>
      <c r="K286" s="26"/>
      <c r="L286" s="26"/>
    </row>
    <row r="287" spans="1:19" ht="15.75" x14ac:dyDescent="0.25">
      <c r="G287" s="26"/>
      <c r="H287" s="26"/>
      <c r="I287" s="26"/>
      <c r="J287" s="26"/>
      <c r="K287" s="26"/>
      <c r="L287" s="26"/>
    </row>
    <row r="288" spans="1:19" ht="15.75" x14ac:dyDescent="0.25">
      <c r="G288" s="26"/>
      <c r="H288" s="26"/>
      <c r="I288" s="26"/>
      <c r="J288" s="26"/>
      <c r="K288" s="26"/>
      <c r="L288" s="26"/>
    </row>
    <row r="289" spans="7:12" ht="15.75" x14ac:dyDescent="0.25">
      <c r="G289" s="26"/>
      <c r="H289" s="26"/>
      <c r="I289" s="26"/>
      <c r="J289" s="26"/>
      <c r="K289" s="26"/>
      <c r="L289" s="26"/>
    </row>
    <row r="290" spans="7:12" ht="15.75" x14ac:dyDescent="0.25">
      <c r="G290" s="26"/>
      <c r="H290" s="26"/>
      <c r="I290" s="26"/>
      <c r="J290" s="26"/>
      <c r="K290" s="26"/>
      <c r="L290" s="26"/>
    </row>
    <row r="291" spans="7:12" ht="15.75" x14ac:dyDescent="0.25">
      <c r="G291" s="26"/>
      <c r="H291" s="26"/>
      <c r="I291" s="26"/>
      <c r="J291" s="26"/>
      <c r="K291" s="26"/>
      <c r="L291" s="26"/>
    </row>
    <row r="292" spans="7:12" ht="15.75" x14ac:dyDescent="0.25">
      <c r="G292" s="26"/>
      <c r="H292" s="26"/>
      <c r="I292" s="26"/>
      <c r="J292" s="26"/>
      <c r="K292" s="26"/>
      <c r="L292" s="26"/>
    </row>
    <row r="293" spans="7:12" ht="15.75" x14ac:dyDescent="0.25">
      <c r="G293" s="26"/>
      <c r="H293" s="26"/>
      <c r="I293" s="26"/>
      <c r="J293" s="26"/>
      <c r="K293" s="26"/>
      <c r="L293" s="26"/>
    </row>
    <row r="294" spans="7:12" ht="15.75" x14ac:dyDescent="0.25">
      <c r="G294" s="26"/>
      <c r="H294" s="26"/>
      <c r="I294" s="26"/>
      <c r="J294" s="26"/>
      <c r="K294" s="26"/>
      <c r="L294" s="26"/>
    </row>
    <row r="295" spans="7:12" ht="15.75" x14ac:dyDescent="0.25">
      <c r="G295" s="26"/>
      <c r="H295" s="26"/>
      <c r="I295" s="26"/>
      <c r="J295" s="26"/>
      <c r="K295" s="26"/>
      <c r="L295" s="26"/>
    </row>
    <row r="296" spans="7:12" ht="15.75" x14ac:dyDescent="0.25">
      <c r="G296" s="26"/>
      <c r="H296" s="26"/>
      <c r="I296" s="26"/>
      <c r="J296" s="26"/>
      <c r="K296" s="26"/>
      <c r="L296" s="26"/>
    </row>
    <row r="297" spans="7:12" ht="15.75" x14ac:dyDescent="0.25">
      <c r="G297" s="26"/>
      <c r="H297" s="26"/>
      <c r="I297" s="26"/>
      <c r="J297" s="26"/>
      <c r="K297" s="26"/>
      <c r="L297" s="26"/>
    </row>
    <row r="298" spans="7:12" ht="15.75" x14ac:dyDescent="0.25">
      <c r="G298" s="26"/>
      <c r="H298" s="26"/>
      <c r="I298" s="26"/>
      <c r="J298" s="26"/>
      <c r="K298" s="26"/>
      <c r="L298" s="26"/>
    </row>
    <row r="299" spans="7:12" ht="15.75" x14ac:dyDescent="0.25">
      <c r="G299" s="26"/>
      <c r="H299" s="26"/>
      <c r="I299" s="26"/>
      <c r="J299" s="26"/>
      <c r="K299" s="26"/>
      <c r="L299" s="26"/>
    </row>
    <row r="300" spans="7:12" ht="15.75" x14ac:dyDescent="0.25">
      <c r="G300" s="26"/>
      <c r="H300" s="26"/>
      <c r="I300" s="26"/>
      <c r="J300" s="26"/>
      <c r="K300" s="26"/>
      <c r="L300" s="26"/>
    </row>
    <row r="301" spans="7:12" ht="15.75" x14ac:dyDescent="0.25">
      <c r="G301" s="26"/>
      <c r="H301" s="26"/>
      <c r="I301" s="26"/>
      <c r="J301" s="26"/>
      <c r="K301" s="26"/>
      <c r="L301" s="26"/>
    </row>
    <row r="302" spans="7:12" ht="15.75" x14ac:dyDescent="0.25">
      <c r="G302" s="26"/>
      <c r="H302" s="26"/>
      <c r="I302" s="26"/>
      <c r="J302" s="26"/>
      <c r="K302" s="26"/>
      <c r="L302" s="26"/>
    </row>
    <row r="303" spans="7:12" ht="15.75" x14ac:dyDescent="0.25">
      <c r="G303" s="26"/>
      <c r="H303" s="26"/>
      <c r="I303" s="26"/>
      <c r="J303" s="26"/>
      <c r="K303" s="26"/>
      <c r="L303" s="26"/>
    </row>
    <row r="304" spans="7:12" ht="15.75" x14ac:dyDescent="0.25">
      <c r="G304" s="26"/>
      <c r="H304" s="26"/>
      <c r="I304" s="26"/>
      <c r="J304" s="26"/>
      <c r="K304" s="26"/>
      <c r="L304" s="26"/>
    </row>
    <row r="305" spans="7:12" ht="15.75" x14ac:dyDescent="0.25">
      <c r="G305" s="26"/>
      <c r="H305" s="26"/>
      <c r="I305" s="26"/>
      <c r="J305" s="26"/>
      <c r="K305" s="26"/>
      <c r="L305" s="26"/>
    </row>
    <row r="306" spans="7:12" ht="15.75" x14ac:dyDescent="0.25">
      <c r="G306" s="26"/>
      <c r="H306" s="26"/>
      <c r="I306" s="26"/>
      <c r="J306" s="26"/>
      <c r="K306" s="26"/>
      <c r="L306" s="26"/>
    </row>
    <row r="307" spans="7:12" ht="15.75" x14ac:dyDescent="0.25">
      <c r="G307" s="26"/>
      <c r="H307" s="26"/>
      <c r="I307" s="26"/>
      <c r="J307" s="26"/>
      <c r="K307" s="26"/>
      <c r="L307" s="26"/>
    </row>
    <row r="308" spans="7:12" ht="15.75" x14ac:dyDescent="0.25">
      <c r="G308" s="26"/>
      <c r="H308" s="26"/>
      <c r="I308" s="26"/>
      <c r="J308" s="26"/>
      <c r="K308" s="26"/>
      <c r="L308" s="26"/>
    </row>
    <row r="309" spans="7:12" ht="15.75" x14ac:dyDescent="0.25">
      <c r="G309" s="26"/>
      <c r="H309" s="26"/>
      <c r="I309" s="26"/>
      <c r="J309" s="26"/>
      <c r="K309" s="26"/>
      <c r="L309" s="26"/>
    </row>
    <row r="310" spans="7:12" ht="15.75" x14ac:dyDescent="0.25">
      <c r="G310" s="26"/>
      <c r="H310" s="26"/>
      <c r="I310" s="26"/>
      <c r="J310" s="26"/>
      <c r="K310" s="26"/>
      <c r="L310" s="26"/>
    </row>
    <row r="311" spans="7:12" ht="15.75" x14ac:dyDescent="0.25">
      <c r="G311" s="26"/>
      <c r="H311" s="26"/>
      <c r="I311" s="26"/>
      <c r="J311" s="26"/>
      <c r="K311" s="26"/>
      <c r="L311" s="26"/>
    </row>
    <row r="312" spans="7:12" ht="15.75" x14ac:dyDescent="0.25">
      <c r="G312" s="26"/>
      <c r="H312" s="26"/>
      <c r="I312" s="26"/>
      <c r="J312" s="26"/>
      <c r="K312" s="26"/>
      <c r="L312" s="26"/>
    </row>
    <row r="313" spans="7:12" ht="15.75" x14ac:dyDescent="0.25">
      <c r="G313" s="26"/>
      <c r="H313" s="26"/>
      <c r="I313" s="26"/>
      <c r="J313" s="26"/>
      <c r="K313" s="26"/>
      <c r="L313" s="26"/>
    </row>
    <row r="314" spans="7:12" ht="15.75" x14ac:dyDescent="0.25">
      <c r="G314" s="26"/>
      <c r="H314" s="26"/>
      <c r="I314" s="26"/>
      <c r="J314" s="26"/>
      <c r="K314" s="26"/>
      <c r="L314" s="26"/>
    </row>
    <row r="315" spans="7:12" ht="15.75" x14ac:dyDescent="0.25">
      <c r="G315" s="26"/>
      <c r="H315" s="26"/>
      <c r="I315" s="26"/>
      <c r="J315" s="26"/>
      <c r="K315" s="26"/>
      <c r="L315" s="26"/>
    </row>
    <row r="316" spans="7:12" ht="15.75" x14ac:dyDescent="0.25">
      <c r="G316" s="26"/>
      <c r="H316" s="26"/>
      <c r="I316" s="26"/>
      <c r="J316" s="26"/>
      <c r="K316" s="26"/>
      <c r="L316" s="26"/>
    </row>
    <row r="317" spans="7:12" ht="15.75" x14ac:dyDescent="0.25">
      <c r="G317" s="26"/>
      <c r="H317" s="26"/>
      <c r="I317" s="26"/>
      <c r="J317" s="26"/>
      <c r="K317" s="26"/>
      <c r="L317" s="26"/>
    </row>
    <row r="318" spans="7:12" ht="15.75" x14ac:dyDescent="0.25">
      <c r="G318" s="26"/>
      <c r="H318" s="26"/>
      <c r="I318" s="26"/>
      <c r="J318" s="26"/>
      <c r="K318" s="26"/>
      <c r="L318" s="26"/>
    </row>
    <row r="319" spans="7:12" ht="15.75" x14ac:dyDescent="0.25">
      <c r="G319" s="26"/>
      <c r="H319" s="26"/>
      <c r="I319" s="26"/>
      <c r="J319" s="26"/>
      <c r="K319" s="26"/>
      <c r="L319" s="26"/>
    </row>
    <row r="320" spans="7:12" ht="15.75" x14ac:dyDescent="0.25">
      <c r="G320" s="26"/>
      <c r="H320" s="26"/>
      <c r="I320" s="26"/>
      <c r="J320" s="26"/>
      <c r="K320" s="26"/>
      <c r="L320" s="26"/>
    </row>
    <row r="321" spans="7:12" ht="15.75" x14ac:dyDescent="0.25">
      <c r="G321" s="26"/>
      <c r="H321" s="26"/>
      <c r="I321" s="26"/>
      <c r="J321" s="26"/>
      <c r="K321" s="26"/>
      <c r="L321" s="26"/>
    </row>
    <row r="322" spans="7:12" ht="15.75" x14ac:dyDescent="0.25">
      <c r="G322" s="26"/>
      <c r="H322" s="26"/>
      <c r="I322" s="26"/>
      <c r="J322" s="26"/>
      <c r="K322" s="26"/>
      <c r="L322" s="26"/>
    </row>
    <row r="323" spans="7:12" ht="15.75" x14ac:dyDescent="0.25">
      <c r="G323" s="26"/>
      <c r="H323" s="26"/>
      <c r="I323" s="26"/>
      <c r="J323" s="26"/>
      <c r="K323" s="26"/>
      <c r="L323" s="26"/>
    </row>
    <row r="324" spans="7:12" ht="15.75" x14ac:dyDescent="0.25">
      <c r="G324" s="26"/>
      <c r="H324" s="26"/>
      <c r="I324" s="26"/>
      <c r="J324" s="26"/>
      <c r="K324" s="26"/>
      <c r="L324" s="26"/>
    </row>
    <row r="325" spans="7:12" ht="15.75" x14ac:dyDescent="0.25">
      <c r="G325" s="26"/>
      <c r="H325" s="26"/>
      <c r="I325" s="26"/>
      <c r="J325" s="26"/>
      <c r="K325" s="26"/>
      <c r="L325" s="26"/>
    </row>
    <row r="326" spans="7:12" ht="15.75" x14ac:dyDescent="0.25">
      <c r="G326" s="26"/>
      <c r="H326" s="26"/>
      <c r="I326" s="26"/>
      <c r="J326" s="26"/>
      <c r="K326" s="26"/>
      <c r="L326" s="26"/>
    </row>
    <row r="327" spans="7:12" ht="15.75" x14ac:dyDescent="0.25">
      <c r="G327" s="26"/>
      <c r="H327" s="26"/>
      <c r="I327" s="26"/>
      <c r="J327" s="26"/>
      <c r="K327" s="26"/>
      <c r="L327" s="26"/>
    </row>
    <row r="328" spans="7:12" ht="15.75" x14ac:dyDescent="0.25">
      <c r="G328" s="26"/>
      <c r="H328" s="26"/>
      <c r="I328" s="26"/>
      <c r="J328" s="26"/>
      <c r="K328" s="26"/>
      <c r="L328" s="26"/>
    </row>
    <row r="329" spans="7:12" ht="15.75" x14ac:dyDescent="0.25">
      <c r="G329" s="26"/>
      <c r="H329" s="26"/>
      <c r="I329" s="26"/>
      <c r="J329" s="26"/>
      <c r="K329" s="26"/>
      <c r="L329" s="26"/>
    </row>
    <row r="330" spans="7:12" ht="15.75" x14ac:dyDescent="0.25">
      <c r="G330" s="26"/>
      <c r="H330" s="26"/>
      <c r="I330" s="26"/>
      <c r="J330" s="26"/>
      <c r="K330" s="26"/>
      <c r="L330" s="26"/>
    </row>
    <row r="331" spans="7:12" ht="15.75" x14ac:dyDescent="0.25">
      <c r="G331" s="26"/>
      <c r="H331" s="26"/>
      <c r="I331" s="26"/>
      <c r="J331" s="26"/>
      <c r="K331" s="26"/>
      <c r="L331" s="26"/>
    </row>
    <row r="332" spans="7:12" ht="15.75" x14ac:dyDescent="0.25">
      <c r="G332" s="26"/>
      <c r="H332" s="26"/>
      <c r="I332" s="26"/>
      <c r="J332" s="26"/>
      <c r="K332" s="26"/>
      <c r="L332" s="26"/>
    </row>
    <row r="333" spans="7:12" ht="15.75" x14ac:dyDescent="0.25">
      <c r="G333" s="26"/>
      <c r="H333" s="26"/>
      <c r="I333" s="26"/>
      <c r="J333" s="26"/>
      <c r="K333" s="26"/>
      <c r="L333" s="26"/>
    </row>
    <row r="334" spans="7:12" ht="15.75" x14ac:dyDescent="0.25">
      <c r="G334" s="26"/>
      <c r="H334" s="26"/>
      <c r="I334" s="26"/>
      <c r="J334" s="26"/>
      <c r="K334" s="26"/>
      <c r="L334" s="26"/>
    </row>
    <row r="335" spans="7:12" ht="15.75" x14ac:dyDescent="0.25">
      <c r="G335" s="26"/>
      <c r="H335" s="26"/>
      <c r="I335" s="26"/>
      <c r="J335" s="26"/>
      <c r="K335" s="26"/>
      <c r="L335" s="26"/>
    </row>
    <row r="336" spans="7:12" ht="15.75" x14ac:dyDescent="0.25">
      <c r="G336" s="26"/>
      <c r="H336" s="26"/>
      <c r="I336" s="26"/>
      <c r="J336" s="26"/>
      <c r="K336" s="26"/>
      <c r="L336" s="26"/>
    </row>
    <row r="337" spans="7:12" ht="15.75" x14ac:dyDescent="0.25">
      <c r="G337" s="26"/>
      <c r="H337" s="26"/>
      <c r="I337" s="26"/>
      <c r="J337" s="26"/>
      <c r="K337" s="26"/>
      <c r="L337" s="26"/>
    </row>
    <row r="338" spans="7:12" ht="15.75" x14ac:dyDescent="0.25">
      <c r="G338" s="26"/>
      <c r="H338" s="26"/>
      <c r="I338" s="26"/>
      <c r="J338" s="26"/>
      <c r="K338" s="26"/>
      <c r="L338" s="26"/>
    </row>
    <row r="339" spans="7:12" ht="15.75" x14ac:dyDescent="0.25">
      <c r="G339" s="26"/>
      <c r="H339" s="26"/>
      <c r="I339" s="26"/>
      <c r="J339" s="26"/>
      <c r="K339" s="26"/>
      <c r="L339" s="26"/>
    </row>
    <row r="340" spans="7:12" ht="15.75" x14ac:dyDescent="0.25">
      <c r="G340" s="26"/>
      <c r="H340" s="26"/>
      <c r="I340" s="26"/>
      <c r="J340" s="26"/>
      <c r="K340" s="26"/>
      <c r="L340" s="26"/>
    </row>
    <row r="341" spans="7:12" ht="15.75" x14ac:dyDescent="0.25">
      <c r="G341" s="26"/>
      <c r="H341" s="26"/>
      <c r="I341" s="26"/>
      <c r="J341" s="26"/>
      <c r="K341" s="26"/>
      <c r="L341" s="26"/>
    </row>
    <row r="342" spans="7:12" ht="15.75" x14ac:dyDescent="0.25">
      <c r="G342" s="26"/>
      <c r="H342" s="26"/>
      <c r="I342" s="26"/>
      <c r="J342" s="26"/>
      <c r="K342" s="26"/>
      <c r="L342" s="26"/>
    </row>
    <row r="343" spans="7:12" ht="15.75" x14ac:dyDescent="0.25">
      <c r="G343" s="26"/>
      <c r="H343" s="26"/>
      <c r="I343" s="26"/>
      <c r="J343" s="26"/>
      <c r="K343" s="26"/>
      <c r="L343" s="26"/>
    </row>
    <row r="344" spans="7:12" ht="15.75" x14ac:dyDescent="0.25">
      <c r="G344" s="26"/>
      <c r="H344" s="26"/>
      <c r="I344" s="26"/>
      <c r="J344" s="26"/>
      <c r="K344" s="26"/>
      <c r="L344" s="26"/>
    </row>
    <row r="345" spans="7:12" ht="15.75" x14ac:dyDescent="0.25">
      <c r="G345" s="26"/>
      <c r="H345" s="26"/>
      <c r="I345" s="26"/>
      <c r="J345" s="26"/>
      <c r="K345" s="26"/>
      <c r="L345" s="26"/>
    </row>
    <row r="346" spans="7:12" ht="15.75" x14ac:dyDescent="0.25">
      <c r="G346" s="26"/>
      <c r="H346" s="26"/>
      <c r="I346" s="26"/>
      <c r="J346" s="26"/>
      <c r="K346" s="26"/>
      <c r="L346" s="26"/>
    </row>
    <row r="347" spans="7:12" ht="15.75" x14ac:dyDescent="0.25">
      <c r="G347" s="26"/>
      <c r="H347" s="26"/>
      <c r="I347" s="26"/>
      <c r="J347" s="26"/>
      <c r="K347" s="26"/>
      <c r="L347" s="26"/>
    </row>
    <row r="348" spans="7:12" ht="15.75" x14ac:dyDescent="0.25">
      <c r="G348" s="26"/>
      <c r="H348" s="26"/>
      <c r="I348" s="26"/>
      <c r="J348" s="26"/>
      <c r="K348" s="26"/>
      <c r="L348" s="26"/>
    </row>
    <row r="349" spans="7:12" ht="15.75" x14ac:dyDescent="0.25">
      <c r="G349" s="26"/>
      <c r="H349" s="26"/>
      <c r="I349" s="26"/>
      <c r="J349" s="26"/>
      <c r="K349" s="26"/>
      <c r="L349" s="26"/>
    </row>
    <row r="350" spans="7:12" ht="15.75" x14ac:dyDescent="0.25">
      <c r="G350" s="26"/>
      <c r="H350" s="26"/>
      <c r="I350" s="26"/>
      <c r="J350" s="26"/>
      <c r="K350" s="26"/>
      <c r="L350" s="26"/>
    </row>
    <row r="351" spans="7:12" ht="15.75" x14ac:dyDescent="0.25">
      <c r="G351" s="26"/>
      <c r="H351" s="26"/>
      <c r="I351" s="26"/>
      <c r="J351" s="26"/>
      <c r="K351" s="26"/>
      <c r="L351" s="26"/>
    </row>
    <row r="352" spans="7:12" ht="15.75" x14ac:dyDescent="0.25">
      <c r="G352" s="26"/>
      <c r="H352" s="26"/>
      <c r="I352" s="26"/>
      <c r="J352" s="26"/>
      <c r="K352" s="26"/>
      <c r="L352" s="26"/>
    </row>
    <row r="353" spans="7:12" ht="15.75" x14ac:dyDescent="0.25">
      <c r="G353" s="26"/>
      <c r="H353" s="26"/>
      <c r="I353" s="26"/>
      <c r="J353" s="26"/>
      <c r="K353" s="26"/>
      <c r="L353" s="26"/>
    </row>
    <row r="354" spans="7:12" ht="15.75" x14ac:dyDescent="0.25">
      <c r="G354" s="26"/>
      <c r="H354" s="26"/>
      <c r="I354" s="26"/>
      <c r="J354" s="26"/>
      <c r="K354" s="26"/>
      <c r="L354" s="26"/>
    </row>
    <row r="355" spans="7:12" ht="15.75" x14ac:dyDescent="0.25">
      <c r="G355" s="26"/>
      <c r="H355" s="26"/>
      <c r="I355" s="26"/>
      <c r="J355" s="26"/>
      <c r="K355" s="26"/>
      <c r="L355" s="26"/>
    </row>
    <row r="356" spans="7:12" ht="15.75" x14ac:dyDescent="0.25">
      <c r="G356" s="26"/>
      <c r="H356" s="26"/>
      <c r="I356" s="26"/>
      <c r="J356" s="26"/>
      <c r="K356" s="26"/>
      <c r="L356" s="26"/>
    </row>
    <row r="357" spans="7:12" ht="15.75" x14ac:dyDescent="0.25">
      <c r="G357" s="26"/>
      <c r="H357" s="26"/>
      <c r="I357" s="26"/>
      <c r="J357" s="26"/>
      <c r="K357" s="26"/>
      <c r="L357" s="26"/>
    </row>
    <row r="358" spans="7:12" ht="15.75" x14ac:dyDescent="0.25">
      <c r="G358" s="26"/>
      <c r="H358" s="26"/>
      <c r="I358" s="26"/>
      <c r="J358" s="26"/>
      <c r="K358" s="26"/>
      <c r="L358" s="26"/>
    </row>
    <row r="359" spans="7:12" ht="15.75" x14ac:dyDescent="0.25">
      <c r="G359" s="26"/>
      <c r="H359" s="26"/>
      <c r="I359" s="26"/>
      <c r="J359" s="26"/>
      <c r="K359" s="26"/>
      <c r="L359" s="26"/>
    </row>
    <row r="360" spans="7:12" ht="15.75" x14ac:dyDescent="0.25">
      <c r="G360" s="26"/>
      <c r="H360" s="26"/>
      <c r="I360" s="26"/>
      <c r="J360" s="26"/>
      <c r="K360" s="26"/>
      <c r="L360" s="26"/>
    </row>
    <row r="361" spans="7:12" ht="15.75" x14ac:dyDescent="0.25">
      <c r="G361" s="26"/>
      <c r="H361" s="26"/>
      <c r="I361" s="26"/>
      <c r="J361" s="26"/>
      <c r="K361" s="26"/>
      <c r="L361" s="26"/>
    </row>
    <row r="362" spans="7:12" ht="15.75" x14ac:dyDescent="0.25">
      <c r="G362" s="26"/>
      <c r="H362" s="26"/>
      <c r="I362" s="26"/>
      <c r="J362" s="26"/>
      <c r="K362" s="26"/>
      <c r="L362" s="26"/>
    </row>
    <row r="363" spans="7:12" ht="15.75" x14ac:dyDescent="0.25">
      <c r="G363" s="26"/>
      <c r="H363" s="26"/>
      <c r="I363" s="26"/>
      <c r="J363" s="26"/>
      <c r="K363" s="26"/>
      <c r="L363" s="26"/>
    </row>
    <row r="364" spans="7:12" ht="15.75" x14ac:dyDescent="0.25">
      <c r="G364" s="26"/>
      <c r="H364" s="26"/>
      <c r="I364" s="26"/>
      <c r="J364" s="26"/>
      <c r="K364" s="26"/>
      <c r="L364" s="26"/>
    </row>
    <row r="365" spans="7:12" ht="15.75" x14ac:dyDescent="0.25">
      <c r="G365" s="26"/>
      <c r="H365" s="26"/>
      <c r="I365" s="26"/>
      <c r="J365" s="26"/>
      <c r="K365" s="26"/>
      <c r="L365" s="26"/>
    </row>
    <row r="366" spans="7:12" ht="15.75" x14ac:dyDescent="0.25">
      <c r="G366" s="26"/>
      <c r="H366" s="26"/>
      <c r="I366" s="26"/>
      <c r="J366" s="26"/>
      <c r="K366" s="26"/>
      <c r="L366" s="26"/>
    </row>
    <row r="367" spans="7:12" ht="15.75" x14ac:dyDescent="0.25">
      <c r="G367" s="26"/>
      <c r="H367" s="26"/>
      <c r="I367" s="26"/>
      <c r="J367" s="26"/>
      <c r="K367" s="26"/>
      <c r="L367" s="26"/>
    </row>
    <row r="368" spans="7:12" ht="15.75" x14ac:dyDescent="0.25">
      <c r="G368" s="26"/>
      <c r="H368" s="26"/>
      <c r="I368" s="26"/>
      <c r="J368" s="26"/>
      <c r="K368" s="26"/>
      <c r="L368" s="26"/>
    </row>
    <row r="369" spans="7:12" ht="15.75" x14ac:dyDescent="0.25">
      <c r="G369" s="26"/>
      <c r="H369" s="26"/>
      <c r="I369" s="26"/>
      <c r="J369" s="26"/>
      <c r="K369" s="26"/>
      <c r="L369" s="26"/>
    </row>
    <row r="370" spans="7:12" ht="15.75" x14ac:dyDescent="0.25">
      <c r="G370" s="26"/>
      <c r="H370" s="26"/>
      <c r="I370" s="26"/>
      <c r="J370" s="26"/>
      <c r="K370" s="26"/>
      <c r="L370" s="26"/>
    </row>
    <row r="371" spans="7:12" ht="15.75" x14ac:dyDescent="0.25">
      <c r="G371" s="26"/>
      <c r="H371" s="26"/>
      <c r="I371" s="26"/>
      <c r="J371" s="26"/>
      <c r="K371" s="26"/>
      <c r="L371" s="26"/>
    </row>
    <row r="372" spans="7:12" ht="15.75" x14ac:dyDescent="0.25">
      <c r="G372" s="26"/>
      <c r="H372" s="26"/>
      <c r="I372" s="26"/>
      <c r="J372" s="26"/>
      <c r="K372" s="26"/>
      <c r="L372" s="26"/>
    </row>
    <row r="373" spans="7:12" ht="15.75" x14ac:dyDescent="0.25">
      <c r="G373" s="26"/>
      <c r="H373" s="26"/>
      <c r="I373" s="26"/>
      <c r="J373" s="26"/>
      <c r="K373" s="26"/>
      <c r="L373" s="26"/>
    </row>
    <row r="374" spans="7:12" ht="15.75" x14ac:dyDescent="0.25">
      <c r="G374" s="26"/>
      <c r="H374" s="26"/>
      <c r="I374" s="26"/>
      <c r="J374" s="26"/>
      <c r="K374" s="26"/>
      <c r="L374" s="26"/>
    </row>
    <row r="375" spans="7:12" ht="15.75" x14ac:dyDescent="0.25">
      <c r="G375" s="26"/>
      <c r="H375" s="26"/>
      <c r="I375" s="26"/>
      <c r="J375" s="26"/>
      <c r="K375" s="26"/>
      <c r="L375" s="26"/>
    </row>
    <row r="376" spans="7:12" ht="15.75" x14ac:dyDescent="0.25">
      <c r="G376" s="26"/>
      <c r="H376" s="26"/>
      <c r="I376" s="26"/>
      <c r="J376" s="26"/>
      <c r="K376" s="26"/>
      <c r="L376" s="26"/>
    </row>
    <row r="377" spans="7:12" ht="15.75" x14ac:dyDescent="0.25">
      <c r="G377" s="26"/>
      <c r="H377" s="26"/>
      <c r="I377" s="26"/>
      <c r="J377" s="26"/>
      <c r="K377" s="26"/>
      <c r="L377" s="26"/>
    </row>
    <row r="378" spans="7:12" ht="15.75" x14ac:dyDescent="0.25">
      <c r="G378" s="26"/>
      <c r="H378" s="26"/>
      <c r="I378" s="26"/>
      <c r="J378" s="26"/>
      <c r="K378" s="26"/>
      <c r="L378" s="26"/>
    </row>
    <row r="379" spans="7:12" ht="15.75" x14ac:dyDescent="0.25">
      <c r="G379" s="26"/>
      <c r="H379" s="26"/>
      <c r="I379" s="26"/>
      <c r="J379" s="26"/>
      <c r="K379" s="26"/>
      <c r="L379" s="26"/>
    </row>
    <row r="380" spans="7:12" ht="15.75" x14ac:dyDescent="0.25">
      <c r="G380" s="26"/>
      <c r="H380" s="26"/>
      <c r="I380" s="26"/>
      <c r="J380" s="26"/>
      <c r="K380" s="26"/>
      <c r="L380" s="26"/>
    </row>
    <row r="381" spans="7:12" ht="15.75" x14ac:dyDescent="0.25">
      <c r="G381" s="26"/>
      <c r="H381" s="26"/>
      <c r="I381" s="26"/>
      <c r="J381" s="26"/>
      <c r="K381" s="26"/>
      <c r="L381" s="26"/>
    </row>
    <row r="382" spans="7:12" ht="15.75" x14ac:dyDescent="0.25">
      <c r="G382" s="26"/>
      <c r="H382" s="26"/>
      <c r="I382" s="26"/>
      <c r="J382" s="26"/>
      <c r="K382" s="26"/>
      <c r="L382" s="26"/>
    </row>
    <row r="383" spans="7:12" ht="15.75" x14ac:dyDescent="0.25">
      <c r="G383" s="26"/>
      <c r="H383" s="26"/>
      <c r="I383" s="26"/>
      <c r="J383" s="26"/>
      <c r="K383" s="26"/>
      <c r="L383" s="26"/>
    </row>
    <row r="384" spans="7:12" ht="15.75" x14ac:dyDescent="0.25">
      <c r="G384" s="26"/>
      <c r="H384" s="26"/>
      <c r="I384" s="26"/>
      <c r="J384" s="26"/>
      <c r="K384" s="26"/>
      <c r="L384" s="26"/>
    </row>
    <row r="385" spans="7:12" ht="15.75" x14ac:dyDescent="0.25">
      <c r="G385" s="26"/>
      <c r="H385" s="26"/>
      <c r="I385" s="26"/>
      <c r="J385" s="26"/>
      <c r="K385" s="26"/>
      <c r="L385" s="26"/>
    </row>
    <row r="386" spans="7:12" ht="15.75" x14ac:dyDescent="0.25">
      <c r="G386" s="26"/>
      <c r="H386" s="26"/>
      <c r="I386" s="26"/>
      <c r="J386" s="26"/>
      <c r="K386" s="26"/>
      <c r="L386" s="26"/>
    </row>
    <row r="387" spans="7:12" ht="15.75" x14ac:dyDescent="0.25">
      <c r="G387" s="26"/>
      <c r="H387" s="26"/>
      <c r="I387" s="26"/>
      <c r="J387" s="26"/>
      <c r="K387" s="26"/>
      <c r="L387" s="26"/>
    </row>
    <row r="388" spans="7:12" ht="15.75" x14ac:dyDescent="0.25">
      <c r="G388" s="26"/>
      <c r="H388" s="26"/>
      <c r="I388" s="26"/>
      <c r="J388" s="26"/>
      <c r="K388" s="26"/>
      <c r="L388" s="26"/>
    </row>
    <row r="389" spans="7:12" ht="15.75" x14ac:dyDescent="0.25">
      <c r="G389" s="26"/>
      <c r="H389" s="26"/>
      <c r="I389" s="26"/>
      <c r="J389" s="26"/>
      <c r="K389" s="26"/>
      <c r="L389" s="26"/>
    </row>
    <row r="390" spans="7:12" ht="15.75" x14ac:dyDescent="0.25">
      <c r="G390" s="26"/>
      <c r="H390" s="26"/>
      <c r="I390" s="26"/>
      <c r="J390" s="26"/>
      <c r="K390" s="26"/>
      <c r="L390" s="26"/>
    </row>
    <row r="391" spans="7:12" ht="15.75" x14ac:dyDescent="0.25">
      <c r="G391" s="26"/>
      <c r="H391" s="26"/>
      <c r="I391" s="26"/>
      <c r="J391" s="26"/>
      <c r="K391" s="26"/>
      <c r="L391" s="26"/>
    </row>
    <row r="392" spans="7:12" ht="15.75" x14ac:dyDescent="0.25">
      <c r="G392" s="26"/>
      <c r="H392" s="26"/>
      <c r="I392" s="26"/>
      <c r="J392" s="26"/>
      <c r="K392" s="26"/>
      <c r="L392" s="26"/>
    </row>
    <row r="393" spans="7:12" ht="15.75" x14ac:dyDescent="0.25">
      <c r="G393" s="26"/>
      <c r="H393" s="26"/>
      <c r="I393" s="26"/>
      <c r="J393" s="26"/>
      <c r="K393" s="26"/>
      <c r="L393" s="26"/>
    </row>
    <row r="394" spans="7:12" ht="15.75" x14ac:dyDescent="0.25">
      <c r="G394" s="26"/>
      <c r="H394" s="26"/>
      <c r="I394" s="26"/>
      <c r="J394" s="26"/>
      <c r="K394" s="26"/>
      <c r="L394" s="26"/>
    </row>
    <row r="395" spans="7:12" ht="15.75" x14ac:dyDescent="0.25">
      <c r="G395" s="26"/>
      <c r="H395" s="26"/>
      <c r="I395" s="26"/>
      <c r="J395" s="26"/>
      <c r="K395" s="26"/>
      <c r="L395" s="26"/>
    </row>
    <row r="396" spans="7:12" ht="15.75" x14ac:dyDescent="0.25">
      <c r="G396" s="26"/>
      <c r="H396" s="26"/>
      <c r="I396" s="26"/>
      <c r="J396" s="26"/>
      <c r="K396" s="26"/>
      <c r="L396" s="26"/>
    </row>
    <row r="397" spans="7:12" ht="15.75" x14ac:dyDescent="0.25">
      <c r="G397" s="26"/>
      <c r="H397" s="26"/>
      <c r="I397" s="26"/>
      <c r="J397" s="26"/>
      <c r="K397" s="26"/>
      <c r="L397" s="26"/>
    </row>
    <row r="398" spans="7:12" ht="15.75" x14ac:dyDescent="0.25">
      <c r="G398" s="26"/>
      <c r="H398" s="26"/>
      <c r="I398" s="26"/>
      <c r="J398" s="26"/>
      <c r="K398" s="26"/>
      <c r="L398" s="26"/>
    </row>
    <row r="399" spans="7:12" ht="15.75" x14ac:dyDescent="0.25">
      <c r="G399" s="26"/>
      <c r="H399" s="26"/>
      <c r="I399" s="26"/>
      <c r="J399" s="26"/>
      <c r="K399" s="26"/>
      <c r="L399" s="26"/>
    </row>
    <row r="400" spans="7:12" ht="15.75" x14ac:dyDescent="0.25">
      <c r="G400" s="26"/>
      <c r="H400" s="26"/>
      <c r="I400" s="26"/>
      <c r="J400" s="26"/>
      <c r="K400" s="26"/>
      <c r="L400" s="26"/>
    </row>
    <row r="401" spans="7:12" ht="15.75" x14ac:dyDescent="0.25">
      <c r="G401" s="26"/>
      <c r="H401" s="26"/>
      <c r="I401" s="26"/>
      <c r="J401" s="26"/>
      <c r="K401" s="26"/>
      <c r="L401" s="26"/>
    </row>
    <row r="402" spans="7:12" ht="15.75" x14ac:dyDescent="0.25">
      <c r="G402" s="26"/>
      <c r="H402" s="26"/>
      <c r="I402" s="26"/>
      <c r="J402" s="26"/>
      <c r="K402" s="26"/>
      <c r="L402" s="26"/>
    </row>
    <row r="403" spans="7:12" ht="15.75" x14ac:dyDescent="0.25">
      <c r="G403" s="26"/>
      <c r="H403" s="26"/>
      <c r="I403" s="26"/>
      <c r="J403" s="26"/>
      <c r="K403" s="26"/>
      <c r="L403" s="26"/>
    </row>
    <row r="404" spans="7:12" ht="15.75" x14ac:dyDescent="0.25">
      <c r="G404" s="26"/>
      <c r="H404" s="26"/>
      <c r="I404" s="26"/>
      <c r="J404" s="26"/>
      <c r="K404" s="26"/>
      <c r="L404" s="26"/>
    </row>
    <row r="405" spans="7:12" ht="15.75" x14ac:dyDescent="0.25">
      <c r="G405" s="26"/>
      <c r="H405" s="26"/>
      <c r="I405" s="26"/>
      <c r="J405" s="26"/>
      <c r="K405" s="26"/>
      <c r="L405" s="26"/>
    </row>
  </sheetData>
  <mergeCells count="1">
    <mergeCell ref="H1:L1"/>
  </mergeCells>
  <conditionalFormatting sqref="C15:C20">
    <cfRule type="cellIs" dxfId="125" priority="45" operator="equal">
      <formula>0</formula>
    </cfRule>
  </conditionalFormatting>
  <conditionalFormatting sqref="C26:C35">
    <cfRule type="cellIs" dxfId="124" priority="87" operator="equal">
      <formula>0</formula>
    </cfRule>
  </conditionalFormatting>
  <conditionalFormatting sqref="C48:C57">
    <cfRule type="cellIs" dxfId="123" priority="10" operator="equal">
      <formula>0</formula>
    </cfRule>
  </conditionalFormatting>
  <conditionalFormatting sqref="C59:C68">
    <cfRule type="cellIs" dxfId="122" priority="50" operator="equal">
      <formula>0</formula>
    </cfRule>
  </conditionalFormatting>
  <conditionalFormatting sqref="C70:C79">
    <cfRule type="cellIs" dxfId="121" priority="129" operator="equal">
      <formula>0</formula>
    </cfRule>
  </conditionalFormatting>
  <conditionalFormatting sqref="C4:D13">
    <cfRule type="cellIs" dxfId="120" priority="1" operator="equal">
      <formula>0</formula>
    </cfRule>
  </conditionalFormatting>
  <conditionalFormatting sqref="C21:D24">
    <cfRule type="cellIs" dxfId="119" priority="31" operator="equal">
      <formula>0</formula>
    </cfRule>
  </conditionalFormatting>
  <conditionalFormatting sqref="D16:D20">
    <cfRule type="cellIs" dxfId="118" priority="47" operator="equal">
      <formula>0</formula>
    </cfRule>
  </conditionalFormatting>
  <conditionalFormatting sqref="D33:D35">
    <cfRule type="cellIs" dxfId="117" priority="55" operator="equal">
      <formula>0</formula>
    </cfRule>
  </conditionalFormatting>
  <conditionalFormatting sqref="D37:D46">
    <cfRule type="cellIs" dxfId="116" priority="56" operator="equal">
      <formula>0</formula>
    </cfRule>
  </conditionalFormatting>
  <conditionalFormatting sqref="D54:D57">
    <cfRule type="cellIs" dxfId="115" priority="133" operator="equal">
      <formula>0</formula>
    </cfRule>
  </conditionalFormatting>
  <conditionalFormatting sqref="D62:D68">
    <cfRule type="cellIs" dxfId="114" priority="58" operator="equal">
      <formula>0</formula>
    </cfRule>
  </conditionalFormatting>
  <conditionalFormatting sqref="D75:D79">
    <cfRule type="cellIs" dxfId="113" priority="59" operator="equal">
      <formula>0</formula>
    </cfRule>
  </conditionalFormatting>
  <conditionalFormatting sqref="D81:D90">
    <cfRule type="cellIs" dxfId="112" priority="60" operator="equal">
      <formula>0</formula>
    </cfRule>
  </conditionalFormatting>
  <conditionalFormatting sqref="D95:D101">
    <cfRule type="cellIs" dxfId="111" priority="61" operator="equal">
      <formula>0</formula>
    </cfRule>
  </conditionalFormatting>
  <conditionalFormatting sqref="D105:D112">
    <cfRule type="cellIs" dxfId="110" priority="18" operator="equal">
      <formula>0</formula>
    </cfRule>
  </conditionalFormatting>
  <conditionalFormatting sqref="D117:D123">
    <cfRule type="cellIs" dxfId="109" priority="62" operator="equal">
      <formula>0</formula>
    </cfRule>
  </conditionalFormatting>
  <conditionalFormatting sqref="D126:D134">
    <cfRule type="cellIs" dxfId="108" priority="63" operator="equal">
      <formula>0</formula>
    </cfRule>
  </conditionalFormatting>
  <conditionalFormatting sqref="D137:D145">
    <cfRule type="cellIs" dxfId="107" priority="72" operator="equal">
      <formula>0</formula>
    </cfRule>
  </conditionalFormatting>
  <conditionalFormatting sqref="D147:D156">
    <cfRule type="cellIs" dxfId="106" priority="71" operator="equal">
      <formula>0</formula>
    </cfRule>
  </conditionalFormatting>
  <conditionalFormatting sqref="D158:D167">
    <cfRule type="cellIs" dxfId="105" priority="70" operator="equal">
      <formula>0</formula>
    </cfRule>
  </conditionalFormatting>
  <conditionalFormatting sqref="D169:D178">
    <cfRule type="cellIs" dxfId="104" priority="69" operator="equal">
      <formula>0</formula>
    </cfRule>
  </conditionalFormatting>
  <conditionalFormatting sqref="D180:D189">
    <cfRule type="cellIs" dxfId="103" priority="68" operator="equal">
      <formula>0</formula>
    </cfRule>
  </conditionalFormatting>
  <conditionalFormatting sqref="D191:D200">
    <cfRule type="cellIs" dxfId="102" priority="67" operator="equal">
      <formula>0</formula>
    </cfRule>
  </conditionalFormatting>
  <conditionalFormatting sqref="D202:D211">
    <cfRule type="cellIs" dxfId="101" priority="3" operator="equal">
      <formula>0</formula>
    </cfRule>
  </conditionalFormatting>
  <conditionalFormatting sqref="D213:D222">
    <cfRule type="cellIs" dxfId="100" priority="2" operator="equal">
      <formula>0</formula>
    </cfRule>
  </conditionalFormatting>
  <conditionalFormatting sqref="D224:D233">
    <cfRule type="cellIs" dxfId="99" priority="6" operator="equal">
      <formula>0</formula>
    </cfRule>
  </conditionalFormatting>
  <conditionalFormatting sqref="D235:D244">
    <cfRule type="cellIs" dxfId="98" priority="5" operator="equal">
      <formula>0</formula>
    </cfRule>
  </conditionalFormatting>
  <conditionalFormatting sqref="D246:D254">
    <cfRule type="cellIs" dxfId="97" priority="4" operator="equal">
      <formula>0</formula>
    </cfRule>
  </conditionalFormatting>
  <dataValidations count="1">
    <dataValidation type="list" allowBlank="1" showInputMessage="1" sqref="H3:L3 H14:L14 H25:L25 H36:L36 H47:L47 H58:L58 H69:L69 H80:L80 H91:L91 H102:L102 H113:L113 H124:L124 H135:L135 H146:L146 H157:L157 H168:L168 H179:L179 H190:L190 H201:L201 H212:L212 H223:L223 H234:L234 H245:L245" xr:uid="{B722FD7F-6C34-4928-BC52-D2009784369A}">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0700-000000000000}">
          <x14:formula1>
            <xm:f>Unit!$A$4:$A$11</xm:f>
          </x14:formula1>
          <xm:sqref>D124 D102 D190 D179 D168 D157 D146 D135 D223 D234 D3 D36 D47 D58 D69 D80 D113 D91 D25 D14 D245 D201 D212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AE3005"/>
  <sheetViews>
    <sheetView workbookViewId="0"/>
  </sheetViews>
  <sheetFormatPr defaultColWidth="9.140625" defaultRowHeight="15" x14ac:dyDescent="0.25"/>
  <cols>
    <col min="1" max="1" width="13.5703125" style="12" customWidth="1"/>
    <col min="2" max="2" width="15.5703125" style="12" customWidth="1"/>
    <col min="3" max="4" width="9" style="13" customWidth="1"/>
    <col min="5" max="5" width="28.140625" style="13" customWidth="1"/>
    <col min="6" max="16384" width="9.140625" style="13"/>
  </cols>
  <sheetData>
    <row r="1" spans="1:4" ht="21.75" x14ac:dyDescent="0.25">
      <c r="A1" s="18" t="s">
        <v>246</v>
      </c>
    </row>
    <row r="2" spans="1:4" hidden="1" x14ac:dyDescent="0.25">
      <c r="A2" s="203">
        <v>3300</v>
      </c>
      <c r="B2">
        <v>191.55</v>
      </c>
    </row>
    <row r="3" spans="1:4" hidden="1" x14ac:dyDescent="0.25">
      <c r="A3" s="203">
        <v>4000</v>
      </c>
      <c r="B3">
        <v>194.75</v>
      </c>
    </row>
    <row r="4" spans="1:4" hidden="1" x14ac:dyDescent="0.25">
      <c r="A4" s="203">
        <v>5000</v>
      </c>
      <c r="B4">
        <v>199.35</v>
      </c>
    </row>
    <row r="5" spans="1:4" hidden="1" x14ac:dyDescent="0.25">
      <c r="A5" s="203">
        <v>6000</v>
      </c>
      <c r="B5">
        <v>203.9</v>
      </c>
    </row>
    <row r="6" spans="1:4" hidden="1" x14ac:dyDescent="0.25">
      <c r="A6" s="203">
        <v>7000</v>
      </c>
      <c r="B6">
        <v>208.55</v>
      </c>
    </row>
    <row r="7" spans="1:4" hidden="1" x14ac:dyDescent="0.25">
      <c r="A7" s="203">
        <v>8000</v>
      </c>
      <c r="B7">
        <v>213.1</v>
      </c>
    </row>
    <row r="8" spans="1:4" hidden="1" x14ac:dyDescent="0.25">
      <c r="A8" s="203">
        <v>9000</v>
      </c>
      <c r="B8">
        <v>217.7</v>
      </c>
    </row>
    <row r="9" spans="1:4" hidden="1" x14ac:dyDescent="0.25">
      <c r="A9" s="203">
        <v>10000</v>
      </c>
      <c r="B9">
        <v>222.3</v>
      </c>
      <c r="C9" s="14"/>
      <c r="D9" s="15"/>
    </row>
    <row r="10" spans="1:4" hidden="1" x14ac:dyDescent="0.25">
      <c r="A10" s="203">
        <v>11000</v>
      </c>
      <c r="B10">
        <v>226.9</v>
      </c>
      <c r="C10" s="14"/>
      <c r="D10" s="15"/>
    </row>
    <row r="11" spans="1:4" hidden="1" x14ac:dyDescent="0.25">
      <c r="A11" s="203">
        <v>12000</v>
      </c>
      <c r="B11">
        <v>231.5</v>
      </c>
      <c r="C11" s="14"/>
      <c r="D11" s="15"/>
    </row>
    <row r="12" spans="1:4" hidden="1" x14ac:dyDescent="0.25">
      <c r="A12" s="203">
        <v>13000</v>
      </c>
      <c r="B12">
        <v>236.1</v>
      </c>
      <c r="C12" s="14"/>
      <c r="D12" s="15"/>
    </row>
    <row r="13" spans="1:4" hidden="1" x14ac:dyDescent="0.25">
      <c r="A13" s="203">
        <v>14000</v>
      </c>
      <c r="B13">
        <v>240.6</v>
      </c>
      <c r="C13" s="14"/>
      <c r="D13" s="15"/>
    </row>
    <row r="14" spans="1:4" hidden="1" x14ac:dyDescent="0.25">
      <c r="A14" s="203">
        <v>15000</v>
      </c>
      <c r="B14">
        <v>245.25</v>
      </c>
      <c r="C14" s="14"/>
      <c r="D14" s="15"/>
    </row>
    <row r="15" spans="1:4" hidden="1" x14ac:dyDescent="0.25">
      <c r="A15" s="203">
        <v>16000</v>
      </c>
      <c r="B15">
        <v>249.8</v>
      </c>
      <c r="C15" s="14"/>
      <c r="D15" s="15"/>
    </row>
    <row r="16" spans="1:4" hidden="1" x14ac:dyDescent="0.25">
      <c r="A16" s="203">
        <v>17000</v>
      </c>
      <c r="B16">
        <v>254.45</v>
      </c>
      <c r="C16" s="14"/>
      <c r="D16" s="15"/>
    </row>
    <row r="17" spans="1:4" hidden="1" x14ac:dyDescent="0.25">
      <c r="A17" s="203">
        <v>18000</v>
      </c>
      <c r="B17">
        <v>259</v>
      </c>
      <c r="C17" s="14"/>
      <c r="D17" s="15"/>
    </row>
    <row r="18" spans="1:4" hidden="1" x14ac:dyDescent="0.25">
      <c r="A18" s="203">
        <v>19000</v>
      </c>
      <c r="B18">
        <v>263.60000000000002</v>
      </c>
      <c r="C18" s="14"/>
      <c r="D18" s="15"/>
    </row>
    <row r="19" spans="1:4" hidden="1" x14ac:dyDescent="0.25">
      <c r="A19" s="203">
        <v>20000</v>
      </c>
      <c r="B19">
        <v>268.2</v>
      </c>
      <c r="C19" s="14"/>
      <c r="D19" s="15"/>
    </row>
    <row r="20" spans="1:4" hidden="1" x14ac:dyDescent="0.25">
      <c r="A20" s="203">
        <v>21000</v>
      </c>
      <c r="B20">
        <v>272.8</v>
      </c>
      <c r="C20" s="14"/>
      <c r="D20" s="15"/>
    </row>
    <row r="21" spans="1:4" hidden="1" x14ac:dyDescent="0.25">
      <c r="A21" s="203">
        <v>22000</v>
      </c>
      <c r="B21">
        <v>277.39999999999998</v>
      </c>
      <c r="C21" s="14"/>
      <c r="D21" s="15"/>
    </row>
    <row r="22" spans="1:4" hidden="1" x14ac:dyDescent="0.25">
      <c r="A22" s="203">
        <v>23000</v>
      </c>
      <c r="B22">
        <v>281.95</v>
      </c>
      <c r="C22" s="14"/>
      <c r="D22" s="15"/>
    </row>
    <row r="23" spans="1:4" hidden="1" x14ac:dyDescent="0.25">
      <c r="A23" s="203">
        <v>24000</v>
      </c>
      <c r="B23">
        <v>286.5</v>
      </c>
      <c r="C23" s="14"/>
      <c r="D23" s="15"/>
    </row>
    <row r="24" spans="1:4" hidden="1" x14ac:dyDescent="0.25">
      <c r="A24" s="203">
        <v>25000</v>
      </c>
      <c r="B24">
        <v>291.14999999999998</v>
      </c>
      <c r="C24" s="14"/>
      <c r="D24" s="15"/>
    </row>
    <row r="25" spans="1:4" hidden="1" x14ac:dyDescent="0.25">
      <c r="A25" s="203">
        <v>26000</v>
      </c>
      <c r="B25">
        <v>295.7</v>
      </c>
      <c r="C25" s="14"/>
      <c r="D25" s="15"/>
    </row>
    <row r="26" spans="1:4" hidden="1" x14ac:dyDescent="0.25">
      <c r="A26" s="203">
        <v>27000</v>
      </c>
      <c r="B26">
        <v>300.35000000000002</v>
      </c>
      <c r="C26" s="14"/>
      <c r="D26" s="15"/>
    </row>
    <row r="27" spans="1:4" hidden="1" x14ac:dyDescent="0.25">
      <c r="A27" s="203">
        <v>28000</v>
      </c>
      <c r="B27">
        <v>304.89999999999998</v>
      </c>
      <c r="C27" s="14"/>
      <c r="D27" s="15"/>
    </row>
    <row r="28" spans="1:4" hidden="1" x14ac:dyDescent="0.25">
      <c r="A28" s="203">
        <v>29000</v>
      </c>
      <c r="B28">
        <v>309.5</v>
      </c>
      <c r="C28" s="14"/>
      <c r="D28" s="15"/>
    </row>
    <row r="29" spans="1:4" hidden="1" x14ac:dyDescent="0.25">
      <c r="A29" s="203">
        <v>30000</v>
      </c>
      <c r="B29">
        <v>314.10000000000002</v>
      </c>
      <c r="C29" s="14"/>
      <c r="D29" s="15"/>
    </row>
    <row r="30" spans="1:4" hidden="1" x14ac:dyDescent="0.25">
      <c r="A30" s="203">
        <v>31000</v>
      </c>
      <c r="B30">
        <v>318.7</v>
      </c>
      <c r="C30" s="14"/>
      <c r="D30" s="15"/>
    </row>
    <row r="31" spans="1:4" hidden="1" x14ac:dyDescent="0.25">
      <c r="A31" s="203">
        <v>32000</v>
      </c>
      <c r="B31">
        <v>323.2</v>
      </c>
      <c r="C31" s="14"/>
      <c r="D31" s="15"/>
    </row>
    <row r="32" spans="1:4" hidden="1" x14ac:dyDescent="0.25">
      <c r="A32" s="203">
        <v>33000</v>
      </c>
      <c r="B32">
        <v>327.8</v>
      </c>
      <c r="C32" s="14"/>
      <c r="D32" s="15"/>
    </row>
    <row r="33" spans="1:4" hidden="1" x14ac:dyDescent="0.25">
      <c r="A33" s="203">
        <v>34000</v>
      </c>
      <c r="B33">
        <v>332.35</v>
      </c>
      <c r="C33" s="14"/>
      <c r="D33" s="15"/>
    </row>
    <row r="34" spans="1:4" hidden="1" x14ac:dyDescent="0.25">
      <c r="A34" s="203">
        <v>35000</v>
      </c>
      <c r="B34">
        <v>337</v>
      </c>
      <c r="C34" s="14"/>
      <c r="D34" s="15"/>
    </row>
    <row r="35" spans="1:4" hidden="1" x14ac:dyDescent="0.25">
      <c r="A35" s="203">
        <v>36000</v>
      </c>
      <c r="B35">
        <v>341.55</v>
      </c>
      <c r="C35" s="14"/>
      <c r="D35" s="15"/>
    </row>
    <row r="36" spans="1:4" hidden="1" x14ac:dyDescent="0.25">
      <c r="A36" s="203">
        <v>37000</v>
      </c>
      <c r="B36">
        <v>346.2</v>
      </c>
      <c r="C36" s="14"/>
      <c r="D36" s="15"/>
    </row>
    <row r="37" spans="1:4" hidden="1" x14ac:dyDescent="0.25">
      <c r="A37" s="203">
        <v>38000</v>
      </c>
      <c r="B37">
        <v>350.75</v>
      </c>
      <c r="C37" s="14"/>
      <c r="D37" s="15"/>
    </row>
    <row r="38" spans="1:4" hidden="1" x14ac:dyDescent="0.25">
      <c r="A38" s="203">
        <v>39000</v>
      </c>
      <c r="B38">
        <v>355.35</v>
      </c>
      <c r="C38" s="14"/>
      <c r="D38" s="15"/>
    </row>
    <row r="39" spans="1:4" hidden="1" x14ac:dyDescent="0.25">
      <c r="A39" s="203">
        <v>40000</v>
      </c>
      <c r="B39">
        <v>359.9</v>
      </c>
      <c r="C39" s="14"/>
      <c r="D39" s="15"/>
    </row>
    <row r="40" spans="1:4" hidden="1" x14ac:dyDescent="0.25">
      <c r="A40" s="203">
        <v>41000</v>
      </c>
      <c r="B40">
        <v>364.5</v>
      </c>
      <c r="C40" s="14"/>
      <c r="D40" s="15"/>
    </row>
    <row r="41" spans="1:4" hidden="1" x14ac:dyDescent="0.25">
      <c r="A41" s="203">
        <v>42000</v>
      </c>
      <c r="B41">
        <v>369.1</v>
      </c>
      <c r="C41" s="14"/>
      <c r="D41" s="15"/>
    </row>
    <row r="42" spans="1:4" hidden="1" x14ac:dyDescent="0.25">
      <c r="A42" s="203">
        <v>43000</v>
      </c>
      <c r="B42">
        <v>373.7</v>
      </c>
      <c r="C42" s="14"/>
      <c r="D42" s="15"/>
    </row>
    <row r="43" spans="1:4" hidden="1" x14ac:dyDescent="0.25">
      <c r="A43" s="203">
        <v>44000</v>
      </c>
      <c r="B43">
        <v>378.25</v>
      </c>
      <c r="C43" s="14"/>
      <c r="D43" s="15"/>
    </row>
    <row r="44" spans="1:4" hidden="1" x14ac:dyDescent="0.25">
      <c r="A44" s="203">
        <v>45000</v>
      </c>
      <c r="B44">
        <v>382.9</v>
      </c>
      <c r="C44" s="14"/>
      <c r="D44" s="15"/>
    </row>
    <row r="45" spans="1:4" hidden="1" x14ac:dyDescent="0.25">
      <c r="A45" s="203">
        <v>46000</v>
      </c>
      <c r="B45">
        <v>387.45</v>
      </c>
      <c r="C45" s="14"/>
      <c r="D45" s="15"/>
    </row>
    <row r="46" spans="1:4" hidden="1" x14ac:dyDescent="0.25">
      <c r="A46" s="203">
        <v>47000</v>
      </c>
      <c r="B46">
        <v>392.1</v>
      </c>
      <c r="C46" s="14"/>
      <c r="D46" s="15"/>
    </row>
    <row r="47" spans="1:4" hidden="1" x14ac:dyDescent="0.25">
      <c r="A47" s="203">
        <v>48000</v>
      </c>
      <c r="B47">
        <v>396.65</v>
      </c>
      <c r="C47" s="14"/>
      <c r="D47" s="15"/>
    </row>
    <row r="48" spans="1:4" hidden="1" x14ac:dyDescent="0.25">
      <c r="A48" s="203">
        <v>49000</v>
      </c>
      <c r="B48">
        <v>401.2</v>
      </c>
      <c r="C48" s="14"/>
      <c r="D48" s="15"/>
    </row>
    <row r="49" spans="1:2" hidden="1" x14ac:dyDescent="0.25">
      <c r="A49" s="203">
        <v>50000</v>
      </c>
      <c r="B49">
        <v>405.8</v>
      </c>
    </row>
    <row r="50" spans="1:2" hidden="1" x14ac:dyDescent="0.25">
      <c r="A50" s="203">
        <v>51000</v>
      </c>
      <c r="B50">
        <v>410.4</v>
      </c>
    </row>
    <row r="51" spans="1:2" hidden="1" x14ac:dyDescent="0.25">
      <c r="A51" s="203">
        <v>52000</v>
      </c>
      <c r="B51">
        <v>415</v>
      </c>
    </row>
    <row r="52" spans="1:2" hidden="1" x14ac:dyDescent="0.25">
      <c r="A52" s="203">
        <v>53000</v>
      </c>
      <c r="B52">
        <v>419.6</v>
      </c>
    </row>
    <row r="53" spans="1:2" hidden="1" x14ac:dyDescent="0.25">
      <c r="A53" s="203">
        <v>54000</v>
      </c>
      <c r="B53">
        <v>424.2</v>
      </c>
    </row>
    <row r="54" spans="1:2" hidden="1" x14ac:dyDescent="0.25">
      <c r="A54" s="203">
        <v>55000</v>
      </c>
      <c r="B54">
        <v>428.8</v>
      </c>
    </row>
    <row r="55" spans="1:2" hidden="1" x14ac:dyDescent="0.25">
      <c r="A55" s="203">
        <v>56000</v>
      </c>
      <c r="B55">
        <v>433.35</v>
      </c>
    </row>
    <row r="56" spans="1:2" hidden="1" x14ac:dyDescent="0.25">
      <c r="A56" s="203">
        <v>57000</v>
      </c>
      <c r="B56">
        <v>438</v>
      </c>
    </row>
    <row r="57" spans="1:2" hidden="1" x14ac:dyDescent="0.25">
      <c r="A57" s="203">
        <v>58000</v>
      </c>
      <c r="B57">
        <v>442.5</v>
      </c>
    </row>
    <row r="58" spans="1:2" hidden="1" x14ac:dyDescent="0.25">
      <c r="A58" s="203">
        <v>59000</v>
      </c>
      <c r="B58">
        <v>447.15</v>
      </c>
    </row>
    <row r="59" spans="1:2" hidden="1" x14ac:dyDescent="0.25">
      <c r="A59" s="203">
        <v>60000</v>
      </c>
      <c r="B59">
        <v>451.7</v>
      </c>
    </row>
    <row r="60" spans="1:2" hidden="1" x14ac:dyDescent="0.25">
      <c r="A60" s="203">
        <v>61000</v>
      </c>
      <c r="B60">
        <v>456.3</v>
      </c>
    </row>
    <row r="61" spans="1:2" hidden="1" x14ac:dyDescent="0.25">
      <c r="A61" s="203">
        <v>62000</v>
      </c>
      <c r="B61">
        <v>460.9</v>
      </c>
    </row>
    <row r="62" spans="1:2" hidden="1" x14ac:dyDescent="0.25">
      <c r="A62" s="203">
        <v>63000</v>
      </c>
      <c r="B62">
        <v>465.5</v>
      </c>
    </row>
    <row r="63" spans="1:2" hidden="1" x14ac:dyDescent="0.25">
      <c r="A63" s="203">
        <v>64000</v>
      </c>
      <c r="B63">
        <v>470.1</v>
      </c>
    </row>
    <row r="64" spans="1:2" hidden="1" x14ac:dyDescent="0.25">
      <c r="A64" s="203">
        <v>65000</v>
      </c>
      <c r="B64">
        <v>474.7</v>
      </c>
    </row>
    <row r="65" spans="1:2" hidden="1" x14ac:dyDescent="0.25">
      <c r="A65" s="203">
        <v>66000</v>
      </c>
      <c r="B65">
        <v>479.25</v>
      </c>
    </row>
    <row r="66" spans="1:2" hidden="1" x14ac:dyDescent="0.25">
      <c r="A66" s="203">
        <v>67000</v>
      </c>
      <c r="B66">
        <v>483.85</v>
      </c>
    </row>
    <row r="67" spans="1:2" hidden="1" x14ac:dyDescent="0.25">
      <c r="A67" s="203">
        <v>68000</v>
      </c>
      <c r="B67">
        <v>488.4</v>
      </c>
    </row>
    <row r="68" spans="1:2" hidden="1" x14ac:dyDescent="0.25">
      <c r="A68" s="203">
        <v>69000</v>
      </c>
      <c r="B68">
        <v>493.05</v>
      </c>
    </row>
    <row r="69" spans="1:2" hidden="1" x14ac:dyDescent="0.25">
      <c r="A69" s="203">
        <v>70000</v>
      </c>
      <c r="B69">
        <v>497.6</v>
      </c>
    </row>
    <row r="70" spans="1:2" hidden="1" x14ac:dyDescent="0.25">
      <c r="A70" s="203">
        <v>71000</v>
      </c>
      <c r="B70">
        <v>502.2</v>
      </c>
    </row>
    <row r="71" spans="1:2" hidden="1" x14ac:dyDescent="0.25">
      <c r="A71" s="203">
        <v>72000</v>
      </c>
      <c r="B71">
        <v>506.8</v>
      </c>
    </row>
    <row r="72" spans="1:2" hidden="1" x14ac:dyDescent="0.25">
      <c r="A72" s="203">
        <v>73000</v>
      </c>
      <c r="B72">
        <v>511.4</v>
      </c>
    </row>
    <row r="73" spans="1:2" hidden="1" x14ac:dyDescent="0.25">
      <c r="A73" s="203">
        <v>74000</v>
      </c>
      <c r="B73">
        <v>516</v>
      </c>
    </row>
    <row r="74" spans="1:2" hidden="1" x14ac:dyDescent="0.25">
      <c r="A74" s="203">
        <v>75000</v>
      </c>
      <c r="B74">
        <v>520.6</v>
      </c>
    </row>
    <row r="75" spans="1:2" hidden="1" x14ac:dyDescent="0.25">
      <c r="A75" s="203">
        <v>76000</v>
      </c>
      <c r="B75">
        <v>525.1</v>
      </c>
    </row>
    <row r="76" spans="1:2" hidden="1" x14ac:dyDescent="0.25">
      <c r="A76" s="203">
        <v>77000</v>
      </c>
      <c r="B76">
        <v>529.75</v>
      </c>
    </row>
    <row r="77" spans="1:2" hidden="1" x14ac:dyDescent="0.25">
      <c r="A77" s="203">
        <v>78000</v>
      </c>
      <c r="B77">
        <v>534.29999999999995</v>
      </c>
    </row>
    <row r="78" spans="1:2" hidden="1" x14ac:dyDescent="0.25">
      <c r="A78" s="203">
        <v>79000</v>
      </c>
      <c r="B78">
        <v>538.95000000000005</v>
      </c>
    </row>
    <row r="79" spans="1:2" hidden="1" x14ac:dyDescent="0.25">
      <c r="A79" s="203">
        <v>80000</v>
      </c>
      <c r="B79">
        <v>543.5</v>
      </c>
    </row>
    <row r="80" spans="1:2" hidden="1" x14ac:dyDescent="0.25">
      <c r="A80" s="203">
        <v>81000</v>
      </c>
      <c r="B80">
        <v>548.1</v>
      </c>
    </row>
    <row r="81" spans="1:2" hidden="1" x14ac:dyDescent="0.25">
      <c r="A81" s="203">
        <v>82000</v>
      </c>
      <c r="B81">
        <v>552.70000000000005</v>
      </c>
    </row>
    <row r="82" spans="1:2" hidden="1" x14ac:dyDescent="0.25">
      <c r="A82" s="203">
        <v>83000</v>
      </c>
      <c r="B82">
        <v>557.29999999999995</v>
      </c>
    </row>
    <row r="83" spans="1:2" hidden="1" x14ac:dyDescent="0.25">
      <c r="A83" s="203">
        <v>84000</v>
      </c>
      <c r="B83">
        <v>561.9</v>
      </c>
    </row>
    <row r="84" spans="1:2" hidden="1" x14ac:dyDescent="0.25">
      <c r="A84" s="203">
        <v>85000</v>
      </c>
      <c r="B84">
        <v>566.45000000000005</v>
      </c>
    </row>
    <row r="85" spans="1:2" hidden="1" x14ac:dyDescent="0.25">
      <c r="A85" s="203">
        <v>86000</v>
      </c>
      <c r="B85">
        <v>571</v>
      </c>
    </row>
    <row r="86" spans="1:2" hidden="1" x14ac:dyDescent="0.25">
      <c r="A86" s="203">
        <v>87000</v>
      </c>
      <c r="B86">
        <v>575.65</v>
      </c>
    </row>
    <row r="87" spans="1:2" hidden="1" x14ac:dyDescent="0.25">
      <c r="A87" s="203">
        <v>88000</v>
      </c>
      <c r="B87">
        <v>580.20000000000005</v>
      </c>
    </row>
    <row r="88" spans="1:2" hidden="1" x14ac:dyDescent="0.25">
      <c r="A88" s="203">
        <v>89000</v>
      </c>
      <c r="B88">
        <v>584.85</v>
      </c>
    </row>
    <row r="89" spans="1:2" hidden="1" x14ac:dyDescent="0.25">
      <c r="A89" s="203">
        <v>90000</v>
      </c>
      <c r="B89">
        <v>589.4</v>
      </c>
    </row>
    <row r="90" spans="1:2" hidden="1" x14ac:dyDescent="0.25">
      <c r="A90" s="203">
        <v>91000</v>
      </c>
      <c r="B90">
        <v>594</v>
      </c>
    </row>
    <row r="91" spans="1:2" hidden="1" x14ac:dyDescent="0.25">
      <c r="A91" s="203">
        <v>92000</v>
      </c>
      <c r="B91">
        <v>598.6</v>
      </c>
    </row>
    <row r="92" spans="1:2" hidden="1" x14ac:dyDescent="0.25">
      <c r="A92" s="203">
        <v>93000</v>
      </c>
      <c r="B92">
        <v>603.20000000000005</v>
      </c>
    </row>
    <row r="93" spans="1:2" hidden="1" x14ac:dyDescent="0.25">
      <c r="A93" s="203">
        <v>94000</v>
      </c>
      <c r="B93">
        <v>607.75</v>
      </c>
    </row>
    <row r="94" spans="1:2" hidden="1" x14ac:dyDescent="0.25">
      <c r="A94" s="203">
        <v>95000</v>
      </c>
      <c r="B94">
        <v>612.35</v>
      </c>
    </row>
    <row r="95" spans="1:2" hidden="1" x14ac:dyDescent="0.25">
      <c r="A95" s="203">
        <v>96000</v>
      </c>
      <c r="B95">
        <v>616.9</v>
      </c>
    </row>
    <row r="96" spans="1:2" hidden="1" x14ac:dyDescent="0.25">
      <c r="A96" s="203">
        <v>97000</v>
      </c>
      <c r="B96">
        <v>621.54999999999995</v>
      </c>
    </row>
    <row r="97" spans="1:2" hidden="1" x14ac:dyDescent="0.25">
      <c r="A97" s="203">
        <v>98000</v>
      </c>
      <c r="B97">
        <v>626.1</v>
      </c>
    </row>
    <row r="98" spans="1:2" hidden="1" x14ac:dyDescent="0.25">
      <c r="A98" s="203">
        <v>99000</v>
      </c>
      <c r="B98">
        <v>630.75</v>
      </c>
    </row>
    <row r="99" spans="1:2" hidden="1" x14ac:dyDescent="0.25">
      <c r="A99" s="203">
        <v>100000</v>
      </c>
      <c r="B99">
        <v>635.29999999999995</v>
      </c>
    </row>
    <row r="100" spans="1:2" hidden="1" x14ac:dyDescent="0.25">
      <c r="A100" s="203">
        <v>101000</v>
      </c>
      <c r="B100">
        <v>639.9</v>
      </c>
    </row>
    <row r="101" spans="1:2" hidden="1" x14ac:dyDescent="0.25">
      <c r="A101" s="203">
        <v>102000</v>
      </c>
      <c r="B101">
        <v>644.5</v>
      </c>
    </row>
    <row r="102" spans="1:2" hidden="1" x14ac:dyDescent="0.25">
      <c r="A102" s="203">
        <v>103000</v>
      </c>
      <c r="B102">
        <v>649.04999999999995</v>
      </c>
    </row>
    <row r="103" spans="1:2" hidden="1" x14ac:dyDescent="0.25">
      <c r="A103" s="203">
        <v>104000</v>
      </c>
      <c r="B103">
        <v>653.65</v>
      </c>
    </row>
    <row r="104" spans="1:2" hidden="1" x14ac:dyDescent="0.25">
      <c r="A104" s="203">
        <v>105000</v>
      </c>
      <c r="B104">
        <v>658.25</v>
      </c>
    </row>
    <row r="105" spans="1:2" hidden="1" x14ac:dyDescent="0.25">
      <c r="A105" s="203">
        <v>106000</v>
      </c>
      <c r="B105">
        <v>662.8</v>
      </c>
    </row>
    <row r="106" spans="1:2" hidden="1" x14ac:dyDescent="0.25">
      <c r="A106" s="203">
        <v>107000</v>
      </c>
      <c r="B106">
        <v>667.45</v>
      </c>
    </row>
    <row r="107" spans="1:2" hidden="1" x14ac:dyDescent="0.25">
      <c r="A107" s="203">
        <v>108000</v>
      </c>
      <c r="B107">
        <v>672</v>
      </c>
    </row>
    <row r="108" spans="1:2" hidden="1" x14ac:dyDescent="0.25">
      <c r="A108" s="203">
        <v>109000</v>
      </c>
      <c r="B108">
        <v>676.65</v>
      </c>
    </row>
    <row r="109" spans="1:2" hidden="1" x14ac:dyDescent="0.25">
      <c r="A109" s="203">
        <v>110000</v>
      </c>
      <c r="B109">
        <v>681.2</v>
      </c>
    </row>
    <row r="110" spans="1:2" hidden="1" x14ac:dyDescent="0.25">
      <c r="A110" s="203">
        <v>111000</v>
      </c>
      <c r="B110">
        <v>685.85</v>
      </c>
    </row>
    <row r="111" spans="1:2" hidden="1" x14ac:dyDescent="0.25">
      <c r="A111" s="203">
        <v>112000</v>
      </c>
      <c r="B111">
        <v>690.35</v>
      </c>
    </row>
    <row r="112" spans="1:2" hidden="1" x14ac:dyDescent="0.25">
      <c r="A112" s="203">
        <v>113000</v>
      </c>
      <c r="B112">
        <v>694.95</v>
      </c>
    </row>
    <row r="113" spans="1:2" hidden="1" x14ac:dyDescent="0.25">
      <c r="A113" s="203">
        <v>114000</v>
      </c>
      <c r="B113">
        <v>699.55</v>
      </c>
    </row>
    <row r="114" spans="1:2" hidden="1" x14ac:dyDescent="0.25">
      <c r="A114" s="203">
        <v>115000</v>
      </c>
      <c r="B114">
        <v>704.15</v>
      </c>
    </row>
    <row r="115" spans="1:2" hidden="1" x14ac:dyDescent="0.25">
      <c r="A115" s="203">
        <v>116000</v>
      </c>
      <c r="B115">
        <v>708.7</v>
      </c>
    </row>
    <row r="116" spans="1:2" hidden="1" x14ac:dyDescent="0.25">
      <c r="A116" s="203">
        <v>117000</v>
      </c>
      <c r="B116">
        <v>713.35</v>
      </c>
    </row>
    <row r="117" spans="1:2" hidden="1" x14ac:dyDescent="0.25">
      <c r="A117" s="203">
        <v>118000</v>
      </c>
      <c r="B117">
        <v>717.9</v>
      </c>
    </row>
    <row r="118" spans="1:2" hidden="1" x14ac:dyDescent="0.25">
      <c r="A118" s="203">
        <v>119000</v>
      </c>
      <c r="B118">
        <v>722.55</v>
      </c>
    </row>
    <row r="119" spans="1:2" hidden="1" x14ac:dyDescent="0.25">
      <c r="A119" s="203">
        <v>120000</v>
      </c>
      <c r="B119">
        <v>727</v>
      </c>
    </row>
    <row r="120" spans="1:2" hidden="1" x14ac:dyDescent="0.25">
      <c r="A120" s="203">
        <v>121000</v>
      </c>
      <c r="B120">
        <v>731.6</v>
      </c>
    </row>
    <row r="121" spans="1:2" hidden="1" x14ac:dyDescent="0.25">
      <c r="A121" s="203">
        <v>122000</v>
      </c>
      <c r="B121">
        <v>736.2</v>
      </c>
    </row>
    <row r="122" spans="1:2" hidden="1" x14ac:dyDescent="0.25">
      <c r="A122" s="203">
        <v>123000</v>
      </c>
      <c r="B122">
        <v>740.8</v>
      </c>
    </row>
    <row r="123" spans="1:2" hidden="1" x14ac:dyDescent="0.25">
      <c r="A123" s="203">
        <v>124000</v>
      </c>
      <c r="B123">
        <v>745.4</v>
      </c>
    </row>
    <row r="124" spans="1:2" hidden="1" x14ac:dyDescent="0.25">
      <c r="A124" s="203">
        <v>125000</v>
      </c>
      <c r="B124">
        <v>750</v>
      </c>
    </row>
    <row r="125" spans="1:2" hidden="1" x14ac:dyDescent="0.25">
      <c r="A125" s="203">
        <v>126000</v>
      </c>
      <c r="B125">
        <v>754.55</v>
      </c>
    </row>
    <row r="126" spans="1:2" hidden="1" x14ac:dyDescent="0.25">
      <c r="A126" s="203">
        <v>127000</v>
      </c>
      <c r="B126">
        <v>759.2</v>
      </c>
    </row>
    <row r="127" spans="1:2" hidden="1" x14ac:dyDescent="0.25">
      <c r="A127" s="203">
        <v>128000</v>
      </c>
      <c r="B127">
        <v>763.75</v>
      </c>
    </row>
    <row r="128" spans="1:2" hidden="1" x14ac:dyDescent="0.25">
      <c r="A128" s="203">
        <v>129000</v>
      </c>
      <c r="B128">
        <v>768.35</v>
      </c>
    </row>
    <row r="129" spans="1:2" hidden="1" x14ac:dyDescent="0.25">
      <c r="A129" s="203">
        <v>130000</v>
      </c>
      <c r="B129">
        <v>772.9</v>
      </c>
    </row>
    <row r="130" spans="1:2" hidden="1" x14ac:dyDescent="0.25">
      <c r="A130" s="203">
        <v>131000</v>
      </c>
      <c r="B130">
        <v>777.5</v>
      </c>
    </row>
    <row r="131" spans="1:2" hidden="1" x14ac:dyDescent="0.25">
      <c r="A131" s="203">
        <v>132000</v>
      </c>
      <c r="B131">
        <v>782.1</v>
      </c>
    </row>
    <row r="132" spans="1:2" hidden="1" x14ac:dyDescent="0.25">
      <c r="A132" s="203">
        <v>133000</v>
      </c>
      <c r="B132">
        <v>786.7</v>
      </c>
    </row>
    <row r="133" spans="1:2" hidden="1" x14ac:dyDescent="0.25">
      <c r="A133" s="203">
        <v>134000</v>
      </c>
      <c r="B133">
        <v>791.3</v>
      </c>
    </row>
    <row r="134" spans="1:2" hidden="1" x14ac:dyDescent="0.25">
      <c r="A134" s="203">
        <v>135000</v>
      </c>
      <c r="B134">
        <v>795.9</v>
      </c>
    </row>
    <row r="135" spans="1:2" hidden="1" x14ac:dyDescent="0.25">
      <c r="A135" s="203">
        <v>136000</v>
      </c>
      <c r="B135">
        <v>800.5</v>
      </c>
    </row>
    <row r="136" spans="1:2" hidden="1" x14ac:dyDescent="0.25">
      <c r="A136" s="203">
        <v>137000</v>
      </c>
      <c r="B136">
        <v>805.1</v>
      </c>
    </row>
    <row r="137" spans="1:2" hidden="1" x14ac:dyDescent="0.25">
      <c r="A137" s="203">
        <v>138000</v>
      </c>
      <c r="B137">
        <v>809.6</v>
      </c>
    </row>
    <row r="138" spans="1:2" hidden="1" x14ac:dyDescent="0.25">
      <c r="A138" s="203">
        <v>139000</v>
      </c>
      <c r="B138">
        <v>814.25</v>
      </c>
    </row>
    <row r="139" spans="1:2" hidden="1" x14ac:dyDescent="0.25">
      <c r="A139" s="203">
        <v>140000</v>
      </c>
      <c r="B139">
        <v>818.8</v>
      </c>
    </row>
    <row r="140" spans="1:2" hidden="1" x14ac:dyDescent="0.25">
      <c r="A140" s="203">
        <v>141000</v>
      </c>
      <c r="B140">
        <v>823.45</v>
      </c>
    </row>
    <row r="141" spans="1:2" hidden="1" x14ac:dyDescent="0.25">
      <c r="A141" s="203">
        <v>142000</v>
      </c>
      <c r="B141">
        <v>828</v>
      </c>
    </row>
    <row r="142" spans="1:2" hidden="1" x14ac:dyDescent="0.25">
      <c r="A142" s="203">
        <v>143000</v>
      </c>
      <c r="B142">
        <v>832.6</v>
      </c>
    </row>
    <row r="143" spans="1:2" hidden="1" x14ac:dyDescent="0.25">
      <c r="A143" s="203">
        <v>144000</v>
      </c>
      <c r="B143">
        <v>837.2</v>
      </c>
    </row>
    <row r="144" spans="1:2" hidden="1" x14ac:dyDescent="0.25">
      <c r="A144" s="203">
        <v>145000</v>
      </c>
      <c r="B144">
        <v>841.8</v>
      </c>
    </row>
    <row r="145" spans="1:2" hidden="1" x14ac:dyDescent="0.25">
      <c r="A145" s="203">
        <v>146000</v>
      </c>
      <c r="B145">
        <v>846.4</v>
      </c>
    </row>
    <row r="146" spans="1:2" hidden="1" x14ac:dyDescent="0.25">
      <c r="A146" s="203">
        <v>147000</v>
      </c>
      <c r="B146">
        <v>850.95</v>
      </c>
    </row>
    <row r="147" spans="1:2" hidden="1" x14ac:dyDescent="0.25">
      <c r="A147" s="203">
        <v>148000</v>
      </c>
      <c r="B147">
        <v>855.5</v>
      </c>
    </row>
    <row r="148" spans="1:2" hidden="1" x14ac:dyDescent="0.25">
      <c r="A148" s="203">
        <v>149000</v>
      </c>
      <c r="B148">
        <v>860.15</v>
      </c>
    </row>
    <row r="149" spans="1:2" hidden="1" x14ac:dyDescent="0.25">
      <c r="A149" s="203">
        <v>150000</v>
      </c>
      <c r="B149">
        <v>864.7</v>
      </c>
    </row>
    <row r="150" spans="1:2" hidden="1" x14ac:dyDescent="0.25">
      <c r="A150" s="203">
        <v>151000</v>
      </c>
      <c r="B150">
        <v>869.35</v>
      </c>
    </row>
    <row r="151" spans="1:2" hidden="1" x14ac:dyDescent="0.25">
      <c r="A151" s="203">
        <v>152000</v>
      </c>
      <c r="B151">
        <v>873.9</v>
      </c>
    </row>
    <row r="152" spans="1:2" hidden="1" x14ac:dyDescent="0.25">
      <c r="A152" s="203">
        <v>153000</v>
      </c>
      <c r="B152">
        <v>878.5</v>
      </c>
    </row>
    <row r="153" spans="1:2" hidden="1" x14ac:dyDescent="0.25">
      <c r="A153" s="203">
        <v>154000</v>
      </c>
      <c r="B153">
        <v>883.1</v>
      </c>
    </row>
    <row r="154" spans="1:2" hidden="1" x14ac:dyDescent="0.25">
      <c r="A154" s="203">
        <v>155000</v>
      </c>
      <c r="B154">
        <v>887.7</v>
      </c>
    </row>
    <row r="155" spans="1:2" hidden="1" x14ac:dyDescent="0.25">
      <c r="A155" s="203">
        <v>156000</v>
      </c>
      <c r="B155">
        <v>892.25</v>
      </c>
    </row>
    <row r="156" spans="1:2" hidden="1" x14ac:dyDescent="0.25">
      <c r="A156" s="203">
        <v>157000</v>
      </c>
      <c r="B156">
        <v>896.85</v>
      </c>
    </row>
    <row r="157" spans="1:2" hidden="1" x14ac:dyDescent="0.25">
      <c r="A157" s="203">
        <v>158000</v>
      </c>
      <c r="B157">
        <v>901.4</v>
      </c>
    </row>
    <row r="158" spans="1:2" hidden="1" x14ac:dyDescent="0.25">
      <c r="A158" s="203">
        <v>159000</v>
      </c>
      <c r="B158">
        <v>906.05</v>
      </c>
    </row>
    <row r="159" spans="1:2" hidden="1" x14ac:dyDescent="0.25">
      <c r="A159" s="203">
        <v>160000</v>
      </c>
      <c r="B159">
        <v>910.6</v>
      </c>
    </row>
    <row r="160" spans="1:2" hidden="1" x14ac:dyDescent="0.25">
      <c r="A160" s="203">
        <v>161000</v>
      </c>
      <c r="B160">
        <v>915.25</v>
      </c>
    </row>
    <row r="161" spans="1:2" hidden="1" x14ac:dyDescent="0.25">
      <c r="A161" s="203">
        <v>162000</v>
      </c>
      <c r="B161">
        <v>919.8</v>
      </c>
    </row>
    <row r="162" spans="1:2" hidden="1" x14ac:dyDescent="0.25">
      <c r="A162" s="203">
        <v>163000</v>
      </c>
      <c r="B162">
        <v>924.4</v>
      </c>
    </row>
    <row r="163" spans="1:2" hidden="1" x14ac:dyDescent="0.25">
      <c r="A163" s="203">
        <v>164000</v>
      </c>
      <c r="B163">
        <v>929</v>
      </c>
    </row>
    <row r="164" spans="1:2" hidden="1" x14ac:dyDescent="0.25">
      <c r="A164" s="203">
        <v>165000</v>
      </c>
      <c r="B164">
        <v>933.55</v>
      </c>
    </row>
    <row r="165" spans="1:2" hidden="1" x14ac:dyDescent="0.25">
      <c r="A165" s="203">
        <v>166000</v>
      </c>
      <c r="B165">
        <v>938.15</v>
      </c>
    </row>
    <row r="166" spans="1:2" hidden="1" x14ac:dyDescent="0.25">
      <c r="A166" s="203">
        <v>167000</v>
      </c>
      <c r="B166">
        <v>942.75</v>
      </c>
    </row>
    <row r="167" spans="1:2" hidden="1" x14ac:dyDescent="0.25">
      <c r="A167" s="203">
        <v>168000</v>
      </c>
      <c r="B167">
        <v>947.3</v>
      </c>
    </row>
    <row r="168" spans="1:2" hidden="1" x14ac:dyDescent="0.25">
      <c r="A168" s="203">
        <v>169000</v>
      </c>
      <c r="B168">
        <v>951.95</v>
      </c>
    </row>
    <row r="169" spans="1:2" hidden="1" x14ac:dyDescent="0.25">
      <c r="A169" s="203">
        <v>170000</v>
      </c>
      <c r="B169">
        <v>956.5</v>
      </c>
    </row>
    <row r="170" spans="1:2" hidden="1" x14ac:dyDescent="0.25">
      <c r="A170" s="203">
        <v>171000</v>
      </c>
      <c r="B170">
        <v>961.15</v>
      </c>
    </row>
    <row r="171" spans="1:2" hidden="1" x14ac:dyDescent="0.25">
      <c r="A171" s="203">
        <v>172000</v>
      </c>
      <c r="B171">
        <v>965.7</v>
      </c>
    </row>
    <row r="172" spans="1:2" hidden="1" x14ac:dyDescent="0.25">
      <c r="A172" s="203">
        <v>173000</v>
      </c>
      <c r="B172">
        <v>970.3</v>
      </c>
    </row>
    <row r="173" spans="1:2" hidden="1" x14ac:dyDescent="0.25">
      <c r="A173" s="203">
        <v>174000</v>
      </c>
      <c r="B173">
        <v>974.85</v>
      </c>
    </row>
    <row r="174" spans="1:2" hidden="1" x14ac:dyDescent="0.25">
      <c r="A174" s="203">
        <v>175000</v>
      </c>
      <c r="B174">
        <v>979.45</v>
      </c>
    </row>
    <row r="175" spans="1:2" hidden="1" x14ac:dyDescent="0.25">
      <c r="A175" s="203">
        <v>176000</v>
      </c>
      <c r="B175">
        <v>984.05</v>
      </c>
    </row>
    <row r="176" spans="1:2" hidden="1" x14ac:dyDescent="0.25">
      <c r="A176" s="203">
        <v>177000</v>
      </c>
      <c r="B176">
        <v>988.65</v>
      </c>
    </row>
    <row r="177" spans="1:2" hidden="1" x14ac:dyDescent="0.25">
      <c r="A177" s="203">
        <v>178000</v>
      </c>
      <c r="B177">
        <v>993.2</v>
      </c>
    </row>
    <row r="178" spans="1:2" hidden="1" x14ac:dyDescent="0.25">
      <c r="A178" s="203">
        <v>179000</v>
      </c>
      <c r="B178">
        <v>997.85</v>
      </c>
    </row>
    <row r="179" spans="1:2" hidden="1" x14ac:dyDescent="0.25">
      <c r="A179" s="203">
        <v>180000</v>
      </c>
      <c r="B179" s="202">
        <v>1002.4</v>
      </c>
    </row>
    <row r="180" spans="1:2" hidden="1" x14ac:dyDescent="0.25">
      <c r="A180" s="203">
        <v>181000</v>
      </c>
      <c r="B180" s="202">
        <v>1007.05</v>
      </c>
    </row>
    <row r="181" spans="1:2" hidden="1" x14ac:dyDescent="0.25">
      <c r="A181" s="203">
        <v>182000</v>
      </c>
      <c r="B181" s="202">
        <v>1011.6</v>
      </c>
    </row>
    <row r="182" spans="1:2" hidden="1" x14ac:dyDescent="0.25">
      <c r="A182" s="203">
        <v>183000</v>
      </c>
      <c r="B182" s="202">
        <v>1016.15</v>
      </c>
    </row>
    <row r="183" spans="1:2" hidden="1" x14ac:dyDescent="0.25">
      <c r="A183" s="203">
        <v>184000</v>
      </c>
      <c r="B183" s="202">
        <v>1020.75</v>
      </c>
    </row>
    <row r="184" spans="1:2" hidden="1" x14ac:dyDescent="0.25">
      <c r="A184" s="203">
        <v>185000</v>
      </c>
      <c r="B184" s="202">
        <v>1025.3499999999999</v>
      </c>
    </row>
    <row r="185" spans="1:2" hidden="1" x14ac:dyDescent="0.25">
      <c r="A185" s="203">
        <v>186000</v>
      </c>
      <c r="B185" s="202">
        <v>1029.95</v>
      </c>
    </row>
    <row r="186" spans="1:2" hidden="1" x14ac:dyDescent="0.25">
      <c r="A186" s="203">
        <v>187000</v>
      </c>
      <c r="B186" s="202">
        <v>1034.55</v>
      </c>
    </row>
    <row r="187" spans="1:2" hidden="1" x14ac:dyDescent="0.25">
      <c r="A187" s="203">
        <v>188000</v>
      </c>
      <c r="B187" s="202">
        <v>1039.0999999999999</v>
      </c>
    </row>
    <row r="188" spans="1:2" hidden="1" x14ac:dyDescent="0.25">
      <c r="A188" s="203">
        <v>189000</v>
      </c>
      <c r="B188" s="202">
        <v>1043.75</v>
      </c>
    </row>
    <row r="189" spans="1:2" hidden="1" x14ac:dyDescent="0.25">
      <c r="A189" s="203">
        <v>190000</v>
      </c>
      <c r="B189" s="202">
        <v>1048.3</v>
      </c>
    </row>
    <row r="190" spans="1:2" hidden="1" x14ac:dyDescent="0.25">
      <c r="A190" s="203">
        <v>191000</v>
      </c>
      <c r="B190" s="202">
        <v>1052.95</v>
      </c>
    </row>
    <row r="191" spans="1:2" hidden="1" x14ac:dyDescent="0.25">
      <c r="A191" s="203">
        <v>192000</v>
      </c>
      <c r="B191" s="202">
        <v>1057.45</v>
      </c>
    </row>
    <row r="192" spans="1:2" hidden="1" x14ac:dyDescent="0.25">
      <c r="A192" s="203">
        <v>193000</v>
      </c>
      <c r="B192" s="202">
        <v>1062.05</v>
      </c>
    </row>
    <row r="193" spans="1:2" hidden="1" x14ac:dyDescent="0.25">
      <c r="A193" s="203">
        <v>194000</v>
      </c>
      <c r="B193" s="202">
        <v>1066.6500000000001</v>
      </c>
    </row>
    <row r="194" spans="1:2" hidden="1" x14ac:dyDescent="0.25">
      <c r="A194" s="203">
        <v>195000</v>
      </c>
      <c r="B194" s="202">
        <v>1071.25</v>
      </c>
    </row>
    <row r="195" spans="1:2" hidden="1" x14ac:dyDescent="0.25">
      <c r="A195" s="203">
        <v>196000</v>
      </c>
      <c r="B195" s="202">
        <v>1075.8499999999999</v>
      </c>
    </row>
    <row r="196" spans="1:2" hidden="1" x14ac:dyDescent="0.25">
      <c r="A196" s="203">
        <v>197000</v>
      </c>
      <c r="B196" s="202">
        <v>1080.45</v>
      </c>
    </row>
    <row r="197" spans="1:2" hidden="1" x14ac:dyDescent="0.25">
      <c r="A197" s="203">
        <v>198000</v>
      </c>
      <c r="B197" s="202">
        <v>1085</v>
      </c>
    </row>
    <row r="198" spans="1:2" hidden="1" x14ac:dyDescent="0.25">
      <c r="A198" s="203">
        <v>199000</v>
      </c>
      <c r="B198" s="202">
        <v>1089.6500000000001</v>
      </c>
    </row>
    <row r="199" spans="1:2" hidden="1" x14ac:dyDescent="0.25">
      <c r="A199" s="203">
        <v>200000</v>
      </c>
      <c r="B199" s="202">
        <v>1094.1500000000001</v>
      </c>
    </row>
    <row r="200" spans="1:2" hidden="1" x14ac:dyDescent="0.25">
      <c r="A200" s="203">
        <v>201000</v>
      </c>
      <c r="B200" s="202">
        <v>1098.8</v>
      </c>
    </row>
    <row r="201" spans="1:2" hidden="1" x14ac:dyDescent="0.25">
      <c r="A201" s="203">
        <v>202000</v>
      </c>
      <c r="B201" s="202">
        <v>1103.3499999999999</v>
      </c>
    </row>
    <row r="202" spans="1:2" hidden="1" x14ac:dyDescent="0.25">
      <c r="A202" s="203">
        <v>203000</v>
      </c>
      <c r="B202" s="202">
        <v>1108</v>
      </c>
    </row>
    <row r="203" spans="1:2" hidden="1" x14ac:dyDescent="0.25">
      <c r="A203" s="203">
        <v>204000</v>
      </c>
      <c r="B203" s="202">
        <v>1112.55</v>
      </c>
    </row>
    <row r="204" spans="1:2" hidden="1" x14ac:dyDescent="0.25">
      <c r="A204" s="203">
        <v>205000</v>
      </c>
      <c r="B204" s="202">
        <v>1117.1500000000001</v>
      </c>
    </row>
    <row r="205" spans="1:2" hidden="1" x14ac:dyDescent="0.25">
      <c r="A205" s="203">
        <v>206000</v>
      </c>
      <c r="B205" s="202">
        <v>1121.75</v>
      </c>
    </row>
    <row r="206" spans="1:2" hidden="1" x14ac:dyDescent="0.25">
      <c r="A206" s="203">
        <v>207000</v>
      </c>
      <c r="B206" s="202">
        <v>1126.3499999999999</v>
      </c>
    </row>
    <row r="207" spans="1:2" hidden="1" x14ac:dyDescent="0.25">
      <c r="A207" s="203">
        <v>208000</v>
      </c>
      <c r="B207" s="202">
        <v>1130.95</v>
      </c>
    </row>
    <row r="208" spans="1:2" hidden="1" x14ac:dyDescent="0.25">
      <c r="A208" s="203">
        <v>209000</v>
      </c>
      <c r="B208" s="202">
        <v>1135.45</v>
      </c>
    </row>
    <row r="209" spans="1:2" hidden="1" x14ac:dyDescent="0.25">
      <c r="A209" s="203">
        <v>210000</v>
      </c>
      <c r="B209" s="202">
        <v>1140</v>
      </c>
    </row>
    <row r="210" spans="1:2" hidden="1" x14ac:dyDescent="0.25">
      <c r="A210" s="203">
        <v>211000</v>
      </c>
      <c r="B210" s="202">
        <v>1144.6500000000001</v>
      </c>
    </row>
    <row r="211" spans="1:2" hidden="1" x14ac:dyDescent="0.25">
      <c r="A211" s="203">
        <v>212000</v>
      </c>
      <c r="B211" s="202">
        <v>1149.2</v>
      </c>
    </row>
    <row r="212" spans="1:2" hidden="1" x14ac:dyDescent="0.25">
      <c r="A212" s="203">
        <v>213000</v>
      </c>
      <c r="B212" s="202">
        <v>1153.8499999999999</v>
      </c>
    </row>
    <row r="213" spans="1:2" hidden="1" x14ac:dyDescent="0.25">
      <c r="A213" s="203">
        <v>214000</v>
      </c>
      <c r="B213" s="202">
        <v>1158.4000000000001</v>
      </c>
    </row>
    <row r="214" spans="1:2" hidden="1" x14ac:dyDescent="0.25">
      <c r="A214" s="203">
        <v>215000</v>
      </c>
      <c r="B214" s="202">
        <v>1163</v>
      </c>
    </row>
    <row r="215" spans="1:2" hidden="1" x14ac:dyDescent="0.25">
      <c r="A215" s="203">
        <v>216000</v>
      </c>
      <c r="B215" s="202">
        <v>1167.5999999999999</v>
      </c>
    </row>
    <row r="216" spans="1:2" hidden="1" x14ac:dyDescent="0.25">
      <c r="A216" s="203">
        <v>217000</v>
      </c>
      <c r="B216" s="202">
        <v>1172.2</v>
      </c>
    </row>
    <row r="217" spans="1:2" hidden="1" x14ac:dyDescent="0.25">
      <c r="A217" s="203">
        <v>218000</v>
      </c>
      <c r="B217" s="202">
        <v>1176.7</v>
      </c>
    </row>
    <row r="218" spans="1:2" hidden="1" x14ac:dyDescent="0.25">
      <c r="A218" s="203">
        <v>219000</v>
      </c>
      <c r="B218" s="202">
        <v>1181.3499999999999</v>
      </c>
    </row>
    <row r="219" spans="1:2" hidden="1" x14ac:dyDescent="0.25">
      <c r="A219" s="203">
        <v>220000</v>
      </c>
      <c r="B219" s="202">
        <v>1185.9000000000001</v>
      </c>
    </row>
    <row r="220" spans="1:2" hidden="1" x14ac:dyDescent="0.25">
      <c r="A220" s="203">
        <v>221000</v>
      </c>
      <c r="B220" s="202">
        <v>1190.55</v>
      </c>
    </row>
    <row r="221" spans="1:2" hidden="1" x14ac:dyDescent="0.25">
      <c r="A221" s="203">
        <v>222000</v>
      </c>
      <c r="B221" s="202">
        <v>1195.0999999999999</v>
      </c>
    </row>
    <row r="222" spans="1:2" hidden="1" x14ac:dyDescent="0.25">
      <c r="A222" s="203">
        <v>223000</v>
      </c>
      <c r="B222" s="202">
        <v>1199.75</v>
      </c>
    </row>
    <row r="223" spans="1:2" hidden="1" x14ac:dyDescent="0.25">
      <c r="A223" s="203">
        <v>224000</v>
      </c>
      <c r="B223" s="202">
        <v>1204.3</v>
      </c>
    </row>
    <row r="224" spans="1:2" hidden="1" x14ac:dyDescent="0.25">
      <c r="A224" s="203">
        <v>225000</v>
      </c>
      <c r="B224" s="202">
        <v>1208.9000000000001</v>
      </c>
    </row>
    <row r="225" spans="1:2" hidden="1" x14ac:dyDescent="0.25">
      <c r="A225" s="203">
        <v>226000</v>
      </c>
      <c r="B225" s="202">
        <v>1213.5</v>
      </c>
    </row>
    <row r="226" spans="1:2" hidden="1" x14ac:dyDescent="0.25">
      <c r="A226" s="203">
        <v>227000</v>
      </c>
      <c r="B226" s="202">
        <v>1218.05</v>
      </c>
    </row>
    <row r="227" spans="1:2" hidden="1" x14ac:dyDescent="0.25">
      <c r="A227" s="203">
        <v>228000</v>
      </c>
      <c r="B227" s="202">
        <v>1222.6500000000001</v>
      </c>
    </row>
    <row r="228" spans="1:2" hidden="1" x14ac:dyDescent="0.25">
      <c r="A228" s="203">
        <v>229000</v>
      </c>
      <c r="B228" s="202">
        <v>1227.25</v>
      </c>
    </row>
    <row r="229" spans="1:2" hidden="1" x14ac:dyDescent="0.25">
      <c r="A229" s="203">
        <v>230000</v>
      </c>
      <c r="B229" s="202">
        <v>1231.8</v>
      </c>
    </row>
    <row r="230" spans="1:2" hidden="1" x14ac:dyDescent="0.25">
      <c r="A230" s="203">
        <v>231000</v>
      </c>
      <c r="B230" s="202">
        <v>1236.45</v>
      </c>
    </row>
    <row r="231" spans="1:2" hidden="1" x14ac:dyDescent="0.25">
      <c r="A231" s="203">
        <v>232000</v>
      </c>
      <c r="B231" s="202">
        <v>1241</v>
      </c>
    </row>
    <row r="232" spans="1:2" hidden="1" x14ac:dyDescent="0.25">
      <c r="A232" s="203">
        <v>233000</v>
      </c>
      <c r="B232" s="202">
        <v>1245.6500000000001</v>
      </c>
    </row>
    <row r="233" spans="1:2" hidden="1" x14ac:dyDescent="0.25">
      <c r="A233" s="203">
        <v>234000</v>
      </c>
      <c r="B233" s="202">
        <v>1250.2</v>
      </c>
    </row>
    <row r="234" spans="1:2" hidden="1" x14ac:dyDescent="0.25">
      <c r="A234" s="203">
        <v>235000</v>
      </c>
      <c r="B234" s="202">
        <v>1254.8</v>
      </c>
    </row>
    <row r="235" spans="1:2" hidden="1" x14ac:dyDescent="0.25">
      <c r="A235" s="203">
        <v>236000</v>
      </c>
      <c r="B235" s="202">
        <v>1259.3499999999999</v>
      </c>
    </row>
    <row r="236" spans="1:2" hidden="1" x14ac:dyDescent="0.25">
      <c r="A236" s="203">
        <v>237000</v>
      </c>
      <c r="B236" s="202">
        <v>1263.95</v>
      </c>
    </row>
    <row r="237" spans="1:2" hidden="1" x14ac:dyDescent="0.25">
      <c r="A237" s="203">
        <v>238000</v>
      </c>
      <c r="B237" s="202">
        <v>1268.55</v>
      </c>
    </row>
    <row r="238" spans="1:2" hidden="1" x14ac:dyDescent="0.25">
      <c r="A238" s="203">
        <v>239000</v>
      </c>
      <c r="B238" s="202">
        <v>1273.1500000000001</v>
      </c>
    </row>
    <row r="239" spans="1:2" hidden="1" x14ac:dyDescent="0.25">
      <c r="A239" s="203">
        <v>240000</v>
      </c>
      <c r="B239" s="202">
        <v>1277.7</v>
      </c>
    </row>
    <row r="240" spans="1:2" hidden="1" x14ac:dyDescent="0.25">
      <c r="A240" s="203">
        <v>241000</v>
      </c>
      <c r="B240" s="202">
        <v>1282.3499999999999</v>
      </c>
    </row>
    <row r="241" spans="1:2" hidden="1" x14ac:dyDescent="0.25">
      <c r="A241" s="203">
        <v>242000</v>
      </c>
      <c r="B241" s="202">
        <v>1286.9000000000001</v>
      </c>
    </row>
    <row r="242" spans="1:2" hidden="1" x14ac:dyDescent="0.25">
      <c r="A242" s="203">
        <v>243000</v>
      </c>
      <c r="B242" s="202">
        <v>1291.55</v>
      </c>
    </row>
    <row r="243" spans="1:2" hidden="1" x14ac:dyDescent="0.25">
      <c r="A243" s="203">
        <v>244000</v>
      </c>
      <c r="B243" s="202">
        <v>1296.0999999999999</v>
      </c>
    </row>
    <row r="244" spans="1:2" hidden="1" x14ac:dyDescent="0.25">
      <c r="A244" s="203">
        <v>245000</v>
      </c>
      <c r="B244" s="202">
        <v>1300.6500000000001</v>
      </c>
    </row>
    <row r="245" spans="1:2" hidden="1" x14ac:dyDescent="0.25">
      <c r="A245" s="203">
        <v>246000</v>
      </c>
      <c r="B245" s="202">
        <v>1305.25</v>
      </c>
    </row>
    <row r="246" spans="1:2" hidden="1" x14ac:dyDescent="0.25">
      <c r="A246" s="203">
        <v>247000</v>
      </c>
      <c r="B246" s="202">
        <v>1309.8499999999999</v>
      </c>
    </row>
    <row r="247" spans="1:2" hidden="1" x14ac:dyDescent="0.25">
      <c r="A247" s="203">
        <v>248000</v>
      </c>
      <c r="B247" s="202">
        <v>1314.45</v>
      </c>
    </row>
    <row r="248" spans="1:2" hidden="1" x14ac:dyDescent="0.25">
      <c r="A248" s="203">
        <v>249000</v>
      </c>
      <c r="B248" s="202">
        <v>1319.05</v>
      </c>
    </row>
    <row r="249" spans="1:2" hidden="1" x14ac:dyDescent="0.25">
      <c r="A249" s="203">
        <v>250000</v>
      </c>
      <c r="B249" s="202">
        <v>1323.6</v>
      </c>
    </row>
    <row r="250" spans="1:2" hidden="1" x14ac:dyDescent="0.25">
      <c r="A250" s="203">
        <v>251000</v>
      </c>
      <c r="B250" s="202">
        <v>1338.65</v>
      </c>
    </row>
    <row r="251" spans="1:2" hidden="1" x14ac:dyDescent="0.25">
      <c r="A251" s="203">
        <v>252000</v>
      </c>
      <c r="B251" s="202">
        <v>1353.65</v>
      </c>
    </row>
    <row r="252" spans="1:2" hidden="1" x14ac:dyDescent="0.25">
      <c r="A252" s="203">
        <v>253000</v>
      </c>
      <c r="B252" s="202">
        <v>1368.6</v>
      </c>
    </row>
    <row r="253" spans="1:2" hidden="1" x14ac:dyDescent="0.25">
      <c r="A253" s="203">
        <v>254000</v>
      </c>
      <c r="B253" s="202">
        <v>1383.6</v>
      </c>
    </row>
    <row r="254" spans="1:2" hidden="1" x14ac:dyDescent="0.25">
      <c r="A254" s="203">
        <v>255000</v>
      </c>
      <c r="B254" s="202">
        <v>1398.6</v>
      </c>
    </row>
    <row r="255" spans="1:2" hidden="1" x14ac:dyDescent="0.25">
      <c r="A255" s="203">
        <v>256000</v>
      </c>
      <c r="B255" s="202">
        <v>1413.55</v>
      </c>
    </row>
    <row r="256" spans="1:2" hidden="1" x14ac:dyDescent="0.25">
      <c r="A256" s="203">
        <v>257000</v>
      </c>
      <c r="B256" s="202">
        <v>1428.55</v>
      </c>
    </row>
    <row r="257" spans="1:2" hidden="1" x14ac:dyDescent="0.25">
      <c r="A257" s="203">
        <v>258000</v>
      </c>
      <c r="B257" s="202">
        <v>1443.5</v>
      </c>
    </row>
    <row r="258" spans="1:2" hidden="1" x14ac:dyDescent="0.25">
      <c r="A258" s="203">
        <v>259000</v>
      </c>
      <c r="B258" s="202">
        <v>1458.55</v>
      </c>
    </row>
    <row r="259" spans="1:2" hidden="1" x14ac:dyDescent="0.25">
      <c r="A259" s="203">
        <v>260000</v>
      </c>
      <c r="B259" s="202">
        <v>1473.55</v>
      </c>
    </row>
    <row r="260" spans="1:2" hidden="1" x14ac:dyDescent="0.25">
      <c r="A260" s="203">
        <v>261000</v>
      </c>
      <c r="B260" s="202">
        <v>1488.55</v>
      </c>
    </row>
    <row r="261" spans="1:2" hidden="1" x14ac:dyDescent="0.25">
      <c r="A261" s="203">
        <v>262000</v>
      </c>
      <c r="B261" s="202">
        <v>1503.5</v>
      </c>
    </row>
    <row r="262" spans="1:2" hidden="1" x14ac:dyDescent="0.25">
      <c r="A262" s="203">
        <v>263000</v>
      </c>
      <c r="B262" s="202">
        <v>1518.5</v>
      </c>
    </row>
    <row r="263" spans="1:2" hidden="1" x14ac:dyDescent="0.25">
      <c r="A263" s="203">
        <v>264000</v>
      </c>
      <c r="B263" s="202">
        <v>1533.5</v>
      </c>
    </row>
    <row r="264" spans="1:2" hidden="1" x14ac:dyDescent="0.25">
      <c r="A264" s="203">
        <v>265000</v>
      </c>
      <c r="B264" s="202">
        <v>1548.45</v>
      </c>
    </row>
    <row r="265" spans="1:2" hidden="1" x14ac:dyDescent="0.25">
      <c r="A265" s="203">
        <v>266000</v>
      </c>
      <c r="B265" s="202">
        <v>1563.45</v>
      </c>
    </row>
    <row r="266" spans="1:2" hidden="1" x14ac:dyDescent="0.25">
      <c r="A266" s="203">
        <v>267000</v>
      </c>
      <c r="B266" s="202">
        <v>1578.45</v>
      </c>
    </row>
    <row r="267" spans="1:2" hidden="1" x14ac:dyDescent="0.25">
      <c r="A267" s="203">
        <v>268000</v>
      </c>
      <c r="B267" s="202">
        <v>1593.45</v>
      </c>
    </row>
    <row r="268" spans="1:2" hidden="1" x14ac:dyDescent="0.25">
      <c r="A268" s="203">
        <v>269000</v>
      </c>
      <c r="B268" s="202">
        <v>1608.5</v>
      </c>
    </row>
    <row r="269" spans="1:2" hidden="1" x14ac:dyDescent="0.25">
      <c r="A269" s="203">
        <v>270000</v>
      </c>
      <c r="B269" s="202">
        <v>1623.45</v>
      </c>
    </row>
    <row r="270" spans="1:2" hidden="1" x14ac:dyDescent="0.25">
      <c r="A270" s="203">
        <v>271000</v>
      </c>
      <c r="B270" s="202">
        <v>1638.45</v>
      </c>
    </row>
    <row r="271" spans="1:2" hidden="1" x14ac:dyDescent="0.25">
      <c r="A271" s="203">
        <v>272000</v>
      </c>
      <c r="B271" s="202">
        <v>1653.4</v>
      </c>
    </row>
    <row r="272" spans="1:2" hidden="1" x14ac:dyDescent="0.25">
      <c r="A272" s="203">
        <v>273000</v>
      </c>
      <c r="B272" s="202">
        <v>1668.45</v>
      </c>
    </row>
    <row r="273" spans="1:2" hidden="1" x14ac:dyDescent="0.25">
      <c r="A273" s="203">
        <v>274000</v>
      </c>
      <c r="B273" s="202">
        <v>1683.35</v>
      </c>
    </row>
    <row r="274" spans="1:2" hidden="1" x14ac:dyDescent="0.25">
      <c r="A274" s="203">
        <v>275000</v>
      </c>
      <c r="B274" s="202">
        <v>1698.4</v>
      </c>
    </row>
    <row r="275" spans="1:2" hidden="1" x14ac:dyDescent="0.25">
      <c r="A275" s="203">
        <v>276000</v>
      </c>
      <c r="B275" s="202">
        <v>1713.35</v>
      </c>
    </row>
    <row r="276" spans="1:2" hidden="1" x14ac:dyDescent="0.25">
      <c r="A276" s="203">
        <v>277000</v>
      </c>
      <c r="B276" s="202">
        <v>1728.45</v>
      </c>
    </row>
    <row r="277" spans="1:2" hidden="1" x14ac:dyDescent="0.25">
      <c r="A277" s="203">
        <v>278000</v>
      </c>
      <c r="B277" s="202">
        <v>1743.35</v>
      </c>
    </row>
    <row r="278" spans="1:2" hidden="1" x14ac:dyDescent="0.25">
      <c r="A278" s="203">
        <v>279000</v>
      </c>
      <c r="B278" s="202">
        <v>1758.35</v>
      </c>
    </row>
    <row r="279" spans="1:2" hidden="1" x14ac:dyDescent="0.25">
      <c r="A279" s="203">
        <v>280000</v>
      </c>
      <c r="B279" s="202">
        <v>1773.35</v>
      </c>
    </row>
    <row r="280" spans="1:2" hidden="1" x14ac:dyDescent="0.25">
      <c r="A280" s="203">
        <v>281000</v>
      </c>
      <c r="B280" s="202">
        <v>1788.35</v>
      </c>
    </row>
    <row r="281" spans="1:2" hidden="1" x14ac:dyDescent="0.25">
      <c r="A281" s="203">
        <v>282000</v>
      </c>
      <c r="B281" s="202">
        <v>1803.3</v>
      </c>
    </row>
    <row r="282" spans="1:2" hidden="1" x14ac:dyDescent="0.25">
      <c r="A282" s="203">
        <v>283000</v>
      </c>
      <c r="B282" s="202">
        <v>1818.3</v>
      </c>
    </row>
    <row r="283" spans="1:2" hidden="1" x14ac:dyDescent="0.25">
      <c r="A283" s="203">
        <v>284000</v>
      </c>
      <c r="B283" s="202">
        <v>1833.3</v>
      </c>
    </row>
    <row r="284" spans="1:2" hidden="1" x14ac:dyDescent="0.25">
      <c r="A284" s="203">
        <v>285000</v>
      </c>
      <c r="B284" s="202">
        <v>1848.3</v>
      </c>
    </row>
    <row r="285" spans="1:2" hidden="1" x14ac:dyDescent="0.25">
      <c r="A285" s="203">
        <v>286000</v>
      </c>
      <c r="B285" s="202">
        <v>1863.2</v>
      </c>
    </row>
    <row r="286" spans="1:2" hidden="1" x14ac:dyDescent="0.25">
      <c r="A286" s="203">
        <v>287000</v>
      </c>
      <c r="B286" s="202">
        <v>1878.3</v>
      </c>
    </row>
    <row r="287" spans="1:2" hidden="1" x14ac:dyDescent="0.25">
      <c r="A287" s="203">
        <v>288000</v>
      </c>
      <c r="B287" s="202">
        <v>1893.25</v>
      </c>
    </row>
    <row r="288" spans="1:2" hidden="1" x14ac:dyDescent="0.25">
      <c r="A288" s="203">
        <v>289000</v>
      </c>
      <c r="B288" s="202">
        <v>1908.3</v>
      </c>
    </row>
    <row r="289" spans="1:2" hidden="1" x14ac:dyDescent="0.25">
      <c r="A289" s="203">
        <v>290000</v>
      </c>
      <c r="B289" s="202">
        <v>1923.25</v>
      </c>
    </row>
    <row r="290" spans="1:2" hidden="1" x14ac:dyDescent="0.25">
      <c r="A290" s="203">
        <v>291000</v>
      </c>
      <c r="B290" s="202">
        <v>1938.25</v>
      </c>
    </row>
    <row r="291" spans="1:2" hidden="1" x14ac:dyDescent="0.25">
      <c r="A291" s="203">
        <v>292000</v>
      </c>
      <c r="B291" s="202">
        <v>1953.2</v>
      </c>
    </row>
    <row r="292" spans="1:2" hidden="1" x14ac:dyDescent="0.25">
      <c r="A292" s="203">
        <v>293000</v>
      </c>
      <c r="B292" s="202">
        <v>1968.2</v>
      </c>
    </row>
    <row r="293" spans="1:2" hidden="1" x14ac:dyDescent="0.25">
      <c r="A293" s="203">
        <v>294000</v>
      </c>
      <c r="B293" s="202">
        <v>1983.2</v>
      </c>
    </row>
    <row r="294" spans="1:2" hidden="1" x14ac:dyDescent="0.25">
      <c r="A294" s="203">
        <v>295000</v>
      </c>
      <c r="B294" s="202">
        <v>1998.2</v>
      </c>
    </row>
    <row r="295" spans="1:2" hidden="1" x14ac:dyDescent="0.25">
      <c r="A295" s="203">
        <v>296000</v>
      </c>
      <c r="B295" s="202">
        <v>2013.2</v>
      </c>
    </row>
    <row r="296" spans="1:2" hidden="1" x14ac:dyDescent="0.25">
      <c r="A296" s="203">
        <v>297000</v>
      </c>
      <c r="B296" s="202">
        <v>2028.2</v>
      </c>
    </row>
    <row r="297" spans="1:2" hidden="1" x14ac:dyDescent="0.25">
      <c r="A297" s="203">
        <v>297000</v>
      </c>
      <c r="B297" s="202">
        <v>2028.21</v>
      </c>
    </row>
    <row r="298" spans="1:2" hidden="1" x14ac:dyDescent="0.25">
      <c r="A298" s="203">
        <v>297000</v>
      </c>
      <c r="B298" s="202">
        <v>2028.22</v>
      </c>
    </row>
    <row r="299" spans="1:2" hidden="1" x14ac:dyDescent="0.25">
      <c r="A299" s="203">
        <v>300000</v>
      </c>
      <c r="B299" s="202">
        <v>2073.1</v>
      </c>
    </row>
    <row r="300" spans="1:2" hidden="1" x14ac:dyDescent="0.25">
      <c r="A300" s="203">
        <v>301000</v>
      </c>
      <c r="B300" s="202">
        <v>2088.15</v>
      </c>
    </row>
    <row r="301" spans="1:2" hidden="1" x14ac:dyDescent="0.25">
      <c r="A301" s="203">
        <v>302000</v>
      </c>
      <c r="B301" s="202">
        <v>2103.1</v>
      </c>
    </row>
    <row r="302" spans="1:2" hidden="1" x14ac:dyDescent="0.25">
      <c r="A302" s="203">
        <v>303000</v>
      </c>
      <c r="B302" s="202">
        <v>2118.1</v>
      </c>
    </row>
    <row r="303" spans="1:2" hidden="1" x14ac:dyDescent="0.25">
      <c r="A303" s="203">
        <v>304000</v>
      </c>
      <c r="B303" s="202">
        <v>2133.1</v>
      </c>
    </row>
    <row r="304" spans="1:2" hidden="1" x14ac:dyDescent="0.25">
      <c r="A304" s="203">
        <v>305000</v>
      </c>
      <c r="B304" s="202">
        <v>2148.15</v>
      </c>
    </row>
    <row r="305" spans="1:2" hidden="1" x14ac:dyDescent="0.25">
      <c r="A305" s="203">
        <v>306000</v>
      </c>
      <c r="B305" s="202">
        <v>2163.1</v>
      </c>
    </row>
    <row r="306" spans="1:2" hidden="1" x14ac:dyDescent="0.25">
      <c r="A306" s="203">
        <v>307000</v>
      </c>
      <c r="B306" s="202">
        <v>2178.15</v>
      </c>
    </row>
    <row r="307" spans="1:2" hidden="1" x14ac:dyDescent="0.25">
      <c r="A307" s="203">
        <v>308000</v>
      </c>
      <c r="B307" s="202">
        <v>2193.0500000000002</v>
      </c>
    </row>
    <row r="308" spans="1:2" hidden="1" x14ac:dyDescent="0.25">
      <c r="A308" s="203">
        <v>309000</v>
      </c>
      <c r="B308" s="202">
        <v>2208.0500000000002</v>
      </c>
    </row>
    <row r="309" spans="1:2" hidden="1" x14ac:dyDescent="0.25">
      <c r="A309" s="203">
        <v>310000</v>
      </c>
      <c r="B309" s="202">
        <v>2223.0500000000002</v>
      </c>
    </row>
    <row r="310" spans="1:2" hidden="1" x14ac:dyDescent="0.25">
      <c r="A310" s="203">
        <v>311000</v>
      </c>
      <c r="B310" s="202">
        <v>2238.0500000000002</v>
      </c>
    </row>
    <row r="311" spans="1:2" hidden="1" x14ac:dyDescent="0.25">
      <c r="A311" s="203">
        <v>312000</v>
      </c>
      <c r="B311" s="202">
        <v>2253.0500000000002</v>
      </c>
    </row>
    <row r="312" spans="1:2" hidden="1" x14ac:dyDescent="0.25">
      <c r="A312" s="203">
        <v>313000</v>
      </c>
      <c r="B312" s="202">
        <v>2268.0500000000002</v>
      </c>
    </row>
    <row r="313" spans="1:2" hidden="1" x14ac:dyDescent="0.25">
      <c r="A313" s="203">
        <v>314000</v>
      </c>
      <c r="B313" s="202">
        <v>2283.0500000000002</v>
      </c>
    </row>
    <row r="314" spans="1:2" hidden="1" x14ac:dyDescent="0.25">
      <c r="A314" s="203">
        <v>315000</v>
      </c>
      <c r="B314" s="202">
        <v>2298.0500000000002</v>
      </c>
    </row>
    <row r="315" spans="1:2" hidden="1" x14ac:dyDescent="0.25">
      <c r="A315" s="203">
        <v>316000</v>
      </c>
      <c r="B315" s="202">
        <v>2312.9499999999998</v>
      </c>
    </row>
    <row r="316" spans="1:2" hidden="1" x14ac:dyDescent="0.25">
      <c r="A316" s="203">
        <v>317000</v>
      </c>
      <c r="B316" s="202">
        <v>2328</v>
      </c>
    </row>
    <row r="317" spans="1:2" hidden="1" x14ac:dyDescent="0.25">
      <c r="A317" s="203">
        <v>318000</v>
      </c>
      <c r="B317" s="202">
        <v>2342.9499999999998</v>
      </c>
    </row>
    <row r="318" spans="1:2" hidden="1" x14ac:dyDescent="0.25">
      <c r="A318" s="203">
        <v>319000</v>
      </c>
      <c r="B318" s="202">
        <v>2358</v>
      </c>
    </row>
    <row r="319" spans="1:2" hidden="1" x14ac:dyDescent="0.25">
      <c r="A319" s="203">
        <v>320000</v>
      </c>
      <c r="B319" s="202">
        <v>2372.9</v>
      </c>
    </row>
    <row r="320" spans="1:2" hidden="1" x14ac:dyDescent="0.25">
      <c r="A320" s="203">
        <v>321000</v>
      </c>
      <c r="B320" s="202">
        <v>2388</v>
      </c>
    </row>
    <row r="321" spans="1:2" hidden="1" x14ac:dyDescent="0.25">
      <c r="A321" s="203">
        <v>322000</v>
      </c>
      <c r="B321" s="202">
        <v>2402.9499999999998</v>
      </c>
    </row>
    <row r="322" spans="1:2" hidden="1" x14ac:dyDescent="0.25">
      <c r="A322" s="203">
        <v>323000</v>
      </c>
      <c r="B322" s="202">
        <v>2417.9499999999998</v>
      </c>
    </row>
    <row r="323" spans="1:2" hidden="1" x14ac:dyDescent="0.25">
      <c r="A323" s="203">
        <v>324000</v>
      </c>
      <c r="B323" s="202">
        <v>2432.9</v>
      </c>
    </row>
    <row r="324" spans="1:2" hidden="1" x14ac:dyDescent="0.25">
      <c r="A324" s="203">
        <v>325000</v>
      </c>
      <c r="B324" s="202">
        <v>2447.9</v>
      </c>
    </row>
    <row r="325" spans="1:2" hidden="1" x14ac:dyDescent="0.25">
      <c r="A325" s="203">
        <v>326000</v>
      </c>
      <c r="B325" s="202">
        <v>2462.9</v>
      </c>
    </row>
    <row r="326" spans="1:2" hidden="1" x14ac:dyDescent="0.25">
      <c r="A326" s="203">
        <v>327000</v>
      </c>
      <c r="B326" s="202">
        <v>2477.9</v>
      </c>
    </row>
    <row r="327" spans="1:2" hidden="1" x14ac:dyDescent="0.25">
      <c r="A327" s="203">
        <v>328000</v>
      </c>
      <c r="B327" s="202">
        <v>2492.9</v>
      </c>
    </row>
    <row r="328" spans="1:2" hidden="1" x14ac:dyDescent="0.25">
      <c r="A328" s="203">
        <v>329000</v>
      </c>
      <c r="B328" s="202">
        <v>2507.85</v>
      </c>
    </row>
    <row r="329" spans="1:2" hidden="1" x14ac:dyDescent="0.25">
      <c r="A329" s="203">
        <v>330000</v>
      </c>
      <c r="B329" s="202">
        <v>2522.85</v>
      </c>
    </row>
    <row r="330" spans="1:2" hidden="1" x14ac:dyDescent="0.25">
      <c r="A330" s="203">
        <v>331000</v>
      </c>
      <c r="B330" s="202">
        <v>2537.9</v>
      </c>
    </row>
    <row r="331" spans="1:2" hidden="1" x14ac:dyDescent="0.25">
      <c r="A331" s="203">
        <v>332000</v>
      </c>
      <c r="B331" s="202">
        <v>2552.85</v>
      </c>
    </row>
    <row r="332" spans="1:2" hidden="1" x14ac:dyDescent="0.25">
      <c r="A332" s="203">
        <v>333000</v>
      </c>
      <c r="B332" s="202">
        <v>2567.85</v>
      </c>
    </row>
    <row r="333" spans="1:2" hidden="1" x14ac:dyDescent="0.25">
      <c r="A333" s="203">
        <v>334000</v>
      </c>
      <c r="B333" s="202">
        <v>2582.8000000000002</v>
      </c>
    </row>
    <row r="334" spans="1:2" hidden="1" x14ac:dyDescent="0.25">
      <c r="A334" s="203">
        <v>335000</v>
      </c>
      <c r="B334" s="202">
        <v>2597.85</v>
      </c>
    </row>
    <row r="335" spans="1:2" hidden="1" x14ac:dyDescent="0.25">
      <c r="A335" s="203">
        <v>336000</v>
      </c>
      <c r="B335" s="202">
        <v>2612.8000000000002</v>
      </c>
    </row>
    <row r="336" spans="1:2" hidden="1" x14ac:dyDescent="0.25">
      <c r="A336" s="203">
        <v>337000</v>
      </c>
      <c r="B336" s="202">
        <v>2627.8</v>
      </c>
    </row>
    <row r="337" spans="1:2" hidden="1" x14ac:dyDescent="0.25">
      <c r="A337" s="203">
        <v>338000</v>
      </c>
      <c r="B337" s="202">
        <v>2642.75</v>
      </c>
    </row>
    <row r="338" spans="1:2" hidden="1" x14ac:dyDescent="0.25">
      <c r="A338" s="203">
        <v>339000</v>
      </c>
      <c r="B338" s="202">
        <v>2657.8</v>
      </c>
    </row>
    <row r="339" spans="1:2" hidden="1" x14ac:dyDescent="0.25">
      <c r="A339" s="203">
        <v>340000</v>
      </c>
      <c r="B339" s="202">
        <v>2672.8</v>
      </c>
    </row>
    <row r="340" spans="1:2" hidden="1" x14ac:dyDescent="0.25">
      <c r="A340" s="203">
        <v>341000</v>
      </c>
      <c r="B340" s="202">
        <v>2687.75</v>
      </c>
    </row>
    <row r="341" spans="1:2" hidden="1" x14ac:dyDescent="0.25">
      <c r="A341" s="203">
        <v>342000</v>
      </c>
      <c r="B341" s="202">
        <v>2702.75</v>
      </c>
    </row>
    <row r="342" spans="1:2" hidden="1" x14ac:dyDescent="0.25">
      <c r="A342" s="203">
        <v>343000</v>
      </c>
      <c r="B342" s="202">
        <v>2717.75</v>
      </c>
    </row>
    <row r="343" spans="1:2" hidden="1" x14ac:dyDescent="0.25">
      <c r="A343" s="203">
        <v>344000</v>
      </c>
      <c r="B343" s="202">
        <v>2732.75</v>
      </c>
    </row>
    <row r="344" spans="1:2" hidden="1" x14ac:dyDescent="0.25">
      <c r="A344" s="203">
        <v>345000</v>
      </c>
      <c r="B344" s="202">
        <v>2747.7</v>
      </c>
    </row>
    <row r="345" spans="1:2" hidden="1" x14ac:dyDescent="0.25">
      <c r="A345" s="203">
        <v>346000</v>
      </c>
      <c r="B345" s="202">
        <v>2762.65</v>
      </c>
    </row>
    <row r="346" spans="1:2" hidden="1" x14ac:dyDescent="0.25">
      <c r="A346" s="203">
        <v>347000</v>
      </c>
      <c r="B346" s="202">
        <v>2777.75</v>
      </c>
    </row>
    <row r="347" spans="1:2" hidden="1" x14ac:dyDescent="0.25">
      <c r="A347" s="203">
        <v>348000</v>
      </c>
      <c r="B347" s="202">
        <v>2792.7</v>
      </c>
    </row>
    <row r="348" spans="1:2" hidden="1" x14ac:dyDescent="0.25">
      <c r="A348" s="203">
        <v>349000</v>
      </c>
      <c r="B348" s="202">
        <v>2807.75</v>
      </c>
    </row>
    <row r="349" spans="1:2" hidden="1" x14ac:dyDescent="0.25">
      <c r="A349" s="203">
        <v>350000</v>
      </c>
      <c r="B349" s="202">
        <v>2822.65</v>
      </c>
    </row>
    <row r="350" spans="1:2" hidden="1" x14ac:dyDescent="0.25">
      <c r="A350" s="203">
        <v>351000</v>
      </c>
      <c r="B350" s="202">
        <v>2837.7</v>
      </c>
    </row>
    <row r="351" spans="1:2" hidden="1" x14ac:dyDescent="0.25">
      <c r="A351" s="203">
        <v>352000</v>
      </c>
      <c r="B351" s="202">
        <v>2852.65</v>
      </c>
    </row>
    <row r="352" spans="1:2" hidden="1" x14ac:dyDescent="0.25">
      <c r="A352" s="203">
        <v>353000</v>
      </c>
      <c r="B352" s="202">
        <v>2867.65</v>
      </c>
    </row>
    <row r="353" spans="1:2" hidden="1" x14ac:dyDescent="0.25">
      <c r="A353" s="203">
        <v>354000</v>
      </c>
      <c r="B353" s="202">
        <v>2882.6</v>
      </c>
    </row>
    <row r="354" spans="1:2" hidden="1" x14ac:dyDescent="0.25">
      <c r="A354" s="203">
        <v>355000</v>
      </c>
      <c r="B354" s="202">
        <v>2897.6</v>
      </c>
    </row>
    <row r="355" spans="1:2" hidden="1" x14ac:dyDescent="0.25">
      <c r="A355" s="203">
        <v>356000</v>
      </c>
      <c r="B355" s="202">
        <v>2912.65</v>
      </c>
    </row>
    <row r="356" spans="1:2" hidden="1" x14ac:dyDescent="0.25">
      <c r="A356" s="203">
        <v>357000</v>
      </c>
      <c r="B356" s="202">
        <v>2927.65</v>
      </c>
    </row>
    <row r="357" spans="1:2" hidden="1" x14ac:dyDescent="0.25">
      <c r="A357" s="203">
        <v>358000</v>
      </c>
      <c r="B357" s="202">
        <v>2942.6</v>
      </c>
    </row>
    <row r="358" spans="1:2" hidden="1" x14ac:dyDescent="0.25">
      <c r="A358" s="203">
        <v>359000</v>
      </c>
      <c r="B358" s="202">
        <v>2957.6</v>
      </c>
    </row>
    <row r="359" spans="1:2" hidden="1" x14ac:dyDescent="0.25">
      <c r="A359" s="203">
        <v>360000</v>
      </c>
      <c r="B359" s="202">
        <v>2972.55</v>
      </c>
    </row>
    <row r="360" spans="1:2" hidden="1" x14ac:dyDescent="0.25">
      <c r="A360" s="203">
        <v>361000</v>
      </c>
      <c r="B360" s="202">
        <v>2987.6</v>
      </c>
    </row>
    <row r="361" spans="1:2" hidden="1" x14ac:dyDescent="0.25">
      <c r="A361" s="203">
        <v>362000</v>
      </c>
      <c r="B361" s="202">
        <v>3002.5</v>
      </c>
    </row>
    <row r="362" spans="1:2" hidden="1" x14ac:dyDescent="0.25">
      <c r="A362" s="203">
        <v>363000</v>
      </c>
      <c r="B362" s="202">
        <v>3017.55</v>
      </c>
    </row>
    <row r="363" spans="1:2" hidden="1" x14ac:dyDescent="0.25">
      <c r="A363" s="203">
        <v>364000</v>
      </c>
      <c r="B363" s="202">
        <v>3032.5</v>
      </c>
    </row>
    <row r="364" spans="1:2" hidden="1" x14ac:dyDescent="0.25">
      <c r="A364" s="203">
        <v>365000</v>
      </c>
      <c r="B364" s="202">
        <v>3047.6</v>
      </c>
    </row>
    <row r="365" spans="1:2" hidden="1" x14ac:dyDescent="0.25">
      <c r="A365" s="203">
        <v>366000</v>
      </c>
      <c r="B365" s="202">
        <v>3062.5</v>
      </c>
    </row>
    <row r="366" spans="1:2" hidden="1" x14ac:dyDescent="0.25">
      <c r="A366" s="203">
        <v>367000</v>
      </c>
      <c r="B366" s="202">
        <v>3077.5</v>
      </c>
    </row>
    <row r="367" spans="1:2" hidden="1" x14ac:dyDescent="0.25">
      <c r="A367" s="203">
        <v>368000</v>
      </c>
      <c r="B367" s="202">
        <v>3092.5</v>
      </c>
    </row>
    <row r="368" spans="1:2" hidden="1" x14ac:dyDescent="0.25">
      <c r="A368" s="203">
        <v>369000</v>
      </c>
      <c r="B368" s="202">
        <v>3107.5</v>
      </c>
    </row>
    <row r="369" spans="1:2" hidden="1" x14ac:dyDescent="0.25">
      <c r="A369" s="203">
        <v>370000</v>
      </c>
      <c r="B369" s="202">
        <v>3122.5</v>
      </c>
    </row>
    <row r="370" spans="1:2" hidden="1" x14ac:dyDescent="0.25">
      <c r="A370" s="203">
        <v>371000</v>
      </c>
      <c r="B370" s="202">
        <v>3137.45</v>
      </c>
    </row>
    <row r="371" spans="1:2" hidden="1" x14ac:dyDescent="0.25">
      <c r="A371" s="203">
        <v>372000</v>
      </c>
      <c r="B371" s="202">
        <v>3152.45</v>
      </c>
    </row>
    <row r="372" spans="1:2" hidden="1" x14ac:dyDescent="0.25">
      <c r="A372" s="203">
        <v>373000</v>
      </c>
      <c r="B372" s="202">
        <v>3167.5</v>
      </c>
    </row>
    <row r="373" spans="1:2" hidden="1" x14ac:dyDescent="0.25">
      <c r="A373" s="203">
        <v>374000</v>
      </c>
      <c r="B373" s="202">
        <v>3182.45</v>
      </c>
    </row>
    <row r="374" spans="1:2" hidden="1" x14ac:dyDescent="0.25">
      <c r="A374" s="203">
        <v>375000</v>
      </c>
      <c r="B374" s="202">
        <v>3197.45</v>
      </c>
    </row>
    <row r="375" spans="1:2" hidden="1" x14ac:dyDescent="0.25">
      <c r="A375" s="203">
        <v>376000</v>
      </c>
      <c r="B375" s="202">
        <v>3212.4</v>
      </c>
    </row>
    <row r="376" spans="1:2" hidden="1" x14ac:dyDescent="0.25">
      <c r="A376" s="203">
        <v>377000</v>
      </c>
      <c r="B376" s="202">
        <v>3227.45</v>
      </c>
    </row>
    <row r="377" spans="1:2" hidden="1" x14ac:dyDescent="0.25">
      <c r="A377" s="203">
        <v>378000</v>
      </c>
      <c r="B377" s="202">
        <v>3242.4</v>
      </c>
    </row>
    <row r="378" spans="1:2" hidden="1" x14ac:dyDescent="0.25">
      <c r="A378" s="203">
        <v>379000</v>
      </c>
      <c r="B378" s="202">
        <v>3257.4</v>
      </c>
    </row>
    <row r="379" spans="1:2" hidden="1" x14ac:dyDescent="0.25">
      <c r="A379" s="203">
        <v>380000</v>
      </c>
      <c r="B379" s="202">
        <v>3272.35</v>
      </c>
    </row>
    <row r="380" spans="1:2" hidden="1" x14ac:dyDescent="0.25">
      <c r="A380" s="203">
        <v>381000</v>
      </c>
      <c r="B380" s="202">
        <v>3287.4</v>
      </c>
    </row>
    <row r="381" spans="1:2" hidden="1" x14ac:dyDescent="0.25">
      <c r="A381" s="203">
        <v>382000</v>
      </c>
      <c r="B381" s="202">
        <v>3302.4</v>
      </c>
    </row>
    <row r="382" spans="1:2" hidden="1" x14ac:dyDescent="0.25">
      <c r="A382" s="203">
        <v>383000</v>
      </c>
      <c r="B382" s="202">
        <v>3317.35</v>
      </c>
    </row>
    <row r="383" spans="1:2" hidden="1" x14ac:dyDescent="0.25">
      <c r="A383" s="203">
        <v>384000</v>
      </c>
      <c r="B383" s="202">
        <v>3332.35</v>
      </c>
    </row>
    <row r="384" spans="1:2" hidden="1" x14ac:dyDescent="0.25">
      <c r="A384" s="203">
        <v>385000</v>
      </c>
      <c r="B384" s="202">
        <v>3347.35</v>
      </c>
    </row>
    <row r="385" spans="1:2" hidden="1" x14ac:dyDescent="0.25">
      <c r="A385" s="203">
        <v>386000</v>
      </c>
      <c r="B385" s="202">
        <v>3362.35</v>
      </c>
    </row>
    <row r="386" spans="1:2" hidden="1" x14ac:dyDescent="0.25">
      <c r="A386" s="203">
        <v>387000</v>
      </c>
      <c r="B386" s="202">
        <v>3377.35</v>
      </c>
    </row>
    <row r="387" spans="1:2" hidden="1" x14ac:dyDescent="0.25">
      <c r="A387" s="203">
        <v>388000</v>
      </c>
      <c r="B387" s="202">
        <v>3392.3</v>
      </c>
    </row>
    <row r="388" spans="1:2" hidden="1" x14ac:dyDescent="0.25">
      <c r="A388" s="203">
        <v>389000</v>
      </c>
      <c r="B388" s="202">
        <v>3407.3</v>
      </c>
    </row>
    <row r="389" spans="1:2" hidden="1" x14ac:dyDescent="0.25">
      <c r="A389" s="203">
        <v>390000</v>
      </c>
      <c r="B389" s="202">
        <v>3422.25</v>
      </c>
    </row>
    <row r="390" spans="1:2" hidden="1" x14ac:dyDescent="0.25">
      <c r="A390" s="203">
        <v>391000</v>
      </c>
      <c r="B390" s="202">
        <v>3437.35</v>
      </c>
    </row>
    <row r="391" spans="1:2" hidden="1" x14ac:dyDescent="0.25">
      <c r="A391" s="203">
        <v>392000</v>
      </c>
      <c r="B391" s="202">
        <v>3452.25</v>
      </c>
    </row>
    <row r="392" spans="1:2" hidden="1" x14ac:dyDescent="0.25">
      <c r="A392" s="203">
        <v>393000</v>
      </c>
      <c r="B392" s="202">
        <v>3467.3</v>
      </c>
    </row>
    <row r="393" spans="1:2" hidden="1" x14ac:dyDescent="0.25">
      <c r="A393" s="203">
        <v>394000</v>
      </c>
      <c r="B393" s="202">
        <v>3482.25</v>
      </c>
    </row>
    <row r="394" spans="1:2" hidden="1" x14ac:dyDescent="0.25">
      <c r="A394" s="203">
        <v>395000</v>
      </c>
      <c r="B394" s="202">
        <v>3497.3</v>
      </c>
    </row>
    <row r="395" spans="1:2" hidden="1" x14ac:dyDescent="0.25">
      <c r="A395" s="203">
        <v>396000</v>
      </c>
      <c r="B395" s="202">
        <v>3512.2</v>
      </c>
    </row>
    <row r="396" spans="1:2" hidden="1" x14ac:dyDescent="0.25">
      <c r="A396" s="203">
        <v>397000</v>
      </c>
      <c r="B396" s="202">
        <v>3527.2</v>
      </c>
    </row>
    <row r="397" spans="1:2" hidden="1" x14ac:dyDescent="0.25">
      <c r="A397" s="203">
        <v>398000</v>
      </c>
      <c r="B397" s="202">
        <v>3542.2</v>
      </c>
    </row>
    <row r="398" spans="1:2" hidden="1" x14ac:dyDescent="0.25">
      <c r="A398" s="203">
        <v>399000</v>
      </c>
      <c r="B398" s="202">
        <v>3557.25</v>
      </c>
    </row>
    <row r="399" spans="1:2" hidden="1" x14ac:dyDescent="0.25">
      <c r="A399" s="203">
        <v>400000</v>
      </c>
      <c r="B399" s="202">
        <v>3572.2</v>
      </c>
    </row>
    <row r="400" spans="1:2" hidden="1" x14ac:dyDescent="0.25">
      <c r="A400" s="203">
        <v>401000</v>
      </c>
      <c r="B400" s="202">
        <v>3587.2</v>
      </c>
    </row>
    <row r="401" spans="1:2" hidden="1" x14ac:dyDescent="0.25">
      <c r="A401" s="203">
        <v>402000</v>
      </c>
      <c r="B401" s="202">
        <v>3602.2</v>
      </c>
    </row>
    <row r="402" spans="1:2" hidden="1" x14ac:dyDescent="0.25">
      <c r="A402" s="203">
        <v>403000</v>
      </c>
      <c r="B402" s="202">
        <v>3617.2</v>
      </c>
    </row>
    <row r="403" spans="1:2" hidden="1" x14ac:dyDescent="0.25">
      <c r="A403" s="203">
        <v>404000</v>
      </c>
      <c r="B403" s="202">
        <v>3632.1</v>
      </c>
    </row>
    <row r="404" spans="1:2" hidden="1" x14ac:dyDescent="0.25">
      <c r="A404" s="203">
        <v>405000</v>
      </c>
      <c r="B404" s="202">
        <v>3647.15</v>
      </c>
    </row>
    <row r="405" spans="1:2" hidden="1" x14ac:dyDescent="0.25">
      <c r="A405" s="203">
        <v>406000</v>
      </c>
      <c r="B405" s="202">
        <v>3662.1</v>
      </c>
    </row>
    <row r="406" spans="1:2" hidden="1" x14ac:dyDescent="0.25">
      <c r="A406" s="203">
        <v>407000</v>
      </c>
      <c r="B406" s="202">
        <v>3677.15</v>
      </c>
    </row>
    <row r="407" spans="1:2" hidden="1" x14ac:dyDescent="0.25">
      <c r="A407" s="203">
        <v>408000</v>
      </c>
      <c r="B407" s="202">
        <v>3692.15</v>
      </c>
    </row>
    <row r="408" spans="1:2" hidden="1" x14ac:dyDescent="0.25">
      <c r="A408" s="203">
        <v>409000</v>
      </c>
      <c r="B408" s="202">
        <v>3707.15</v>
      </c>
    </row>
    <row r="409" spans="1:2" hidden="1" x14ac:dyDescent="0.25">
      <c r="A409" s="203">
        <v>410000</v>
      </c>
      <c r="B409" s="202">
        <v>3722.1</v>
      </c>
    </row>
    <row r="410" spans="1:2" hidden="1" x14ac:dyDescent="0.25">
      <c r="A410" s="203">
        <v>411000</v>
      </c>
      <c r="B410" s="202">
        <v>3737.15</v>
      </c>
    </row>
    <row r="411" spans="1:2" hidden="1" x14ac:dyDescent="0.25">
      <c r="A411" s="203">
        <v>412000</v>
      </c>
      <c r="B411" s="202">
        <v>3752.1</v>
      </c>
    </row>
    <row r="412" spans="1:2" hidden="1" x14ac:dyDescent="0.25">
      <c r="A412" s="203">
        <v>413000</v>
      </c>
      <c r="B412" s="202">
        <v>3767.05</v>
      </c>
    </row>
    <row r="413" spans="1:2" hidden="1" x14ac:dyDescent="0.25">
      <c r="A413" s="203">
        <v>414000</v>
      </c>
      <c r="B413" s="202">
        <v>3782.05</v>
      </c>
    </row>
    <row r="414" spans="1:2" hidden="1" x14ac:dyDescent="0.25">
      <c r="A414" s="203">
        <v>415000</v>
      </c>
      <c r="B414" s="202">
        <v>3797.05</v>
      </c>
    </row>
    <row r="415" spans="1:2" hidden="1" x14ac:dyDescent="0.25">
      <c r="A415" s="203">
        <v>416000</v>
      </c>
      <c r="B415" s="202">
        <v>3812.05</v>
      </c>
    </row>
    <row r="416" spans="1:2" hidden="1" x14ac:dyDescent="0.25">
      <c r="A416" s="203">
        <v>417000</v>
      </c>
      <c r="B416" s="202">
        <v>3827.05</v>
      </c>
    </row>
    <row r="417" spans="1:2" hidden="1" x14ac:dyDescent="0.25">
      <c r="A417" s="203">
        <v>418000</v>
      </c>
      <c r="B417" s="202">
        <v>3842.05</v>
      </c>
    </row>
    <row r="418" spans="1:2" hidden="1" x14ac:dyDescent="0.25">
      <c r="A418" s="203">
        <v>419000</v>
      </c>
      <c r="B418" s="202">
        <v>3857.05</v>
      </c>
    </row>
    <row r="419" spans="1:2" hidden="1" x14ac:dyDescent="0.25">
      <c r="A419" s="203">
        <v>420000</v>
      </c>
      <c r="B419" s="202">
        <v>3872</v>
      </c>
    </row>
    <row r="420" spans="1:2" hidden="1" x14ac:dyDescent="0.25">
      <c r="A420" s="203">
        <v>421000</v>
      </c>
      <c r="B420" s="202">
        <v>3887</v>
      </c>
    </row>
    <row r="421" spans="1:2" hidden="1" x14ac:dyDescent="0.25">
      <c r="A421" s="203">
        <v>422000</v>
      </c>
      <c r="B421" s="202">
        <v>3901.95</v>
      </c>
    </row>
    <row r="422" spans="1:2" hidden="1" x14ac:dyDescent="0.25">
      <c r="A422" s="203">
        <v>423000</v>
      </c>
      <c r="B422" s="202">
        <v>3917</v>
      </c>
    </row>
    <row r="423" spans="1:2" hidden="1" x14ac:dyDescent="0.25">
      <c r="A423" s="203">
        <v>424000</v>
      </c>
      <c r="B423" s="202">
        <v>3931.95</v>
      </c>
    </row>
    <row r="424" spans="1:2" hidden="1" x14ac:dyDescent="0.25">
      <c r="A424" s="203">
        <v>425000</v>
      </c>
      <c r="B424" s="202">
        <v>3947.05</v>
      </c>
    </row>
    <row r="425" spans="1:2" hidden="1" x14ac:dyDescent="0.25">
      <c r="A425" s="203">
        <v>426000</v>
      </c>
      <c r="B425" s="202">
        <v>3961.95</v>
      </c>
    </row>
    <row r="426" spans="1:2" hidden="1" x14ac:dyDescent="0.25">
      <c r="A426" s="203">
        <v>427000</v>
      </c>
      <c r="B426" s="202">
        <v>3976.95</v>
      </c>
    </row>
    <row r="427" spans="1:2" hidden="1" x14ac:dyDescent="0.25">
      <c r="A427" s="203">
        <v>428000</v>
      </c>
      <c r="B427" s="202">
        <v>3991.95</v>
      </c>
    </row>
    <row r="428" spans="1:2" hidden="1" x14ac:dyDescent="0.25">
      <c r="A428" s="203">
        <v>429000</v>
      </c>
      <c r="B428" s="202">
        <v>4006.95</v>
      </c>
    </row>
    <row r="429" spans="1:2" hidden="1" x14ac:dyDescent="0.25">
      <c r="A429" s="203">
        <v>430000</v>
      </c>
      <c r="B429" s="202">
        <v>4021.9</v>
      </c>
    </row>
    <row r="430" spans="1:2" hidden="1" x14ac:dyDescent="0.25">
      <c r="A430" s="203">
        <v>431000</v>
      </c>
      <c r="B430" s="202">
        <v>4036.9</v>
      </c>
    </row>
    <row r="431" spans="1:2" hidden="1" x14ac:dyDescent="0.25">
      <c r="A431" s="203">
        <v>432000</v>
      </c>
      <c r="B431" s="202">
        <v>4051.9</v>
      </c>
    </row>
    <row r="432" spans="1:2" hidden="1" x14ac:dyDescent="0.25">
      <c r="A432" s="203">
        <v>433000</v>
      </c>
      <c r="B432" s="202">
        <v>4066.9</v>
      </c>
    </row>
    <row r="433" spans="1:2" hidden="1" x14ac:dyDescent="0.25">
      <c r="A433" s="203">
        <v>434000</v>
      </c>
      <c r="B433" s="202">
        <v>4081.8</v>
      </c>
    </row>
    <row r="434" spans="1:2" hidden="1" x14ac:dyDescent="0.25">
      <c r="A434" s="203">
        <v>435000</v>
      </c>
      <c r="B434" s="202">
        <v>4096.8999999999996</v>
      </c>
    </row>
    <row r="435" spans="1:2" hidden="1" x14ac:dyDescent="0.25">
      <c r="A435" s="203">
        <v>436000</v>
      </c>
      <c r="B435" s="202">
        <v>4111.8500000000004</v>
      </c>
    </row>
    <row r="436" spans="1:2" hidden="1" x14ac:dyDescent="0.25">
      <c r="A436" s="203">
        <v>437000</v>
      </c>
      <c r="B436" s="202">
        <v>4126.8999999999996</v>
      </c>
    </row>
    <row r="437" spans="1:2" hidden="1" x14ac:dyDescent="0.25">
      <c r="A437" s="203">
        <v>438000</v>
      </c>
      <c r="B437" s="202">
        <v>4141.8</v>
      </c>
    </row>
    <row r="438" spans="1:2" hidden="1" x14ac:dyDescent="0.25">
      <c r="A438" s="203">
        <v>439000</v>
      </c>
      <c r="B438" s="202">
        <v>4156.8500000000004</v>
      </c>
    </row>
    <row r="439" spans="1:2" hidden="1" x14ac:dyDescent="0.25">
      <c r="A439" s="203">
        <v>440000</v>
      </c>
      <c r="B439" s="202">
        <v>4171.8</v>
      </c>
    </row>
    <row r="440" spans="1:2" hidden="1" x14ac:dyDescent="0.25">
      <c r="A440" s="203">
        <v>441000</v>
      </c>
      <c r="B440" s="202">
        <v>4186.8</v>
      </c>
    </row>
    <row r="441" spans="1:2" hidden="1" x14ac:dyDescent="0.25">
      <c r="A441" s="203">
        <v>442000</v>
      </c>
      <c r="B441" s="202">
        <v>4201.75</v>
      </c>
    </row>
    <row r="442" spans="1:2" hidden="1" x14ac:dyDescent="0.25">
      <c r="A442" s="203">
        <v>443000</v>
      </c>
      <c r="B442" s="202">
        <v>4216.8</v>
      </c>
    </row>
    <row r="443" spans="1:2" hidden="1" x14ac:dyDescent="0.25">
      <c r="A443" s="203">
        <v>444000</v>
      </c>
      <c r="B443" s="202">
        <v>4231.8</v>
      </c>
    </row>
    <row r="444" spans="1:2" hidden="1" x14ac:dyDescent="0.25">
      <c r="A444" s="203">
        <v>445000</v>
      </c>
      <c r="B444" s="202">
        <v>4246.8</v>
      </c>
    </row>
    <row r="445" spans="1:2" hidden="1" x14ac:dyDescent="0.25">
      <c r="A445" s="203">
        <v>446000</v>
      </c>
      <c r="B445" s="202">
        <v>4261.75</v>
      </c>
    </row>
    <row r="446" spans="1:2" hidden="1" x14ac:dyDescent="0.25">
      <c r="A446" s="203">
        <v>447000</v>
      </c>
      <c r="B446" s="202">
        <v>4276.75</v>
      </c>
    </row>
    <row r="447" spans="1:2" hidden="1" x14ac:dyDescent="0.25">
      <c r="A447" s="203">
        <v>448000</v>
      </c>
      <c r="B447" s="202">
        <v>4291.7</v>
      </c>
    </row>
    <row r="448" spans="1:2" hidden="1" x14ac:dyDescent="0.25">
      <c r="A448" s="203">
        <v>449000</v>
      </c>
      <c r="B448" s="202">
        <v>4306.75</v>
      </c>
    </row>
    <row r="449" spans="1:2" hidden="1" x14ac:dyDescent="0.25">
      <c r="A449" s="203">
        <v>450000</v>
      </c>
      <c r="B449" s="202">
        <v>4321.7</v>
      </c>
    </row>
    <row r="450" spans="1:2" hidden="1" x14ac:dyDescent="0.25">
      <c r="A450" s="203">
        <v>451000</v>
      </c>
      <c r="B450" s="202">
        <v>4336.7</v>
      </c>
    </row>
    <row r="451" spans="1:2" hidden="1" x14ac:dyDescent="0.25">
      <c r="A451" s="203">
        <v>452000</v>
      </c>
      <c r="B451" s="202">
        <v>4351.7</v>
      </c>
    </row>
    <row r="452" spans="1:2" hidden="1" x14ac:dyDescent="0.25">
      <c r="A452" s="203">
        <v>453000</v>
      </c>
      <c r="B452" s="202">
        <v>4366.75</v>
      </c>
    </row>
    <row r="453" spans="1:2" hidden="1" x14ac:dyDescent="0.25">
      <c r="A453" s="203">
        <v>454000</v>
      </c>
      <c r="B453" s="202">
        <v>4381.7</v>
      </c>
    </row>
    <row r="454" spans="1:2" hidden="1" x14ac:dyDescent="0.25">
      <c r="A454" s="203">
        <v>455000</v>
      </c>
      <c r="B454" s="202">
        <v>4396.7</v>
      </c>
    </row>
    <row r="455" spans="1:2" hidden="1" x14ac:dyDescent="0.25">
      <c r="A455" s="203">
        <v>456000</v>
      </c>
      <c r="B455" s="202">
        <v>4411.6499999999996</v>
      </c>
    </row>
    <row r="456" spans="1:2" hidden="1" x14ac:dyDescent="0.25">
      <c r="A456" s="203">
        <v>457000</v>
      </c>
      <c r="B456" s="202">
        <v>4426.6499999999996</v>
      </c>
    </row>
    <row r="457" spans="1:2" hidden="1" x14ac:dyDescent="0.25">
      <c r="A457" s="203">
        <v>458000</v>
      </c>
      <c r="B457" s="202">
        <v>4441.6499999999996</v>
      </c>
    </row>
    <row r="458" spans="1:2" hidden="1" x14ac:dyDescent="0.25">
      <c r="A458" s="203">
        <v>459000</v>
      </c>
      <c r="B458" s="202">
        <v>4456.6000000000004</v>
      </c>
    </row>
    <row r="459" spans="1:2" hidden="1" x14ac:dyDescent="0.25">
      <c r="A459" s="203">
        <v>460000</v>
      </c>
      <c r="B459" s="202">
        <v>4471.6499999999996</v>
      </c>
    </row>
    <row r="460" spans="1:2" hidden="1" x14ac:dyDescent="0.25">
      <c r="A460" s="203">
        <v>461000</v>
      </c>
      <c r="B460" s="202">
        <v>4486.6499999999996</v>
      </c>
    </row>
    <row r="461" spans="1:2" hidden="1" x14ac:dyDescent="0.25">
      <c r="A461" s="203">
        <v>462000</v>
      </c>
      <c r="B461" s="202">
        <v>4501.6499999999996</v>
      </c>
    </row>
    <row r="462" spans="1:2" hidden="1" x14ac:dyDescent="0.25">
      <c r="A462" s="203">
        <v>463000</v>
      </c>
      <c r="B462" s="202">
        <v>4516.6000000000004</v>
      </c>
    </row>
    <row r="463" spans="1:2" hidden="1" x14ac:dyDescent="0.25">
      <c r="A463" s="203">
        <v>464000</v>
      </c>
      <c r="B463" s="202">
        <v>4531.55</v>
      </c>
    </row>
    <row r="464" spans="1:2" hidden="1" x14ac:dyDescent="0.25">
      <c r="A464" s="203">
        <v>465000</v>
      </c>
      <c r="B464" s="202">
        <v>4546.6000000000004</v>
      </c>
    </row>
    <row r="465" spans="1:2" hidden="1" x14ac:dyDescent="0.25">
      <c r="A465" s="203">
        <v>466000</v>
      </c>
      <c r="B465" s="202">
        <v>4561.55</v>
      </c>
    </row>
    <row r="466" spans="1:2" hidden="1" x14ac:dyDescent="0.25">
      <c r="A466" s="203">
        <v>467000</v>
      </c>
      <c r="B466" s="202">
        <v>4576.6000000000004</v>
      </c>
    </row>
    <row r="467" spans="1:2" hidden="1" x14ac:dyDescent="0.25">
      <c r="A467" s="203">
        <v>468000</v>
      </c>
      <c r="B467" s="202">
        <v>4591.5</v>
      </c>
    </row>
    <row r="468" spans="1:2" hidden="1" x14ac:dyDescent="0.25">
      <c r="A468" s="203">
        <v>469000</v>
      </c>
      <c r="B468" s="202">
        <v>4606.6000000000004</v>
      </c>
    </row>
    <row r="469" spans="1:2" hidden="1" x14ac:dyDescent="0.25">
      <c r="A469" s="203">
        <v>470000</v>
      </c>
      <c r="B469" s="202">
        <v>4621.55</v>
      </c>
    </row>
    <row r="470" spans="1:2" hidden="1" x14ac:dyDescent="0.25">
      <c r="A470" s="203">
        <v>471000</v>
      </c>
      <c r="B470" s="202">
        <v>4636.55</v>
      </c>
    </row>
    <row r="471" spans="1:2" hidden="1" x14ac:dyDescent="0.25">
      <c r="A471" s="203">
        <v>472000</v>
      </c>
      <c r="B471" s="202">
        <v>4651.5</v>
      </c>
    </row>
    <row r="472" spans="1:2" hidden="1" x14ac:dyDescent="0.25">
      <c r="A472" s="203">
        <v>473000</v>
      </c>
      <c r="B472" s="202">
        <v>4666.5</v>
      </c>
    </row>
    <row r="473" spans="1:2" hidden="1" x14ac:dyDescent="0.25">
      <c r="A473" s="203">
        <v>474000</v>
      </c>
      <c r="B473" s="202">
        <v>4681.5</v>
      </c>
    </row>
    <row r="474" spans="1:2" hidden="1" x14ac:dyDescent="0.25">
      <c r="A474" s="203">
        <v>475000</v>
      </c>
      <c r="B474" s="202">
        <v>4696.5</v>
      </c>
    </row>
    <row r="475" spans="1:2" hidden="1" x14ac:dyDescent="0.25">
      <c r="A475" s="203">
        <v>476000</v>
      </c>
      <c r="B475" s="202">
        <v>4711.45</v>
      </c>
    </row>
    <row r="476" spans="1:2" hidden="1" x14ac:dyDescent="0.25">
      <c r="A476" s="203">
        <v>477000</v>
      </c>
      <c r="B476" s="202">
        <v>4726.45</v>
      </c>
    </row>
    <row r="477" spans="1:2" hidden="1" x14ac:dyDescent="0.25">
      <c r="A477" s="203">
        <v>478000</v>
      </c>
      <c r="B477" s="202">
        <v>4741.45</v>
      </c>
    </row>
    <row r="478" spans="1:2" hidden="1" x14ac:dyDescent="0.25">
      <c r="A478" s="203">
        <v>479000</v>
      </c>
      <c r="B478" s="202">
        <v>4756.5</v>
      </c>
    </row>
    <row r="479" spans="1:2" hidden="1" x14ac:dyDescent="0.25">
      <c r="A479" s="203">
        <v>480000</v>
      </c>
      <c r="B479" s="202">
        <v>4771.3999999999996</v>
      </c>
    </row>
    <row r="480" spans="1:2" hidden="1" x14ac:dyDescent="0.25">
      <c r="A480" s="203">
        <v>481000</v>
      </c>
      <c r="B480" s="202">
        <v>4786.45</v>
      </c>
    </row>
    <row r="481" spans="1:2" hidden="1" x14ac:dyDescent="0.25">
      <c r="A481" s="203">
        <v>482000</v>
      </c>
      <c r="B481" s="202">
        <v>4801.3999999999996</v>
      </c>
    </row>
    <row r="482" spans="1:2" hidden="1" x14ac:dyDescent="0.25">
      <c r="A482" s="203">
        <v>483000</v>
      </c>
      <c r="B482" s="202">
        <v>4816.45</v>
      </c>
    </row>
    <row r="483" spans="1:2" hidden="1" x14ac:dyDescent="0.25">
      <c r="A483" s="203">
        <v>484000</v>
      </c>
      <c r="B483" s="202">
        <v>4831.3500000000004</v>
      </c>
    </row>
    <row r="484" spans="1:2" hidden="1" x14ac:dyDescent="0.25">
      <c r="A484" s="203">
        <v>485000</v>
      </c>
      <c r="B484" s="202">
        <v>4846.3999999999996</v>
      </c>
    </row>
    <row r="485" spans="1:2" hidden="1" x14ac:dyDescent="0.25">
      <c r="A485" s="203">
        <v>486000</v>
      </c>
      <c r="B485" s="202">
        <v>4861.3500000000004</v>
      </c>
    </row>
    <row r="486" spans="1:2" hidden="1" x14ac:dyDescent="0.25">
      <c r="A486" s="203">
        <v>487000</v>
      </c>
      <c r="B486" s="202">
        <v>4876.3999999999996</v>
      </c>
    </row>
    <row r="487" spans="1:2" hidden="1" x14ac:dyDescent="0.25">
      <c r="A487" s="203">
        <v>488000</v>
      </c>
      <c r="B487" s="202">
        <v>4891.3999999999996</v>
      </c>
    </row>
    <row r="488" spans="1:2" hidden="1" x14ac:dyDescent="0.25">
      <c r="A488" s="203">
        <v>489000</v>
      </c>
      <c r="B488" s="202">
        <v>4906.3500000000004</v>
      </c>
    </row>
    <row r="489" spans="1:2" hidden="1" x14ac:dyDescent="0.25">
      <c r="A489" s="203">
        <v>490000</v>
      </c>
      <c r="B489" s="202">
        <v>4921.3500000000004</v>
      </c>
    </row>
    <row r="490" spans="1:2" hidden="1" x14ac:dyDescent="0.25">
      <c r="A490" s="203">
        <v>491000</v>
      </c>
      <c r="B490" s="202">
        <v>4936.3500000000004</v>
      </c>
    </row>
    <row r="491" spans="1:2" hidden="1" x14ac:dyDescent="0.25">
      <c r="A491" s="203">
        <v>492000</v>
      </c>
      <c r="B491" s="202">
        <v>4951.3500000000004</v>
      </c>
    </row>
    <row r="492" spans="1:2" hidden="1" x14ac:dyDescent="0.25">
      <c r="A492" s="203">
        <v>493000</v>
      </c>
      <c r="B492" s="202">
        <v>4966.3</v>
      </c>
    </row>
    <row r="493" spans="1:2" hidden="1" x14ac:dyDescent="0.25">
      <c r="A493" s="203">
        <v>494000</v>
      </c>
      <c r="B493" s="202">
        <v>4981.25</v>
      </c>
    </row>
    <row r="494" spans="1:2" hidden="1" x14ac:dyDescent="0.25">
      <c r="A494" s="203">
        <v>495000</v>
      </c>
      <c r="B494" s="202">
        <v>4996.3500000000004</v>
      </c>
    </row>
    <row r="495" spans="1:2" hidden="1" x14ac:dyDescent="0.25">
      <c r="A495" s="203">
        <v>496000</v>
      </c>
      <c r="B495" s="202">
        <v>5011.3</v>
      </c>
    </row>
    <row r="496" spans="1:2" hidden="1" x14ac:dyDescent="0.25">
      <c r="A496" s="203">
        <v>497000</v>
      </c>
      <c r="B496" s="202">
        <v>5026.3</v>
      </c>
    </row>
    <row r="497" spans="1:2" hidden="1" x14ac:dyDescent="0.25">
      <c r="A497" s="203">
        <v>498000</v>
      </c>
      <c r="B497" s="202">
        <v>5041.25</v>
      </c>
    </row>
    <row r="498" spans="1:2" hidden="1" x14ac:dyDescent="0.25">
      <c r="A498" s="203">
        <v>499000</v>
      </c>
      <c r="B498" s="202">
        <v>5056.3</v>
      </c>
    </row>
    <row r="499" spans="1:2" hidden="1" x14ac:dyDescent="0.25">
      <c r="A499" s="203">
        <v>500000</v>
      </c>
      <c r="B499" s="202">
        <v>5071.25</v>
      </c>
    </row>
    <row r="500" spans="1:2" hidden="1" x14ac:dyDescent="0.25">
      <c r="A500" s="203">
        <v>501000</v>
      </c>
      <c r="B500" s="202">
        <v>5086.2</v>
      </c>
    </row>
    <row r="501" spans="1:2" hidden="1" x14ac:dyDescent="0.25">
      <c r="A501" s="203">
        <v>502000</v>
      </c>
      <c r="B501" s="202">
        <v>5101.2</v>
      </c>
    </row>
    <row r="502" spans="1:2" hidden="1" x14ac:dyDescent="0.25">
      <c r="A502" s="203">
        <v>503000</v>
      </c>
      <c r="B502" s="202">
        <v>5116.2</v>
      </c>
    </row>
    <row r="503" spans="1:2" hidden="1" x14ac:dyDescent="0.25">
      <c r="A503" s="203">
        <v>504000</v>
      </c>
      <c r="B503" s="202">
        <v>5131.25</v>
      </c>
    </row>
    <row r="504" spans="1:2" hidden="1" x14ac:dyDescent="0.25">
      <c r="A504" s="203">
        <v>505000</v>
      </c>
      <c r="B504" s="202">
        <v>5146.2</v>
      </c>
    </row>
    <row r="505" spans="1:2" hidden="1" x14ac:dyDescent="0.25">
      <c r="A505" s="203">
        <v>506000</v>
      </c>
      <c r="B505" s="202">
        <v>5161.2</v>
      </c>
    </row>
    <row r="506" spans="1:2" hidden="1" x14ac:dyDescent="0.25">
      <c r="A506" s="203">
        <v>507000</v>
      </c>
      <c r="B506" s="202">
        <v>5176.2</v>
      </c>
    </row>
    <row r="507" spans="1:2" hidden="1" x14ac:dyDescent="0.25">
      <c r="A507" s="203">
        <v>508000</v>
      </c>
      <c r="B507" s="202">
        <v>5191.1499999999996</v>
      </c>
    </row>
    <row r="508" spans="1:2" hidden="1" x14ac:dyDescent="0.25">
      <c r="A508" s="203">
        <v>509000</v>
      </c>
      <c r="B508" s="202">
        <v>5206.2</v>
      </c>
    </row>
    <row r="509" spans="1:2" hidden="1" x14ac:dyDescent="0.25">
      <c r="A509" s="203">
        <v>510000</v>
      </c>
      <c r="B509" s="202">
        <v>5221.1000000000004</v>
      </c>
    </row>
    <row r="510" spans="1:2" hidden="1" x14ac:dyDescent="0.25">
      <c r="A510" s="203">
        <v>511000</v>
      </c>
      <c r="B510" s="202">
        <v>5236.1499999999996</v>
      </c>
    </row>
    <row r="511" spans="1:2" hidden="1" x14ac:dyDescent="0.25">
      <c r="A511" s="203">
        <v>512000</v>
      </c>
      <c r="B511" s="202">
        <v>5251.1</v>
      </c>
    </row>
    <row r="512" spans="1:2" hidden="1" x14ac:dyDescent="0.25">
      <c r="A512" s="203">
        <v>513000</v>
      </c>
      <c r="B512" s="202">
        <v>5266.2</v>
      </c>
    </row>
    <row r="513" spans="1:2" hidden="1" x14ac:dyDescent="0.25">
      <c r="A513" s="203">
        <v>514000</v>
      </c>
      <c r="B513" s="202">
        <v>5281.1</v>
      </c>
    </row>
    <row r="514" spans="1:2" hidden="1" x14ac:dyDescent="0.25">
      <c r="A514" s="203">
        <v>515000</v>
      </c>
      <c r="B514" s="202">
        <v>5296.1</v>
      </c>
    </row>
    <row r="515" spans="1:2" hidden="1" x14ac:dyDescent="0.25">
      <c r="A515" s="203">
        <v>516000</v>
      </c>
      <c r="B515" s="202">
        <v>5311.1</v>
      </c>
    </row>
    <row r="516" spans="1:2" hidden="1" x14ac:dyDescent="0.25">
      <c r="A516" s="203">
        <v>517000</v>
      </c>
      <c r="B516" s="202">
        <v>5326.1</v>
      </c>
    </row>
    <row r="517" spans="1:2" hidden="1" x14ac:dyDescent="0.25">
      <c r="A517" s="203">
        <v>518000</v>
      </c>
      <c r="B517" s="202">
        <v>5341.05</v>
      </c>
    </row>
    <row r="518" spans="1:2" hidden="1" x14ac:dyDescent="0.25">
      <c r="A518" s="203">
        <v>519000</v>
      </c>
      <c r="B518" s="202">
        <v>5356.05</v>
      </c>
    </row>
    <row r="519" spans="1:2" hidden="1" x14ac:dyDescent="0.25">
      <c r="A519" s="203">
        <v>520000</v>
      </c>
      <c r="B519" s="202">
        <v>5371.05</v>
      </c>
    </row>
    <row r="520" spans="1:2" hidden="1" x14ac:dyDescent="0.25">
      <c r="A520" s="203">
        <v>521000</v>
      </c>
      <c r="B520" s="202">
        <v>5386.1</v>
      </c>
    </row>
    <row r="521" spans="1:2" hidden="1" x14ac:dyDescent="0.25">
      <c r="A521" s="203">
        <v>522000</v>
      </c>
      <c r="B521" s="202">
        <v>5401</v>
      </c>
    </row>
    <row r="522" spans="1:2" hidden="1" x14ac:dyDescent="0.25">
      <c r="A522" s="203">
        <v>523000</v>
      </c>
      <c r="B522" s="202">
        <v>5416.05</v>
      </c>
    </row>
    <row r="523" spans="1:2" hidden="1" x14ac:dyDescent="0.25">
      <c r="A523" s="203">
        <v>524000</v>
      </c>
      <c r="B523" s="202">
        <v>5431</v>
      </c>
    </row>
    <row r="524" spans="1:2" hidden="1" x14ac:dyDescent="0.25">
      <c r="A524" s="203">
        <v>525000</v>
      </c>
      <c r="B524" s="202">
        <v>5446.05</v>
      </c>
    </row>
    <row r="525" spans="1:2" hidden="1" x14ac:dyDescent="0.25">
      <c r="A525" s="203">
        <v>526000</v>
      </c>
      <c r="B525" s="202">
        <v>5460.95</v>
      </c>
    </row>
    <row r="526" spans="1:2" hidden="1" x14ac:dyDescent="0.25">
      <c r="A526" s="203">
        <v>527000</v>
      </c>
      <c r="B526" s="202">
        <v>5476</v>
      </c>
    </row>
    <row r="527" spans="1:2" hidden="1" x14ac:dyDescent="0.25">
      <c r="A527" s="203">
        <v>528000</v>
      </c>
      <c r="B527" s="202">
        <v>5490.95</v>
      </c>
    </row>
    <row r="528" spans="1:2" hidden="1" x14ac:dyDescent="0.25">
      <c r="A528" s="203">
        <v>529000</v>
      </c>
      <c r="B528" s="202">
        <v>5506</v>
      </c>
    </row>
    <row r="529" spans="1:2" hidden="1" x14ac:dyDescent="0.25">
      <c r="A529" s="203">
        <v>530000</v>
      </c>
      <c r="B529" s="202">
        <v>5521</v>
      </c>
    </row>
    <row r="530" spans="1:2" hidden="1" x14ac:dyDescent="0.25">
      <c r="A530" s="203">
        <v>531000</v>
      </c>
      <c r="B530" s="202">
        <v>5535.95</v>
      </c>
    </row>
    <row r="531" spans="1:2" hidden="1" x14ac:dyDescent="0.25">
      <c r="A531" s="203">
        <v>532000</v>
      </c>
      <c r="B531" s="202">
        <v>5550.95</v>
      </c>
    </row>
    <row r="532" spans="1:2" hidden="1" x14ac:dyDescent="0.25">
      <c r="A532" s="203">
        <v>533000</v>
      </c>
      <c r="B532" s="202">
        <v>5565.95</v>
      </c>
    </row>
    <row r="533" spans="1:2" hidden="1" x14ac:dyDescent="0.25">
      <c r="A533" s="203">
        <v>534000</v>
      </c>
      <c r="B533" s="202">
        <v>5580.95</v>
      </c>
    </row>
    <row r="534" spans="1:2" hidden="1" x14ac:dyDescent="0.25">
      <c r="A534" s="203">
        <v>535000</v>
      </c>
      <c r="B534" s="202">
        <v>5595.9</v>
      </c>
    </row>
    <row r="535" spans="1:2" hidden="1" x14ac:dyDescent="0.25">
      <c r="A535" s="203">
        <v>536000</v>
      </c>
      <c r="B535" s="202">
        <v>5610.9</v>
      </c>
    </row>
    <row r="536" spans="1:2" hidden="1" x14ac:dyDescent="0.25">
      <c r="A536" s="203">
        <v>537000</v>
      </c>
      <c r="B536" s="202">
        <v>5625.9</v>
      </c>
    </row>
    <row r="537" spans="1:2" hidden="1" x14ac:dyDescent="0.25">
      <c r="A537" s="203">
        <v>538000</v>
      </c>
      <c r="B537" s="202">
        <v>5640.85</v>
      </c>
    </row>
    <row r="538" spans="1:2" hidden="1" x14ac:dyDescent="0.25">
      <c r="A538" s="203">
        <v>539000</v>
      </c>
      <c r="B538" s="202">
        <v>5655.9</v>
      </c>
    </row>
    <row r="539" spans="1:2" hidden="1" x14ac:dyDescent="0.25">
      <c r="A539" s="203">
        <v>540000</v>
      </c>
      <c r="B539" s="202">
        <v>5670.85</v>
      </c>
    </row>
    <row r="540" spans="1:2" hidden="1" x14ac:dyDescent="0.25">
      <c r="A540" s="203">
        <v>541000</v>
      </c>
      <c r="B540" s="202">
        <v>5685.9</v>
      </c>
    </row>
    <row r="541" spans="1:2" hidden="1" x14ac:dyDescent="0.25">
      <c r="A541" s="203">
        <v>542000</v>
      </c>
      <c r="B541" s="202">
        <v>5700.85</v>
      </c>
    </row>
    <row r="542" spans="1:2" hidden="1" x14ac:dyDescent="0.25">
      <c r="A542" s="203">
        <v>543000</v>
      </c>
      <c r="B542" s="202">
        <v>5715.85</v>
      </c>
    </row>
    <row r="543" spans="1:2" hidden="1" x14ac:dyDescent="0.25">
      <c r="A543" s="203">
        <v>544000</v>
      </c>
      <c r="B543" s="202">
        <v>5730.8</v>
      </c>
    </row>
    <row r="544" spans="1:2" hidden="1" x14ac:dyDescent="0.25">
      <c r="A544" s="203">
        <v>545000</v>
      </c>
      <c r="B544" s="202">
        <v>5745.8</v>
      </c>
    </row>
    <row r="545" spans="1:31" hidden="1" x14ac:dyDescent="0.25">
      <c r="A545" s="203">
        <v>546000</v>
      </c>
      <c r="B545" s="202">
        <v>5760.8</v>
      </c>
    </row>
    <row r="546" spans="1:31" hidden="1" x14ac:dyDescent="0.25">
      <c r="A546" s="203">
        <v>547000</v>
      </c>
      <c r="B546" s="202">
        <v>5775.85</v>
      </c>
    </row>
    <row r="547" spans="1:31" hidden="1" x14ac:dyDescent="0.25">
      <c r="A547" s="203">
        <v>548000</v>
      </c>
      <c r="B547" s="202">
        <v>5790.8</v>
      </c>
    </row>
    <row r="548" spans="1:31" hidden="1" x14ac:dyDescent="0.25">
      <c r="A548" s="203">
        <v>549000</v>
      </c>
      <c r="B548" s="202">
        <v>5805.8</v>
      </c>
    </row>
    <row r="549" spans="1:31" hidden="1" x14ac:dyDescent="0.25">
      <c r="A549" s="203">
        <v>550000</v>
      </c>
      <c r="B549" s="202">
        <v>5820.8</v>
      </c>
    </row>
    <row r="550" spans="1:31" hidden="1" x14ac:dyDescent="0.25">
      <c r="A550" s="203">
        <v>551000</v>
      </c>
      <c r="B550" s="202">
        <v>5835.8</v>
      </c>
    </row>
    <row r="551" spans="1:31" hidden="1" x14ac:dyDescent="0.25">
      <c r="A551" s="203">
        <v>552000</v>
      </c>
      <c r="B551" s="202">
        <v>5850.7</v>
      </c>
    </row>
    <row r="552" spans="1:31" hidden="1" x14ac:dyDescent="0.25">
      <c r="A552" s="203">
        <v>553000</v>
      </c>
      <c r="B552" s="202">
        <v>5865.75</v>
      </c>
    </row>
    <row r="553" spans="1:31" hidden="1" x14ac:dyDescent="0.25">
      <c r="A553" s="203">
        <v>554000</v>
      </c>
      <c r="B553" s="202">
        <v>5880.7</v>
      </c>
    </row>
    <row r="554" spans="1:31" hidden="1" x14ac:dyDescent="0.25">
      <c r="A554" s="203">
        <v>555000</v>
      </c>
      <c r="B554" s="202">
        <v>5895.75</v>
      </c>
    </row>
    <row r="555" spans="1:31" hidden="1" x14ac:dyDescent="0.25">
      <c r="A555" s="203">
        <v>556000</v>
      </c>
      <c r="B555" s="202">
        <v>5910.65</v>
      </c>
    </row>
    <row r="556" spans="1:31" hidden="1" x14ac:dyDescent="0.25">
      <c r="A556" s="203">
        <v>557000</v>
      </c>
      <c r="B556" s="202">
        <v>5925.75</v>
      </c>
    </row>
    <row r="557" spans="1:31" hidden="1" x14ac:dyDescent="0.25">
      <c r="A557" s="203">
        <v>558000</v>
      </c>
      <c r="B557" s="202">
        <v>5940.7</v>
      </c>
    </row>
    <row r="558" spans="1:31" hidden="1" x14ac:dyDescent="0.25">
      <c r="A558" s="203">
        <v>559000</v>
      </c>
      <c r="B558" s="202">
        <v>5955.75</v>
      </c>
    </row>
    <row r="559" spans="1:31" s="16" customFormat="1" hidden="1" x14ac:dyDescent="0.25">
      <c r="A559" s="203">
        <v>560000</v>
      </c>
      <c r="B559" s="202">
        <v>5970.65</v>
      </c>
      <c r="K559" s="17"/>
      <c r="L559" s="17"/>
      <c r="M559" s="17"/>
      <c r="N559" s="17"/>
      <c r="S559" s="17"/>
      <c r="T559" s="17"/>
      <c r="U559" s="17"/>
      <c r="V559" s="17"/>
      <c r="W559" s="17"/>
      <c r="X559" s="17"/>
      <c r="Y559" s="17"/>
      <c r="Z559" s="17"/>
      <c r="AA559" s="17"/>
      <c r="AB559" s="17"/>
      <c r="AC559" s="17"/>
      <c r="AD559" s="17"/>
      <c r="AE559" s="17"/>
    </row>
    <row r="560" spans="1:31" hidden="1" x14ac:dyDescent="0.25">
      <c r="A560" s="203">
        <v>561000</v>
      </c>
      <c r="B560" s="202">
        <v>5985.65</v>
      </c>
    </row>
    <row r="561" spans="1:2" hidden="1" x14ac:dyDescent="0.25">
      <c r="A561" s="203">
        <v>562000</v>
      </c>
      <c r="B561" s="202">
        <v>6000.65</v>
      </c>
    </row>
    <row r="562" spans="1:2" hidden="1" x14ac:dyDescent="0.25">
      <c r="A562" s="203">
        <v>563000</v>
      </c>
      <c r="B562" s="202">
        <v>6015.65</v>
      </c>
    </row>
    <row r="563" spans="1:2" hidden="1" x14ac:dyDescent="0.25">
      <c r="A563" s="203">
        <v>564000</v>
      </c>
      <c r="B563" s="202">
        <v>6030.6</v>
      </c>
    </row>
    <row r="564" spans="1:2" hidden="1" x14ac:dyDescent="0.25">
      <c r="A564" s="203">
        <v>565000</v>
      </c>
      <c r="B564" s="202">
        <v>6045.65</v>
      </c>
    </row>
    <row r="565" spans="1:2" hidden="1" x14ac:dyDescent="0.25">
      <c r="A565" s="203">
        <v>566000</v>
      </c>
      <c r="B565" s="202">
        <v>6060.65</v>
      </c>
    </row>
    <row r="566" spans="1:2" hidden="1" x14ac:dyDescent="0.25">
      <c r="A566" s="203">
        <v>567000</v>
      </c>
      <c r="B566" s="202">
        <v>6075.65</v>
      </c>
    </row>
    <row r="567" spans="1:2" hidden="1" x14ac:dyDescent="0.25">
      <c r="A567" s="203">
        <v>568000</v>
      </c>
      <c r="B567" s="202">
        <v>6090.6</v>
      </c>
    </row>
    <row r="568" spans="1:2" hidden="1" x14ac:dyDescent="0.25">
      <c r="A568" s="203">
        <v>569000</v>
      </c>
      <c r="B568" s="202">
        <v>6105.6</v>
      </c>
    </row>
    <row r="569" spans="1:2" hidden="1" x14ac:dyDescent="0.25">
      <c r="A569" s="203">
        <v>570000</v>
      </c>
      <c r="B569" s="202">
        <v>6120.55</v>
      </c>
    </row>
    <row r="570" spans="1:2" hidden="1" x14ac:dyDescent="0.25">
      <c r="A570" s="203">
        <v>571000</v>
      </c>
      <c r="B570" s="202">
        <v>6135.6</v>
      </c>
    </row>
    <row r="571" spans="1:2" hidden="1" x14ac:dyDescent="0.25">
      <c r="A571" s="203">
        <v>572000</v>
      </c>
      <c r="B571" s="202">
        <v>6150.55</v>
      </c>
    </row>
    <row r="572" spans="1:2" hidden="1" x14ac:dyDescent="0.25">
      <c r="A572" s="203">
        <v>573000</v>
      </c>
      <c r="B572" s="202">
        <v>6165.55</v>
      </c>
    </row>
    <row r="573" spans="1:2" hidden="1" x14ac:dyDescent="0.25">
      <c r="A573" s="203">
        <v>574000</v>
      </c>
      <c r="B573" s="202">
        <v>6180.55</v>
      </c>
    </row>
    <row r="574" spans="1:2" hidden="1" x14ac:dyDescent="0.25">
      <c r="A574" s="203">
        <v>575000</v>
      </c>
      <c r="B574" s="202">
        <v>6195.55</v>
      </c>
    </row>
    <row r="575" spans="1:2" hidden="1" x14ac:dyDescent="0.25">
      <c r="A575" s="203">
        <v>576000</v>
      </c>
      <c r="B575" s="202">
        <v>6210.55</v>
      </c>
    </row>
    <row r="576" spans="1:2" hidden="1" x14ac:dyDescent="0.25">
      <c r="A576" s="203">
        <v>577000</v>
      </c>
      <c r="B576" s="202">
        <v>6225.5</v>
      </c>
    </row>
    <row r="577" spans="1:2" hidden="1" x14ac:dyDescent="0.25">
      <c r="A577" s="203">
        <v>578000</v>
      </c>
      <c r="B577" s="202">
        <v>6240.5</v>
      </c>
    </row>
    <row r="578" spans="1:2" hidden="1" x14ac:dyDescent="0.25">
      <c r="A578" s="203">
        <v>579000</v>
      </c>
      <c r="B578" s="202">
        <v>6255.5</v>
      </c>
    </row>
    <row r="579" spans="1:2" hidden="1" x14ac:dyDescent="0.25">
      <c r="A579" s="203">
        <v>580000</v>
      </c>
      <c r="B579" s="202">
        <v>6270.5</v>
      </c>
    </row>
    <row r="580" spans="1:2" hidden="1" x14ac:dyDescent="0.25">
      <c r="A580" s="203">
        <v>581000</v>
      </c>
      <c r="B580" s="202">
        <v>6285.45</v>
      </c>
    </row>
    <row r="581" spans="1:2" hidden="1" x14ac:dyDescent="0.25">
      <c r="A581" s="203">
        <v>582000</v>
      </c>
      <c r="B581" s="202">
        <v>6300.4</v>
      </c>
    </row>
    <row r="582" spans="1:2" hidden="1" x14ac:dyDescent="0.25">
      <c r="A582" s="203">
        <v>583000</v>
      </c>
      <c r="B582" s="202">
        <v>6315.5</v>
      </c>
    </row>
    <row r="583" spans="1:2" hidden="1" x14ac:dyDescent="0.25">
      <c r="A583" s="203">
        <v>584000</v>
      </c>
      <c r="B583" s="202">
        <v>6330.45</v>
      </c>
    </row>
    <row r="584" spans="1:2" hidden="1" x14ac:dyDescent="0.25">
      <c r="A584" s="203">
        <v>585000</v>
      </c>
      <c r="B584" s="202">
        <v>6345.5</v>
      </c>
    </row>
    <row r="585" spans="1:2" hidden="1" x14ac:dyDescent="0.25">
      <c r="A585" s="203">
        <v>586000</v>
      </c>
      <c r="B585" s="202">
        <v>6360.4</v>
      </c>
    </row>
    <row r="586" spans="1:2" hidden="1" x14ac:dyDescent="0.25">
      <c r="A586" s="203">
        <v>587000</v>
      </c>
      <c r="B586" s="202">
        <v>6375.45</v>
      </c>
    </row>
    <row r="587" spans="1:2" hidden="1" x14ac:dyDescent="0.25">
      <c r="A587" s="203">
        <v>588000</v>
      </c>
      <c r="B587" s="202">
        <v>6390.4</v>
      </c>
    </row>
    <row r="588" spans="1:2" hidden="1" x14ac:dyDescent="0.25">
      <c r="A588" s="203">
        <v>589000</v>
      </c>
      <c r="B588" s="202">
        <v>6405.4</v>
      </c>
    </row>
    <row r="589" spans="1:2" hidden="1" x14ac:dyDescent="0.25">
      <c r="A589" s="203">
        <v>590000</v>
      </c>
      <c r="B589" s="202">
        <v>6420.35</v>
      </c>
    </row>
    <row r="590" spans="1:2" hidden="1" x14ac:dyDescent="0.25">
      <c r="A590" s="203">
        <v>591000</v>
      </c>
      <c r="B590" s="202">
        <v>6435.4</v>
      </c>
    </row>
    <row r="591" spans="1:2" hidden="1" x14ac:dyDescent="0.25">
      <c r="A591" s="203">
        <v>592000</v>
      </c>
      <c r="B591" s="202">
        <v>6450.4</v>
      </c>
    </row>
    <row r="592" spans="1:2" hidden="1" x14ac:dyDescent="0.25">
      <c r="A592" s="203">
        <v>593000</v>
      </c>
      <c r="B592" s="202">
        <v>6465.4</v>
      </c>
    </row>
    <row r="593" spans="1:2" hidden="1" x14ac:dyDescent="0.25">
      <c r="A593" s="203">
        <v>594000</v>
      </c>
      <c r="B593" s="202">
        <v>6480.35</v>
      </c>
    </row>
    <row r="594" spans="1:2" hidden="1" x14ac:dyDescent="0.25">
      <c r="A594" s="203">
        <v>595000</v>
      </c>
      <c r="B594" s="202">
        <v>6495.35</v>
      </c>
    </row>
    <row r="595" spans="1:2" hidden="1" x14ac:dyDescent="0.25">
      <c r="A595" s="203">
        <v>596000</v>
      </c>
      <c r="B595" s="202">
        <v>6510.35</v>
      </c>
    </row>
    <row r="596" spans="1:2" hidden="1" x14ac:dyDescent="0.25">
      <c r="A596" s="203">
        <v>597000</v>
      </c>
      <c r="B596" s="202">
        <v>6525.35</v>
      </c>
    </row>
    <row r="597" spans="1:2" hidden="1" x14ac:dyDescent="0.25">
      <c r="A597" s="203">
        <v>598000</v>
      </c>
      <c r="B597" s="202">
        <v>6540.25</v>
      </c>
    </row>
    <row r="598" spans="1:2" hidden="1" x14ac:dyDescent="0.25">
      <c r="A598" s="203">
        <v>599000</v>
      </c>
      <c r="B598" s="202">
        <v>6555.3</v>
      </c>
    </row>
    <row r="599" spans="1:2" hidden="1" x14ac:dyDescent="0.25">
      <c r="A599" s="203">
        <v>600000</v>
      </c>
      <c r="B599" s="202">
        <v>6570.3</v>
      </c>
    </row>
    <row r="600" spans="1:2" hidden="1" x14ac:dyDescent="0.25">
      <c r="A600" s="203">
        <v>601000</v>
      </c>
      <c r="B600" s="202">
        <v>6585.35</v>
      </c>
    </row>
    <row r="601" spans="1:2" hidden="1" x14ac:dyDescent="0.25">
      <c r="A601" s="203">
        <v>602000</v>
      </c>
      <c r="B601" s="202">
        <v>6600.25</v>
      </c>
    </row>
    <row r="602" spans="1:2" hidden="1" x14ac:dyDescent="0.25">
      <c r="A602" s="203">
        <v>603000</v>
      </c>
      <c r="B602" s="202">
        <v>6615.3</v>
      </c>
    </row>
    <row r="603" spans="1:2" hidden="1" x14ac:dyDescent="0.25">
      <c r="A603" s="203">
        <v>604000</v>
      </c>
      <c r="B603" s="202">
        <v>6630.25</v>
      </c>
    </row>
    <row r="604" spans="1:2" hidden="1" x14ac:dyDescent="0.25">
      <c r="A604" s="203">
        <v>605000</v>
      </c>
      <c r="B604" s="202">
        <v>6645.25</v>
      </c>
    </row>
    <row r="605" spans="1:2" hidden="1" x14ac:dyDescent="0.25">
      <c r="A605" s="203">
        <v>606000</v>
      </c>
      <c r="B605" s="202">
        <v>6660.25</v>
      </c>
    </row>
    <row r="606" spans="1:2" hidden="1" x14ac:dyDescent="0.25">
      <c r="A606" s="203">
        <v>607000</v>
      </c>
      <c r="B606" s="202">
        <v>6675.2</v>
      </c>
    </row>
    <row r="607" spans="1:2" hidden="1" x14ac:dyDescent="0.25">
      <c r="A607" s="203">
        <v>608000</v>
      </c>
      <c r="B607" s="202">
        <v>6690.2</v>
      </c>
    </row>
    <row r="608" spans="1:2" hidden="1" x14ac:dyDescent="0.25">
      <c r="A608" s="203">
        <v>609000</v>
      </c>
      <c r="B608" s="202">
        <v>6705.25</v>
      </c>
    </row>
    <row r="609" spans="1:2" hidden="1" x14ac:dyDescent="0.25">
      <c r="A609" s="203">
        <v>610000</v>
      </c>
      <c r="B609" s="202">
        <v>6720.25</v>
      </c>
    </row>
    <row r="610" spans="1:2" hidden="1" x14ac:dyDescent="0.25">
      <c r="A610" s="203">
        <v>611000</v>
      </c>
      <c r="B610" s="202">
        <v>6735.2</v>
      </c>
    </row>
    <row r="611" spans="1:2" hidden="1" x14ac:dyDescent="0.25">
      <c r="A611" s="203">
        <v>612000</v>
      </c>
      <c r="B611" s="202">
        <v>6750.15</v>
      </c>
    </row>
    <row r="612" spans="1:2" hidden="1" x14ac:dyDescent="0.25">
      <c r="A612" s="203">
        <v>613000</v>
      </c>
      <c r="B612" s="202">
        <v>6765.2</v>
      </c>
    </row>
    <row r="613" spans="1:2" hidden="1" x14ac:dyDescent="0.25">
      <c r="A613" s="203">
        <v>614000</v>
      </c>
      <c r="B613" s="202">
        <v>6780.15</v>
      </c>
    </row>
    <row r="614" spans="1:2" hidden="1" x14ac:dyDescent="0.25">
      <c r="A614" s="203">
        <v>615000</v>
      </c>
      <c r="B614" s="202">
        <v>6795.15</v>
      </c>
    </row>
    <row r="615" spans="1:2" hidden="1" x14ac:dyDescent="0.25">
      <c r="A615" s="203">
        <v>616000</v>
      </c>
      <c r="B615" s="202">
        <v>6810.1</v>
      </c>
    </row>
    <row r="616" spans="1:2" hidden="1" x14ac:dyDescent="0.25">
      <c r="A616" s="203">
        <v>617000</v>
      </c>
      <c r="B616" s="202">
        <v>6825.2</v>
      </c>
    </row>
    <row r="617" spans="1:2" hidden="1" x14ac:dyDescent="0.25">
      <c r="A617" s="203">
        <v>618000</v>
      </c>
      <c r="B617" s="202">
        <v>6840.15</v>
      </c>
    </row>
    <row r="618" spans="1:2" hidden="1" x14ac:dyDescent="0.25">
      <c r="A618" s="203">
        <v>619000</v>
      </c>
      <c r="B618" s="202">
        <v>6855.1</v>
      </c>
    </row>
    <row r="619" spans="1:2" hidden="1" x14ac:dyDescent="0.25">
      <c r="A619" s="203">
        <v>620000</v>
      </c>
      <c r="B619" s="202">
        <v>6870.1</v>
      </c>
    </row>
    <row r="620" spans="1:2" hidden="1" x14ac:dyDescent="0.25">
      <c r="A620" s="203">
        <v>621000</v>
      </c>
      <c r="B620" s="202">
        <v>6885.1</v>
      </c>
    </row>
    <row r="621" spans="1:2" hidden="1" x14ac:dyDescent="0.25">
      <c r="A621" s="203">
        <v>622000</v>
      </c>
      <c r="B621" s="202">
        <v>6900.1</v>
      </c>
    </row>
    <row r="622" spans="1:2" hidden="1" x14ac:dyDescent="0.25">
      <c r="A622" s="203">
        <v>623000</v>
      </c>
      <c r="B622" s="202">
        <v>6915.05</v>
      </c>
    </row>
    <row r="623" spans="1:2" hidden="1" x14ac:dyDescent="0.25">
      <c r="A623" s="203">
        <v>624000</v>
      </c>
      <c r="B623" s="202">
        <v>6930.05</v>
      </c>
    </row>
    <row r="624" spans="1:2" hidden="1" x14ac:dyDescent="0.25">
      <c r="A624" s="203">
        <v>625000</v>
      </c>
      <c r="B624" s="202">
        <v>6945.05</v>
      </c>
    </row>
    <row r="625" spans="1:2" hidden="1" x14ac:dyDescent="0.25">
      <c r="A625" s="203">
        <v>626000</v>
      </c>
      <c r="B625" s="202">
        <v>6960.05</v>
      </c>
    </row>
    <row r="626" spans="1:2" hidden="1" x14ac:dyDescent="0.25">
      <c r="A626" s="203">
        <v>627000</v>
      </c>
      <c r="B626" s="202">
        <v>6975.1</v>
      </c>
    </row>
    <row r="627" spans="1:2" hidden="1" x14ac:dyDescent="0.25">
      <c r="A627" s="203">
        <v>628000</v>
      </c>
      <c r="B627" s="202">
        <v>6990</v>
      </c>
    </row>
    <row r="628" spans="1:2" hidden="1" x14ac:dyDescent="0.25">
      <c r="A628" s="203">
        <v>629000</v>
      </c>
      <c r="B628" s="202">
        <v>7005.05</v>
      </c>
    </row>
    <row r="629" spans="1:2" hidden="1" x14ac:dyDescent="0.25">
      <c r="A629" s="203">
        <v>630000</v>
      </c>
      <c r="B629" s="202">
        <v>7020</v>
      </c>
    </row>
    <row r="630" spans="1:2" hidden="1" x14ac:dyDescent="0.25">
      <c r="A630" s="203">
        <v>631000</v>
      </c>
      <c r="B630" s="202">
        <v>7035.05</v>
      </c>
    </row>
    <row r="631" spans="1:2" hidden="1" x14ac:dyDescent="0.25">
      <c r="A631" s="203">
        <v>632000</v>
      </c>
      <c r="B631" s="202">
        <v>7049.95</v>
      </c>
    </row>
    <row r="632" spans="1:2" hidden="1" x14ac:dyDescent="0.25">
      <c r="A632" s="203">
        <v>633000</v>
      </c>
      <c r="B632" s="202">
        <v>7065</v>
      </c>
    </row>
    <row r="633" spans="1:2" hidden="1" x14ac:dyDescent="0.25">
      <c r="A633" s="203">
        <v>634000</v>
      </c>
      <c r="B633" s="202">
        <v>7079.95</v>
      </c>
    </row>
    <row r="634" spans="1:2" hidden="1" x14ac:dyDescent="0.25">
      <c r="A634" s="203">
        <v>635000</v>
      </c>
      <c r="B634" s="202">
        <v>7095</v>
      </c>
    </row>
    <row r="635" spans="1:2" hidden="1" x14ac:dyDescent="0.25">
      <c r="A635" s="203">
        <v>636000</v>
      </c>
      <c r="B635" s="202">
        <v>7109.95</v>
      </c>
    </row>
    <row r="636" spans="1:2" hidden="1" x14ac:dyDescent="0.25">
      <c r="A636" s="203">
        <v>637000</v>
      </c>
      <c r="B636" s="202">
        <v>7124.95</v>
      </c>
    </row>
    <row r="637" spans="1:2" hidden="1" x14ac:dyDescent="0.25">
      <c r="A637" s="203">
        <v>638000</v>
      </c>
      <c r="B637" s="202">
        <v>7139.95</v>
      </c>
    </row>
    <row r="638" spans="1:2" hidden="1" x14ac:dyDescent="0.25">
      <c r="A638" s="203">
        <v>639000</v>
      </c>
      <c r="B638" s="202">
        <v>7154.95</v>
      </c>
    </row>
    <row r="639" spans="1:2" hidden="1" x14ac:dyDescent="0.25">
      <c r="A639" s="203">
        <v>640000</v>
      </c>
      <c r="B639" s="202">
        <v>7169.9</v>
      </c>
    </row>
    <row r="640" spans="1:2" hidden="1" x14ac:dyDescent="0.25">
      <c r="A640" s="203">
        <v>641000</v>
      </c>
      <c r="B640" s="202">
        <v>7184.9</v>
      </c>
    </row>
    <row r="641" spans="1:2" hidden="1" x14ac:dyDescent="0.25">
      <c r="A641" s="203">
        <v>642000</v>
      </c>
      <c r="B641" s="202">
        <v>7199.85</v>
      </c>
    </row>
    <row r="642" spans="1:2" hidden="1" x14ac:dyDescent="0.25">
      <c r="A642" s="203">
        <v>643000</v>
      </c>
      <c r="B642" s="202">
        <v>7214.95</v>
      </c>
    </row>
    <row r="643" spans="1:2" hidden="1" x14ac:dyDescent="0.25">
      <c r="A643" s="203">
        <v>644000</v>
      </c>
      <c r="B643" s="202">
        <v>7229.85</v>
      </c>
    </row>
    <row r="644" spans="1:2" hidden="1" x14ac:dyDescent="0.25">
      <c r="A644" s="203">
        <v>645000</v>
      </c>
      <c r="B644" s="202">
        <v>7244.9</v>
      </c>
    </row>
    <row r="645" spans="1:2" hidden="1" x14ac:dyDescent="0.25">
      <c r="A645" s="203">
        <v>646000</v>
      </c>
      <c r="B645" s="202">
        <v>7259.85</v>
      </c>
    </row>
    <row r="646" spans="1:2" hidden="1" x14ac:dyDescent="0.25">
      <c r="A646" s="203">
        <v>647000</v>
      </c>
      <c r="B646" s="202">
        <v>7274.9</v>
      </c>
    </row>
    <row r="647" spans="1:2" hidden="1" x14ac:dyDescent="0.25">
      <c r="A647" s="203">
        <v>648000</v>
      </c>
      <c r="B647" s="202">
        <v>7289.85</v>
      </c>
    </row>
    <row r="648" spans="1:2" hidden="1" x14ac:dyDescent="0.25">
      <c r="A648" s="203">
        <v>649000</v>
      </c>
      <c r="B648" s="202">
        <v>7304.8</v>
      </c>
    </row>
    <row r="649" spans="1:2" hidden="1" x14ac:dyDescent="0.25">
      <c r="A649" s="203">
        <v>650000</v>
      </c>
      <c r="B649" s="202">
        <v>7319.8</v>
      </c>
    </row>
    <row r="650" spans="1:2" hidden="1" x14ac:dyDescent="0.25">
      <c r="A650" s="203">
        <v>651000</v>
      </c>
      <c r="B650" s="202">
        <v>7334.8</v>
      </c>
    </row>
    <row r="651" spans="1:2" hidden="1" x14ac:dyDescent="0.25">
      <c r="A651" s="203">
        <v>652000</v>
      </c>
      <c r="B651" s="202">
        <v>7349.85</v>
      </c>
    </row>
    <row r="652" spans="1:2" hidden="1" x14ac:dyDescent="0.25">
      <c r="A652" s="203">
        <v>653000</v>
      </c>
      <c r="B652" s="202">
        <v>7364.8</v>
      </c>
    </row>
    <row r="653" spans="1:2" hidden="1" x14ac:dyDescent="0.25">
      <c r="A653" s="203">
        <v>654000</v>
      </c>
      <c r="B653" s="202">
        <v>7379.8</v>
      </c>
    </row>
    <row r="654" spans="1:2" hidden="1" x14ac:dyDescent="0.25">
      <c r="A654" s="203">
        <v>655000</v>
      </c>
      <c r="B654" s="202">
        <v>7394.8</v>
      </c>
    </row>
    <row r="655" spans="1:2" hidden="1" x14ac:dyDescent="0.25">
      <c r="A655" s="203">
        <v>656000</v>
      </c>
      <c r="B655" s="202">
        <v>7409.75</v>
      </c>
    </row>
    <row r="656" spans="1:2" hidden="1" x14ac:dyDescent="0.25">
      <c r="A656" s="203">
        <v>657000</v>
      </c>
      <c r="B656" s="202">
        <v>7424.75</v>
      </c>
    </row>
    <row r="657" spans="1:2" hidden="1" x14ac:dyDescent="0.25">
      <c r="A657" s="203">
        <v>658000</v>
      </c>
      <c r="B657" s="202">
        <v>7439.7</v>
      </c>
    </row>
    <row r="658" spans="1:2" hidden="1" x14ac:dyDescent="0.25">
      <c r="A658" s="203">
        <v>659000</v>
      </c>
      <c r="B658" s="202">
        <v>7454.75</v>
      </c>
    </row>
    <row r="659" spans="1:2" hidden="1" x14ac:dyDescent="0.25">
      <c r="A659" s="203">
        <v>660000</v>
      </c>
      <c r="B659" s="202">
        <v>7469.7</v>
      </c>
    </row>
    <row r="660" spans="1:2" hidden="1" x14ac:dyDescent="0.25">
      <c r="A660" s="203">
        <v>661000</v>
      </c>
      <c r="B660" s="202">
        <v>7484.75</v>
      </c>
    </row>
    <row r="661" spans="1:2" hidden="1" x14ac:dyDescent="0.25">
      <c r="A661" s="203">
        <v>662000</v>
      </c>
      <c r="B661" s="202">
        <v>7499.7</v>
      </c>
    </row>
    <row r="662" spans="1:2" hidden="1" x14ac:dyDescent="0.25">
      <c r="A662" s="203">
        <v>663000</v>
      </c>
      <c r="B662" s="202">
        <v>7514.7</v>
      </c>
    </row>
    <row r="663" spans="1:2" hidden="1" x14ac:dyDescent="0.25">
      <c r="A663" s="203">
        <v>664000</v>
      </c>
      <c r="B663" s="202">
        <v>7529.7</v>
      </c>
    </row>
    <row r="664" spans="1:2" hidden="1" x14ac:dyDescent="0.25">
      <c r="A664" s="203">
        <v>665000</v>
      </c>
      <c r="B664" s="202">
        <v>7544.7</v>
      </c>
    </row>
    <row r="665" spans="1:2" hidden="1" x14ac:dyDescent="0.25">
      <c r="A665" s="203">
        <v>666000</v>
      </c>
      <c r="B665" s="202">
        <v>7559.65</v>
      </c>
    </row>
    <row r="666" spans="1:2" hidden="1" x14ac:dyDescent="0.25">
      <c r="A666" s="203">
        <v>667000</v>
      </c>
      <c r="B666" s="202">
        <v>7574.65</v>
      </c>
    </row>
    <row r="667" spans="1:2" hidden="1" x14ac:dyDescent="0.25">
      <c r="A667" s="203">
        <v>668000</v>
      </c>
      <c r="B667" s="202">
        <v>7589.65</v>
      </c>
    </row>
    <row r="668" spans="1:2" hidden="1" x14ac:dyDescent="0.25">
      <c r="A668" s="203">
        <v>669000</v>
      </c>
      <c r="B668" s="202">
        <v>7604.7</v>
      </c>
    </row>
    <row r="669" spans="1:2" hidden="1" x14ac:dyDescent="0.25">
      <c r="A669" s="203">
        <v>670000</v>
      </c>
      <c r="B669" s="202">
        <v>7619.65</v>
      </c>
    </row>
    <row r="670" spans="1:2" hidden="1" x14ac:dyDescent="0.25">
      <c r="A670" s="203">
        <v>671000</v>
      </c>
      <c r="B670" s="202">
        <v>7634.65</v>
      </c>
    </row>
    <row r="671" spans="1:2" hidden="1" x14ac:dyDescent="0.25">
      <c r="A671" s="203">
        <v>672000</v>
      </c>
      <c r="B671" s="202">
        <v>7649.6</v>
      </c>
    </row>
    <row r="672" spans="1:2" hidden="1" x14ac:dyDescent="0.25">
      <c r="A672" s="203">
        <v>673000</v>
      </c>
      <c r="B672" s="202">
        <v>7664.65</v>
      </c>
    </row>
    <row r="673" spans="1:2" hidden="1" x14ac:dyDescent="0.25">
      <c r="A673" s="203">
        <v>674000</v>
      </c>
      <c r="B673" s="202">
        <v>7679.55</v>
      </c>
    </row>
    <row r="674" spans="1:2" hidden="1" x14ac:dyDescent="0.25">
      <c r="A674" s="203">
        <v>675000</v>
      </c>
      <c r="B674" s="202">
        <v>7694.6</v>
      </c>
    </row>
    <row r="675" spans="1:2" hidden="1" x14ac:dyDescent="0.25">
      <c r="A675" s="203">
        <v>676000</v>
      </c>
      <c r="B675" s="202">
        <v>7709.55</v>
      </c>
    </row>
    <row r="676" spans="1:2" hidden="1" x14ac:dyDescent="0.25">
      <c r="A676" s="203">
        <v>677000</v>
      </c>
      <c r="B676" s="202">
        <v>7724.6</v>
      </c>
    </row>
    <row r="677" spans="1:2" hidden="1" x14ac:dyDescent="0.25">
      <c r="A677" s="203">
        <v>678000</v>
      </c>
      <c r="B677" s="202">
        <v>7739.55</v>
      </c>
    </row>
    <row r="678" spans="1:2" hidden="1" x14ac:dyDescent="0.25">
      <c r="A678" s="203">
        <v>679000</v>
      </c>
      <c r="B678" s="202">
        <v>7754.55</v>
      </c>
    </row>
    <row r="679" spans="1:2" hidden="1" x14ac:dyDescent="0.25">
      <c r="A679" s="203">
        <v>680000</v>
      </c>
      <c r="B679" s="202">
        <v>7769.55</v>
      </c>
    </row>
    <row r="680" spans="1:2" hidden="1" x14ac:dyDescent="0.25">
      <c r="A680" s="203">
        <v>681000</v>
      </c>
      <c r="B680" s="202">
        <v>7784.55</v>
      </c>
    </row>
    <row r="681" spans="1:2" hidden="1" x14ac:dyDescent="0.25">
      <c r="A681" s="203">
        <v>682000</v>
      </c>
      <c r="B681" s="202">
        <v>7799.5</v>
      </c>
    </row>
    <row r="682" spans="1:2" hidden="1" x14ac:dyDescent="0.25">
      <c r="A682" s="203">
        <v>683000</v>
      </c>
      <c r="B682" s="202">
        <v>7814.5</v>
      </c>
    </row>
    <row r="683" spans="1:2" hidden="1" x14ac:dyDescent="0.25">
      <c r="A683" s="203">
        <v>684000</v>
      </c>
      <c r="B683" s="202">
        <v>7829.5</v>
      </c>
    </row>
    <row r="684" spans="1:2" hidden="1" x14ac:dyDescent="0.25">
      <c r="A684" s="203">
        <v>685000</v>
      </c>
      <c r="B684" s="202">
        <v>7844.5</v>
      </c>
    </row>
    <row r="685" spans="1:2" hidden="1" x14ac:dyDescent="0.25">
      <c r="A685" s="203">
        <v>686000</v>
      </c>
      <c r="B685" s="202">
        <v>7859.45</v>
      </c>
    </row>
    <row r="686" spans="1:2" hidden="1" x14ac:dyDescent="0.25">
      <c r="A686" s="203">
        <v>687000</v>
      </c>
      <c r="B686" s="202">
        <v>7874.5</v>
      </c>
    </row>
    <row r="687" spans="1:2" hidden="1" x14ac:dyDescent="0.25">
      <c r="A687" s="203">
        <v>688000</v>
      </c>
      <c r="B687" s="202">
        <v>7889.45</v>
      </c>
    </row>
    <row r="688" spans="1:2" hidden="1" x14ac:dyDescent="0.25">
      <c r="A688" s="203">
        <v>689000</v>
      </c>
      <c r="B688" s="202">
        <v>7904.5</v>
      </c>
    </row>
    <row r="689" spans="1:2" hidden="1" x14ac:dyDescent="0.25">
      <c r="A689" s="203">
        <v>690000</v>
      </c>
      <c r="B689" s="202">
        <v>7919.45</v>
      </c>
    </row>
    <row r="690" spans="1:2" hidden="1" x14ac:dyDescent="0.25">
      <c r="A690" s="203">
        <v>691000</v>
      </c>
      <c r="B690" s="202">
        <v>7934.45</v>
      </c>
    </row>
    <row r="691" spans="1:2" hidden="1" x14ac:dyDescent="0.25">
      <c r="A691" s="203">
        <v>692000</v>
      </c>
      <c r="B691" s="202">
        <v>7949.4</v>
      </c>
    </row>
    <row r="692" spans="1:2" hidden="1" x14ac:dyDescent="0.25">
      <c r="A692" s="203">
        <v>693000</v>
      </c>
      <c r="B692" s="202">
        <v>7964.4</v>
      </c>
    </row>
    <row r="693" spans="1:2" hidden="1" x14ac:dyDescent="0.25">
      <c r="A693" s="203">
        <v>694000</v>
      </c>
      <c r="B693" s="202">
        <v>7979.4</v>
      </c>
    </row>
    <row r="694" spans="1:2" hidden="1" x14ac:dyDescent="0.25">
      <c r="A694" s="203">
        <v>695000</v>
      </c>
      <c r="B694" s="202">
        <v>7994.35</v>
      </c>
    </row>
    <row r="695" spans="1:2" hidden="1" x14ac:dyDescent="0.25">
      <c r="A695" s="203">
        <v>696000</v>
      </c>
      <c r="B695" s="202">
        <v>8009.4</v>
      </c>
    </row>
    <row r="696" spans="1:2" hidden="1" x14ac:dyDescent="0.25">
      <c r="A696" s="203">
        <v>697000</v>
      </c>
      <c r="B696" s="202">
        <v>8024.4</v>
      </c>
    </row>
    <row r="697" spans="1:2" hidden="1" x14ac:dyDescent="0.25">
      <c r="A697" s="203">
        <v>698000</v>
      </c>
      <c r="B697" s="202">
        <v>8039.4</v>
      </c>
    </row>
    <row r="698" spans="1:2" hidden="1" x14ac:dyDescent="0.25">
      <c r="A698" s="203">
        <v>699000</v>
      </c>
      <c r="B698" s="202">
        <v>8054.35</v>
      </c>
    </row>
    <row r="699" spans="1:2" hidden="1" x14ac:dyDescent="0.25">
      <c r="A699" s="203">
        <v>700000</v>
      </c>
      <c r="B699" s="202">
        <v>8069.3</v>
      </c>
    </row>
    <row r="700" spans="1:2" hidden="1" x14ac:dyDescent="0.25">
      <c r="A700" s="203">
        <v>701000</v>
      </c>
      <c r="B700" s="202">
        <v>8084.35</v>
      </c>
    </row>
    <row r="701" spans="1:2" hidden="1" x14ac:dyDescent="0.25">
      <c r="A701" s="203">
        <v>702000</v>
      </c>
      <c r="B701" s="202">
        <v>8099.3</v>
      </c>
    </row>
    <row r="702" spans="1:2" hidden="1" x14ac:dyDescent="0.25">
      <c r="A702" s="203">
        <v>702000</v>
      </c>
      <c r="B702" s="202">
        <v>8099.31</v>
      </c>
    </row>
    <row r="703" spans="1:2" hidden="1" x14ac:dyDescent="0.25">
      <c r="A703" s="203">
        <v>702000</v>
      </c>
      <c r="B703" s="202">
        <v>8099.32</v>
      </c>
    </row>
    <row r="704" spans="1:2" hidden="1" x14ac:dyDescent="0.25">
      <c r="A704" s="203">
        <v>702000</v>
      </c>
      <c r="B704" s="202">
        <v>8099.33</v>
      </c>
    </row>
    <row r="705" spans="1:2" hidden="1" x14ac:dyDescent="0.25">
      <c r="A705" s="203">
        <v>702000</v>
      </c>
      <c r="B705" s="202">
        <v>8099.34</v>
      </c>
    </row>
    <row r="706" spans="1:2" hidden="1" x14ac:dyDescent="0.25">
      <c r="A706" s="203">
        <v>702000</v>
      </c>
      <c r="B706" s="202">
        <v>8099.35</v>
      </c>
    </row>
    <row r="707" spans="1:2" hidden="1" x14ac:dyDescent="0.25">
      <c r="A707" s="203">
        <v>702000</v>
      </c>
      <c r="B707" s="202">
        <v>8099.36</v>
      </c>
    </row>
    <row r="708" spans="1:2" hidden="1" x14ac:dyDescent="0.25">
      <c r="A708" s="203">
        <v>702000</v>
      </c>
      <c r="B708" s="202">
        <v>8099.37</v>
      </c>
    </row>
    <row r="709" spans="1:2" hidden="1" x14ac:dyDescent="0.25">
      <c r="A709" s="203">
        <v>702000</v>
      </c>
      <c r="B709" s="202">
        <v>8099.38</v>
      </c>
    </row>
    <row r="710" spans="1:2" hidden="1" x14ac:dyDescent="0.25">
      <c r="A710" s="203">
        <v>702000</v>
      </c>
      <c r="B710" s="202">
        <v>8099.39</v>
      </c>
    </row>
    <row r="711" spans="1:2" hidden="1" x14ac:dyDescent="0.25">
      <c r="A711" s="203">
        <v>702000</v>
      </c>
      <c r="B711" s="202">
        <v>8099.4</v>
      </c>
    </row>
    <row r="712" spans="1:2" hidden="1" x14ac:dyDescent="0.25">
      <c r="A712" s="203">
        <v>702000</v>
      </c>
      <c r="B712" s="202">
        <v>8099.41</v>
      </c>
    </row>
    <row r="713" spans="1:2" hidden="1" x14ac:dyDescent="0.25">
      <c r="A713" s="203">
        <v>702000</v>
      </c>
      <c r="B713" s="202">
        <v>8099.42</v>
      </c>
    </row>
    <row r="714" spans="1:2" hidden="1" x14ac:dyDescent="0.25">
      <c r="A714" s="203">
        <v>702000</v>
      </c>
      <c r="B714" s="202">
        <v>8099.43</v>
      </c>
    </row>
    <row r="715" spans="1:2" hidden="1" x14ac:dyDescent="0.25">
      <c r="A715" s="203">
        <v>702000</v>
      </c>
      <c r="B715" s="202">
        <v>8099.44</v>
      </c>
    </row>
    <row r="716" spans="1:2" hidden="1" x14ac:dyDescent="0.25">
      <c r="A716" s="203">
        <v>702000</v>
      </c>
      <c r="B716" s="202">
        <v>8099.45</v>
      </c>
    </row>
    <row r="717" spans="1:2" hidden="1" x14ac:dyDescent="0.25">
      <c r="A717" s="203">
        <v>702000</v>
      </c>
      <c r="B717" s="202">
        <v>8099.46</v>
      </c>
    </row>
    <row r="718" spans="1:2" hidden="1" x14ac:dyDescent="0.25">
      <c r="A718" s="203">
        <v>702000</v>
      </c>
      <c r="B718" s="202">
        <v>8099.47</v>
      </c>
    </row>
    <row r="719" spans="1:2" hidden="1" x14ac:dyDescent="0.25">
      <c r="A719" s="203">
        <v>720000</v>
      </c>
      <c r="B719" s="202">
        <v>8369.1</v>
      </c>
    </row>
    <row r="720" spans="1:2" hidden="1" x14ac:dyDescent="0.25">
      <c r="A720" s="203">
        <v>721000</v>
      </c>
      <c r="B720" s="202">
        <v>8384.15</v>
      </c>
    </row>
    <row r="721" spans="1:2" hidden="1" x14ac:dyDescent="0.25">
      <c r="A721" s="203">
        <v>722000</v>
      </c>
      <c r="B721" s="202">
        <v>8399.15</v>
      </c>
    </row>
    <row r="722" spans="1:2" hidden="1" x14ac:dyDescent="0.25">
      <c r="A722" s="203">
        <v>723000</v>
      </c>
      <c r="B722" s="202">
        <v>8414.15</v>
      </c>
    </row>
    <row r="723" spans="1:2" hidden="1" x14ac:dyDescent="0.25">
      <c r="A723" s="203">
        <v>724000</v>
      </c>
      <c r="B723" s="202">
        <v>8429.15</v>
      </c>
    </row>
    <row r="724" spans="1:2" hidden="1" x14ac:dyDescent="0.25">
      <c r="A724" s="203">
        <v>725000</v>
      </c>
      <c r="B724" s="202">
        <v>8444.1</v>
      </c>
    </row>
    <row r="725" spans="1:2" hidden="1" x14ac:dyDescent="0.25">
      <c r="A725" s="203">
        <v>726000</v>
      </c>
      <c r="B725" s="202">
        <v>8459.1</v>
      </c>
    </row>
    <row r="726" spans="1:2" hidden="1" x14ac:dyDescent="0.25">
      <c r="A726" s="203">
        <v>727000</v>
      </c>
      <c r="B726" s="202">
        <v>8474.1</v>
      </c>
    </row>
    <row r="727" spans="1:2" hidden="1" x14ac:dyDescent="0.25">
      <c r="A727" s="203">
        <v>728000</v>
      </c>
      <c r="B727" s="202">
        <v>8489.1</v>
      </c>
    </row>
    <row r="728" spans="1:2" hidden="1" x14ac:dyDescent="0.25">
      <c r="A728" s="203">
        <v>729000</v>
      </c>
      <c r="B728" s="202">
        <v>8504.0499999999993</v>
      </c>
    </row>
    <row r="729" spans="1:2" hidden="1" x14ac:dyDescent="0.25">
      <c r="A729" s="203">
        <v>730000</v>
      </c>
      <c r="B729" s="202">
        <v>8519</v>
      </c>
    </row>
    <row r="730" spans="1:2" hidden="1" x14ac:dyDescent="0.25">
      <c r="A730" s="203">
        <v>731000</v>
      </c>
      <c r="B730" s="202">
        <v>8534.1</v>
      </c>
    </row>
    <row r="731" spans="1:2" hidden="1" x14ac:dyDescent="0.25">
      <c r="A731" s="203">
        <v>732000</v>
      </c>
      <c r="B731" s="202">
        <v>8549.0499999999993</v>
      </c>
    </row>
    <row r="732" spans="1:2" hidden="1" x14ac:dyDescent="0.25">
      <c r="A732" s="203">
        <v>733000</v>
      </c>
      <c r="B732" s="202">
        <v>8564.0499999999993</v>
      </c>
    </row>
    <row r="733" spans="1:2" hidden="1" x14ac:dyDescent="0.25">
      <c r="A733" s="203">
        <v>734000</v>
      </c>
      <c r="B733" s="202">
        <v>8579</v>
      </c>
    </row>
    <row r="734" spans="1:2" hidden="1" x14ac:dyDescent="0.25">
      <c r="A734" s="203">
        <v>735000</v>
      </c>
      <c r="B734" s="202">
        <v>8594.0499999999993</v>
      </c>
    </row>
    <row r="735" spans="1:2" hidden="1" x14ac:dyDescent="0.25">
      <c r="A735" s="203">
        <v>736000</v>
      </c>
      <c r="B735" s="202">
        <v>8609</v>
      </c>
    </row>
    <row r="736" spans="1:2" hidden="1" x14ac:dyDescent="0.25">
      <c r="A736" s="203">
        <v>737000</v>
      </c>
      <c r="B736" s="202">
        <v>8624</v>
      </c>
    </row>
    <row r="737" spans="1:2" hidden="1" x14ac:dyDescent="0.25">
      <c r="A737" s="203">
        <v>738000</v>
      </c>
      <c r="B737" s="202">
        <v>8638.9500000000007</v>
      </c>
    </row>
    <row r="738" spans="1:2" hidden="1" x14ac:dyDescent="0.25">
      <c r="A738" s="203">
        <v>739000</v>
      </c>
      <c r="B738" s="202">
        <v>8654</v>
      </c>
    </row>
    <row r="739" spans="1:2" hidden="1" x14ac:dyDescent="0.25">
      <c r="A739" s="203">
        <v>740000</v>
      </c>
      <c r="B739" s="202">
        <v>8669</v>
      </c>
    </row>
    <row r="740" spans="1:2" hidden="1" x14ac:dyDescent="0.25">
      <c r="A740" s="203">
        <v>741000</v>
      </c>
      <c r="B740" s="202">
        <v>8683.9500000000007</v>
      </c>
    </row>
    <row r="741" spans="1:2" hidden="1" x14ac:dyDescent="0.25">
      <c r="A741" s="203">
        <v>742000</v>
      </c>
      <c r="B741" s="202">
        <v>8698.9500000000007</v>
      </c>
    </row>
    <row r="742" spans="1:2" hidden="1" x14ac:dyDescent="0.25">
      <c r="A742" s="203">
        <v>743000</v>
      </c>
      <c r="B742" s="202">
        <v>8713.9500000000007</v>
      </c>
    </row>
    <row r="743" spans="1:2" hidden="1" x14ac:dyDescent="0.25">
      <c r="A743" s="203">
        <v>744000</v>
      </c>
      <c r="B743" s="202">
        <v>8728.9500000000007</v>
      </c>
    </row>
    <row r="744" spans="1:2" hidden="1" x14ac:dyDescent="0.25">
      <c r="A744" s="203">
        <v>745000</v>
      </c>
      <c r="B744" s="202">
        <v>8743.9500000000007</v>
      </c>
    </row>
    <row r="745" spans="1:2" hidden="1" x14ac:dyDescent="0.25">
      <c r="A745" s="203">
        <v>746000</v>
      </c>
      <c r="B745" s="202">
        <v>8758.85</v>
      </c>
    </row>
    <row r="746" spans="1:2" hidden="1" x14ac:dyDescent="0.25">
      <c r="A746" s="203">
        <v>747000</v>
      </c>
      <c r="B746" s="202">
        <v>8773.9</v>
      </c>
    </row>
    <row r="747" spans="1:2" hidden="1" x14ac:dyDescent="0.25">
      <c r="A747" s="203">
        <v>748000</v>
      </c>
      <c r="B747" s="202">
        <v>8788.9</v>
      </c>
    </row>
    <row r="748" spans="1:2" hidden="1" x14ac:dyDescent="0.25">
      <c r="A748" s="203">
        <v>749000</v>
      </c>
      <c r="B748" s="202">
        <v>8803.9500000000007</v>
      </c>
    </row>
    <row r="749" spans="1:2" hidden="1" x14ac:dyDescent="0.25">
      <c r="A749" s="203">
        <v>750000</v>
      </c>
      <c r="B749" s="202">
        <v>8818.85</v>
      </c>
    </row>
    <row r="750" spans="1:2" hidden="1" x14ac:dyDescent="0.25">
      <c r="A750" s="203">
        <v>751000</v>
      </c>
      <c r="B750" s="202">
        <v>8833.9</v>
      </c>
    </row>
    <row r="751" spans="1:2" hidden="1" x14ac:dyDescent="0.25">
      <c r="A751" s="203">
        <v>752000</v>
      </c>
      <c r="B751" s="202">
        <v>8848.85</v>
      </c>
    </row>
    <row r="752" spans="1:2" hidden="1" x14ac:dyDescent="0.25">
      <c r="A752" s="203">
        <v>753000</v>
      </c>
      <c r="B752" s="202">
        <v>8863.85</v>
      </c>
    </row>
    <row r="753" spans="1:2" hidden="1" x14ac:dyDescent="0.25">
      <c r="A753" s="203">
        <v>754000</v>
      </c>
      <c r="B753" s="202">
        <v>8878.7999999999993</v>
      </c>
    </row>
    <row r="754" spans="1:2" hidden="1" x14ac:dyDescent="0.25">
      <c r="A754" s="203">
        <v>755000</v>
      </c>
      <c r="B754" s="202">
        <v>8893.7999999999993</v>
      </c>
    </row>
    <row r="755" spans="1:2" hidden="1" x14ac:dyDescent="0.25">
      <c r="A755" s="203">
        <v>756000</v>
      </c>
      <c r="B755" s="202">
        <v>8908.7999999999993</v>
      </c>
    </row>
    <row r="756" spans="1:2" hidden="1" x14ac:dyDescent="0.25">
      <c r="A756" s="203">
        <v>757000</v>
      </c>
      <c r="B756" s="202">
        <v>8923.85</v>
      </c>
    </row>
    <row r="757" spans="1:2" hidden="1" x14ac:dyDescent="0.25">
      <c r="A757" s="203">
        <v>758000</v>
      </c>
      <c r="B757" s="202">
        <v>8938.7999999999993</v>
      </c>
    </row>
    <row r="758" spans="1:2" hidden="1" x14ac:dyDescent="0.25">
      <c r="A758" s="203">
        <v>759000</v>
      </c>
      <c r="B758" s="202">
        <v>8953.7999999999993</v>
      </c>
    </row>
    <row r="759" spans="1:2" hidden="1" x14ac:dyDescent="0.25">
      <c r="A759" s="203">
        <v>760000</v>
      </c>
      <c r="B759" s="202">
        <v>8968.75</v>
      </c>
    </row>
    <row r="760" spans="1:2" hidden="1" x14ac:dyDescent="0.25">
      <c r="A760" s="203">
        <v>761000</v>
      </c>
      <c r="B760" s="202">
        <v>8983.7999999999993</v>
      </c>
    </row>
    <row r="761" spans="1:2" hidden="1" x14ac:dyDescent="0.25">
      <c r="A761" s="203">
        <v>762000</v>
      </c>
      <c r="B761" s="202">
        <v>8998.7000000000007</v>
      </c>
    </row>
    <row r="762" spans="1:2" hidden="1" x14ac:dyDescent="0.25">
      <c r="A762" s="203">
        <v>763000</v>
      </c>
      <c r="B762" s="202">
        <v>9013.75</v>
      </c>
    </row>
    <row r="763" spans="1:2" hidden="1" x14ac:dyDescent="0.25">
      <c r="A763" s="203">
        <v>764000</v>
      </c>
      <c r="B763" s="202">
        <v>9028.7000000000007</v>
      </c>
    </row>
    <row r="764" spans="1:2" hidden="1" x14ac:dyDescent="0.25">
      <c r="A764" s="203">
        <v>765000</v>
      </c>
      <c r="B764" s="202">
        <v>9043.7999999999993</v>
      </c>
    </row>
    <row r="765" spans="1:2" hidden="1" x14ac:dyDescent="0.25">
      <c r="A765" s="203">
        <v>766000</v>
      </c>
      <c r="B765" s="202">
        <v>9058.75</v>
      </c>
    </row>
    <row r="766" spans="1:2" hidden="1" x14ac:dyDescent="0.25">
      <c r="A766" s="203">
        <v>767000</v>
      </c>
      <c r="B766" s="202">
        <v>9073.7000000000007</v>
      </c>
    </row>
    <row r="767" spans="1:2" hidden="1" x14ac:dyDescent="0.25">
      <c r="A767" s="203">
        <v>768000</v>
      </c>
      <c r="B767" s="202">
        <v>9088.7000000000007</v>
      </c>
    </row>
    <row r="768" spans="1:2" hidden="1" x14ac:dyDescent="0.25">
      <c r="A768" s="203">
        <v>769000</v>
      </c>
      <c r="B768" s="202">
        <v>9103.7000000000007</v>
      </c>
    </row>
    <row r="769" spans="1:2" hidden="1" x14ac:dyDescent="0.25">
      <c r="A769" s="203">
        <v>770000</v>
      </c>
      <c r="B769" s="202">
        <v>9118.7000000000007</v>
      </c>
    </row>
    <row r="770" spans="1:2" hidden="1" x14ac:dyDescent="0.25">
      <c r="A770" s="203">
        <v>771000</v>
      </c>
      <c r="B770" s="202">
        <v>9133.65</v>
      </c>
    </row>
    <row r="771" spans="1:2" hidden="1" x14ac:dyDescent="0.25">
      <c r="A771" s="203">
        <v>772000</v>
      </c>
      <c r="B771" s="202">
        <v>9148.65</v>
      </c>
    </row>
    <row r="772" spans="1:2" hidden="1" x14ac:dyDescent="0.25">
      <c r="A772" s="203">
        <v>773000</v>
      </c>
      <c r="B772" s="202">
        <v>9163.65</v>
      </c>
    </row>
    <row r="773" spans="1:2" hidden="1" x14ac:dyDescent="0.25">
      <c r="A773" s="203">
        <v>774000</v>
      </c>
      <c r="B773" s="202">
        <v>9178.65</v>
      </c>
    </row>
    <row r="774" spans="1:2" hidden="1" x14ac:dyDescent="0.25">
      <c r="A774" s="203">
        <v>775000</v>
      </c>
      <c r="B774" s="202">
        <v>9193.65</v>
      </c>
    </row>
    <row r="775" spans="1:2" hidden="1" x14ac:dyDescent="0.25">
      <c r="A775" s="203">
        <v>776000</v>
      </c>
      <c r="B775" s="202">
        <v>9208.6</v>
      </c>
    </row>
    <row r="776" spans="1:2" hidden="1" x14ac:dyDescent="0.25">
      <c r="A776" s="203">
        <v>777000</v>
      </c>
      <c r="B776" s="202">
        <v>9223.65</v>
      </c>
    </row>
    <row r="777" spans="1:2" hidden="1" x14ac:dyDescent="0.25">
      <c r="A777" s="203">
        <v>778000</v>
      </c>
      <c r="B777" s="202">
        <v>9238.6</v>
      </c>
    </row>
    <row r="778" spans="1:2" hidden="1" x14ac:dyDescent="0.25">
      <c r="A778" s="203">
        <v>779000</v>
      </c>
      <c r="B778" s="202">
        <v>9253.6</v>
      </c>
    </row>
    <row r="779" spans="1:2" hidden="1" x14ac:dyDescent="0.25">
      <c r="A779" s="203">
        <v>780000</v>
      </c>
      <c r="B779" s="202">
        <v>9268.5499999999993</v>
      </c>
    </row>
    <row r="780" spans="1:2" hidden="1" x14ac:dyDescent="0.25">
      <c r="A780" s="203">
        <v>781000</v>
      </c>
      <c r="B780" s="202">
        <v>9283.6</v>
      </c>
    </row>
    <row r="781" spans="1:2" hidden="1" x14ac:dyDescent="0.25">
      <c r="A781" s="203">
        <v>782000</v>
      </c>
      <c r="B781" s="202">
        <v>9298.5499999999993</v>
      </c>
    </row>
    <row r="782" spans="1:2" hidden="1" x14ac:dyDescent="0.25">
      <c r="A782" s="203">
        <v>783000</v>
      </c>
      <c r="B782" s="202">
        <v>9313.5499999999993</v>
      </c>
    </row>
    <row r="783" spans="1:2" hidden="1" x14ac:dyDescent="0.25">
      <c r="A783" s="203">
        <v>784000</v>
      </c>
      <c r="B783" s="202">
        <v>9328.5499999999993</v>
      </c>
    </row>
    <row r="784" spans="1:2" hidden="1" x14ac:dyDescent="0.25">
      <c r="A784" s="203">
        <v>785000</v>
      </c>
      <c r="B784" s="202">
        <v>9343.5499999999993</v>
      </c>
    </row>
    <row r="785" spans="1:2" hidden="1" x14ac:dyDescent="0.25">
      <c r="A785" s="203">
        <v>786000</v>
      </c>
      <c r="B785" s="202">
        <v>9358.5499999999993</v>
      </c>
    </row>
    <row r="786" spans="1:2" hidden="1" x14ac:dyDescent="0.25">
      <c r="A786" s="203">
        <v>787000</v>
      </c>
      <c r="B786" s="202">
        <v>9373.5499999999993</v>
      </c>
    </row>
    <row r="787" spans="1:2" hidden="1" x14ac:dyDescent="0.25">
      <c r="A787" s="203">
        <v>788000</v>
      </c>
      <c r="B787" s="202">
        <v>9388.5</v>
      </c>
    </row>
    <row r="788" spans="1:2" hidden="1" x14ac:dyDescent="0.25">
      <c r="A788" s="203">
        <v>789000</v>
      </c>
      <c r="B788" s="202">
        <v>9403.5</v>
      </c>
    </row>
    <row r="789" spans="1:2" hidden="1" x14ac:dyDescent="0.25">
      <c r="A789" s="203">
        <v>790000</v>
      </c>
      <c r="B789" s="202">
        <v>9418.4500000000007</v>
      </c>
    </row>
    <row r="790" spans="1:2" hidden="1" x14ac:dyDescent="0.25">
      <c r="A790" s="203">
        <v>791000</v>
      </c>
      <c r="B790" s="202">
        <v>9433.5499999999993</v>
      </c>
    </row>
    <row r="791" spans="1:2" hidden="1" x14ac:dyDescent="0.25">
      <c r="A791" s="203">
        <v>792000</v>
      </c>
      <c r="B791" s="202">
        <v>9448.4500000000007</v>
      </c>
    </row>
    <row r="792" spans="1:2" hidden="1" x14ac:dyDescent="0.25">
      <c r="A792" s="203">
        <v>793000</v>
      </c>
      <c r="B792" s="202">
        <v>9463.5</v>
      </c>
    </row>
    <row r="793" spans="1:2" hidden="1" x14ac:dyDescent="0.25">
      <c r="A793" s="203">
        <v>794000</v>
      </c>
      <c r="B793" s="202">
        <v>9478.4500000000007</v>
      </c>
    </row>
    <row r="794" spans="1:2" hidden="1" x14ac:dyDescent="0.25">
      <c r="A794" s="203">
        <v>795000</v>
      </c>
      <c r="B794" s="202">
        <v>9493.5</v>
      </c>
    </row>
    <row r="795" spans="1:2" hidden="1" x14ac:dyDescent="0.25">
      <c r="A795" s="203">
        <v>796000</v>
      </c>
      <c r="B795" s="202">
        <v>9508.4</v>
      </c>
    </row>
    <row r="796" spans="1:2" hidden="1" x14ac:dyDescent="0.25">
      <c r="A796" s="203">
        <v>797000</v>
      </c>
      <c r="B796" s="202">
        <v>9523.4</v>
      </c>
    </row>
    <row r="797" spans="1:2" hidden="1" x14ac:dyDescent="0.25">
      <c r="A797" s="203">
        <v>798000</v>
      </c>
      <c r="B797" s="202">
        <v>9538.4</v>
      </c>
    </row>
    <row r="798" spans="1:2" hidden="1" x14ac:dyDescent="0.25">
      <c r="A798" s="203">
        <v>799000</v>
      </c>
      <c r="B798" s="202">
        <v>9553.4</v>
      </c>
    </row>
    <row r="799" spans="1:2" hidden="1" x14ac:dyDescent="0.25">
      <c r="A799" s="203">
        <v>800000</v>
      </c>
      <c r="B799" s="202">
        <v>9568.4</v>
      </c>
    </row>
    <row r="800" spans="1:2" hidden="1" x14ac:dyDescent="0.25">
      <c r="A800" s="203">
        <v>801000</v>
      </c>
      <c r="B800" s="202">
        <v>9574.75</v>
      </c>
    </row>
    <row r="801" spans="1:2" hidden="1" x14ac:dyDescent="0.25">
      <c r="A801" s="203">
        <v>802000</v>
      </c>
      <c r="B801" s="202">
        <v>9581.15</v>
      </c>
    </row>
    <row r="802" spans="1:2" hidden="1" x14ac:dyDescent="0.25">
      <c r="A802" s="203">
        <v>803000</v>
      </c>
      <c r="B802" s="202">
        <v>9587.5</v>
      </c>
    </row>
    <row r="803" spans="1:2" hidden="1" x14ac:dyDescent="0.25">
      <c r="A803" s="203">
        <v>804000</v>
      </c>
      <c r="B803" s="202">
        <v>9593.85</v>
      </c>
    </row>
    <row r="804" spans="1:2" hidden="1" x14ac:dyDescent="0.25">
      <c r="A804" s="203">
        <v>805000</v>
      </c>
      <c r="B804" s="202">
        <v>9600.2000000000007</v>
      </c>
    </row>
    <row r="805" spans="1:2" hidden="1" x14ac:dyDescent="0.25">
      <c r="A805" s="203">
        <v>806000</v>
      </c>
      <c r="B805" s="202">
        <v>9606.5499999999993</v>
      </c>
    </row>
    <row r="806" spans="1:2" hidden="1" x14ac:dyDescent="0.25">
      <c r="A806" s="203">
        <v>807000</v>
      </c>
      <c r="B806" s="202">
        <v>9612.9500000000007</v>
      </c>
    </row>
    <row r="807" spans="1:2" hidden="1" x14ac:dyDescent="0.25">
      <c r="A807" s="203">
        <v>808000</v>
      </c>
      <c r="B807" s="202">
        <v>9619.2999999999993</v>
      </c>
    </row>
    <row r="808" spans="1:2" hidden="1" x14ac:dyDescent="0.25">
      <c r="A808" s="203">
        <v>809000</v>
      </c>
      <c r="B808" s="202">
        <v>9625.7000000000007</v>
      </c>
    </row>
    <row r="809" spans="1:2" hidden="1" x14ac:dyDescent="0.25">
      <c r="A809" s="203">
        <v>810000</v>
      </c>
      <c r="B809" s="202">
        <v>9632.0499999999993</v>
      </c>
    </row>
    <row r="810" spans="1:2" hidden="1" x14ac:dyDescent="0.25">
      <c r="A810" s="203">
        <v>811000</v>
      </c>
      <c r="B810" s="202">
        <v>9638.35</v>
      </c>
    </row>
    <row r="811" spans="1:2" hidden="1" x14ac:dyDescent="0.25">
      <c r="A811" s="203">
        <v>812000</v>
      </c>
      <c r="B811" s="202">
        <v>9644.75</v>
      </c>
    </row>
    <row r="812" spans="1:2" hidden="1" x14ac:dyDescent="0.25">
      <c r="A812" s="203">
        <v>813000</v>
      </c>
      <c r="B812" s="202">
        <v>9651.1</v>
      </c>
    </row>
    <row r="813" spans="1:2" hidden="1" x14ac:dyDescent="0.25">
      <c r="A813" s="203">
        <v>814000</v>
      </c>
      <c r="B813" s="202">
        <v>9657.5</v>
      </c>
    </row>
    <row r="814" spans="1:2" hidden="1" x14ac:dyDescent="0.25">
      <c r="A814" s="203">
        <v>815000</v>
      </c>
      <c r="B814" s="202">
        <v>9663.85</v>
      </c>
    </row>
    <row r="815" spans="1:2" hidden="1" x14ac:dyDescent="0.25">
      <c r="A815" s="203">
        <v>816000</v>
      </c>
      <c r="B815" s="202">
        <v>9670.2000000000007</v>
      </c>
    </row>
    <row r="816" spans="1:2" hidden="1" x14ac:dyDescent="0.25">
      <c r="A816" s="203">
        <v>817000</v>
      </c>
      <c r="B816" s="202">
        <v>9676.6</v>
      </c>
    </row>
    <row r="817" spans="1:2" hidden="1" x14ac:dyDescent="0.25">
      <c r="A817" s="203">
        <v>818000</v>
      </c>
      <c r="B817" s="202">
        <v>9682.9</v>
      </c>
    </row>
    <row r="818" spans="1:2" hidden="1" x14ac:dyDescent="0.25">
      <c r="A818" s="203">
        <v>819000</v>
      </c>
      <c r="B818" s="202">
        <v>9689.2999999999993</v>
      </c>
    </row>
    <row r="819" spans="1:2" hidden="1" x14ac:dyDescent="0.25">
      <c r="A819" s="203">
        <v>820000</v>
      </c>
      <c r="B819" s="202">
        <v>9695.65</v>
      </c>
    </row>
    <row r="820" spans="1:2" hidden="1" x14ac:dyDescent="0.25">
      <c r="A820" s="203">
        <v>821000</v>
      </c>
      <c r="B820" s="202">
        <v>9702</v>
      </c>
    </row>
    <row r="821" spans="1:2" hidden="1" x14ac:dyDescent="0.25">
      <c r="A821" s="203">
        <v>822000</v>
      </c>
      <c r="B821" s="202">
        <v>9708.4</v>
      </c>
    </row>
    <row r="822" spans="1:2" hidden="1" x14ac:dyDescent="0.25">
      <c r="A822" s="203">
        <v>823000</v>
      </c>
      <c r="B822" s="202">
        <v>9714.75</v>
      </c>
    </row>
    <row r="823" spans="1:2" hidden="1" x14ac:dyDescent="0.25">
      <c r="A823" s="203">
        <v>824000</v>
      </c>
      <c r="B823" s="202">
        <v>9721.15</v>
      </c>
    </row>
    <row r="824" spans="1:2" hidden="1" x14ac:dyDescent="0.25">
      <c r="A824" s="203">
        <v>825000</v>
      </c>
      <c r="B824" s="202">
        <v>9727.4500000000007</v>
      </c>
    </row>
    <row r="825" spans="1:2" hidden="1" x14ac:dyDescent="0.25">
      <c r="A825" s="203">
        <v>826000</v>
      </c>
      <c r="B825" s="202">
        <v>9733.7999999999993</v>
      </c>
    </row>
    <row r="826" spans="1:2" hidden="1" x14ac:dyDescent="0.25">
      <c r="A826" s="203">
        <v>827000</v>
      </c>
      <c r="B826" s="202">
        <v>9740.2000000000007</v>
      </c>
    </row>
    <row r="827" spans="1:2" hidden="1" x14ac:dyDescent="0.25">
      <c r="A827" s="203">
        <v>828000</v>
      </c>
      <c r="B827" s="202">
        <v>9746.5499999999993</v>
      </c>
    </row>
    <row r="828" spans="1:2" hidden="1" x14ac:dyDescent="0.25">
      <c r="A828" s="203">
        <v>829000</v>
      </c>
      <c r="B828" s="202">
        <v>9752.9500000000007</v>
      </c>
    </row>
    <row r="829" spans="1:2" hidden="1" x14ac:dyDescent="0.25">
      <c r="A829" s="203">
        <v>830000</v>
      </c>
      <c r="B829" s="202">
        <v>9759.2999999999993</v>
      </c>
    </row>
    <row r="830" spans="1:2" hidden="1" x14ac:dyDescent="0.25">
      <c r="A830" s="203">
        <v>831000</v>
      </c>
      <c r="B830" s="202">
        <v>9765.65</v>
      </c>
    </row>
    <row r="831" spans="1:2" hidden="1" x14ac:dyDescent="0.25">
      <c r="A831" s="203">
        <v>832000</v>
      </c>
      <c r="B831" s="202">
        <v>9772.0499999999993</v>
      </c>
    </row>
    <row r="832" spans="1:2" hidden="1" x14ac:dyDescent="0.25">
      <c r="A832" s="203">
        <v>833000</v>
      </c>
      <c r="B832" s="202">
        <v>9778.35</v>
      </c>
    </row>
    <row r="833" spans="1:2" hidden="1" x14ac:dyDescent="0.25">
      <c r="A833" s="203">
        <v>834000</v>
      </c>
      <c r="B833" s="202">
        <v>9784.75</v>
      </c>
    </row>
    <row r="834" spans="1:2" hidden="1" x14ac:dyDescent="0.25">
      <c r="A834" s="203">
        <v>835000</v>
      </c>
      <c r="B834" s="202">
        <v>9791.15</v>
      </c>
    </row>
    <row r="835" spans="1:2" hidden="1" x14ac:dyDescent="0.25">
      <c r="A835" s="203">
        <v>836000</v>
      </c>
      <c r="B835" s="202">
        <v>9797.4500000000007</v>
      </c>
    </row>
    <row r="836" spans="1:2" hidden="1" x14ac:dyDescent="0.25">
      <c r="A836" s="203">
        <v>837000</v>
      </c>
      <c r="B836" s="202">
        <v>9803.85</v>
      </c>
    </row>
    <row r="837" spans="1:2" hidden="1" x14ac:dyDescent="0.25">
      <c r="A837" s="203">
        <v>838000</v>
      </c>
      <c r="B837" s="202">
        <v>9810.2000000000007</v>
      </c>
    </row>
    <row r="838" spans="1:2" hidden="1" x14ac:dyDescent="0.25">
      <c r="A838" s="203">
        <v>839000</v>
      </c>
      <c r="B838" s="202">
        <v>9816.6</v>
      </c>
    </row>
    <row r="839" spans="1:2" hidden="1" x14ac:dyDescent="0.25">
      <c r="A839" s="203">
        <v>840000</v>
      </c>
      <c r="B839" s="202">
        <v>9822.9</v>
      </c>
    </row>
    <row r="840" spans="1:2" hidden="1" x14ac:dyDescent="0.25">
      <c r="A840" s="203">
        <v>841000</v>
      </c>
      <c r="B840" s="202">
        <v>9829.25</v>
      </c>
    </row>
    <row r="841" spans="1:2" hidden="1" x14ac:dyDescent="0.25">
      <c r="A841" s="203">
        <v>842000</v>
      </c>
      <c r="B841" s="202">
        <v>9835.7000000000007</v>
      </c>
    </row>
    <row r="842" spans="1:2" hidden="1" x14ac:dyDescent="0.25">
      <c r="A842" s="203">
        <v>843000</v>
      </c>
      <c r="B842" s="202">
        <v>9842</v>
      </c>
    </row>
    <row r="843" spans="1:2" hidden="1" x14ac:dyDescent="0.25">
      <c r="A843" s="203">
        <v>844000</v>
      </c>
      <c r="B843" s="202">
        <v>9848.4</v>
      </c>
    </row>
    <row r="844" spans="1:2" hidden="1" x14ac:dyDescent="0.25">
      <c r="A844" s="203">
        <v>845000</v>
      </c>
      <c r="B844" s="202">
        <v>9854.75</v>
      </c>
    </row>
    <row r="845" spans="1:2" hidden="1" x14ac:dyDescent="0.25">
      <c r="A845" s="203">
        <v>846000</v>
      </c>
      <c r="B845" s="202">
        <v>9861.1</v>
      </c>
    </row>
    <row r="846" spans="1:2" hidden="1" x14ac:dyDescent="0.25">
      <c r="A846" s="203">
        <v>847000</v>
      </c>
      <c r="B846" s="202">
        <v>9867.4500000000007</v>
      </c>
    </row>
    <row r="847" spans="1:2" hidden="1" x14ac:dyDescent="0.25">
      <c r="A847" s="203">
        <v>848000</v>
      </c>
      <c r="B847" s="202">
        <v>9873.7999999999993</v>
      </c>
    </row>
    <row r="848" spans="1:2" hidden="1" x14ac:dyDescent="0.25">
      <c r="A848" s="203">
        <v>849000</v>
      </c>
      <c r="B848" s="202">
        <v>9880.25</v>
      </c>
    </row>
    <row r="849" spans="1:2" hidden="1" x14ac:dyDescent="0.25">
      <c r="A849" s="203">
        <v>850000</v>
      </c>
      <c r="B849" s="202">
        <v>9886.5499999999993</v>
      </c>
    </row>
    <row r="850" spans="1:2" hidden="1" x14ac:dyDescent="0.25">
      <c r="A850" s="203">
        <v>851000</v>
      </c>
      <c r="B850" s="202">
        <v>9892.9</v>
      </c>
    </row>
    <row r="851" spans="1:2" hidden="1" x14ac:dyDescent="0.25">
      <c r="A851" s="203">
        <v>852000</v>
      </c>
      <c r="B851" s="202">
        <v>9899.2999999999993</v>
      </c>
    </row>
    <row r="852" spans="1:2" hidden="1" x14ac:dyDescent="0.25">
      <c r="A852" s="203">
        <v>853000</v>
      </c>
      <c r="B852" s="202">
        <v>9905.65</v>
      </c>
    </row>
    <row r="853" spans="1:2" hidden="1" x14ac:dyDescent="0.25">
      <c r="A853" s="203">
        <v>854000</v>
      </c>
      <c r="B853" s="202">
        <v>9912</v>
      </c>
    </row>
    <row r="854" spans="1:2" hidden="1" x14ac:dyDescent="0.25">
      <c r="A854" s="203">
        <v>855000</v>
      </c>
      <c r="B854" s="202">
        <v>9918.35</v>
      </c>
    </row>
    <row r="855" spans="1:2" hidden="1" x14ac:dyDescent="0.25">
      <c r="A855" s="203">
        <v>856000</v>
      </c>
      <c r="B855" s="202">
        <v>9924.75</v>
      </c>
    </row>
    <row r="856" spans="1:2" hidden="1" x14ac:dyDescent="0.25">
      <c r="A856" s="203">
        <v>857000</v>
      </c>
      <c r="B856" s="202">
        <v>9931.1</v>
      </c>
    </row>
    <row r="857" spans="1:2" hidden="1" x14ac:dyDescent="0.25">
      <c r="A857" s="203">
        <v>858000</v>
      </c>
      <c r="B857" s="202">
        <v>9937.4500000000007</v>
      </c>
    </row>
    <row r="858" spans="1:2" hidden="1" x14ac:dyDescent="0.25">
      <c r="A858" s="203">
        <v>859000</v>
      </c>
      <c r="B858" s="202">
        <v>9943.85</v>
      </c>
    </row>
    <row r="859" spans="1:2" hidden="1" x14ac:dyDescent="0.25">
      <c r="A859" s="203">
        <v>860000</v>
      </c>
      <c r="B859" s="202">
        <v>9950.2000000000007</v>
      </c>
    </row>
    <row r="860" spans="1:2" hidden="1" x14ac:dyDescent="0.25">
      <c r="A860" s="203">
        <v>861000</v>
      </c>
      <c r="B860" s="202">
        <v>9956.5</v>
      </c>
    </row>
    <row r="861" spans="1:2" hidden="1" x14ac:dyDescent="0.25">
      <c r="A861" s="203">
        <v>862000</v>
      </c>
      <c r="B861" s="202">
        <v>9962.9</v>
      </c>
    </row>
    <row r="862" spans="1:2" hidden="1" x14ac:dyDescent="0.25">
      <c r="A862" s="203">
        <v>863000</v>
      </c>
      <c r="B862" s="202">
        <v>9969.2999999999993</v>
      </c>
    </row>
    <row r="863" spans="1:2" hidden="1" x14ac:dyDescent="0.25">
      <c r="A863" s="203">
        <v>864000</v>
      </c>
      <c r="B863" s="202">
        <v>9975.7000000000007</v>
      </c>
    </row>
    <row r="864" spans="1:2" hidden="1" x14ac:dyDescent="0.25">
      <c r="A864" s="203">
        <v>865000</v>
      </c>
      <c r="B864" s="202">
        <v>9982</v>
      </c>
    </row>
    <row r="865" spans="1:2" hidden="1" x14ac:dyDescent="0.25">
      <c r="A865" s="203">
        <v>866000</v>
      </c>
      <c r="B865" s="202">
        <v>9988.35</v>
      </c>
    </row>
    <row r="866" spans="1:2" hidden="1" x14ac:dyDescent="0.25">
      <c r="A866" s="203">
        <v>867000</v>
      </c>
      <c r="B866" s="202">
        <v>9994.75</v>
      </c>
    </row>
    <row r="867" spans="1:2" hidden="1" x14ac:dyDescent="0.25">
      <c r="A867" s="203">
        <v>868000</v>
      </c>
      <c r="B867" s="202">
        <v>10001.049999999999</v>
      </c>
    </row>
    <row r="868" spans="1:2" hidden="1" x14ac:dyDescent="0.25">
      <c r="A868" s="203">
        <v>869000</v>
      </c>
      <c r="B868" s="202">
        <v>10007.450000000001</v>
      </c>
    </row>
    <row r="869" spans="1:2" hidden="1" x14ac:dyDescent="0.25">
      <c r="A869" s="203">
        <v>870000</v>
      </c>
      <c r="B869" s="202">
        <v>10013.85</v>
      </c>
    </row>
    <row r="870" spans="1:2" hidden="1" x14ac:dyDescent="0.25">
      <c r="A870" s="203">
        <v>871000</v>
      </c>
      <c r="B870" s="202">
        <v>10020.15</v>
      </c>
    </row>
    <row r="871" spans="1:2" hidden="1" x14ac:dyDescent="0.25">
      <c r="A871" s="203">
        <v>872000</v>
      </c>
      <c r="B871" s="202">
        <v>10026.549999999999</v>
      </c>
    </row>
    <row r="872" spans="1:2" hidden="1" x14ac:dyDescent="0.25">
      <c r="A872" s="203">
        <v>873000</v>
      </c>
      <c r="B872" s="202">
        <v>10032.9</v>
      </c>
    </row>
    <row r="873" spans="1:2" hidden="1" x14ac:dyDescent="0.25">
      <c r="A873" s="203">
        <v>874000</v>
      </c>
      <c r="B873" s="202">
        <v>10039.299999999999</v>
      </c>
    </row>
    <row r="874" spans="1:2" hidden="1" x14ac:dyDescent="0.25">
      <c r="A874" s="203">
        <v>875000</v>
      </c>
      <c r="B874" s="202">
        <v>10045.6</v>
      </c>
    </row>
    <row r="875" spans="1:2" hidden="1" x14ac:dyDescent="0.25">
      <c r="A875" s="203">
        <v>876000</v>
      </c>
      <c r="B875" s="202">
        <v>10051.950000000001</v>
      </c>
    </row>
    <row r="876" spans="1:2" hidden="1" x14ac:dyDescent="0.25">
      <c r="A876" s="203">
        <v>877000</v>
      </c>
      <c r="B876" s="202">
        <v>10058.4</v>
      </c>
    </row>
    <row r="877" spans="1:2" hidden="1" x14ac:dyDescent="0.25">
      <c r="A877" s="203">
        <v>878000</v>
      </c>
      <c r="B877" s="202">
        <v>10064.75</v>
      </c>
    </row>
    <row r="878" spans="1:2" hidden="1" x14ac:dyDescent="0.25">
      <c r="A878" s="203">
        <v>879000</v>
      </c>
      <c r="B878" s="202">
        <v>10071.1</v>
      </c>
    </row>
    <row r="879" spans="1:2" hidden="1" x14ac:dyDescent="0.25">
      <c r="A879" s="203">
        <v>880000</v>
      </c>
      <c r="B879" s="202">
        <v>10077.450000000001</v>
      </c>
    </row>
    <row r="880" spans="1:2" hidden="1" x14ac:dyDescent="0.25">
      <c r="A880" s="203">
        <v>881000</v>
      </c>
      <c r="B880" s="202">
        <v>10083.799999999999</v>
      </c>
    </row>
    <row r="881" spans="1:2" hidden="1" x14ac:dyDescent="0.25">
      <c r="A881" s="203">
        <v>882000</v>
      </c>
      <c r="B881" s="202">
        <v>10090.15</v>
      </c>
    </row>
    <row r="882" spans="1:2" hidden="1" x14ac:dyDescent="0.25">
      <c r="A882" s="203">
        <v>883000</v>
      </c>
      <c r="B882" s="202">
        <v>10096.5</v>
      </c>
    </row>
    <row r="883" spans="1:2" hidden="1" x14ac:dyDescent="0.25">
      <c r="A883" s="203">
        <v>884000</v>
      </c>
      <c r="B883" s="202">
        <v>10102.950000000001</v>
      </c>
    </row>
    <row r="884" spans="1:2" hidden="1" x14ac:dyDescent="0.25">
      <c r="A884" s="203">
        <v>885000</v>
      </c>
      <c r="B884" s="202">
        <v>10109.299999999999</v>
      </c>
    </row>
    <row r="885" spans="1:2" hidden="1" x14ac:dyDescent="0.25">
      <c r="A885" s="203">
        <v>886000</v>
      </c>
      <c r="B885" s="202">
        <v>10115.6</v>
      </c>
    </row>
    <row r="886" spans="1:2" hidden="1" x14ac:dyDescent="0.25">
      <c r="A886" s="203">
        <v>887000</v>
      </c>
      <c r="B886" s="202">
        <v>10122</v>
      </c>
    </row>
    <row r="887" spans="1:2" hidden="1" x14ac:dyDescent="0.25">
      <c r="A887" s="203">
        <v>888000</v>
      </c>
      <c r="B887" s="202">
        <v>10128.35</v>
      </c>
    </row>
    <row r="888" spans="1:2" hidden="1" x14ac:dyDescent="0.25">
      <c r="A888" s="203">
        <v>889000</v>
      </c>
      <c r="B888" s="202">
        <v>10134.700000000001</v>
      </c>
    </row>
    <row r="889" spans="1:2" hidden="1" x14ac:dyDescent="0.25">
      <c r="A889" s="203">
        <v>890000</v>
      </c>
      <c r="B889" s="202">
        <v>10141.049999999999</v>
      </c>
    </row>
    <row r="890" spans="1:2" hidden="1" x14ac:dyDescent="0.25">
      <c r="A890" s="203">
        <v>891000</v>
      </c>
      <c r="B890" s="202">
        <v>10147.450000000001</v>
      </c>
    </row>
    <row r="891" spans="1:2" hidden="1" x14ac:dyDescent="0.25">
      <c r="A891" s="203">
        <v>892000</v>
      </c>
      <c r="B891" s="202">
        <v>10153.85</v>
      </c>
    </row>
    <row r="892" spans="1:2" hidden="1" x14ac:dyDescent="0.25">
      <c r="A892" s="203">
        <v>893000</v>
      </c>
      <c r="B892" s="202">
        <v>10160.15</v>
      </c>
    </row>
    <row r="893" spans="1:2" hidden="1" x14ac:dyDescent="0.25">
      <c r="A893" s="203">
        <v>894000</v>
      </c>
      <c r="B893" s="202">
        <v>10166.549999999999</v>
      </c>
    </row>
    <row r="894" spans="1:2" hidden="1" x14ac:dyDescent="0.25">
      <c r="A894" s="203">
        <v>895000</v>
      </c>
      <c r="B894" s="202">
        <v>10172.9</v>
      </c>
    </row>
    <row r="895" spans="1:2" hidden="1" x14ac:dyDescent="0.25">
      <c r="A895" s="203">
        <v>896000</v>
      </c>
      <c r="B895" s="202">
        <v>10179.200000000001</v>
      </c>
    </row>
    <row r="896" spans="1:2" hidden="1" x14ac:dyDescent="0.25">
      <c r="A896" s="203">
        <v>897000</v>
      </c>
      <c r="B896" s="202">
        <v>10185.6</v>
      </c>
    </row>
    <row r="897" spans="1:2" hidden="1" x14ac:dyDescent="0.25">
      <c r="A897" s="203">
        <v>898000</v>
      </c>
      <c r="B897" s="202">
        <v>10192</v>
      </c>
    </row>
    <row r="898" spans="1:2" hidden="1" x14ac:dyDescent="0.25">
      <c r="A898" s="203">
        <v>899000</v>
      </c>
      <c r="B898" s="202">
        <v>10198.4</v>
      </c>
    </row>
    <row r="899" spans="1:2" hidden="1" x14ac:dyDescent="0.25">
      <c r="A899" s="203">
        <v>900000</v>
      </c>
      <c r="B899" s="202">
        <v>10204.700000000001</v>
      </c>
    </row>
    <row r="900" spans="1:2" hidden="1" x14ac:dyDescent="0.25">
      <c r="A900" s="203">
        <v>901000</v>
      </c>
      <c r="B900" s="202">
        <v>10211.049999999999</v>
      </c>
    </row>
    <row r="901" spans="1:2" hidden="1" x14ac:dyDescent="0.25">
      <c r="A901" s="203">
        <v>902000</v>
      </c>
      <c r="B901" s="202">
        <v>10217.450000000001</v>
      </c>
    </row>
    <row r="902" spans="1:2" hidden="1" x14ac:dyDescent="0.25">
      <c r="A902" s="203">
        <v>903000</v>
      </c>
      <c r="B902" s="202">
        <v>10223.75</v>
      </c>
    </row>
    <row r="903" spans="1:2" hidden="1" x14ac:dyDescent="0.25">
      <c r="A903" s="203">
        <v>904000</v>
      </c>
      <c r="B903" s="202">
        <v>10230.15</v>
      </c>
    </row>
    <row r="904" spans="1:2" hidden="1" x14ac:dyDescent="0.25">
      <c r="A904" s="203">
        <v>905000</v>
      </c>
      <c r="B904" s="202">
        <v>10236.549999999999</v>
      </c>
    </row>
    <row r="905" spans="1:2" hidden="1" x14ac:dyDescent="0.25">
      <c r="A905" s="203">
        <v>906000</v>
      </c>
      <c r="B905" s="202">
        <v>10242.9</v>
      </c>
    </row>
    <row r="906" spans="1:2" hidden="1" x14ac:dyDescent="0.25">
      <c r="A906" s="203">
        <v>907000</v>
      </c>
      <c r="B906" s="202">
        <v>10249.25</v>
      </c>
    </row>
    <row r="907" spans="1:2" hidden="1" x14ac:dyDescent="0.25">
      <c r="A907" s="203">
        <v>908000</v>
      </c>
      <c r="B907" s="202">
        <v>10255.6</v>
      </c>
    </row>
    <row r="908" spans="1:2" hidden="1" x14ac:dyDescent="0.25">
      <c r="A908" s="203">
        <v>909000</v>
      </c>
      <c r="B908" s="202">
        <v>10262</v>
      </c>
    </row>
    <row r="909" spans="1:2" hidden="1" x14ac:dyDescent="0.25">
      <c r="A909" s="203">
        <v>910000</v>
      </c>
      <c r="B909" s="202">
        <v>10268.299999999999</v>
      </c>
    </row>
    <row r="910" spans="1:2" hidden="1" x14ac:dyDescent="0.25">
      <c r="A910" s="203">
        <v>911000</v>
      </c>
      <c r="B910" s="202">
        <v>10274.65</v>
      </c>
    </row>
    <row r="911" spans="1:2" hidden="1" x14ac:dyDescent="0.25">
      <c r="A911" s="203">
        <v>912000</v>
      </c>
      <c r="B911" s="202">
        <v>10281.1</v>
      </c>
    </row>
    <row r="912" spans="1:2" hidden="1" x14ac:dyDescent="0.25">
      <c r="A912" s="203">
        <v>913000</v>
      </c>
      <c r="B912" s="202">
        <v>10287.450000000001</v>
      </c>
    </row>
    <row r="913" spans="1:2" hidden="1" x14ac:dyDescent="0.25">
      <c r="A913" s="203">
        <v>914000</v>
      </c>
      <c r="B913" s="202">
        <v>10293.799999999999</v>
      </c>
    </row>
    <row r="914" spans="1:2" hidden="1" x14ac:dyDescent="0.25">
      <c r="A914" s="203">
        <v>915000</v>
      </c>
      <c r="B914" s="202">
        <v>10300.15</v>
      </c>
    </row>
    <row r="915" spans="1:2" hidden="1" x14ac:dyDescent="0.25">
      <c r="A915" s="203">
        <v>916000</v>
      </c>
      <c r="B915" s="202">
        <v>10306.5</v>
      </c>
    </row>
    <row r="916" spans="1:2" hidden="1" x14ac:dyDescent="0.25">
      <c r="A916" s="203">
        <v>917000</v>
      </c>
      <c r="B916" s="202">
        <v>10312.9</v>
      </c>
    </row>
    <row r="917" spans="1:2" hidden="1" x14ac:dyDescent="0.25">
      <c r="A917" s="203">
        <v>918000</v>
      </c>
      <c r="B917" s="202">
        <v>10319.200000000001</v>
      </c>
    </row>
    <row r="918" spans="1:2" hidden="1" x14ac:dyDescent="0.25">
      <c r="A918" s="203">
        <v>919000</v>
      </c>
      <c r="B918" s="202">
        <v>10325.65</v>
      </c>
    </row>
    <row r="919" spans="1:2" hidden="1" x14ac:dyDescent="0.25">
      <c r="A919" s="203">
        <v>920000</v>
      </c>
      <c r="B919" s="202">
        <v>10332</v>
      </c>
    </row>
    <row r="920" spans="1:2" hidden="1" x14ac:dyDescent="0.25">
      <c r="A920" s="203">
        <v>921000</v>
      </c>
      <c r="B920" s="202">
        <v>10338.299999999999</v>
      </c>
    </row>
    <row r="921" spans="1:2" hidden="1" x14ac:dyDescent="0.25">
      <c r="A921" s="203">
        <v>922000</v>
      </c>
      <c r="B921" s="202">
        <v>10344.700000000001</v>
      </c>
    </row>
    <row r="922" spans="1:2" hidden="1" x14ac:dyDescent="0.25">
      <c r="A922" s="203">
        <v>923000</v>
      </c>
      <c r="B922" s="202">
        <v>10351.049999999999</v>
      </c>
    </row>
    <row r="923" spans="1:2" hidden="1" x14ac:dyDescent="0.25">
      <c r="A923" s="203">
        <v>924000</v>
      </c>
      <c r="B923" s="202">
        <v>10357.450000000001</v>
      </c>
    </row>
    <row r="924" spans="1:2" hidden="1" x14ac:dyDescent="0.25">
      <c r="A924" s="203">
        <v>925000</v>
      </c>
      <c r="B924" s="202">
        <v>10363.75</v>
      </c>
    </row>
    <row r="925" spans="1:2" hidden="1" x14ac:dyDescent="0.25">
      <c r="A925" s="203">
        <v>926000</v>
      </c>
      <c r="B925" s="202">
        <v>10370.15</v>
      </c>
    </row>
    <row r="926" spans="1:2" hidden="1" x14ac:dyDescent="0.25">
      <c r="A926" s="203">
        <v>927000</v>
      </c>
      <c r="B926" s="202">
        <v>10376.549999999999</v>
      </c>
    </row>
    <row r="927" spans="1:2" hidden="1" x14ac:dyDescent="0.25">
      <c r="A927" s="203">
        <v>928000</v>
      </c>
      <c r="B927" s="202">
        <v>10382.85</v>
      </c>
    </row>
    <row r="928" spans="1:2" hidden="1" x14ac:dyDescent="0.25">
      <c r="A928" s="203">
        <v>929000</v>
      </c>
      <c r="B928" s="202">
        <v>10389.25</v>
      </c>
    </row>
    <row r="929" spans="1:2" hidden="1" x14ac:dyDescent="0.25">
      <c r="A929" s="203">
        <v>930000</v>
      </c>
      <c r="B929" s="202">
        <v>10395.6</v>
      </c>
    </row>
    <row r="930" spans="1:2" hidden="1" x14ac:dyDescent="0.25">
      <c r="A930" s="203">
        <v>931000</v>
      </c>
      <c r="B930" s="202">
        <v>10401.950000000001</v>
      </c>
    </row>
    <row r="931" spans="1:2" hidden="1" x14ac:dyDescent="0.25">
      <c r="A931" s="203">
        <v>932000</v>
      </c>
      <c r="B931" s="202">
        <v>10408.299999999999</v>
      </c>
    </row>
    <row r="932" spans="1:2" hidden="1" x14ac:dyDescent="0.25">
      <c r="A932" s="203">
        <v>933000</v>
      </c>
      <c r="B932" s="202">
        <v>10414.700000000001</v>
      </c>
    </row>
    <row r="933" spans="1:2" hidden="1" x14ac:dyDescent="0.25">
      <c r="A933" s="203">
        <v>934000</v>
      </c>
      <c r="B933" s="202">
        <v>10421.1</v>
      </c>
    </row>
    <row r="934" spans="1:2" hidden="1" x14ac:dyDescent="0.25">
      <c r="A934" s="203">
        <v>935000</v>
      </c>
      <c r="B934" s="202">
        <v>10427.4</v>
      </c>
    </row>
    <row r="935" spans="1:2" hidden="1" x14ac:dyDescent="0.25">
      <c r="A935" s="203">
        <v>936000</v>
      </c>
      <c r="B935" s="202">
        <v>10433.75</v>
      </c>
    </row>
    <row r="936" spans="1:2" hidden="1" x14ac:dyDescent="0.25">
      <c r="A936" s="203">
        <v>937000</v>
      </c>
      <c r="B936" s="202">
        <v>10440.15</v>
      </c>
    </row>
    <row r="937" spans="1:2" hidden="1" x14ac:dyDescent="0.25">
      <c r="A937" s="203">
        <v>938000</v>
      </c>
      <c r="B937" s="202">
        <v>10446.5</v>
      </c>
    </row>
    <row r="938" spans="1:2" hidden="1" x14ac:dyDescent="0.25">
      <c r="A938" s="203">
        <v>939000</v>
      </c>
      <c r="B938" s="202">
        <v>10452.9</v>
      </c>
    </row>
    <row r="939" spans="1:2" hidden="1" x14ac:dyDescent="0.25">
      <c r="A939" s="203">
        <v>940000</v>
      </c>
      <c r="B939" s="202">
        <v>10459.25</v>
      </c>
    </row>
    <row r="940" spans="1:2" hidden="1" x14ac:dyDescent="0.25">
      <c r="A940" s="203">
        <v>941000</v>
      </c>
      <c r="B940" s="202">
        <v>10465.6</v>
      </c>
    </row>
    <row r="941" spans="1:2" hidden="1" x14ac:dyDescent="0.25">
      <c r="A941" s="203">
        <v>942000</v>
      </c>
      <c r="B941" s="202">
        <v>10471.950000000001</v>
      </c>
    </row>
    <row r="942" spans="1:2" hidden="1" x14ac:dyDescent="0.25">
      <c r="A942" s="203">
        <v>943000</v>
      </c>
      <c r="B942" s="202">
        <v>10478.299999999999</v>
      </c>
    </row>
    <row r="943" spans="1:2" hidden="1" x14ac:dyDescent="0.25">
      <c r="A943" s="203">
        <v>944000</v>
      </c>
      <c r="B943" s="202">
        <v>10484.700000000001</v>
      </c>
    </row>
    <row r="944" spans="1:2" hidden="1" x14ac:dyDescent="0.25">
      <c r="A944" s="203">
        <v>945000</v>
      </c>
      <c r="B944" s="202">
        <v>10491.05</v>
      </c>
    </row>
    <row r="945" spans="1:2" hidden="1" x14ac:dyDescent="0.25">
      <c r="A945" s="203">
        <v>946000</v>
      </c>
      <c r="B945" s="202">
        <v>10497.35</v>
      </c>
    </row>
    <row r="946" spans="1:2" hidden="1" x14ac:dyDescent="0.25">
      <c r="A946" s="203">
        <v>947000</v>
      </c>
      <c r="B946" s="202">
        <v>10503.8</v>
      </c>
    </row>
    <row r="947" spans="1:2" hidden="1" x14ac:dyDescent="0.25">
      <c r="A947" s="203">
        <v>948000</v>
      </c>
      <c r="B947" s="202">
        <v>10510.15</v>
      </c>
    </row>
    <row r="948" spans="1:2" hidden="1" x14ac:dyDescent="0.25">
      <c r="A948" s="203">
        <v>949000</v>
      </c>
      <c r="B948" s="202">
        <v>10516.55</v>
      </c>
    </row>
    <row r="949" spans="1:2" hidden="1" x14ac:dyDescent="0.25">
      <c r="A949" s="203">
        <v>950000</v>
      </c>
      <c r="B949" s="202">
        <v>10522.85</v>
      </c>
    </row>
    <row r="950" spans="1:2" hidden="1" x14ac:dyDescent="0.25">
      <c r="A950" s="203">
        <v>951000</v>
      </c>
      <c r="B950" s="202">
        <v>10529.2</v>
      </c>
    </row>
    <row r="951" spans="1:2" hidden="1" x14ac:dyDescent="0.25">
      <c r="A951" s="203">
        <v>952000</v>
      </c>
      <c r="B951" s="202">
        <v>10535.6</v>
      </c>
    </row>
    <row r="952" spans="1:2" hidden="1" x14ac:dyDescent="0.25">
      <c r="A952" s="203">
        <v>953000</v>
      </c>
      <c r="B952" s="202">
        <v>10541.9</v>
      </c>
    </row>
    <row r="953" spans="1:2" hidden="1" x14ac:dyDescent="0.25">
      <c r="A953" s="203">
        <v>954000</v>
      </c>
      <c r="B953" s="202">
        <v>10548.35</v>
      </c>
    </row>
    <row r="954" spans="1:2" hidden="1" x14ac:dyDescent="0.25">
      <c r="A954" s="203">
        <v>955000</v>
      </c>
      <c r="B954" s="202">
        <v>10554.7</v>
      </c>
    </row>
    <row r="955" spans="1:2" hidden="1" x14ac:dyDescent="0.25">
      <c r="A955" s="203">
        <v>956000</v>
      </c>
      <c r="B955" s="202">
        <v>10561.05</v>
      </c>
    </row>
    <row r="956" spans="1:2" hidden="1" x14ac:dyDescent="0.25">
      <c r="A956" s="203">
        <v>957000</v>
      </c>
      <c r="B956" s="202">
        <v>10567.4</v>
      </c>
    </row>
    <row r="957" spans="1:2" hidden="1" x14ac:dyDescent="0.25">
      <c r="A957" s="203">
        <v>958000</v>
      </c>
      <c r="B957" s="202">
        <v>10573.75</v>
      </c>
    </row>
    <row r="958" spans="1:2" hidden="1" x14ac:dyDescent="0.25">
      <c r="A958" s="203">
        <v>959000</v>
      </c>
      <c r="B958" s="202">
        <v>10580.15</v>
      </c>
    </row>
    <row r="959" spans="1:2" hidden="1" x14ac:dyDescent="0.25">
      <c r="A959" s="203">
        <v>960000</v>
      </c>
      <c r="B959" s="202">
        <v>10586.5</v>
      </c>
    </row>
    <row r="960" spans="1:2" hidden="1" x14ac:dyDescent="0.25">
      <c r="A960" s="203">
        <v>961000</v>
      </c>
      <c r="B960" s="202">
        <v>10592.85</v>
      </c>
    </row>
    <row r="961" spans="1:2" hidden="1" x14ac:dyDescent="0.25">
      <c r="A961" s="203">
        <v>962000</v>
      </c>
      <c r="B961" s="202">
        <v>10599.25</v>
      </c>
    </row>
    <row r="962" spans="1:2" hidden="1" x14ac:dyDescent="0.25">
      <c r="A962" s="203">
        <v>963000</v>
      </c>
      <c r="B962" s="202">
        <v>10605.6</v>
      </c>
    </row>
    <row r="963" spans="1:2" hidden="1" x14ac:dyDescent="0.25">
      <c r="A963" s="203">
        <v>964000</v>
      </c>
      <c r="B963" s="202">
        <v>10611.95</v>
      </c>
    </row>
    <row r="964" spans="1:2" hidden="1" x14ac:dyDescent="0.25">
      <c r="A964" s="203">
        <v>965000</v>
      </c>
      <c r="B964" s="202">
        <v>10618.3</v>
      </c>
    </row>
    <row r="965" spans="1:2" hidden="1" x14ac:dyDescent="0.25">
      <c r="A965" s="203">
        <v>966000</v>
      </c>
      <c r="B965" s="202">
        <v>10624.65</v>
      </c>
    </row>
    <row r="966" spans="1:2" hidden="1" x14ac:dyDescent="0.25">
      <c r="A966" s="203">
        <v>967000</v>
      </c>
      <c r="B966" s="202">
        <v>10631.05</v>
      </c>
    </row>
    <row r="967" spans="1:2" hidden="1" x14ac:dyDescent="0.25">
      <c r="A967" s="203">
        <v>968000</v>
      </c>
      <c r="B967" s="202">
        <v>10637.4</v>
      </c>
    </row>
    <row r="968" spans="1:2" hidden="1" x14ac:dyDescent="0.25">
      <c r="A968" s="203">
        <v>969000</v>
      </c>
      <c r="B968" s="202">
        <v>10643.8</v>
      </c>
    </row>
    <row r="969" spans="1:2" hidden="1" x14ac:dyDescent="0.25">
      <c r="A969" s="203">
        <v>970000</v>
      </c>
      <c r="B969" s="202">
        <v>10650.15</v>
      </c>
    </row>
    <row r="970" spans="1:2" hidden="1" x14ac:dyDescent="0.25">
      <c r="A970" s="203">
        <v>971000</v>
      </c>
      <c r="B970" s="202">
        <v>10656.45</v>
      </c>
    </row>
    <row r="971" spans="1:2" hidden="1" x14ac:dyDescent="0.25">
      <c r="A971" s="203">
        <v>972000</v>
      </c>
      <c r="B971" s="202">
        <v>10662.85</v>
      </c>
    </row>
    <row r="972" spans="1:2" hidden="1" x14ac:dyDescent="0.25">
      <c r="A972" s="203">
        <v>973000</v>
      </c>
      <c r="B972" s="202">
        <v>10669.2</v>
      </c>
    </row>
    <row r="973" spans="1:2" hidden="1" x14ac:dyDescent="0.25">
      <c r="A973" s="203">
        <v>974000</v>
      </c>
      <c r="B973" s="202">
        <v>10675.6</v>
      </c>
    </row>
    <row r="974" spans="1:2" hidden="1" x14ac:dyDescent="0.25">
      <c r="A974" s="203">
        <v>975000</v>
      </c>
      <c r="B974" s="202">
        <v>10681.95</v>
      </c>
    </row>
    <row r="975" spans="1:2" hidden="1" x14ac:dyDescent="0.25">
      <c r="A975" s="203">
        <v>976000</v>
      </c>
      <c r="B975" s="202">
        <v>10688.3</v>
      </c>
    </row>
    <row r="976" spans="1:2" hidden="1" x14ac:dyDescent="0.25">
      <c r="A976" s="203">
        <v>977000</v>
      </c>
      <c r="B976" s="202">
        <v>10694.7</v>
      </c>
    </row>
    <row r="977" spans="1:2" hidden="1" x14ac:dyDescent="0.25">
      <c r="A977" s="203">
        <v>978000</v>
      </c>
      <c r="B977" s="202">
        <v>10701</v>
      </c>
    </row>
    <row r="978" spans="1:2" hidden="1" x14ac:dyDescent="0.25">
      <c r="A978" s="203">
        <v>979000</v>
      </c>
      <c r="B978" s="202">
        <v>10707.4</v>
      </c>
    </row>
    <row r="979" spans="1:2" hidden="1" x14ac:dyDescent="0.25">
      <c r="A979" s="203">
        <v>980000</v>
      </c>
      <c r="B979" s="202">
        <v>10713.75</v>
      </c>
    </row>
    <row r="980" spans="1:2" hidden="1" x14ac:dyDescent="0.25">
      <c r="A980" s="203">
        <v>981000</v>
      </c>
      <c r="B980" s="202">
        <v>10720.1</v>
      </c>
    </row>
    <row r="981" spans="1:2" hidden="1" x14ac:dyDescent="0.25">
      <c r="A981" s="203">
        <v>982000</v>
      </c>
      <c r="B981" s="202">
        <v>10726.5</v>
      </c>
    </row>
    <row r="982" spans="1:2" hidden="1" x14ac:dyDescent="0.25">
      <c r="A982" s="203">
        <v>983000</v>
      </c>
      <c r="B982" s="202">
        <v>10732.85</v>
      </c>
    </row>
    <row r="983" spans="1:2" hidden="1" x14ac:dyDescent="0.25">
      <c r="A983" s="203">
        <v>984000</v>
      </c>
      <c r="B983" s="202">
        <v>10739.25</v>
      </c>
    </row>
    <row r="984" spans="1:2" hidden="1" x14ac:dyDescent="0.25">
      <c r="A984" s="203">
        <v>985000</v>
      </c>
      <c r="B984" s="202">
        <v>10745.55</v>
      </c>
    </row>
    <row r="985" spans="1:2" hidden="1" x14ac:dyDescent="0.25">
      <c r="A985" s="203">
        <v>986000</v>
      </c>
      <c r="B985" s="202">
        <v>10751.9</v>
      </c>
    </row>
    <row r="986" spans="1:2" hidden="1" x14ac:dyDescent="0.25">
      <c r="A986" s="203">
        <v>987000</v>
      </c>
      <c r="B986" s="202">
        <v>10758.3</v>
      </c>
    </row>
    <row r="987" spans="1:2" hidden="1" x14ac:dyDescent="0.25">
      <c r="A987" s="203">
        <v>988000</v>
      </c>
      <c r="B987" s="202">
        <v>10764.7</v>
      </c>
    </row>
    <row r="988" spans="1:2" hidden="1" x14ac:dyDescent="0.25">
      <c r="A988" s="203">
        <v>989000</v>
      </c>
      <c r="B988" s="202">
        <v>10771.1</v>
      </c>
    </row>
    <row r="989" spans="1:2" hidden="1" x14ac:dyDescent="0.25">
      <c r="A989" s="203">
        <v>990000</v>
      </c>
      <c r="B989" s="202">
        <v>10777.4</v>
      </c>
    </row>
    <row r="990" spans="1:2" hidden="1" x14ac:dyDescent="0.25">
      <c r="A990" s="203">
        <v>991000</v>
      </c>
      <c r="B990" s="202">
        <v>10783.75</v>
      </c>
    </row>
    <row r="991" spans="1:2" hidden="1" x14ac:dyDescent="0.25">
      <c r="A991" s="203">
        <v>992000</v>
      </c>
      <c r="B991" s="202">
        <v>10790.15</v>
      </c>
    </row>
    <row r="992" spans="1:2" hidden="1" x14ac:dyDescent="0.25">
      <c r="A992" s="203">
        <v>993000</v>
      </c>
      <c r="B992" s="202">
        <v>10796.45</v>
      </c>
    </row>
    <row r="993" spans="1:2" hidden="1" x14ac:dyDescent="0.25">
      <c r="A993" s="203">
        <v>994000</v>
      </c>
      <c r="B993" s="202">
        <v>10802.9</v>
      </c>
    </row>
    <row r="994" spans="1:2" hidden="1" x14ac:dyDescent="0.25">
      <c r="A994" s="203">
        <v>995000</v>
      </c>
      <c r="B994" s="202">
        <v>10809.3</v>
      </c>
    </row>
    <row r="995" spans="1:2" hidden="1" x14ac:dyDescent="0.25">
      <c r="A995" s="203">
        <v>996000</v>
      </c>
      <c r="B995" s="202">
        <v>10815.6</v>
      </c>
    </row>
    <row r="996" spans="1:2" hidden="1" x14ac:dyDescent="0.25">
      <c r="A996" s="203">
        <v>997000</v>
      </c>
      <c r="B996" s="202">
        <v>10822</v>
      </c>
    </row>
    <row r="997" spans="1:2" hidden="1" x14ac:dyDescent="0.25">
      <c r="A997" s="203">
        <v>998000</v>
      </c>
      <c r="B997" s="202">
        <v>10828.35</v>
      </c>
    </row>
    <row r="998" spans="1:2" hidden="1" x14ac:dyDescent="0.25">
      <c r="A998" s="203">
        <v>999000</v>
      </c>
      <c r="B998" s="202">
        <v>10834.7</v>
      </c>
    </row>
    <row r="999" spans="1:2" hidden="1" x14ac:dyDescent="0.25">
      <c r="A999" s="203">
        <v>1000000</v>
      </c>
      <c r="B999" s="202">
        <v>10841.05</v>
      </c>
    </row>
    <row r="1000" spans="1:2" hidden="1" x14ac:dyDescent="0.25">
      <c r="A1000" s="203">
        <v>1001000</v>
      </c>
      <c r="B1000" s="202">
        <v>10847.4</v>
      </c>
    </row>
    <row r="1001" spans="1:2" hidden="1" x14ac:dyDescent="0.25">
      <c r="A1001" s="203">
        <v>1002000</v>
      </c>
      <c r="B1001" s="202">
        <v>10853.85</v>
      </c>
    </row>
    <row r="1002" spans="1:2" hidden="1" x14ac:dyDescent="0.25">
      <c r="A1002" s="203">
        <v>1003000</v>
      </c>
      <c r="B1002" s="202">
        <v>10860.15</v>
      </c>
    </row>
    <row r="1003" spans="1:2" hidden="1" x14ac:dyDescent="0.25">
      <c r="A1003" s="203">
        <v>1004000</v>
      </c>
      <c r="B1003" s="202">
        <v>10866.55</v>
      </c>
    </row>
    <row r="1004" spans="1:2" hidden="1" x14ac:dyDescent="0.25">
      <c r="A1004" s="203">
        <v>1005000</v>
      </c>
      <c r="B1004" s="202">
        <v>10872.9</v>
      </c>
    </row>
    <row r="1005" spans="1:2" hidden="1" x14ac:dyDescent="0.25">
      <c r="A1005" s="203">
        <v>1006000</v>
      </c>
      <c r="B1005" s="202">
        <v>10879.2</v>
      </c>
    </row>
    <row r="1006" spans="1:2" hidden="1" x14ac:dyDescent="0.25">
      <c r="A1006" s="203">
        <v>1007000</v>
      </c>
      <c r="B1006" s="202">
        <v>10885.6</v>
      </c>
    </row>
    <row r="1007" spans="1:2" hidden="1" x14ac:dyDescent="0.25">
      <c r="A1007" s="203">
        <v>1008000</v>
      </c>
      <c r="B1007" s="202">
        <v>10891.95</v>
      </c>
    </row>
    <row r="1008" spans="1:2" hidden="1" x14ac:dyDescent="0.25">
      <c r="A1008" s="203">
        <v>1009000</v>
      </c>
      <c r="B1008" s="202">
        <v>10898.4</v>
      </c>
    </row>
    <row r="1009" spans="1:2" hidden="1" x14ac:dyDescent="0.25">
      <c r="A1009" s="203">
        <v>1010000</v>
      </c>
      <c r="B1009" s="202">
        <v>10904.7</v>
      </c>
    </row>
    <row r="1010" spans="1:2" hidden="1" x14ac:dyDescent="0.25">
      <c r="A1010" s="203">
        <v>1011000</v>
      </c>
      <c r="B1010" s="202">
        <v>10911.05</v>
      </c>
    </row>
    <row r="1011" spans="1:2" hidden="1" x14ac:dyDescent="0.25">
      <c r="A1011" s="203">
        <v>1012000</v>
      </c>
      <c r="B1011" s="202">
        <v>10917.45</v>
      </c>
    </row>
    <row r="1012" spans="1:2" hidden="1" x14ac:dyDescent="0.25">
      <c r="A1012" s="203">
        <v>1013000</v>
      </c>
      <c r="B1012" s="202">
        <v>10923.75</v>
      </c>
    </row>
    <row r="1013" spans="1:2" hidden="1" x14ac:dyDescent="0.25">
      <c r="A1013" s="203">
        <v>1014000</v>
      </c>
      <c r="B1013" s="202">
        <v>10930.15</v>
      </c>
    </row>
    <row r="1014" spans="1:2" hidden="1" x14ac:dyDescent="0.25">
      <c r="A1014" s="203">
        <v>1015000</v>
      </c>
      <c r="B1014" s="202">
        <v>10936.5</v>
      </c>
    </row>
    <row r="1015" spans="1:2" hidden="1" x14ac:dyDescent="0.25">
      <c r="A1015" s="203">
        <v>1016000</v>
      </c>
      <c r="B1015" s="202">
        <v>10942.9</v>
      </c>
    </row>
    <row r="1016" spans="1:2" hidden="1" x14ac:dyDescent="0.25">
      <c r="A1016" s="203">
        <v>1017000</v>
      </c>
      <c r="B1016" s="202">
        <v>10949.25</v>
      </c>
    </row>
    <row r="1017" spans="1:2" hidden="1" x14ac:dyDescent="0.25">
      <c r="A1017" s="203">
        <v>1018000</v>
      </c>
      <c r="B1017" s="202">
        <v>10955.6</v>
      </c>
    </row>
    <row r="1018" spans="1:2" hidden="1" x14ac:dyDescent="0.25">
      <c r="A1018" s="203">
        <v>1019000</v>
      </c>
      <c r="B1018" s="202">
        <v>10962</v>
      </c>
    </row>
    <row r="1019" spans="1:2" hidden="1" x14ac:dyDescent="0.25">
      <c r="A1019" s="203">
        <v>1020000</v>
      </c>
      <c r="B1019" s="202">
        <v>10968.35</v>
      </c>
    </row>
    <row r="1020" spans="1:2" hidden="1" x14ac:dyDescent="0.25">
      <c r="A1020" s="203">
        <v>1021000</v>
      </c>
      <c r="B1020" s="202">
        <v>10974.65</v>
      </c>
    </row>
    <row r="1021" spans="1:2" hidden="1" x14ac:dyDescent="0.25">
      <c r="A1021" s="203">
        <v>1022000</v>
      </c>
      <c r="B1021" s="202">
        <v>10981.05</v>
      </c>
    </row>
    <row r="1022" spans="1:2" hidden="1" x14ac:dyDescent="0.25">
      <c r="A1022" s="203">
        <v>1023000</v>
      </c>
      <c r="B1022" s="202">
        <v>10987.45</v>
      </c>
    </row>
    <row r="1023" spans="1:2" hidden="1" x14ac:dyDescent="0.25">
      <c r="A1023" s="203">
        <v>1024000</v>
      </c>
      <c r="B1023" s="202">
        <v>10993.8</v>
      </c>
    </row>
    <row r="1024" spans="1:2" hidden="1" x14ac:dyDescent="0.25">
      <c r="A1024" s="203">
        <v>1025000</v>
      </c>
      <c r="B1024" s="202">
        <v>11000.15</v>
      </c>
    </row>
    <row r="1025" spans="1:2" hidden="1" x14ac:dyDescent="0.25">
      <c r="A1025" s="203">
        <v>1026000</v>
      </c>
      <c r="B1025" s="202">
        <v>11006.5</v>
      </c>
    </row>
    <row r="1026" spans="1:2" hidden="1" x14ac:dyDescent="0.25">
      <c r="A1026" s="203">
        <v>1027000</v>
      </c>
      <c r="B1026" s="202">
        <v>11012.9</v>
      </c>
    </row>
    <row r="1027" spans="1:2" hidden="1" x14ac:dyDescent="0.25">
      <c r="A1027" s="203">
        <v>1028000</v>
      </c>
      <c r="B1027" s="202">
        <v>11019.2</v>
      </c>
    </row>
    <row r="1028" spans="1:2" hidden="1" x14ac:dyDescent="0.25">
      <c r="A1028" s="203">
        <v>1029000</v>
      </c>
      <c r="B1028" s="202">
        <v>11025.6</v>
      </c>
    </row>
    <row r="1029" spans="1:2" hidden="1" x14ac:dyDescent="0.25">
      <c r="A1029" s="203">
        <v>1030000</v>
      </c>
      <c r="B1029" s="202">
        <v>11032</v>
      </c>
    </row>
    <row r="1030" spans="1:2" hidden="1" x14ac:dyDescent="0.25">
      <c r="A1030" s="203">
        <v>1031000</v>
      </c>
      <c r="B1030" s="202">
        <v>11038.3</v>
      </c>
    </row>
    <row r="1031" spans="1:2" hidden="1" x14ac:dyDescent="0.25">
      <c r="A1031" s="203">
        <v>1032000</v>
      </c>
      <c r="B1031" s="202">
        <v>11044.7</v>
      </c>
    </row>
    <row r="1032" spans="1:2" hidden="1" x14ac:dyDescent="0.25">
      <c r="A1032" s="203">
        <v>1033000</v>
      </c>
      <c r="B1032" s="202">
        <v>11051.05</v>
      </c>
    </row>
    <row r="1033" spans="1:2" hidden="1" x14ac:dyDescent="0.25">
      <c r="A1033" s="203">
        <v>1034000</v>
      </c>
      <c r="B1033" s="202">
        <v>11057.45</v>
      </c>
    </row>
    <row r="1034" spans="1:2" hidden="1" x14ac:dyDescent="0.25">
      <c r="A1034" s="203">
        <v>1035000</v>
      </c>
      <c r="B1034" s="202">
        <v>11063.75</v>
      </c>
    </row>
    <row r="1035" spans="1:2" hidden="1" x14ac:dyDescent="0.25">
      <c r="A1035" s="203">
        <v>1036000</v>
      </c>
      <c r="B1035" s="202">
        <v>11070.1</v>
      </c>
    </row>
    <row r="1036" spans="1:2" hidden="1" x14ac:dyDescent="0.25">
      <c r="A1036" s="203">
        <v>1037000</v>
      </c>
      <c r="B1036" s="202">
        <v>11076.55</v>
      </c>
    </row>
    <row r="1037" spans="1:2" hidden="1" x14ac:dyDescent="0.25">
      <c r="A1037" s="203">
        <v>1038000</v>
      </c>
      <c r="B1037" s="202">
        <v>11082.85</v>
      </c>
    </row>
    <row r="1038" spans="1:2" hidden="1" x14ac:dyDescent="0.25">
      <c r="A1038" s="203">
        <v>1039000</v>
      </c>
      <c r="B1038" s="202">
        <v>11089.25</v>
      </c>
    </row>
    <row r="1039" spans="1:2" hidden="1" x14ac:dyDescent="0.25">
      <c r="A1039" s="203">
        <v>1040000</v>
      </c>
      <c r="B1039" s="202">
        <v>11095.6</v>
      </c>
    </row>
    <row r="1040" spans="1:2" hidden="1" x14ac:dyDescent="0.25">
      <c r="A1040" s="203">
        <v>1041000</v>
      </c>
      <c r="B1040" s="202">
        <v>11101.95</v>
      </c>
    </row>
    <row r="1041" spans="1:2" hidden="1" x14ac:dyDescent="0.25">
      <c r="A1041" s="203">
        <v>1042000</v>
      </c>
      <c r="B1041" s="202">
        <v>11108.3</v>
      </c>
    </row>
    <row r="1042" spans="1:2" hidden="1" x14ac:dyDescent="0.25">
      <c r="A1042" s="203">
        <v>1043000</v>
      </c>
      <c r="B1042" s="202">
        <v>11114.65</v>
      </c>
    </row>
    <row r="1043" spans="1:2" hidden="1" x14ac:dyDescent="0.25">
      <c r="A1043" s="203">
        <v>1044000</v>
      </c>
      <c r="B1043" s="202">
        <v>11121.1</v>
      </c>
    </row>
    <row r="1044" spans="1:2" hidden="1" x14ac:dyDescent="0.25">
      <c r="A1044" s="203">
        <v>1045000</v>
      </c>
      <c r="B1044" s="202">
        <v>11127.4</v>
      </c>
    </row>
    <row r="1045" spans="1:2" hidden="1" x14ac:dyDescent="0.25">
      <c r="A1045" s="203">
        <v>1046000</v>
      </c>
      <c r="B1045" s="202">
        <v>11133.75</v>
      </c>
    </row>
    <row r="1046" spans="1:2" hidden="1" x14ac:dyDescent="0.25">
      <c r="A1046" s="203">
        <v>1047000</v>
      </c>
      <c r="B1046" s="202">
        <v>11140.15</v>
      </c>
    </row>
    <row r="1047" spans="1:2" hidden="1" x14ac:dyDescent="0.25">
      <c r="A1047" s="203">
        <v>1048000</v>
      </c>
      <c r="B1047" s="202">
        <v>11146.5</v>
      </c>
    </row>
    <row r="1048" spans="1:2" hidden="1" x14ac:dyDescent="0.25">
      <c r="A1048" s="203">
        <v>1049000</v>
      </c>
      <c r="B1048" s="202">
        <v>11152.85</v>
      </c>
    </row>
    <row r="1049" spans="1:2" hidden="1" x14ac:dyDescent="0.25">
      <c r="A1049" s="203">
        <v>1050000</v>
      </c>
      <c r="B1049" s="202">
        <v>11159.25</v>
      </c>
    </row>
    <row r="1050" spans="1:2" hidden="1" x14ac:dyDescent="0.25">
      <c r="A1050" s="203">
        <v>1051000</v>
      </c>
      <c r="B1050" s="202">
        <v>11165.6</v>
      </c>
    </row>
    <row r="1051" spans="1:2" hidden="1" x14ac:dyDescent="0.25">
      <c r="A1051" s="203">
        <v>1052000</v>
      </c>
      <c r="B1051" s="202">
        <v>11172</v>
      </c>
    </row>
    <row r="1052" spans="1:2" hidden="1" x14ac:dyDescent="0.25">
      <c r="A1052" s="203">
        <v>1053000</v>
      </c>
      <c r="B1052" s="202">
        <v>11178.3</v>
      </c>
    </row>
    <row r="1053" spans="1:2" hidden="1" x14ac:dyDescent="0.25">
      <c r="A1053" s="203">
        <v>1054000</v>
      </c>
      <c r="B1053" s="202">
        <v>11184.7</v>
      </c>
    </row>
    <row r="1054" spans="1:2" hidden="1" x14ac:dyDescent="0.25">
      <c r="A1054" s="203">
        <v>1055000</v>
      </c>
      <c r="B1054" s="202">
        <v>11191.05</v>
      </c>
    </row>
    <row r="1055" spans="1:2" hidden="1" x14ac:dyDescent="0.25">
      <c r="A1055" s="203">
        <v>1056000</v>
      </c>
      <c r="B1055" s="202">
        <v>11197.35</v>
      </c>
    </row>
    <row r="1056" spans="1:2" hidden="1" x14ac:dyDescent="0.25">
      <c r="A1056" s="203">
        <v>1057000</v>
      </c>
      <c r="B1056" s="202">
        <v>11203.8</v>
      </c>
    </row>
    <row r="1057" spans="1:2" hidden="1" x14ac:dyDescent="0.25">
      <c r="A1057" s="203">
        <v>1058000</v>
      </c>
      <c r="B1057" s="202">
        <v>11210.15</v>
      </c>
    </row>
    <row r="1058" spans="1:2" hidden="1" x14ac:dyDescent="0.25">
      <c r="A1058" s="203">
        <v>1059000</v>
      </c>
      <c r="B1058" s="202">
        <v>11216.55</v>
      </c>
    </row>
    <row r="1059" spans="1:2" hidden="1" x14ac:dyDescent="0.25">
      <c r="A1059" s="203">
        <v>1060000</v>
      </c>
      <c r="B1059" s="202">
        <v>11222.85</v>
      </c>
    </row>
    <row r="1060" spans="1:2" hidden="1" x14ac:dyDescent="0.25">
      <c r="A1060" s="203">
        <v>1061000</v>
      </c>
      <c r="B1060" s="202">
        <v>11229.2</v>
      </c>
    </row>
    <row r="1061" spans="1:2" hidden="1" x14ac:dyDescent="0.25">
      <c r="A1061" s="203">
        <v>1062000</v>
      </c>
      <c r="B1061" s="202">
        <v>11235.6</v>
      </c>
    </row>
    <row r="1062" spans="1:2" hidden="1" x14ac:dyDescent="0.25">
      <c r="A1062" s="203">
        <v>1063000</v>
      </c>
      <c r="B1062" s="202">
        <v>11241.9</v>
      </c>
    </row>
    <row r="1063" spans="1:2" hidden="1" x14ac:dyDescent="0.25">
      <c r="A1063" s="203">
        <v>1064000</v>
      </c>
      <c r="B1063" s="202">
        <v>11248.35</v>
      </c>
    </row>
    <row r="1064" spans="1:2" hidden="1" x14ac:dyDescent="0.25">
      <c r="A1064" s="203">
        <v>1065000</v>
      </c>
      <c r="B1064" s="202">
        <v>11254.7</v>
      </c>
    </row>
    <row r="1065" spans="1:2" hidden="1" x14ac:dyDescent="0.25">
      <c r="A1065" s="203">
        <v>1066000</v>
      </c>
      <c r="B1065" s="202">
        <v>11261.05</v>
      </c>
    </row>
    <row r="1066" spans="1:2" hidden="1" x14ac:dyDescent="0.25">
      <c r="A1066" s="203">
        <v>1067000</v>
      </c>
      <c r="B1066" s="202">
        <v>11267.4</v>
      </c>
    </row>
    <row r="1067" spans="1:2" hidden="1" x14ac:dyDescent="0.25">
      <c r="A1067" s="203">
        <v>1068000</v>
      </c>
      <c r="B1067" s="202">
        <v>11273.75</v>
      </c>
    </row>
    <row r="1068" spans="1:2" hidden="1" x14ac:dyDescent="0.25">
      <c r="A1068" s="203">
        <v>1069000</v>
      </c>
      <c r="B1068" s="202">
        <v>11280.15</v>
      </c>
    </row>
    <row r="1069" spans="1:2" hidden="1" x14ac:dyDescent="0.25">
      <c r="A1069" s="203">
        <v>1070000</v>
      </c>
      <c r="B1069" s="202">
        <v>11286.45</v>
      </c>
    </row>
    <row r="1070" spans="1:2" hidden="1" x14ac:dyDescent="0.25">
      <c r="A1070" s="203">
        <v>1071000</v>
      </c>
      <c r="B1070" s="202">
        <v>11292.85</v>
      </c>
    </row>
    <row r="1071" spans="1:2" hidden="1" x14ac:dyDescent="0.25">
      <c r="A1071" s="203">
        <v>1072000</v>
      </c>
      <c r="B1071" s="202">
        <v>11299.25</v>
      </c>
    </row>
    <row r="1072" spans="1:2" hidden="1" x14ac:dyDescent="0.25">
      <c r="A1072" s="203">
        <v>1073000</v>
      </c>
      <c r="B1072" s="202">
        <v>11305.6</v>
      </c>
    </row>
    <row r="1073" spans="1:2" hidden="1" x14ac:dyDescent="0.25">
      <c r="A1073" s="203">
        <v>1074000</v>
      </c>
      <c r="B1073" s="202">
        <v>11311.95</v>
      </c>
    </row>
    <row r="1074" spans="1:2" hidden="1" x14ac:dyDescent="0.25">
      <c r="A1074" s="203">
        <v>1075000</v>
      </c>
      <c r="B1074" s="202">
        <v>11318.3</v>
      </c>
    </row>
    <row r="1075" spans="1:2" hidden="1" x14ac:dyDescent="0.25">
      <c r="A1075" s="203">
        <v>1076000</v>
      </c>
      <c r="B1075" s="202">
        <v>11324.65</v>
      </c>
    </row>
    <row r="1076" spans="1:2" hidden="1" x14ac:dyDescent="0.25">
      <c r="A1076" s="203">
        <v>1077000</v>
      </c>
      <c r="B1076" s="202">
        <v>11331</v>
      </c>
    </row>
    <row r="1077" spans="1:2" hidden="1" x14ac:dyDescent="0.25">
      <c r="A1077" s="203">
        <v>1078000</v>
      </c>
      <c r="B1077" s="202">
        <v>11337.4</v>
      </c>
    </row>
    <row r="1078" spans="1:2" hidden="1" x14ac:dyDescent="0.25">
      <c r="A1078" s="203">
        <v>1079000</v>
      </c>
      <c r="B1078" s="202">
        <v>11343.8</v>
      </c>
    </row>
    <row r="1079" spans="1:2" hidden="1" x14ac:dyDescent="0.25">
      <c r="A1079" s="203">
        <v>1080000</v>
      </c>
      <c r="B1079" s="202">
        <v>11350.15</v>
      </c>
    </row>
    <row r="1080" spans="1:2" hidden="1" x14ac:dyDescent="0.25">
      <c r="A1080" s="203">
        <v>1081000</v>
      </c>
      <c r="B1080" s="202">
        <v>11356.45</v>
      </c>
    </row>
    <row r="1081" spans="1:2" hidden="1" x14ac:dyDescent="0.25">
      <c r="A1081" s="203">
        <v>1082000</v>
      </c>
      <c r="B1081" s="202">
        <v>11362.85</v>
      </c>
    </row>
    <row r="1082" spans="1:2" hidden="1" x14ac:dyDescent="0.25">
      <c r="A1082" s="203">
        <v>1083000</v>
      </c>
      <c r="B1082" s="202">
        <v>11369.2</v>
      </c>
    </row>
    <row r="1083" spans="1:2" hidden="1" x14ac:dyDescent="0.25">
      <c r="A1083" s="203">
        <v>1084000</v>
      </c>
      <c r="B1083" s="202">
        <v>11375.55</v>
      </c>
    </row>
    <row r="1084" spans="1:2" hidden="1" x14ac:dyDescent="0.25">
      <c r="A1084" s="203">
        <v>1085000</v>
      </c>
      <c r="B1084" s="202">
        <v>11381.95</v>
      </c>
    </row>
    <row r="1085" spans="1:2" hidden="1" x14ac:dyDescent="0.25">
      <c r="A1085" s="203">
        <v>1086000</v>
      </c>
      <c r="B1085" s="202">
        <v>11388.3</v>
      </c>
    </row>
    <row r="1086" spans="1:2" hidden="1" x14ac:dyDescent="0.25">
      <c r="A1086" s="203">
        <v>1087000</v>
      </c>
      <c r="B1086" s="202">
        <v>11394.7</v>
      </c>
    </row>
    <row r="1087" spans="1:2" hidden="1" x14ac:dyDescent="0.25">
      <c r="A1087" s="203">
        <v>1088000</v>
      </c>
      <c r="B1087" s="202">
        <v>11401</v>
      </c>
    </row>
    <row r="1088" spans="1:2" hidden="1" x14ac:dyDescent="0.25">
      <c r="A1088" s="203">
        <v>1089000</v>
      </c>
      <c r="B1088" s="202">
        <v>11407.4</v>
      </c>
    </row>
    <row r="1089" spans="1:2" hidden="1" x14ac:dyDescent="0.25">
      <c r="A1089" s="203">
        <v>1090000</v>
      </c>
      <c r="B1089" s="202">
        <v>11413.75</v>
      </c>
    </row>
    <row r="1090" spans="1:2" hidden="1" x14ac:dyDescent="0.25">
      <c r="A1090" s="203">
        <v>1091000</v>
      </c>
      <c r="B1090" s="202">
        <v>11420.05</v>
      </c>
    </row>
    <row r="1091" spans="1:2" hidden="1" x14ac:dyDescent="0.25">
      <c r="A1091" s="203">
        <v>1092000</v>
      </c>
      <c r="B1091" s="202">
        <v>11426.5</v>
      </c>
    </row>
    <row r="1092" spans="1:2" hidden="1" x14ac:dyDescent="0.25">
      <c r="A1092" s="203">
        <v>1093000</v>
      </c>
      <c r="B1092" s="202">
        <v>11432.85</v>
      </c>
    </row>
    <row r="1093" spans="1:2" hidden="1" x14ac:dyDescent="0.25">
      <c r="A1093" s="203">
        <v>1094000</v>
      </c>
      <c r="B1093" s="202">
        <v>11439.25</v>
      </c>
    </row>
    <row r="1094" spans="1:2" hidden="1" x14ac:dyDescent="0.25">
      <c r="A1094" s="203">
        <v>1095000</v>
      </c>
      <c r="B1094" s="202">
        <v>11445.55</v>
      </c>
    </row>
    <row r="1095" spans="1:2" hidden="1" x14ac:dyDescent="0.25">
      <c r="A1095" s="203">
        <v>1096000</v>
      </c>
      <c r="B1095" s="202">
        <v>11451.9</v>
      </c>
    </row>
    <row r="1096" spans="1:2" hidden="1" x14ac:dyDescent="0.25">
      <c r="A1096" s="203">
        <v>1097000</v>
      </c>
      <c r="B1096" s="202">
        <v>11458.3</v>
      </c>
    </row>
    <row r="1097" spans="1:2" hidden="1" x14ac:dyDescent="0.25">
      <c r="A1097" s="203">
        <v>1098000</v>
      </c>
      <c r="B1097" s="202">
        <v>11464.6</v>
      </c>
    </row>
    <row r="1098" spans="1:2" hidden="1" x14ac:dyDescent="0.25">
      <c r="A1098" s="203">
        <v>1099000</v>
      </c>
      <c r="B1098" s="202">
        <v>11471.05</v>
      </c>
    </row>
    <row r="1099" spans="1:2" hidden="1" x14ac:dyDescent="0.25">
      <c r="A1099" s="203">
        <v>1100000</v>
      </c>
      <c r="B1099" s="202">
        <v>11477.4</v>
      </c>
    </row>
    <row r="1100" spans="1:2" hidden="1" x14ac:dyDescent="0.25">
      <c r="A1100" s="203">
        <v>1101000</v>
      </c>
      <c r="B1100" s="202">
        <v>11483.75</v>
      </c>
    </row>
    <row r="1101" spans="1:2" hidden="1" x14ac:dyDescent="0.25">
      <c r="A1101" s="203">
        <v>1102000</v>
      </c>
      <c r="B1101" s="202">
        <v>11490.1</v>
      </c>
    </row>
    <row r="1102" spans="1:2" hidden="1" x14ac:dyDescent="0.25">
      <c r="A1102" s="203">
        <v>1103000</v>
      </c>
      <c r="B1102" s="202">
        <v>11496.45</v>
      </c>
    </row>
    <row r="1103" spans="1:2" hidden="1" x14ac:dyDescent="0.25">
      <c r="A1103" s="203">
        <v>1104000</v>
      </c>
      <c r="B1103" s="202">
        <v>11502.85</v>
      </c>
    </row>
    <row r="1104" spans="1:2" hidden="1" x14ac:dyDescent="0.25">
      <c r="A1104" s="203">
        <v>1105000</v>
      </c>
      <c r="B1104" s="202">
        <v>11509.2</v>
      </c>
    </row>
    <row r="1105" spans="1:2" hidden="1" x14ac:dyDescent="0.25">
      <c r="A1105" s="203">
        <v>1106000</v>
      </c>
      <c r="B1105" s="202">
        <v>11515.55</v>
      </c>
    </row>
    <row r="1106" spans="1:2" hidden="1" x14ac:dyDescent="0.25">
      <c r="A1106" s="203">
        <v>1107000</v>
      </c>
      <c r="B1106" s="202">
        <v>11521.95</v>
      </c>
    </row>
    <row r="1107" spans="1:2" hidden="1" x14ac:dyDescent="0.25">
      <c r="A1107" s="203">
        <v>1108000</v>
      </c>
      <c r="B1107" s="202">
        <v>11528.3</v>
      </c>
    </row>
    <row r="1108" spans="1:2" hidden="1" x14ac:dyDescent="0.25">
      <c r="A1108" s="203">
        <v>1109000</v>
      </c>
      <c r="B1108" s="202">
        <v>11534.65</v>
      </c>
    </row>
    <row r="1109" spans="1:2" hidden="1" x14ac:dyDescent="0.25">
      <c r="A1109" s="203">
        <v>1110000</v>
      </c>
      <c r="B1109" s="202">
        <v>11541</v>
      </c>
    </row>
    <row r="1110" spans="1:2" hidden="1" x14ac:dyDescent="0.25">
      <c r="A1110" s="203">
        <v>1111000</v>
      </c>
      <c r="B1110" s="202">
        <v>11547.35</v>
      </c>
    </row>
    <row r="1111" spans="1:2" hidden="1" x14ac:dyDescent="0.25">
      <c r="A1111" s="203">
        <v>1112000</v>
      </c>
      <c r="B1111" s="202">
        <v>11553.75</v>
      </c>
    </row>
    <row r="1112" spans="1:2" hidden="1" x14ac:dyDescent="0.25">
      <c r="A1112" s="203">
        <v>1113000</v>
      </c>
      <c r="B1112" s="202">
        <v>11560.1</v>
      </c>
    </row>
    <row r="1113" spans="1:2" hidden="1" x14ac:dyDescent="0.25">
      <c r="A1113" s="203">
        <v>1114000</v>
      </c>
      <c r="B1113" s="202">
        <v>11566.5</v>
      </c>
    </row>
    <row r="1114" spans="1:2" hidden="1" x14ac:dyDescent="0.25">
      <c r="A1114" s="203">
        <v>1115000</v>
      </c>
      <c r="B1114" s="202">
        <v>11572.85</v>
      </c>
    </row>
    <row r="1115" spans="1:2" hidden="1" x14ac:dyDescent="0.25">
      <c r="A1115" s="203">
        <v>1116000</v>
      </c>
      <c r="B1115" s="202">
        <v>11579.15</v>
      </c>
    </row>
    <row r="1116" spans="1:2" hidden="1" x14ac:dyDescent="0.25">
      <c r="A1116" s="203">
        <v>1117000</v>
      </c>
      <c r="B1116" s="202">
        <v>11585.55</v>
      </c>
    </row>
    <row r="1117" spans="1:2" hidden="1" x14ac:dyDescent="0.25">
      <c r="A1117" s="203">
        <v>1118000</v>
      </c>
      <c r="B1117" s="202">
        <v>11591.9</v>
      </c>
    </row>
    <row r="1118" spans="1:2" hidden="1" x14ac:dyDescent="0.25">
      <c r="A1118" s="203">
        <v>1119000</v>
      </c>
      <c r="B1118" s="202">
        <v>11598.3</v>
      </c>
    </row>
    <row r="1119" spans="1:2" hidden="1" x14ac:dyDescent="0.25">
      <c r="A1119" s="203">
        <v>1120000</v>
      </c>
      <c r="B1119" s="202">
        <v>11604.65</v>
      </c>
    </row>
    <row r="1120" spans="1:2" hidden="1" x14ac:dyDescent="0.25">
      <c r="A1120" s="203">
        <v>1121000</v>
      </c>
      <c r="B1120" s="202">
        <v>11611</v>
      </c>
    </row>
    <row r="1121" spans="1:2" hidden="1" x14ac:dyDescent="0.25">
      <c r="A1121" s="203">
        <v>1122000</v>
      </c>
      <c r="B1121" s="202">
        <v>11617.4</v>
      </c>
    </row>
    <row r="1122" spans="1:2" hidden="1" x14ac:dyDescent="0.25">
      <c r="A1122" s="203">
        <v>1123000</v>
      </c>
      <c r="B1122" s="202">
        <v>11623.7</v>
      </c>
    </row>
    <row r="1123" spans="1:2" hidden="1" x14ac:dyDescent="0.25">
      <c r="A1123" s="203">
        <v>1124000</v>
      </c>
      <c r="B1123" s="202">
        <v>11630.1</v>
      </c>
    </row>
    <row r="1124" spans="1:2" hidden="1" x14ac:dyDescent="0.25">
      <c r="A1124" s="203">
        <v>1125000</v>
      </c>
      <c r="B1124" s="202">
        <v>11636.45</v>
      </c>
    </row>
    <row r="1125" spans="1:2" hidden="1" x14ac:dyDescent="0.25">
      <c r="A1125" s="203">
        <v>1126000</v>
      </c>
      <c r="B1125" s="202">
        <v>11642.8</v>
      </c>
    </row>
    <row r="1126" spans="1:2" hidden="1" x14ac:dyDescent="0.25">
      <c r="A1126" s="203">
        <v>1127000</v>
      </c>
      <c r="B1126" s="202">
        <v>11649.2</v>
      </c>
    </row>
    <row r="1127" spans="1:2" hidden="1" x14ac:dyDescent="0.25">
      <c r="A1127" s="203">
        <v>1128000</v>
      </c>
      <c r="B1127" s="202">
        <v>11655.55</v>
      </c>
    </row>
    <row r="1128" spans="1:2" hidden="1" x14ac:dyDescent="0.25">
      <c r="A1128" s="203">
        <v>1129000</v>
      </c>
      <c r="B1128" s="202">
        <v>11661.95</v>
      </c>
    </row>
    <row r="1129" spans="1:2" hidden="1" x14ac:dyDescent="0.25">
      <c r="A1129" s="203">
        <v>1130000</v>
      </c>
      <c r="B1129" s="202">
        <v>11668.25</v>
      </c>
    </row>
    <row r="1130" spans="1:2" hidden="1" x14ac:dyDescent="0.25">
      <c r="A1130" s="203">
        <v>1131000</v>
      </c>
      <c r="B1130" s="202">
        <v>11674.6</v>
      </c>
    </row>
    <row r="1131" spans="1:2" hidden="1" x14ac:dyDescent="0.25">
      <c r="A1131" s="203">
        <v>1132000</v>
      </c>
      <c r="B1131" s="202">
        <v>11681</v>
      </c>
    </row>
    <row r="1132" spans="1:2" hidden="1" x14ac:dyDescent="0.25">
      <c r="A1132" s="203">
        <v>1133000</v>
      </c>
      <c r="B1132" s="202">
        <v>11687.35</v>
      </c>
    </row>
    <row r="1133" spans="1:2" hidden="1" x14ac:dyDescent="0.25">
      <c r="A1133" s="203">
        <v>1134000</v>
      </c>
      <c r="B1133" s="202">
        <v>11693.75</v>
      </c>
    </row>
    <row r="1134" spans="1:2" hidden="1" x14ac:dyDescent="0.25">
      <c r="A1134" s="203">
        <v>1135000</v>
      </c>
      <c r="B1134" s="202">
        <v>11700.1</v>
      </c>
    </row>
    <row r="1135" spans="1:2" hidden="1" x14ac:dyDescent="0.25">
      <c r="A1135" s="203">
        <v>1136000</v>
      </c>
      <c r="B1135" s="202">
        <v>11706.45</v>
      </c>
    </row>
    <row r="1136" spans="1:2" hidden="1" x14ac:dyDescent="0.25">
      <c r="A1136" s="203">
        <v>1137000</v>
      </c>
      <c r="B1136" s="202">
        <v>11712.85</v>
      </c>
    </row>
    <row r="1137" spans="1:2" hidden="1" x14ac:dyDescent="0.25">
      <c r="A1137" s="203">
        <v>1138000</v>
      </c>
      <c r="B1137" s="202">
        <v>11719.15</v>
      </c>
    </row>
    <row r="1138" spans="1:2" hidden="1" x14ac:dyDescent="0.25">
      <c r="A1138" s="203">
        <v>1139000</v>
      </c>
      <c r="B1138" s="202">
        <v>11725.55</v>
      </c>
    </row>
    <row r="1139" spans="1:2" hidden="1" x14ac:dyDescent="0.25">
      <c r="A1139" s="203">
        <v>1140000</v>
      </c>
      <c r="B1139" s="202">
        <v>11731.9</v>
      </c>
    </row>
    <row r="1140" spans="1:2" hidden="1" x14ac:dyDescent="0.25">
      <c r="A1140" s="203">
        <v>1141000</v>
      </c>
      <c r="B1140" s="202">
        <v>11738.25</v>
      </c>
    </row>
    <row r="1141" spans="1:2" hidden="1" x14ac:dyDescent="0.25">
      <c r="A1141" s="203">
        <v>1142000</v>
      </c>
      <c r="B1141" s="202">
        <v>11744.65</v>
      </c>
    </row>
    <row r="1142" spans="1:2" hidden="1" x14ac:dyDescent="0.25">
      <c r="A1142" s="203">
        <v>1143000</v>
      </c>
      <c r="B1142" s="202">
        <v>11751</v>
      </c>
    </row>
    <row r="1143" spans="1:2" hidden="1" x14ac:dyDescent="0.25">
      <c r="A1143" s="203">
        <v>1144000</v>
      </c>
      <c r="B1143" s="202">
        <v>11757.4</v>
      </c>
    </row>
    <row r="1144" spans="1:2" hidden="1" x14ac:dyDescent="0.25">
      <c r="A1144" s="203">
        <v>1145000</v>
      </c>
      <c r="B1144" s="202">
        <v>11763.7</v>
      </c>
    </row>
    <row r="1145" spans="1:2" hidden="1" x14ac:dyDescent="0.25">
      <c r="A1145" s="203">
        <v>1146000</v>
      </c>
      <c r="B1145" s="202">
        <v>11770.05</v>
      </c>
    </row>
    <row r="1146" spans="1:2" hidden="1" x14ac:dyDescent="0.25">
      <c r="A1146" s="203">
        <v>1147000</v>
      </c>
      <c r="B1146" s="202">
        <v>11776.45</v>
      </c>
    </row>
    <row r="1147" spans="1:2" hidden="1" x14ac:dyDescent="0.25">
      <c r="A1147" s="203">
        <v>1148000</v>
      </c>
      <c r="B1147" s="202">
        <v>11782.8</v>
      </c>
    </row>
    <row r="1148" spans="1:2" hidden="1" x14ac:dyDescent="0.25">
      <c r="A1148" s="203">
        <v>1149000</v>
      </c>
      <c r="B1148" s="202">
        <v>11789.2</v>
      </c>
    </row>
    <row r="1149" spans="1:2" hidden="1" x14ac:dyDescent="0.25">
      <c r="A1149" s="203">
        <v>1150000</v>
      </c>
      <c r="B1149" s="202">
        <v>11795.55</v>
      </c>
    </row>
    <row r="1150" spans="1:2" hidden="1" x14ac:dyDescent="0.25">
      <c r="A1150" s="203">
        <v>1151000</v>
      </c>
      <c r="B1150" s="202">
        <v>11801.9</v>
      </c>
    </row>
    <row r="1151" spans="1:2" hidden="1" x14ac:dyDescent="0.25">
      <c r="A1151" s="203">
        <v>1152000</v>
      </c>
      <c r="B1151" s="202">
        <v>11808.25</v>
      </c>
    </row>
    <row r="1152" spans="1:2" hidden="1" x14ac:dyDescent="0.25">
      <c r="A1152" s="203">
        <v>1153000</v>
      </c>
      <c r="B1152" s="202">
        <v>11814.6</v>
      </c>
    </row>
    <row r="1153" spans="1:2" hidden="1" x14ac:dyDescent="0.25">
      <c r="A1153" s="203">
        <v>1154000</v>
      </c>
      <c r="B1153" s="202">
        <v>11821</v>
      </c>
    </row>
    <row r="1154" spans="1:2" hidden="1" x14ac:dyDescent="0.25">
      <c r="A1154" s="203">
        <v>1155000</v>
      </c>
      <c r="B1154" s="202">
        <v>11827.35</v>
      </c>
    </row>
    <row r="1155" spans="1:2" hidden="1" x14ac:dyDescent="0.25">
      <c r="A1155" s="203">
        <v>1156000</v>
      </c>
      <c r="B1155" s="202">
        <v>11833.7</v>
      </c>
    </row>
    <row r="1156" spans="1:2" hidden="1" x14ac:dyDescent="0.25">
      <c r="A1156" s="203">
        <v>1157000</v>
      </c>
      <c r="B1156" s="202">
        <v>11840.1</v>
      </c>
    </row>
    <row r="1157" spans="1:2" hidden="1" x14ac:dyDescent="0.25">
      <c r="A1157" s="203">
        <v>1158000</v>
      </c>
      <c r="B1157" s="202">
        <v>11846.45</v>
      </c>
    </row>
    <row r="1158" spans="1:2" hidden="1" x14ac:dyDescent="0.25">
      <c r="A1158" s="203">
        <v>1159000</v>
      </c>
      <c r="B1158" s="202">
        <v>11852.8</v>
      </c>
    </row>
    <row r="1159" spans="1:2" hidden="1" x14ac:dyDescent="0.25">
      <c r="A1159" s="203">
        <v>1160000</v>
      </c>
      <c r="B1159" s="202">
        <v>11859.15</v>
      </c>
    </row>
    <row r="1160" spans="1:2" hidden="1" x14ac:dyDescent="0.25">
      <c r="A1160" s="203">
        <v>1161000</v>
      </c>
      <c r="B1160" s="202">
        <v>11865.5</v>
      </c>
    </row>
    <row r="1161" spans="1:2" hidden="1" x14ac:dyDescent="0.25">
      <c r="A1161" s="203">
        <v>1162000</v>
      </c>
      <c r="B1161" s="202">
        <v>11871.9</v>
      </c>
    </row>
    <row r="1162" spans="1:2" hidden="1" x14ac:dyDescent="0.25">
      <c r="A1162" s="203">
        <v>1163000</v>
      </c>
      <c r="B1162" s="202">
        <v>11878.25</v>
      </c>
    </row>
    <row r="1163" spans="1:2" hidden="1" x14ac:dyDescent="0.25">
      <c r="A1163" s="203">
        <v>1164000</v>
      </c>
      <c r="B1163" s="202">
        <v>11884.65</v>
      </c>
    </row>
    <row r="1164" spans="1:2" hidden="1" x14ac:dyDescent="0.25">
      <c r="A1164" s="203">
        <v>1165000</v>
      </c>
      <c r="B1164" s="202">
        <v>11891</v>
      </c>
    </row>
    <row r="1165" spans="1:2" hidden="1" x14ac:dyDescent="0.25">
      <c r="A1165" s="203">
        <v>1166000</v>
      </c>
      <c r="B1165" s="202">
        <v>11897.3</v>
      </c>
    </row>
    <row r="1166" spans="1:2" hidden="1" x14ac:dyDescent="0.25">
      <c r="A1166" s="203">
        <v>1167000</v>
      </c>
      <c r="B1166" s="202">
        <v>11903.7</v>
      </c>
    </row>
    <row r="1167" spans="1:2" hidden="1" x14ac:dyDescent="0.25">
      <c r="A1167" s="203">
        <v>1168000</v>
      </c>
      <c r="B1167" s="202">
        <v>11910.05</v>
      </c>
    </row>
    <row r="1168" spans="1:2" hidden="1" x14ac:dyDescent="0.25">
      <c r="A1168" s="203">
        <v>1169000</v>
      </c>
      <c r="B1168" s="202">
        <v>11916.5</v>
      </c>
    </row>
    <row r="1169" spans="1:2" hidden="1" x14ac:dyDescent="0.25">
      <c r="A1169" s="203">
        <v>1170000</v>
      </c>
      <c r="B1169" s="202">
        <v>11922.8</v>
      </c>
    </row>
    <row r="1170" spans="1:2" hidden="1" x14ac:dyDescent="0.25">
      <c r="A1170" s="203">
        <v>1171000</v>
      </c>
      <c r="B1170" s="202">
        <v>11929.15</v>
      </c>
    </row>
    <row r="1171" spans="1:2" hidden="1" x14ac:dyDescent="0.25">
      <c r="A1171" s="203">
        <v>1172000</v>
      </c>
      <c r="B1171" s="202">
        <v>11935.55</v>
      </c>
    </row>
    <row r="1172" spans="1:2" hidden="1" x14ac:dyDescent="0.25">
      <c r="A1172" s="203">
        <v>1173000</v>
      </c>
      <c r="B1172" s="202">
        <v>11941.85</v>
      </c>
    </row>
    <row r="1173" spans="1:2" hidden="1" x14ac:dyDescent="0.25">
      <c r="A1173" s="203">
        <v>1174000</v>
      </c>
      <c r="B1173" s="202">
        <v>11948.25</v>
      </c>
    </row>
    <row r="1174" spans="1:2" hidden="1" x14ac:dyDescent="0.25">
      <c r="A1174" s="203">
        <v>1175000</v>
      </c>
      <c r="B1174" s="202">
        <v>11954.65</v>
      </c>
    </row>
    <row r="1175" spans="1:2" hidden="1" x14ac:dyDescent="0.25">
      <c r="A1175" s="203">
        <v>1176000</v>
      </c>
      <c r="B1175" s="202">
        <v>11961</v>
      </c>
    </row>
    <row r="1176" spans="1:2" hidden="1" x14ac:dyDescent="0.25">
      <c r="A1176" s="203">
        <v>1177000</v>
      </c>
      <c r="B1176" s="202">
        <v>11967.35</v>
      </c>
    </row>
    <row r="1177" spans="1:2" hidden="1" x14ac:dyDescent="0.25">
      <c r="A1177" s="203">
        <v>1178000</v>
      </c>
      <c r="B1177" s="202">
        <v>11973.7</v>
      </c>
    </row>
    <row r="1178" spans="1:2" hidden="1" x14ac:dyDescent="0.25">
      <c r="A1178" s="203">
        <v>1179000</v>
      </c>
      <c r="B1178" s="202">
        <v>11980.1</v>
      </c>
    </row>
    <row r="1179" spans="1:2" hidden="1" x14ac:dyDescent="0.25">
      <c r="A1179" s="203">
        <v>1180000</v>
      </c>
      <c r="B1179" s="202">
        <v>11986.4</v>
      </c>
    </row>
    <row r="1180" spans="1:2" hidden="1" x14ac:dyDescent="0.25">
      <c r="A1180" s="203">
        <v>1181000</v>
      </c>
      <c r="B1180" s="202">
        <v>11992.75</v>
      </c>
    </row>
    <row r="1181" spans="1:2" hidden="1" x14ac:dyDescent="0.25">
      <c r="A1181" s="203">
        <v>1182000</v>
      </c>
      <c r="B1181" s="202">
        <v>11999.2</v>
      </c>
    </row>
    <row r="1182" spans="1:2" hidden="1" x14ac:dyDescent="0.25">
      <c r="A1182" s="203">
        <v>1183000</v>
      </c>
      <c r="B1182" s="202">
        <v>12005.55</v>
      </c>
    </row>
    <row r="1183" spans="1:2" hidden="1" x14ac:dyDescent="0.25">
      <c r="A1183" s="203">
        <v>1184000</v>
      </c>
      <c r="B1183" s="202">
        <v>12011.9</v>
      </c>
    </row>
    <row r="1184" spans="1:2" hidden="1" x14ac:dyDescent="0.25">
      <c r="A1184" s="203">
        <v>1185000</v>
      </c>
      <c r="B1184" s="202">
        <v>12018.25</v>
      </c>
    </row>
    <row r="1185" spans="1:2" hidden="1" x14ac:dyDescent="0.25">
      <c r="A1185" s="203">
        <v>1186000</v>
      </c>
      <c r="B1185" s="202">
        <v>12024.6</v>
      </c>
    </row>
    <row r="1186" spans="1:2" hidden="1" x14ac:dyDescent="0.25">
      <c r="A1186" s="203">
        <v>1187000</v>
      </c>
      <c r="B1186" s="202">
        <v>12030.95</v>
      </c>
    </row>
    <row r="1187" spans="1:2" hidden="1" x14ac:dyDescent="0.25">
      <c r="A1187" s="203">
        <v>1188000</v>
      </c>
      <c r="B1187" s="202">
        <v>12037.3</v>
      </c>
    </row>
    <row r="1188" spans="1:2" hidden="1" x14ac:dyDescent="0.25">
      <c r="A1188" s="203">
        <v>1189000</v>
      </c>
      <c r="B1188" s="202">
        <v>12043.75</v>
      </c>
    </row>
    <row r="1189" spans="1:2" hidden="1" x14ac:dyDescent="0.25">
      <c r="A1189" s="203">
        <v>1190000</v>
      </c>
      <c r="B1189" s="202">
        <v>12050.1</v>
      </c>
    </row>
    <row r="1190" spans="1:2" hidden="1" x14ac:dyDescent="0.25">
      <c r="A1190" s="203">
        <v>1191000</v>
      </c>
      <c r="B1190" s="202">
        <v>12056.4</v>
      </c>
    </row>
    <row r="1191" spans="1:2" hidden="1" x14ac:dyDescent="0.25">
      <c r="A1191" s="203">
        <v>1192000</v>
      </c>
      <c r="B1191" s="202">
        <v>12062.8</v>
      </c>
    </row>
    <row r="1192" spans="1:2" hidden="1" x14ac:dyDescent="0.25">
      <c r="A1192" s="203">
        <v>1193000</v>
      </c>
      <c r="B1192" s="202">
        <v>12069.15</v>
      </c>
    </row>
    <row r="1193" spans="1:2" hidden="1" x14ac:dyDescent="0.25">
      <c r="A1193" s="203">
        <v>1194000</v>
      </c>
      <c r="B1193" s="202">
        <v>12075.5</v>
      </c>
    </row>
    <row r="1194" spans="1:2" hidden="1" x14ac:dyDescent="0.25">
      <c r="A1194" s="203">
        <v>1195000</v>
      </c>
      <c r="B1194" s="202">
        <v>12081.85</v>
      </c>
    </row>
    <row r="1195" spans="1:2" hidden="1" x14ac:dyDescent="0.25">
      <c r="A1195" s="203">
        <v>1196000</v>
      </c>
      <c r="B1195" s="202">
        <v>12088.25</v>
      </c>
    </row>
    <row r="1196" spans="1:2" hidden="1" x14ac:dyDescent="0.25">
      <c r="A1196" s="203">
        <v>1197000</v>
      </c>
      <c r="B1196" s="202">
        <v>12094.65</v>
      </c>
    </row>
    <row r="1197" spans="1:2" hidden="1" x14ac:dyDescent="0.25">
      <c r="A1197" s="203">
        <v>1198000</v>
      </c>
      <c r="B1197" s="202">
        <v>12100.95</v>
      </c>
    </row>
    <row r="1198" spans="1:2" hidden="1" x14ac:dyDescent="0.25">
      <c r="A1198" s="203">
        <v>1199000</v>
      </c>
      <c r="B1198" s="202">
        <v>12107.35</v>
      </c>
    </row>
    <row r="1199" spans="1:2" hidden="1" x14ac:dyDescent="0.25">
      <c r="A1199" s="203">
        <v>1200000</v>
      </c>
      <c r="B1199" s="202">
        <v>12113.7</v>
      </c>
    </row>
    <row r="1200" spans="1:2" hidden="1" x14ac:dyDescent="0.25">
      <c r="A1200" s="203">
        <v>1201000</v>
      </c>
      <c r="B1200" s="202">
        <v>12120</v>
      </c>
    </row>
    <row r="1201" spans="1:2" hidden="1" x14ac:dyDescent="0.25">
      <c r="A1201" s="203">
        <v>1202000</v>
      </c>
      <c r="B1201" s="202">
        <v>12126.4</v>
      </c>
    </row>
    <row r="1202" spans="1:2" hidden="1" x14ac:dyDescent="0.25">
      <c r="A1202" s="203">
        <v>1203000</v>
      </c>
      <c r="B1202" s="202">
        <v>12132.8</v>
      </c>
    </row>
    <row r="1203" spans="1:2" hidden="1" x14ac:dyDescent="0.25">
      <c r="A1203" s="203">
        <v>1204000</v>
      </c>
      <c r="B1203" s="202">
        <v>12139.2</v>
      </c>
    </row>
    <row r="1204" spans="1:2" hidden="1" x14ac:dyDescent="0.25">
      <c r="A1204" s="203">
        <v>1205000</v>
      </c>
      <c r="B1204" s="202">
        <v>12145.5</v>
      </c>
    </row>
    <row r="1205" spans="1:2" hidden="1" x14ac:dyDescent="0.25">
      <c r="A1205" s="203">
        <v>1206000</v>
      </c>
      <c r="B1205" s="202">
        <v>12151.85</v>
      </c>
    </row>
    <row r="1206" spans="1:2" hidden="1" x14ac:dyDescent="0.25">
      <c r="A1206" s="203">
        <v>1207000</v>
      </c>
      <c r="B1206" s="202">
        <v>12158.25</v>
      </c>
    </row>
    <row r="1207" spans="1:2" hidden="1" x14ac:dyDescent="0.25">
      <c r="A1207" s="203">
        <v>1208000</v>
      </c>
      <c r="B1207" s="202">
        <v>12164.55</v>
      </c>
    </row>
    <row r="1208" spans="1:2" hidden="1" x14ac:dyDescent="0.25">
      <c r="A1208" s="203">
        <v>1209000</v>
      </c>
      <c r="B1208" s="202">
        <v>12170.95</v>
      </c>
    </row>
    <row r="1209" spans="1:2" hidden="1" x14ac:dyDescent="0.25">
      <c r="A1209" s="203">
        <v>1210000</v>
      </c>
      <c r="B1209" s="202">
        <v>12177.35</v>
      </c>
    </row>
    <row r="1210" spans="1:2" hidden="1" x14ac:dyDescent="0.25">
      <c r="A1210" s="203">
        <v>1211000</v>
      </c>
      <c r="B1210" s="202">
        <v>12183.7</v>
      </c>
    </row>
    <row r="1211" spans="1:2" hidden="1" x14ac:dyDescent="0.25">
      <c r="A1211" s="203">
        <v>1212000</v>
      </c>
      <c r="B1211" s="202">
        <v>12190.05</v>
      </c>
    </row>
    <row r="1212" spans="1:2" hidden="1" x14ac:dyDescent="0.25">
      <c r="A1212" s="203">
        <v>1213000</v>
      </c>
      <c r="B1212" s="202">
        <v>12196.4</v>
      </c>
    </row>
    <row r="1213" spans="1:2" hidden="1" x14ac:dyDescent="0.25">
      <c r="A1213" s="203">
        <v>1214000</v>
      </c>
      <c r="B1213" s="202">
        <v>12202.8</v>
      </c>
    </row>
    <row r="1214" spans="1:2" hidden="1" x14ac:dyDescent="0.25">
      <c r="A1214" s="203">
        <v>1215000</v>
      </c>
      <c r="B1214" s="202">
        <v>12209.15</v>
      </c>
    </row>
    <row r="1215" spans="1:2" hidden="1" x14ac:dyDescent="0.25">
      <c r="A1215" s="203">
        <v>1216000</v>
      </c>
      <c r="B1215" s="202">
        <v>12215.45</v>
      </c>
    </row>
    <row r="1216" spans="1:2" hidden="1" x14ac:dyDescent="0.25">
      <c r="A1216" s="203">
        <v>1217000</v>
      </c>
      <c r="B1216" s="202">
        <v>12221.9</v>
      </c>
    </row>
    <row r="1217" spans="1:2" hidden="1" x14ac:dyDescent="0.25">
      <c r="A1217" s="203">
        <v>1218000</v>
      </c>
      <c r="B1217" s="202">
        <v>12228.25</v>
      </c>
    </row>
    <row r="1218" spans="1:2" hidden="1" x14ac:dyDescent="0.25">
      <c r="A1218" s="203">
        <v>1219000</v>
      </c>
      <c r="B1218" s="202">
        <v>12234.6</v>
      </c>
    </row>
    <row r="1219" spans="1:2" hidden="1" x14ac:dyDescent="0.25">
      <c r="A1219" s="203">
        <v>1220000</v>
      </c>
      <c r="B1219" s="202">
        <v>12240.95</v>
      </c>
    </row>
    <row r="1220" spans="1:2" hidden="1" x14ac:dyDescent="0.25">
      <c r="A1220" s="203">
        <v>1221000</v>
      </c>
      <c r="B1220" s="202">
        <v>12247.3</v>
      </c>
    </row>
    <row r="1221" spans="1:2" hidden="1" x14ac:dyDescent="0.25">
      <c r="A1221" s="203">
        <v>1222000</v>
      </c>
      <c r="B1221" s="202">
        <v>12253.7</v>
      </c>
    </row>
    <row r="1222" spans="1:2" hidden="1" x14ac:dyDescent="0.25">
      <c r="A1222" s="203">
        <v>1223000</v>
      </c>
      <c r="B1222" s="202">
        <v>12260</v>
      </c>
    </row>
    <row r="1223" spans="1:2" hidden="1" x14ac:dyDescent="0.25">
      <c r="A1223" s="203">
        <v>1224000</v>
      </c>
      <c r="B1223" s="202">
        <v>12266.45</v>
      </c>
    </row>
    <row r="1224" spans="1:2" hidden="1" x14ac:dyDescent="0.25">
      <c r="A1224" s="203">
        <v>1225000</v>
      </c>
      <c r="B1224" s="202">
        <v>12272.8</v>
      </c>
    </row>
    <row r="1225" spans="1:2" hidden="1" x14ac:dyDescent="0.25">
      <c r="A1225" s="203">
        <v>1226000</v>
      </c>
      <c r="B1225" s="202">
        <v>12279.1</v>
      </c>
    </row>
    <row r="1226" spans="1:2" hidden="1" x14ac:dyDescent="0.25">
      <c r="A1226" s="203">
        <v>1227000</v>
      </c>
      <c r="B1226" s="202">
        <v>12285.5</v>
      </c>
    </row>
    <row r="1227" spans="1:2" hidden="1" x14ac:dyDescent="0.25">
      <c r="A1227" s="203">
        <v>1228000</v>
      </c>
      <c r="B1227" s="202">
        <v>12291.85</v>
      </c>
    </row>
    <row r="1228" spans="1:2" hidden="1" x14ac:dyDescent="0.25">
      <c r="A1228" s="203">
        <v>1229000</v>
      </c>
      <c r="B1228" s="202">
        <v>12298.25</v>
      </c>
    </row>
    <row r="1229" spans="1:2" hidden="1" x14ac:dyDescent="0.25">
      <c r="A1229" s="203">
        <v>1230000</v>
      </c>
      <c r="B1229" s="202">
        <v>12304.55</v>
      </c>
    </row>
    <row r="1230" spans="1:2" hidden="1" x14ac:dyDescent="0.25">
      <c r="A1230" s="203">
        <v>1231000</v>
      </c>
      <c r="B1230" s="202">
        <v>12310.95</v>
      </c>
    </row>
    <row r="1231" spans="1:2" hidden="1" x14ac:dyDescent="0.25">
      <c r="A1231" s="203">
        <v>1232000</v>
      </c>
      <c r="B1231" s="202">
        <v>12317.35</v>
      </c>
    </row>
    <row r="1232" spans="1:2" hidden="1" x14ac:dyDescent="0.25">
      <c r="A1232" s="203">
        <v>1233000</v>
      </c>
      <c r="B1232" s="202">
        <v>12323.65</v>
      </c>
    </row>
    <row r="1233" spans="1:2" hidden="1" x14ac:dyDescent="0.25">
      <c r="A1233" s="203">
        <v>1234000</v>
      </c>
      <c r="B1233" s="202">
        <v>12330.05</v>
      </c>
    </row>
    <row r="1234" spans="1:2" hidden="1" x14ac:dyDescent="0.25">
      <c r="A1234" s="203">
        <v>1235000</v>
      </c>
      <c r="B1234" s="202">
        <v>12336.4</v>
      </c>
    </row>
    <row r="1235" spans="1:2" hidden="1" x14ac:dyDescent="0.25">
      <c r="A1235" s="203">
        <v>1236000</v>
      </c>
      <c r="B1235" s="202">
        <v>12342.75</v>
      </c>
    </row>
    <row r="1236" spans="1:2" hidden="1" x14ac:dyDescent="0.25">
      <c r="A1236" s="203">
        <v>1237000</v>
      </c>
      <c r="B1236" s="202">
        <v>12349.1</v>
      </c>
    </row>
    <row r="1237" spans="1:2" hidden="1" x14ac:dyDescent="0.25">
      <c r="A1237" s="203">
        <v>1238000</v>
      </c>
      <c r="B1237" s="202">
        <v>12355.5</v>
      </c>
    </row>
    <row r="1238" spans="1:2" hidden="1" x14ac:dyDescent="0.25">
      <c r="A1238" s="203">
        <v>1239000</v>
      </c>
      <c r="B1238" s="202">
        <v>12361.95</v>
      </c>
    </row>
    <row r="1239" spans="1:2" hidden="1" x14ac:dyDescent="0.25">
      <c r="A1239" s="203">
        <v>1240000</v>
      </c>
      <c r="B1239" s="202">
        <v>12368.2</v>
      </c>
    </row>
    <row r="1240" spans="1:2" hidden="1" x14ac:dyDescent="0.25">
      <c r="A1240" s="203">
        <v>1241000</v>
      </c>
      <c r="B1240" s="202">
        <v>12374.55</v>
      </c>
    </row>
    <row r="1241" spans="1:2" hidden="1" x14ac:dyDescent="0.25">
      <c r="A1241" s="203">
        <v>1242000</v>
      </c>
      <c r="B1241" s="202">
        <v>12381</v>
      </c>
    </row>
    <row r="1242" spans="1:2" hidden="1" x14ac:dyDescent="0.25">
      <c r="A1242" s="203">
        <v>1243000</v>
      </c>
      <c r="B1242" s="202">
        <v>12387.3</v>
      </c>
    </row>
    <row r="1243" spans="1:2" hidden="1" x14ac:dyDescent="0.25">
      <c r="A1243" s="203">
        <v>1244000</v>
      </c>
      <c r="B1243" s="202">
        <v>12393.7</v>
      </c>
    </row>
    <row r="1244" spans="1:2" hidden="1" x14ac:dyDescent="0.25">
      <c r="A1244" s="203">
        <v>1245000</v>
      </c>
      <c r="B1244" s="202">
        <v>12400.1</v>
      </c>
    </row>
    <row r="1245" spans="1:2" hidden="1" x14ac:dyDescent="0.25">
      <c r="A1245" s="203">
        <v>1246000</v>
      </c>
      <c r="B1245" s="202">
        <v>12406.45</v>
      </c>
    </row>
    <row r="1246" spans="1:2" hidden="1" x14ac:dyDescent="0.25">
      <c r="A1246" s="203">
        <v>1247000</v>
      </c>
      <c r="B1246" s="202">
        <v>12412.85</v>
      </c>
    </row>
    <row r="1247" spans="1:2" hidden="1" x14ac:dyDescent="0.25">
      <c r="A1247" s="203">
        <v>1248000</v>
      </c>
      <c r="B1247" s="202">
        <v>12419.15</v>
      </c>
    </row>
    <row r="1248" spans="1:2" hidden="1" x14ac:dyDescent="0.25">
      <c r="A1248" s="203">
        <v>1249000</v>
      </c>
      <c r="B1248" s="202">
        <v>12425.55</v>
      </c>
    </row>
    <row r="1249" spans="1:2" hidden="1" x14ac:dyDescent="0.25">
      <c r="A1249" s="203">
        <v>1250000</v>
      </c>
      <c r="B1249" s="202">
        <v>12431.9</v>
      </c>
    </row>
    <row r="1250" spans="1:2" hidden="1" x14ac:dyDescent="0.25">
      <c r="A1250" s="203">
        <v>1251000</v>
      </c>
      <c r="B1250" s="202">
        <v>12438.2</v>
      </c>
    </row>
    <row r="1251" spans="1:2" hidden="1" x14ac:dyDescent="0.25">
      <c r="A1251" s="203">
        <v>1252000</v>
      </c>
      <c r="B1251" s="202">
        <v>12444.65</v>
      </c>
    </row>
    <row r="1252" spans="1:2" hidden="1" x14ac:dyDescent="0.25">
      <c r="A1252" s="203">
        <v>1253000</v>
      </c>
      <c r="B1252" s="202">
        <v>12451</v>
      </c>
    </row>
    <row r="1253" spans="1:2" hidden="1" x14ac:dyDescent="0.25">
      <c r="A1253" s="203">
        <v>1254000</v>
      </c>
      <c r="B1253" s="202">
        <v>12457.4</v>
      </c>
    </row>
    <row r="1254" spans="1:2" hidden="1" x14ac:dyDescent="0.25">
      <c r="A1254" s="203">
        <v>1255000</v>
      </c>
      <c r="B1254" s="202">
        <v>12463.7</v>
      </c>
    </row>
    <row r="1255" spans="1:2" hidden="1" x14ac:dyDescent="0.25">
      <c r="A1255" s="203">
        <v>1256000</v>
      </c>
      <c r="B1255" s="202">
        <v>12470.05</v>
      </c>
    </row>
    <row r="1256" spans="1:2" hidden="1" x14ac:dyDescent="0.25">
      <c r="A1256" s="203">
        <v>1257000</v>
      </c>
      <c r="B1256" s="202">
        <v>12476.45</v>
      </c>
    </row>
    <row r="1257" spans="1:2" hidden="1" x14ac:dyDescent="0.25">
      <c r="A1257" s="203">
        <v>1258000</v>
      </c>
      <c r="B1257" s="202">
        <v>12482.75</v>
      </c>
    </row>
    <row r="1258" spans="1:2" hidden="1" x14ac:dyDescent="0.25">
      <c r="A1258" s="203">
        <v>1259000</v>
      </c>
      <c r="B1258" s="202">
        <v>12489.2</v>
      </c>
    </row>
    <row r="1259" spans="1:2" hidden="1" x14ac:dyDescent="0.25">
      <c r="A1259" s="203">
        <v>1260000</v>
      </c>
      <c r="B1259" s="202">
        <v>12495.55</v>
      </c>
    </row>
    <row r="1260" spans="1:2" hidden="1" x14ac:dyDescent="0.25">
      <c r="A1260" s="203">
        <v>1261000</v>
      </c>
      <c r="B1260" s="202">
        <v>12501.9</v>
      </c>
    </row>
    <row r="1261" spans="1:2" hidden="1" x14ac:dyDescent="0.25">
      <c r="A1261" s="203">
        <v>1262000</v>
      </c>
      <c r="B1261" s="202">
        <v>12508.25</v>
      </c>
    </row>
    <row r="1262" spans="1:2" hidden="1" x14ac:dyDescent="0.25">
      <c r="A1262" s="203">
        <v>1263000</v>
      </c>
      <c r="B1262" s="202">
        <v>12514.6</v>
      </c>
    </row>
    <row r="1263" spans="1:2" hidden="1" x14ac:dyDescent="0.25">
      <c r="A1263" s="203">
        <v>1264000</v>
      </c>
      <c r="B1263" s="202">
        <v>12521</v>
      </c>
    </row>
    <row r="1264" spans="1:2" hidden="1" x14ac:dyDescent="0.25">
      <c r="A1264" s="203">
        <v>1265000</v>
      </c>
      <c r="B1264" s="202">
        <v>12527.3</v>
      </c>
    </row>
    <row r="1265" spans="1:2" hidden="1" x14ac:dyDescent="0.25">
      <c r="A1265" s="203">
        <v>1266000</v>
      </c>
      <c r="B1265" s="202">
        <v>12533.7</v>
      </c>
    </row>
    <row r="1266" spans="1:2" hidden="1" x14ac:dyDescent="0.25">
      <c r="A1266" s="203">
        <v>1267000</v>
      </c>
      <c r="B1266" s="202">
        <v>12540.1</v>
      </c>
    </row>
    <row r="1267" spans="1:2" hidden="1" x14ac:dyDescent="0.25">
      <c r="A1267" s="203">
        <v>1268000</v>
      </c>
      <c r="B1267" s="202">
        <v>12546.45</v>
      </c>
    </row>
    <row r="1268" spans="1:2" hidden="1" x14ac:dyDescent="0.25">
      <c r="A1268" s="203">
        <v>1269000</v>
      </c>
      <c r="B1268" s="202">
        <v>12552.8</v>
      </c>
    </row>
    <row r="1269" spans="1:2" hidden="1" x14ac:dyDescent="0.25">
      <c r="A1269" s="203">
        <v>1270000</v>
      </c>
      <c r="B1269" s="202">
        <v>12559.15</v>
      </c>
    </row>
    <row r="1270" spans="1:2" hidden="1" x14ac:dyDescent="0.25">
      <c r="A1270" s="203">
        <v>1271000</v>
      </c>
      <c r="B1270" s="202">
        <v>12565.5</v>
      </c>
    </row>
    <row r="1271" spans="1:2" hidden="1" x14ac:dyDescent="0.25">
      <c r="A1271" s="203">
        <v>1272000</v>
      </c>
      <c r="B1271" s="202">
        <v>12571.95</v>
      </c>
    </row>
    <row r="1272" spans="1:2" hidden="1" x14ac:dyDescent="0.25">
      <c r="A1272" s="203">
        <v>1273000</v>
      </c>
      <c r="B1272" s="202">
        <v>12578.25</v>
      </c>
    </row>
    <row r="1273" spans="1:2" hidden="1" x14ac:dyDescent="0.25">
      <c r="A1273" s="203">
        <v>1274000</v>
      </c>
      <c r="B1273" s="202">
        <v>12584.65</v>
      </c>
    </row>
    <row r="1274" spans="1:2" hidden="1" x14ac:dyDescent="0.25">
      <c r="A1274" s="203">
        <v>1275000</v>
      </c>
      <c r="B1274" s="202">
        <v>12591</v>
      </c>
    </row>
    <row r="1275" spans="1:2" hidden="1" x14ac:dyDescent="0.25">
      <c r="A1275" s="203">
        <v>1276000</v>
      </c>
      <c r="B1275" s="202">
        <v>12597.3</v>
      </c>
    </row>
    <row r="1276" spans="1:2" hidden="1" x14ac:dyDescent="0.25">
      <c r="A1276" s="203">
        <v>1277000</v>
      </c>
      <c r="B1276" s="202">
        <v>12603.7</v>
      </c>
    </row>
    <row r="1277" spans="1:2" hidden="1" x14ac:dyDescent="0.25">
      <c r="A1277" s="203">
        <v>1278000</v>
      </c>
      <c r="B1277" s="202">
        <v>12610.05</v>
      </c>
    </row>
    <row r="1278" spans="1:2" hidden="1" x14ac:dyDescent="0.25">
      <c r="A1278" s="203">
        <v>1279000</v>
      </c>
      <c r="B1278" s="202">
        <v>12616.5</v>
      </c>
    </row>
    <row r="1279" spans="1:2" hidden="1" x14ac:dyDescent="0.25">
      <c r="A1279" s="203">
        <v>1280000</v>
      </c>
      <c r="B1279" s="202">
        <v>12622.8</v>
      </c>
    </row>
    <row r="1280" spans="1:2" hidden="1" x14ac:dyDescent="0.25">
      <c r="A1280" s="203">
        <v>1281000</v>
      </c>
      <c r="B1280" s="202">
        <v>12629.15</v>
      </c>
    </row>
    <row r="1281" spans="1:2" hidden="1" x14ac:dyDescent="0.25">
      <c r="A1281" s="203">
        <v>1282000</v>
      </c>
      <c r="B1281" s="202">
        <v>12635.55</v>
      </c>
    </row>
    <row r="1282" spans="1:2" hidden="1" x14ac:dyDescent="0.25">
      <c r="A1282" s="203">
        <v>1283000</v>
      </c>
      <c r="B1282" s="202">
        <v>12641.85</v>
      </c>
    </row>
    <row r="1283" spans="1:2" hidden="1" x14ac:dyDescent="0.25">
      <c r="A1283" s="203">
        <v>1284000</v>
      </c>
      <c r="B1283" s="202">
        <v>12648.25</v>
      </c>
    </row>
    <row r="1284" spans="1:2" hidden="1" x14ac:dyDescent="0.25">
      <c r="A1284" s="203">
        <v>1285000</v>
      </c>
      <c r="B1284" s="202">
        <v>12654.6</v>
      </c>
    </row>
    <row r="1285" spans="1:2" hidden="1" x14ac:dyDescent="0.25">
      <c r="A1285" s="203">
        <v>1286000</v>
      </c>
      <c r="B1285" s="202">
        <v>12661</v>
      </c>
    </row>
    <row r="1286" spans="1:2" hidden="1" x14ac:dyDescent="0.25">
      <c r="A1286" s="203">
        <v>1287000</v>
      </c>
      <c r="B1286" s="202">
        <v>12667.35</v>
      </c>
    </row>
    <row r="1287" spans="1:2" hidden="1" x14ac:dyDescent="0.25">
      <c r="A1287" s="203">
        <v>1288000</v>
      </c>
      <c r="B1287" s="202">
        <v>12673.7</v>
      </c>
    </row>
    <row r="1288" spans="1:2" hidden="1" x14ac:dyDescent="0.25">
      <c r="A1288" s="203">
        <v>1289000</v>
      </c>
      <c r="B1288" s="202">
        <v>12680.1</v>
      </c>
    </row>
    <row r="1289" spans="1:2" hidden="1" x14ac:dyDescent="0.25">
      <c r="A1289" s="203">
        <v>1290000</v>
      </c>
      <c r="B1289" s="202">
        <v>12686.4</v>
      </c>
    </row>
    <row r="1290" spans="1:2" hidden="1" x14ac:dyDescent="0.25">
      <c r="A1290" s="203">
        <v>1291000</v>
      </c>
      <c r="B1290" s="202">
        <v>12692.75</v>
      </c>
    </row>
    <row r="1291" spans="1:2" hidden="1" x14ac:dyDescent="0.25">
      <c r="A1291" s="203">
        <v>1292000</v>
      </c>
      <c r="B1291" s="202">
        <v>12699.15</v>
      </c>
    </row>
    <row r="1292" spans="1:2" hidden="1" x14ac:dyDescent="0.25">
      <c r="A1292" s="203">
        <v>1293000</v>
      </c>
      <c r="B1292" s="202">
        <v>12705.55</v>
      </c>
    </row>
    <row r="1293" spans="1:2" hidden="1" x14ac:dyDescent="0.25">
      <c r="A1293" s="203">
        <v>1294000</v>
      </c>
      <c r="B1293" s="202">
        <v>12711.9</v>
      </c>
    </row>
    <row r="1294" spans="1:2" hidden="1" x14ac:dyDescent="0.25">
      <c r="A1294" s="203">
        <v>1295000</v>
      </c>
      <c r="B1294" s="202">
        <v>12718.25</v>
      </c>
    </row>
    <row r="1295" spans="1:2" hidden="1" x14ac:dyDescent="0.25">
      <c r="A1295" s="203">
        <v>1296000</v>
      </c>
      <c r="B1295" s="202">
        <v>12724.6</v>
      </c>
    </row>
    <row r="1296" spans="1:2" hidden="1" x14ac:dyDescent="0.25">
      <c r="A1296" s="203">
        <v>1297000</v>
      </c>
      <c r="B1296" s="202">
        <v>12730.95</v>
      </c>
    </row>
    <row r="1297" spans="1:2" hidden="1" x14ac:dyDescent="0.25">
      <c r="A1297" s="203">
        <v>1298000</v>
      </c>
      <c r="B1297" s="202">
        <v>12737.3</v>
      </c>
    </row>
    <row r="1298" spans="1:2" hidden="1" x14ac:dyDescent="0.25">
      <c r="A1298" s="203">
        <v>1299000</v>
      </c>
      <c r="B1298" s="202">
        <v>12743.7</v>
      </c>
    </row>
    <row r="1299" spans="1:2" hidden="1" x14ac:dyDescent="0.25">
      <c r="A1299" s="203">
        <v>1300000</v>
      </c>
      <c r="B1299" s="202">
        <v>12750.1</v>
      </c>
    </row>
    <row r="1300" spans="1:2" hidden="1" x14ac:dyDescent="0.25">
      <c r="A1300" s="203">
        <v>1301000</v>
      </c>
      <c r="B1300" s="202">
        <v>12756.4</v>
      </c>
    </row>
    <row r="1301" spans="1:2" hidden="1" x14ac:dyDescent="0.25">
      <c r="A1301" s="203">
        <v>1302000</v>
      </c>
      <c r="B1301" s="202">
        <v>12762.8</v>
      </c>
    </row>
    <row r="1302" spans="1:2" hidden="1" x14ac:dyDescent="0.25">
      <c r="A1302" s="203">
        <v>1303000</v>
      </c>
      <c r="B1302" s="202">
        <v>12769.15</v>
      </c>
    </row>
    <row r="1303" spans="1:2" hidden="1" x14ac:dyDescent="0.25">
      <c r="A1303" s="203">
        <v>1304000</v>
      </c>
      <c r="B1303" s="202">
        <v>12775.5</v>
      </c>
    </row>
    <row r="1304" spans="1:2" hidden="1" x14ac:dyDescent="0.25">
      <c r="A1304" s="203">
        <v>1305000</v>
      </c>
      <c r="B1304" s="202">
        <v>12781.85</v>
      </c>
    </row>
    <row r="1305" spans="1:2" hidden="1" x14ac:dyDescent="0.25">
      <c r="A1305" s="203">
        <v>1306000</v>
      </c>
      <c r="B1305" s="202">
        <v>12788.2</v>
      </c>
    </row>
    <row r="1306" spans="1:2" hidden="1" x14ac:dyDescent="0.25">
      <c r="A1306" s="203">
        <v>1307000</v>
      </c>
      <c r="B1306" s="202">
        <v>12794.65</v>
      </c>
    </row>
    <row r="1307" spans="1:2" hidden="1" x14ac:dyDescent="0.25">
      <c r="A1307" s="203">
        <v>1308000</v>
      </c>
      <c r="B1307" s="202">
        <v>12800.95</v>
      </c>
    </row>
    <row r="1308" spans="1:2" hidden="1" x14ac:dyDescent="0.25">
      <c r="A1308" s="203">
        <v>1309000</v>
      </c>
      <c r="B1308" s="202">
        <v>12807.35</v>
      </c>
    </row>
    <row r="1309" spans="1:2" hidden="1" x14ac:dyDescent="0.25">
      <c r="A1309" s="203">
        <v>1310000</v>
      </c>
      <c r="B1309" s="202">
        <v>12813.7</v>
      </c>
    </row>
    <row r="1310" spans="1:2" hidden="1" x14ac:dyDescent="0.25">
      <c r="A1310" s="203">
        <v>1311000</v>
      </c>
      <c r="B1310" s="202">
        <v>12820</v>
      </c>
    </row>
    <row r="1311" spans="1:2" hidden="1" x14ac:dyDescent="0.25">
      <c r="A1311" s="203">
        <v>1312000</v>
      </c>
      <c r="B1311" s="202">
        <v>12826.4</v>
      </c>
    </row>
    <row r="1312" spans="1:2" hidden="1" x14ac:dyDescent="0.25">
      <c r="A1312" s="203">
        <v>1313000</v>
      </c>
      <c r="B1312" s="202">
        <v>12832.75</v>
      </c>
    </row>
    <row r="1313" spans="1:2" hidden="1" x14ac:dyDescent="0.25">
      <c r="A1313" s="203">
        <v>1314000</v>
      </c>
      <c r="B1313" s="202">
        <v>12839.2</v>
      </c>
    </row>
    <row r="1314" spans="1:2" hidden="1" x14ac:dyDescent="0.25">
      <c r="A1314" s="203">
        <v>1315000</v>
      </c>
      <c r="B1314" s="202">
        <v>12845.5</v>
      </c>
    </row>
    <row r="1315" spans="1:2" hidden="1" x14ac:dyDescent="0.25">
      <c r="A1315" s="203">
        <v>1316000</v>
      </c>
      <c r="B1315" s="202">
        <v>12851.85</v>
      </c>
    </row>
    <row r="1316" spans="1:2" hidden="1" x14ac:dyDescent="0.25">
      <c r="A1316" s="203">
        <v>1317000</v>
      </c>
      <c r="B1316" s="202">
        <v>12858.25</v>
      </c>
    </row>
    <row r="1317" spans="1:2" hidden="1" x14ac:dyDescent="0.25">
      <c r="A1317" s="203">
        <v>1318000</v>
      </c>
      <c r="B1317" s="202">
        <v>12864.55</v>
      </c>
    </row>
    <row r="1318" spans="1:2" hidden="1" x14ac:dyDescent="0.25">
      <c r="A1318" s="203">
        <v>1319000</v>
      </c>
      <c r="B1318" s="202">
        <v>12870.95</v>
      </c>
    </row>
    <row r="1319" spans="1:2" hidden="1" x14ac:dyDescent="0.25">
      <c r="A1319" s="203">
        <v>1320000</v>
      </c>
      <c r="B1319" s="202">
        <v>12877.3</v>
      </c>
    </row>
    <row r="1320" spans="1:2" hidden="1" x14ac:dyDescent="0.25">
      <c r="A1320" s="203">
        <v>1321000</v>
      </c>
      <c r="B1320" s="202">
        <v>12883.7</v>
      </c>
    </row>
    <row r="1321" spans="1:2" hidden="1" x14ac:dyDescent="0.25">
      <c r="A1321" s="203">
        <v>1322000</v>
      </c>
      <c r="B1321" s="202">
        <v>12890.05</v>
      </c>
    </row>
    <row r="1322" spans="1:2" hidden="1" x14ac:dyDescent="0.25">
      <c r="A1322" s="203">
        <v>1323000</v>
      </c>
      <c r="B1322" s="202">
        <v>12896.4</v>
      </c>
    </row>
    <row r="1323" spans="1:2" hidden="1" x14ac:dyDescent="0.25">
      <c r="A1323" s="203">
        <v>1324000</v>
      </c>
      <c r="B1323" s="202">
        <v>12902.8</v>
      </c>
    </row>
    <row r="1324" spans="1:2" hidden="1" x14ac:dyDescent="0.25">
      <c r="A1324" s="203">
        <v>1325000</v>
      </c>
      <c r="B1324" s="202">
        <v>12909.15</v>
      </c>
    </row>
    <row r="1325" spans="1:2" hidden="1" x14ac:dyDescent="0.25">
      <c r="A1325" s="203">
        <v>1326000</v>
      </c>
      <c r="B1325" s="202">
        <v>12915.45</v>
      </c>
    </row>
    <row r="1326" spans="1:2" hidden="1" x14ac:dyDescent="0.25">
      <c r="A1326" s="203">
        <v>1327000</v>
      </c>
      <c r="B1326" s="202">
        <v>12921.85</v>
      </c>
    </row>
    <row r="1327" spans="1:2" hidden="1" x14ac:dyDescent="0.25">
      <c r="A1327" s="203">
        <v>1328000</v>
      </c>
      <c r="B1327" s="202">
        <v>12928.25</v>
      </c>
    </row>
    <row r="1328" spans="1:2" hidden="1" x14ac:dyDescent="0.25">
      <c r="A1328" s="203">
        <v>1329000</v>
      </c>
      <c r="B1328" s="202">
        <v>12934.6</v>
      </c>
    </row>
    <row r="1329" spans="1:2" hidden="1" x14ac:dyDescent="0.25">
      <c r="A1329" s="203">
        <v>1330000</v>
      </c>
      <c r="B1329" s="202">
        <v>12940.95</v>
      </c>
    </row>
    <row r="1330" spans="1:2" hidden="1" x14ac:dyDescent="0.25">
      <c r="A1330" s="203">
        <v>1331000</v>
      </c>
      <c r="B1330" s="202">
        <v>12947.3</v>
      </c>
    </row>
    <row r="1331" spans="1:2" hidden="1" x14ac:dyDescent="0.25">
      <c r="A1331" s="203">
        <v>1332000</v>
      </c>
      <c r="B1331" s="202">
        <v>12953.7</v>
      </c>
    </row>
    <row r="1332" spans="1:2" hidden="1" x14ac:dyDescent="0.25">
      <c r="A1332" s="203">
        <v>1333000</v>
      </c>
      <c r="B1332" s="202">
        <v>12960</v>
      </c>
    </row>
    <row r="1333" spans="1:2" hidden="1" x14ac:dyDescent="0.25">
      <c r="A1333" s="203">
        <v>1334000</v>
      </c>
      <c r="B1333" s="202">
        <v>12966.4</v>
      </c>
    </row>
    <row r="1334" spans="1:2" hidden="1" x14ac:dyDescent="0.25">
      <c r="A1334" s="203">
        <v>1335000</v>
      </c>
      <c r="B1334" s="202">
        <v>12972.8</v>
      </c>
    </row>
    <row r="1335" spans="1:2" hidden="1" x14ac:dyDescent="0.25">
      <c r="A1335" s="203">
        <v>1336000</v>
      </c>
      <c r="B1335" s="202">
        <v>12979.1</v>
      </c>
    </row>
    <row r="1336" spans="1:2" hidden="1" x14ac:dyDescent="0.25">
      <c r="A1336" s="203">
        <v>1337000</v>
      </c>
      <c r="B1336" s="202">
        <v>12985.5</v>
      </c>
    </row>
    <row r="1337" spans="1:2" hidden="1" x14ac:dyDescent="0.25">
      <c r="A1337" s="203">
        <v>1338000</v>
      </c>
      <c r="B1337" s="202">
        <v>12991.85</v>
      </c>
    </row>
    <row r="1338" spans="1:2" hidden="1" x14ac:dyDescent="0.25">
      <c r="A1338" s="203">
        <v>1339000</v>
      </c>
      <c r="B1338" s="202">
        <v>12998.25</v>
      </c>
    </row>
    <row r="1339" spans="1:2" hidden="1" x14ac:dyDescent="0.25">
      <c r="A1339" s="203">
        <v>1340000</v>
      </c>
      <c r="B1339" s="202">
        <v>13004.55</v>
      </c>
    </row>
    <row r="1340" spans="1:2" hidden="1" x14ac:dyDescent="0.25">
      <c r="A1340" s="203">
        <v>1341000</v>
      </c>
      <c r="B1340" s="202">
        <v>13010.9</v>
      </c>
    </row>
    <row r="1341" spans="1:2" hidden="1" x14ac:dyDescent="0.25">
      <c r="A1341" s="203">
        <v>1342000</v>
      </c>
      <c r="B1341" s="202">
        <v>13017.35</v>
      </c>
    </row>
    <row r="1342" spans="1:2" hidden="1" x14ac:dyDescent="0.25">
      <c r="A1342" s="203">
        <v>1343000</v>
      </c>
      <c r="B1342" s="202">
        <v>13023.65</v>
      </c>
    </row>
    <row r="1343" spans="1:2" hidden="1" x14ac:dyDescent="0.25">
      <c r="A1343" s="203">
        <v>1344000</v>
      </c>
      <c r="B1343" s="202">
        <v>13030.05</v>
      </c>
    </row>
    <row r="1344" spans="1:2" hidden="1" x14ac:dyDescent="0.25">
      <c r="A1344" s="203">
        <v>1345000</v>
      </c>
      <c r="B1344" s="202">
        <v>13036.4</v>
      </c>
    </row>
    <row r="1345" spans="1:2" hidden="1" x14ac:dyDescent="0.25">
      <c r="A1345" s="203">
        <v>1346000</v>
      </c>
      <c r="B1345" s="202">
        <v>13042.75</v>
      </c>
    </row>
    <row r="1346" spans="1:2" hidden="1" x14ac:dyDescent="0.25">
      <c r="A1346" s="203">
        <v>1347000</v>
      </c>
      <c r="B1346" s="202">
        <v>13049.1</v>
      </c>
    </row>
    <row r="1347" spans="1:2" hidden="1" x14ac:dyDescent="0.25">
      <c r="A1347" s="203">
        <v>1348000</v>
      </c>
      <c r="B1347" s="202">
        <v>13055.45</v>
      </c>
    </row>
    <row r="1348" spans="1:2" hidden="1" x14ac:dyDescent="0.25">
      <c r="A1348" s="203">
        <v>1349000</v>
      </c>
      <c r="B1348" s="202">
        <v>13061.9</v>
      </c>
    </row>
    <row r="1349" spans="1:2" hidden="1" x14ac:dyDescent="0.25">
      <c r="A1349" s="203">
        <v>1350000</v>
      </c>
      <c r="B1349" s="202">
        <v>13068.2</v>
      </c>
    </row>
    <row r="1350" spans="1:2" hidden="1" x14ac:dyDescent="0.25">
      <c r="A1350" s="203">
        <v>1351000</v>
      </c>
      <c r="B1350" s="202">
        <v>13074.55</v>
      </c>
    </row>
    <row r="1351" spans="1:2" hidden="1" x14ac:dyDescent="0.25">
      <c r="A1351" s="203">
        <v>1352000</v>
      </c>
      <c r="B1351" s="202">
        <v>13080.95</v>
      </c>
    </row>
    <row r="1352" spans="1:2" hidden="1" x14ac:dyDescent="0.25">
      <c r="A1352" s="203">
        <v>1353000</v>
      </c>
      <c r="B1352" s="202">
        <v>13087.3</v>
      </c>
    </row>
    <row r="1353" spans="1:2" hidden="1" x14ac:dyDescent="0.25">
      <c r="A1353" s="203">
        <v>1354000</v>
      </c>
      <c r="B1353" s="202">
        <v>13093.65</v>
      </c>
    </row>
    <row r="1354" spans="1:2" hidden="1" x14ac:dyDescent="0.25">
      <c r="A1354" s="203">
        <v>1355000</v>
      </c>
      <c r="B1354" s="202">
        <v>13100</v>
      </c>
    </row>
    <row r="1355" spans="1:2" hidden="1" x14ac:dyDescent="0.25">
      <c r="A1355" s="203">
        <v>1356000</v>
      </c>
      <c r="B1355" s="202">
        <v>13106.4</v>
      </c>
    </row>
    <row r="1356" spans="1:2" hidden="1" x14ac:dyDescent="0.25">
      <c r="A1356" s="203">
        <v>1357000</v>
      </c>
      <c r="B1356" s="202">
        <v>13112.8</v>
      </c>
    </row>
    <row r="1357" spans="1:2" hidden="1" x14ac:dyDescent="0.25">
      <c r="A1357" s="203">
        <v>1358000</v>
      </c>
      <c r="B1357" s="202">
        <v>13119.1</v>
      </c>
    </row>
    <row r="1358" spans="1:2" hidden="1" x14ac:dyDescent="0.25">
      <c r="A1358" s="203">
        <v>1359000</v>
      </c>
      <c r="B1358" s="202">
        <v>13125.5</v>
      </c>
    </row>
    <row r="1359" spans="1:2" hidden="1" x14ac:dyDescent="0.25">
      <c r="A1359" s="203">
        <v>1360000</v>
      </c>
      <c r="B1359" s="202">
        <v>13131.85</v>
      </c>
    </row>
    <row r="1360" spans="1:2" hidden="1" x14ac:dyDescent="0.25">
      <c r="A1360" s="203">
        <v>1361000</v>
      </c>
      <c r="B1360" s="202">
        <v>13138.15</v>
      </c>
    </row>
    <row r="1361" spans="1:2" hidden="1" x14ac:dyDescent="0.25">
      <c r="A1361" s="203">
        <v>1362000</v>
      </c>
      <c r="B1361" s="202">
        <v>13144.55</v>
      </c>
    </row>
    <row r="1362" spans="1:2" hidden="1" x14ac:dyDescent="0.25">
      <c r="A1362" s="203">
        <v>1363000</v>
      </c>
      <c r="B1362" s="202">
        <v>13150.95</v>
      </c>
    </row>
    <row r="1363" spans="1:2" hidden="1" x14ac:dyDescent="0.25">
      <c r="A1363" s="203">
        <v>1364000</v>
      </c>
      <c r="B1363" s="202">
        <v>13157.35</v>
      </c>
    </row>
    <row r="1364" spans="1:2" hidden="1" x14ac:dyDescent="0.25">
      <c r="A1364" s="203">
        <v>1365000</v>
      </c>
      <c r="B1364" s="202">
        <v>13163.65</v>
      </c>
    </row>
    <row r="1365" spans="1:2" hidden="1" x14ac:dyDescent="0.25">
      <c r="A1365" s="203">
        <v>1366000</v>
      </c>
      <c r="B1365" s="202">
        <v>13170</v>
      </c>
    </row>
    <row r="1366" spans="1:2" hidden="1" x14ac:dyDescent="0.25">
      <c r="A1366" s="203">
        <v>1367000</v>
      </c>
      <c r="B1366" s="202">
        <v>13176.4</v>
      </c>
    </row>
    <row r="1367" spans="1:2" hidden="1" x14ac:dyDescent="0.25">
      <c r="A1367" s="203">
        <v>1368000</v>
      </c>
      <c r="B1367" s="202">
        <v>13182.7</v>
      </c>
    </row>
    <row r="1368" spans="1:2" hidden="1" x14ac:dyDescent="0.25">
      <c r="A1368" s="203">
        <v>1369000</v>
      </c>
      <c r="B1368" s="202">
        <v>13189.1</v>
      </c>
    </row>
    <row r="1369" spans="1:2" hidden="1" x14ac:dyDescent="0.25">
      <c r="A1369" s="203">
        <v>1370000</v>
      </c>
      <c r="B1369" s="202">
        <v>13195.5</v>
      </c>
    </row>
    <row r="1370" spans="1:2" hidden="1" x14ac:dyDescent="0.25">
      <c r="A1370" s="203">
        <v>1371000</v>
      </c>
      <c r="B1370" s="202">
        <v>13201.85</v>
      </c>
    </row>
    <row r="1371" spans="1:2" hidden="1" x14ac:dyDescent="0.25">
      <c r="A1371" s="203">
        <v>1372000</v>
      </c>
      <c r="B1371" s="202">
        <v>13208.2</v>
      </c>
    </row>
    <row r="1372" spans="1:2" hidden="1" x14ac:dyDescent="0.25">
      <c r="A1372" s="203">
        <v>1373000</v>
      </c>
      <c r="B1372" s="202">
        <v>13214.55</v>
      </c>
    </row>
    <row r="1373" spans="1:2" hidden="1" x14ac:dyDescent="0.25">
      <c r="A1373" s="203">
        <v>1374000</v>
      </c>
      <c r="B1373" s="202">
        <v>13220.95</v>
      </c>
    </row>
    <row r="1374" spans="1:2" hidden="1" x14ac:dyDescent="0.25">
      <c r="A1374" s="203">
        <v>1375000</v>
      </c>
      <c r="B1374" s="202">
        <v>13227.25</v>
      </c>
    </row>
    <row r="1375" spans="1:2" hidden="1" x14ac:dyDescent="0.25">
      <c r="A1375" s="203">
        <v>1376000</v>
      </c>
      <c r="B1375" s="202">
        <v>13233.6</v>
      </c>
    </row>
    <row r="1376" spans="1:2" hidden="1" x14ac:dyDescent="0.25">
      <c r="A1376" s="203">
        <v>1377000</v>
      </c>
      <c r="B1376" s="202">
        <v>13240.05</v>
      </c>
    </row>
    <row r="1377" spans="1:2" hidden="1" x14ac:dyDescent="0.25">
      <c r="A1377" s="203">
        <v>1377000</v>
      </c>
      <c r="B1377" s="202">
        <v>13240.06</v>
      </c>
    </row>
    <row r="1378" spans="1:2" hidden="1" x14ac:dyDescent="0.25">
      <c r="A1378" s="203">
        <v>1377000</v>
      </c>
      <c r="B1378" s="202">
        <v>13240.07</v>
      </c>
    </row>
    <row r="1379" spans="1:2" hidden="1" x14ac:dyDescent="0.25">
      <c r="A1379" s="203">
        <v>1380000</v>
      </c>
      <c r="B1379" s="202">
        <v>13259.1</v>
      </c>
    </row>
    <row r="1380" spans="1:2" hidden="1" x14ac:dyDescent="0.25">
      <c r="A1380" s="203">
        <v>1381000</v>
      </c>
      <c r="B1380" s="202">
        <v>13265.45</v>
      </c>
    </row>
    <row r="1381" spans="1:2" hidden="1" x14ac:dyDescent="0.25">
      <c r="A1381" s="203">
        <v>1382000</v>
      </c>
      <c r="B1381" s="202">
        <v>13271.8</v>
      </c>
    </row>
    <row r="1382" spans="1:2" hidden="1" x14ac:dyDescent="0.25">
      <c r="A1382" s="203">
        <v>1383000</v>
      </c>
      <c r="B1382" s="202">
        <v>13278.15</v>
      </c>
    </row>
    <row r="1383" spans="1:2" hidden="1" x14ac:dyDescent="0.25">
      <c r="A1383" s="203">
        <v>1384000</v>
      </c>
      <c r="B1383" s="202">
        <v>13284.6</v>
      </c>
    </row>
    <row r="1384" spans="1:2" hidden="1" x14ac:dyDescent="0.25">
      <c r="A1384" s="203">
        <v>1385000</v>
      </c>
      <c r="B1384" s="202">
        <v>13290.95</v>
      </c>
    </row>
    <row r="1385" spans="1:2" hidden="1" x14ac:dyDescent="0.25">
      <c r="A1385" s="203">
        <v>1386000</v>
      </c>
      <c r="B1385" s="202">
        <v>13297.25</v>
      </c>
    </row>
    <row r="1386" spans="1:2" hidden="1" x14ac:dyDescent="0.25">
      <c r="A1386" s="203">
        <v>1387000</v>
      </c>
      <c r="B1386" s="202">
        <v>13303.65</v>
      </c>
    </row>
    <row r="1387" spans="1:2" hidden="1" x14ac:dyDescent="0.25">
      <c r="A1387" s="203">
        <v>1388000</v>
      </c>
      <c r="B1387" s="202">
        <v>13310</v>
      </c>
    </row>
    <row r="1388" spans="1:2" hidden="1" x14ac:dyDescent="0.25">
      <c r="A1388" s="203">
        <v>1389000</v>
      </c>
      <c r="B1388" s="202">
        <v>13316.35</v>
      </c>
    </row>
    <row r="1389" spans="1:2" hidden="1" x14ac:dyDescent="0.25">
      <c r="A1389" s="203">
        <v>1390000</v>
      </c>
      <c r="B1389" s="202">
        <v>13322.7</v>
      </c>
    </row>
    <row r="1390" spans="1:2" hidden="1" x14ac:dyDescent="0.25">
      <c r="A1390" s="203">
        <v>1391000</v>
      </c>
      <c r="B1390" s="202">
        <v>13329.1</v>
      </c>
    </row>
    <row r="1391" spans="1:2" hidden="1" x14ac:dyDescent="0.25">
      <c r="A1391" s="203">
        <v>1392000</v>
      </c>
      <c r="B1391" s="202">
        <v>13335.5</v>
      </c>
    </row>
    <row r="1392" spans="1:2" hidden="1" x14ac:dyDescent="0.25">
      <c r="A1392" s="203">
        <v>1393000</v>
      </c>
      <c r="B1392" s="202">
        <v>13341.8</v>
      </c>
    </row>
    <row r="1393" spans="1:2" hidden="1" x14ac:dyDescent="0.25">
      <c r="A1393" s="203">
        <v>1394000</v>
      </c>
      <c r="B1393" s="202">
        <v>13348.2</v>
      </c>
    </row>
    <row r="1394" spans="1:2" hidden="1" x14ac:dyDescent="0.25">
      <c r="A1394" s="203">
        <v>1395000</v>
      </c>
      <c r="B1394" s="202">
        <v>13354.55</v>
      </c>
    </row>
    <row r="1395" spans="1:2" hidden="1" x14ac:dyDescent="0.25">
      <c r="A1395" s="203">
        <v>1396000</v>
      </c>
      <c r="B1395" s="202">
        <v>13360.85</v>
      </c>
    </row>
    <row r="1396" spans="1:2" hidden="1" x14ac:dyDescent="0.25">
      <c r="A1396" s="203">
        <v>1397000</v>
      </c>
      <c r="B1396" s="202">
        <v>13367.3</v>
      </c>
    </row>
    <row r="1397" spans="1:2" hidden="1" x14ac:dyDescent="0.25">
      <c r="A1397" s="203">
        <v>1398000</v>
      </c>
      <c r="B1397" s="202">
        <v>13373.65</v>
      </c>
    </row>
    <row r="1398" spans="1:2" hidden="1" x14ac:dyDescent="0.25">
      <c r="A1398" s="203">
        <v>1399000</v>
      </c>
      <c r="B1398" s="202">
        <v>13380.05</v>
      </c>
    </row>
    <row r="1399" spans="1:2" hidden="1" x14ac:dyDescent="0.25">
      <c r="A1399" s="203">
        <v>1400000</v>
      </c>
      <c r="B1399" s="202">
        <v>13386.35</v>
      </c>
    </row>
    <row r="1400" spans="1:2" hidden="1" x14ac:dyDescent="0.25">
      <c r="A1400" s="203">
        <v>1401000</v>
      </c>
      <c r="B1400" s="202">
        <v>13392.7</v>
      </c>
    </row>
    <row r="1401" spans="1:2" hidden="1" x14ac:dyDescent="0.25">
      <c r="A1401" s="203">
        <v>1402000</v>
      </c>
      <c r="B1401" s="202">
        <v>13399.1</v>
      </c>
    </row>
    <row r="1402" spans="1:2" hidden="1" x14ac:dyDescent="0.25">
      <c r="A1402" s="203">
        <v>1403000</v>
      </c>
      <c r="B1402" s="202">
        <v>13405.45</v>
      </c>
    </row>
    <row r="1403" spans="1:2" hidden="1" x14ac:dyDescent="0.25">
      <c r="A1403" s="203">
        <v>1404000</v>
      </c>
      <c r="B1403" s="202">
        <v>13411.85</v>
      </c>
    </row>
    <row r="1404" spans="1:2" hidden="1" x14ac:dyDescent="0.25">
      <c r="A1404" s="203">
        <v>1405000</v>
      </c>
      <c r="B1404" s="202">
        <v>13418.2</v>
      </c>
    </row>
    <row r="1405" spans="1:2" hidden="1" x14ac:dyDescent="0.25">
      <c r="A1405" s="203">
        <v>1406000</v>
      </c>
      <c r="B1405" s="202">
        <v>13424.55</v>
      </c>
    </row>
    <row r="1406" spans="1:2" hidden="1" x14ac:dyDescent="0.25">
      <c r="A1406" s="203">
        <v>1407000</v>
      </c>
      <c r="B1406" s="202">
        <v>13430.9</v>
      </c>
    </row>
    <row r="1407" spans="1:2" hidden="1" x14ac:dyDescent="0.25">
      <c r="A1407" s="203">
        <v>1408000</v>
      </c>
      <c r="B1407" s="202">
        <v>13437.25</v>
      </c>
    </row>
    <row r="1408" spans="1:2" hidden="1" x14ac:dyDescent="0.25">
      <c r="A1408" s="203">
        <v>1409000</v>
      </c>
      <c r="B1408" s="202">
        <v>13443.65</v>
      </c>
    </row>
    <row r="1409" spans="1:2" hidden="1" x14ac:dyDescent="0.25">
      <c r="A1409" s="203">
        <v>1410000</v>
      </c>
      <c r="B1409" s="202">
        <v>13450</v>
      </c>
    </row>
    <row r="1410" spans="1:2" hidden="1" x14ac:dyDescent="0.25">
      <c r="A1410" s="203">
        <v>1410000</v>
      </c>
      <c r="B1410" s="202">
        <v>13450.01</v>
      </c>
    </row>
    <row r="1411" spans="1:2" hidden="1" x14ac:dyDescent="0.25">
      <c r="A1411" s="203">
        <v>1410000</v>
      </c>
      <c r="B1411" s="202">
        <v>13450.02</v>
      </c>
    </row>
    <row r="1412" spans="1:2" hidden="1" x14ac:dyDescent="0.25">
      <c r="A1412" s="203">
        <v>1410000</v>
      </c>
      <c r="B1412" s="202">
        <v>13450.03</v>
      </c>
    </row>
    <row r="1413" spans="1:2" hidden="1" x14ac:dyDescent="0.25">
      <c r="A1413" s="203">
        <v>1410000</v>
      </c>
      <c r="B1413" s="202">
        <v>13450.04</v>
      </c>
    </row>
    <row r="1414" spans="1:2" hidden="1" x14ac:dyDescent="0.25">
      <c r="A1414" s="203">
        <v>1411000</v>
      </c>
      <c r="B1414" s="202">
        <v>13456.35</v>
      </c>
    </row>
    <row r="1415" spans="1:2" hidden="1" x14ac:dyDescent="0.25">
      <c r="A1415" s="203">
        <v>1412000</v>
      </c>
      <c r="B1415" s="202">
        <v>13462.75</v>
      </c>
    </row>
    <row r="1416" spans="1:2" hidden="1" x14ac:dyDescent="0.25">
      <c r="A1416" s="203">
        <v>1413000</v>
      </c>
      <c r="B1416" s="202">
        <v>13469.1</v>
      </c>
    </row>
    <row r="1417" spans="1:2" hidden="1" x14ac:dyDescent="0.25">
      <c r="A1417" s="203">
        <v>1414000</v>
      </c>
      <c r="B1417" s="202">
        <v>13475.45</v>
      </c>
    </row>
    <row r="1418" spans="1:2" hidden="1" x14ac:dyDescent="0.25">
      <c r="A1418" s="203">
        <v>1415000</v>
      </c>
      <c r="B1418" s="202">
        <v>13481.8</v>
      </c>
    </row>
    <row r="1419" spans="1:2" hidden="1" x14ac:dyDescent="0.25">
      <c r="A1419" s="203">
        <v>1416000</v>
      </c>
      <c r="B1419" s="202">
        <v>13488.15</v>
      </c>
    </row>
    <row r="1420" spans="1:2" hidden="1" x14ac:dyDescent="0.25">
      <c r="A1420" s="203">
        <v>1417000</v>
      </c>
      <c r="B1420" s="202">
        <v>13494.55</v>
      </c>
    </row>
    <row r="1421" spans="1:2" hidden="1" x14ac:dyDescent="0.25">
      <c r="A1421" s="203">
        <v>1418000</v>
      </c>
      <c r="B1421" s="202">
        <v>13500.9</v>
      </c>
    </row>
    <row r="1422" spans="1:2" hidden="1" x14ac:dyDescent="0.25">
      <c r="A1422" s="203">
        <v>1419000</v>
      </c>
      <c r="B1422" s="202">
        <v>13507.3</v>
      </c>
    </row>
    <row r="1423" spans="1:2" hidden="1" x14ac:dyDescent="0.25">
      <c r="A1423" s="203">
        <v>1420000</v>
      </c>
      <c r="B1423" s="202">
        <v>13513.65</v>
      </c>
    </row>
    <row r="1424" spans="1:2" hidden="1" x14ac:dyDescent="0.25">
      <c r="A1424" s="203">
        <v>1421000</v>
      </c>
      <c r="B1424" s="202">
        <v>13519.95</v>
      </c>
    </row>
    <row r="1425" spans="1:2" hidden="1" x14ac:dyDescent="0.25">
      <c r="A1425" s="203">
        <v>1422000</v>
      </c>
      <c r="B1425" s="202">
        <v>13526.35</v>
      </c>
    </row>
    <row r="1426" spans="1:2" hidden="1" x14ac:dyDescent="0.25">
      <c r="A1426" s="203">
        <v>1423000</v>
      </c>
      <c r="B1426" s="202">
        <v>13532.7</v>
      </c>
    </row>
    <row r="1427" spans="1:2" hidden="1" x14ac:dyDescent="0.25">
      <c r="A1427" s="203">
        <v>1424000</v>
      </c>
      <c r="B1427" s="202">
        <v>13539.1</v>
      </c>
    </row>
    <row r="1428" spans="1:2" hidden="1" x14ac:dyDescent="0.25">
      <c r="A1428" s="203">
        <v>1425000</v>
      </c>
      <c r="B1428" s="202">
        <v>13545.45</v>
      </c>
    </row>
    <row r="1429" spans="1:2" hidden="1" x14ac:dyDescent="0.25">
      <c r="A1429" s="203">
        <v>1426000</v>
      </c>
      <c r="B1429" s="202">
        <v>13551.8</v>
      </c>
    </row>
    <row r="1430" spans="1:2" hidden="1" x14ac:dyDescent="0.25">
      <c r="A1430" s="203">
        <v>1427000</v>
      </c>
      <c r="B1430" s="202">
        <v>13558.2</v>
      </c>
    </row>
    <row r="1431" spans="1:2" hidden="1" x14ac:dyDescent="0.25">
      <c r="A1431" s="203">
        <v>1428000</v>
      </c>
      <c r="B1431" s="202">
        <v>13564.5</v>
      </c>
    </row>
    <row r="1432" spans="1:2" hidden="1" x14ac:dyDescent="0.25">
      <c r="A1432" s="203">
        <v>1429000</v>
      </c>
      <c r="B1432" s="202">
        <v>13570.9</v>
      </c>
    </row>
    <row r="1433" spans="1:2" hidden="1" x14ac:dyDescent="0.25">
      <c r="A1433" s="203">
        <v>1430000</v>
      </c>
      <c r="B1433" s="202">
        <v>13577.25</v>
      </c>
    </row>
    <row r="1434" spans="1:2" hidden="1" x14ac:dyDescent="0.25">
      <c r="A1434" s="203">
        <v>1431000</v>
      </c>
      <c r="B1434" s="202">
        <v>13583.6</v>
      </c>
    </row>
    <row r="1435" spans="1:2" hidden="1" x14ac:dyDescent="0.25">
      <c r="A1435" s="203">
        <v>1432000</v>
      </c>
      <c r="B1435" s="202">
        <v>13590</v>
      </c>
    </row>
    <row r="1436" spans="1:2" hidden="1" x14ac:dyDescent="0.25">
      <c r="A1436" s="203">
        <v>1433000</v>
      </c>
      <c r="B1436" s="202">
        <v>13596.35</v>
      </c>
    </row>
    <row r="1437" spans="1:2" hidden="1" x14ac:dyDescent="0.25">
      <c r="A1437" s="203">
        <v>1434000</v>
      </c>
      <c r="B1437" s="202">
        <v>13602.75</v>
      </c>
    </row>
    <row r="1438" spans="1:2" hidden="1" x14ac:dyDescent="0.25">
      <c r="A1438" s="203">
        <v>1435000</v>
      </c>
      <c r="B1438" s="202">
        <v>13609.1</v>
      </c>
    </row>
    <row r="1439" spans="1:2" hidden="1" x14ac:dyDescent="0.25">
      <c r="A1439" s="203">
        <v>1436000</v>
      </c>
      <c r="B1439" s="202">
        <v>13615.4</v>
      </c>
    </row>
    <row r="1440" spans="1:2" hidden="1" x14ac:dyDescent="0.25">
      <c r="A1440" s="203">
        <v>1437000</v>
      </c>
      <c r="B1440" s="202">
        <v>13621.8</v>
      </c>
    </row>
    <row r="1441" spans="1:2" hidden="1" x14ac:dyDescent="0.25">
      <c r="A1441" s="203">
        <v>1438000</v>
      </c>
      <c r="B1441" s="202">
        <v>13628.15</v>
      </c>
    </row>
    <row r="1442" spans="1:2" hidden="1" x14ac:dyDescent="0.25">
      <c r="A1442" s="203">
        <v>1439000</v>
      </c>
      <c r="B1442" s="202">
        <v>13634.55</v>
      </c>
    </row>
    <row r="1443" spans="1:2" hidden="1" x14ac:dyDescent="0.25">
      <c r="A1443" s="203">
        <v>1440000</v>
      </c>
      <c r="B1443" s="202">
        <v>13640.9</v>
      </c>
    </row>
    <row r="1444" spans="1:2" hidden="1" x14ac:dyDescent="0.25">
      <c r="A1444" s="203">
        <v>1441000</v>
      </c>
      <c r="B1444" s="202">
        <v>13647.25</v>
      </c>
    </row>
    <row r="1445" spans="1:2" hidden="1" x14ac:dyDescent="0.25">
      <c r="A1445" s="203">
        <v>1442000</v>
      </c>
      <c r="B1445" s="202">
        <v>13653.65</v>
      </c>
    </row>
    <row r="1446" spans="1:2" hidden="1" x14ac:dyDescent="0.25">
      <c r="A1446" s="203">
        <v>1443000</v>
      </c>
      <c r="B1446" s="202">
        <v>13659.95</v>
      </c>
    </row>
    <row r="1447" spans="1:2" hidden="1" x14ac:dyDescent="0.25">
      <c r="A1447" s="203">
        <v>1444000</v>
      </c>
      <c r="B1447" s="202">
        <v>13666.35</v>
      </c>
    </row>
    <row r="1448" spans="1:2" hidden="1" x14ac:dyDescent="0.25">
      <c r="A1448" s="203">
        <v>1445000</v>
      </c>
      <c r="B1448" s="202">
        <v>13672.7</v>
      </c>
    </row>
    <row r="1449" spans="1:2" hidden="1" x14ac:dyDescent="0.25">
      <c r="A1449" s="203">
        <v>1446000</v>
      </c>
      <c r="B1449" s="202">
        <v>13679.05</v>
      </c>
    </row>
    <row r="1450" spans="1:2" hidden="1" x14ac:dyDescent="0.25">
      <c r="A1450" s="203">
        <v>1447000</v>
      </c>
      <c r="B1450" s="202">
        <v>13685.45</v>
      </c>
    </row>
    <row r="1451" spans="1:2" hidden="1" x14ac:dyDescent="0.25">
      <c r="A1451" s="203">
        <v>1448000</v>
      </c>
      <c r="B1451" s="202">
        <v>13691.8</v>
      </c>
    </row>
    <row r="1452" spans="1:2" hidden="1" x14ac:dyDescent="0.25">
      <c r="A1452" s="203">
        <v>1449000</v>
      </c>
      <c r="B1452" s="202">
        <v>13698.2</v>
      </c>
    </row>
    <row r="1453" spans="1:2" hidden="1" x14ac:dyDescent="0.25">
      <c r="A1453" s="203">
        <v>1450000</v>
      </c>
      <c r="B1453" s="202">
        <v>13704.5</v>
      </c>
    </row>
    <row r="1454" spans="1:2" hidden="1" x14ac:dyDescent="0.25">
      <c r="A1454" s="203">
        <v>1451000</v>
      </c>
      <c r="B1454" s="202">
        <v>13710.85</v>
      </c>
    </row>
    <row r="1455" spans="1:2" hidden="1" x14ac:dyDescent="0.25">
      <c r="A1455" s="203">
        <v>1452000</v>
      </c>
      <c r="B1455" s="202">
        <v>13717.25</v>
      </c>
    </row>
    <row r="1456" spans="1:2" hidden="1" x14ac:dyDescent="0.25">
      <c r="A1456" s="203">
        <v>1453000</v>
      </c>
      <c r="B1456" s="202">
        <v>13723.6</v>
      </c>
    </row>
    <row r="1457" spans="1:2" hidden="1" x14ac:dyDescent="0.25">
      <c r="A1457" s="203">
        <v>1454000</v>
      </c>
      <c r="B1457" s="202">
        <v>13730</v>
      </c>
    </row>
    <row r="1458" spans="1:2" hidden="1" x14ac:dyDescent="0.25">
      <c r="A1458" s="203">
        <v>1455000</v>
      </c>
      <c r="B1458" s="202">
        <v>13736.35</v>
      </c>
    </row>
    <row r="1459" spans="1:2" hidden="1" x14ac:dyDescent="0.25">
      <c r="A1459" s="203">
        <v>1456000</v>
      </c>
      <c r="B1459" s="202">
        <v>13742.7</v>
      </c>
    </row>
    <row r="1460" spans="1:2" hidden="1" x14ac:dyDescent="0.25">
      <c r="A1460" s="203">
        <v>1457000</v>
      </c>
      <c r="B1460" s="202">
        <v>13749.05</v>
      </c>
    </row>
    <row r="1461" spans="1:2" hidden="1" x14ac:dyDescent="0.25">
      <c r="A1461" s="203">
        <v>1458000</v>
      </c>
      <c r="B1461" s="202">
        <v>13755.4</v>
      </c>
    </row>
    <row r="1462" spans="1:2" hidden="1" x14ac:dyDescent="0.25">
      <c r="A1462" s="203">
        <v>1459000</v>
      </c>
      <c r="B1462" s="202">
        <v>13761.8</v>
      </c>
    </row>
    <row r="1463" spans="1:2" hidden="1" x14ac:dyDescent="0.25">
      <c r="A1463" s="203">
        <v>1460000</v>
      </c>
      <c r="B1463" s="202">
        <v>13768.15</v>
      </c>
    </row>
    <row r="1464" spans="1:2" hidden="1" x14ac:dyDescent="0.25">
      <c r="A1464" s="203">
        <v>1461000</v>
      </c>
      <c r="B1464" s="202">
        <v>13774.5</v>
      </c>
    </row>
    <row r="1465" spans="1:2" hidden="1" x14ac:dyDescent="0.25">
      <c r="A1465" s="203">
        <v>1462000</v>
      </c>
      <c r="B1465" s="202">
        <v>13780.9</v>
      </c>
    </row>
    <row r="1466" spans="1:2" hidden="1" x14ac:dyDescent="0.25">
      <c r="A1466" s="203">
        <v>1463000</v>
      </c>
      <c r="B1466" s="202">
        <v>13787.25</v>
      </c>
    </row>
    <row r="1467" spans="1:2" hidden="1" x14ac:dyDescent="0.25">
      <c r="A1467" s="203">
        <v>1464000</v>
      </c>
      <c r="B1467" s="202">
        <v>13793.6</v>
      </c>
    </row>
    <row r="1468" spans="1:2" hidden="1" x14ac:dyDescent="0.25">
      <c r="A1468" s="203">
        <v>1465000</v>
      </c>
      <c r="B1468" s="202">
        <v>13799.95</v>
      </c>
    </row>
    <row r="1469" spans="1:2" hidden="1" x14ac:dyDescent="0.25">
      <c r="A1469" s="203">
        <v>1466000</v>
      </c>
      <c r="B1469" s="202">
        <v>13806.3</v>
      </c>
    </row>
    <row r="1470" spans="1:2" hidden="1" x14ac:dyDescent="0.25">
      <c r="A1470" s="203">
        <v>1467000</v>
      </c>
      <c r="B1470" s="202">
        <v>13812.75</v>
      </c>
    </row>
    <row r="1471" spans="1:2" hidden="1" x14ac:dyDescent="0.25">
      <c r="A1471" s="203">
        <v>1468000</v>
      </c>
      <c r="B1471" s="202">
        <v>13819.05</v>
      </c>
    </row>
    <row r="1472" spans="1:2" hidden="1" x14ac:dyDescent="0.25">
      <c r="A1472" s="203">
        <v>1469000</v>
      </c>
      <c r="B1472" s="202">
        <v>13825.45</v>
      </c>
    </row>
    <row r="1473" spans="1:2" hidden="1" x14ac:dyDescent="0.25">
      <c r="A1473" s="203">
        <v>1470000</v>
      </c>
      <c r="B1473" s="202">
        <v>13831.8</v>
      </c>
    </row>
    <row r="1474" spans="1:2" hidden="1" x14ac:dyDescent="0.25">
      <c r="A1474" s="203">
        <v>1471000</v>
      </c>
      <c r="B1474" s="202">
        <v>13838.1</v>
      </c>
    </row>
    <row r="1475" spans="1:2" hidden="1" x14ac:dyDescent="0.25">
      <c r="A1475" s="203">
        <v>1472000</v>
      </c>
      <c r="B1475" s="202">
        <v>13844.5</v>
      </c>
    </row>
    <row r="1476" spans="1:2" hidden="1" x14ac:dyDescent="0.25">
      <c r="A1476" s="203">
        <v>1473000</v>
      </c>
      <c r="B1476" s="202">
        <v>13850.85</v>
      </c>
    </row>
    <row r="1477" spans="1:2" hidden="1" x14ac:dyDescent="0.25">
      <c r="A1477" s="203">
        <v>1474000</v>
      </c>
      <c r="B1477" s="202">
        <v>13857.3</v>
      </c>
    </row>
    <row r="1478" spans="1:2" hidden="1" x14ac:dyDescent="0.25">
      <c r="A1478" s="203">
        <v>1475000</v>
      </c>
      <c r="B1478" s="202">
        <v>13863.6</v>
      </c>
    </row>
    <row r="1479" spans="1:2" hidden="1" x14ac:dyDescent="0.25">
      <c r="A1479" s="203">
        <v>1476000</v>
      </c>
      <c r="B1479" s="202">
        <v>13869.95</v>
      </c>
    </row>
    <row r="1480" spans="1:2" hidden="1" x14ac:dyDescent="0.25">
      <c r="A1480" s="203">
        <v>1477000</v>
      </c>
      <c r="B1480" s="202">
        <v>13876.35</v>
      </c>
    </row>
    <row r="1481" spans="1:2" hidden="1" x14ac:dyDescent="0.25">
      <c r="A1481" s="203">
        <v>1478000</v>
      </c>
      <c r="B1481" s="202">
        <v>13882.65</v>
      </c>
    </row>
    <row r="1482" spans="1:2" hidden="1" x14ac:dyDescent="0.25">
      <c r="A1482" s="203">
        <v>1479000</v>
      </c>
      <c r="B1482" s="202">
        <v>13889.05</v>
      </c>
    </row>
    <row r="1483" spans="1:2" hidden="1" x14ac:dyDescent="0.25">
      <c r="A1483" s="203">
        <v>1480000</v>
      </c>
      <c r="B1483" s="202">
        <v>13895.4</v>
      </c>
    </row>
    <row r="1484" spans="1:2" hidden="1" x14ac:dyDescent="0.25">
      <c r="A1484" s="203">
        <v>1481000</v>
      </c>
      <c r="B1484" s="202">
        <v>13901.8</v>
      </c>
    </row>
    <row r="1485" spans="1:2" hidden="1" x14ac:dyDescent="0.25">
      <c r="A1485" s="203">
        <v>1482000</v>
      </c>
      <c r="B1485" s="202">
        <v>13908.15</v>
      </c>
    </row>
    <row r="1486" spans="1:2" hidden="1" x14ac:dyDescent="0.25">
      <c r="A1486" s="203">
        <v>1483000</v>
      </c>
      <c r="B1486" s="202">
        <v>13914.5</v>
      </c>
    </row>
    <row r="1487" spans="1:2" hidden="1" x14ac:dyDescent="0.25">
      <c r="A1487" s="203">
        <v>1484000</v>
      </c>
      <c r="B1487" s="202">
        <v>13920.9</v>
      </c>
    </row>
    <row r="1488" spans="1:2" hidden="1" x14ac:dyDescent="0.25">
      <c r="A1488" s="203">
        <v>1485000</v>
      </c>
      <c r="B1488" s="202">
        <v>13927.2</v>
      </c>
    </row>
    <row r="1489" spans="1:2" hidden="1" x14ac:dyDescent="0.25">
      <c r="A1489" s="203">
        <v>1486000</v>
      </c>
      <c r="B1489" s="202">
        <v>13933.55</v>
      </c>
    </row>
    <row r="1490" spans="1:2" hidden="1" x14ac:dyDescent="0.25">
      <c r="A1490" s="203">
        <v>1487000</v>
      </c>
      <c r="B1490" s="202">
        <v>13939.95</v>
      </c>
    </row>
    <row r="1491" spans="1:2" hidden="1" x14ac:dyDescent="0.25">
      <c r="A1491" s="203">
        <v>1488000</v>
      </c>
      <c r="B1491" s="202">
        <v>13946.35</v>
      </c>
    </row>
    <row r="1492" spans="1:2" hidden="1" x14ac:dyDescent="0.25">
      <c r="A1492" s="203">
        <v>1489000</v>
      </c>
      <c r="B1492" s="202">
        <v>13952.75</v>
      </c>
    </row>
    <row r="1493" spans="1:2" hidden="1" x14ac:dyDescent="0.25">
      <c r="A1493" s="203">
        <v>1490000</v>
      </c>
      <c r="B1493" s="202">
        <v>13959.05</v>
      </c>
    </row>
    <row r="1494" spans="1:2" hidden="1" x14ac:dyDescent="0.25">
      <c r="A1494" s="203">
        <v>1491000</v>
      </c>
      <c r="B1494" s="202">
        <v>13965.4</v>
      </c>
    </row>
    <row r="1495" spans="1:2" hidden="1" x14ac:dyDescent="0.25">
      <c r="A1495" s="203">
        <v>1492000</v>
      </c>
      <c r="B1495" s="202">
        <v>13971.8</v>
      </c>
    </row>
    <row r="1496" spans="1:2" hidden="1" x14ac:dyDescent="0.25">
      <c r="A1496" s="203">
        <v>1493000</v>
      </c>
      <c r="B1496" s="202">
        <v>13978.1</v>
      </c>
    </row>
    <row r="1497" spans="1:2" hidden="1" x14ac:dyDescent="0.25">
      <c r="A1497" s="203">
        <v>1494000</v>
      </c>
      <c r="B1497" s="202">
        <v>13984.6</v>
      </c>
    </row>
    <row r="1498" spans="1:2" hidden="1" x14ac:dyDescent="0.25">
      <c r="A1498" s="203">
        <v>1495000</v>
      </c>
      <c r="B1498" s="202">
        <v>13990.95</v>
      </c>
    </row>
    <row r="1499" spans="1:2" hidden="1" x14ac:dyDescent="0.25">
      <c r="A1499" s="203">
        <v>1496000</v>
      </c>
      <c r="B1499" s="202">
        <v>13997.25</v>
      </c>
    </row>
    <row r="1500" spans="1:2" hidden="1" x14ac:dyDescent="0.25">
      <c r="A1500" s="203">
        <v>1497000</v>
      </c>
      <c r="B1500" s="202">
        <v>14003.65</v>
      </c>
    </row>
    <row r="1501" spans="1:2" hidden="1" x14ac:dyDescent="0.25">
      <c r="A1501" s="203">
        <v>1498000</v>
      </c>
      <c r="B1501" s="202">
        <v>14010</v>
      </c>
    </row>
    <row r="1502" spans="1:2" hidden="1" x14ac:dyDescent="0.25">
      <c r="A1502" s="203">
        <v>1499000</v>
      </c>
      <c r="B1502" s="202">
        <v>14016.35</v>
      </c>
    </row>
    <row r="1503" spans="1:2" hidden="1" x14ac:dyDescent="0.25">
      <c r="A1503" s="203">
        <v>1500000</v>
      </c>
      <c r="B1503" s="202">
        <v>14022.7</v>
      </c>
    </row>
    <row r="1504" spans="1:2" hidden="1" x14ac:dyDescent="0.25">
      <c r="A1504" s="203">
        <v>1501000</v>
      </c>
      <c r="B1504" s="202">
        <v>14029.1</v>
      </c>
    </row>
    <row r="1505" spans="1:2" hidden="1" x14ac:dyDescent="0.25">
      <c r="A1505" s="203">
        <v>1502000</v>
      </c>
      <c r="B1505" s="202">
        <v>14035.5</v>
      </c>
    </row>
    <row r="1506" spans="1:2" hidden="1" x14ac:dyDescent="0.25">
      <c r="A1506" s="203">
        <v>1503000</v>
      </c>
      <c r="B1506" s="202">
        <v>14041.8</v>
      </c>
    </row>
    <row r="1507" spans="1:2" hidden="1" x14ac:dyDescent="0.25">
      <c r="A1507" s="203">
        <v>1504000</v>
      </c>
      <c r="B1507" s="202">
        <v>14048.2</v>
      </c>
    </row>
    <row r="1508" spans="1:2" hidden="1" x14ac:dyDescent="0.25">
      <c r="A1508" s="203">
        <v>1505000</v>
      </c>
      <c r="B1508" s="202">
        <v>14054.55</v>
      </c>
    </row>
    <row r="1509" spans="1:2" hidden="1" x14ac:dyDescent="0.25">
      <c r="A1509" s="203">
        <v>1506000</v>
      </c>
      <c r="B1509" s="202">
        <v>14060.85</v>
      </c>
    </row>
    <row r="1510" spans="1:2" hidden="1" x14ac:dyDescent="0.25">
      <c r="A1510" s="203">
        <v>1507000</v>
      </c>
      <c r="B1510" s="202">
        <v>14067.25</v>
      </c>
    </row>
    <row r="1511" spans="1:2" hidden="1" x14ac:dyDescent="0.25">
      <c r="A1511" s="203">
        <v>1508000</v>
      </c>
      <c r="B1511" s="202">
        <v>14073.65</v>
      </c>
    </row>
    <row r="1512" spans="1:2" hidden="1" x14ac:dyDescent="0.25">
      <c r="A1512" s="203">
        <v>1509000</v>
      </c>
      <c r="B1512" s="202">
        <v>14080.05</v>
      </c>
    </row>
    <row r="1513" spans="1:2" hidden="1" x14ac:dyDescent="0.25">
      <c r="A1513" s="203">
        <v>1510000</v>
      </c>
      <c r="B1513" s="202">
        <v>14086.35</v>
      </c>
    </row>
    <row r="1514" spans="1:2" hidden="1" x14ac:dyDescent="0.25">
      <c r="A1514" s="203">
        <v>1511000</v>
      </c>
      <c r="B1514" s="202">
        <v>14092.7</v>
      </c>
    </row>
    <row r="1515" spans="1:2" hidden="1" x14ac:dyDescent="0.25">
      <c r="A1515" s="203">
        <v>1512000</v>
      </c>
      <c r="B1515" s="202">
        <v>14099.1</v>
      </c>
    </row>
    <row r="1516" spans="1:2" hidden="1" x14ac:dyDescent="0.25">
      <c r="A1516" s="203">
        <v>1513000</v>
      </c>
      <c r="B1516" s="202">
        <v>14105.45</v>
      </c>
    </row>
    <row r="1517" spans="1:2" hidden="1" x14ac:dyDescent="0.25">
      <c r="A1517" s="203">
        <v>1514000</v>
      </c>
      <c r="B1517" s="202">
        <v>14111.8</v>
      </c>
    </row>
    <row r="1518" spans="1:2" hidden="1" x14ac:dyDescent="0.25">
      <c r="A1518" s="203">
        <v>1515000</v>
      </c>
      <c r="B1518" s="202">
        <v>14118.2</v>
      </c>
    </row>
    <row r="1519" spans="1:2" hidden="1" x14ac:dyDescent="0.25">
      <c r="A1519" s="203">
        <v>1516000</v>
      </c>
      <c r="B1519" s="202">
        <v>14124.55</v>
      </c>
    </row>
    <row r="1520" spans="1:2" hidden="1" x14ac:dyDescent="0.25">
      <c r="A1520" s="203">
        <v>1517000</v>
      </c>
      <c r="B1520" s="202">
        <v>14130.9</v>
      </c>
    </row>
    <row r="1521" spans="1:2" hidden="1" x14ac:dyDescent="0.25">
      <c r="A1521" s="203">
        <v>1518000</v>
      </c>
      <c r="B1521" s="202">
        <v>14137.25</v>
      </c>
    </row>
    <row r="1522" spans="1:2" hidden="1" x14ac:dyDescent="0.25">
      <c r="A1522" s="203">
        <v>1519000</v>
      </c>
      <c r="B1522" s="202">
        <v>14143.65</v>
      </c>
    </row>
    <row r="1523" spans="1:2" hidden="1" x14ac:dyDescent="0.25">
      <c r="A1523" s="203">
        <v>1520000</v>
      </c>
      <c r="B1523" s="202">
        <v>14150</v>
      </c>
    </row>
    <row r="1524" spans="1:2" hidden="1" x14ac:dyDescent="0.25">
      <c r="A1524" s="203">
        <v>1521000</v>
      </c>
      <c r="B1524" s="202">
        <v>14156.3</v>
      </c>
    </row>
    <row r="1525" spans="1:2" hidden="1" x14ac:dyDescent="0.25">
      <c r="A1525" s="203">
        <v>1522000</v>
      </c>
      <c r="B1525" s="202">
        <v>14162.75</v>
      </c>
    </row>
    <row r="1526" spans="1:2" hidden="1" x14ac:dyDescent="0.25">
      <c r="A1526" s="203">
        <v>1523000</v>
      </c>
      <c r="B1526" s="202">
        <v>14169.1</v>
      </c>
    </row>
    <row r="1527" spans="1:2" hidden="1" x14ac:dyDescent="0.25">
      <c r="A1527" s="203">
        <v>1524000</v>
      </c>
      <c r="B1527" s="202">
        <v>14175.45</v>
      </c>
    </row>
    <row r="1528" spans="1:2" hidden="1" x14ac:dyDescent="0.25">
      <c r="A1528" s="203">
        <v>1525000</v>
      </c>
      <c r="B1528" s="202">
        <v>14181.8</v>
      </c>
    </row>
    <row r="1529" spans="1:2" hidden="1" x14ac:dyDescent="0.25">
      <c r="A1529" s="203">
        <v>1526000</v>
      </c>
      <c r="B1529" s="202">
        <v>14188.15</v>
      </c>
    </row>
    <row r="1530" spans="1:2" hidden="1" x14ac:dyDescent="0.25">
      <c r="A1530" s="203">
        <v>1527000</v>
      </c>
      <c r="B1530" s="202">
        <v>14194.55</v>
      </c>
    </row>
    <row r="1531" spans="1:2" hidden="1" x14ac:dyDescent="0.25">
      <c r="A1531" s="203">
        <v>1528000</v>
      </c>
      <c r="B1531" s="202">
        <v>14200.85</v>
      </c>
    </row>
    <row r="1532" spans="1:2" hidden="1" x14ac:dyDescent="0.25">
      <c r="A1532" s="203">
        <v>1529000</v>
      </c>
      <c r="B1532" s="202">
        <v>14207.3</v>
      </c>
    </row>
    <row r="1533" spans="1:2" hidden="1" x14ac:dyDescent="0.25">
      <c r="A1533" s="203">
        <v>1530000</v>
      </c>
      <c r="B1533" s="202">
        <v>14213.65</v>
      </c>
    </row>
    <row r="1534" spans="1:2" hidden="1" x14ac:dyDescent="0.25">
      <c r="A1534" s="203">
        <v>1531000</v>
      </c>
      <c r="B1534" s="202">
        <v>14219.95</v>
      </c>
    </row>
    <row r="1535" spans="1:2" hidden="1" x14ac:dyDescent="0.25">
      <c r="A1535" s="203">
        <v>1532000</v>
      </c>
      <c r="B1535" s="202">
        <v>14226.35</v>
      </c>
    </row>
    <row r="1536" spans="1:2" hidden="1" x14ac:dyDescent="0.25">
      <c r="A1536" s="203">
        <v>1533000</v>
      </c>
      <c r="B1536" s="202">
        <v>14232.7</v>
      </c>
    </row>
    <row r="1537" spans="1:2" hidden="1" x14ac:dyDescent="0.25">
      <c r="A1537" s="203">
        <v>1534000</v>
      </c>
      <c r="B1537" s="202">
        <v>14239.1</v>
      </c>
    </row>
    <row r="1538" spans="1:2" hidden="1" x14ac:dyDescent="0.25">
      <c r="A1538" s="203">
        <v>1535000</v>
      </c>
      <c r="B1538" s="202">
        <v>14245.4</v>
      </c>
    </row>
    <row r="1539" spans="1:2" hidden="1" x14ac:dyDescent="0.25">
      <c r="A1539" s="203">
        <v>1536000</v>
      </c>
      <c r="B1539" s="202">
        <v>14251.8</v>
      </c>
    </row>
    <row r="1540" spans="1:2" hidden="1" x14ac:dyDescent="0.25">
      <c r="A1540" s="203">
        <v>1537000</v>
      </c>
      <c r="B1540" s="202">
        <v>14258.2</v>
      </c>
    </row>
    <row r="1541" spans="1:2" hidden="1" x14ac:dyDescent="0.25">
      <c r="A1541" s="203">
        <v>1538000</v>
      </c>
      <c r="B1541" s="202">
        <v>14264.5</v>
      </c>
    </row>
    <row r="1542" spans="1:2" hidden="1" x14ac:dyDescent="0.25">
      <c r="A1542" s="203">
        <v>1539000</v>
      </c>
      <c r="B1542" s="202">
        <v>14270.9</v>
      </c>
    </row>
    <row r="1543" spans="1:2" hidden="1" x14ac:dyDescent="0.25">
      <c r="A1543" s="203">
        <v>1540000</v>
      </c>
      <c r="B1543" s="202">
        <v>14277.25</v>
      </c>
    </row>
    <row r="1544" spans="1:2" hidden="1" x14ac:dyDescent="0.25">
      <c r="A1544" s="203">
        <v>1541000</v>
      </c>
      <c r="B1544" s="202">
        <v>14283.6</v>
      </c>
    </row>
    <row r="1545" spans="1:2" hidden="1" x14ac:dyDescent="0.25">
      <c r="A1545" s="203">
        <v>1542000</v>
      </c>
      <c r="B1545" s="202">
        <v>14289.95</v>
      </c>
    </row>
    <row r="1546" spans="1:2" hidden="1" x14ac:dyDescent="0.25">
      <c r="A1546" s="203">
        <v>1543000</v>
      </c>
      <c r="B1546" s="202">
        <v>14296.35</v>
      </c>
    </row>
    <row r="1547" spans="1:2" hidden="1" x14ac:dyDescent="0.25">
      <c r="A1547" s="203">
        <v>1544000</v>
      </c>
      <c r="B1547" s="202">
        <v>14302.75</v>
      </c>
    </row>
    <row r="1548" spans="1:2" hidden="1" x14ac:dyDescent="0.25">
      <c r="A1548" s="203">
        <v>1545000</v>
      </c>
      <c r="B1548" s="202">
        <v>14309.1</v>
      </c>
    </row>
    <row r="1549" spans="1:2" hidden="1" x14ac:dyDescent="0.25">
      <c r="A1549" s="203">
        <v>1546000</v>
      </c>
      <c r="B1549" s="202">
        <v>14315.4</v>
      </c>
    </row>
    <row r="1550" spans="1:2" hidden="1" x14ac:dyDescent="0.25">
      <c r="A1550" s="203">
        <v>1547000</v>
      </c>
      <c r="B1550" s="202">
        <v>14321.8</v>
      </c>
    </row>
    <row r="1551" spans="1:2" hidden="1" x14ac:dyDescent="0.25">
      <c r="A1551" s="203">
        <v>1548000</v>
      </c>
      <c r="B1551" s="202">
        <v>14328.15</v>
      </c>
    </row>
    <row r="1552" spans="1:2" hidden="1" x14ac:dyDescent="0.25">
      <c r="A1552" s="203">
        <v>1549000</v>
      </c>
      <c r="B1552" s="202">
        <v>14334.5</v>
      </c>
    </row>
    <row r="1553" spans="1:2" hidden="1" x14ac:dyDescent="0.25">
      <c r="A1553" s="203">
        <v>1550000</v>
      </c>
      <c r="B1553" s="202">
        <v>14340.9</v>
      </c>
    </row>
    <row r="1554" spans="1:2" hidden="1" x14ac:dyDescent="0.25">
      <c r="A1554" s="203">
        <v>1551000</v>
      </c>
      <c r="B1554" s="202">
        <v>14347.25</v>
      </c>
    </row>
    <row r="1555" spans="1:2" hidden="1" x14ac:dyDescent="0.25">
      <c r="A1555" s="203">
        <v>1552000</v>
      </c>
      <c r="B1555" s="202">
        <v>14353.65</v>
      </c>
    </row>
    <row r="1556" spans="1:2" hidden="1" x14ac:dyDescent="0.25">
      <c r="A1556" s="203">
        <v>1553000</v>
      </c>
      <c r="B1556" s="202">
        <v>14359.95</v>
      </c>
    </row>
    <row r="1557" spans="1:2" hidden="1" x14ac:dyDescent="0.25">
      <c r="A1557" s="203">
        <v>1554000</v>
      </c>
      <c r="B1557" s="202">
        <v>14366.35</v>
      </c>
    </row>
    <row r="1558" spans="1:2" hidden="1" x14ac:dyDescent="0.25">
      <c r="A1558" s="203">
        <v>1555000</v>
      </c>
      <c r="B1558" s="202">
        <v>14372.7</v>
      </c>
    </row>
    <row r="1559" spans="1:2" hidden="1" x14ac:dyDescent="0.25">
      <c r="A1559" s="203">
        <v>1556000</v>
      </c>
      <c r="B1559" s="202">
        <v>14379</v>
      </c>
    </row>
    <row r="1560" spans="1:2" hidden="1" x14ac:dyDescent="0.25">
      <c r="A1560" s="203">
        <v>1557000</v>
      </c>
      <c r="B1560" s="202">
        <v>14385.45</v>
      </c>
    </row>
    <row r="1561" spans="1:2" hidden="1" x14ac:dyDescent="0.25">
      <c r="A1561" s="203">
        <v>1558000</v>
      </c>
      <c r="B1561" s="202">
        <v>14391.8</v>
      </c>
    </row>
    <row r="1562" spans="1:2" hidden="1" x14ac:dyDescent="0.25">
      <c r="A1562" s="203">
        <v>1559000</v>
      </c>
      <c r="B1562" s="202">
        <v>14398.2</v>
      </c>
    </row>
    <row r="1563" spans="1:2" hidden="1" x14ac:dyDescent="0.25">
      <c r="A1563" s="203">
        <v>1560000</v>
      </c>
      <c r="B1563" s="202">
        <v>14404.5</v>
      </c>
    </row>
    <row r="1564" spans="1:2" hidden="1" x14ac:dyDescent="0.25">
      <c r="A1564" s="203">
        <v>1561000</v>
      </c>
      <c r="B1564" s="202">
        <v>14410.85</v>
      </c>
    </row>
    <row r="1565" spans="1:2" hidden="1" x14ac:dyDescent="0.25">
      <c r="A1565" s="203">
        <v>1562000</v>
      </c>
      <c r="B1565" s="202">
        <v>14417.25</v>
      </c>
    </row>
    <row r="1566" spans="1:2" hidden="1" x14ac:dyDescent="0.25">
      <c r="A1566" s="203">
        <v>1563000</v>
      </c>
      <c r="B1566" s="202">
        <v>14423.55</v>
      </c>
    </row>
    <row r="1567" spans="1:2" hidden="1" x14ac:dyDescent="0.25">
      <c r="A1567" s="203">
        <v>1564000</v>
      </c>
      <c r="B1567" s="202">
        <v>14430</v>
      </c>
    </row>
    <row r="1568" spans="1:2" hidden="1" x14ac:dyDescent="0.25">
      <c r="A1568" s="203">
        <v>1565000</v>
      </c>
      <c r="B1568" s="202">
        <v>14436.35</v>
      </c>
    </row>
    <row r="1569" spans="1:2" hidden="1" x14ac:dyDescent="0.25">
      <c r="A1569" s="203">
        <v>1566000</v>
      </c>
      <c r="B1569" s="202">
        <v>14442.7</v>
      </c>
    </row>
    <row r="1570" spans="1:2" hidden="1" x14ac:dyDescent="0.25">
      <c r="A1570" s="203">
        <v>1567000</v>
      </c>
      <c r="B1570" s="202">
        <v>14449.05</v>
      </c>
    </row>
    <row r="1571" spans="1:2" hidden="1" x14ac:dyDescent="0.25">
      <c r="A1571" s="203">
        <v>1568000</v>
      </c>
      <c r="B1571" s="202">
        <v>14455.4</v>
      </c>
    </row>
    <row r="1572" spans="1:2" hidden="1" x14ac:dyDescent="0.25">
      <c r="A1572" s="203">
        <v>1569000</v>
      </c>
      <c r="B1572" s="202">
        <v>14461.8</v>
      </c>
    </row>
    <row r="1573" spans="1:2" hidden="1" x14ac:dyDescent="0.25">
      <c r="A1573" s="203">
        <v>1570000</v>
      </c>
      <c r="B1573" s="202">
        <v>14468.1</v>
      </c>
    </row>
    <row r="1574" spans="1:2" hidden="1" x14ac:dyDescent="0.25">
      <c r="A1574" s="203">
        <v>1571000</v>
      </c>
      <c r="B1574" s="202">
        <v>14474.5</v>
      </c>
    </row>
    <row r="1575" spans="1:2" hidden="1" x14ac:dyDescent="0.25">
      <c r="A1575" s="203">
        <v>1572000</v>
      </c>
      <c r="B1575" s="202">
        <v>14480.9</v>
      </c>
    </row>
    <row r="1576" spans="1:2" hidden="1" x14ac:dyDescent="0.25">
      <c r="A1576" s="203">
        <v>1573000</v>
      </c>
      <c r="B1576" s="202">
        <v>14487.25</v>
      </c>
    </row>
    <row r="1577" spans="1:2" hidden="1" x14ac:dyDescent="0.25">
      <c r="A1577" s="203">
        <v>1574000</v>
      </c>
      <c r="B1577" s="202">
        <v>14493.6</v>
      </c>
    </row>
    <row r="1578" spans="1:2" hidden="1" x14ac:dyDescent="0.25">
      <c r="A1578" s="203">
        <v>1575000</v>
      </c>
      <c r="B1578" s="202">
        <v>14499.95</v>
      </c>
    </row>
    <row r="1579" spans="1:2" hidden="1" x14ac:dyDescent="0.25">
      <c r="A1579" s="203">
        <v>1576000</v>
      </c>
      <c r="B1579" s="202">
        <v>14506.3</v>
      </c>
    </row>
    <row r="1580" spans="1:2" hidden="1" x14ac:dyDescent="0.25">
      <c r="A1580" s="203">
        <v>1577000</v>
      </c>
      <c r="B1580" s="202">
        <v>14512.65</v>
      </c>
    </row>
    <row r="1581" spans="1:2" hidden="1" x14ac:dyDescent="0.25">
      <c r="A1581" s="203">
        <v>1578000</v>
      </c>
      <c r="B1581" s="202">
        <v>14519.05</v>
      </c>
    </row>
    <row r="1582" spans="1:2" hidden="1" x14ac:dyDescent="0.25">
      <c r="A1582" s="203">
        <v>1579000</v>
      </c>
      <c r="B1582" s="202">
        <v>14525.45</v>
      </c>
    </row>
    <row r="1583" spans="1:2" hidden="1" x14ac:dyDescent="0.25">
      <c r="A1583" s="203">
        <v>1580000</v>
      </c>
      <c r="B1583" s="202">
        <v>14531.8</v>
      </c>
    </row>
    <row r="1584" spans="1:2" hidden="1" x14ac:dyDescent="0.25">
      <c r="A1584" s="203">
        <v>1581000</v>
      </c>
      <c r="B1584" s="202">
        <v>14538.1</v>
      </c>
    </row>
    <row r="1585" spans="1:2" hidden="1" x14ac:dyDescent="0.25">
      <c r="A1585" s="203">
        <v>1582000</v>
      </c>
      <c r="B1585" s="202">
        <v>14544.5</v>
      </c>
    </row>
    <row r="1586" spans="1:2" hidden="1" x14ac:dyDescent="0.25">
      <c r="A1586" s="203">
        <v>1583000</v>
      </c>
      <c r="B1586" s="202">
        <v>14550.85</v>
      </c>
    </row>
    <row r="1587" spans="1:2" hidden="1" x14ac:dyDescent="0.25">
      <c r="A1587" s="203">
        <v>1584000</v>
      </c>
      <c r="B1587" s="202">
        <v>14557.25</v>
      </c>
    </row>
    <row r="1588" spans="1:2" hidden="1" x14ac:dyDescent="0.25">
      <c r="A1588" s="203">
        <v>1585000</v>
      </c>
      <c r="B1588" s="202">
        <v>14563.6</v>
      </c>
    </row>
    <row r="1589" spans="1:2" hidden="1" x14ac:dyDescent="0.25">
      <c r="A1589" s="203">
        <v>1586000</v>
      </c>
      <c r="B1589" s="202">
        <v>14569.95</v>
      </c>
    </row>
    <row r="1590" spans="1:2" hidden="1" x14ac:dyDescent="0.25">
      <c r="A1590" s="203">
        <v>1587000</v>
      </c>
      <c r="B1590" s="202">
        <v>14576.35</v>
      </c>
    </row>
    <row r="1591" spans="1:2" hidden="1" x14ac:dyDescent="0.25">
      <c r="A1591" s="203">
        <v>1588000</v>
      </c>
      <c r="B1591" s="202">
        <v>14582.65</v>
      </c>
    </row>
    <row r="1592" spans="1:2" hidden="1" x14ac:dyDescent="0.25">
      <c r="A1592" s="203">
        <v>1589000</v>
      </c>
      <c r="B1592" s="202">
        <v>14589.05</v>
      </c>
    </row>
    <row r="1593" spans="1:2" hidden="1" x14ac:dyDescent="0.25">
      <c r="A1593" s="203">
        <v>1590000</v>
      </c>
      <c r="B1593" s="202">
        <v>14595.4</v>
      </c>
    </row>
    <row r="1594" spans="1:2" hidden="1" x14ac:dyDescent="0.25">
      <c r="A1594" s="203">
        <v>1591000</v>
      </c>
      <c r="B1594" s="202">
        <v>14601.75</v>
      </c>
    </row>
    <row r="1595" spans="1:2" hidden="1" x14ac:dyDescent="0.25">
      <c r="A1595" s="203">
        <v>1592000</v>
      </c>
      <c r="B1595" s="202">
        <v>14608.15</v>
      </c>
    </row>
    <row r="1596" spans="1:2" hidden="1" x14ac:dyDescent="0.25">
      <c r="A1596" s="203">
        <v>1593000</v>
      </c>
      <c r="B1596" s="202">
        <v>14614.5</v>
      </c>
    </row>
    <row r="1597" spans="1:2" hidden="1" x14ac:dyDescent="0.25">
      <c r="A1597" s="203">
        <v>1594000</v>
      </c>
      <c r="B1597" s="202">
        <v>14620.9</v>
      </c>
    </row>
    <row r="1598" spans="1:2" hidden="1" x14ac:dyDescent="0.25">
      <c r="A1598" s="203">
        <v>1595000</v>
      </c>
      <c r="B1598" s="202">
        <v>14627.2</v>
      </c>
    </row>
    <row r="1599" spans="1:2" hidden="1" x14ac:dyDescent="0.25">
      <c r="A1599" s="203">
        <v>1596000</v>
      </c>
      <c r="B1599" s="202">
        <v>14633.55</v>
      </c>
    </row>
    <row r="1600" spans="1:2" hidden="1" x14ac:dyDescent="0.25">
      <c r="A1600" s="203">
        <v>1597000</v>
      </c>
      <c r="B1600" s="202">
        <v>14639.95</v>
      </c>
    </row>
    <row r="1601" spans="1:2" hidden="1" x14ac:dyDescent="0.25">
      <c r="A1601" s="203">
        <v>1598000</v>
      </c>
      <c r="B1601" s="202">
        <v>14646.3</v>
      </c>
    </row>
    <row r="1602" spans="1:2" hidden="1" x14ac:dyDescent="0.25">
      <c r="A1602" s="203">
        <v>1599000</v>
      </c>
      <c r="B1602" s="202">
        <v>14652.7</v>
      </c>
    </row>
    <row r="1603" spans="1:2" hidden="1" x14ac:dyDescent="0.25">
      <c r="A1603" s="203">
        <v>1600000</v>
      </c>
      <c r="B1603" s="202">
        <v>14659.05</v>
      </c>
    </row>
    <row r="1604" spans="1:2" hidden="1" x14ac:dyDescent="0.25">
      <c r="A1604" s="203">
        <v>1601000</v>
      </c>
      <c r="B1604" s="202">
        <v>14665.4</v>
      </c>
    </row>
    <row r="1605" spans="1:2" hidden="1" x14ac:dyDescent="0.25">
      <c r="A1605" s="203">
        <v>1602000</v>
      </c>
      <c r="B1605" s="202">
        <v>14671.75</v>
      </c>
    </row>
    <row r="1606" spans="1:2" hidden="1" x14ac:dyDescent="0.25">
      <c r="A1606" s="203">
        <v>1603000</v>
      </c>
      <c r="B1606" s="202">
        <v>14678.1</v>
      </c>
    </row>
    <row r="1607" spans="1:2" hidden="1" x14ac:dyDescent="0.25">
      <c r="A1607" s="203">
        <v>1604000</v>
      </c>
      <c r="B1607" s="202">
        <v>14684.5</v>
      </c>
    </row>
    <row r="1608" spans="1:2" hidden="1" x14ac:dyDescent="0.25">
      <c r="A1608" s="203">
        <v>1605000</v>
      </c>
      <c r="B1608" s="202">
        <v>14690.85</v>
      </c>
    </row>
    <row r="1609" spans="1:2" hidden="1" x14ac:dyDescent="0.25">
      <c r="A1609" s="203">
        <v>1606000</v>
      </c>
      <c r="B1609" s="202">
        <v>14697.2</v>
      </c>
    </row>
    <row r="1610" spans="1:2" hidden="1" x14ac:dyDescent="0.25">
      <c r="A1610" s="203">
        <v>1607000</v>
      </c>
      <c r="B1610" s="202">
        <v>14703.6</v>
      </c>
    </row>
    <row r="1611" spans="1:2" hidden="1" x14ac:dyDescent="0.25">
      <c r="A1611" s="203">
        <v>1608000</v>
      </c>
      <c r="B1611" s="202">
        <v>14709.95</v>
      </c>
    </row>
    <row r="1612" spans="1:2" hidden="1" x14ac:dyDescent="0.25">
      <c r="A1612" s="203">
        <v>1609000</v>
      </c>
      <c r="B1612" s="202">
        <v>14716.3</v>
      </c>
    </row>
    <row r="1613" spans="1:2" hidden="1" x14ac:dyDescent="0.25">
      <c r="A1613" s="203">
        <v>1610000</v>
      </c>
      <c r="B1613" s="202">
        <v>14722.65</v>
      </c>
    </row>
    <row r="1614" spans="1:2" hidden="1" x14ac:dyDescent="0.25">
      <c r="A1614" s="203">
        <v>1611000</v>
      </c>
      <c r="B1614" s="202">
        <v>14729</v>
      </c>
    </row>
    <row r="1615" spans="1:2" hidden="1" x14ac:dyDescent="0.25">
      <c r="A1615" s="203">
        <v>1612000</v>
      </c>
      <c r="B1615" s="202">
        <v>14735.45</v>
      </c>
    </row>
    <row r="1616" spans="1:2" hidden="1" x14ac:dyDescent="0.25">
      <c r="A1616" s="203">
        <v>1613000</v>
      </c>
      <c r="B1616" s="202">
        <v>14741.75</v>
      </c>
    </row>
    <row r="1617" spans="1:2" hidden="1" x14ac:dyDescent="0.25">
      <c r="A1617" s="203">
        <v>1614000</v>
      </c>
      <c r="B1617" s="202">
        <v>14748.15</v>
      </c>
    </row>
    <row r="1618" spans="1:2" hidden="1" x14ac:dyDescent="0.25">
      <c r="A1618" s="203">
        <v>1615000</v>
      </c>
      <c r="B1618" s="202">
        <v>14754.5</v>
      </c>
    </row>
    <row r="1619" spans="1:2" hidden="1" x14ac:dyDescent="0.25">
      <c r="A1619" s="203">
        <v>1616000</v>
      </c>
      <c r="B1619" s="202">
        <v>14760.8</v>
      </c>
    </row>
    <row r="1620" spans="1:2" hidden="1" x14ac:dyDescent="0.25">
      <c r="A1620" s="203">
        <v>1617000</v>
      </c>
      <c r="B1620" s="202">
        <v>14767.2</v>
      </c>
    </row>
    <row r="1621" spans="1:2" hidden="1" x14ac:dyDescent="0.25">
      <c r="A1621" s="203">
        <v>1618000</v>
      </c>
      <c r="B1621" s="202">
        <v>14773.55</v>
      </c>
    </row>
    <row r="1622" spans="1:2" hidden="1" x14ac:dyDescent="0.25">
      <c r="A1622" s="203">
        <v>1619000</v>
      </c>
      <c r="B1622" s="202">
        <v>14780</v>
      </c>
    </row>
    <row r="1623" spans="1:2" hidden="1" x14ac:dyDescent="0.25">
      <c r="A1623" s="203">
        <v>1620000</v>
      </c>
      <c r="B1623" s="202">
        <v>14786.3</v>
      </c>
    </row>
    <row r="1624" spans="1:2" hidden="1" x14ac:dyDescent="0.25">
      <c r="A1624" s="203">
        <v>1621000</v>
      </c>
      <c r="B1624" s="202">
        <v>14792.65</v>
      </c>
    </row>
    <row r="1625" spans="1:2" hidden="1" x14ac:dyDescent="0.25">
      <c r="A1625" s="203">
        <v>1622000</v>
      </c>
      <c r="B1625" s="202">
        <v>14799.05</v>
      </c>
    </row>
    <row r="1626" spans="1:2" hidden="1" x14ac:dyDescent="0.25">
      <c r="A1626" s="203">
        <v>1623000</v>
      </c>
      <c r="B1626" s="202">
        <v>14805.4</v>
      </c>
    </row>
    <row r="1627" spans="1:2" hidden="1" x14ac:dyDescent="0.25">
      <c r="A1627" s="203">
        <v>1624000</v>
      </c>
      <c r="B1627" s="202">
        <v>14811.75</v>
      </c>
    </row>
    <row r="1628" spans="1:2" hidden="1" x14ac:dyDescent="0.25">
      <c r="A1628" s="203">
        <v>1625000</v>
      </c>
      <c r="B1628" s="202">
        <v>14818.1</v>
      </c>
    </row>
    <row r="1629" spans="1:2" hidden="1" x14ac:dyDescent="0.25">
      <c r="A1629" s="203">
        <v>1626000</v>
      </c>
      <c r="B1629" s="202">
        <v>14824.5</v>
      </c>
    </row>
    <row r="1630" spans="1:2" hidden="1" x14ac:dyDescent="0.25">
      <c r="A1630" s="203">
        <v>1627000</v>
      </c>
      <c r="B1630" s="202">
        <v>14830.85</v>
      </c>
    </row>
    <row r="1631" spans="1:2" hidden="1" x14ac:dyDescent="0.25">
      <c r="A1631" s="203">
        <v>1628000</v>
      </c>
      <c r="B1631" s="202">
        <v>14837.2</v>
      </c>
    </row>
    <row r="1632" spans="1:2" hidden="1" x14ac:dyDescent="0.25">
      <c r="A1632" s="203">
        <v>1629000</v>
      </c>
      <c r="B1632" s="202">
        <v>14843.6</v>
      </c>
    </row>
    <row r="1633" spans="1:2" hidden="1" x14ac:dyDescent="0.25">
      <c r="A1633" s="203">
        <v>1630000</v>
      </c>
      <c r="B1633" s="202">
        <v>14849.95</v>
      </c>
    </row>
    <row r="1634" spans="1:2" hidden="1" x14ac:dyDescent="0.25">
      <c r="A1634" s="203">
        <v>1631000</v>
      </c>
      <c r="B1634" s="202">
        <v>14856.25</v>
      </c>
    </row>
    <row r="1635" spans="1:2" hidden="1" x14ac:dyDescent="0.25">
      <c r="A1635" s="203">
        <v>1632000</v>
      </c>
      <c r="B1635" s="202">
        <v>14862.65</v>
      </c>
    </row>
    <row r="1636" spans="1:2" hidden="1" x14ac:dyDescent="0.25">
      <c r="A1636" s="203">
        <v>1633000</v>
      </c>
      <c r="B1636" s="202">
        <v>14869.05</v>
      </c>
    </row>
    <row r="1637" spans="1:2" hidden="1" x14ac:dyDescent="0.25">
      <c r="A1637" s="203">
        <v>1634000</v>
      </c>
      <c r="B1637" s="202">
        <v>14875.4</v>
      </c>
    </row>
    <row r="1638" spans="1:2" hidden="1" x14ac:dyDescent="0.25">
      <c r="A1638" s="203">
        <v>1635000</v>
      </c>
      <c r="B1638" s="202">
        <v>14881.75</v>
      </c>
    </row>
    <row r="1639" spans="1:2" hidden="1" x14ac:dyDescent="0.25">
      <c r="A1639" s="203">
        <v>1636000</v>
      </c>
      <c r="B1639" s="202">
        <v>14888.1</v>
      </c>
    </row>
    <row r="1640" spans="1:2" hidden="1" x14ac:dyDescent="0.25">
      <c r="A1640" s="203">
        <v>1637000</v>
      </c>
      <c r="B1640" s="202">
        <v>14894.5</v>
      </c>
    </row>
    <row r="1641" spans="1:2" hidden="1" x14ac:dyDescent="0.25">
      <c r="A1641" s="203">
        <v>1638000</v>
      </c>
      <c r="B1641" s="202">
        <v>14900.8</v>
      </c>
    </row>
    <row r="1642" spans="1:2" hidden="1" x14ac:dyDescent="0.25">
      <c r="A1642" s="203">
        <v>1639000</v>
      </c>
      <c r="B1642" s="202">
        <v>14907.2</v>
      </c>
    </row>
    <row r="1643" spans="1:2" hidden="1" x14ac:dyDescent="0.25">
      <c r="A1643" s="203">
        <v>1640000</v>
      </c>
      <c r="B1643" s="202">
        <v>14913.6</v>
      </c>
    </row>
    <row r="1644" spans="1:2" hidden="1" x14ac:dyDescent="0.25">
      <c r="A1644" s="203">
        <v>1641000</v>
      </c>
      <c r="B1644" s="202">
        <v>14919.9</v>
      </c>
    </row>
    <row r="1645" spans="1:2" hidden="1" x14ac:dyDescent="0.25">
      <c r="A1645" s="203">
        <v>1642000</v>
      </c>
      <c r="B1645" s="202">
        <v>14926.3</v>
      </c>
    </row>
    <row r="1646" spans="1:2" hidden="1" x14ac:dyDescent="0.25">
      <c r="A1646" s="203">
        <v>1643000</v>
      </c>
      <c r="B1646" s="202">
        <v>14932.65</v>
      </c>
    </row>
    <row r="1647" spans="1:2" hidden="1" x14ac:dyDescent="0.25">
      <c r="A1647" s="203">
        <v>1644000</v>
      </c>
      <c r="B1647" s="202">
        <v>14939.05</v>
      </c>
    </row>
    <row r="1648" spans="1:2" hidden="1" x14ac:dyDescent="0.25">
      <c r="A1648" s="203">
        <v>1645000</v>
      </c>
      <c r="B1648" s="202">
        <v>14945.35</v>
      </c>
    </row>
    <row r="1649" spans="1:2" hidden="1" x14ac:dyDescent="0.25">
      <c r="A1649" s="203">
        <v>1646000</v>
      </c>
      <c r="B1649" s="202">
        <v>14951.7</v>
      </c>
    </row>
    <row r="1650" spans="1:2" hidden="1" x14ac:dyDescent="0.25">
      <c r="A1650" s="203">
        <v>1647000</v>
      </c>
      <c r="B1650" s="202">
        <v>14958.15</v>
      </c>
    </row>
    <row r="1651" spans="1:2" hidden="1" x14ac:dyDescent="0.25">
      <c r="A1651" s="203">
        <v>1648000</v>
      </c>
      <c r="B1651" s="202">
        <v>14964.45</v>
      </c>
    </row>
    <row r="1652" spans="1:2" hidden="1" x14ac:dyDescent="0.25">
      <c r="A1652" s="203">
        <v>1649000</v>
      </c>
      <c r="B1652" s="202">
        <v>14970.85</v>
      </c>
    </row>
    <row r="1653" spans="1:2" hidden="1" x14ac:dyDescent="0.25">
      <c r="A1653" s="203">
        <v>1650000</v>
      </c>
      <c r="B1653" s="202">
        <v>14977.2</v>
      </c>
    </row>
    <row r="1654" spans="1:2" hidden="1" x14ac:dyDescent="0.25">
      <c r="A1654" s="203">
        <v>1651000</v>
      </c>
      <c r="B1654" s="202">
        <v>14983.55</v>
      </c>
    </row>
    <row r="1655" spans="1:2" hidden="1" x14ac:dyDescent="0.25">
      <c r="A1655" s="203">
        <v>1652000</v>
      </c>
      <c r="B1655" s="202">
        <v>14989.9</v>
      </c>
    </row>
    <row r="1656" spans="1:2" hidden="1" x14ac:dyDescent="0.25">
      <c r="A1656" s="203">
        <v>1653000</v>
      </c>
      <c r="B1656" s="202">
        <v>14996.25</v>
      </c>
    </row>
    <row r="1657" spans="1:2" hidden="1" x14ac:dyDescent="0.25">
      <c r="A1657" s="203">
        <v>1654000</v>
      </c>
      <c r="B1657" s="202">
        <v>15002.7</v>
      </c>
    </row>
    <row r="1658" spans="1:2" hidden="1" x14ac:dyDescent="0.25">
      <c r="A1658" s="203">
        <v>1655000</v>
      </c>
      <c r="B1658" s="202">
        <v>15009.05</v>
      </c>
    </row>
    <row r="1659" spans="1:2" hidden="1" x14ac:dyDescent="0.25">
      <c r="A1659" s="203">
        <v>1656000</v>
      </c>
      <c r="B1659" s="202">
        <v>15015.35</v>
      </c>
    </row>
    <row r="1660" spans="1:2" hidden="1" x14ac:dyDescent="0.25">
      <c r="A1660" s="203">
        <v>1657000</v>
      </c>
      <c r="B1660" s="202">
        <v>15021.75</v>
      </c>
    </row>
    <row r="1661" spans="1:2" hidden="1" x14ac:dyDescent="0.25">
      <c r="A1661" s="203">
        <v>1658000</v>
      </c>
      <c r="B1661" s="202">
        <v>15028.1</v>
      </c>
    </row>
    <row r="1662" spans="1:2" hidden="1" x14ac:dyDescent="0.25">
      <c r="A1662" s="203">
        <v>1659000</v>
      </c>
      <c r="B1662" s="202">
        <v>15034.45</v>
      </c>
    </row>
    <row r="1663" spans="1:2" hidden="1" x14ac:dyDescent="0.25">
      <c r="A1663" s="203">
        <v>1660000</v>
      </c>
      <c r="B1663" s="202">
        <v>15040.8</v>
      </c>
    </row>
    <row r="1664" spans="1:2" hidden="1" x14ac:dyDescent="0.25">
      <c r="A1664" s="203">
        <v>1661000</v>
      </c>
      <c r="B1664" s="202">
        <v>15047.2</v>
      </c>
    </row>
    <row r="1665" spans="1:2" hidden="1" x14ac:dyDescent="0.25">
      <c r="A1665" s="203">
        <v>1662000</v>
      </c>
      <c r="B1665" s="202">
        <v>15053.6</v>
      </c>
    </row>
    <row r="1666" spans="1:2" hidden="1" x14ac:dyDescent="0.25">
      <c r="A1666" s="203">
        <v>1663000</v>
      </c>
      <c r="B1666" s="202">
        <v>15059.9</v>
      </c>
    </row>
    <row r="1667" spans="1:2" hidden="1" x14ac:dyDescent="0.25">
      <c r="A1667" s="203">
        <v>1664000</v>
      </c>
      <c r="B1667" s="202">
        <v>15066.3</v>
      </c>
    </row>
    <row r="1668" spans="1:2" hidden="1" x14ac:dyDescent="0.25">
      <c r="A1668" s="203">
        <v>1665000</v>
      </c>
      <c r="B1668" s="202">
        <v>15072.65</v>
      </c>
    </row>
    <row r="1669" spans="1:2" hidden="1" x14ac:dyDescent="0.25">
      <c r="A1669" s="203">
        <v>1666000</v>
      </c>
      <c r="B1669" s="202">
        <v>15078.95</v>
      </c>
    </row>
    <row r="1670" spans="1:2" hidden="1" x14ac:dyDescent="0.25">
      <c r="A1670" s="203">
        <v>1667000</v>
      </c>
      <c r="B1670" s="202">
        <v>15085.35</v>
      </c>
    </row>
    <row r="1671" spans="1:2" hidden="1" x14ac:dyDescent="0.25">
      <c r="A1671" s="203">
        <v>1668000</v>
      </c>
      <c r="B1671" s="202">
        <v>15091.75</v>
      </c>
    </row>
    <row r="1672" spans="1:2" hidden="1" x14ac:dyDescent="0.25">
      <c r="A1672" s="203">
        <v>1669000</v>
      </c>
      <c r="B1672" s="202">
        <v>15098.15</v>
      </c>
    </row>
    <row r="1673" spans="1:2" hidden="1" x14ac:dyDescent="0.25">
      <c r="A1673" s="203">
        <v>1670000</v>
      </c>
      <c r="B1673" s="202">
        <v>15104.45</v>
      </c>
    </row>
    <row r="1674" spans="1:2" hidden="1" x14ac:dyDescent="0.25">
      <c r="A1674" s="203">
        <v>1671000</v>
      </c>
      <c r="B1674" s="202">
        <v>15110.8</v>
      </c>
    </row>
    <row r="1675" spans="1:2" hidden="1" x14ac:dyDescent="0.25">
      <c r="A1675" s="203">
        <v>1672000</v>
      </c>
      <c r="B1675" s="202">
        <v>15117.2</v>
      </c>
    </row>
    <row r="1676" spans="1:2" hidden="1" x14ac:dyDescent="0.25">
      <c r="A1676" s="203">
        <v>1673000</v>
      </c>
      <c r="B1676" s="202">
        <v>15123.5</v>
      </c>
    </row>
    <row r="1677" spans="1:2" hidden="1" x14ac:dyDescent="0.25">
      <c r="A1677" s="203">
        <v>1674000</v>
      </c>
      <c r="B1677" s="202">
        <v>15129.9</v>
      </c>
    </row>
    <row r="1678" spans="1:2" hidden="1" x14ac:dyDescent="0.25">
      <c r="A1678" s="203">
        <v>1675000</v>
      </c>
      <c r="B1678" s="202">
        <v>15136.3</v>
      </c>
    </row>
    <row r="1679" spans="1:2" hidden="1" x14ac:dyDescent="0.25">
      <c r="A1679" s="203">
        <v>1676000</v>
      </c>
      <c r="B1679" s="202">
        <v>15142.65</v>
      </c>
    </row>
    <row r="1680" spans="1:2" hidden="1" x14ac:dyDescent="0.25">
      <c r="A1680" s="203">
        <v>1677000</v>
      </c>
      <c r="B1680" s="202">
        <v>15149</v>
      </c>
    </row>
    <row r="1681" spans="1:2" hidden="1" x14ac:dyDescent="0.25">
      <c r="A1681" s="203">
        <v>1678000</v>
      </c>
      <c r="B1681" s="202">
        <v>15155.35</v>
      </c>
    </row>
    <row r="1682" spans="1:2" hidden="1" x14ac:dyDescent="0.25">
      <c r="A1682" s="203">
        <v>1679000</v>
      </c>
      <c r="B1682" s="202">
        <v>15161.75</v>
      </c>
    </row>
    <row r="1683" spans="1:2" hidden="1" x14ac:dyDescent="0.25">
      <c r="A1683" s="203">
        <v>1680000</v>
      </c>
      <c r="B1683" s="202">
        <v>15168.05</v>
      </c>
    </row>
    <row r="1684" spans="1:2" hidden="1" x14ac:dyDescent="0.25">
      <c r="A1684" s="203">
        <v>1681000</v>
      </c>
      <c r="B1684" s="202">
        <v>15174.4</v>
      </c>
    </row>
    <row r="1685" spans="1:2" hidden="1" x14ac:dyDescent="0.25">
      <c r="A1685" s="203">
        <v>1682000</v>
      </c>
      <c r="B1685" s="202">
        <v>15180.85</v>
      </c>
    </row>
    <row r="1686" spans="1:2" hidden="1" x14ac:dyDescent="0.25">
      <c r="A1686" s="203">
        <v>1683000</v>
      </c>
      <c r="B1686" s="202">
        <v>15187.2</v>
      </c>
    </row>
    <row r="1687" spans="1:2" hidden="1" x14ac:dyDescent="0.25">
      <c r="A1687" s="203">
        <v>1684000</v>
      </c>
      <c r="B1687" s="202">
        <v>15193.55</v>
      </c>
    </row>
    <row r="1688" spans="1:2" hidden="1" x14ac:dyDescent="0.25">
      <c r="A1688" s="203">
        <v>1685000</v>
      </c>
      <c r="B1688" s="202">
        <v>15199.9</v>
      </c>
    </row>
    <row r="1689" spans="1:2" hidden="1" x14ac:dyDescent="0.25">
      <c r="A1689" s="203">
        <v>1686000</v>
      </c>
      <c r="B1689" s="202">
        <v>15206.25</v>
      </c>
    </row>
    <row r="1690" spans="1:2" hidden="1" x14ac:dyDescent="0.25">
      <c r="A1690" s="203">
        <v>1687000</v>
      </c>
      <c r="B1690" s="202">
        <v>15212.6</v>
      </c>
    </row>
    <row r="1691" spans="1:2" hidden="1" x14ac:dyDescent="0.25">
      <c r="A1691" s="203">
        <v>1688000</v>
      </c>
      <c r="B1691" s="202">
        <v>15218.95</v>
      </c>
    </row>
    <row r="1692" spans="1:2" hidden="1" x14ac:dyDescent="0.25">
      <c r="A1692" s="203">
        <v>1689000</v>
      </c>
      <c r="B1692" s="202">
        <v>15225.4</v>
      </c>
    </row>
    <row r="1693" spans="1:2" hidden="1" x14ac:dyDescent="0.25">
      <c r="A1693" s="203">
        <v>1690000</v>
      </c>
      <c r="B1693" s="202">
        <v>15231.75</v>
      </c>
    </row>
    <row r="1694" spans="1:2" hidden="1" x14ac:dyDescent="0.25">
      <c r="A1694" s="203">
        <v>1691000</v>
      </c>
      <c r="B1694" s="202">
        <v>15238.05</v>
      </c>
    </row>
    <row r="1695" spans="1:2" hidden="1" x14ac:dyDescent="0.25">
      <c r="A1695" s="203">
        <v>1692000</v>
      </c>
      <c r="B1695" s="202">
        <v>15244.45</v>
      </c>
    </row>
    <row r="1696" spans="1:2" hidden="1" x14ac:dyDescent="0.25">
      <c r="A1696" s="203">
        <v>1693000</v>
      </c>
      <c r="B1696" s="202">
        <v>15250.8</v>
      </c>
    </row>
    <row r="1697" spans="1:2" hidden="1" x14ac:dyDescent="0.25">
      <c r="A1697" s="203">
        <v>1694000</v>
      </c>
      <c r="B1697" s="202">
        <v>15257.15</v>
      </c>
    </row>
    <row r="1698" spans="1:2" hidden="1" x14ac:dyDescent="0.25">
      <c r="A1698" s="203">
        <v>1695000</v>
      </c>
      <c r="B1698" s="202">
        <v>15263.5</v>
      </c>
    </row>
    <row r="1699" spans="1:2" hidden="1" x14ac:dyDescent="0.25">
      <c r="A1699" s="203">
        <v>1696000</v>
      </c>
      <c r="B1699" s="202">
        <v>15269.9</v>
      </c>
    </row>
    <row r="1700" spans="1:2" hidden="1" x14ac:dyDescent="0.25">
      <c r="A1700" s="203">
        <v>1697000</v>
      </c>
      <c r="B1700" s="202">
        <v>15276.3</v>
      </c>
    </row>
    <row r="1701" spans="1:2" hidden="1" x14ac:dyDescent="0.25">
      <c r="A1701" s="203">
        <v>1698000</v>
      </c>
      <c r="B1701" s="202">
        <v>15282.6</v>
      </c>
    </row>
    <row r="1702" spans="1:2" hidden="1" x14ac:dyDescent="0.25">
      <c r="A1702" s="203">
        <v>1699000</v>
      </c>
      <c r="B1702" s="202">
        <v>15289</v>
      </c>
    </row>
    <row r="1703" spans="1:2" hidden="1" x14ac:dyDescent="0.25">
      <c r="A1703" s="203">
        <v>1700000</v>
      </c>
      <c r="B1703" s="202">
        <v>15295.35</v>
      </c>
    </row>
    <row r="1704" spans="1:2" hidden="1" x14ac:dyDescent="0.25">
      <c r="A1704" s="203">
        <v>1701000</v>
      </c>
      <c r="B1704" s="202">
        <v>15301.65</v>
      </c>
    </row>
    <row r="1705" spans="1:2" hidden="1" x14ac:dyDescent="0.25">
      <c r="A1705" s="203">
        <v>1702000</v>
      </c>
      <c r="B1705" s="202">
        <v>15308.05</v>
      </c>
    </row>
    <row r="1706" spans="1:2" hidden="1" x14ac:dyDescent="0.25">
      <c r="A1706" s="203">
        <v>1703000</v>
      </c>
      <c r="B1706" s="202">
        <v>15314.45</v>
      </c>
    </row>
    <row r="1707" spans="1:2" hidden="1" x14ac:dyDescent="0.25">
      <c r="A1707" s="203">
        <v>1704000</v>
      </c>
      <c r="B1707" s="202">
        <v>15320.85</v>
      </c>
    </row>
    <row r="1708" spans="1:2" hidden="1" x14ac:dyDescent="0.25">
      <c r="A1708" s="203">
        <v>1705000</v>
      </c>
      <c r="B1708" s="202">
        <v>15327.15</v>
      </c>
    </row>
    <row r="1709" spans="1:2" hidden="1" x14ac:dyDescent="0.25">
      <c r="A1709" s="203">
        <v>1706000</v>
      </c>
      <c r="B1709" s="202">
        <v>15333.5</v>
      </c>
    </row>
    <row r="1710" spans="1:2" hidden="1" x14ac:dyDescent="0.25">
      <c r="A1710" s="203">
        <v>1707000</v>
      </c>
      <c r="B1710" s="202">
        <v>15339.9</v>
      </c>
    </row>
    <row r="1711" spans="1:2" hidden="1" x14ac:dyDescent="0.25">
      <c r="A1711" s="203">
        <v>1708000</v>
      </c>
      <c r="B1711" s="202">
        <v>15346.25</v>
      </c>
    </row>
    <row r="1712" spans="1:2" hidden="1" x14ac:dyDescent="0.25">
      <c r="A1712" s="203">
        <v>1709000</v>
      </c>
      <c r="B1712" s="202">
        <v>15352.6</v>
      </c>
    </row>
    <row r="1713" spans="1:2" hidden="1" x14ac:dyDescent="0.25">
      <c r="A1713" s="203">
        <v>1710000</v>
      </c>
      <c r="B1713" s="202">
        <v>15359</v>
      </c>
    </row>
    <row r="1714" spans="1:2" hidden="1" x14ac:dyDescent="0.25">
      <c r="A1714" s="203">
        <v>1711000</v>
      </c>
      <c r="B1714" s="202">
        <v>15365.35</v>
      </c>
    </row>
    <row r="1715" spans="1:2" hidden="1" x14ac:dyDescent="0.25">
      <c r="A1715" s="203">
        <v>1712000</v>
      </c>
      <c r="B1715" s="202">
        <v>15371.7</v>
      </c>
    </row>
    <row r="1716" spans="1:2" hidden="1" x14ac:dyDescent="0.25">
      <c r="A1716" s="203">
        <v>1713000</v>
      </c>
      <c r="B1716" s="202">
        <v>15378.05</v>
      </c>
    </row>
    <row r="1717" spans="1:2" hidden="1" x14ac:dyDescent="0.25">
      <c r="A1717" s="203">
        <v>1714000</v>
      </c>
      <c r="B1717" s="202">
        <v>15384.45</v>
      </c>
    </row>
    <row r="1718" spans="1:2" hidden="1" x14ac:dyDescent="0.25">
      <c r="A1718" s="203">
        <v>1715000</v>
      </c>
      <c r="B1718" s="202">
        <v>15390.8</v>
      </c>
    </row>
    <row r="1719" spans="1:2" hidden="1" x14ac:dyDescent="0.25">
      <c r="A1719" s="203">
        <v>1716000</v>
      </c>
      <c r="B1719" s="202">
        <v>15397.1</v>
      </c>
    </row>
    <row r="1720" spans="1:2" hidden="1" x14ac:dyDescent="0.25">
      <c r="A1720" s="203">
        <v>1717000</v>
      </c>
      <c r="B1720" s="202">
        <v>15403.55</v>
      </c>
    </row>
    <row r="1721" spans="1:2" hidden="1" x14ac:dyDescent="0.25">
      <c r="A1721" s="203">
        <v>1718000</v>
      </c>
      <c r="B1721" s="202">
        <v>15409.9</v>
      </c>
    </row>
    <row r="1722" spans="1:2" hidden="1" x14ac:dyDescent="0.25">
      <c r="A1722" s="203">
        <v>1719000</v>
      </c>
      <c r="B1722" s="202">
        <v>15416.25</v>
      </c>
    </row>
    <row r="1723" spans="1:2" hidden="1" x14ac:dyDescent="0.25">
      <c r="A1723" s="203">
        <v>1720000</v>
      </c>
      <c r="B1723" s="202">
        <v>15422.6</v>
      </c>
    </row>
    <row r="1724" spans="1:2" hidden="1" x14ac:dyDescent="0.25">
      <c r="A1724" s="203">
        <v>1721000</v>
      </c>
      <c r="B1724" s="202">
        <v>15428.95</v>
      </c>
    </row>
    <row r="1725" spans="1:2" hidden="1" x14ac:dyDescent="0.25">
      <c r="A1725" s="203">
        <v>1722000</v>
      </c>
      <c r="B1725" s="202">
        <v>15435.35</v>
      </c>
    </row>
    <row r="1726" spans="1:2" hidden="1" x14ac:dyDescent="0.25">
      <c r="A1726" s="203">
        <v>1723000</v>
      </c>
      <c r="B1726" s="202">
        <v>15441.65</v>
      </c>
    </row>
    <row r="1727" spans="1:2" hidden="1" x14ac:dyDescent="0.25">
      <c r="A1727" s="203">
        <v>1724000</v>
      </c>
      <c r="B1727" s="202">
        <v>15448.1</v>
      </c>
    </row>
    <row r="1728" spans="1:2" hidden="1" x14ac:dyDescent="0.25">
      <c r="A1728" s="203">
        <v>1725000</v>
      </c>
      <c r="B1728" s="202">
        <v>15454.45</v>
      </c>
    </row>
    <row r="1729" spans="1:2" hidden="1" x14ac:dyDescent="0.25">
      <c r="A1729" s="203">
        <v>1726000</v>
      </c>
      <c r="B1729" s="202">
        <v>15460.75</v>
      </c>
    </row>
    <row r="1730" spans="1:2" hidden="1" x14ac:dyDescent="0.25">
      <c r="A1730" s="203">
        <v>1727000</v>
      </c>
      <c r="B1730" s="202">
        <v>15467.15</v>
      </c>
    </row>
    <row r="1731" spans="1:2" hidden="1" x14ac:dyDescent="0.25">
      <c r="A1731" s="203">
        <v>1728000</v>
      </c>
      <c r="B1731" s="202">
        <v>15473.5</v>
      </c>
    </row>
    <row r="1732" spans="1:2" hidden="1" x14ac:dyDescent="0.25">
      <c r="A1732" s="203">
        <v>1729000</v>
      </c>
      <c r="B1732" s="202">
        <v>15479.9</v>
      </c>
    </row>
    <row r="1733" spans="1:2" hidden="1" x14ac:dyDescent="0.25">
      <c r="A1733" s="203">
        <v>1730000</v>
      </c>
      <c r="B1733" s="202">
        <v>15486.2</v>
      </c>
    </row>
    <row r="1734" spans="1:2" hidden="1" x14ac:dyDescent="0.25">
      <c r="A1734" s="203">
        <v>1731000</v>
      </c>
      <c r="B1734" s="202">
        <v>15492.6</v>
      </c>
    </row>
    <row r="1735" spans="1:2" hidden="1" x14ac:dyDescent="0.25">
      <c r="A1735" s="203">
        <v>1732000</v>
      </c>
      <c r="B1735" s="202">
        <v>15499</v>
      </c>
    </row>
    <row r="1736" spans="1:2" hidden="1" x14ac:dyDescent="0.25">
      <c r="A1736" s="203">
        <v>1733000</v>
      </c>
      <c r="B1736" s="202">
        <v>15505.3</v>
      </c>
    </row>
    <row r="1737" spans="1:2" hidden="1" x14ac:dyDescent="0.25">
      <c r="A1737" s="203">
        <v>1734000</v>
      </c>
      <c r="B1737" s="202">
        <v>15511.7</v>
      </c>
    </row>
    <row r="1738" spans="1:2" hidden="1" x14ac:dyDescent="0.25">
      <c r="A1738" s="203">
        <v>1735000</v>
      </c>
      <c r="B1738" s="202">
        <v>15518.05</v>
      </c>
    </row>
    <row r="1739" spans="1:2" hidden="1" x14ac:dyDescent="0.25">
      <c r="A1739" s="203">
        <v>1736000</v>
      </c>
      <c r="B1739" s="202">
        <v>15524.4</v>
      </c>
    </row>
    <row r="1740" spans="1:2" hidden="1" x14ac:dyDescent="0.25">
      <c r="A1740" s="203">
        <v>1737000</v>
      </c>
      <c r="B1740" s="202">
        <v>15530.8</v>
      </c>
    </row>
    <row r="1741" spans="1:2" hidden="1" x14ac:dyDescent="0.25">
      <c r="A1741" s="203">
        <v>1738000</v>
      </c>
      <c r="B1741" s="202">
        <v>15537.15</v>
      </c>
    </row>
    <row r="1742" spans="1:2" hidden="1" x14ac:dyDescent="0.25">
      <c r="A1742" s="203">
        <v>1739000</v>
      </c>
      <c r="B1742" s="202">
        <v>15543.6</v>
      </c>
    </row>
    <row r="1743" spans="1:2" hidden="1" x14ac:dyDescent="0.25">
      <c r="A1743" s="203">
        <v>1740000</v>
      </c>
      <c r="B1743" s="202">
        <v>15549.9</v>
      </c>
    </row>
    <row r="1744" spans="1:2" hidden="1" x14ac:dyDescent="0.25">
      <c r="A1744" s="203">
        <v>1741000</v>
      </c>
      <c r="B1744" s="202">
        <v>15556.2</v>
      </c>
    </row>
    <row r="1745" spans="1:2" hidden="1" x14ac:dyDescent="0.25">
      <c r="A1745" s="203">
        <v>1742000</v>
      </c>
      <c r="B1745" s="202">
        <v>15562.65</v>
      </c>
    </row>
    <row r="1746" spans="1:2" hidden="1" x14ac:dyDescent="0.25">
      <c r="A1746" s="203">
        <v>1743000</v>
      </c>
      <c r="B1746" s="202">
        <v>15568.95</v>
      </c>
    </row>
    <row r="1747" spans="1:2" hidden="1" x14ac:dyDescent="0.25">
      <c r="A1747" s="203">
        <v>1744000</v>
      </c>
      <c r="B1747" s="202">
        <v>15575.4</v>
      </c>
    </row>
    <row r="1748" spans="1:2" hidden="1" x14ac:dyDescent="0.25">
      <c r="A1748" s="203">
        <v>1745000</v>
      </c>
      <c r="B1748" s="202">
        <v>15581.75</v>
      </c>
    </row>
    <row r="1749" spans="1:2" hidden="1" x14ac:dyDescent="0.25">
      <c r="A1749" s="203">
        <v>1746000</v>
      </c>
      <c r="B1749" s="202">
        <v>15588.1</v>
      </c>
    </row>
    <row r="1750" spans="1:2" hidden="1" x14ac:dyDescent="0.25">
      <c r="A1750" s="203">
        <v>1747000</v>
      </c>
      <c r="B1750" s="202">
        <v>15594.5</v>
      </c>
    </row>
    <row r="1751" spans="1:2" hidden="1" x14ac:dyDescent="0.25">
      <c r="A1751" s="203">
        <v>1748000</v>
      </c>
      <c r="B1751" s="202">
        <v>15600.8</v>
      </c>
    </row>
    <row r="1752" spans="1:2" hidden="1" x14ac:dyDescent="0.25">
      <c r="A1752" s="203">
        <v>1749000</v>
      </c>
      <c r="B1752" s="202">
        <v>15607.2</v>
      </c>
    </row>
    <row r="1753" spans="1:2" hidden="1" x14ac:dyDescent="0.25">
      <c r="A1753" s="203">
        <v>1750000</v>
      </c>
      <c r="B1753" s="202">
        <v>15613.55</v>
      </c>
    </row>
    <row r="1754" spans="1:2" hidden="1" x14ac:dyDescent="0.25">
      <c r="A1754" s="203">
        <v>1751000</v>
      </c>
      <c r="B1754" s="202">
        <v>15619.9</v>
      </c>
    </row>
    <row r="1755" spans="1:2" hidden="1" x14ac:dyDescent="0.25">
      <c r="A1755" s="203">
        <v>1752000</v>
      </c>
      <c r="B1755" s="202">
        <v>15626.3</v>
      </c>
    </row>
    <row r="1756" spans="1:2" hidden="1" x14ac:dyDescent="0.25">
      <c r="A1756" s="203">
        <v>1753000</v>
      </c>
      <c r="B1756" s="202">
        <v>15632.65</v>
      </c>
    </row>
    <row r="1757" spans="1:2" hidden="1" x14ac:dyDescent="0.25">
      <c r="A1757" s="203">
        <v>1754000</v>
      </c>
      <c r="B1757" s="202">
        <v>15639.05</v>
      </c>
    </row>
    <row r="1758" spans="1:2" hidden="1" x14ac:dyDescent="0.25">
      <c r="A1758" s="203">
        <v>1755000</v>
      </c>
      <c r="B1758" s="202">
        <v>15645.35</v>
      </c>
    </row>
    <row r="1759" spans="1:2" hidden="1" x14ac:dyDescent="0.25">
      <c r="A1759" s="203">
        <v>1756000</v>
      </c>
      <c r="B1759" s="202">
        <v>15651.7</v>
      </c>
    </row>
    <row r="1760" spans="1:2" hidden="1" x14ac:dyDescent="0.25">
      <c r="A1760" s="203">
        <v>1757000</v>
      </c>
      <c r="B1760" s="202">
        <v>15658.1</v>
      </c>
    </row>
    <row r="1761" spans="1:2" hidden="1" x14ac:dyDescent="0.25">
      <c r="A1761" s="203">
        <v>1758000</v>
      </c>
      <c r="B1761" s="202">
        <v>15664.45</v>
      </c>
    </row>
    <row r="1762" spans="1:2" hidden="1" x14ac:dyDescent="0.25">
      <c r="A1762" s="203">
        <v>1759000</v>
      </c>
      <c r="B1762" s="202">
        <v>15670.85</v>
      </c>
    </row>
    <row r="1763" spans="1:2" hidden="1" x14ac:dyDescent="0.25">
      <c r="A1763" s="203">
        <v>1760000</v>
      </c>
      <c r="B1763" s="202">
        <v>15677.2</v>
      </c>
    </row>
    <row r="1764" spans="1:2" hidden="1" x14ac:dyDescent="0.25">
      <c r="A1764" s="203">
        <v>1761000</v>
      </c>
      <c r="B1764" s="202">
        <v>15683.55</v>
      </c>
    </row>
    <row r="1765" spans="1:2" hidden="1" x14ac:dyDescent="0.25">
      <c r="A1765" s="203">
        <v>1762000</v>
      </c>
      <c r="B1765" s="202">
        <v>15689.9</v>
      </c>
    </row>
    <row r="1766" spans="1:2" hidden="1" x14ac:dyDescent="0.25">
      <c r="A1766" s="203">
        <v>1763000</v>
      </c>
      <c r="B1766" s="202">
        <v>15696.25</v>
      </c>
    </row>
    <row r="1767" spans="1:2" hidden="1" x14ac:dyDescent="0.25">
      <c r="A1767" s="203">
        <v>1764000</v>
      </c>
      <c r="B1767" s="202">
        <v>15702.65</v>
      </c>
    </row>
    <row r="1768" spans="1:2" hidden="1" x14ac:dyDescent="0.25">
      <c r="A1768" s="203">
        <v>1765000</v>
      </c>
      <c r="B1768" s="202">
        <v>15709.05</v>
      </c>
    </row>
    <row r="1769" spans="1:2" hidden="1" x14ac:dyDescent="0.25">
      <c r="A1769" s="203">
        <v>1766000</v>
      </c>
      <c r="B1769" s="202">
        <v>15715.35</v>
      </c>
    </row>
    <row r="1770" spans="1:2" hidden="1" x14ac:dyDescent="0.25">
      <c r="A1770" s="203">
        <v>1767000</v>
      </c>
      <c r="B1770" s="202">
        <v>15721.75</v>
      </c>
    </row>
    <row r="1771" spans="1:2" hidden="1" x14ac:dyDescent="0.25">
      <c r="A1771" s="203">
        <v>1768000</v>
      </c>
      <c r="B1771" s="202">
        <v>15728.1</v>
      </c>
    </row>
    <row r="1772" spans="1:2" hidden="1" x14ac:dyDescent="0.25">
      <c r="A1772" s="203">
        <v>1769000</v>
      </c>
      <c r="B1772" s="202">
        <v>15734.45</v>
      </c>
    </row>
    <row r="1773" spans="1:2" hidden="1" x14ac:dyDescent="0.25">
      <c r="A1773" s="203">
        <v>1770000</v>
      </c>
      <c r="B1773" s="202">
        <v>15740.8</v>
      </c>
    </row>
    <row r="1774" spans="1:2" hidden="1" x14ac:dyDescent="0.25">
      <c r="A1774" s="203">
        <v>1771000</v>
      </c>
      <c r="B1774" s="202">
        <v>15747.15</v>
      </c>
    </row>
    <row r="1775" spans="1:2" hidden="1" x14ac:dyDescent="0.25">
      <c r="A1775" s="203">
        <v>1772000</v>
      </c>
      <c r="B1775" s="202">
        <v>15753.6</v>
      </c>
    </row>
    <row r="1776" spans="1:2" hidden="1" x14ac:dyDescent="0.25">
      <c r="A1776" s="203">
        <v>1773000</v>
      </c>
      <c r="B1776" s="202">
        <v>15759.9</v>
      </c>
    </row>
    <row r="1777" spans="1:2" hidden="1" x14ac:dyDescent="0.25">
      <c r="A1777" s="203">
        <v>1774000</v>
      </c>
      <c r="B1777" s="202">
        <v>15766.3</v>
      </c>
    </row>
    <row r="1778" spans="1:2" hidden="1" x14ac:dyDescent="0.25">
      <c r="A1778" s="203">
        <v>1775000</v>
      </c>
      <c r="B1778" s="202">
        <v>15772.65</v>
      </c>
    </row>
    <row r="1779" spans="1:2" hidden="1" x14ac:dyDescent="0.25">
      <c r="A1779" s="203">
        <v>1776000</v>
      </c>
      <c r="B1779" s="202">
        <v>15778.95</v>
      </c>
    </row>
    <row r="1780" spans="1:2" hidden="1" x14ac:dyDescent="0.25">
      <c r="A1780" s="203">
        <v>1777000</v>
      </c>
      <c r="B1780" s="202">
        <v>15785.35</v>
      </c>
    </row>
    <row r="1781" spans="1:2" hidden="1" x14ac:dyDescent="0.25">
      <c r="A1781" s="203">
        <v>1778000</v>
      </c>
      <c r="B1781" s="202">
        <v>15791.7</v>
      </c>
    </row>
    <row r="1782" spans="1:2" hidden="1" x14ac:dyDescent="0.25">
      <c r="A1782" s="203">
        <v>1779000</v>
      </c>
      <c r="B1782" s="202">
        <v>15798.15</v>
      </c>
    </row>
    <row r="1783" spans="1:2" hidden="1" x14ac:dyDescent="0.25">
      <c r="A1783" s="203">
        <v>1780000</v>
      </c>
      <c r="B1783" s="202">
        <v>15804.45</v>
      </c>
    </row>
    <row r="1784" spans="1:2" hidden="1" x14ac:dyDescent="0.25">
      <c r="A1784" s="203">
        <v>1781000</v>
      </c>
      <c r="B1784" s="202">
        <v>15810.8</v>
      </c>
    </row>
    <row r="1785" spans="1:2" hidden="1" x14ac:dyDescent="0.25">
      <c r="A1785" s="203">
        <v>1782000</v>
      </c>
      <c r="B1785" s="202">
        <v>15817.2</v>
      </c>
    </row>
    <row r="1786" spans="1:2" hidden="1" x14ac:dyDescent="0.25">
      <c r="A1786" s="203">
        <v>1783000</v>
      </c>
      <c r="B1786" s="202">
        <v>15823.5</v>
      </c>
    </row>
    <row r="1787" spans="1:2" hidden="1" x14ac:dyDescent="0.25">
      <c r="A1787" s="203">
        <v>1784000</v>
      </c>
      <c r="B1787" s="202">
        <v>15829.9</v>
      </c>
    </row>
    <row r="1788" spans="1:2" hidden="1" x14ac:dyDescent="0.25">
      <c r="A1788" s="203">
        <v>1785000</v>
      </c>
      <c r="B1788" s="202">
        <v>15836.25</v>
      </c>
    </row>
    <row r="1789" spans="1:2" hidden="1" x14ac:dyDescent="0.25">
      <c r="A1789" s="203">
        <v>1786000</v>
      </c>
      <c r="B1789" s="202">
        <v>15842.65</v>
      </c>
    </row>
    <row r="1790" spans="1:2" hidden="1" x14ac:dyDescent="0.25">
      <c r="A1790" s="203">
        <v>1787000</v>
      </c>
      <c r="B1790" s="202">
        <v>15849</v>
      </c>
    </row>
    <row r="1791" spans="1:2" hidden="1" x14ac:dyDescent="0.25">
      <c r="A1791" s="203">
        <v>1788000</v>
      </c>
      <c r="B1791" s="202">
        <v>15855.35</v>
      </c>
    </row>
    <row r="1792" spans="1:2" hidden="1" x14ac:dyDescent="0.25">
      <c r="A1792" s="203">
        <v>1789000</v>
      </c>
      <c r="B1792" s="202">
        <v>15861.75</v>
      </c>
    </row>
    <row r="1793" spans="1:2" hidden="1" x14ac:dyDescent="0.25">
      <c r="A1793" s="203">
        <v>1790000</v>
      </c>
      <c r="B1793" s="202">
        <v>15868.05</v>
      </c>
    </row>
    <row r="1794" spans="1:2" hidden="1" x14ac:dyDescent="0.25">
      <c r="A1794" s="203">
        <v>1791000</v>
      </c>
      <c r="B1794" s="202">
        <v>15874.4</v>
      </c>
    </row>
    <row r="1795" spans="1:2" hidden="1" x14ac:dyDescent="0.25">
      <c r="A1795" s="203">
        <v>1792000</v>
      </c>
      <c r="B1795" s="202">
        <v>15880.8</v>
      </c>
    </row>
    <row r="1796" spans="1:2" hidden="1" x14ac:dyDescent="0.25">
      <c r="A1796" s="203">
        <v>1793000</v>
      </c>
      <c r="B1796" s="202">
        <v>15887.2</v>
      </c>
    </row>
    <row r="1797" spans="1:2" hidden="1" x14ac:dyDescent="0.25">
      <c r="A1797" s="203">
        <v>1794000</v>
      </c>
      <c r="B1797" s="202">
        <v>15893.55</v>
      </c>
    </row>
    <row r="1798" spans="1:2" hidden="1" x14ac:dyDescent="0.25">
      <c r="A1798" s="203">
        <v>1795000</v>
      </c>
      <c r="B1798" s="202">
        <v>15899.9</v>
      </c>
    </row>
    <row r="1799" spans="1:2" hidden="1" x14ac:dyDescent="0.25">
      <c r="A1799" s="203">
        <v>1796000</v>
      </c>
      <c r="B1799" s="202">
        <v>15906.25</v>
      </c>
    </row>
    <row r="1800" spans="1:2" hidden="1" x14ac:dyDescent="0.25">
      <c r="A1800" s="203">
        <v>1797000</v>
      </c>
      <c r="B1800" s="202">
        <v>15912.6</v>
      </c>
    </row>
    <row r="1801" spans="1:2" hidden="1" x14ac:dyDescent="0.25">
      <c r="A1801" s="203">
        <v>1798000</v>
      </c>
      <c r="B1801" s="202">
        <v>15918.95</v>
      </c>
    </row>
    <row r="1802" spans="1:2" hidden="1" x14ac:dyDescent="0.25">
      <c r="A1802" s="203">
        <v>1799000</v>
      </c>
      <c r="B1802" s="202">
        <v>15925.35</v>
      </c>
    </row>
    <row r="1803" spans="1:2" hidden="1" x14ac:dyDescent="0.25">
      <c r="A1803" s="203">
        <v>1800000</v>
      </c>
      <c r="B1803" s="202">
        <v>15931.75</v>
      </c>
    </row>
    <row r="1804" spans="1:2" hidden="1" x14ac:dyDescent="0.25">
      <c r="A1804" s="203">
        <v>1801000</v>
      </c>
      <c r="B1804" s="202">
        <v>15938.05</v>
      </c>
    </row>
    <row r="1805" spans="1:2" hidden="1" x14ac:dyDescent="0.25">
      <c r="A1805" s="203">
        <v>1802000</v>
      </c>
      <c r="B1805" s="202">
        <v>15944.45</v>
      </c>
    </row>
    <row r="1806" spans="1:2" hidden="1" x14ac:dyDescent="0.25">
      <c r="A1806" s="203">
        <v>1803000</v>
      </c>
      <c r="B1806" s="202">
        <v>15950.8</v>
      </c>
    </row>
    <row r="1807" spans="1:2" hidden="1" x14ac:dyDescent="0.25">
      <c r="A1807" s="203">
        <v>1804000</v>
      </c>
      <c r="B1807" s="202">
        <v>15957.2</v>
      </c>
    </row>
    <row r="1808" spans="1:2" hidden="1" x14ac:dyDescent="0.25">
      <c r="A1808" s="203">
        <v>1805000</v>
      </c>
      <c r="B1808" s="202">
        <v>15963.5</v>
      </c>
    </row>
    <row r="1809" spans="1:2" hidden="1" x14ac:dyDescent="0.25">
      <c r="A1809" s="203">
        <v>1806000</v>
      </c>
      <c r="B1809" s="202">
        <v>15969.85</v>
      </c>
    </row>
    <row r="1810" spans="1:2" hidden="1" x14ac:dyDescent="0.25">
      <c r="A1810" s="203">
        <v>1807000</v>
      </c>
      <c r="B1810" s="202">
        <v>15976.3</v>
      </c>
    </row>
    <row r="1811" spans="1:2" hidden="1" x14ac:dyDescent="0.25">
      <c r="A1811" s="203">
        <v>1808000</v>
      </c>
      <c r="B1811" s="202">
        <v>15982.6</v>
      </c>
    </row>
    <row r="1812" spans="1:2" hidden="1" x14ac:dyDescent="0.25">
      <c r="A1812" s="203">
        <v>1809000</v>
      </c>
      <c r="B1812" s="202">
        <v>15989</v>
      </c>
    </row>
    <row r="1813" spans="1:2" hidden="1" x14ac:dyDescent="0.25">
      <c r="A1813" s="203">
        <v>1810000</v>
      </c>
      <c r="B1813" s="202">
        <v>15995.35</v>
      </c>
    </row>
    <row r="1814" spans="1:2" hidden="1" x14ac:dyDescent="0.25">
      <c r="A1814" s="203">
        <v>1811000</v>
      </c>
      <c r="B1814" s="202">
        <v>16001.7</v>
      </c>
    </row>
    <row r="1815" spans="1:2" hidden="1" x14ac:dyDescent="0.25">
      <c r="A1815" s="203">
        <v>1812000</v>
      </c>
      <c r="B1815" s="202">
        <v>16008.05</v>
      </c>
    </row>
    <row r="1816" spans="1:2" hidden="1" x14ac:dyDescent="0.25">
      <c r="A1816" s="203">
        <v>1813000</v>
      </c>
      <c r="B1816" s="202">
        <v>16014.4</v>
      </c>
    </row>
    <row r="1817" spans="1:2" hidden="1" x14ac:dyDescent="0.25">
      <c r="A1817" s="203">
        <v>1814000</v>
      </c>
      <c r="B1817" s="202">
        <v>16020.85</v>
      </c>
    </row>
    <row r="1818" spans="1:2" hidden="1" x14ac:dyDescent="0.25">
      <c r="A1818" s="203">
        <v>1815000</v>
      </c>
      <c r="B1818" s="202">
        <v>16027.15</v>
      </c>
    </row>
    <row r="1819" spans="1:2" hidden="1" x14ac:dyDescent="0.25">
      <c r="A1819" s="203">
        <v>1816000</v>
      </c>
      <c r="B1819" s="202">
        <v>16033.5</v>
      </c>
    </row>
    <row r="1820" spans="1:2" hidden="1" x14ac:dyDescent="0.25">
      <c r="A1820" s="203">
        <v>1817000</v>
      </c>
      <c r="B1820" s="202">
        <v>16039.9</v>
      </c>
    </row>
    <row r="1821" spans="1:2" hidden="1" x14ac:dyDescent="0.25">
      <c r="A1821" s="203">
        <v>1818000</v>
      </c>
      <c r="B1821" s="202">
        <v>16046.25</v>
      </c>
    </row>
    <row r="1822" spans="1:2" hidden="1" x14ac:dyDescent="0.25">
      <c r="A1822" s="203">
        <v>1819000</v>
      </c>
      <c r="B1822" s="202">
        <v>16052.6</v>
      </c>
    </row>
    <row r="1823" spans="1:2" hidden="1" x14ac:dyDescent="0.25">
      <c r="A1823" s="203">
        <v>1820000</v>
      </c>
      <c r="B1823" s="202">
        <v>16058.95</v>
      </c>
    </row>
    <row r="1824" spans="1:2" hidden="1" x14ac:dyDescent="0.25">
      <c r="A1824" s="203">
        <v>1821000</v>
      </c>
      <c r="B1824" s="202">
        <v>16065.35</v>
      </c>
    </row>
    <row r="1825" spans="1:2" hidden="1" x14ac:dyDescent="0.25">
      <c r="A1825" s="203">
        <v>1822000</v>
      </c>
      <c r="B1825" s="202">
        <v>16071.7</v>
      </c>
    </row>
    <row r="1826" spans="1:2" hidden="1" x14ac:dyDescent="0.25">
      <c r="A1826" s="203">
        <v>1823000</v>
      </c>
      <c r="B1826" s="202">
        <v>16078.05</v>
      </c>
    </row>
    <row r="1827" spans="1:2" hidden="1" x14ac:dyDescent="0.25">
      <c r="A1827" s="203">
        <v>1824000</v>
      </c>
      <c r="B1827" s="202">
        <v>16084.45</v>
      </c>
    </row>
    <row r="1828" spans="1:2" hidden="1" x14ac:dyDescent="0.25">
      <c r="A1828" s="203">
        <v>1825000</v>
      </c>
      <c r="B1828" s="202">
        <v>16090.8</v>
      </c>
    </row>
    <row r="1829" spans="1:2" hidden="1" x14ac:dyDescent="0.25">
      <c r="A1829" s="203">
        <v>1826000</v>
      </c>
      <c r="B1829" s="202">
        <v>16097.1</v>
      </c>
    </row>
    <row r="1830" spans="1:2" hidden="1" x14ac:dyDescent="0.25">
      <c r="A1830" s="203">
        <v>1827000</v>
      </c>
      <c r="B1830" s="202">
        <v>16103.55</v>
      </c>
    </row>
    <row r="1831" spans="1:2" hidden="1" x14ac:dyDescent="0.25">
      <c r="A1831" s="203">
        <v>1828000</v>
      </c>
      <c r="B1831" s="202">
        <v>16109.9</v>
      </c>
    </row>
    <row r="1832" spans="1:2" hidden="1" x14ac:dyDescent="0.25">
      <c r="A1832" s="203">
        <v>1829000</v>
      </c>
      <c r="B1832" s="202">
        <v>16116.25</v>
      </c>
    </row>
    <row r="1833" spans="1:2" hidden="1" x14ac:dyDescent="0.25">
      <c r="A1833" s="203">
        <v>1830000</v>
      </c>
      <c r="B1833" s="202">
        <v>16122.6</v>
      </c>
    </row>
    <row r="1834" spans="1:2" hidden="1" x14ac:dyDescent="0.25">
      <c r="A1834" s="203">
        <v>1831000</v>
      </c>
      <c r="B1834" s="202">
        <v>16128.95</v>
      </c>
    </row>
    <row r="1835" spans="1:2" hidden="1" x14ac:dyDescent="0.25">
      <c r="A1835" s="203">
        <v>1832000</v>
      </c>
      <c r="B1835" s="202">
        <v>16135.35</v>
      </c>
    </row>
    <row r="1836" spans="1:2" hidden="1" x14ac:dyDescent="0.25">
      <c r="A1836" s="203">
        <v>1833000</v>
      </c>
      <c r="B1836" s="202">
        <v>16141.65</v>
      </c>
    </row>
    <row r="1837" spans="1:2" hidden="1" x14ac:dyDescent="0.25">
      <c r="A1837" s="203">
        <v>1834000</v>
      </c>
      <c r="B1837" s="202">
        <v>16148.1</v>
      </c>
    </row>
    <row r="1838" spans="1:2" hidden="1" x14ac:dyDescent="0.25">
      <c r="A1838" s="203">
        <v>1835000</v>
      </c>
      <c r="B1838" s="202">
        <v>16154.45</v>
      </c>
    </row>
    <row r="1839" spans="1:2" hidden="1" x14ac:dyDescent="0.25">
      <c r="A1839" s="203">
        <v>1836000</v>
      </c>
      <c r="B1839" s="202">
        <v>16160.75</v>
      </c>
    </row>
    <row r="1840" spans="1:2" hidden="1" x14ac:dyDescent="0.25">
      <c r="A1840" s="203">
        <v>1837000</v>
      </c>
      <c r="B1840" s="202">
        <v>16167.15</v>
      </c>
    </row>
    <row r="1841" spans="1:2" hidden="1" x14ac:dyDescent="0.25">
      <c r="A1841" s="203">
        <v>1838000</v>
      </c>
      <c r="B1841" s="202">
        <v>16173.5</v>
      </c>
    </row>
    <row r="1842" spans="1:2" hidden="1" x14ac:dyDescent="0.25">
      <c r="A1842" s="203">
        <v>1839000</v>
      </c>
      <c r="B1842" s="202">
        <v>16179.9</v>
      </c>
    </row>
    <row r="1843" spans="1:2" hidden="1" x14ac:dyDescent="0.25">
      <c r="A1843" s="203">
        <v>1840000</v>
      </c>
      <c r="B1843" s="202">
        <v>16186.2</v>
      </c>
    </row>
    <row r="1844" spans="1:2" hidden="1" x14ac:dyDescent="0.25">
      <c r="A1844" s="203">
        <v>1841000</v>
      </c>
      <c r="B1844" s="202">
        <v>16192.6</v>
      </c>
    </row>
    <row r="1845" spans="1:2" hidden="1" x14ac:dyDescent="0.25">
      <c r="A1845" s="203">
        <v>1842000</v>
      </c>
      <c r="B1845" s="202">
        <v>16199</v>
      </c>
    </row>
    <row r="1846" spans="1:2" hidden="1" x14ac:dyDescent="0.25">
      <c r="A1846" s="203">
        <v>1843000</v>
      </c>
      <c r="B1846" s="202">
        <v>16205.35</v>
      </c>
    </row>
    <row r="1847" spans="1:2" hidden="1" x14ac:dyDescent="0.25">
      <c r="A1847" s="203">
        <v>1844000</v>
      </c>
      <c r="B1847" s="202">
        <v>16211.7</v>
      </c>
    </row>
    <row r="1848" spans="1:2" hidden="1" x14ac:dyDescent="0.25">
      <c r="A1848" s="203">
        <v>1845000</v>
      </c>
      <c r="B1848" s="202">
        <v>16218.05</v>
      </c>
    </row>
    <row r="1849" spans="1:2" hidden="1" x14ac:dyDescent="0.25">
      <c r="A1849" s="203">
        <v>1846000</v>
      </c>
      <c r="B1849" s="202">
        <v>16224.4</v>
      </c>
    </row>
    <row r="1850" spans="1:2" hidden="1" x14ac:dyDescent="0.25">
      <c r="A1850" s="203">
        <v>1847000</v>
      </c>
      <c r="B1850" s="202">
        <v>16230.75</v>
      </c>
    </row>
    <row r="1851" spans="1:2" hidden="1" x14ac:dyDescent="0.25">
      <c r="A1851" s="203">
        <v>1848000</v>
      </c>
      <c r="B1851" s="202">
        <v>16237.15</v>
      </c>
    </row>
    <row r="1852" spans="1:2" hidden="1" x14ac:dyDescent="0.25">
      <c r="A1852" s="203">
        <v>1849000</v>
      </c>
      <c r="B1852" s="202">
        <v>16243.55</v>
      </c>
    </row>
    <row r="1853" spans="1:2" hidden="1" x14ac:dyDescent="0.25">
      <c r="A1853" s="203">
        <v>1850000</v>
      </c>
      <c r="B1853" s="202">
        <v>16249.9</v>
      </c>
    </row>
    <row r="1854" spans="1:2" hidden="1" x14ac:dyDescent="0.25">
      <c r="A1854" s="203">
        <v>1851000</v>
      </c>
      <c r="B1854" s="202">
        <v>16256.2</v>
      </c>
    </row>
    <row r="1855" spans="1:2" hidden="1" x14ac:dyDescent="0.25">
      <c r="A1855" s="203">
        <v>1852000</v>
      </c>
      <c r="B1855" s="202">
        <v>16262.6</v>
      </c>
    </row>
    <row r="1856" spans="1:2" hidden="1" x14ac:dyDescent="0.25">
      <c r="A1856" s="203">
        <v>1853000</v>
      </c>
      <c r="B1856" s="202">
        <v>16268.95</v>
      </c>
    </row>
    <row r="1857" spans="1:2" hidden="1" x14ac:dyDescent="0.25">
      <c r="A1857" s="203">
        <v>1854000</v>
      </c>
      <c r="B1857" s="202">
        <v>16275.3</v>
      </c>
    </row>
    <row r="1858" spans="1:2" hidden="1" x14ac:dyDescent="0.25">
      <c r="A1858" s="203">
        <v>1855000</v>
      </c>
      <c r="B1858" s="202">
        <v>16281.7</v>
      </c>
    </row>
    <row r="1859" spans="1:2" hidden="1" x14ac:dyDescent="0.25">
      <c r="A1859" s="203">
        <v>1856000</v>
      </c>
      <c r="B1859" s="202">
        <v>16288.05</v>
      </c>
    </row>
    <row r="1860" spans="1:2" hidden="1" x14ac:dyDescent="0.25">
      <c r="A1860" s="203">
        <v>1857000</v>
      </c>
      <c r="B1860" s="202">
        <v>16294.45</v>
      </c>
    </row>
    <row r="1861" spans="1:2" hidden="1" x14ac:dyDescent="0.25">
      <c r="A1861" s="203">
        <v>1858000</v>
      </c>
      <c r="B1861" s="202">
        <v>16300.75</v>
      </c>
    </row>
    <row r="1862" spans="1:2" hidden="1" x14ac:dyDescent="0.25">
      <c r="A1862" s="203">
        <v>1859000</v>
      </c>
      <c r="B1862" s="202">
        <v>16307.15</v>
      </c>
    </row>
    <row r="1863" spans="1:2" hidden="1" x14ac:dyDescent="0.25">
      <c r="A1863" s="203">
        <v>1860000</v>
      </c>
      <c r="B1863" s="202">
        <v>16313.5</v>
      </c>
    </row>
    <row r="1864" spans="1:2" hidden="1" x14ac:dyDescent="0.25">
      <c r="A1864" s="203">
        <v>1861000</v>
      </c>
      <c r="B1864" s="202">
        <v>16319.8</v>
      </c>
    </row>
    <row r="1865" spans="1:2" hidden="1" x14ac:dyDescent="0.25">
      <c r="A1865" s="203">
        <v>1862000</v>
      </c>
      <c r="B1865" s="202">
        <v>16326.25</v>
      </c>
    </row>
    <row r="1866" spans="1:2" hidden="1" x14ac:dyDescent="0.25">
      <c r="A1866" s="203">
        <v>1863000</v>
      </c>
      <c r="B1866" s="202">
        <v>16332.6</v>
      </c>
    </row>
    <row r="1867" spans="1:2" hidden="1" x14ac:dyDescent="0.25">
      <c r="A1867" s="203">
        <v>1864000</v>
      </c>
      <c r="B1867" s="202">
        <v>16339</v>
      </c>
    </row>
    <row r="1868" spans="1:2" hidden="1" x14ac:dyDescent="0.25">
      <c r="A1868" s="203">
        <v>1865000</v>
      </c>
      <c r="B1868" s="202">
        <v>16345.3</v>
      </c>
    </row>
    <row r="1869" spans="1:2" hidden="1" x14ac:dyDescent="0.25">
      <c r="A1869" s="203">
        <v>1866000</v>
      </c>
      <c r="B1869" s="202">
        <v>16351.65</v>
      </c>
    </row>
    <row r="1870" spans="1:2" hidden="1" x14ac:dyDescent="0.25">
      <c r="A1870" s="203">
        <v>1867000</v>
      </c>
      <c r="B1870" s="202">
        <v>16358.05</v>
      </c>
    </row>
    <row r="1871" spans="1:2" hidden="1" x14ac:dyDescent="0.25">
      <c r="A1871" s="203">
        <v>1868000</v>
      </c>
      <c r="B1871" s="202">
        <v>16364.35</v>
      </c>
    </row>
    <row r="1872" spans="1:2" hidden="1" x14ac:dyDescent="0.25">
      <c r="A1872" s="203">
        <v>1869000</v>
      </c>
      <c r="B1872" s="202">
        <v>16370.8</v>
      </c>
    </row>
    <row r="1873" spans="1:2" hidden="1" x14ac:dyDescent="0.25">
      <c r="A1873" s="203">
        <v>1870000</v>
      </c>
      <c r="B1873" s="202">
        <v>16377.15</v>
      </c>
    </row>
    <row r="1874" spans="1:2" hidden="1" x14ac:dyDescent="0.25">
      <c r="A1874" s="203">
        <v>1871000</v>
      </c>
      <c r="B1874" s="202">
        <v>16383.5</v>
      </c>
    </row>
    <row r="1875" spans="1:2" hidden="1" x14ac:dyDescent="0.25">
      <c r="A1875" s="203">
        <v>1872000</v>
      </c>
      <c r="B1875" s="202">
        <v>16389.849999999999</v>
      </c>
    </row>
    <row r="1876" spans="1:2" hidden="1" x14ac:dyDescent="0.25">
      <c r="A1876" s="203">
        <v>1873000</v>
      </c>
      <c r="B1876" s="202">
        <v>16396.2</v>
      </c>
    </row>
    <row r="1877" spans="1:2" hidden="1" x14ac:dyDescent="0.25">
      <c r="A1877" s="203">
        <v>1874000</v>
      </c>
      <c r="B1877" s="202">
        <v>16402.599999999999</v>
      </c>
    </row>
    <row r="1878" spans="1:2" hidden="1" x14ac:dyDescent="0.25">
      <c r="A1878" s="203">
        <v>1875000</v>
      </c>
      <c r="B1878" s="202">
        <v>16408.900000000001</v>
      </c>
    </row>
    <row r="1879" spans="1:2" hidden="1" x14ac:dyDescent="0.25">
      <c r="A1879" s="203">
        <v>1876000</v>
      </c>
      <c r="B1879" s="202">
        <v>16415.3</v>
      </c>
    </row>
    <row r="1880" spans="1:2" hidden="1" x14ac:dyDescent="0.25">
      <c r="A1880" s="203">
        <v>1877000</v>
      </c>
      <c r="B1880" s="202">
        <v>16421.7</v>
      </c>
    </row>
    <row r="1881" spans="1:2" hidden="1" x14ac:dyDescent="0.25">
      <c r="A1881" s="203">
        <v>1878000</v>
      </c>
      <c r="B1881" s="202">
        <v>16428.05</v>
      </c>
    </row>
    <row r="1882" spans="1:2" hidden="1" x14ac:dyDescent="0.25">
      <c r="A1882" s="203">
        <v>1879000</v>
      </c>
      <c r="B1882" s="202">
        <v>16434.400000000001</v>
      </c>
    </row>
    <row r="1883" spans="1:2" hidden="1" x14ac:dyDescent="0.25">
      <c r="A1883" s="203">
        <v>1880000</v>
      </c>
      <c r="B1883" s="202">
        <v>16440.75</v>
      </c>
    </row>
    <row r="1884" spans="1:2" hidden="1" x14ac:dyDescent="0.25">
      <c r="A1884" s="203">
        <v>1881000</v>
      </c>
      <c r="B1884" s="202">
        <v>16447.099999999999</v>
      </c>
    </row>
    <row r="1885" spans="1:2" hidden="1" x14ac:dyDescent="0.25">
      <c r="A1885" s="203">
        <v>1882000</v>
      </c>
      <c r="B1885" s="202">
        <v>16453.45</v>
      </c>
    </row>
    <row r="1886" spans="1:2" hidden="1" x14ac:dyDescent="0.25">
      <c r="A1886" s="203">
        <v>1883000</v>
      </c>
      <c r="B1886" s="202">
        <v>16459.849999999999</v>
      </c>
    </row>
    <row r="1887" spans="1:2" hidden="1" x14ac:dyDescent="0.25">
      <c r="A1887" s="203">
        <v>1884000</v>
      </c>
      <c r="B1887" s="202">
        <v>16466.25</v>
      </c>
    </row>
    <row r="1888" spans="1:2" hidden="1" x14ac:dyDescent="0.25">
      <c r="A1888" s="203">
        <v>1885000</v>
      </c>
      <c r="B1888" s="202">
        <v>16472.599999999999</v>
      </c>
    </row>
    <row r="1889" spans="1:2" hidden="1" x14ac:dyDescent="0.25">
      <c r="A1889" s="203">
        <v>1886000</v>
      </c>
      <c r="B1889" s="202">
        <v>16478.900000000001</v>
      </c>
    </row>
    <row r="1890" spans="1:2" hidden="1" x14ac:dyDescent="0.25">
      <c r="A1890" s="203">
        <v>1887000</v>
      </c>
      <c r="B1890" s="202">
        <v>16485.3</v>
      </c>
    </row>
    <row r="1891" spans="1:2" hidden="1" x14ac:dyDescent="0.25">
      <c r="A1891" s="203">
        <v>1888000</v>
      </c>
      <c r="B1891" s="202">
        <v>16491.650000000001</v>
      </c>
    </row>
    <row r="1892" spans="1:2" hidden="1" x14ac:dyDescent="0.25">
      <c r="A1892" s="203">
        <v>1889000</v>
      </c>
      <c r="B1892" s="202">
        <v>16498.05</v>
      </c>
    </row>
    <row r="1893" spans="1:2" hidden="1" x14ac:dyDescent="0.25">
      <c r="A1893" s="203">
        <v>1890000</v>
      </c>
      <c r="B1893" s="202">
        <v>16504.400000000001</v>
      </c>
    </row>
    <row r="1894" spans="1:2" hidden="1" x14ac:dyDescent="0.25">
      <c r="A1894" s="203">
        <v>1891000</v>
      </c>
      <c r="B1894" s="202">
        <v>16510.75</v>
      </c>
    </row>
    <row r="1895" spans="1:2" hidden="1" x14ac:dyDescent="0.25">
      <c r="A1895" s="203">
        <v>1892000</v>
      </c>
      <c r="B1895" s="202">
        <v>16517.150000000001</v>
      </c>
    </row>
    <row r="1896" spans="1:2" hidden="1" x14ac:dyDescent="0.25">
      <c r="A1896" s="203">
        <v>1893000</v>
      </c>
      <c r="B1896" s="202">
        <v>16523.45</v>
      </c>
    </row>
    <row r="1897" spans="1:2" hidden="1" x14ac:dyDescent="0.25">
      <c r="A1897" s="203">
        <v>1894000</v>
      </c>
      <c r="B1897" s="202">
        <v>16529.849999999999</v>
      </c>
    </row>
    <row r="1898" spans="1:2" hidden="1" x14ac:dyDescent="0.25">
      <c r="A1898" s="203">
        <v>1895000</v>
      </c>
      <c r="B1898" s="202">
        <v>16536.2</v>
      </c>
    </row>
    <row r="1899" spans="1:2" hidden="1" x14ac:dyDescent="0.25">
      <c r="A1899" s="203">
        <v>1896000</v>
      </c>
      <c r="B1899" s="202">
        <v>16542.55</v>
      </c>
    </row>
    <row r="1900" spans="1:2" hidden="1" x14ac:dyDescent="0.25">
      <c r="A1900" s="203">
        <v>1897000</v>
      </c>
      <c r="B1900" s="202">
        <v>16548.95</v>
      </c>
    </row>
    <row r="1901" spans="1:2" hidden="1" x14ac:dyDescent="0.25">
      <c r="A1901" s="203">
        <v>1898000</v>
      </c>
      <c r="B1901" s="202">
        <v>16555.3</v>
      </c>
    </row>
    <row r="1902" spans="1:2" hidden="1" x14ac:dyDescent="0.25">
      <c r="A1902" s="203">
        <v>1899000</v>
      </c>
      <c r="B1902" s="202">
        <v>16561.7</v>
      </c>
    </row>
    <row r="1903" spans="1:2" hidden="1" x14ac:dyDescent="0.25">
      <c r="A1903" s="203">
        <v>1900000</v>
      </c>
      <c r="B1903" s="202">
        <v>16568</v>
      </c>
    </row>
    <row r="1904" spans="1:2" hidden="1" x14ac:dyDescent="0.25">
      <c r="A1904" s="203">
        <v>1901000</v>
      </c>
      <c r="B1904" s="202">
        <v>16574.349999999999</v>
      </c>
    </row>
    <row r="1905" spans="1:2" hidden="1" x14ac:dyDescent="0.25">
      <c r="A1905" s="203">
        <v>1902000</v>
      </c>
      <c r="B1905" s="202">
        <v>16580.75</v>
      </c>
    </row>
    <row r="1906" spans="1:2" hidden="1" x14ac:dyDescent="0.25">
      <c r="A1906" s="203">
        <v>1903000</v>
      </c>
      <c r="B1906" s="202">
        <v>16587.099999999999</v>
      </c>
    </row>
    <row r="1907" spans="1:2" hidden="1" x14ac:dyDescent="0.25">
      <c r="A1907" s="203">
        <v>1904000</v>
      </c>
      <c r="B1907" s="202">
        <v>16593.5</v>
      </c>
    </row>
    <row r="1908" spans="1:2" hidden="1" x14ac:dyDescent="0.25">
      <c r="A1908" s="203">
        <v>1905000</v>
      </c>
      <c r="B1908" s="202">
        <v>16599.849999999999</v>
      </c>
    </row>
    <row r="1909" spans="1:2" hidden="1" x14ac:dyDescent="0.25">
      <c r="A1909" s="203">
        <v>1906000</v>
      </c>
      <c r="B1909" s="202">
        <v>16606.2</v>
      </c>
    </row>
    <row r="1910" spans="1:2" hidden="1" x14ac:dyDescent="0.25">
      <c r="A1910" s="203">
        <v>1907000</v>
      </c>
      <c r="B1910" s="202">
        <v>16612.55</v>
      </c>
    </row>
    <row r="1911" spans="1:2" hidden="1" x14ac:dyDescent="0.25">
      <c r="A1911" s="203">
        <v>1908000</v>
      </c>
      <c r="B1911" s="202">
        <v>16618.900000000001</v>
      </c>
    </row>
    <row r="1912" spans="1:2" hidden="1" x14ac:dyDescent="0.25">
      <c r="A1912" s="203">
        <v>1909000</v>
      </c>
      <c r="B1912" s="202">
        <v>16625.3</v>
      </c>
    </row>
    <row r="1913" spans="1:2" hidden="1" x14ac:dyDescent="0.25">
      <c r="A1913" s="203">
        <v>1910000</v>
      </c>
      <c r="B1913" s="202">
        <v>16631.650000000001</v>
      </c>
    </row>
    <row r="1914" spans="1:2" hidden="1" x14ac:dyDescent="0.25">
      <c r="A1914" s="203">
        <v>1911000</v>
      </c>
      <c r="B1914" s="202">
        <v>16638</v>
      </c>
    </row>
    <row r="1915" spans="1:2" hidden="1" x14ac:dyDescent="0.25">
      <c r="A1915" s="203">
        <v>1912000</v>
      </c>
      <c r="B1915" s="202">
        <v>16644.400000000001</v>
      </c>
    </row>
    <row r="1916" spans="1:2" hidden="1" x14ac:dyDescent="0.25">
      <c r="A1916" s="203">
        <v>1913000</v>
      </c>
      <c r="B1916" s="202">
        <v>16650.75</v>
      </c>
    </row>
    <row r="1917" spans="1:2" hidden="1" x14ac:dyDescent="0.25">
      <c r="A1917" s="203">
        <v>1914000</v>
      </c>
      <c r="B1917" s="202">
        <v>16657.099999999999</v>
      </c>
    </row>
    <row r="1918" spans="1:2" hidden="1" x14ac:dyDescent="0.25">
      <c r="A1918" s="203">
        <v>1915000</v>
      </c>
      <c r="B1918" s="202">
        <v>16663.45</v>
      </c>
    </row>
    <row r="1919" spans="1:2" hidden="1" x14ac:dyDescent="0.25">
      <c r="A1919" s="203">
        <v>1916000</v>
      </c>
      <c r="B1919" s="202">
        <v>16669.8</v>
      </c>
    </row>
    <row r="1920" spans="1:2" hidden="1" x14ac:dyDescent="0.25">
      <c r="A1920" s="203">
        <v>1917000</v>
      </c>
      <c r="B1920" s="202">
        <v>16676.2</v>
      </c>
    </row>
    <row r="1921" spans="1:2" hidden="1" x14ac:dyDescent="0.25">
      <c r="A1921" s="203">
        <v>1918000</v>
      </c>
      <c r="B1921" s="202">
        <v>16682.55</v>
      </c>
    </row>
    <row r="1922" spans="1:2" hidden="1" x14ac:dyDescent="0.25">
      <c r="A1922" s="203">
        <v>1919000</v>
      </c>
      <c r="B1922" s="202">
        <v>16688.95</v>
      </c>
    </row>
    <row r="1923" spans="1:2" hidden="1" x14ac:dyDescent="0.25">
      <c r="A1923" s="203">
        <v>1920000</v>
      </c>
      <c r="B1923" s="202">
        <v>16695.3</v>
      </c>
    </row>
    <row r="1924" spans="1:2" hidden="1" x14ac:dyDescent="0.25">
      <c r="A1924" s="203">
        <v>1921000</v>
      </c>
      <c r="B1924" s="202">
        <v>16701.599999999999</v>
      </c>
    </row>
    <row r="1925" spans="1:2" hidden="1" x14ac:dyDescent="0.25">
      <c r="A1925" s="203">
        <v>1922000</v>
      </c>
      <c r="B1925" s="202">
        <v>16708</v>
      </c>
    </row>
    <row r="1926" spans="1:2" hidden="1" x14ac:dyDescent="0.25">
      <c r="A1926" s="203">
        <v>1923000</v>
      </c>
      <c r="B1926" s="202">
        <v>16714.349999999999</v>
      </c>
    </row>
    <row r="1927" spans="1:2" hidden="1" x14ac:dyDescent="0.25">
      <c r="A1927" s="203">
        <v>1924000</v>
      </c>
      <c r="B1927" s="202">
        <v>16720.75</v>
      </c>
    </row>
    <row r="1928" spans="1:2" hidden="1" x14ac:dyDescent="0.25">
      <c r="A1928" s="203">
        <v>1925000</v>
      </c>
      <c r="B1928" s="202">
        <v>16727.099999999999</v>
      </c>
    </row>
    <row r="1929" spans="1:2" hidden="1" x14ac:dyDescent="0.25">
      <c r="A1929" s="203">
        <v>1926000</v>
      </c>
      <c r="B1929" s="202">
        <v>16733.45</v>
      </c>
    </row>
    <row r="1930" spans="1:2" hidden="1" x14ac:dyDescent="0.25">
      <c r="A1930" s="203">
        <v>1927000</v>
      </c>
      <c r="B1930" s="202">
        <v>16739.849999999999</v>
      </c>
    </row>
    <row r="1931" spans="1:2" hidden="1" x14ac:dyDescent="0.25">
      <c r="A1931" s="203">
        <v>1928000</v>
      </c>
      <c r="B1931" s="202">
        <v>16746.2</v>
      </c>
    </row>
    <row r="1932" spans="1:2" hidden="1" x14ac:dyDescent="0.25">
      <c r="A1932" s="203">
        <v>1929000</v>
      </c>
      <c r="B1932" s="202">
        <v>16752.55</v>
      </c>
    </row>
    <row r="1933" spans="1:2" hidden="1" x14ac:dyDescent="0.25">
      <c r="A1933" s="203">
        <v>1930000</v>
      </c>
      <c r="B1933" s="202">
        <v>16758.900000000001</v>
      </c>
    </row>
    <row r="1934" spans="1:2" hidden="1" x14ac:dyDescent="0.25">
      <c r="A1934" s="203">
        <v>1931000</v>
      </c>
      <c r="B1934" s="202">
        <v>16765.25</v>
      </c>
    </row>
    <row r="1935" spans="1:2" hidden="1" x14ac:dyDescent="0.25">
      <c r="A1935" s="203">
        <v>1932000</v>
      </c>
      <c r="B1935" s="202">
        <v>16771.650000000001</v>
      </c>
    </row>
    <row r="1936" spans="1:2" hidden="1" x14ac:dyDescent="0.25">
      <c r="A1936" s="203">
        <v>1933000</v>
      </c>
      <c r="B1936" s="202">
        <v>16778</v>
      </c>
    </row>
    <row r="1937" spans="1:2" hidden="1" x14ac:dyDescent="0.25">
      <c r="A1937" s="203">
        <v>1934000</v>
      </c>
      <c r="B1937" s="202">
        <v>16784.400000000001</v>
      </c>
    </row>
    <row r="1938" spans="1:2" hidden="1" x14ac:dyDescent="0.25">
      <c r="A1938" s="203">
        <v>1935000</v>
      </c>
      <c r="B1938" s="202">
        <v>16790.75</v>
      </c>
    </row>
    <row r="1939" spans="1:2" hidden="1" x14ac:dyDescent="0.25">
      <c r="A1939" s="203">
        <v>1936000</v>
      </c>
      <c r="B1939" s="202">
        <v>16797.05</v>
      </c>
    </row>
    <row r="1940" spans="1:2" hidden="1" x14ac:dyDescent="0.25">
      <c r="A1940" s="203">
        <v>1937000</v>
      </c>
      <c r="B1940" s="202">
        <v>16803.45</v>
      </c>
    </row>
    <row r="1941" spans="1:2" hidden="1" x14ac:dyDescent="0.25">
      <c r="A1941" s="203">
        <v>1938000</v>
      </c>
      <c r="B1941" s="202">
        <v>16809.8</v>
      </c>
    </row>
    <row r="1942" spans="1:2" hidden="1" x14ac:dyDescent="0.25">
      <c r="A1942" s="203">
        <v>1939000</v>
      </c>
      <c r="B1942" s="202">
        <v>16816.2</v>
      </c>
    </row>
    <row r="1943" spans="1:2" hidden="1" x14ac:dyDescent="0.25">
      <c r="A1943" s="203">
        <v>1940000</v>
      </c>
      <c r="B1943" s="202">
        <v>16822.55</v>
      </c>
    </row>
    <row r="1944" spans="1:2" hidden="1" x14ac:dyDescent="0.25">
      <c r="A1944" s="203">
        <v>1941000</v>
      </c>
      <c r="B1944" s="202">
        <v>16828.900000000001</v>
      </c>
    </row>
    <row r="1945" spans="1:2" hidden="1" x14ac:dyDescent="0.25">
      <c r="A1945" s="203">
        <v>1942000</v>
      </c>
      <c r="B1945" s="202">
        <v>16835.3</v>
      </c>
    </row>
    <row r="1946" spans="1:2" hidden="1" x14ac:dyDescent="0.25">
      <c r="A1946" s="203">
        <v>1943000</v>
      </c>
      <c r="B1946" s="202">
        <v>16841.599999999999</v>
      </c>
    </row>
    <row r="1947" spans="1:2" hidden="1" x14ac:dyDescent="0.25">
      <c r="A1947" s="203">
        <v>1944000</v>
      </c>
      <c r="B1947" s="202">
        <v>16848</v>
      </c>
    </row>
    <row r="1948" spans="1:2" hidden="1" x14ac:dyDescent="0.25">
      <c r="A1948" s="203">
        <v>1945000</v>
      </c>
      <c r="B1948" s="202">
        <v>16854.349999999999</v>
      </c>
    </row>
    <row r="1949" spans="1:2" hidden="1" x14ac:dyDescent="0.25">
      <c r="A1949" s="203">
        <v>1946000</v>
      </c>
      <c r="B1949" s="202">
        <v>16860.7</v>
      </c>
    </row>
    <row r="1950" spans="1:2" hidden="1" x14ac:dyDescent="0.25">
      <c r="A1950" s="203">
        <v>1947000</v>
      </c>
      <c r="B1950" s="202">
        <v>16867.099999999999</v>
      </c>
    </row>
    <row r="1951" spans="1:2" hidden="1" x14ac:dyDescent="0.25">
      <c r="A1951" s="203">
        <v>1948000</v>
      </c>
      <c r="B1951" s="202">
        <v>16873.45</v>
      </c>
    </row>
    <row r="1952" spans="1:2" hidden="1" x14ac:dyDescent="0.25">
      <c r="A1952" s="203">
        <v>1949000</v>
      </c>
      <c r="B1952" s="202">
        <v>16879.849999999999</v>
      </c>
    </row>
    <row r="1953" spans="1:2" hidden="1" x14ac:dyDescent="0.25">
      <c r="A1953" s="203">
        <v>1950000</v>
      </c>
      <c r="B1953" s="202">
        <v>16886.150000000001</v>
      </c>
    </row>
    <row r="1954" spans="1:2" hidden="1" x14ac:dyDescent="0.25">
      <c r="A1954" s="203">
        <v>1951000</v>
      </c>
      <c r="B1954" s="202">
        <v>16892.5</v>
      </c>
    </row>
    <row r="1955" spans="1:2" hidden="1" x14ac:dyDescent="0.25">
      <c r="A1955" s="203">
        <v>1952000</v>
      </c>
      <c r="B1955" s="202">
        <v>16898.95</v>
      </c>
    </row>
    <row r="1956" spans="1:2" hidden="1" x14ac:dyDescent="0.25">
      <c r="A1956" s="203">
        <v>1953000</v>
      </c>
      <c r="B1956" s="202">
        <v>16905.25</v>
      </c>
    </row>
    <row r="1957" spans="1:2" hidden="1" x14ac:dyDescent="0.25">
      <c r="A1957" s="203">
        <v>1954000</v>
      </c>
      <c r="B1957" s="202">
        <v>16911.650000000001</v>
      </c>
    </row>
    <row r="1958" spans="1:2" hidden="1" x14ac:dyDescent="0.25">
      <c r="A1958" s="203">
        <v>1955000</v>
      </c>
      <c r="B1958" s="202">
        <v>16918</v>
      </c>
    </row>
    <row r="1959" spans="1:2" hidden="1" x14ac:dyDescent="0.25">
      <c r="A1959" s="203">
        <v>1956000</v>
      </c>
      <c r="B1959" s="202">
        <v>16924.349999999999</v>
      </c>
    </row>
    <row r="1960" spans="1:2" hidden="1" x14ac:dyDescent="0.25">
      <c r="A1960" s="203">
        <v>1957000</v>
      </c>
      <c r="B1960" s="202">
        <v>16930.7</v>
      </c>
    </row>
    <row r="1961" spans="1:2" hidden="1" x14ac:dyDescent="0.25">
      <c r="A1961" s="203">
        <v>1958000</v>
      </c>
      <c r="B1961" s="202">
        <v>16937.05</v>
      </c>
    </row>
    <row r="1962" spans="1:2" hidden="1" x14ac:dyDescent="0.25">
      <c r="A1962" s="203">
        <v>1959000</v>
      </c>
      <c r="B1962" s="202">
        <v>16943.5</v>
      </c>
    </row>
    <row r="1963" spans="1:2" hidden="1" x14ac:dyDescent="0.25">
      <c r="A1963" s="203">
        <v>1960000</v>
      </c>
      <c r="B1963" s="202">
        <v>16949.849999999999</v>
      </c>
    </row>
    <row r="1964" spans="1:2" hidden="1" x14ac:dyDescent="0.25">
      <c r="A1964" s="203">
        <v>1961000</v>
      </c>
      <c r="B1964" s="202">
        <v>16956.150000000001</v>
      </c>
    </row>
    <row r="1965" spans="1:2" hidden="1" x14ac:dyDescent="0.25">
      <c r="A1965" s="203">
        <v>1962000</v>
      </c>
      <c r="B1965" s="202">
        <v>16962.55</v>
      </c>
    </row>
    <row r="1966" spans="1:2" hidden="1" x14ac:dyDescent="0.25">
      <c r="A1966" s="203">
        <v>1963000</v>
      </c>
      <c r="B1966" s="202">
        <v>16968.900000000001</v>
      </c>
    </row>
    <row r="1967" spans="1:2" hidden="1" x14ac:dyDescent="0.25">
      <c r="A1967" s="203">
        <v>1964000</v>
      </c>
      <c r="B1967" s="202">
        <v>16975.25</v>
      </c>
    </row>
    <row r="1968" spans="1:2" hidden="1" x14ac:dyDescent="0.25">
      <c r="A1968" s="203">
        <v>1965000</v>
      </c>
      <c r="B1968" s="202">
        <v>16981.599999999999</v>
      </c>
    </row>
    <row r="1969" spans="1:2" hidden="1" x14ac:dyDescent="0.25">
      <c r="A1969" s="203">
        <v>1966000</v>
      </c>
      <c r="B1969" s="202">
        <v>16987.95</v>
      </c>
    </row>
    <row r="1970" spans="1:2" hidden="1" x14ac:dyDescent="0.25">
      <c r="A1970" s="203">
        <v>1967000</v>
      </c>
      <c r="B1970" s="202">
        <v>16994.400000000001</v>
      </c>
    </row>
    <row r="1971" spans="1:2" hidden="1" x14ac:dyDescent="0.25">
      <c r="A1971" s="203">
        <v>1968000</v>
      </c>
      <c r="B1971" s="202">
        <v>17000.7</v>
      </c>
    </row>
    <row r="1972" spans="1:2" hidden="1" x14ac:dyDescent="0.25">
      <c r="A1972" s="203">
        <v>1969000</v>
      </c>
      <c r="B1972" s="202">
        <v>17007.099999999999</v>
      </c>
    </row>
    <row r="1973" spans="1:2" hidden="1" x14ac:dyDescent="0.25">
      <c r="A1973" s="203">
        <v>1970000</v>
      </c>
      <c r="B1973" s="202">
        <v>17013.45</v>
      </c>
    </row>
    <row r="1974" spans="1:2" hidden="1" x14ac:dyDescent="0.25">
      <c r="A1974" s="203">
        <v>1971000</v>
      </c>
      <c r="B1974" s="202">
        <v>17019.75</v>
      </c>
    </row>
    <row r="1975" spans="1:2" hidden="1" x14ac:dyDescent="0.25">
      <c r="A1975" s="203">
        <v>1972000</v>
      </c>
      <c r="B1975" s="202">
        <v>17026.150000000001</v>
      </c>
    </row>
    <row r="1976" spans="1:2" hidden="1" x14ac:dyDescent="0.25">
      <c r="A1976" s="203">
        <v>1973000</v>
      </c>
      <c r="B1976" s="202">
        <v>17032.55</v>
      </c>
    </row>
    <row r="1977" spans="1:2" hidden="1" x14ac:dyDescent="0.25">
      <c r="A1977" s="203">
        <v>1974000</v>
      </c>
      <c r="B1977" s="202">
        <v>17038.95</v>
      </c>
    </row>
    <row r="1978" spans="1:2" hidden="1" x14ac:dyDescent="0.25">
      <c r="A1978" s="203">
        <v>1975000</v>
      </c>
      <c r="B1978" s="202">
        <v>17045.25</v>
      </c>
    </row>
    <row r="1979" spans="1:2" hidden="1" x14ac:dyDescent="0.25">
      <c r="A1979" s="203">
        <v>1976000</v>
      </c>
      <c r="B1979" s="202">
        <v>17051.599999999999</v>
      </c>
    </row>
    <row r="1980" spans="1:2" hidden="1" x14ac:dyDescent="0.25">
      <c r="A1980" s="203">
        <v>1977000</v>
      </c>
      <c r="B1980" s="202">
        <v>17058</v>
      </c>
    </row>
    <row r="1981" spans="1:2" hidden="1" x14ac:dyDescent="0.25">
      <c r="A1981" s="203">
        <v>1978000</v>
      </c>
      <c r="B1981" s="202">
        <v>17064.3</v>
      </c>
    </row>
    <row r="1982" spans="1:2" hidden="1" x14ac:dyDescent="0.25">
      <c r="A1982" s="203">
        <v>1979000</v>
      </c>
      <c r="B1982" s="202">
        <v>17070.7</v>
      </c>
    </row>
    <row r="1983" spans="1:2" hidden="1" x14ac:dyDescent="0.25">
      <c r="A1983" s="203">
        <v>1980000</v>
      </c>
      <c r="B1983" s="202">
        <v>17077.099999999999</v>
      </c>
    </row>
    <row r="1984" spans="1:2" hidden="1" x14ac:dyDescent="0.25">
      <c r="A1984" s="203">
        <v>1981000</v>
      </c>
      <c r="B1984" s="202">
        <v>17083.45</v>
      </c>
    </row>
    <row r="1985" spans="1:2" hidden="1" x14ac:dyDescent="0.25">
      <c r="A1985" s="203">
        <v>1982000</v>
      </c>
      <c r="B1985" s="202">
        <v>17089.8</v>
      </c>
    </row>
    <row r="1986" spans="1:2" hidden="1" x14ac:dyDescent="0.25">
      <c r="A1986" s="203">
        <v>1983000</v>
      </c>
      <c r="B1986" s="202">
        <v>17096.150000000001</v>
      </c>
    </row>
    <row r="1987" spans="1:2" hidden="1" x14ac:dyDescent="0.25">
      <c r="A1987" s="203">
        <v>1984000</v>
      </c>
      <c r="B1987" s="202">
        <v>17102.55</v>
      </c>
    </row>
    <row r="1988" spans="1:2" hidden="1" x14ac:dyDescent="0.25">
      <c r="A1988" s="203">
        <v>1985000</v>
      </c>
      <c r="B1988" s="202">
        <v>17108.849999999999</v>
      </c>
    </row>
    <row r="1989" spans="1:2" hidden="1" x14ac:dyDescent="0.25">
      <c r="A1989" s="203">
        <v>1986000</v>
      </c>
      <c r="B1989" s="202">
        <v>17115.2</v>
      </c>
    </row>
    <row r="1990" spans="1:2" hidden="1" x14ac:dyDescent="0.25">
      <c r="A1990" s="203">
        <v>1987000</v>
      </c>
      <c r="B1990" s="202">
        <v>17121.650000000001</v>
      </c>
    </row>
    <row r="1991" spans="1:2" hidden="1" x14ac:dyDescent="0.25">
      <c r="A1991" s="203">
        <v>1988000</v>
      </c>
      <c r="B1991" s="202">
        <v>17128</v>
      </c>
    </row>
    <row r="1992" spans="1:2" hidden="1" x14ac:dyDescent="0.25">
      <c r="A1992" s="203">
        <v>1989000</v>
      </c>
      <c r="B1992" s="202">
        <v>17134.400000000001</v>
      </c>
    </row>
    <row r="1993" spans="1:2" hidden="1" x14ac:dyDescent="0.25">
      <c r="A1993" s="203">
        <v>1990000</v>
      </c>
      <c r="B1993" s="202">
        <v>17140.7</v>
      </c>
    </row>
    <row r="1994" spans="1:2" hidden="1" x14ac:dyDescent="0.25">
      <c r="A1994" s="203">
        <v>1991000</v>
      </c>
      <c r="B1994" s="202">
        <v>17147.05</v>
      </c>
    </row>
    <row r="1995" spans="1:2" hidden="1" x14ac:dyDescent="0.25">
      <c r="A1995" s="203">
        <v>1992000</v>
      </c>
      <c r="B1995" s="202">
        <v>17153.5</v>
      </c>
    </row>
    <row r="1996" spans="1:2" hidden="1" x14ac:dyDescent="0.25">
      <c r="A1996" s="203">
        <v>1993000</v>
      </c>
      <c r="B1996" s="202">
        <v>17159.75</v>
      </c>
    </row>
    <row r="1997" spans="1:2" hidden="1" x14ac:dyDescent="0.25">
      <c r="A1997" s="203">
        <v>1994000</v>
      </c>
      <c r="B1997" s="202">
        <v>17166.25</v>
      </c>
    </row>
    <row r="1998" spans="1:2" hidden="1" x14ac:dyDescent="0.25">
      <c r="A1998" s="203">
        <v>1995000</v>
      </c>
      <c r="B1998" s="202">
        <v>17172.599999999999</v>
      </c>
    </row>
    <row r="1999" spans="1:2" hidden="1" x14ac:dyDescent="0.25">
      <c r="A1999" s="203">
        <v>1996000</v>
      </c>
      <c r="B1999" s="202">
        <v>17178.900000000001</v>
      </c>
    </row>
    <row r="2000" spans="1:2" hidden="1" x14ac:dyDescent="0.25">
      <c r="A2000" s="203">
        <v>1997000</v>
      </c>
      <c r="B2000" s="202">
        <v>17185.3</v>
      </c>
    </row>
    <row r="2001" spans="1:2" hidden="1" x14ac:dyDescent="0.25">
      <c r="A2001" s="203">
        <v>1998000</v>
      </c>
      <c r="B2001" s="202">
        <v>17191.650000000001</v>
      </c>
    </row>
    <row r="2002" spans="1:2" hidden="1" x14ac:dyDescent="0.25">
      <c r="A2002" s="203">
        <v>1999000</v>
      </c>
      <c r="B2002" s="202">
        <v>17198.05</v>
      </c>
    </row>
    <row r="2003" spans="1:2" hidden="1" x14ac:dyDescent="0.25">
      <c r="A2003" s="203">
        <v>2000000</v>
      </c>
      <c r="B2003" s="202">
        <v>17204.349999999999</v>
      </c>
    </row>
    <row r="2004" spans="1:2" hidden="1" x14ac:dyDescent="0.25">
      <c r="A2004" s="203">
        <v>2001000</v>
      </c>
      <c r="B2004" s="202">
        <v>17207.599999999999</v>
      </c>
    </row>
    <row r="2005" spans="1:2" hidden="1" x14ac:dyDescent="0.25">
      <c r="A2005" s="203">
        <v>2002000</v>
      </c>
      <c r="B2005" s="202">
        <v>17210.75</v>
      </c>
    </row>
    <row r="2006" spans="1:2" hidden="1" x14ac:dyDescent="0.25">
      <c r="A2006" s="203">
        <v>2003000</v>
      </c>
      <c r="B2006" s="202">
        <v>17213.95</v>
      </c>
    </row>
    <row r="2007" spans="1:2" hidden="1" x14ac:dyDescent="0.25">
      <c r="A2007" s="203">
        <v>2004000</v>
      </c>
      <c r="B2007" s="202">
        <v>17217.150000000001</v>
      </c>
    </row>
    <row r="2008" spans="1:2" hidden="1" x14ac:dyDescent="0.25">
      <c r="A2008" s="203">
        <v>2005000</v>
      </c>
      <c r="B2008" s="202">
        <v>17220.3</v>
      </c>
    </row>
    <row r="2009" spans="1:2" hidden="1" x14ac:dyDescent="0.25">
      <c r="A2009" s="203">
        <v>2006000</v>
      </c>
      <c r="B2009" s="202">
        <v>17223.45</v>
      </c>
    </row>
    <row r="2010" spans="1:2" hidden="1" x14ac:dyDescent="0.25">
      <c r="A2010" s="203">
        <v>2007000</v>
      </c>
      <c r="B2010" s="202">
        <v>17226.650000000001</v>
      </c>
    </row>
    <row r="2011" spans="1:2" hidden="1" x14ac:dyDescent="0.25">
      <c r="A2011" s="203">
        <v>2008000</v>
      </c>
      <c r="B2011" s="202">
        <v>17229.849999999999</v>
      </c>
    </row>
    <row r="2012" spans="1:2" hidden="1" x14ac:dyDescent="0.25">
      <c r="A2012" s="203">
        <v>2009000</v>
      </c>
      <c r="B2012" s="202">
        <v>17233</v>
      </c>
    </row>
    <row r="2013" spans="1:2" hidden="1" x14ac:dyDescent="0.25">
      <c r="A2013" s="203">
        <v>2010000</v>
      </c>
      <c r="B2013" s="202">
        <v>17236.2</v>
      </c>
    </row>
    <row r="2014" spans="1:2" hidden="1" x14ac:dyDescent="0.25">
      <c r="A2014" s="203">
        <v>2011000</v>
      </c>
      <c r="B2014" s="202">
        <v>17239.349999999999</v>
      </c>
    </row>
    <row r="2015" spans="1:2" hidden="1" x14ac:dyDescent="0.25">
      <c r="A2015" s="203">
        <v>2012000</v>
      </c>
      <c r="B2015" s="202">
        <v>17242.55</v>
      </c>
    </row>
    <row r="2016" spans="1:2" hidden="1" x14ac:dyDescent="0.25">
      <c r="A2016" s="203">
        <v>2013000</v>
      </c>
      <c r="B2016" s="202">
        <v>17245.75</v>
      </c>
    </row>
    <row r="2017" spans="1:2" hidden="1" x14ac:dyDescent="0.25">
      <c r="A2017" s="203">
        <v>2014000</v>
      </c>
      <c r="B2017" s="202">
        <v>17248.900000000001</v>
      </c>
    </row>
    <row r="2018" spans="1:2" hidden="1" x14ac:dyDescent="0.25">
      <c r="A2018" s="203">
        <v>2015000</v>
      </c>
      <c r="B2018" s="202">
        <v>17252.150000000001</v>
      </c>
    </row>
    <row r="2019" spans="1:2" hidden="1" x14ac:dyDescent="0.25">
      <c r="A2019" s="203">
        <v>2016000</v>
      </c>
      <c r="B2019" s="202">
        <v>17255.3</v>
      </c>
    </row>
    <row r="2020" spans="1:2" hidden="1" x14ac:dyDescent="0.25">
      <c r="A2020" s="203">
        <v>2017000</v>
      </c>
      <c r="B2020" s="202">
        <v>17258.45</v>
      </c>
    </row>
    <row r="2021" spans="1:2" hidden="1" x14ac:dyDescent="0.25">
      <c r="A2021" s="203">
        <v>2018000</v>
      </c>
      <c r="B2021" s="202">
        <v>17261.7</v>
      </c>
    </row>
    <row r="2022" spans="1:2" hidden="1" x14ac:dyDescent="0.25">
      <c r="A2022" s="203">
        <v>2019000</v>
      </c>
      <c r="B2022" s="202">
        <v>17264.849999999999</v>
      </c>
    </row>
    <row r="2023" spans="1:2" hidden="1" x14ac:dyDescent="0.25">
      <c r="A2023" s="203">
        <v>2020000</v>
      </c>
      <c r="B2023" s="202">
        <v>17268</v>
      </c>
    </row>
    <row r="2024" spans="1:2" hidden="1" x14ac:dyDescent="0.25">
      <c r="A2024" s="203">
        <v>2021000</v>
      </c>
      <c r="B2024" s="202">
        <v>17271.2</v>
      </c>
    </row>
    <row r="2025" spans="1:2" hidden="1" x14ac:dyDescent="0.25">
      <c r="A2025" s="203">
        <v>2022000</v>
      </c>
      <c r="B2025" s="202">
        <v>17274.349999999999</v>
      </c>
    </row>
    <row r="2026" spans="1:2" hidden="1" x14ac:dyDescent="0.25">
      <c r="A2026" s="203">
        <v>2023000</v>
      </c>
      <c r="B2026" s="202">
        <v>17277.599999999999</v>
      </c>
    </row>
    <row r="2027" spans="1:2" hidden="1" x14ac:dyDescent="0.25">
      <c r="A2027" s="203">
        <v>2024000</v>
      </c>
      <c r="B2027" s="202">
        <v>17280.75</v>
      </c>
    </row>
    <row r="2028" spans="1:2" hidden="1" x14ac:dyDescent="0.25">
      <c r="A2028" s="203">
        <v>2025000</v>
      </c>
      <c r="B2028" s="202">
        <v>17283.900000000001</v>
      </c>
    </row>
    <row r="2029" spans="1:2" hidden="1" x14ac:dyDescent="0.25">
      <c r="A2029" s="203">
        <v>2026000</v>
      </c>
      <c r="B2029" s="202">
        <v>17287.099999999999</v>
      </c>
    </row>
    <row r="2030" spans="1:2" hidden="1" x14ac:dyDescent="0.25">
      <c r="A2030" s="203">
        <v>2027000</v>
      </c>
      <c r="B2030" s="202">
        <v>17290.25</v>
      </c>
    </row>
    <row r="2031" spans="1:2" hidden="1" x14ac:dyDescent="0.25">
      <c r="A2031" s="203">
        <v>2028000</v>
      </c>
      <c r="B2031" s="202">
        <v>17293.45</v>
      </c>
    </row>
    <row r="2032" spans="1:2" hidden="1" x14ac:dyDescent="0.25">
      <c r="A2032" s="203">
        <v>2029000</v>
      </c>
      <c r="B2032" s="202">
        <v>17296.7</v>
      </c>
    </row>
    <row r="2033" spans="1:2" hidden="1" x14ac:dyDescent="0.25">
      <c r="A2033" s="203">
        <v>2030000</v>
      </c>
      <c r="B2033" s="202">
        <v>17299.849999999999</v>
      </c>
    </row>
    <row r="2034" spans="1:2" hidden="1" x14ac:dyDescent="0.25">
      <c r="A2034" s="203">
        <v>2031000</v>
      </c>
      <c r="B2034" s="202">
        <v>17303</v>
      </c>
    </row>
    <row r="2035" spans="1:2" hidden="1" x14ac:dyDescent="0.25">
      <c r="A2035" s="203">
        <v>2032000</v>
      </c>
      <c r="B2035" s="202">
        <v>17306.2</v>
      </c>
    </row>
    <row r="2036" spans="1:2" hidden="1" x14ac:dyDescent="0.25">
      <c r="A2036" s="203">
        <v>2033000</v>
      </c>
      <c r="B2036" s="202">
        <v>17309.400000000001</v>
      </c>
    </row>
    <row r="2037" spans="1:2" hidden="1" x14ac:dyDescent="0.25">
      <c r="A2037" s="203">
        <v>2034000</v>
      </c>
      <c r="B2037" s="202">
        <v>17312.55</v>
      </c>
    </row>
    <row r="2038" spans="1:2" hidden="1" x14ac:dyDescent="0.25">
      <c r="A2038" s="203">
        <v>2035000</v>
      </c>
      <c r="B2038" s="202">
        <v>17315.75</v>
      </c>
    </row>
    <row r="2039" spans="1:2" hidden="1" x14ac:dyDescent="0.25">
      <c r="A2039" s="203">
        <v>2036000</v>
      </c>
      <c r="B2039" s="202">
        <v>17318.900000000001</v>
      </c>
    </row>
    <row r="2040" spans="1:2" hidden="1" x14ac:dyDescent="0.25">
      <c r="A2040" s="203">
        <v>2037000</v>
      </c>
      <c r="B2040" s="202">
        <v>17322.099999999999</v>
      </c>
    </row>
    <row r="2041" spans="1:2" hidden="1" x14ac:dyDescent="0.25">
      <c r="A2041" s="203">
        <v>2038000</v>
      </c>
      <c r="B2041" s="202">
        <v>17325.3</v>
      </c>
    </row>
    <row r="2042" spans="1:2" hidden="1" x14ac:dyDescent="0.25">
      <c r="A2042" s="203">
        <v>2039000</v>
      </c>
      <c r="B2042" s="202">
        <v>17328.45</v>
      </c>
    </row>
    <row r="2043" spans="1:2" hidden="1" x14ac:dyDescent="0.25">
      <c r="A2043" s="203">
        <v>2040000</v>
      </c>
      <c r="B2043" s="202">
        <v>17331.650000000001</v>
      </c>
    </row>
    <row r="2044" spans="1:2" hidden="1" x14ac:dyDescent="0.25">
      <c r="A2044" s="203">
        <v>2041000</v>
      </c>
      <c r="B2044" s="202">
        <v>17334.8</v>
      </c>
    </row>
    <row r="2045" spans="1:2" hidden="1" x14ac:dyDescent="0.25">
      <c r="A2045" s="203">
        <v>2042000</v>
      </c>
      <c r="B2045" s="202">
        <v>17337.95</v>
      </c>
    </row>
    <row r="2046" spans="1:2" hidden="1" x14ac:dyDescent="0.25">
      <c r="A2046" s="203">
        <v>2043000</v>
      </c>
      <c r="B2046" s="202">
        <v>17341.25</v>
      </c>
    </row>
    <row r="2047" spans="1:2" hidden="1" x14ac:dyDescent="0.25">
      <c r="A2047" s="203">
        <v>2044000</v>
      </c>
      <c r="B2047" s="202">
        <v>17344.400000000001</v>
      </c>
    </row>
    <row r="2048" spans="1:2" hidden="1" x14ac:dyDescent="0.25">
      <c r="A2048" s="203">
        <v>2045000</v>
      </c>
      <c r="B2048" s="202">
        <v>17347.55</v>
      </c>
    </row>
    <row r="2049" spans="1:2" hidden="1" x14ac:dyDescent="0.25">
      <c r="A2049" s="203">
        <v>2046000</v>
      </c>
      <c r="B2049" s="202">
        <v>17350.75</v>
      </c>
    </row>
    <row r="2050" spans="1:2" hidden="1" x14ac:dyDescent="0.25">
      <c r="A2050" s="203">
        <v>2047000</v>
      </c>
      <c r="B2050" s="202">
        <v>17353.900000000001</v>
      </c>
    </row>
    <row r="2051" spans="1:2" hidden="1" x14ac:dyDescent="0.25">
      <c r="A2051" s="203">
        <v>2048000</v>
      </c>
      <c r="B2051" s="202">
        <v>17357.150000000001</v>
      </c>
    </row>
    <row r="2052" spans="1:2" hidden="1" x14ac:dyDescent="0.25">
      <c r="A2052" s="203">
        <v>2049000</v>
      </c>
      <c r="B2052" s="202">
        <v>17360.3</v>
      </c>
    </row>
    <row r="2053" spans="1:2" hidden="1" x14ac:dyDescent="0.25">
      <c r="A2053" s="203">
        <v>2050000</v>
      </c>
      <c r="B2053" s="202">
        <v>17363.45</v>
      </c>
    </row>
    <row r="2054" spans="1:2" hidden="1" x14ac:dyDescent="0.25">
      <c r="A2054" s="203">
        <v>2051000</v>
      </c>
      <c r="B2054" s="202">
        <v>17366.650000000001</v>
      </c>
    </row>
    <row r="2055" spans="1:2" hidden="1" x14ac:dyDescent="0.25">
      <c r="A2055" s="203">
        <v>2052000</v>
      </c>
      <c r="B2055" s="202">
        <v>17369.8</v>
      </c>
    </row>
    <row r="2056" spans="1:2" hidden="1" x14ac:dyDescent="0.25">
      <c r="A2056" s="203">
        <v>2053000</v>
      </c>
      <c r="B2056" s="202">
        <v>17373</v>
      </c>
    </row>
    <row r="2057" spans="1:2" hidden="1" x14ac:dyDescent="0.25">
      <c r="A2057" s="203">
        <v>2054000</v>
      </c>
      <c r="B2057" s="202">
        <v>17376.2</v>
      </c>
    </row>
    <row r="2058" spans="1:2" hidden="1" x14ac:dyDescent="0.25">
      <c r="A2058" s="203">
        <v>2055000</v>
      </c>
      <c r="B2058" s="202">
        <v>17379.349999999999</v>
      </c>
    </row>
    <row r="2059" spans="1:2" hidden="1" x14ac:dyDescent="0.25">
      <c r="A2059" s="203">
        <v>2056000</v>
      </c>
      <c r="B2059" s="202">
        <v>17382.5</v>
      </c>
    </row>
    <row r="2060" spans="1:2" hidden="1" x14ac:dyDescent="0.25">
      <c r="A2060" s="203">
        <v>2057000</v>
      </c>
      <c r="B2060" s="202">
        <v>17385.75</v>
      </c>
    </row>
    <row r="2061" spans="1:2" hidden="1" x14ac:dyDescent="0.25">
      <c r="A2061" s="203">
        <v>2058000</v>
      </c>
      <c r="B2061" s="202">
        <v>17388.95</v>
      </c>
    </row>
    <row r="2062" spans="1:2" hidden="1" x14ac:dyDescent="0.25">
      <c r="A2062" s="203">
        <v>2059000</v>
      </c>
      <c r="B2062" s="202">
        <v>17392.099999999999</v>
      </c>
    </row>
    <row r="2063" spans="1:2" hidden="1" x14ac:dyDescent="0.25">
      <c r="A2063" s="203">
        <v>2060000</v>
      </c>
      <c r="B2063" s="202">
        <v>17395.3</v>
      </c>
    </row>
    <row r="2064" spans="1:2" hidden="1" x14ac:dyDescent="0.25">
      <c r="A2064" s="203">
        <v>2061000</v>
      </c>
      <c r="B2064" s="202">
        <v>17398.45</v>
      </c>
    </row>
    <row r="2065" spans="1:2" hidden="1" x14ac:dyDescent="0.25">
      <c r="A2065" s="203">
        <v>2062000</v>
      </c>
      <c r="B2065" s="202">
        <v>17401.650000000001</v>
      </c>
    </row>
    <row r="2066" spans="1:2" hidden="1" x14ac:dyDescent="0.25">
      <c r="A2066" s="203">
        <v>2063000</v>
      </c>
      <c r="B2066" s="202">
        <v>17404.849999999999</v>
      </c>
    </row>
    <row r="2067" spans="1:2" hidden="1" x14ac:dyDescent="0.25">
      <c r="A2067" s="203">
        <v>2064000</v>
      </c>
      <c r="B2067" s="202">
        <v>17408</v>
      </c>
    </row>
    <row r="2068" spans="1:2" hidden="1" x14ac:dyDescent="0.25">
      <c r="A2068" s="203">
        <v>2065000</v>
      </c>
      <c r="B2068" s="202">
        <v>17411.2</v>
      </c>
    </row>
    <row r="2069" spans="1:2" hidden="1" x14ac:dyDescent="0.25">
      <c r="A2069" s="203">
        <v>2066000</v>
      </c>
      <c r="B2069" s="202">
        <v>17414.349999999999</v>
      </c>
    </row>
    <row r="2070" spans="1:2" hidden="1" x14ac:dyDescent="0.25">
      <c r="A2070" s="203">
        <v>2067000</v>
      </c>
      <c r="B2070" s="202">
        <v>17417.5</v>
      </c>
    </row>
    <row r="2071" spans="1:2" hidden="1" x14ac:dyDescent="0.25">
      <c r="A2071" s="203">
        <v>2068000</v>
      </c>
      <c r="B2071" s="202">
        <v>17420.75</v>
      </c>
    </row>
    <row r="2072" spans="1:2" hidden="1" x14ac:dyDescent="0.25">
      <c r="A2072" s="203">
        <v>2069000</v>
      </c>
      <c r="B2072" s="202">
        <v>17423.900000000001</v>
      </c>
    </row>
    <row r="2073" spans="1:2" hidden="1" x14ac:dyDescent="0.25">
      <c r="A2073" s="203">
        <v>2070000</v>
      </c>
      <c r="B2073" s="202">
        <v>17427.05</v>
      </c>
    </row>
    <row r="2074" spans="1:2" hidden="1" x14ac:dyDescent="0.25">
      <c r="A2074" s="203">
        <v>2071000</v>
      </c>
      <c r="B2074" s="202">
        <v>17430.3</v>
      </c>
    </row>
    <row r="2075" spans="1:2" hidden="1" x14ac:dyDescent="0.25">
      <c r="A2075" s="203">
        <v>2072000</v>
      </c>
      <c r="B2075" s="202">
        <v>17433.45</v>
      </c>
    </row>
    <row r="2076" spans="1:2" hidden="1" x14ac:dyDescent="0.25">
      <c r="A2076" s="203">
        <v>2073000</v>
      </c>
      <c r="B2076" s="202">
        <v>17436.650000000001</v>
      </c>
    </row>
    <row r="2077" spans="1:2" hidden="1" x14ac:dyDescent="0.25">
      <c r="A2077" s="203">
        <v>2074000</v>
      </c>
      <c r="B2077" s="202">
        <v>17439.849999999999</v>
      </c>
    </row>
    <row r="2078" spans="1:2" hidden="1" x14ac:dyDescent="0.25">
      <c r="A2078" s="203">
        <v>2075000</v>
      </c>
      <c r="B2078" s="202">
        <v>17443</v>
      </c>
    </row>
    <row r="2079" spans="1:2" hidden="1" x14ac:dyDescent="0.25">
      <c r="A2079" s="203">
        <v>2076000</v>
      </c>
      <c r="B2079" s="202">
        <v>17446.2</v>
      </c>
    </row>
    <row r="2080" spans="1:2" hidden="1" x14ac:dyDescent="0.25">
      <c r="A2080" s="203">
        <v>2077000</v>
      </c>
      <c r="B2080" s="202">
        <v>17449.349999999999</v>
      </c>
    </row>
    <row r="2081" spans="1:2" hidden="1" x14ac:dyDescent="0.25">
      <c r="A2081" s="203">
        <v>2078000</v>
      </c>
      <c r="B2081" s="202">
        <v>17452.55</v>
      </c>
    </row>
    <row r="2082" spans="1:2" hidden="1" x14ac:dyDescent="0.25">
      <c r="A2082" s="203">
        <v>2079000</v>
      </c>
      <c r="B2082" s="202">
        <v>17455.75</v>
      </c>
    </row>
    <row r="2083" spans="1:2" hidden="1" x14ac:dyDescent="0.25">
      <c r="A2083" s="203">
        <v>2080000</v>
      </c>
      <c r="B2083" s="202">
        <v>17458.900000000001</v>
      </c>
    </row>
    <row r="2084" spans="1:2" hidden="1" x14ac:dyDescent="0.25">
      <c r="A2084" s="203">
        <v>2081000</v>
      </c>
      <c r="B2084" s="202">
        <v>17462.05</v>
      </c>
    </row>
    <row r="2085" spans="1:2" hidden="1" x14ac:dyDescent="0.25">
      <c r="A2085" s="203">
        <v>2082000</v>
      </c>
      <c r="B2085" s="202">
        <v>17465.25</v>
      </c>
    </row>
    <row r="2086" spans="1:2" hidden="1" x14ac:dyDescent="0.25">
      <c r="A2086" s="203">
        <v>2083000</v>
      </c>
      <c r="B2086" s="202">
        <v>17468.45</v>
      </c>
    </row>
    <row r="2087" spans="1:2" hidden="1" x14ac:dyDescent="0.25">
      <c r="A2087" s="203">
        <v>2084000</v>
      </c>
      <c r="B2087" s="202">
        <v>17471.599999999999</v>
      </c>
    </row>
    <row r="2088" spans="1:2" hidden="1" x14ac:dyDescent="0.25">
      <c r="A2088" s="203">
        <v>2085000</v>
      </c>
      <c r="B2088" s="202">
        <v>17474.849999999999</v>
      </c>
    </row>
    <row r="2089" spans="1:2" hidden="1" x14ac:dyDescent="0.25">
      <c r="A2089" s="203">
        <v>2086000</v>
      </c>
      <c r="B2089" s="202">
        <v>17478</v>
      </c>
    </row>
    <row r="2090" spans="1:2" hidden="1" x14ac:dyDescent="0.25">
      <c r="A2090" s="203">
        <v>2087000</v>
      </c>
      <c r="B2090" s="202">
        <v>17481.150000000001</v>
      </c>
    </row>
    <row r="2091" spans="1:2" hidden="1" x14ac:dyDescent="0.25">
      <c r="A2091" s="203">
        <v>2088000</v>
      </c>
      <c r="B2091" s="202">
        <v>17484.400000000001</v>
      </c>
    </row>
    <row r="2092" spans="1:2" hidden="1" x14ac:dyDescent="0.25">
      <c r="A2092" s="203">
        <v>2089000</v>
      </c>
      <c r="B2092" s="202">
        <v>17487.55</v>
      </c>
    </row>
    <row r="2093" spans="1:2" hidden="1" x14ac:dyDescent="0.25">
      <c r="A2093" s="203">
        <v>2090000</v>
      </c>
      <c r="B2093" s="202">
        <v>17490.75</v>
      </c>
    </row>
    <row r="2094" spans="1:2" hidden="1" x14ac:dyDescent="0.25">
      <c r="A2094" s="203">
        <v>2091000</v>
      </c>
      <c r="B2094" s="202">
        <v>17493.900000000001</v>
      </c>
    </row>
    <row r="2095" spans="1:2" hidden="1" x14ac:dyDescent="0.25">
      <c r="A2095" s="203">
        <v>2092000</v>
      </c>
      <c r="B2095" s="202">
        <v>17497.05</v>
      </c>
    </row>
    <row r="2096" spans="1:2" hidden="1" x14ac:dyDescent="0.25">
      <c r="A2096" s="203">
        <v>2093000</v>
      </c>
      <c r="B2096" s="202">
        <v>17500.3</v>
      </c>
    </row>
    <row r="2097" spans="1:2" hidden="1" x14ac:dyDescent="0.25">
      <c r="A2097" s="203">
        <v>2094000</v>
      </c>
      <c r="B2097" s="202">
        <v>17503.45</v>
      </c>
    </row>
    <row r="2098" spans="1:2" hidden="1" x14ac:dyDescent="0.25">
      <c r="A2098" s="203">
        <v>2095000</v>
      </c>
      <c r="B2098" s="202">
        <v>17506.599999999999</v>
      </c>
    </row>
    <row r="2099" spans="1:2" hidden="1" x14ac:dyDescent="0.25">
      <c r="A2099" s="203">
        <v>2096000</v>
      </c>
      <c r="B2099" s="202">
        <v>17509.8</v>
      </c>
    </row>
    <row r="2100" spans="1:2" hidden="1" x14ac:dyDescent="0.25">
      <c r="A2100" s="203">
        <v>2097000</v>
      </c>
      <c r="B2100" s="202">
        <v>17512.95</v>
      </c>
    </row>
    <row r="2101" spans="1:2" hidden="1" x14ac:dyDescent="0.25">
      <c r="A2101" s="203">
        <v>2098000</v>
      </c>
      <c r="B2101" s="202">
        <v>17516.2</v>
      </c>
    </row>
    <row r="2102" spans="1:2" hidden="1" x14ac:dyDescent="0.25">
      <c r="A2102" s="203">
        <v>2099000</v>
      </c>
      <c r="B2102" s="202">
        <v>17519.400000000001</v>
      </c>
    </row>
    <row r="2103" spans="1:2" hidden="1" x14ac:dyDescent="0.25">
      <c r="A2103" s="203">
        <v>2100000</v>
      </c>
      <c r="B2103" s="202">
        <v>17522.55</v>
      </c>
    </row>
    <row r="2104" spans="1:2" hidden="1" x14ac:dyDescent="0.25">
      <c r="A2104" s="203">
        <v>2101000</v>
      </c>
      <c r="B2104" s="202">
        <v>17525.75</v>
      </c>
    </row>
    <row r="2105" spans="1:2" hidden="1" x14ac:dyDescent="0.25">
      <c r="A2105" s="203">
        <v>2102000</v>
      </c>
      <c r="B2105" s="202">
        <v>17528.900000000001</v>
      </c>
    </row>
    <row r="2106" spans="1:2" hidden="1" x14ac:dyDescent="0.25">
      <c r="A2106" s="203">
        <v>2103000</v>
      </c>
      <c r="B2106" s="202">
        <v>17532.099999999999</v>
      </c>
    </row>
    <row r="2107" spans="1:2" hidden="1" x14ac:dyDescent="0.25">
      <c r="A2107" s="203">
        <v>2104000</v>
      </c>
      <c r="B2107" s="202">
        <v>17535.3</v>
      </c>
    </row>
    <row r="2108" spans="1:2" hidden="1" x14ac:dyDescent="0.25">
      <c r="A2108" s="203">
        <v>2105000</v>
      </c>
      <c r="B2108" s="202">
        <v>17538.45</v>
      </c>
    </row>
    <row r="2109" spans="1:2" hidden="1" x14ac:dyDescent="0.25">
      <c r="A2109" s="203">
        <v>2106000</v>
      </c>
      <c r="B2109" s="202">
        <v>17541.599999999999</v>
      </c>
    </row>
    <row r="2110" spans="1:2" hidden="1" x14ac:dyDescent="0.25">
      <c r="A2110" s="203">
        <v>2107000</v>
      </c>
      <c r="B2110" s="202">
        <v>17544.8</v>
      </c>
    </row>
    <row r="2111" spans="1:2" hidden="1" x14ac:dyDescent="0.25">
      <c r="A2111" s="203">
        <v>2108000</v>
      </c>
      <c r="B2111" s="202">
        <v>17548</v>
      </c>
    </row>
    <row r="2112" spans="1:2" hidden="1" x14ac:dyDescent="0.25">
      <c r="A2112" s="203">
        <v>2109000</v>
      </c>
      <c r="B2112" s="202">
        <v>17551.150000000001</v>
      </c>
    </row>
    <row r="2113" spans="1:2" hidden="1" x14ac:dyDescent="0.25">
      <c r="A2113" s="203">
        <v>2110000</v>
      </c>
      <c r="B2113" s="202">
        <v>17554.349999999999</v>
      </c>
    </row>
    <row r="2114" spans="1:2" hidden="1" x14ac:dyDescent="0.25">
      <c r="A2114" s="203">
        <v>2111000</v>
      </c>
      <c r="B2114" s="202">
        <v>17557.5</v>
      </c>
    </row>
    <row r="2115" spans="1:2" hidden="1" x14ac:dyDescent="0.25">
      <c r="A2115" s="203">
        <v>2112000</v>
      </c>
      <c r="B2115" s="202">
        <v>17560.650000000001</v>
      </c>
    </row>
    <row r="2116" spans="1:2" hidden="1" x14ac:dyDescent="0.25">
      <c r="A2116" s="203">
        <v>2113000</v>
      </c>
      <c r="B2116" s="202">
        <v>17563.95</v>
      </c>
    </row>
    <row r="2117" spans="1:2" hidden="1" x14ac:dyDescent="0.25">
      <c r="A2117" s="203">
        <v>2114000</v>
      </c>
      <c r="B2117" s="202">
        <v>17567.099999999999</v>
      </c>
    </row>
    <row r="2118" spans="1:2" hidden="1" x14ac:dyDescent="0.25">
      <c r="A2118" s="203">
        <v>2115000</v>
      </c>
      <c r="B2118" s="202">
        <v>17570.3</v>
      </c>
    </row>
    <row r="2119" spans="1:2" hidden="1" x14ac:dyDescent="0.25">
      <c r="A2119" s="203">
        <v>2116000</v>
      </c>
      <c r="B2119" s="202">
        <v>17573.45</v>
      </c>
    </row>
    <row r="2120" spans="1:2" hidden="1" x14ac:dyDescent="0.25">
      <c r="A2120" s="203">
        <v>2117000</v>
      </c>
      <c r="B2120" s="202">
        <v>17576.599999999999</v>
      </c>
    </row>
    <row r="2121" spans="1:2" hidden="1" x14ac:dyDescent="0.25">
      <c r="A2121" s="203">
        <v>2118000</v>
      </c>
      <c r="B2121" s="202">
        <v>17579.849999999999</v>
      </c>
    </row>
    <row r="2122" spans="1:2" hidden="1" x14ac:dyDescent="0.25">
      <c r="A2122" s="203">
        <v>2119000</v>
      </c>
      <c r="B2122" s="202">
        <v>17583</v>
      </c>
    </row>
    <row r="2123" spans="1:2" hidden="1" x14ac:dyDescent="0.25">
      <c r="A2123" s="203">
        <v>2120000</v>
      </c>
      <c r="B2123" s="202">
        <v>17586.150000000001</v>
      </c>
    </row>
    <row r="2124" spans="1:2" hidden="1" x14ac:dyDescent="0.25">
      <c r="A2124" s="203">
        <v>2121000</v>
      </c>
      <c r="B2124" s="202">
        <v>17589.349999999999</v>
      </c>
    </row>
    <row r="2125" spans="1:2" hidden="1" x14ac:dyDescent="0.25">
      <c r="A2125" s="203">
        <v>2122000</v>
      </c>
      <c r="B2125" s="202">
        <v>17592.5</v>
      </c>
    </row>
    <row r="2126" spans="1:2" hidden="1" x14ac:dyDescent="0.25">
      <c r="A2126" s="203">
        <v>2123000</v>
      </c>
      <c r="B2126" s="202">
        <v>17595.7</v>
      </c>
    </row>
    <row r="2127" spans="1:2" hidden="1" x14ac:dyDescent="0.25">
      <c r="A2127" s="203">
        <v>2124000</v>
      </c>
      <c r="B2127" s="202">
        <v>17598.900000000001</v>
      </c>
    </row>
    <row r="2128" spans="1:2" hidden="1" x14ac:dyDescent="0.25">
      <c r="A2128" s="203">
        <v>2125000</v>
      </c>
      <c r="B2128" s="202">
        <v>17602.05</v>
      </c>
    </row>
    <row r="2129" spans="1:2" hidden="1" x14ac:dyDescent="0.25">
      <c r="A2129" s="203">
        <v>2126000</v>
      </c>
      <c r="B2129" s="202">
        <v>17605.3</v>
      </c>
    </row>
    <row r="2130" spans="1:2" hidden="1" x14ac:dyDescent="0.25">
      <c r="A2130" s="203">
        <v>2127000</v>
      </c>
      <c r="B2130" s="202">
        <v>17608.45</v>
      </c>
    </row>
    <row r="2131" spans="1:2" hidden="1" x14ac:dyDescent="0.25">
      <c r="A2131" s="203">
        <v>2128000</v>
      </c>
      <c r="B2131" s="202">
        <v>17611.650000000001</v>
      </c>
    </row>
    <row r="2132" spans="1:2" hidden="1" x14ac:dyDescent="0.25">
      <c r="A2132" s="203">
        <v>2129000</v>
      </c>
      <c r="B2132" s="202">
        <v>17614.849999999999</v>
      </c>
    </row>
    <row r="2133" spans="1:2" hidden="1" x14ac:dyDescent="0.25">
      <c r="A2133" s="203">
        <v>2130000</v>
      </c>
      <c r="B2133" s="202">
        <v>17618</v>
      </c>
    </row>
    <row r="2134" spans="1:2" hidden="1" x14ac:dyDescent="0.25">
      <c r="A2134" s="203">
        <v>2131000</v>
      </c>
      <c r="B2134" s="202">
        <v>17621.150000000001</v>
      </c>
    </row>
    <row r="2135" spans="1:2" hidden="1" x14ac:dyDescent="0.25">
      <c r="A2135" s="203">
        <v>2132000</v>
      </c>
      <c r="B2135" s="202">
        <v>17624.349999999999</v>
      </c>
    </row>
    <row r="2136" spans="1:2" hidden="1" x14ac:dyDescent="0.25">
      <c r="A2136" s="203">
        <v>2133000</v>
      </c>
      <c r="B2136" s="202">
        <v>17627.55</v>
      </c>
    </row>
    <row r="2137" spans="1:2" hidden="1" x14ac:dyDescent="0.25">
      <c r="A2137" s="203">
        <v>2134000</v>
      </c>
      <c r="B2137" s="202">
        <v>17630.7</v>
      </c>
    </row>
    <row r="2138" spans="1:2" hidden="1" x14ac:dyDescent="0.25">
      <c r="A2138" s="203">
        <v>2135000</v>
      </c>
      <c r="B2138" s="202">
        <v>17633.900000000001</v>
      </c>
    </row>
    <row r="2139" spans="1:2" hidden="1" x14ac:dyDescent="0.25">
      <c r="A2139" s="203">
        <v>2136000</v>
      </c>
      <c r="B2139" s="202">
        <v>17637.05</v>
      </c>
    </row>
    <row r="2140" spans="1:2" hidden="1" x14ac:dyDescent="0.25">
      <c r="A2140" s="203">
        <v>2137000</v>
      </c>
      <c r="B2140" s="202">
        <v>17640.2</v>
      </c>
    </row>
    <row r="2141" spans="1:2" hidden="1" x14ac:dyDescent="0.25">
      <c r="A2141" s="203">
        <v>2138000</v>
      </c>
      <c r="B2141" s="202">
        <v>17643.45</v>
      </c>
    </row>
    <row r="2142" spans="1:2" hidden="1" x14ac:dyDescent="0.25">
      <c r="A2142" s="203">
        <v>2139000</v>
      </c>
      <c r="B2142" s="202">
        <v>17646.599999999999</v>
      </c>
    </row>
    <row r="2143" spans="1:2" hidden="1" x14ac:dyDescent="0.25">
      <c r="A2143" s="203">
        <v>2140000</v>
      </c>
      <c r="B2143" s="202">
        <v>17649.849999999999</v>
      </c>
    </row>
    <row r="2144" spans="1:2" hidden="1" x14ac:dyDescent="0.25">
      <c r="A2144" s="203">
        <v>2141000</v>
      </c>
      <c r="B2144" s="202">
        <v>17653</v>
      </c>
    </row>
    <row r="2145" spans="1:2" hidden="1" x14ac:dyDescent="0.25">
      <c r="A2145" s="203">
        <v>2142000</v>
      </c>
      <c r="B2145" s="202">
        <v>17656.150000000001</v>
      </c>
    </row>
    <row r="2146" spans="1:2" hidden="1" x14ac:dyDescent="0.25">
      <c r="A2146" s="203">
        <v>2143000</v>
      </c>
      <c r="B2146" s="202">
        <v>17659.400000000001</v>
      </c>
    </row>
    <row r="2147" spans="1:2" hidden="1" x14ac:dyDescent="0.25">
      <c r="A2147" s="203">
        <v>2144000</v>
      </c>
      <c r="B2147" s="202">
        <v>17662.55</v>
      </c>
    </row>
    <row r="2148" spans="1:2" hidden="1" x14ac:dyDescent="0.25">
      <c r="A2148" s="203">
        <v>2145000</v>
      </c>
      <c r="B2148" s="202">
        <v>17665.7</v>
      </c>
    </row>
    <row r="2149" spans="1:2" hidden="1" x14ac:dyDescent="0.25">
      <c r="A2149" s="203">
        <v>2146000</v>
      </c>
      <c r="B2149" s="202">
        <v>17668.900000000001</v>
      </c>
    </row>
    <row r="2150" spans="1:2" hidden="1" x14ac:dyDescent="0.25">
      <c r="A2150" s="203">
        <v>2147000</v>
      </c>
      <c r="B2150" s="202">
        <v>17672.05</v>
      </c>
    </row>
    <row r="2151" spans="1:2" hidden="1" x14ac:dyDescent="0.25">
      <c r="A2151" s="203">
        <v>2148000</v>
      </c>
      <c r="B2151" s="202">
        <v>17675.25</v>
      </c>
    </row>
    <row r="2152" spans="1:2" hidden="1" x14ac:dyDescent="0.25">
      <c r="A2152" s="203">
        <v>2149000</v>
      </c>
      <c r="B2152" s="202">
        <v>17678.45</v>
      </c>
    </row>
    <row r="2153" spans="1:2" hidden="1" x14ac:dyDescent="0.25">
      <c r="A2153" s="203">
        <v>2150000</v>
      </c>
      <c r="B2153" s="202">
        <v>17681.599999999999</v>
      </c>
    </row>
    <row r="2154" spans="1:2" hidden="1" x14ac:dyDescent="0.25">
      <c r="A2154" s="203">
        <v>2151000</v>
      </c>
      <c r="B2154" s="202">
        <v>17684.75</v>
      </c>
    </row>
    <row r="2155" spans="1:2" hidden="1" x14ac:dyDescent="0.25">
      <c r="A2155" s="203">
        <v>2152000</v>
      </c>
      <c r="B2155" s="202">
        <v>17687.95</v>
      </c>
    </row>
    <row r="2156" spans="1:2" hidden="1" x14ac:dyDescent="0.25">
      <c r="A2156" s="203">
        <v>2153000</v>
      </c>
      <c r="B2156" s="202">
        <v>17691.150000000001</v>
      </c>
    </row>
    <row r="2157" spans="1:2" hidden="1" x14ac:dyDescent="0.25">
      <c r="A2157" s="203">
        <v>2154000</v>
      </c>
      <c r="B2157" s="202">
        <v>17694.400000000001</v>
      </c>
    </row>
    <row r="2158" spans="1:2" hidden="1" x14ac:dyDescent="0.25">
      <c r="A2158" s="203">
        <v>2155000</v>
      </c>
      <c r="B2158" s="202">
        <v>17697.55</v>
      </c>
    </row>
    <row r="2159" spans="1:2" hidden="1" x14ac:dyDescent="0.25">
      <c r="A2159" s="203">
        <v>2156000</v>
      </c>
      <c r="B2159" s="202">
        <v>17700.7</v>
      </c>
    </row>
    <row r="2160" spans="1:2" hidden="1" x14ac:dyDescent="0.25">
      <c r="A2160" s="203">
        <v>2157000</v>
      </c>
      <c r="B2160" s="202">
        <v>17703.900000000001</v>
      </c>
    </row>
    <row r="2161" spans="1:2" hidden="1" x14ac:dyDescent="0.25">
      <c r="A2161" s="203">
        <v>2158000</v>
      </c>
      <c r="B2161" s="202">
        <v>17707.099999999999</v>
      </c>
    </row>
    <row r="2162" spans="1:2" hidden="1" x14ac:dyDescent="0.25">
      <c r="A2162" s="203">
        <v>2159000</v>
      </c>
      <c r="B2162" s="202">
        <v>17710.25</v>
      </c>
    </row>
    <row r="2163" spans="1:2" hidden="1" x14ac:dyDescent="0.25">
      <c r="A2163" s="203">
        <v>2160000</v>
      </c>
      <c r="B2163" s="202">
        <v>17713.45</v>
      </c>
    </row>
    <row r="2164" spans="1:2" hidden="1" x14ac:dyDescent="0.25">
      <c r="A2164" s="203">
        <v>2161000</v>
      </c>
      <c r="B2164" s="202">
        <v>17716.599999999999</v>
      </c>
    </row>
    <row r="2165" spans="1:2" hidden="1" x14ac:dyDescent="0.25">
      <c r="A2165" s="203">
        <v>2162000</v>
      </c>
      <c r="B2165" s="202">
        <v>17719.75</v>
      </c>
    </row>
    <row r="2166" spans="1:2" hidden="1" x14ac:dyDescent="0.25">
      <c r="A2166" s="203">
        <v>2163000</v>
      </c>
      <c r="B2166" s="202">
        <v>17723</v>
      </c>
    </row>
    <row r="2167" spans="1:2" hidden="1" x14ac:dyDescent="0.25">
      <c r="A2167" s="203">
        <v>2164000</v>
      </c>
      <c r="B2167" s="202">
        <v>17726.150000000001</v>
      </c>
    </row>
    <row r="2168" spans="1:2" hidden="1" x14ac:dyDescent="0.25">
      <c r="A2168" s="203">
        <v>2165000</v>
      </c>
      <c r="B2168" s="202">
        <v>17729.3</v>
      </c>
    </row>
    <row r="2169" spans="1:2" hidden="1" x14ac:dyDescent="0.25">
      <c r="A2169" s="203">
        <v>2166000</v>
      </c>
      <c r="B2169" s="202">
        <v>17732.5</v>
      </c>
    </row>
    <row r="2170" spans="1:2" hidden="1" x14ac:dyDescent="0.25">
      <c r="A2170" s="203">
        <v>2167000</v>
      </c>
      <c r="B2170" s="202">
        <v>17735.650000000001</v>
      </c>
    </row>
    <row r="2171" spans="1:2" hidden="1" x14ac:dyDescent="0.25">
      <c r="A2171" s="203">
        <v>2168000</v>
      </c>
      <c r="B2171" s="202">
        <v>17738.95</v>
      </c>
    </row>
    <row r="2172" spans="1:2" hidden="1" x14ac:dyDescent="0.25">
      <c r="A2172" s="203">
        <v>2169000</v>
      </c>
      <c r="B2172" s="202">
        <v>17742.099999999999</v>
      </c>
    </row>
    <row r="2173" spans="1:2" hidden="1" x14ac:dyDescent="0.25">
      <c r="A2173" s="203">
        <v>2170000</v>
      </c>
      <c r="B2173" s="202">
        <v>17745.25</v>
      </c>
    </row>
    <row r="2174" spans="1:2" hidden="1" x14ac:dyDescent="0.25">
      <c r="A2174" s="203">
        <v>2171000</v>
      </c>
      <c r="B2174" s="202">
        <v>17748.45</v>
      </c>
    </row>
    <row r="2175" spans="1:2" hidden="1" x14ac:dyDescent="0.25">
      <c r="A2175" s="203">
        <v>2172000</v>
      </c>
      <c r="B2175" s="202">
        <v>17751.599999999999</v>
      </c>
    </row>
    <row r="2176" spans="1:2" hidden="1" x14ac:dyDescent="0.25">
      <c r="A2176" s="203">
        <v>2173000</v>
      </c>
      <c r="B2176" s="202">
        <v>17754.8</v>
      </c>
    </row>
    <row r="2177" spans="1:2" hidden="1" x14ac:dyDescent="0.25">
      <c r="A2177" s="203">
        <v>2174000</v>
      </c>
      <c r="B2177" s="202">
        <v>17758</v>
      </c>
    </row>
    <row r="2178" spans="1:2" hidden="1" x14ac:dyDescent="0.25">
      <c r="A2178" s="203">
        <v>2175000</v>
      </c>
      <c r="B2178" s="202">
        <v>17761.150000000001</v>
      </c>
    </row>
    <row r="2179" spans="1:2" hidden="1" x14ac:dyDescent="0.25">
      <c r="A2179" s="203">
        <v>2176000</v>
      </c>
      <c r="B2179" s="202">
        <v>17764.3</v>
      </c>
    </row>
    <row r="2180" spans="1:2" hidden="1" x14ac:dyDescent="0.25">
      <c r="A2180" s="203">
        <v>2177000</v>
      </c>
      <c r="B2180" s="202">
        <v>17767.5</v>
      </c>
    </row>
    <row r="2181" spans="1:2" hidden="1" x14ac:dyDescent="0.25">
      <c r="A2181" s="203">
        <v>2178000</v>
      </c>
      <c r="B2181" s="202">
        <v>17770.7</v>
      </c>
    </row>
    <row r="2182" spans="1:2" hidden="1" x14ac:dyDescent="0.25">
      <c r="A2182" s="203">
        <v>2179000</v>
      </c>
      <c r="B2182" s="202">
        <v>17773.900000000001</v>
      </c>
    </row>
    <row r="2183" spans="1:2" hidden="1" x14ac:dyDescent="0.25">
      <c r="A2183" s="203">
        <v>2180000</v>
      </c>
      <c r="B2183" s="202">
        <v>17777.05</v>
      </c>
    </row>
    <row r="2184" spans="1:2" hidden="1" x14ac:dyDescent="0.25">
      <c r="A2184" s="203">
        <v>2181000</v>
      </c>
      <c r="B2184" s="202">
        <v>17780.2</v>
      </c>
    </row>
    <row r="2185" spans="1:2" hidden="1" x14ac:dyDescent="0.25">
      <c r="A2185" s="203">
        <v>2182000</v>
      </c>
      <c r="B2185" s="202">
        <v>17783.45</v>
      </c>
    </row>
    <row r="2186" spans="1:2" hidden="1" x14ac:dyDescent="0.25">
      <c r="A2186" s="203">
        <v>2183000</v>
      </c>
      <c r="B2186" s="202">
        <v>17786.650000000001</v>
      </c>
    </row>
    <row r="2187" spans="1:2" hidden="1" x14ac:dyDescent="0.25">
      <c r="A2187" s="203">
        <v>2184000</v>
      </c>
      <c r="B2187" s="202">
        <v>17789.8</v>
      </c>
    </row>
    <row r="2188" spans="1:2" hidden="1" x14ac:dyDescent="0.25">
      <c r="A2188" s="203">
        <v>2185000</v>
      </c>
      <c r="B2188" s="202">
        <v>17793</v>
      </c>
    </row>
    <row r="2189" spans="1:2" hidden="1" x14ac:dyDescent="0.25">
      <c r="A2189" s="203">
        <v>2186000</v>
      </c>
      <c r="B2189" s="202">
        <v>17796.150000000001</v>
      </c>
    </row>
    <row r="2190" spans="1:2" hidden="1" x14ac:dyDescent="0.25">
      <c r="A2190" s="203">
        <v>2187000</v>
      </c>
      <c r="B2190" s="202">
        <v>17799.3</v>
      </c>
    </row>
    <row r="2191" spans="1:2" hidden="1" x14ac:dyDescent="0.25">
      <c r="A2191" s="203">
        <v>2188000</v>
      </c>
      <c r="B2191" s="202">
        <v>17802.55</v>
      </c>
    </row>
    <row r="2192" spans="1:2" hidden="1" x14ac:dyDescent="0.25">
      <c r="A2192" s="203">
        <v>2189000</v>
      </c>
      <c r="B2192" s="202">
        <v>17805.7</v>
      </c>
    </row>
    <row r="2193" spans="1:2" hidden="1" x14ac:dyDescent="0.25">
      <c r="A2193" s="203">
        <v>2190000</v>
      </c>
      <c r="B2193" s="202">
        <v>17808.849999999999</v>
      </c>
    </row>
    <row r="2194" spans="1:2" hidden="1" x14ac:dyDescent="0.25">
      <c r="A2194" s="203">
        <v>2191000</v>
      </c>
      <c r="B2194" s="202">
        <v>17812.05</v>
      </c>
    </row>
    <row r="2195" spans="1:2" hidden="1" x14ac:dyDescent="0.25">
      <c r="A2195" s="203">
        <v>2192000</v>
      </c>
      <c r="B2195" s="202">
        <v>17815.2</v>
      </c>
    </row>
    <row r="2196" spans="1:2" hidden="1" x14ac:dyDescent="0.25">
      <c r="A2196" s="203">
        <v>2193000</v>
      </c>
      <c r="B2196" s="202">
        <v>17818.45</v>
      </c>
    </row>
    <row r="2197" spans="1:2" hidden="1" x14ac:dyDescent="0.25">
      <c r="A2197" s="203">
        <v>2194000</v>
      </c>
      <c r="B2197" s="202">
        <v>17821.599999999999</v>
      </c>
    </row>
    <row r="2198" spans="1:2" hidden="1" x14ac:dyDescent="0.25">
      <c r="A2198" s="203">
        <v>2195000</v>
      </c>
      <c r="B2198" s="202">
        <v>17824.75</v>
      </c>
    </row>
    <row r="2199" spans="1:2" hidden="1" x14ac:dyDescent="0.25">
      <c r="A2199" s="203">
        <v>2196000</v>
      </c>
      <c r="B2199" s="202">
        <v>17828</v>
      </c>
    </row>
    <row r="2200" spans="1:2" hidden="1" x14ac:dyDescent="0.25">
      <c r="A2200" s="203">
        <v>2197000</v>
      </c>
      <c r="B2200" s="202">
        <v>17831.150000000001</v>
      </c>
    </row>
    <row r="2201" spans="1:2" hidden="1" x14ac:dyDescent="0.25">
      <c r="A2201" s="203">
        <v>2198000</v>
      </c>
      <c r="B2201" s="202">
        <v>17834.349999999999</v>
      </c>
    </row>
    <row r="2202" spans="1:2" hidden="1" x14ac:dyDescent="0.25">
      <c r="A2202" s="203">
        <v>2199000</v>
      </c>
      <c r="B2202" s="202">
        <v>17837.55</v>
      </c>
    </row>
    <row r="2203" spans="1:2" hidden="1" x14ac:dyDescent="0.25">
      <c r="A2203" s="203">
        <v>2200000</v>
      </c>
      <c r="B2203" s="202">
        <v>17840.7</v>
      </c>
    </row>
    <row r="2204" spans="1:2" hidden="1" x14ac:dyDescent="0.25">
      <c r="A2204" s="203">
        <v>2201000</v>
      </c>
      <c r="B2204" s="202">
        <v>17843.849999999999</v>
      </c>
    </row>
    <row r="2205" spans="1:2" hidden="1" x14ac:dyDescent="0.25">
      <c r="A2205" s="203">
        <v>2202000</v>
      </c>
      <c r="B2205" s="202">
        <v>17847.05</v>
      </c>
    </row>
    <row r="2206" spans="1:2" hidden="1" x14ac:dyDescent="0.25">
      <c r="A2206" s="203">
        <v>2203000</v>
      </c>
      <c r="B2206" s="202">
        <v>17850.25</v>
      </c>
    </row>
    <row r="2207" spans="1:2" hidden="1" x14ac:dyDescent="0.25">
      <c r="A2207" s="203">
        <v>2204000</v>
      </c>
      <c r="B2207" s="202">
        <v>17853.400000000001</v>
      </c>
    </row>
    <row r="2208" spans="1:2" hidden="1" x14ac:dyDescent="0.25">
      <c r="A2208" s="203">
        <v>2205000</v>
      </c>
      <c r="B2208" s="202">
        <v>17856.599999999999</v>
      </c>
    </row>
    <row r="2209" spans="1:2" hidden="1" x14ac:dyDescent="0.25">
      <c r="A2209" s="203">
        <v>2206000</v>
      </c>
      <c r="B2209" s="202">
        <v>17859.75</v>
      </c>
    </row>
    <row r="2210" spans="1:2" hidden="1" x14ac:dyDescent="0.25">
      <c r="A2210" s="203">
        <v>2207000</v>
      </c>
      <c r="B2210" s="202">
        <v>17862.95</v>
      </c>
    </row>
    <row r="2211" spans="1:2" hidden="1" x14ac:dyDescent="0.25">
      <c r="A2211" s="203">
        <v>2208000</v>
      </c>
      <c r="B2211" s="202">
        <v>17866.150000000001</v>
      </c>
    </row>
    <row r="2212" spans="1:2" hidden="1" x14ac:dyDescent="0.25">
      <c r="A2212" s="203">
        <v>2209000</v>
      </c>
      <c r="B2212" s="202">
        <v>17869.349999999999</v>
      </c>
    </row>
    <row r="2213" spans="1:2" hidden="1" x14ac:dyDescent="0.25">
      <c r="A2213" s="203">
        <v>2210000</v>
      </c>
      <c r="B2213" s="202">
        <v>17872.55</v>
      </c>
    </row>
    <row r="2214" spans="1:2" hidden="1" x14ac:dyDescent="0.25">
      <c r="A2214" s="203">
        <v>2211000</v>
      </c>
      <c r="B2214" s="202">
        <v>17875.7</v>
      </c>
    </row>
    <row r="2215" spans="1:2" hidden="1" x14ac:dyDescent="0.25">
      <c r="A2215" s="203">
        <v>2212000</v>
      </c>
      <c r="B2215" s="202">
        <v>17878.849999999999</v>
      </c>
    </row>
    <row r="2216" spans="1:2" hidden="1" x14ac:dyDescent="0.25">
      <c r="A2216" s="203">
        <v>2213000</v>
      </c>
      <c r="B2216" s="202">
        <v>17882.099999999999</v>
      </c>
    </row>
    <row r="2217" spans="1:2" hidden="1" x14ac:dyDescent="0.25">
      <c r="A2217" s="203">
        <v>2214000</v>
      </c>
      <c r="B2217" s="202">
        <v>17885.25</v>
      </c>
    </row>
    <row r="2218" spans="1:2" hidden="1" x14ac:dyDescent="0.25">
      <c r="A2218" s="203">
        <v>2215000</v>
      </c>
      <c r="B2218" s="202">
        <v>17888.400000000001</v>
      </c>
    </row>
    <row r="2219" spans="1:2" hidden="1" x14ac:dyDescent="0.25">
      <c r="A2219" s="203">
        <v>2216000</v>
      </c>
      <c r="B2219" s="202">
        <v>17891.599999999999</v>
      </c>
    </row>
    <row r="2220" spans="1:2" hidden="1" x14ac:dyDescent="0.25">
      <c r="A2220" s="203">
        <v>2217000</v>
      </c>
      <c r="B2220" s="202">
        <v>17894.75</v>
      </c>
    </row>
    <row r="2221" spans="1:2" hidden="1" x14ac:dyDescent="0.25">
      <c r="A2221" s="203">
        <v>2218000</v>
      </c>
      <c r="B2221" s="202">
        <v>17898</v>
      </c>
    </row>
    <row r="2222" spans="1:2" hidden="1" x14ac:dyDescent="0.25">
      <c r="A2222" s="203">
        <v>2219000</v>
      </c>
      <c r="B2222" s="202">
        <v>17901.150000000001</v>
      </c>
    </row>
    <row r="2223" spans="1:2" hidden="1" x14ac:dyDescent="0.25">
      <c r="A2223" s="203">
        <v>2220000</v>
      </c>
      <c r="B2223" s="202">
        <v>17904.3</v>
      </c>
    </row>
    <row r="2224" spans="1:2" hidden="1" x14ac:dyDescent="0.25">
      <c r="A2224" s="203">
        <v>2221000</v>
      </c>
      <c r="B2224" s="202">
        <v>17907.5</v>
      </c>
    </row>
    <row r="2225" spans="1:2" hidden="1" x14ac:dyDescent="0.25">
      <c r="A2225" s="203">
        <v>2222000</v>
      </c>
      <c r="B2225" s="202">
        <v>17910.650000000001</v>
      </c>
    </row>
    <row r="2226" spans="1:2" hidden="1" x14ac:dyDescent="0.25">
      <c r="A2226" s="203">
        <v>2223000</v>
      </c>
      <c r="B2226" s="202">
        <v>17913.900000000001</v>
      </c>
    </row>
    <row r="2227" spans="1:2" hidden="1" x14ac:dyDescent="0.25">
      <c r="A2227" s="203">
        <v>2224000</v>
      </c>
      <c r="B2227" s="202">
        <v>17917.099999999999</v>
      </c>
    </row>
    <row r="2228" spans="1:2" hidden="1" x14ac:dyDescent="0.25">
      <c r="A2228" s="203">
        <v>2225000</v>
      </c>
      <c r="B2228" s="202">
        <v>17920.25</v>
      </c>
    </row>
    <row r="2229" spans="1:2" hidden="1" x14ac:dyDescent="0.25">
      <c r="A2229" s="203">
        <v>2226000</v>
      </c>
      <c r="B2229" s="202">
        <v>17923.400000000001</v>
      </c>
    </row>
    <row r="2230" spans="1:2" hidden="1" x14ac:dyDescent="0.25">
      <c r="A2230" s="203">
        <v>2227000</v>
      </c>
      <c r="B2230" s="202">
        <v>17926.599999999999</v>
      </c>
    </row>
    <row r="2231" spans="1:2" hidden="1" x14ac:dyDescent="0.25">
      <c r="A2231" s="203">
        <v>2228000</v>
      </c>
      <c r="B2231" s="202">
        <v>17929.8</v>
      </c>
    </row>
    <row r="2232" spans="1:2" hidden="1" x14ac:dyDescent="0.25">
      <c r="A2232" s="203">
        <v>2229000</v>
      </c>
      <c r="B2232" s="202">
        <v>17932.95</v>
      </c>
    </row>
    <row r="2233" spans="1:2" hidden="1" x14ac:dyDescent="0.25">
      <c r="A2233" s="203">
        <v>2230000</v>
      </c>
      <c r="B2233" s="202">
        <v>17936.150000000001</v>
      </c>
    </row>
    <row r="2234" spans="1:2" hidden="1" x14ac:dyDescent="0.25">
      <c r="A2234" s="203">
        <v>2231000</v>
      </c>
      <c r="B2234" s="202">
        <v>17939.3</v>
      </c>
    </row>
    <row r="2235" spans="1:2" hidden="1" x14ac:dyDescent="0.25">
      <c r="A2235" s="203">
        <v>2232000</v>
      </c>
      <c r="B2235" s="202">
        <v>17942.5</v>
      </c>
    </row>
    <row r="2236" spans="1:2" hidden="1" x14ac:dyDescent="0.25">
      <c r="A2236" s="203">
        <v>2233000</v>
      </c>
      <c r="B2236" s="202">
        <v>17945.7</v>
      </c>
    </row>
    <row r="2237" spans="1:2" hidden="1" x14ac:dyDescent="0.25">
      <c r="A2237" s="203">
        <v>2234000</v>
      </c>
      <c r="B2237" s="202">
        <v>17948.849999999999</v>
      </c>
    </row>
    <row r="2238" spans="1:2" hidden="1" x14ac:dyDescent="0.25">
      <c r="A2238" s="203">
        <v>2235000</v>
      </c>
      <c r="B2238" s="202">
        <v>17952.05</v>
      </c>
    </row>
    <row r="2239" spans="1:2" hidden="1" x14ac:dyDescent="0.25">
      <c r="A2239" s="203">
        <v>2236000</v>
      </c>
      <c r="B2239" s="202">
        <v>17955.2</v>
      </c>
    </row>
    <row r="2240" spans="1:2" hidden="1" x14ac:dyDescent="0.25">
      <c r="A2240" s="203">
        <v>2237000</v>
      </c>
      <c r="B2240" s="202">
        <v>17958.349999999999</v>
      </c>
    </row>
    <row r="2241" spans="1:2" hidden="1" x14ac:dyDescent="0.25">
      <c r="A2241" s="203">
        <v>2238000</v>
      </c>
      <c r="B2241" s="202">
        <v>17961.650000000001</v>
      </c>
    </row>
    <row r="2242" spans="1:2" hidden="1" x14ac:dyDescent="0.25">
      <c r="A2242" s="203">
        <v>2239000</v>
      </c>
      <c r="B2242" s="202">
        <v>17964.8</v>
      </c>
    </row>
    <row r="2243" spans="1:2" hidden="1" x14ac:dyDescent="0.25">
      <c r="A2243" s="203">
        <v>2240000</v>
      </c>
      <c r="B2243" s="202">
        <v>17967.95</v>
      </c>
    </row>
    <row r="2244" spans="1:2" hidden="1" x14ac:dyDescent="0.25">
      <c r="A2244" s="203">
        <v>2241000</v>
      </c>
      <c r="B2244" s="202">
        <v>17971.150000000001</v>
      </c>
    </row>
    <row r="2245" spans="1:2" hidden="1" x14ac:dyDescent="0.25">
      <c r="A2245" s="203">
        <v>2242000</v>
      </c>
      <c r="B2245" s="202">
        <v>17974.3</v>
      </c>
    </row>
    <row r="2246" spans="1:2" hidden="1" x14ac:dyDescent="0.25">
      <c r="A2246" s="203">
        <v>2243000</v>
      </c>
      <c r="B2246" s="202">
        <v>17977.55</v>
      </c>
    </row>
    <row r="2247" spans="1:2" hidden="1" x14ac:dyDescent="0.25">
      <c r="A2247" s="203">
        <v>2244000</v>
      </c>
      <c r="B2247" s="202">
        <v>17980.7</v>
      </c>
    </row>
    <row r="2248" spans="1:2" hidden="1" x14ac:dyDescent="0.25">
      <c r="A2248" s="203">
        <v>2245000</v>
      </c>
      <c r="B2248" s="202">
        <v>17983.849999999999</v>
      </c>
    </row>
    <row r="2249" spans="1:2" hidden="1" x14ac:dyDescent="0.25">
      <c r="A2249" s="203">
        <v>2246000</v>
      </c>
      <c r="B2249" s="202">
        <v>17987.05</v>
      </c>
    </row>
    <row r="2250" spans="1:2" hidden="1" x14ac:dyDescent="0.25">
      <c r="A2250" s="203">
        <v>2247000</v>
      </c>
      <c r="B2250" s="202">
        <v>17990.2</v>
      </c>
    </row>
    <row r="2251" spans="1:2" hidden="1" x14ac:dyDescent="0.25">
      <c r="A2251" s="203">
        <v>2248000</v>
      </c>
      <c r="B2251" s="202">
        <v>17993.400000000001</v>
      </c>
    </row>
    <row r="2252" spans="1:2" hidden="1" x14ac:dyDescent="0.25">
      <c r="A2252" s="203">
        <v>2249000</v>
      </c>
      <c r="B2252" s="202">
        <v>17996.599999999999</v>
      </c>
    </row>
    <row r="2253" spans="1:2" hidden="1" x14ac:dyDescent="0.25">
      <c r="A2253" s="203">
        <v>2250000</v>
      </c>
      <c r="B2253" s="202">
        <v>17999.75</v>
      </c>
    </row>
    <row r="2254" spans="1:2" hidden="1" x14ac:dyDescent="0.25">
      <c r="A2254" s="203">
        <v>2251000</v>
      </c>
      <c r="B2254" s="202">
        <v>18002.95</v>
      </c>
    </row>
    <row r="2255" spans="1:2" hidden="1" x14ac:dyDescent="0.25">
      <c r="A2255" s="203">
        <v>2252000</v>
      </c>
      <c r="B2255" s="202">
        <v>18006.150000000001</v>
      </c>
    </row>
    <row r="2256" spans="1:2" hidden="1" x14ac:dyDescent="0.25">
      <c r="A2256" s="203">
        <v>2253000</v>
      </c>
      <c r="B2256" s="202">
        <v>18009.349999999999</v>
      </c>
    </row>
    <row r="2257" spans="1:2" hidden="1" x14ac:dyDescent="0.25">
      <c r="A2257" s="203">
        <v>2254000</v>
      </c>
      <c r="B2257" s="202">
        <v>18012.5</v>
      </c>
    </row>
    <row r="2258" spans="1:2" hidden="1" x14ac:dyDescent="0.25">
      <c r="A2258" s="203">
        <v>2255000</v>
      </c>
      <c r="B2258" s="202">
        <v>18015.7</v>
      </c>
    </row>
    <row r="2259" spans="1:2" hidden="1" x14ac:dyDescent="0.25">
      <c r="A2259" s="203">
        <v>2256000</v>
      </c>
      <c r="B2259" s="202">
        <v>18018.849999999999</v>
      </c>
    </row>
    <row r="2260" spans="1:2" hidden="1" x14ac:dyDescent="0.25">
      <c r="A2260" s="203">
        <v>2257000</v>
      </c>
      <c r="B2260" s="202">
        <v>18022.05</v>
      </c>
    </row>
    <row r="2261" spans="1:2" hidden="1" x14ac:dyDescent="0.25">
      <c r="A2261" s="203">
        <v>2258000</v>
      </c>
      <c r="B2261" s="202">
        <v>18025.25</v>
      </c>
    </row>
    <row r="2262" spans="1:2" hidden="1" x14ac:dyDescent="0.25">
      <c r="A2262" s="203">
        <v>2259000</v>
      </c>
      <c r="B2262" s="202">
        <v>18028.400000000001</v>
      </c>
    </row>
    <row r="2263" spans="1:2" hidden="1" x14ac:dyDescent="0.25">
      <c r="A2263" s="203">
        <v>2260000</v>
      </c>
      <c r="B2263" s="202">
        <v>18031.599999999999</v>
      </c>
    </row>
    <row r="2264" spans="1:2" hidden="1" x14ac:dyDescent="0.25">
      <c r="A2264" s="203">
        <v>2261000</v>
      </c>
      <c r="B2264" s="202">
        <v>18034.75</v>
      </c>
    </row>
    <row r="2265" spans="1:2" hidden="1" x14ac:dyDescent="0.25">
      <c r="A2265" s="203">
        <v>2262000</v>
      </c>
      <c r="B2265" s="202">
        <v>18037.900000000001</v>
      </c>
    </row>
    <row r="2266" spans="1:2" hidden="1" x14ac:dyDescent="0.25">
      <c r="A2266" s="203">
        <v>2263000</v>
      </c>
      <c r="B2266" s="202">
        <v>18041.150000000001</v>
      </c>
    </row>
    <row r="2267" spans="1:2" hidden="1" x14ac:dyDescent="0.25">
      <c r="A2267" s="203">
        <v>2264000</v>
      </c>
      <c r="B2267" s="202">
        <v>18044.3</v>
      </c>
    </row>
    <row r="2268" spans="1:2" hidden="1" x14ac:dyDescent="0.25">
      <c r="A2268" s="203">
        <v>2265000</v>
      </c>
      <c r="B2268" s="202">
        <v>18047.5</v>
      </c>
    </row>
    <row r="2269" spans="1:2" hidden="1" x14ac:dyDescent="0.25">
      <c r="A2269" s="203">
        <v>2266000</v>
      </c>
      <c r="B2269" s="202">
        <v>18050.7</v>
      </c>
    </row>
    <row r="2270" spans="1:2" hidden="1" x14ac:dyDescent="0.25">
      <c r="A2270" s="203">
        <v>2267000</v>
      </c>
      <c r="B2270" s="202">
        <v>18053.849999999999</v>
      </c>
    </row>
    <row r="2271" spans="1:2" hidden="1" x14ac:dyDescent="0.25">
      <c r="A2271" s="203">
        <v>2268000</v>
      </c>
      <c r="B2271" s="202">
        <v>18057.05</v>
      </c>
    </row>
    <row r="2272" spans="1:2" hidden="1" x14ac:dyDescent="0.25">
      <c r="A2272" s="203">
        <v>2269000</v>
      </c>
      <c r="B2272" s="202">
        <v>18060.25</v>
      </c>
    </row>
    <row r="2273" spans="1:2" hidden="1" x14ac:dyDescent="0.25">
      <c r="A2273" s="203">
        <v>2270000</v>
      </c>
      <c r="B2273" s="202">
        <v>18063.400000000001</v>
      </c>
    </row>
    <row r="2274" spans="1:2" hidden="1" x14ac:dyDescent="0.25">
      <c r="A2274" s="203">
        <v>2271000</v>
      </c>
      <c r="B2274" s="202">
        <v>18066.599999999999</v>
      </c>
    </row>
    <row r="2275" spans="1:2" hidden="1" x14ac:dyDescent="0.25">
      <c r="A2275" s="203">
        <v>2272000</v>
      </c>
      <c r="B2275" s="202">
        <v>18069.75</v>
      </c>
    </row>
    <row r="2276" spans="1:2" hidden="1" x14ac:dyDescent="0.25">
      <c r="A2276" s="203">
        <v>2273000</v>
      </c>
      <c r="B2276" s="202">
        <v>18072.95</v>
      </c>
    </row>
    <row r="2277" spans="1:2" hidden="1" x14ac:dyDescent="0.25">
      <c r="A2277" s="203">
        <v>2274000</v>
      </c>
      <c r="B2277" s="202">
        <v>18076.150000000001</v>
      </c>
    </row>
    <row r="2278" spans="1:2" hidden="1" x14ac:dyDescent="0.25">
      <c r="A2278" s="203">
        <v>2275000</v>
      </c>
      <c r="B2278" s="202">
        <v>18079.3</v>
      </c>
    </row>
    <row r="2279" spans="1:2" hidden="1" x14ac:dyDescent="0.25">
      <c r="A2279" s="203">
        <v>2276000</v>
      </c>
      <c r="B2279" s="202">
        <v>18082.45</v>
      </c>
    </row>
    <row r="2280" spans="1:2" hidden="1" x14ac:dyDescent="0.25">
      <c r="A2280" s="203">
        <v>2277000</v>
      </c>
      <c r="B2280" s="202">
        <v>18085.650000000001</v>
      </c>
    </row>
    <row r="2281" spans="1:2" hidden="1" x14ac:dyDescent="0.25">
      <c r="A2281" s="203">
        <v>2278000</v>
      </c>
      <c r="B2281" s="202">
        <v>18088.849999999999</v>
      </c>
    </row>
    <row r="2282" spans="1:2" hidden="1" x14ac:dyDescent="0.25">
      <c r="A2282" s="203">
        <v>2279000</v>
      </c>
      <c r="B2282" s="202">
        <v>18092.05</v>
      </c>
    </row>
    <row r="2283" spans="1:2" hidden="1" x14ac:dyDescent="0.25">
      <c r="A2283" s="203">
        <v>2280000</v>
      </c>
      <c r="B2283" s="202">
        <v>18095.25</v>
      </c>
    </row>
    <row r="2284" spans="1:2" hidden="1" x14ac:dyDescent="0.25">
      <c r="A2284" s="203">
        <v>2281000</v>
      </c>
      <c r="B2284" s="202">
        <v>18098.400000000001</v>
      </c>
    </row>
    <row r="2285" spans="1:2" hidden="1" x14ac:dyDescent="0.25">
      <c r="A2285" s="203">
        <v>2282000</v>
      </c>
      <c r="B2285" s="202">
        <v>18101.55</v>
      </c>
    </row>
    <row r="2286" spans="1:2" hidden="1" x14ac:dyDescent="0.25">
      <c r="A2286" s="203">
        <v>2283000</v>
      </c>
      <c r="B2286" s="202">
        <v>18104.8</v>
      </c>
    </row>
    <row r="2287" spans="1:2" hidden="1" x14ac:dyDescent="0.25">
      <c r="A2287" s="203">
        <v>2284000</v>
      </c>
      <c r="B2287" s="202">
        <v>18107.95</v>
      </c>
    </row>
    <row r="2288" spans="1:2" hidden="1" x14ac:dyDescent="0.25">
      <c r="A2288" s="203">
        <v>2285000</v>
      </c>
      <c r="B2288" s="202">
        <v>18111.150000000001</v>
      </c>
    </row>
    <row r="2289" spans="1:2" hidden="1" x14ac:dyDescent="0.25">
      <c r="A2289" s="203">
        <v>2286000</v>
      </c>
      <c r="B2289" s="202">
        <v>18114.3</v>
      </c>
    </row>
    <row r="2290" spans="1:2" hidden="1" x14ac:dyDescent="0.25">
      <c r="A2290" s="203">
        <v>2287000</v>
      </c>
      <c r="B2290" s="202">
        <v>18117.45</v>
      </c>
    </row>
    <row r="2291" spans="1:2" hidden="1" x14ac:dyDescent="0.25">
      <c r="A2291" s="203">
        <v>2288000</v>
      </c>
      <c r="B2291" s="202">
        <v>18120.7</v>
      </c>
    </row>
    <row r="2292" spans="1:2" hidden="1" x14ac:dyDescent="0.25">
      <c r="A2292" s="203">
        <v>2289000</v>
      </c>
      <c r="B2292" s="202">
        <v>18123.849999999999</v>
      </c>
    </row>
    <row r="2293" spans="1:2" hidden="1" x14ac:dyDescent="0.25">
      <c r="A2293" s="203">
        <v>2290000</v>
      </c>
      <c r="B2293" s="202">
        <v>18127</v>
      </c>
    </row>
    <row r="2294" spans="1:2" hidden="1" x14ac:dyDescent="0.25">
      <c r="A2294" s="203">
        <v>2291000</v>
      </c>
      <c r="B2294" s="202">
        <v>18130.2</v>
      </c>
    </row>
    <row r="2295" spans="1:2" hidden="1" x14ac:dyDescent="0.25">
      <c r="A2295" s="203">
        <v>2292000</v>
      </c>
      <c r="B2295" s="202">
        <v>18133.349999999999</v>
      </c>
    </row>
    <row r="2296" spans="1:2" hidden="1" x14ac:dyDescent="0.25">
      <c r="A2296" s="203">
        <v>2293000</v>
      </c>
      <c r="B2296" s="202">
        <v>18136.599999999999</v>
      </c>
    </row>
    <row r="2297" spans="1:2" hidden="1" x14ac:dyDescent="0.25">
      <c r="A2297" s="203">
        <v>2294000</v>
      </c>
      <c r="B2297" s="202">
        <v>18139.8</v>
      </c>
    </row>
    <row r="2298" spans="1:2" hidden="1" x14ac:dyDescent="0.25">
      <c r="A2298" s="203">
        <v>2295000</v>
      </c>
      <c r="B2298" s="202">
        <v>18142.95</v>
      </c>
    </row>
    <row r="2299" spans="1:2" hidden="1" x14ac:dyDescent="0.25">
      <c r="A2299" s="203">
        <v>2296000</v>
      </c>
      <c r="B2299" s="202">
        <v>18146.150000000001</v>
      </c>
    </row>
    <row r="2300" spans="1:2" hidden="1" x14ac:dyDescent="0.25">
      <c r="A2300" s="203">
        <v>2297000</v>
      </c>
      <c r="B2300" s="202">
        <v>18149.3</v>
      </c>
    </row>
    <row r="2301" spans="1:2" hidden="1" x14ac:dyDescent="0.25">
      <c r="A2301" s="203">
        <v>2298000</v>
      </c>
      <c r="B2301" s="202">
        <v>18152.5</v>
      </c>
    </row>
    <row r="2302" spans="1:2" hidden="1" x14ac:dyDescent="0.25">
      <c r="A2302" s="203">
        <v>2299000</v>
      </c>
      <c r="B2302" s="202">
        <v>18155.7</v>
      </c>
    </row>
    <row r="2303" spans="1:2" hidden="1" x14ac:dyDescent="0.25">
      <c r="A2303" s="203">
        <v>2300000</v>
      </c>
      <c r="B2303" s="202">
        <v>18158.849999999999</v>
      </c>
    </row>
    <row r="2304" spans="1:2" hidden="1" x14ac:dyDescent="0.25">
      <c r="A2304" s="203">
        <v>2301000</v>
      </c>
      <c r="B2304" s="202">
        <v>18162</v>
      </c>
    </row>
    <row r="2305" spans="1:2" hidden="1" x14ac:dyDescent="0.25">
      <c r="A2305" s="203">
        <v>2302000</v>
      </c>
      <c r="B2305" s="202">
        <v>18165.2</v>
      </c>
    </row>
    <row r="2306" spans="1:2" hidden="1" x14ac:dyDescent="0.25">
      <c r="A2306" s="203">
        <v>2303000</v>
      </c>
      <c r="B2306" s="202">
        <v>18168.400000000001</v>
      </c>
    </row>
    <row r="2307" spans="1:2" hidden="1" x14ac:dyDescent="0.25">
      <c r="A2307" s="203">
        <v>2304000</v>
      </c>
      <c r="B2307" s="202">
        <v>18171.55</v>
      </c>
    </row>
    <row r="2308" spans="1:2" hidden="1" x14ac:dyDescent="0.25">
      <c r="A2308" s="203">
        <v>2305000</v>
      </c>
      <c r="B2308" s="202">
        <v>18174.75</v>
      </c>
    </row>
    <row r="2309" spans="1:2" hidden="1" x14ac:dyDescent="0.25">
      <c r="A2309" s="203">
        <v>2306000</v>
      </c>
      <c r="B2309" s="202">
        <v>18177.900000000001</v>
      </c>
    </row>
    <row r="2310" spans="1:2" hidden="1" x14ac:dyDescent="0.25">
      <c r="A2310" s="203">
        <v>2307000</v>
      </c>
      <c r="B2310" s="202">
        <v>18181.099999999999</v>
      </c>
    </row>
    <row r="2311" spans="1:2" hidden="1" x14ac:dyDescent="0.25">
      <c r="A2311" s="203">
        <v>2308000</v>
      </c>
      <c r="B2311" s="202">
        <v>18184.349999999999</v>
      </c>
    </row>
    <row r="2312" spans="1:2" hidden="1" x14ac:dyDescent="0.25">
      <c r="A2312" s="203">
        <v>2309000</v>
      </c>
      <c r="B2312" s="202">
        <v>18187.5</v>
      </c>
    </row>
    <row r="2313" spans="1:2" hidden="1" x14ac:dyDescent="0.25">
      <c r="A2313" s="203">
        <v>2310000</v>
      </c>
      <c r="B2313" s="202">
        <v>18190.7</v>
      </c>
    </row>
    <row r="2314" spans="1:2" hidden="1" x14ac:dyDescent="0.25">
      <c r="A2314" s="203">
        <v>2311000</v>
      </c>
      <c r="B2314" s="202">
        <v>18193.849999999999</v>
      </c>
    </row>
    <row r="2315" spans="1:2" hidden="1" x14ac:dyDescent="0.25">
      <c r="A2315" s="203">
        <v>2312000</v>
      </c>
      <c r="B2315" s="202">
        <v>18197</v>
      </c>
    </row>
    <row r="2316" spans="1:2" hidden="1" x14ac:dyDescent="0.25">
      <c r="A2316" s="203">
        <v>2313000</v>
      </c>
      <c r="B2316" s="202">
        <v>18200.25</v>
      </c>
    </row>
    <row r="2317" spans="1:2" hidden="1" x14ac:dyDescent="0.25">
      <c r="A2317" s="203">
        <v>2314000</v>
      </c>
      <c r="B2317" s="202">
        <v>18203.400000000001</v>
      </c>
    </row>
    <row r="2318" spans="1:2" hidden="1" x14ac:dyDescent="0.25">
      <c r="A2318" s="203">
        <v>2315000</v>
      </c>
      <c r="B2318" s="202">
        <v>18206.55</v>
      </c>
    </row>
    <row r="2319" spans="1:2" hidden="1" x14ac:dyDescent="0.25">
      <c r="A2319" s="203">
        <v>2316000</v>
      </c>
      <c r="B2319" s="202">
        <v>18209.75</v>
      </c>
    </row>
    <row r="2320" spans="1:2" hidden="1" x14ac:dyDescent="0.25">
      <c r="A2320" s="203">
        <v>2317000</v>
      </c>
      <c r="B2320" s="202">
        <v>18212.900000000001</v>
      </c>
    </row>
    <row r="2321" spans="1:2" hidden="1" x14ac:dyDescent="0.25">
      <c r="A2321" s="203">
        <v>2318000</v>
      </c>
      <c r="B2321" s="202">
        <v>18216.099999999999</v>
      </c>
    </row>
    <row r="2322" spans="1:2" hidden="1" x14ac:dyDescent="0.25">
      <c r="A2322" s="203">
        <v>2319000</v>
      </c>
      <c r="B2322" s="202">
        <v>18219.3</v>
      </c>
    </row>
    <row r="2323" spans="1:2" hidden="1" x14ac:dyDescent="0.25">
      <c r="A2323" s="203">
        <v>2320000</v>
      </c>
      <c r="B2323" s="202">
        <v>18222.45</v>
      </c>
    </row>
    <row r="2324" spans="1:2" hidden="1" x14ac:dyDescent="0.25">
      <c r="A2324" s="203">
        <v>2321000</v>
      </c>
      <c r="B2324" s="202">
        <v>18225.650000000001</v>
      </c>
    </row>
    <row r="2325" spans="1:2" hidden="1" x14ac:dyDescent="0.25">
      <c r="A2325" s="203">
        <v>2322000</v>
      </c>
      <c r="B2325" s="202">
        <v>18228.849999999999</v>
      </c>
    </row>
    <row r="2326" spans="1:2" hidden="1" x14ac:dyDescent="0.25">
      <c r="A2326" s="203">
        <v>2323000</v>
      </c>
      <c r="B2326" s="202">
        <v>18232.05</v>
      </c>
    </row>
    <row r="2327" spans="1:2" hidden="1" x14ac:dyDescent="0.25">
      <c r="A2327" s="203">
        <v>2324000</v>
      </c>
      <c r="B2327" s="202">
        <v>18235.25</v>
      </c>
    </row>
    <row r="2328" spans="1:2" hidden="1" x14ac:dyDescent="0.25">
      <c r="A2328" s="203">
        <v>2325000</v>
      </c>
      <c r="B2328" s="202">
        <v>18238.400000000001</v>
      </c>
    </row>
    <row r="2329" spans="1:2" hidden="1" x14ac:dyDescent="0.25">
      <c r="A2329" s="203">
        <v>2326000</v>
      </c>
      <c r="B2329" s="202">
        <v>18241.55</v>
      </c>
    </row>
    <row r="2330" spans="1:2" hidden="1" x14ac:dyDescent="0.25">
      <c r="A2330" s="203">
        <v>2327000</v>
      </c>
      <c r="B2330" s="202">
        <v>18244.75</v>
      </c>
    </row>
    <row r="2331" spans="1:2" hidden="1" x14ac:dyDescent="0.25">
      <c r="A2331" s="203">
        <v>2328000</v>
      </c>
      <c r="B2331" s="202">
        <v>18247.95</v>
      </c>
    </row>
    <row r="2332" spans="1:2" hidden="1" x14ac:dyDescent="0.25">
      <c r="A2332" s="203">
        <v>2329000</v>
      </c>
      <c r="B2332" s="202">
        <v>18251.099999999999</v>
      </c>
    </row>
    <row r="2333" spans="1:2" hidden="1" x14ac:dyDescent="0.25">
      <c r="A2333" s="203">
        <v>2330000</v>
      </c>
      <c r="B2333" s="202">
        <v>18254.3</v>
      </c>
    </row>
    <row r="2334" spans="1:2" hidden="1" x14ac:dyDescent="0.25">
      <c r="A2334" s="203">
        <v>2331000</v>
      </c>
      <c r="B2334" s="202">
        <v>18257.45</v>
      </c>
    </row>
    <row r="2335" spans="1:2" hidden="1" x14ac:dyDescent="0.25">
      <c r="A2335" s="203">
        <v>2332000</v>
      </c>
      <c r="B2335" s="202">
        <v>18260.599999999999</v>
      </c>
    </row>
    <row r="2336" spans="1:2" hidden="1" x14ac:dyDescent="0.25">
      <c r="A2336" s="203">
        <v>2333000</v>
      </c>
      <c r="B2336" s="202">
        <v>18263.849999999999</v>
      </c>
    </row>
    <row r="2337" spans="1:2" hidden="1" x14ac:dyDescent="0.25">
      <c r="A2337" s="203">
        <v>2334000</v>
      </c>
      <c r="B2337" s="202">
        <v>18267</v>
      </c>
    </row>
    <row r="2338" spans="1:2" hidden="1" x14ac:dyDescent="0.25">
      <c r="A2338" s="203">
        <v>2335000</v>
      </c>
      <c r="B2338" s="202">
        <v>18270.25</v>
      </c>
    </row>
    <row r="2339" spans="1:2" hidden="1" x14ac:dyDescent="0.25">
      <c r="A2339" s="203">
        <v>2336000</v>
      </c>
      <c r="B2339" s="202">
        <v>18273.400000000001</v>
      </c>
    </row>
    <row r="2340" spans="1:2" hidden="1" x14ac:dyDescent="0.25">
      <c r="A2340" s="203">
        <v>2337000</v>
      </c>
      <c r="B2340" s="202">
        <v>18276.55</v>
      </c>
    </row>
    <row r="2341" spans="1:2" hidden="1" x14ac:dyDescent="0.25">
      <c r="A2341" s="203">
        <v>2338000</v>
      </c>
      <c r="B2341" s="202">
        <v>18279.8</v>
      </c>
    </row>
    <row r="2342" spans="1:2" hidden="1" x14ac:dyDescent="0.25">
      <c r="A2342" s="203">
        <v>2339000</v>
      </c>
      <c r="B2342" s="202">
        <v>18282.95</v>
      </c>
    </row>
    <row r="2343" spans="1:2" hidden="1" x14ac:dyDescent="0.25">
      <c r="A2343" s="203">
        <v>2340000</v>
      </c>
      <c r="B2343" s="202">
        <v>18286.099999999999</v>
      </c>
    </row>
    <row r="2344" spans="1:2" hidden="1" x14ac:dyDescent="0.25">
      <c r="A2344" s="203">
        <v>2341000</v>
      </c>
      <c r="B2344" s="202">
        <v>18289.3</v>
      </c>
    </row>
    <row r="2345" spans="1:2" hidden="1" x14ac:dyDescent="0.25">
      <c r="A2345" s="203">
        <v>2342000</v>
      </c>
      <c r="B2345" s="202">
        <v>18292.45</v>
      </c>
    </row>
    <row r="2346" spans="1:2" hidden="1" x14ac:dyDescent="0.25">
      <c r="A2346" s="203">
        <v>2343000</v>
      </c>
      <c r="B2346" s="202">
        <v>18295.650000000001</v>
      </c>
    </row>
    <row r="2347" spans="1:2" hidden="1" x14ac:dyDescent="0.25">
      <c r="A2347" s="203">
        <v>2344000</v>
      </c>
      <c r="B2347" s="202">
        <v>18298.849999999999</v>
      </c>
    </row>
    <row r="2348" spans="1:2" hidden="1" x14ac:dyDescent="0.25">
      <c r="A2348" s="203">
        <v>2345000</v>
      </c>
      <c r="B2348" s="202">
        <v>18302</v>
      </c>
    </row>
    <row r="2349" spans="1:2" hidden="1" x14ac:dyDescent="0.25">
      <c r="A2349" s="203">
        <v>2346000</v>
      </c>
      <c r="B2349" s="202">
        <v>18305.150000000001</v>
      </c>
    </row>
    <row r="2350" spans="1:2" hidden="1" x14ac:dyDescent="0.25">
      <c r="A2350" s="203">
        <v>2347000</v>
      </c>
      <c r="B2350" s="202">
        <v>18308.349999999999</v>
      </c>
    </row>
    <row r="2351" spans="1:2" hidden="1" x14ac:dyDescent="0.25">
      <c r="A2351" s="203">
        <v>2348000</v>
      </c>
      <c r="B2351" s="202">
        <v>18311.599999999999</v>
      </c>
    </row>
    <row r="2352" spans="1:2" hidden="1" x14ac:dyDescent="0.25">
      <c r="A2352" s="203">
        <v>2349000</v>
      </c>
      <c r="B2352" s="202">
        <v>18314.8</v>
      </c>
    </row>
    <row r="2353" spans="1:2" hidden="1" x14ac:dyDescent="0.25">
      <c r="A2353" s="203">
        <v>2350000</v>
      </c>
      <c r="B2353" s="202">
        <v>18317.95</v>
      </c>
    </row>
    <row r="2354" spans="1:2" hidden="1" x14ac:dyDescent="0.25">
      <c r="A2354" s="203">
        <v>2351000</v>
      </c>
      <c r="B2354" s="202">
        <v>18321.099999999999</v>
      </c>
    </row>
    <row r="2355" spans="1:2" hidden="1" x14ac:dyDescent="0.25">
      <c r="A2355" s="203">
        <v>2352000</v>
      </c>
      <c r="B2355" s="202">
        <v>18324.3</v>
      </c>
    </row>
    <row r="2356" spans="1:2" hidden="1" x14ac:dyDescent="0.25">
      <c r="A2356" s="203">
        <v>2353000</v>
      </c>
      <c r="B2356" s="202">
        <v>18327.5</v>
      </c>
    </row>
    <row r="2357" spans="1:2" hidden="1" x14ac:dyDescent="0.25">
      <c r="A2357" s="203">
        <v>2354000</v>
      </c>
      <c r="B2357" s="202">
        <v>18330.650000000001</v>
      </c>
    </row>
    <row r="2358" spans="1:2" hidden="1" x14ac:dyDescent="0.25">
      <c r="A2358" s="203">
        <v>2355000</v>
      </c>
      <c r="B2358" s="202">
        <v>18333.849999999999</v>
      </c>
    </row>
    <row r="2359" spans="1:2" hidden="1" x14ac:dyDescent="0.25">
      <c r="A2359" s="203">
        <v>2356000</v>
      </c>
      <c r="B2359" s="202">
        <v>18337</v>
      </c>
    </row>
    <row r="2360" spans="1:2" hidden="1" x14ac:dyDescent="0.25">
      <c r="A2360" s="203">
        <v>2357000</v>
      </c>
      <c r="B2360" s="202">
        <v>18340.150000000001</v>
      </c>
    </row>
    <row r="2361" spans="1:2" hidden="1" x14ac:dyDescent="0.25">
      <c r="A2361" s="203">
        <v>2358000</v>
      </c>
      <c r="B2361" s="202">
        <v>18343.400000000001</v>
      </c>
    </row>
    <row r="2362" spans="1:2" hidden="1" x14ac:dyDescent="0.25">
      <c r="A2362" s="203">
        <v>2359000</v>
      </c>
      <c r="B2362" s="202">
        <v>18346.55</v>
      </c>
    </row>
    <row r="2363" spans="1:2" hidden="1" x14ac:dyDescent="0.25">
      <c r="A2363" s="203">
        <v>2360000</v>
      </c>
      <c r="B2363" s="202">
        <v>18349.7</v>
      </c>
    </row>
    <row r="2364" spans="1:2" hidden="1" x14ac:dyDescent="0.25">
      <c r="A2364" s="203">
        <v>2361000</v>
      </c>
      <c r="B2364" s="202">
        <v>18352.900000000001</v>
      </c>
    </row>
    <row r="2365" spans="1:2" hidden="1" x14ac:dyDescent="0.25">
      <c r="A2365" s="203">
        <v>2362000</v>
      </c>
      <c r="B2365" s="202">
        <v>18356.05</v>
      </c>
    </row>
    <row r="2366" spans="1:2" hidden="1" x14ac:dyDescent="0.25">
      <c r="A2366" s="203">
        <v>2363000</v>
      </c>
      <c r="B2366" s="202">
        <v>18359.349999999999</v>
      </c>
    </row>
    <row r="2367" spans="1:2" hidden="1" x14ac:dyDescent="0.25">
      <c r="A2367" s="203">
        <v>2364000</v>
      </c>
      <c r="B2367" s="202">
        <v>18362.5</v>
      </c>
    </row>
    <row r="2368" spans="1:2" hidden="1" x14ac:dyDescent="0.25">
      <c r="A2368" s="203">
        <v>2365000</v>
      </c>
      <c r="B2368" s="202">
        <v>18365.650000000001</v>
      </c>
    </row>
    <row r="2369" spans="1:2" hidden="1" x14ac:dyDescent="0.25">
      <c r="A2369" s="203">
        <v>2366000</v>
      </c>
      <c r="B2369" s="202">
        <v>18368.849999999999</v>
      </c>
    </row>
    <row r="2370" spans="1:2" hidden="1" x14ac:dyDescent="0.25">
      <c r="A2370" s="203">
        <v>2367000</v>
      </c>
      <c r="B2370" s="202">
        <v>18372</v>
      </c>
    </row>
    <row r="2371" spans="1:2" hidden="1" x14ac:dyDescent="0.25">
      <c r="A2371" s="203">
        <v>2368000</v>
      </c>
      <c r="B2371" s="202">
        <v>18375.2</v>
      </c>
    </row>
    <row r="2372" spans="1:2" hidden="1" x14ac:dyDescent="0.25">
      <c r="A2372" s="203">
        <v>2369000</v>
      </c>
      <c r="B2372" s="202">
        <v>18378.400000000001</v>
      </c>
    </row>
    <row r="2373" spans="1:2" hidden="1" x14ac:dyDescent="0.25">
      <c r="A2373" s="203">
        <v>2370000</v>
      </c>
      <c r="B2373" s="202">
        <v>18381.55</v>
      </c>
    </row>
    <row r="2374" spans="1:2" hidden="1" x14ac:dyDescent="0.25">
      <c r="A2374" s="203">
        <v>2371000</v>
      </c>
      <c r="B2374" s="202">
        <v>18384.7</v>
      </c>
    </row>
    <row r="2375" spans="1:2" hidden="1" x14ac:dyDescent="0.25">
      <c r="A2375" s="203">
        <v>2372000</v>
      </c>
      <c r="B2375" s="202">
        <v>18387.900000000001</v>
      </c>
    </row>
    <row r="2376" spans="1:2" hidden="1" x14ac:dyDescent="0.25">
      <c r="A2376" s="203">
        <v>2373000</v>
      </c>
      <c r="B2376" s="202">
        <v>18391.099999999999</v>
      </c>
    </row>
    <row r="2377" spans="1:2" hidden="1" x14ac:dyDescent="0.25">
      <c r="A2377" s="203">
        <v>2374000</v>
      </c>
      <c r="B2377" s="202">
        <v>18394.3</v>
      </c>
    </row>
    <row r="2378" spans="1:2" hidden="1" x14ac:dyDescent="0.25">
      <c r="A2378" s="203">
        <v>2375000</v>
      </c>
      <c r="B2378" s="202">
        <v>18397.45</v>
      </c>
    </row>
    <row r="2379" spans="1:2" hidden="1" x14ac:dyDescent="0.25">
      <c r="A2379" s="203">
        <v>2376000</v>
      </c>
      <c r="B2379" s="202">
        <v>18400.650000000001</v>
      </c>
    </row>
    <row r="2380" spans="1:2" hidden="1" x14ac:dyDescent="0.25">
      <c r="A2380" s="203">
        <v>2377000</v>
      </c>
      <c r="B2380" s="202">
        <v>18403.849999999999</v>
      </c>
    </row>
    <row r="2381" spans="1:2" hidden="1" x14ac:dyDescent="0.25">
      <c r="A2381" s="203">
        <v>2378000</v>
      </c>
      <c r="B2381" s="202">
        <v>18407.05</v>
      </c>
    </row>
    <row r="2382" spans="1:2" hidden="1" x14ac:dyDescent="0.25">
      <c r="A2382" s="203">
        <v>2379000</v>
      </c>
      <c r="B2382" s="202">
        <v>18410.2</v>
      </c>
    </row>
    <row r="2383" spans="1:2" hidden="1" x14ac:dyDescent="0.25">
      <c r="A2383" s="203">
        <v>2380000</v>
      </c>
      <c r="B2383" s="202">
        <v>18413.400000000001</v>
      </c>
    </row>
    <row r="2384" spans="1:2" hidden="1" x14ac:dyDescent="0.25">
      <c r="A2384" s="203">
        <v>2381000</v>
      </c>
      <c r="B2384" s="202">
        <v>18416.55</v>
      </c>
    </row>
    <row r="2385" spans="1:2" hidden="1" x14ac:dyDescent="0.25">
      <c r="A2385" s="203">
        <v>2382000</v>
      </c>
      <c r="B2385" s="202">
        <v>18419.7</v>
      </c>
    </row>
    <row r="2386" spans="1:2" hidden="1" x14ac:dyDescent="0.25">
      <c r="A2386" s="203">
        <v>2383000</v>
      </c>
      <c r="B2386" s="202">
        <v>18422.95</v>
      </c>
    </row>
    <row r="2387" spans="1:2" hidden="1" x14ac:dyDescent="0.25">
      <c r="A2387" s="203">
        <v>2384000</v>
      </c>
      <c r="B2387" s="202">
        <v>18426.099999999999</v>
      </c>
    </row>
    <row r="2388" spans="1:2" hidden="1" x14ac:dyDescent="0.25">
      <c r="A2388" s="203">
        <v>2385000</v>
      </c>
      <c r="B2388" s="202">
        <v>18429.25</v>
      </c>
    </row>
    <row r="2389" spans="1:2" hidden="1" x14ac:dyDescent="0.25">
      <c r="A2389" s="203">
        <v>2386000</v>
      </c>
      <c r="B2389" s="202">
        <v>18432.45</v>
      </c>
    </row>
    <row r="2390" spans="1:2" hidden="1" x14ac:dyDescent="0.25">
      <c r="A2390" s="203">
        <v>2387000</v>
      </c>
      <c r="B2390" s="202">
        <v>18435.599999999999</v>
      </c>
    </row>
    <row r="2391" spans="1:2" hidden="1" x14ac:dyDescent="0.25">
      <c r="A2391" s="203">
        <v>2388000</v>
      </c>
      <c r="B2391" s="202">
        <v>18438.849999999999</v>
      </c>
    </row>
    <row r="2392" spans="1:2" hidden="1" x14ac:dyDescent="0.25">
      <c r="A2392" s="203">
        <v>2389000</v>
      </c>
      <c r="B2392" s="202">
        <v>18442</v>
      </c>
    </row>
    <row r="2393" spans="1:2" hidden="1" x14ac:dyDescent="0.25">
      <c r="A2393" s="203">
        <v>2390000</v>
      </c>
      <c r="B2393" s="202">
        <v>18445.2</v>
      </c>
    </row>
    <row r="2394" spans="1:2" hidden="1" x14ac:dyDescent="0.25">
      <c r="A2394" s="203">
        <v>2391000</v>
      </c>
      <c r="B2394" s="202">
        <v>18448.400000000001</v>
      </c>
    </row>
    <row r="2395" spans="1:2" hidden="1" x14ac:dyDescent="0.25">
      <c r="A2395" s="203">
        <v>2392000</v>
      </c>
      <c r="B2395" s="202">
        <v>18451.55</v>
      </c>
    </row>
    <row r="2396" spans="1:2" hidden="1" x14ac:dyDescent="0.25">
      <c r="A2396" s="203">
        <v>2393000</v>
      </c>
      <c r="B2396" s="202">
        <v>18454.75</v>
      </c>
    </row>
    <row r="2397" spans="1:2" hidden="1" x14ac:dyDescent="0.25">
      <c r="A2397" s="203">
        <v>2394000</v>
      </c>
      <c r="B2397" s="202">
        <v>18457.95</v>
      </c>
    </row>
    <row r="2398" spans="1:2" hidden="1" x14ac:dyDescent="0.25">
      <c r="A2398" s="203">
        <v>2395000</v>
      </c>
      <c r="B2398" s="202">
        <v>18461.099999999999</v>
      </c>
    </row>
    <row r="2399" spans="1:2" hidden="1" x14ac:dyDescent="0.25">
      <c r="A2399" s="203">
        <v>2396000</v>
      </c>
      <c r="B2399" s="202">
        <v>18464.25</v>
      </c>
    </row>
    <row r="2400" spans="1:2" hidden="1" x14ac:dyDescent="0.25">
      <c r="A2400" s="203">
        <v>2397000</v>
      </c>
      <c r="B2400" s="202">
        <v>18467.45</v>
      </c>
    </row>
    <row r="2401" spans="1:2" hidden="1" x14ac:dyDescent="0.25">
      <c r="A2401" s="203">
        <v>2398000</v>
      </c>
      <c r="B2401" s="202">
        <v>18470.650000000001</v>
      </c>
    </row>
    <row r="2402" spans="1:2" hidden="1" x14ac:dyDescent="0.25">
      <c r="A2402" s="203">
        <v>2399000</v>
      </c>
      <c r="B2402" s="202">
        <v>18473.8</v>
      </c>
    </row>
    <row r="2403" spans="1:2" hidden="1" x14ac:dyDescent="0.25">
      <c r="A2403" s="203">
        <v>2400000</v>
      </c>
      <c r="B2403" s="202">
        <v>18477</v>
      </c>
    </row>
    <row r="2404" spans="1:2" hidden="1" x14ac:dyDescent="0.25">
      <c r="A2404" s="203">
        <v>2401000</v>
      </c>
      <c r="B2404" s="202">
        <v>18480.150000000001</v>
      </c>
    </row>
    <row r="2405" spans="1:2" hidden="1" x14ac:dyDescent="0.25">
      <c r="A2405" s="203">
        <v>2402000</v>
      </c>
      <c r="B2405" s="202">
        <v>18483.349999999999</v>
      </c>
    </row>
    <row r="2406" spans="1:2" hidden="1" x14ac:dyDescent="0.25">
      <c r="A2406" s="203">
        <v>2403000</v>
      </c>
      <c r="B2406" s="202">
        <v>18486.55</v>
      </c>
    </row>
    <row r="2407" spans="1:2" hidden="1" x14ac:dyDescent="0.25">
      <c r="A2407" s="203">
        <v>2404000</v>
      </c>
      <c r="B2407" s="202">
        <v>18489.75</v>
      </c>
    </row>
    <row r="2408" spans="1:2" hidden="1" x14ac:dyDescent="0.25">
      <c r="A2408" s="203">
        <v>2405000</v>
      </c>
      <c r="B2408" s="202">
        <v>18492.95</v>
      </c>
    </row>
    <row r="2409" spans="1:2" hidden="1" x14ac:dyDescent="0.25">
      <c r="A2409" s="203">
        <v>2406000</v>
      </c>
      <c r="B2409" s="202">
        <v>18496.099999999999</v>
      </c>
    </row>
    <row r="2410" spans="1:2" hidden="1" x14ac:dyDescent="0.25">
      <c r="A2410" s="203">
        <v>2407000</v>
      </c>
      <c r="B2410" s="202">
        <v>18499.25</v>
      </c>
    </row>
    <row r="2411" spans="1:2" hidden="1" x14ac:dyDescent="0.25">
      <c r="A2411" s="203">
        <v>2408000</v>
      </c>
      <c r="B2411" s="202">
        <v>18502.5</v>
      </c>
    </row>
    <row r="2412" spans="1:2" hidden="1" x14ac:dyDescent="0.25">
      <c r="A2412" s="203">
        <v>2409000</v>
      </c>
      <c r="B2412" s="202">
        <v>18505.650000000001</v>
      </c>
    </row>
    <row r="2413" spans="1:2" hidden="1" x14ac:dyDescent="0.25">
      <c r="A2413" s="203">
        <v>2410000</v>
      </c>
      <c r="B2413" s="202">
        <v>18508.8</v>
      </c>
    </row>
    <row r="2414" spans="1:2" hidden="1" x14ac:dyDescent="0.25">
      <c r="A2414" s="203">
        <v>2411000</v>
      </c>
      <c r="B2414" s="202">
        <v>18512</v>
      </c>
    </row>
    <row r="2415" spans="1:2" hidden="1" x14ac:dyDescent="0.25">
      <c r="A2415" s="203">
        <v>2412000</v>
      </c>
      <c r="B2415" s="202">
        <v>18515.150000000001</v>
      </c>
    </row>
    <row r="2416" spans="1:2" hidden="1" x14ac:dyDescent="0.25">
      <c r="A2416" s="203">
        <v>2413000</v>
      </c>
      <c r="B2416" s="202">
        <v>18518.400000000001</v>
      </c>
    </row>
    <row r="2417" spans="1:2" hidden="1" x14ac:dyDescent="0.25">
      <c r="A2417" s="203">
        <v>2414000</v>
      </c>
      <c r="B2417" s="202">
        <v>18521.55</v>
      </c>
    </row>
    <row r="2418" spans="1:2" hidden="1" x14ac:dyDescent="0.25">
      <c r="A2418" s="203">
        <v>2415000</v>
      </c>
      <c r="B2418" s="202">
        <v>18524.7</v>
      </c>
    </row>
    <row r="2419" spans="1:2" hidden="1" x14ac:dyDescent="0.25">
      <c r="A2419" s="203">
        <v>2416000</v>
      </c>
      <c r="B2419" s="202">
        <v>18527.900000000001</v>
      </c>
    </row>
    <row r="2420" spans="1:2" hidden="1" x14ac:dyDescent="0.25">
      <c r="A2420" s="203">
        <v>2417000</v>
      </c>
      <c r="B2420" s="202">
        <v>18531.05</v>
      </c>
    </row>
    <row r="2421" spans="1:2" hidden="1" x14ac:dyDescent="0.25">
      <c r="A2421" s="203">
        <v>2418000</v>
      </c>
      <c r="B2421" s="202">
        <v>18534.3</v>
      </c>
    </row>
    <row r="2422" spans="1:2" hidden="1" x14ac:dyDescent="0.25">
      <c r="A2422" s="203">
        <v>2419000</v>
      </c>
      <c r="B2422" s="202">
        <v>18537.5</v>
      </c>
    </row>
    <row r="2423" spans="1:2" hidden="1" x14ac:dyDescent="0.25">
      <c r="A2423" s="203">
        <v>2420000</v>
      </c>
      <c r="B2423" s="202">
        <v>18540.650000000001</v>
      </c>
    </row>
    <row r="2424" spans="1:2" hidden="1" x14ac:dyDescent="0.25">
      <c r="A2424" s="203">
        <v>2421000</v>
      </c>
      <c r="B2424" s="202">
        <v>18543.8</v>
      </c>
    </row>
    <row r="2425" spans="1:2" hidden="1" x14ac:dyDescent="0.25">
      <c r="A2425" s="203">
        <v>2422000</v>
      </c>
      <c r="B2425" s="202">
        <v>18547</v>
      </c>
    </row>
    <row r="2426" spans="1:2" hidden="1" x14ac:dyDescent="0.25">
      <c r="A2426" s="203">
        <v>2423000</v>
      </c>
      <c r="B2426" s="202">
        <v>18550.2</v>
      </c>
    </row>
    <row r="2427" spans="1:2" hidden="1" x14ac:dyDescent="0.25">
      <c r="A2427" s="203">
        <v>2424000</v>
      </c>
      <c r="B2427" s="202">
        <v>18553.349999999999</v>
      </c>
    </row>
    <row r="2428" spans="1:2" hidden="1" x14ac:dyDescent="0.25">
      <c r="A2428" s="203">
        <v>2425000</v>
      </c>
      <c r="B2428" s="202">
        <v>18556.55</v>
      </c>
    </row>
    <row r="2429" spans="1:2" hidden="1" x14ac:dyDescent="0.25">
      <c r="A2429" s="203">
        <v>2426000</v>
      </c>
      <c r="B2429" s="202">
        <v>18559.7</v>
      </c>
    </row>
    <row r="2430" spans="1:2" hidden="1" x14ac:dyDescent="0.25">
      <c r="A2430" s="203">
        <v>2427000</v>
      </c>
      <c r="B2430" s="202">
        <v>18562.900000000001</v>
      </c>
    </row>
    <row r="2431" spans="1:2" hidden="1" x14ac:dyDescent="0.25">
      <c r="A2431" s="203">
        <v>2428000</v>
      </c>
      <c r="B2431" s="202">
        <v>18566.099999999999</v>
      </c>
    </row>
    <row r="2432" spans="1:2" hidden="1" x14ac:dyDescent="0.25">
      <c r="A2432" s="203">
        <v>2429000</v>
      </c>
      <c r="B2432" s="202">
        <v>18569.25</v>
      </c>
    </row>
    <row r="2433" spans="1:2" hidden="1" x14ac:dyDescent="0.25">
      <c r="A2433" s="203">
        <v>2430000</v>
      </c>
      <c r="B2433" s="202">
        <v>18572.45</v>
      </c>
    </row>
    <row r="2434" spans="1:2" hidden="1" x14ac:dyDescent="0.25">
      <c r="A2434" s="203">
        <v>2431000</v>
      </c>
      <c r="B2434" s="202">
        <v>18575.599999999999</v>
      </c>
    </row>
    <row r="2435" spans="1:2" hidden="1" x14ac:dyDescent="0.25">
      <c r="A2435" s="203">
        <v>2432000</v>
      </c>
      <c r="B2435" s="202">
        <v>18578.8</v>
      </c>
    </row>
    <row r="2436" spans="1:2" hidden="1" x14ac:dyDescent="0.25">
      <c r="A2436" s="203">
        <v>2433000</v>
      </c>
      <c r="B2436" s="202">
        <v>18582.05</v>
      </c>
    </row>
    <row r="2437" spans="1:2" hidden="1" x14ac:dyDescent="0.25">
      <c r="A2437" s="203">
        <v>2434000</v>
      </c>
      <c r="B2437" s="202">
        <v>18585.2</v>
      </c>
    </row>
    <row r="2438" spans="1:2" hidden="1" x14ac:dyDescent="0.25">
      <c r="A2438" s="203">
        <v>2435000</v>
      </c>
      <c r="B2438" s="202">
        <v>18588.349999999999</v>
      </c>
    </row>
    <row r="2439" spans="1:2" hidden="1" x14ac:dyDescent="0.25">
      <c r="A2439" s="203">
        <v>2436000</v>
      </c>
      <c r="B2439" s="202">
        <v>18591.55</v>
      </c>
    </row>
    <row r="2440" spans="1:2" hidden="1" x14ac:dyDescent="0.25">
      <c r="A2440" s="203">
        <v>2437000</v>
      </c>
      <c r="B2440" s="202">
        <v>18594.7</v>
      </c>
    </row>
    <row r="2441" spans="1:2" hidden="1" x14ac:dyDescent="0.25">
      <c r="A2441" s="203">
        <v>2438000</v>
      </c>
      <c r="B2441" s="202">
        <v>18597.95</v>
      </c>
    </row>
    <row r="2442" spans="1:2" hidden="1" x14ac:dyDescent="0.25">
      <c r="A2442" s="203">
        <v>2439000</v>
      </c>
      <c r="B2442" s="202">
        <v>18601.099999999999</v>
      </c>
    </row>
    <row r="2443" spans="1:2" hidden="1" x14ac:dyDescent="0.25">
      <c r="A2443" s="203">
        <v>2440000</v>
      </c>
      <c r="B2443" s="202">
        <v>18604.25</v>
      </c>
    </row>
    <row r="2444" spans="1:2" hidden="1" x14ac:dyDescent="0.25">
      <c r="A2444" s="203">
        <v>2441000</v>
      </c>
      <c r="B2444" s="202">
        <v>18607.45</v>
      </c>
    </row>
    <row r="2445" spans="1:2" hidden="1" x14ac:dyDescent="0.25">
      <c r="A2445" s="203">
        <v>2442000</v>
      </c>
      <c r="B2445" s="202">
        <v>18610.599999999999</v>
      </c>
    </row>
    <row r="2446" spans="1:2" hidden="1" x14ac:dyDescent="0.25">
      <c r="A2446" s="203">
        <v>2443000</v>
      </c>
      <c r="B2446" s="202">
        <v>18613.8</v>
      </c>
    </row>
    <row r="2447" spans="1:2" hidden="1" x14ac:dyDescent="0.25">
      <c r="A2447" s="203">
        <v>2444000</v>
      </c>
      <c r="B2447" s="202">
        <v>18617</v>
      </c>
    </row>
    <row r="2448" spans="1:2" hidden="1" x14ac:dyDescent="0.25">
      <c r="A2448" s="203">
        <v>2445000</v>
      </c>
      <c r="B2448" s="202">
        <v>18620.150000000001</v>
      </c>
    </row>
    <row r="2449" spans="1:2" hidden="1" x14ac:dyDescent="0.25">
      <c r="A2449" s="203">
        <v>2446000</v>
      </c>
      <c r="B2449" s="202">
        <v>18623.349999999999</v>
      </c>
    </row>
    <row r="2450" spans="1:2" hidden="1" x14ac:dyDescent="0.25">
      <c r="A2450" s="203">
        <v>2447000</v>
      </c>
      <c r="B2450" s="202">
        <v>18626.55</v>
      </c>
    </row>
    <row r="2451" spans="1:2" hidden="1" x14ac:dyDescent="0.25">
      <c r="A2451" s="203">
        <v>2448000</v>
      </c>
      <c r="B2451" s="202">
        <v>18629.75</v>
      </c>
    </row>
    <row r="2452" spans="1:2" hidden="1" x14ac:dyDescent="0.25">
      <c r="A2452" s="203">
        <v>2449000</v>
      </c>
      <c r="B2452" s="202">
        <v>18632.900000000001</v>
      </c>
    </row>
    <row r="2453" spans="1:2" hidden="1" x14ac:dyDescent="0.25">
      <c r="A2453" s="203">
        <v>2450000</v>
      </c>
      <c r="B2453" s="202">
        <v>18636.099999999999</v>
      </c>
    </row>
    <row r="2454" spans="1:2" hidden="1" x14ac:dyDescent="0.25">
      <c r="A2454" s="203">
        <v>2451000</v>
      </c>
      <c r="B2454" s="202">
        <v>18639.25</v>
      </c>
    </row>
    <row r="2455" spans="1:2" hidden="1" x14ac:dyDescent="0.25">
      <c r="A2455" s="203">
        <v>2452000</v>
      </c>
      <c r="B2455" s="202">
        <v>18642.45</v>
      </c>
    </row>
    <row r="2456" spans="1:2" hidden="1" x14ac:dyDescent="0.25">
      <c r="A2456" s="203">
        <v>2453000</v>
      </c>
      <c r="B2456" s="202">
        <v>18645.650000000001</v>
      </c>
    </row>
    <row r="2457" spans="1:2" hidden="1" x14ac:dyDescent="0.25">
      <c r="A2457" s="203">
        <v>2454000</v>
      </c>
      <c r="B2457" s="202">
        <v>18648.8</v>
      </c>
    </row>
    <row r="2458" spans="1:2" hidden="1" x14ac:dyDescent="0.25">
      <c r="A2458" s="203">
        <v>2455000</v>
      </c>
      <c r="B2458" s="202">
        <v>18652</v>
      </c>
    </row>
    <row r="2459" spans="1:2" hidden="1" x14ac:dyDescent="0.25">
      <c r="A2459" s="203">
        <v>2456000</v>
      </c>
      <c r="B2459" s="202">
        <v>18655.150000000001</v>
      </c>
    </row>
    <row r="2460" spans="1:2" hidden="1" x14ac:dyDescent="0.25">
      <c r="A2460" s="203">
        <v>2457000</v>
      </c>
      <c r="B2460" s="202">
        <v>18658.3</v>
      </c>
    </row>
    <row r="2461" spans="1:2" hidden="1" x14ac:dyDescent="0.25">
      <c r="A2461" s="203">
        <v>2458000</v>
      </c>
      <c r="B2461" s="202">
        <v>18661.55</v>
      </c>
    </row>
    <row r="2462" spans="1:2" hidden="1" x14ac:dyDescent="0.25">
      <c r="A2462" s="203">
        <v>2459000</v>
      </c>
      <c r="B2462" s="202">
        <v>18664.7</v>
      </c>
    </row>
    <row r="2463" spans="1:2" hidden="1" x14ac:dyDescent="0.25">
      <c r="A2463" s="203">
        <v>2460000</v>
      </c>
      <c r="B2463" s="202">
        <v>18667.900000000001</v>
      </c>
    </row>
    <row r="2464" spans="1:2" hidden="1" x14ac:dyDescent="0.25">
      <c r="A2464" s="203">
        <v>2461000</v>
      </c>
      <c r="B2464" s="202">
        <v>18671.099999999999</v>
      </c>
    </row>
    <row r="2465" spans="1:2" hidden="1" x14ac:dyDescent="0.25">
      <c r="A2465" s="203">
        <v>2462000</v>
      </c>
      <c r="B2465" s="202">
        <v>18674.25</v>
      </c>
    </row>
    <row r="2466" spans="1:2" hidden="1" x14ac:dyDescent="0.25">
      <c r="A2466" s="203">
        <v>2463000</v>
      </c>
      <c r="B2466" s="202">
        <v>18677.45</v>
      </c>
    </row>
    <row r="2467" spans="1:2" hidden="1" x14ac:dyDescent="0.25">
      <c r="A2467" s="203">
        <v>2464000</v>
      </c>
      <c r="B2467" s="202">
        <v>18680.650000000001</v>
      </c>
    </row>
    <row r="2468" spans="1:2" hidden="1" x14ac:dyDescent="0.25">
      <c r="A2468" s="203">
        <v>2465000</v>
      </c>
      <c r="B2468" s="202">
        <v>18683.8</v>
      </c>
    </row>
    <row r="2469" spans="1:2" hidden="1" x14ac:dyDescent="0.25">
      <c r="A2469" s="203">
        <v>2466000</v>
      </c>
      <c r="B2469" s="202">
        <v>18687</v>
      </c>
    </row>
    <row r="2470" spans="1:2" hidden="1" x14ac:dyDescent="0.25">
      <c r="A2470" s="203">
        <v>2467000</v>
      </c>
      <c r="B2470" s="202">
        <v>18690.150000000001</v>
      </c>
    </row>
    <row r="2471" spans="1:2" hidden="1" x14ac:dyDescent="0.25">
      <c r="A2471" s="203">
        <v>2468000</v>
      </c>
      <c r="B2471" s="202">
        <v>18693.349999999999</v>
      </c>
    </row>
    <row r="2472" spans="1:2" hidden="1" x14ac:dyDescent="0.25">
      <c r="A2472" s="203">
        <v>2469000</v>
      </c>
      <c r="B2472" s="202">
        <v>18696.55</v>
      </c>
    </row>
    <row r="2473" spans="1:2" hidden="1" x14ac:dyDescent="0.25">
      <c r="A2473" s="203">
        <v>2470000</v>
      </c>
      <c r="B2473" s="202">
        <v>18699.7</v>
      </c>
    </row>
    <row r="2474" spans="1:2" hidden="1" x14ac:dyDescent="0.25">
      <c r="A2474" s="203">
        <v>2471000</v>
      </c>
      <c r="B2474" s="202">
        <v>18702.849999999999</v>
      </c>
    </row>
    <row r="2475" spans="1:2" hidden="1" x14ac:dyDescent="0.25">
      <c r="A2475" s="203">
        <v>2472000</v>
      </c>
      <c r="B2475" s="202">
        <v>18706.05</v>
      </c>
    </row>
    <row r="2476" spans="1:2" hidden="1" x14ac:dyDescent="0.25">
      <c r="A2476" s="203">
        <v>2473000</v>
      </c>
      <c r="B2476" s="202">
        <v>18709.3</v>
      </c>
    </row>
    <row r="2477" spans="1:2" hidden="1" x14ac:dyDescent="0.25">
      <c r="A2477" s="203">
        <v>2474000</v>
      </c>
      <c r="B2477" s="202">
        <v>18712.45</v>
      </c>
    </row>
    <row r="2478" spans="1:2" hidden="1" x14ac:dyDescent="0.25">
      <c r="A2478" s="203">
        <v>2475000</v>
      </c>
      <c r="B2478" s="202">
        <v>18715.650000000001</v>
      </c>
    </row>
    <row r="2479" spans="1:2" hidden="1" x14ac:dyDescent="0.25">
      <c r="A2479" s="203">
        <v>2476000</v>
      </c>
      <c r="B2479" s="202">
        <v>18718.8</v>
      </c>
    </row>
    <row r="2480" spans="1:2" hidden="1" x14ac:dyDescent="0.25">
      <c r="A2480" s="203">
        <v>2477000</v>
      </c>
      <c r="B2480" s="202">
        <v>18721.95</v>
      </c>
    </row>
    <row r="2481" spans="1:2" hidden="1" x14ac:dyDescent="0.25">
      <c r="A2481" s="203">
        <v>2478000</v>
      </c>
      <c r="B2481" s="202">
        <v>18725.25</v>
      </c>
    </row>
    <row r="2482" spans="1:2" hidden="1" x14ac:dyDescent="0.25">
      <c r="A2482" s="203">
        <v>2479000</v>
      </c>
      <c r="B2482" s="202">
        <v>18728.349999999999</v>
      </c>
    </row>
    <row r="2483" spans="1:2" hidden="1" x14ac:dyDescent="0.25">
      <c r="A2483" s="203">
        <v>2480000</v>
      </c>
      <c r="B2483" s="202">
        <v>18731.55</v>
      </c>
    </row>
    <row r="2484" spans="1:2" hidden="1" x14ac:dyDescent="0.25">
      <c r="A2484" s="203">
        <v>2481000</v>
      </c>
      <c r="B2484" s="202">
        <v>18734.7</v>
      </c>
    </row>
    <row r="2485" spans="1:2" hidden="1" x14ac:dyDescent="0.25">
      <c r="A2485" s="203">
        <v>2482000</v>
      </c>
      <c r="B2485" s="202">
        <v>18737.849999999999</v>
      </c>
    </row>
    <row r="2486" spans="1:2" hidden="1" x14ac:dyDescent="0.25">
      <c r="A2486" s="203">
        <v>2483000</v>
      </c>
      <c r="B2486" s="202">
        <v>18741.150000000001</v>
      </c>
    </row>
    <row r="2487" spans="1:2" hidden="1" x14ac:dyDescent="0.25">
      <c r="A2487" s="203">
        <v>2484000</v>
      </c>
      <c r="B2487" s="202">
        <v>18744.3</v>
      </c>
    </row>
    <row r="2488" spans="1:2" hidden="1" x14ac:dyDescent="0.25">
      <c r="A2488" s="203">
        <v>2485000</v>
      </c>
      <c r="B2488" s="202">
        <v>18747.45</v>
      </c>
    </row>
    <row r="2489" spans="1:2" hidden="1" x14ac:dyDescent="0.25">
      <c r="A2489" s="203">
        <v>2486000</v>
      </c>
      <c r="B2489" s="202">
        <v>18750.599999999999</v>
      </c>
    </row>
    <row r="2490" spans="1:2" hidden="1" x14ac:dyDescent="0.25">
      <c r="A2490" s="203">
        <v>2487000</v>
      </c>
      <c r="B2490" s="202">
        <v>18753.75</v>
      </c>
    </row>
    <row r="2491" spans="1:2" hidden="1" x14ac:dyDescent="0.25">
      <c r="A2491" s="203">
        <v>2488000</v>
      </c>
      <c r="B2491" s="202">
        <v>18757.099999999999</v>
      </c>
    </row>
    <row r="2492" spans="1:2" hidden="1" x14ac:dyDescent="0.25">
      <c r="A2492" s="203">
        <v>2489000</v>
      </c>
      <c r="B2492" s="202">
        <v>18760.25</v>
      </c>
    </row>
    <row r="2493" spans="1:2" hidden="1" x14ac:dyDescent="0.25">
      <c r="A2493" s="203">
        <v>2490000</v>
      </c>
      <c r="B2493" s="202">
        <v>18763.400000000001</v>
      </c>
    </row>
    <row r="2494" spans="1:2" hidden="1" x14ac:dyDescent="0.25">
      <c r="A2494" s="203">
        <v>2491000</v>
      </c>
      <c r="B2494" s="202">
        <v>18766.599999999999</v>
      </c>
    </row>
    <row r="2495" spans="1:2" hidden="1" x14ac:dyDescent="0.25">
      <c r="A2495" s="203">
        <v>2492000</v>
      </c>
      <c r="B2495" s="202">
        <v>18769.75</v>
      </c>
    </row>
    <row r="2496" spans="1:2" hidden="1" x14ac:dyDescent="0.25">
      <c r="A2496" s="203">
        <v>2493000</v>
      </c>
      <c r="B2496" s="202">
        <v>18772.95</v>
      </c>
    </row>
    <row r="2497" spans="1:2" hidden="1" x14ac:dyDescent="0.25">
      <c r="A2497" s="203">
        <v>2494000</v>
      </c>
      <c r="B2497" s="202">
        <v>18776.150000000001</v>
      </c>
    </row>
    <row r="2498" spans="1:2" hidden="1" x14ac:dyDescent="0.25">
      <c r="A2498" s="203">
        <v>2495000</v>
      </c>
      <c r="B2498" s="202">
        <v>18779.3</v>
      </c>
    </row>
    <row r="2499" spans="1:2" hidden="1" x14ac:dyDescent="0.25">
      <c r="A2499" s="203">
        <v>2496000</v>
      </c>
      <c r="B2499" s="202">
        <v>18782.45</v>
      </c>
    </row>
    <row r="2500" spans="1:2" hidden="1" x14ac:dyDescent="0.25">
      <c r="A2500" s="203">
        <v>2497000</v>
      </c>
      <c r="B2500" s="202">
        <v>18785.650000000001</v>
      </c>
    </row>
    <row r="2501" spans="1:2" hidden="1" x14ac:dyDescent="0.25">
      <c r="A2501" s="203">
        <v>2498000</v>
      </c>
      <c r="B2501" s="202">
        <v>18788.849999999999</v>
      </c>
    </row>
    <row r="2502" spans="1:2" hidden="1" x14ac:dyDescent="0.25">
      <c r="A2502" s="203">
        <v>2499000</v>
      </c>
      <c r="B2502" s="202">
        <v>18792</v>
      </c>
    </row>
    <row r="2503" spans="1:2" hidden="1" x14ac:dyDescent="0.25">
      <c r="A2503" s="203">
        <v>2500000</v>
      </c>
      <c r="B2503" s="202">
        <v>18795.2</v>
      </c>
    </row>
    <row r="2504" spans="1:2" hidden="1" x14ac:dyDescent="0.25">
      <c r="A2504" s="203">
        <v>2501000</v>
      </c>
      <c r="B2504" s="202">
        <v>18798.400000000001</v>
      </c>
    </row>
    <row r="2505" spans="1:2" hidden="1" x14ac:dyDescent="0.25">
      <c r="A2505" s="203">
        <v>2502000</v>
      </c>
      <c r="B2505" s="202">
        <v>18801.599999999999</v>
      </c>
    </row>
    <row r="2506" spans="1:2" hidden="1" x14ac:dyDescent="0.25">
      <c r="A2506" s="203">
        <v>2503000</v>
      </c>
      <c r="B2506" s="202">
        <v>18804.8</v>
      </c>
    </row>
    <row r="2507" spans="1:2" hidden="1" x14ac:dyDescent="0.25">
      <c r="A2507" s="203">
        <v>2504000</v>
      </c>
      <c r="B2507" s="202">
        <v>18807.95</v>
      </c>
    </row>
    <row r="2508" spans="1:2" hidden="1" x14ac:dyDescent="0.25">
      <c r="A2508" s="203">
        <v>2505000</v>
      </c>
      <c r="B2508" s="202">
        <v>18811.150000000001</v>
      </c>
    </row>
    <row r="2509" spans="1:2" hidden="1" x14ac:dyDescent="0.25">
      <c r="A2509" s="203">
        <v>2506000</v>
      </c>
      <c r="B2509" s="202">
        <v>18814.3</v>
      </c>
    </row>
    <row r="2510" spans="1:2" hidden="1" x14ac:dyDescent="0.25">
      <c r="A2510" s="203">
        <v>2507000</v>
      </c>
      <c r="B2510" s="202">
        <v>18817.45</v>
      </c>
    </row>
    <row r="2511" spans="1:2" hidden="1" x14ac:dyDescent="0.25">
      <c r="A2511" s="203">
        <v>2508000</v>
      </c>
      <c r="B2511" s="202">
        <v>18820.7</v>
      </c>
    </row>
    <row r="2512" spans="1:2" hidden="1" x14ac:dyDescent="0.25">
      <c r="A2512" s="203">
        <v>2509000</v>
      </c>
      <c r="B2512" s="202">
        <v>18823.849999999999</v>
      </c>
    </row>
    <row r="2513" spans="1:2" hidden="1" x14ac:dyDescent="0.25">
      <c r="A2513" s="203">
        <v>2510000</v>
      </c>
      <c r="B2513" s="202">
        <v>18827</v>
      </c>
    </row>
    <row r="2514" spans="1:2" hidden="1" x14ac:dyDescent="0.25">
      <c r="A2514" s="203">
        <v>2511000</v>
      </c>
      <c r="B2514" s="202">
        <v>18830.2</v>
      </c>
    </row>
    <row r="2515" spans="1:2" hidden="1" x14ac:dyDescent="0.25">
      <c r="A2515" s="203">
        <v>2512000</v>
      </c>
      <c r="B2515" s="202">
        <v>18833.349999999999</v>
      </c>
    </row>
    <row r="2516" spans="1:2" hidden="1" x14ac:dyDescent="0.25">
      <c r="A2516" s="203">
        <v>2513000</v>
      </c>
      <c r="B2516" s="202">
        <v>18836.55</v>
      </c>
    </row>
    <row r="2517" spans="1:2" hidden="1" x14ac:dyDescent="0.25">
      <c r="A2517" s="203">
        <v>2514000</v>
      </c>
      <c r="B2517" s="202">
        <v>18839.75</v>
      </c>
    </row>
    <row r="2518" spans="1:2" hidden="1" x14ac:dyDescent="0.25">
      <c r="A2518" s="203">
        <v>2515000</v>
      </c>
      <c r="B2518" s="202">
        <v>18842.95</v>
      </c>
    </row>
    <row r="2519" spans="1:2" hidden="1" x14ac:dyDescent="0.25">
      <c r="A2519" s="203">
        <v>2516000</v>
      </c>
      <c r="B2519" s="202">
        <v>18846.150000000001</v>
      </c>
    </row>
    <row r="2520" spans="1:2" hidden="1" x14ac:dyDescent="0.25">
      <c r="A2520" s="203">
        <v>2517000</v>
      </c>
      <c r="B2520" s="202">
        <v>18849.3</v>
      </c>
    </row>
    <row r="2521" spans="1:2" hidden="1" x14ac:dyDescent="0.25">
      <c r="A2521" s="203">
        <v>2518000</v>
      </c>
      <c r="B2521" s="202">
        <v>18852.5</v>
      </c>
    </row>
    <row r="2522" spans="1:2" hidden="1" x14ac:dyDescent="0.25">
      <c r="A2522" s="203">
        <v>2519000</v>
      </c>
      <c r="B2522" s="202">
        <v>18855.7</v>
      </c>
    </row>
    <row r="2523" spans="1:2" hidden="1" x14ac:dyDescent="0.25">
      <c r="A2523" s="203">
        <v>2520000</v>
      </c>
      <c r="B2523" s="202">
        <v>18858.849999999999</v>
      </c>
    </row>
    <row r="2524" spans="1:2" hidden="1" x14ac:dyDescent="0.25">
      <c r="A2524" s="203">
        <v>2521000</v>
      </c>
      <c r="B2524" s="202">
        <v>18862</v>
      </c>
    </row>
    <row r="2525" spans="1:2" hidden="1" x14ac:dyDescent="0.25">
      <c r="A2525" s="203">
        <v>2522000</v>
      </c>
      <c r="B2525" s="202">
        <v>18865.2</v>
      </c>
    </row>
    <row r="2526" spans="1:2" hidden="1" x14ac:dyDescent="0.25">
      <c r="A2526" s="203">
        <v>2523000</v>
      </c>
      <c r="B2526" s="202">
        <v>18868.400000000001</v>
      </c>
    </row>
    <row r="2527" spans="1:2" hidden="1" x14ac:dyDescent="0.25">
      <c r="A2527" s="203">
        <v>2524000</v>
      </c>
      <c r="B2527" s="202">
        <v>18871.55</v>
      </c>
    </row>
    <row r="2528" spans="1:2" hidden="1" x14ac:dyDescent="0.25">
      <c r="A2528" s="203">
        <v>2525000</v>
      </c>
      <c r="B2528" s="202">
        <v>18874.75</v>
      </c>
    </row>
    <row r="2529" spans="1:2" hidden="1" x14ac:dyDescent="0.25">
      <c r="A2529" s="203">
        <v>2526000</v>
      </c>
      <c r="B2529" s="202">
        <v>18877.900000000001</v>
      </c>
    </row>
    <row r="2530" spans="1:2" hidden="1" x14ac:dyDescent="0.25">
      <c r="A2530" s="203">
        <v>2527000</v>
      </c>
      <c r="B2530" s="202">
        <v>18881.05</v>
      </c>
    </row>
    <row r="2531" spans="1:2" hidden="1" x14ac:dyDescent="0.25">
      <c r="A2531" s="203">
        <v>2528000</v>
      </c>
      <c r="B2531" s="202">
        <v>18884.349999999999</v>
      </c>
    </row>
    <row r="2532" spans="1:2" hidden="1" x14ac:dyDescent="0.25">
      <c r="A2532" s="203">
        <v>2529000</v>
      </c>
      <c r="B2532" s="202">
        <v>18887.5</v>
      </c>
    </row>
    <row r="2533" spans="1:2" hidden="1" x14ac:dyDescent="0.25">
      <c r="A2533" s="203">
        <v>2530000</v>
      </c>
      <c r="B2533" s="202">
        <v>18890.7</v>
      </c>
    </row>
    <row r="2534" spans="1:2" hidden="1" x14ac:dyDescent="0.25">
      <c r="A2534" s="203">
        <v>2531000</v>
      </c>
      <c r="B2534" s="202">
        <v>18893.849999999999</v>
      </c>
    </row>
    <row r="2535" spans="1:2" hidden="1" x14ac:dyDescent="0.25">
      <c r="A2535" s="203">
        <v>2532000</v>
      </c>
      <c r="B2535" s="202">
        <v>18897</v>
      </c>
    </row>
    <row r="2536" spans="1:2" hidden="1" x14ac:dyDescent="0.25">
      <c r="A2536" s="203">
        <v>2533000</v>
      </c>
      <c r="B2536" s="202">
        <v>18900.25</v>
      </c>
    </row>
    <row r="2537" spans="1:2" hidden="1" x14ac:dyDescent="0.25">
      <c r="A2537" s="203">
        <v>2534000</v>
      </c>
      <c r="B2537" s="202">
        <v>18903.400000000001</v>
      </c>
    </row>
    <row r="2538" spans="1:2" hidden="1" x14ac:dyDescent="0.25">
      <c r="A2538" s="203">
        <v>2535000</v>
      </c>
      <c r="B2538" s="202">
        <v>18906.55</v>
      </c>
    </row>
    <row r="2539" spans="1:2" hidden="1" x14ac:dyDescent="0.25">
      <c r="A2539" s="203">
        <v>2536000</v>
      </c>
      <c r="B2539" s="202">
        <v>18909.75</v>
      </c>
    </row>
    <row r="2540" spans="1:2" hidden="1" x14ac:dyDescent="0.25">
      <c r="A2540" s="203">
        <v>2537000</v>
      </c>
      <c r="B2540" s="202">
        <v>18912.900000000001</v>
      </c>
    </row>
    <row r="2541" spans="1:2" hidden="1" x14ac:dyDescent="0.25">
      <c r="A2541" s="203">
        <v>2538000</v>
      </c>
      <c r="B2541" s="202">
        <v>18916.099999999999</v>
      </c>
    </row>
    <row r="2542" spans="1:2" hidden="1" x14ac:dyDescent="0.25">
      <c r="A2542" s="203">
        <v>2539000</v>
      </c>
      <c r="B2542" s="202">
        <v>18919.3</v>
      </c>
    </row>
    <row r="2543" spans="1:2" hidden="1" x14ac:dyDescent="0.25">
      <c r="A2543" s="203">
        <v>2540000</v>
      </c>
      <c r="B2543" s="202">
        <v>18922.45</v>
      </c>
    </row>
    <row r="2544" spans="1:2" hidden="1" x14ac:dyDescent="0.25">
      <c r="A2544" s="203">
        <v>2541000</v>
      </c>
      <c r="B2544" s="202">
        <v>18925.599999999999</v>
      </c>
    </row>
    <row r="2545" spans="1:2" hidden="1" x14ac:dyDescent="0.25">
      <c r="A2545" s="203">
        <v>2542000</v>
      </c>
      <c r="B2545" s="202">
        <v>18928.8</v>
      </c>
    </row>
    <row r="2546" spans="1:2" hidden="1" x14ac:dyDescent="0.25">
      <c r="A2546" s="203">
        <v>2543000</v>
      </c>
      <c r="B2546" s="202">
        <v>18932.05</v>
      </c>
    </row>
    <row r="2547" spans="1:2" hidden="1" x14ac:dyDescent="0.25">
      <c r="A2547" s="203">
        <v>2544000</v>
      </c>
      <c r="B2547" s="202">
        <v>18935.25</v>
      </c>
    </row>
    <row r="2548" spans="1:2" hidden="1" x14ac:dyDescent="0.25">
      <c r="A2548" s="203">
        <v>2545000</v>
      </c>
      <c r="B2548" s="202">
        <v>18938.400000000001</v>
      </c>
    </row>
    <row r="2549" spans="1:2" hidden="1" x14ac:dyDescent="0.25">
      <c r="A2549" s="203">
        <v>2546000</v>
      </c>
      <c r="B2549" s="202">
        <v>18941.55</v>
      </c>
    </row>
    <row r="2550" spans="1:2" hidden="1" x14ac:dyDescent="0.25">
      <c r="A2550" s="203">
        <v>2547000</v>
      </c>
      <c r="B2550" s="202">
        <v>18944.75</v>
      </c>
    </row>
    <row r="2551" spans="1:2" hidden="1" x14ac:dyDescent="0.25">
      <c r="A2551" s="203">
        <v>2548000</v>
      </c>
      <c r="B2551" s="202">
        <v>18947.95</v>
      </c>
    </row>
    <row r="2552" spans="1:2" hidden="1" x14ac:dyDescent="0.25">
      <c r="A2552" s="203">
        <v>2549000</v>
      </c>
      <c r="B2552" s="202">
        <v>18951.099999999999</v>
      </c>
    </row>
    <row r="2553" spans="1:2" hidden="1" x14ac:dyDescent="0.25">
      <c r="A2553" s="203">
        <v>2550000</v>
      </c>
      <c r="B2553" s="202">
        <v>18954.3</v>
      </c>
    </row>
    <row r="2554" spans="1:2" hidden="1" x14ac:dyDescent="0.25">
      <c r="A2554" s="203">
        <v>2551000</v>
      </c>
      <c r="B2554" s="202">
        <v>18957.45</v>
      </c>
    </row>
    <row r="2555" spans="1:2" hidden="1" x14ac:dyDescent="0.25">
      <c r="A2555" s="203">
        <v>2552000</v>
      </c>
      <c r="B2555" s="202">
        <v>18960.599999999999</v>
      </c>
    </row>
    <row r="2556" spans="1:2" hidden="1" x14ac:dyDescent="0.25">
      <c r="A2556" s="203">
        <v>2553000</v>
      </c>
      <c r="B2556" s="202">
        <v>18963.849999999999</v>
      </c>
    </row>
    <row r="2557" spans="1:2" hidden="1" x14ac:dyDescent="0.25">
      <c r="A2557" s="203">
        <v>2554000</v>
      </c>
      <c r="B2557" s="202">
        <v>18967</v>
      </c>
    </row>
    <row r="2558" spans="1:2" hidden="1" x14ac:dyDescent="0.25">
      <c r="A2558" s="203">
        <v>2555000</v>
      </c>
      <c r="B2558" s="202">
        <v>18970.2</v>
      </c>
    </row>
    <row r="2559" spans="1:2" hidden="1" x14ac:dyDescent="0.25">
      <c r="A2559" s="203">
        <v>2556000</v>
      </c>
      <c r="B2559" s="202">
        <v>18973.400000000001</v>
      </c>
    </row>
    <row r="2560" spans="1:2" hidden="1" x14ac:dyDescent="0.25">
      <c r="A2560" s="203">
        <v>2557000</v>
      </c>
      <c r="B2560" s="202">
        <v>18976.55</v>
      </c>
    </row>
    <row r="2561" spans="1:2" hidden="1" x14ac:dyDescent="0.25">
      <c r="A2561" s="203">
        <v>2558000</v>
      </c>
      <c r="B2561" s="202">
        <v>18979.8</v>
      </c>
    </row>
    <row r="2562" spans="1:2" hidden="1" x14ac:dyDescent="0.25">
      <c r="A2562" s="203">
        <v>2559000</v>
      </c>
      <c r="B2562" s="202">
        <v>18982.95</v>
      </c>
    </row>
    <row r="2563" spans="1:2" hidden="1" x14ac:dyDescent="0.25">
      <c r="A2563" s="203">
        <v>2560000</v>
      </c>
      <c r="B2563" s="202">
        <v>18986.099999999999</v>
      </c>
    </row>
    <row r="2564" spans="1:2" hidden="1" x14ac:dyDescent="0.25">
      <c r="A2564" s="203">
        <v>2561000</v>
      </c>
      <c r="B2564" s="202">
        <v>18989.3</v>
      </c>
    </row>
    <row r="2565" spans="1:2" hidden="1" x14ac:dyDescent="0.25">
      <c r="A2565" s="203">
        <v>2562000</v>
      </c>
      <c r="B2565" s="202">
        <v>18992.45</v>
      </c>
    </row>
    <row r="2566" spans="1:2" hidden="1" x14ac:dyDescent="0.25">
      <c r="A2566" s="203">
        <v>2563000</v>
      </c>
      <c r="B2566" s="202">
        <v>18995.650000000001</v>
      </c>
    </row>
    <row r="2567" spans="1:2" hidden="1" x14ac:dyDescent="0.25">
      <c r="A2567" s="203">
        <v>2564000</v>
      </c>
      <c r="B2567" s="202">
        <v>18998.849999999999</v>
      </c>
    </row>
    <row r="2568" spans="1:2" hidden="1" x14ac:dyDescent="0.25">
      <c r="A2568" s="203">
        <v>2565000</v>
      </c>
      <c r="B2568" s="202">
        <v>19002</v>
      </c>
    </row>
    <row r="2569" spans="1:2" hidden="1" x14ac:dyDescent="0.25">
      <c r="A2569" s="203">
        <v>2566000</v>
      </c>
      <c r="B2569" s="202">
        <v>19005.150000000001</v>
      </c>
    </row>
    <row r="2570" spans="1:2" hidden="1" x14ac:dyDescent="0.25">
      <c r="A2570" s="203">
        <v>2567000</v>
      </c>
      <c r="B2570" s="202">
        <v>19008.349999999999</v>
      </c>
    </row>
    <row r="2571" spans="1:2" hidden="1" x14ac:dyDescent="0.25">
      <c r="A2571" s="203">
        <v>2568000</v>
      </c>
      <c r="B2571" s="202">
        <v>19011.55</v>
      </c>
    </row>
    <row r="2572" spans="1:2" hidden="1" x14ac:dyDescent="0.25">
      <c r="A2572" s="203">
        <v>2569000</v>
      </c>
      <c r="B2572" s="202">
        <v>19014.75</v>
      </c>
    </row>
    <row r="2573" spans="1:2" hidden="1" x14ac:dyDescent="0.25">
      <c r="A2573" s="203">
        <v>2570000</v>
      </c>
      <c r="B2573" s="202">
        <v>19017.95</v>
      </c>
    </row>
    <row r="2574" spans="1:2" hidden="1" x14ac:dyDescent="0.25">
      <c r="A2574" s="203">
        <v>2571000</v>
      </c>
      <c r="B2574" s="202">
        <v>19021.099999999999</v>
      </c>
    </row>
    <row r="2575" spans="1:2" hidden="1" x14ac:dyDescent="0.25">
      <c r="A2575" s="203">
        <v>2572000</v>
      </c>
      <c r="B2575" s="202">
        <v>19024.3</v>
      </c>
    </row>
    <row r="2576" spans="1:2" hidden="1" x14ac:dyDescent="0.25">
      <c r="A2576" s="203">
        <v>2573000</v>
      </c>
      <c r="B2576" s="202">
        <v>19027.5</v>
      </c>
    </row>
    <row r="2577" spans="1:2" hidden="1" x14ac:dyDescent="0.25">
      <c r="A2577" s="203">
        <v>2574000</v>
      </c>
      <c r="B2577" s="202">
        <v>19030.650000000001</v>
      </c>
    </row>
    <row r="2578" spans="1:2" hidden="1" x14ac:dyDescent="0.25">
      <c r="A2578" s="203">
        <v>2575000</v>
      </c>
      <c r="B2578" s="202">
        <v>19033.849999999999</v>
      </c>
    </row>
    <row r="2579" spans="1:2" hidden="1" x14ac:dyDescent="0.25">
      <c r="A2579" s="203">
        <v>2576000</v>
      </c>
      <c r="B2579" s="202">
        <v>19037</v>
      </c>
    </row>
    <row r="2580" spans="1:2" hidden="1" x14ac:dyDescent="0.25">
      <c r="A2580" s="203">
        <v>2577000</v>
      </c>
      <c r="B2580" s="202">
        <v>19040.150000000001</v>
      </c>
    </row>
    <row r="2581" spans="1:2" hidden="1" x14ac:dyDescent="0.25">
      <c r="A2581" s="203">
        <v>2578000</v>
      </c>
      <c r="B2581" s="202">
        <v>19043.400000000001</v>
      </c>
    </row>
    <row r="2582" spans="1:2" hidden="1" x14ac:dyDescent="0.25">
      <c r="A2582" s="203">
        <v>2579000</v>
      </c>
      <c r="B2582" s="202">
        <v>19046.55</v>
      </c>
    </row>
    <row r="2583" spans="1:2" hidden="1" x14ac:dyDescent="0.25">
      <c r="A2583" s="203">
        <v>2580000</v>
      </c>
      <c r="B2583" s="202">
        <v>19049.7</v>
      </c>
    </row>
    <row r="2584" spans="1:2" hidden="1" x14ac:dyDescent="0.25">
      <c r="A2584" s="203">
        <v>2581000</v>
      </c>
      <c r="B2584" s="202">
        <v>19052.900000000001</v>
      </c>
    </row>
    <row r="2585" spans="1:2" hidden="1" x14ac:dyDescent="0.25">
      <c r="A2585" s="203">
        <v>2582000</v>
      </c>
      <c r="B2585" s="202">
        <v>19056.05</v>
      </c>
    </row>
    <row r="2586" spans="1:2" hidden="1" x14ac:dyDescent="0.25">
      <c r="A2586" s="203">
        <v>2583000</v>
      </c>
      <c r="B2586" s="202">
        <v>19059.3</v>
      </c>
    </row>
    <row r="2587" spans="1:2" hidden="1" x14ac:dyDescent="0.25">
      <c r="A2587" s="203">
        <v>2584000</v>
      </c>
      <c r="B2587" s="202">
        <v>19062.5</v>
      </c>
    </row>
    <row r="2588" spans="1:2" hidden="1" x14ac:dyDescent="0.25">
      <c r="A2588" s="203">
        <v>2585000</v>
      </c>
      <c r="B2588" s="202">
        <v>19065.650000000001</v>
      </c>
    </row>
    <row r="2589" spans="1:2" hidden="1" x14ac:dyDescent="0.25">
      <c r="A2589" s="203">
        <v>2586000</v>
      </c>
      <c r="B2589" s="202">
        <v>19068.849999999999</v>
      </c>
    </row>
    <row r="2590" spans="1:2" hidden="1" x14ac:dyDescent="0.25">
      <c r="A2590" s="203">
        <v>2587000</v>
      </c>
      <c r="B2590" s="202">
        <v>19072</v>
      </c>
    </row>
    <row r="2591" spans="1:2" hidden="1" x14ac:dyDescent="0.25">
      <c r="A2591" s="203">
        <v>2588000</v>
      </c>
      <c r="B2591" s="202">
        <v>19075.2</v>
      </c>
    </row>
    <row r="2592" spans="1:2" hidden="1" x14ac:dyDescent="0.25">
      <c r="A2592" s="203">
        <v>2589000</v>
      </c>
      <c r="B2592" s="202">
        <v>19078.400000000001</v>
      </c>
    </row>
    <row r="2593" spans="1:2" hidden="1" x14ac:dyDescent="0.25">
      <c r="A2593" s="203">
        <v>2590000</v>
      </c>
      <c r="B2593" s="202">
        <v>19081.55</v>
      </c>
    </row>
    <row r="2594" spans="1:2" hidden="1" x14ac:dyDescent="0.25">
      <c r="A2594" s="203">
        <v>2591000</v>
      </c>
      <c r="B2594" s="202">
        <v>19084.7</v>
      </c>
    </row>
    <row r="2595" spans="1:2" hidden="1" x14ac:dyDescent="0.25">
      <c r="A2595" s="203">
        <v>2592000</v>
      </c>
      <c r="B2595" s="202">
        <v>19087.900000000001</v>
      </c>
    </row>
    <row r="2596" spans="1:2" hidden="1" x14ac:dyDescent="0.25">
      <c r="A2596" s="203">
        <v>2593000</v>
      </c>
      <c r="B2596" s="202">
        <v>19091.099999999999</v>
      </c>
    </row>
    <row r="2597" spans="1:2" hidden="1" x14ac:dyDescent="0.25">
      <c r="A2597" s="203">
        <v>2594000</v>
      </c>
      <c r="B2597" s="202">
        <v>19094.3</v>
      </c>
    </row>
    <row r="2598" spans="1:2" hidden="1" x14ac:dyDescent="0.25">
      <c r="A2598" s="203">
        <v>2595000</v>
      </c>
      <c r="B2598" s="202">
        <v>19097.45</v>
      </c>
    </row>
    <row r="2599" spans="1:2" hidden="1" x14ac:dyDescent="0.25">
      <c r="A2599" s="203">
        <v>2596000</v>
      </c>
      <c r="B2599" s="202">
        <v>19100.599999999999</v>
      </c>
    </row>
    <row r="2600" spans="1:2" hidden="1" x14ac:dyDescent="0.25">
      <c r="A2600" s="203">
        <v>2597000</v>
      </c>
      <c r="B2600" s="202">
        <v>19103.8</v>
      </c>
    </row>
    <row r="2601" spans="1:2" hidden="1" x14ac:dyDescent="0.25">
      <c r="A2601" s="203">
        <v>2598000</v>
      </c>
      <c r="B2601" s="202">
        <v>19107.05</v>
      </c>
    </row>
    <row r="2602" spans="1:2" hidden="1" x14ac:dyDescent="0.25">
      <c r="A2602" s="203">
        <v>2599000</v>
      </c>
      <c r="B2602" s="202">
        <v>19110.2</v>
      </c>
    </row>
    <row r="2603" spans="1:2" hidden="1" x14ac:dyDescent="0.25">
      <c r="A2603" s="203">
        <v>2600000</v>
      </c>
      <c r="B2603" s="202">
        <v>19113.400000000001</v>
      </c>
    </row>
    <row r="2604" spans="1:2" hidden="1" x14ac:dyDescent="0.25">
      <c r="A2604" s="203">
        <v>2601000</v>
      </c>
      <c r="B2604" s="202">
        <v>19116.55</v>
      </c>
    </row>
    <row r="2605" spans="1:2" hidden="1" x14ac:dyDescent="0.25">
      <c r="A2605" s="203">
        <v>2602000</v>
      </c>
      <c r="B2605" s="202">
        <v>19119.7</v>
      </c>
    </row>
    <row r="2606" spans="1:2" hidden="1" x14ac:dyDescent="0.25">
      <c r="A2606" s="203">
        <v>2603000</v>
      </c>
      <c r="B2606" s="202">
        <v>19122.95</v>
      </c>
    </row>
    <row r="2607" spans="1:2" hidden="1" x14ac:dyDescent="0.25">
      <c r="A2607" s="203">
        <v>2604000</v>
      </c>
      <c r="B2607" s="202">
        <v>19126.099999999999</v>
      </c>
    </row>
    <row r="2608" spans="1:2" hidden="1" x14ac:dyDescent="0.25">
      <c r="A2608" s="203">
        <v>2605000</v>
      </c>
      <c r="B2608" s="202">
        <v>19129.25</v>
      </c>
    </row>
    <row r="2609" spans="1:2" hidden="1" x14ac:dyDescent="0.25">
      <c r="A2609" s="203">
        <v>2606000</v>
      </c>
      <c r="B2609" s="202">
        <v>19132.45</v>
      </c>
    </row>
    <row r="2610" spans="1:2" hidden="1" x14ac:dyDescent="0.25">
      <c r="A2610" s="203">
        <v>2607000</v>
      </c>
      <c r="B2610" s="202">
        <v>19135.599999999999</v>
      </c>
    </row>
    <row r="2611" spans="1:2" hidden="1" x14ac:dyDescent="0.25">
      <c r="A2611" s="203">
        <v>2608000</v>
      </c>
      <c r="B2611" s="202">
        <v>19138.849999999999</v>
      </c>
    </row>
    <row r="2612" spans="1:2" hidden="1" x14ac:dyDescent="0.25">
      <c r="A2612" s="203">
        <v>2609000</v>
      </c>
      <c r="B2612" s="202">
        <v>19142</v>
      </c>
    </row>
    <row r="2613" spans="1:2" hidden="1" x14ac:dyDescent="0.25">
      <c r="A2613" s="203">
        <v>2610000</v>
      </c>
      <c r="B2613" s="202">
        <v>19145.150000000001</v>
      </c>
    </row>
    <row r="2614" spans="1:2" hidden="1" x14ac:dyDescent="0.25">
      <c r="A2614" s="203">
        <v>2611000</v>
      </c>
      <c r="B2614" s="202">
        <v>19148.349999999999</v>
      </c>
    </row>
    <row r="2615" spans="1:2" hidden="1" x14ac:dyDescent="0.25">
      <c r="A2615" s="203">
        <v>2612000</v>
      </c>
      <c r="B2615" s="202">
        <v>19151.55</v>
      </c>
    </row>
    <row r="2616" spans="1:2" hidden="1" x14ac:dyDescent="0.25">
      <c r="A2616" s="203">
        <v>2613000</v>
      </c>
      <c r="B2616" s="202">
        <v>19154.75</v>
      </c>
    </row>
    <row r="2617" spans="1:2" hidden="1" x14ac:dyDescent="0.25">
      <c r="A2617" s="203">
        <v>2614000</v>
      </c>
      <c r="B2617" s="202">
        <v>19157.95</v>
      </c>
    </row>
    <row r="2618" spans="1:2" hidden="1" x14ac:dyDescent="0.25">
      <c r="A2618" s="203">
        <v>2615000</v>
      </c>
      <c r="B2618" s="202">
        <v>19161.099999999999</v>
      </c>
    </row>
    <row r="2619" spans="1:2" hidden="1" x14ac:dyDescent="0.25">
      <c r="A2619" s="203">
        <v>2616000</v>
      </c>
      <c r="B2619" s="202">
        <v>19164.25</v>
      </c>
    </row>
    <row r="2620" spans="1:2" hidden="1" x14ac:dyDescent="0.25">
      <c r="A2620" s="203">
        <v>2617000</v>
      </c>
      <c r="B2620" s="202">
        <v>19167.45</v>
      </c>
    </row>
    <row r="2621" spans="1:2" hidden="1" x14ac:dyDescent="0.25">
      <c r="A2621" s="203">
        <v>2618000</v>
      </c>
      <c r="B2621" s="202">
        <v>19170.650000000001</v>
      </c>
    </row>
    <row r="2622" spans="1:2" hidden="1" x14ac:dyDescent="0.25">
      <c r="A2622" s="203">
        <v>2619000</v>
      </c>
      <c r="B2622" s="202">
        <v>19173.849999999999</v>
      </c>
    </row>
    <row r="2623" spans="1:2" hidden="1" x14ac:dyDescent="0.25">
      <c r="A2623" s="203">
        <v>2620000</v>
      </c>
      <c r="B2623" s="202">
        <v>19177</v>
      </c>
    </row>
    <row r="2624" spans="1:2" hidden="1" x14ac:dyDescent="0.25">
      <c r="A2624" s="203">
        <v>2621000</v>
      </c>
      <c r="B2624" s="202">
        <v>19180.150000000001</v>
      </c>
    </row>
    <row r="2625" spans="1:2" hidden="1" x14ac:dyDescent="0.25">
      <c r="A2625" s="203">
        <v>2622000</v>
      </c>
      <c r="B2625" s="202">
        <v>19183.349999999999</v>
      </c>
    </row>
    <row r="2626" spans="1:2" hidden="1" x14ac:dyDescent="0.25">
      <c r="A2626" s="203">
        <v>2623000</v>
      </c>
      <c r="B2626" s="202">
        <v>19186.55</v>
      </c>
    </row>
    <row r="2627" spans="1:2" hidden="1" x14ac:dyDescent="0.25">
      <c r="A2627" s="203">
        <v>2624000</v>
      </c>
      <c r="B2627" s="202">
        <v>19189.7</v>
      </c>
    </row>
    <row r="2628" spans="1:2" hidden="1" x14ac:dyDescent="0.25">
      <c r="A2628" s="203">
        <v>2625000</v>
      </c>
      <c r="B2628" s="202">
        <v>19192.900000000001</v>
      </c>
    </row>
    <row r="2629" spans="1:2" hidden="1" x14ac:dyDescent="0.25">
      <c r="A2629" s="203">
        <v>2626000</v>
      </c>
      <c r="B2629" s="202">
        <v>19196.099999999999</v>
      </c>
    </row>
    <row r="2630" spans="1:2" hidden="1" x14ac:dyDescent="0.25">
      <c r="A2630" s="203">
        <v>2627000</v>
      </c>
      <c r="B2630" s="202">
        <v>19199.25</v>
      </c>
    </row>
    <row r="2631" spans="1:2" hidden="1" x14ac:dyDescent="0.25">
      <c r="A2631" s="203">
        <v>2628000</v>
      </c>
      <c r="B2631" s="202">
        <v>19202.5</v>
      </c>
    </row>
    <row r="2632" spans="1:2" hidden="1" x14ac:dyDescent="0.25">
      <c r="A2632" s="203">
        <v>2629000</v>
      </c>
      <c r="B2632" s="202">
        <v>19205.650000000001</v>
      </c>
    </row>
    <row r="2633" spans="1:2" hidden="1" x14ac:dyDescent="0.25">
      <c r="A2633" s="203">
        <v>2630000</v>
      </c>
      <c r="B2633" s="202">
        <v>19208.8</v>
      </c>
    </row>
    <row r="2634" spans="1:2" hidden="1" x14ac:dyDescent="0.25">
      <c r="A2634" s="203">
        <v>2631000</v>
      </c>
      <c r="B2634" s="202">
        <v>19212</v>
      </c>
    </row>
    <row r="2635" spans="1:2" hidden="1" x14ac:dyDescent="0.25">
      <c r="A2635" s="203">
        <v>2632000</v>
      </c>
      <c r="B2635" s="202">
        <v>19215.150000000001</v>
      </c>
    </row>
    <row r="2636" spans="1:2" hidden="1" x14ac:dyDescent="0.25">
      <c r="A2636" s="203">
        <v>2633000</v>
      </c>
      <c r="B2636" s="202">
        <v>19218.400000000001</v>
      </c>
    </row>
    <row r="2637" spans="1:2" hidden="1" x14ac:dyDescent="0.25">
      <c r="A2637" s="203">
        <v>2634000</v>
      </c>
      <c r="B2637" s="202">
        <v>19221.55</v>
      </c>
    </row>
    <row r="2638" spans="1:2" hidden="1" x14ac:dyDescent="0.25">
      <c r="A2638" s="203">
        <v>2635000</v>
      </c>
      <c r="B2638" s="202">
        <v>19224.7</v>
      </c>
    </row>
    <row r="2639" spans="1:2" hidden="1" x14ac:dyDescent="0.25">
      <c r="A2639" s="203">
        <v>2636000</v>
      </c>
      <c r="B2639" s="202">
        <v>19227.900000000001</v>
      </c>
    </row>
    <row r="2640" spans="1:2" hidden="1" x14ac:dyDescent="0.25">
      <c r="A2640" s="203">
        <v>2637000</v>
      </c>
      <c r="B2640" s="202">
        <v>19231.05</v>
      </c>
    </row>
    <row r="2641" spans="1:2" hidden="1" x14ac:dyDescent="0.25">
      <c r="A2641" s="203">
        <v>2638000</v>
      </c>
      <c r="B2641" s="202">
        <v>19234.25</v>
      </c>
    </row>
    <row r="2642" spans="1:2" hidden="1" x14ac:dyDescent="0.25">
      <c r="A2642" s="203">
        <v>2639000</v>
      </c>
      <c r="B2642" s="202">
        <v>19237.45</v>
      </c>
    </row>
    <row r="2643" spans="1:2" hidden="1" x14ac:dyDescent="0.25">
      <c r="A2643" s="203">
        <v>2640000</v>
      </c>
      <c r="B2643" s="202">
        <v>19240.650000000001</v>
      </c>
    </row>
    <row r="2644" spans="1:2" hidden="1" x14ac:dyDescent="0.25">
      <c r="A2644" s="203">
        <v>2641000</v>
      </c>
      <c r="B2644" s="202">
        <v>19243.8</v>
      </c>
    </row>
    <row r="2645" spans="1:2" hidden="1" x14ac:dyDescent="0.25">
      <c r="A2645" s="203">
        <v>2642000</v>
      </c>
      <c r="B2645" s="202">
        <v>19247</v>
      </c>
    </row>
    <row r="2646" spans="1:2" hidden="1" x14ac:dyDescent="0.25">
      <c r="A2646" s="203">
        <v>2643000</v>
      </c>
      <c r="B2646" s="202">
        <v>19250.2</v>
      </c>
    </row>
    <row r="2647" spans="1:2" hidden="1" x14ac:dyDescent="0.25">
      <c r="A2647" s="203">
        <v>2644000</v>
      </c>
      <c r="B2647" s="202">
        <v>19253.349999999999</v>
      </c>
    </row>
    <row r="2648" spans="1:2" hidden="1" x14ac:dyDescent="0.25">
      <c r="A2648" s="203">
        <v>2645000</v>
      </c>
      <c r="B2648" s="202">
        <v>19256.55</v>
      </c>
    </row>
    <row r="2649" spans="1:2" hidden="1" x14ac:dyDescent="0.25">
      <c r="A2649" s="203">
        <v>2646000</v>
      </c>
      <c r="B2649" s="202">
        <v>19259.7</v>
      </c>
    </row>
    <row r="2650" spans="1:2" hidden="1" x14ac:dyDescent="0.25">
      <c r="A2650" s="203">
        <v>2647000</v>
      </c>
      <c r="B2650" s="202">
        <v>19262.900000000001</v>
      </c>
    </row>
    <row r="2651" spans="1:2" hidden="1" x14ac:dyDescent="0.25">
      <c r="A2651" s="203">
        <v>2648000</v>
      </c>
      <c r="B2651" s="202">
        <v>19266.099999999999</v>
      </c>
    </row>
    <row r="2652" spans="1:2" hidden="1" x14ac:dyDescent="0.25">
      <c r="A2652" s="203">
        <v>2649000</v>
      </c>
      <c r="B2652" s="202">
        <v>19269.25</v>
      </c>
    </row>
    <row r="2653" spans="1:2" hidden="1" x14ac:dyDescent="0.25">
      <c r="A2653" s="203">
        <v>2650000</v>
      </c>
      <c r="B2653" s="202">
        <v>19272.45</v>
      </c>
    </row>
    <row r="2654" spans="1:2" hidden="1" x14ac:dyDescent="0.25">
      <c r="A2654" s="203">
        <v>2651000</v>
      </c>
      <c r="B2654" s="202">
        <v>19275.599999999999</v>
      </c>
    </row>
    <row r="2655" spans="1:2" hidden="1" x14ac:dyDescent="0.25">
      <c r="A2655" s="203">
        <v>2652000</v>
      </c>
      <c r="B2655" s="202">
        <v>19278.75</v>
      </c>
    </row>
    <row r="2656" spans="1:2" hidden="1" x14ac:dyDescent="0.25">
      <c r="A2656" s="203">
        <v>2653000</v>
      </c>
      <c r="B2656" s="202">
        <v>19282.05</v>
      </c>
    </row>
    <row r="2657" spans="1:2" hidden="1" x14ac:dyDescent="0.25">
      <c r="A2657" s="203">
        <v>2654000</v>
      </c>
      <c r="B2657" s="202">
        <v>19285.2</v>
      </c>
    </row>
    <row r="2658" spans="1:2" hidden="1" x14ac:dyDescent="0.25">
      <c r="A2658" s="203">
        <v>2655000</v>
      </c>
      <c r="B2658" s="202">
        <v>19288.349999999999</v>
      </c>
    </row>
    <row r="2659" spans="1:2" hidden="1" x14ac:dyDescent="0.25">
      <c r="A2659" s="203">
        <v>2656000</v>
      </c>
      <c r="B2659" s="202">
        <v>19291.55</v>
      </c>
    </row>
    <row r="2660" spans="1:2" hidden="1" x14ac:dyDescent="0.25">
      <c r="A2660" s="203">
        <v>2657000</v>
      </c>
      <c r="B2660" s="202">
        <v>19294.7</v>
      </c>
    </row>
    <row r="2661" spans="1:2" hidden="1" x14ac:dyDescent="0.25">
      <c r="A2661" s="203">
        <v>2658000</v>
      </c>
      <c r="B2661" s="202">
        <v>19297.95</v>
      </c>
    </row>
    <row r="2662" spans="1:2" hidden="1" x14ac:dyDescent="0.25">
      <c r="A2662" s="203">
        <v>2659000</v>
      </c>
      <c r="B2662" s="202">
        <v>19301.099999999999</v>
      </c>
    </row>
    <row r="2663" spans="1:2" hidden="1" x14ac:dyDescent="0.25">
      <c r="A2663" s="203">
        <v>2660000</v>
      </c>
      <c r="B2663" s="202">
        <v>19304.25</v>
      </c>
    </row>
    <row r="2664" spans="1:2" hidden="1" x14ac:dyDescent="0.25">
      <c r="A2664" s="203">
        <v>2661000</v>
      </c>
      <c r="B2664" s="202">
        <v>19307.45</v>
      </c>
    </row>
    <row r="2665" spans="1:2" hidden="1" x14ac:dyDescent="0.25">
      <c r="A2665" s="203">
        <v>2662000</v>
      </c>
      <c r="B2665" s="202">
        <v>19310.599999999999</v>
      </c>
    </row>
    <row r="2666" spans="1:2" hidden="1" x14ac:dyDescent="0.25">
      <c r="A2666" s="203">
        <v>2663000</v>
      </c>
      <c r="B2666" s="202">
        <v>19313.8</v>
      </c>
    </row>
    <row r="2667" spans="1:2" hidden="1" x14ac:dyDescent="0.25">
      <c r="A2667" s="203">
        <v>2664000</v>
      </c>
      <c r="B2667" s="202">
        <v>19317</v>
      </c>
    </row>
    <row r="2668" spans="1:2" hidden="1" x14ac:dyDescent="0.25">
      <c r="A2668" s="203">
        <v>2665000</v>
      </c>
      <c r="B2668" s="202">
        <v>19320.150000000001</v>
      </c>
    </row>
    <row r="2669" spans="1:2" hidden="1" x14ac:dyDescent="0.25">
      <c r="A2669" s="203">
        <v>2666000</v>
      </c>
      <c r="B2669" s="202">
        <v>19323.3</v>
      </c>
    </row>
    <row r="2670" spans="1:2" hidden="1" x14ac:dyDescent="0.25">
      <c r="A2670" s="203">
        <v>2667000</v>
      </c>
      <c r="B2670" s="202">
        <v>19326.5</v>
      </c>
    </row>
    <row r="2671" spans="1:2" hidden="1" x14ac:dyDescent="0.25">
      <c r="A2671" s="203">
        <v>2668000</v>
      </c>
      <c r="B2671" s="202">
        <v>19329.75</v>
      </c>
    </row>
    <row r="2672" spans="1:2" hidden="1" x14ac:dyDescent="0.25">
      <c r="A2672" s="203">
        <v>2669000</v>
      </c>
      <c r="B2672" s="202">
        <v>19332.900000000001</v>
      </c>
    </row>
    <row r="2673" spans="1:2" hidden="1" x14ac:dyDescent="0.25">
      <c r="A2673" s="203">
        <v>2670000</v>
      </c>
      <c r="B2673" s="202">
        <v>19336.099999999999</v>
      </c>
    </row>
    <row r="2674" spans="1:2" hidden="1" x14ac:dyDescent="0.25">
      <c r="A2674" s="203">
        <v>2671000</v>
      </c>
      <c r="B2674" s="202">
        <v>19339.25</v>
      </c>
    </row>
    <row r="2675" spans="1:2" hidden="1" x14ac:dyDescent="0.25">
      <c r="A2675" s="203">
        <v>2672000</v>
      </c>
      <c r="B2675" s="202">
        <v>19342.45</v>
      </c>
    </row>
    <row r="2676" spans="1:2" hidden="1" x14ac:dyDescent="0.25">
      <c r="A2676" s="203">
        <v>2673000</v>
      </c>
      <c r="B2676" s="202">
        <v>19345.650000000001</v>
      </c>
    </row>
    <row r="2677" spans="1:2" hidden="1" x14ac:dyDescent="0.25">
      <c r="A2677" s="203">
        <v>2674000</v>
      </c>
      <c r="B2677" s="202">
        <v>19348.8</v>
      </c>
    </row>
    <row r="2678" spans="1:2" hidden="1" x14ac:dyDescent="0.25">
      <c r="A2678" s="203">
        <v>2675000</v>
      </c>
      <c r="B2678" s="202">
        <v>19352</v>
      </c>
    </row>
    <row r="2679" spans="1:2" hidden="1" x14ac:dyDescent="0.25">
      <c r="A2679" s="203">
        <v>2676000</v>
      </c>
      <c r="B2679" s="202">
        <v>19355.150000000001</v>
      </c>
    </row>
    <row r="2680" spans="1:2" hidden="1" x14ac:dyDescent="0.25">
      <c r="A2680" s="203">
        <v>2677000</v>
      </c>
      <c r="B2680" s="202">
        <v>19358.3</v>
      </c>
    </row>
    <row r="2681" spans="1:2" hidden="1" x14ac:dyDescent="0.25">
      <c r="A2681" s="203">
        <v>2678000</v>
      </c>
      <c r="B2681" s="202">
        <v>19361.55</v>
      </c>
    </row>
    <row r="2682" spans="1:2" hidden="1" x14ac:dyDescent="0.25">
      <c r="A2682" s="203">
        <v>2679000</v>
      </c>
      <c r="B2682" s="202">
        <v>19364.7</v>
      </c>
    </row>
    <row r="2683" spans="1:2" hidden="1" x14ac:dyDescent="0.25">
      <c r="A2683" s="203">
        <v>2680000</v>
      </c>
      <c r="B2683" s="202">
        <v>19367.849999999999</v>
      </c>
    </row>
    <row r="2684" spans="1:2" hidden="1" x14ac:dyDescent="0.25">
      <c r="A2684" s="203">
        <v>2681000</v>
      </c>
      <c r="B2684" s="202">
        <v>19371.099999999999</v>
      </c>
    </row>
    <row r="2685" spans="1:2" hidden="1" x14ac:dyDescent="0.25">
      <c r="A2685" s="203">
        <v>2682000</v>
      </c>
      <c r="B2685" s="202">
        <v>19374.25</v>
      </c>
    </row>
    <row r="2686" spans="1:2" hidden="1" x14ac:dyDescent="0.25">
      <c r="A2686" s="203">
        <v>2683000</v>
      </c>
      <c r="B2686" s="202">
        <v>19377.5</v>
      </c>
    </row>
    <row r="2687" spans="1:2" hidden="1" x14ac:dyDescent="0.25">
      <c r="A2687" s="203">
        <v>2684000</v>
      </c>
      <c r="B2687" s="202">
        <v>19380.650000000001</v>
      </c>
    </row>
    <row r="2688" spans="1:2" hidden="1" x14ac:dyDescent="0.25">
      <c r="A2688" s="203">
        <v>2685000</v>
      </c>
      <c r="B2688" s="202">
        <v>19383.8</v>
      </c>
    </row>
    <row r="2689" spans="1:2" hidden="1" x14ac:dyDescent="0.25">
      <c r="A2689" s="203">
        <v>2686000</v>
      </c>
      <c r="B2689" s="202">
        <v>19387</v>
      </c>
    </row>
    <row r="2690" spans="1:2" hidden="1" x14ac:dyDescent="0.25">
      <c r="A2690" s="203">
        <v>2687000</v>
      </c>
      <c r="B2690" s="202">
        <v>19390.150000000001</v>
      </c>
    </row>
    <row r="2691" spans="1:2" hidden="1" x14ac:dyDescent="0.25">
      <c r="A2691" s="203">
        <v>2688000</v>
      </c>
      <c r="B2691" s="202">
        <v>19393.349999999999</v>
      </c>
    </row>
    <row r="2692" spans="1:2" hidden="1" x14ac:dyDescent="0.25">
      <c r="A2692" s="203">
        <v>2689000</v>
      </c>
      <c r="B2692" s="202">
        <v>19396.55</v>
      </c>
    </row>
    <row r="2693" spans="1:2" hidden="1" x14ac:dyDescent="0.25">
      <c r="A2693" s="203">
        <v>2690000</v>
      </c>
      <c r="B2693" s="202">
        <v>19399.7</v>
      </c>
    </row>
    <row r="2694" spans="1:2" hidden="1" x14ac:dyDescent="0.25">
      <c r="A2694" s="203">
        <v>2691000</v>
      </c>
      <c r="B2694" s="202">
        <v>19402.849999999999</v>
      </c>
    </row>
    <row r="2695" spans="1:2" hidden="1" x14ac:dyDescent="0.25">
      <c r="A2695" s="203">
        <v>2692000</v>
      </c>
      <c r="B2695" s="202">
        <v>19406.05</v>
      </c>
    </row>
    <row r="2696" spans="1:2" hidden="1" x14ac:dyDescent="0.25">
      <c r="A2696" s="203">
        <v>2693000</v>
      </c>
      <c r="B2696" s="202">
        <v>19409.25</v>
      </c>
    </row>
    <row r="2697" spans="1:2" hidden="1" x14ac:dyDescent="0.25">
      <c r="A2697" s="203">
        <v>2694000</v>
      </c>
      <c r="B2697" s="202">
        <v>19412.400000000001</v>
      </c>
    </row>
    <row r="2698" spans="1:2" hidden="1" x14ac:dyDescent="0.25">
      <c r="A2698" s="203">
        <v>2695000</v>
      </c>
      <c r="B2698" s="202">
        <v>19415.650000000001</v>
      </c>
    </row>
    <row r="2699" spans="1:2" hidden="1" x14ac:dyDescent="0.25">
      <c r="A2699" s="203">
        <v>2696000</v>
      </c>
      <c r="B2699" s="202">
        <v>19418.8</v>
      </c>
    </row>
    <row r="2700" spans="1:2" hidden="1" x14ac:dyDescent="0.25">
      <c r="A2700" s="203">
        <v>2697000</v>
      </c>
      <c r="B2700" s="202">
        <v>19422</v>
      </c>
    </row>
    <row r="2701" spans="1:2" hidden="1" x14ac:dyDescent="0.25">
      <c r="A2701" s="203">
        <v>2698000</v>
      </c>
      <c r="B2701" s="202">
        <v>19425.2</v>
      </c>
    </row>
    <row r="2702" spans="1:2" hidden="1" x14ac:dyDescent="0.25">
      <c r="A2702" s="203">
        <v>2699000</v>
      </c>
      <c r="B2702" s="202">
        <v>19428.349999999999</v>
      </c>
    </row>
    <row r="2703" spans="1:2" hidden="1" x14ac:dyDescent="0.25">
      <c r="A2703" s="203">
        <v>2700000</v>
      </c>
      <c r="B2703" s="202">
        <v>19431.55</v>
      </c>
    </row>
    <row r="2704" spans="1:2" hidden="1" x14ac:dyDescent="0.25">
      <c r="A2704" s="203">
        <v>2701000</v>
      </c>
      <c r="B2704" s="202">
        <v>19434.7</v>
      </c>
    </row>
    <row r="2705" spans="1:2" hidden="1" x14ac:dyDescent="0.25">
      <c r="A2705" s="203">
        <v>2702000</v>
      </c>
      <c r="B2705" s="202">
        <v>19437.849999999999</v>
      </c>
    </row>
    <row r="2706" spans="1:2" hidden="1" x14ac:dyDescent="0.25">
      <c r="A2706" s="203">
        <v>2703000</v>
      </c>
      <c r="B2706" s="202">
        <v>19441.099999999999</v>
      </c>
    </row>
    <row r="2707" spans="1:2" hidden="1" x14ac:dyDescent="0.25">
      <c r="A2707" s="203">
        <v>2704000</v>
      </c>
      <c r="B2707" s="202">
        <v>19444.25</v>
      </c>
    </row>
    <row r="2708" spans="1:2" hidden="1" x14ac:dyDescent="0.25">
      <c r="A2708" s="203">
        <v>2705000</v>
      </c>
      <c r="B2708" s="202">
        <v>19447.400000000001</v>
      </c>
    </row>
    <row r="2709" spans="1:2" hidden="1" x14ac:dyDescent="0.25">
      <c r="A2709" s="203">
        <v>2706000</v>
      </c>
      <c r="B2709" s="202">
        <v>19450.599999999999</v>
      </c>
    </row>
    <row r="2710" spans="1:2" hidden="1" x14ac:dyDescent="0.25">
      <c r="A2710" s="203">
        <v>2707000</v>
      </c>
      <c r="B2710" s="202">
        <v>19453.75</v>
      </c>
    </row>
    <row r="2711" spans="1:2" hidden="1" x14ac:dyDescent="0.25">
      <c r="A2711" s="203">
        <v>2708000</v>
      </c>
      <c r="B2711" s="202">
        <v>19456.95</v>
      </c>
    </row>
    <row r="2712" spans="1:2" hidden="1" x14ac:dyDescent="0.25">
      <c r="A2712" s="203">
        <v>2709000</v>
      </c>
      <c r="B2712" s="202">
        <v>19460.2</v>
      </c>
    </row>
    <row r="2713" spans="1:2" hidden="1" x14ac:dyDescent="0.25">
      <c r="A2713" s="203">
        <v>2710000</v>
      </c>
      <c r="B2713" s="202">
        <v>19463.349999999999</v>
      </c>
    </row>
    <row r="2714" spans="1:2" hidden="1" x14ac:dyDescent="0.25">
      <c r="A2714" s="203">
        <v>2711000</v>
      </c>
      <c r="B2714" s="202">
        <v>19466.55</v>
      </c>
    </row>
    <row r="2715" spans="1:2" hidden="1" x14ac:dyDescent="0.25">
      <c r="A2715" s="203">
        <v>2712000</v>
      </c>
      <c r="B2715" s="202">
        <v>19469.7</v>
      </c>
    </row>
    <row r="2716" spans="1:2" hidden="1" x14ac:dyDescent="0.25">
      <c r="A2716" s="203">
        <v>2713000</v>
      </c>
      <c r="B2716" s="202">
        <v>19472.900000000001</v>
      </c>
    </row>
    <row r="2717" spans="1:2" hidden="1" x14ac:dyDescent="0.25">
      <c r="A2717" s="203">
        <v>2714000</v>
      </c>
      <c r="B2717" s="202">
        <v>19476.099999999999</v>
      </c>
    </row>
    <row r="2718" spans="1:2" hidden="1" x14ac:dyDescent="0.25">
      <c r="A2718" s="203">
        <v>2715000</v>
      </c>
      <c r="B2718" s="202">
        <v>19479.25</v>
      </c>
    </row>
    <row r="2719" spans="1:2" hidden="1" x14ac:dyDescent="0.25">
      <c r="A2719" s="203">
        <v>2716000</v>
      </c>
      <c r="B2719" s="202">
        <v>19482.400000000001</v>
      </c>
    </row>
    <row r="2720" spans="1:2" hidden="1" x14ac:dyDescent="0.25">
      <c r="A2720" s="203">
        <v>2717000</v>
      </c>
      <c r="B2720" s="202">
        <v>19485.599999999999</v>
      </c>
    </row>
    <row r="2721" spans="1:2" hidden="1" x14ac:dyDescent="0.25">
      <c r="A2721" s="203">
        <v>2718000</v>
      </c>
      <c r="B2721" s="202">
        <v>19488.8</v>
      </c>
    </row>
    <row r="2722" spans="1:2" hidden="1" x14ac:dyDescent="0.25">
      <c r="A2722" s="203">
        <v>2719000</v>
      </c>
      <c r="B2722" s="202">
        <v>19491.95</v>
      </c>
    </row>
    <row r="2723" spans="1:2" hidden="1" x14ac:dyDescent="0.25">
      <c r="A2723" s="203">
        <v>2720000</v>
      </c>
      <c r="B2723" s="202">
        <v>19495.150000000001</v>
      </c>
    </row>
    <row r="2724" spans="1:2" hidden="1" x14ac:dyDescent="0.25">
      <c r="A2724" s="203">
        <v>2721000</v>
      </c>
      <c r="B2724" s="202">
        <v>19498.3</v>
      </c>
    </row>
    <row r="2725" spans="1:2" hidden="1" x14ac:dyDescent="0.25">
      <c r="A2725" s="203">
        <v>2722000</v>
      </c>
      <c r="B2725" s="202">
        <v>19501.45</v>
      </c>
    </row>
    <row r="2726" spans="1:2" hidden="1" x14ac:dyDescent="0.25">
      <c r="A2726" s="203">
        <v>2723000</v>
      </c>
      <c r="B2726" s="202">
        <v>19504.75</v>
      </c>
    </row>
    <row r="2727" spans="1:2" hidden="1" x14ac:dyDescent="0.25">
      <c r="A2727" s="203">
        <v>2724000</v>
      </c>
      <c r="B2727" s="202">
        <v>19507.900000000001</v>
      </c>
    </row>
    <row r="2728" spans="1:2" hidden="1" x14ac:dyDescent="0.25">
      <c r="A2728" s="203">
        <v>2725000</v>
      </c>
      <c r="B2728" s="202">
        <v>19511.099999999999</v>
      </c>
    </row>
    <row r="2729" spans="1:2" hidden="1" x14ac:dyDescent="0.25">
      <c r="A2729" s="203">
        <v>2726000</v>
      </c>
      <c r="B2729" s="202">
        <v>19514.25</v>
      </c>
    </row>
    <row r="2730" spans="1:2" hidden="1" x14ac:dyDescent="0.25">
      <c r="A2730" s="203">
        <v>2727000</v>
      </c>
      <c r="B2730" s="202">
        <v>19517.400000000001</v>
      </c>
    </row>
    <row r="2731" spans="1:2" hidden="1" x14ac:dyDescent="0.25">
      <c r="A2731" s="203">
        <v>2728000</v>
      </c>
      <c r="B2731" s="202">
        <v>19520.650000000001</v>
      </c>
    </row>
    <row r="2732" spans="1:2" hidden="1" x14ac:dyDescent="0.25">
      <c r="A2732" s="203">
        <v>2729000</v>
      </c>
      <c r="B2732" s="202">
        <v>19523.8</v>
      </c>
    </row>
    <row r="2733" spans="1:2" hidden="1" x14ac:dyDescent="0.25">
      <c r="A2733" s="203">
        <v>2730000</v>
      </c>
      <c r="B2733" s="202">
        <v>19526.95</v>
      </c>
    </row>
    <row r="2734" spans="1:2" hidden="1" x14ac:dyDescent="0.25">
      <c r="A2734" s="203">
        <v>2731000</v>
      </c>
      <c r="B2734" s="202">
        <v>19530.150000000001</v>
      </c>
    </row>
    <row r="2735" spans="1:2" hidden="1" x14ac:dyDescent="0.25">
      <c r="A2735" s="203">
        <v>2732000</v>
      </c>
      <c r="B2735" s="202">
        <v>19533.3</v>
      </c>
    </row>
    <row r="2736" spans="1:2" hidden="1" x14ac:dyDescent="0.25">
      <c r="A2736" s="203">
        <v>2733000</v>
      </c>
      <c r="B2736" s="202">
        <v>19536.5</v>
      </c>
    </row>
    <row r="2737" spans="1:2" hidden="1" x14ac:dyDescent="0.25">
      <c r="A2737" s="203">
        <v>2734000</v>
      </c>
      <c r="B2737" s="202">
        <v>19539.7</v>
      </c>
    </row>
    <row r="2738" spans="1:2" hidden="1" x14ac:dyDescent="0.25">
      <c r="A2738" s="203">
        <v>2735000</v>
      </c>
      <c r="B2738" s="202">
        <v>19542.849999999999</v>
      </c>
    </row>
    <row r="2739" spans="1:2" hidden="1" x14ac:dyDescent="0.25">
      <c r="A2739" s="203">
        <v>2736000</v>
      </c>
      <c r="B2739" s="202">
        <v>19546</v>
      </c>
    </row>
    <row r="2740" spans="1:2" hidden="1" x14ac:dyDescent="0.25">
      <c r="A2740" s="203">
        <v>2737000</v>
      </c>
      <c r="B2740" s="202">
        <v>19549.25</v>
      </c>
    </row>
    <row r="2741" spans="1:2" hidden="1" x14ac:dyDescent="0.25">
      <c r="A2741" s="203">
        <v>2738000</v>
      </c>
      <c r="B2741" s="202">
        <v>19552.45</v>
      </c>
    </row>
    <row r="2742" spans="1:2" hidden="1" x14ac:dyDescent="0.25">
      <c r="A2742" s="203">
        <v>2739000</v>
      </c>
      <c r="B2742" s="202">
        <v>19555.650000000001</v>
      </c>
    </row>
    <row r="2743" spans="1:2" hidden="1" x14ac:dyDescent="0.25">
      <c r="A2743" s="203">
        <v>2740000</v>
      </c>
      <c r="B2743" s="202">
        <v>19558.8</v>
      </c>
    </row>
    <row r="2744" spans="1:2" hidden="1" x14ac:dyDescent="0.25">
      <c r="A2744" s="203">
        <v>2741000</v>
      </c>
      <c r="B2744" s="202">
        <v>19561.95</v>
      </c>
    </row>
    <row r="2745" spans="1:2" hidden="1" x14ac:dyDescent="0.25">
      <c r="A2745" s="203">
        <v>2742000</v>
      </c>
      <c r="B2745" s="202">
        <v>19565.150000000001</v>
      </c>
    </row>
    <row r="2746" spans="1:2" hidden="1" x14ac:dyDescent="0.25">
      <c r="A2746" s="203">
        <v>2743000</v>
      </c>
      <c r="B2746" s="202">
        <v>19568.349999999999</v>
      </c>
    </row>
    <row r="2747" spans="1:2" hidden="1" x14ac:dyDescent="0.25">
      <c r="A2747" s="203">
        <v>2744000</v>
      </c>
      <c r="B2747" s="202">
        <v>19571.5</v>
      </c>
    </row>
    <row r="2748" spans="1:2" hidden="1" x14ac:dyDescent="0.25">
      <c r="A2748" s="203">
        <v>2745000</v>
      </c>
      <c r="B2748" s="202">
        <v>19574.7</v>
      </c>
    </row>
    <row r="2749" spans="1:2" hidden="1" x14ac:dyDescent="0.25">
      <c r="A2749" s="203">
        <v>2746000</v>
      </c>
      <c r="B2749" s="202">
        <v>19577.849999999999</v>
      </c>
    </row>
    <row r="2750" spans="1:2" hidden="1" x14ac:dyDescent="0.25">
      <c r="A2750" s="203">
        <v>2747000</v>
      </c>
      <c r="B2750" s="202">
        <v>19581</v>
      </c>
    </row>
    <row r="2751" spans="1:2" hidden="1" x14ac:dyDescent="0.25">
      <c r="A2751" s="203">
        <v>2748000</v>
      </c>
      <c r="B2751" s="202">
        <v>19584.25</v>
      </c>
    </row>
    <row r="2752" spans="1:2" hidden="1" x14ac:dyDescent="0.25">
      <c r="A2752" s="203">
        <v>2749000</v>
      </c>
      <c r="B2752" s="202">
        <v>19587.400000000001</v>
      </c>
    </row>
    <row r="2753" spans="1:2" hidden="1" x14ac:dyDescent="0.25">
      <c r="A2753" s="203">
        <v>2750000</v>
      </c>
      <c r="B2753" s="202">
        <v>19590.599999999999</v>
      </c>
    </row>
    <row r="2754" spans="1:2" hidden="1" x14ac:dyDescent="0.25">
      <c r="A2754" s="203">
        <v>2751000</v>
      </c>
      <c r="B2754" s="202">
        <v>19593.8</v>
      </c>
    </row>
    <row r="2755" spans="1:2" hidden="1" x14ac:dyDescent="0.25">
      <c r="A2755" s="203">
        <v>2752000</v>
      </c>
      <c r="B2755" s="202">
        <v>19596.95</v>
      </c>
    </row>
    <row r="2756" spans="1:2" hidden="1" x14ac:dyDescent="0.25">
      <c r="A2756" s="203">
        <v>2753000</v>
      </c>
      <c r="B2756" s="202">
        <v>19600.2</v>
      </c>
    </row>
    <row r="2757" spans="1:2" hidden="1" x14ac:dyDescent="0.25">
      <c r="A2757" s="203">
        <v>2754000</v>
      </c>
      <c r="B2757" s="202">
        <v>19603.349999999999</v>
      </c>
    </row>
    <row r="2758" spans="1:2" hidden="1" x14ac:dyDescent="0.25">
      <c r="A2758" s="203">
        <v>2755000</v>
      </c>
      <c r="B2758" s="202">
        <v>19606.5</v>
      </c>
    </row>
    <row r="2759" spans="1:2" hidden="1" x14ac:dyDescent="0.25">
      <c r="A2759" s="203">
        <v>2756000</v>
      </c>
      <c r="B2759" s="202">
        <v>19609.7</v>
      </c>
    </row>
    <row r="2760" spans="1:2" hidden="1" x14ac:dyDescent="0.25">
      <c r="A2760" s="203">
        <v>2757000</v>
      </c>
      <c r="B2760" s="202">
        <v>19612.849999999999</v>
      </c>
    </row>
    <row r="2761" spans="1:2" hidden="1" x14ac:dyDescent="0.25">
      <c r="A2761" s="203">
        <v>2758000</v>
      </c>
      <c r="B2761" s="202">
        <v>19616.05</v>
      </c>
    </row>
    <row r="2762" spans="1:2" hidden="1" x14ac:dyDescent="0.25">
      <c r="A2762" s="203">
        <v>2759000</v>
      </c>
      <c r="B2762" s="202">
        <v>19619.25</v>
      </c>
    </row>
    <row r="2763" spans="1:2" hidden="1" x14ac:dyDescent="0.25">
      <c r="A2763" s="203">
        <v>2760000</v>
      </c>
      <c r="B2763" s="202">
        <v>19622.400000000001</v>
      </c>
    </row>
    <row r="2764" spans="1:2" hidden="1" x14ac:dyDescent="0.25">
      <c r="A2764" s="203">
        <v>2761000</v>
      </c>
      <c r="B2764" s="202">
        <v>19625.55</v>
      </c>
    </row>
    <row r="2765" spans="1:2" hidden="1" x14ac:dyDescent="0.25">
      <c r="A2765" s="203">
        <v>2762000</v>
      </c>
      <c r="B2765" s="202">
        <v>19628.75</v>
      </c>
    </row>
    <row r="2766" spans="1:2" hidden="1" x14ac:dyDescent="0.25">
      <c r="A2766" s="203">
        <v>2763000</v>
      </c>
      <c r="B2766" s="202">
        <v>19631.95</v>
      </c>
    </row>
    <row r="2767" spans="1:2" hidden="1" x14ac:dyDescent="0.25">
      <c r="A2767" s="203">
        <v>2764000</v>
      </c>
      <c r="B2767" s="202">
        <v>19635.150000000001</v>
      </c>
    </row>
    <row r="2768" spans="1:2" hidden="1" x14ac:dyDescent="0.25">
      <c r="A2768" s="203">
        <v>2765000</v>
      </c>
      <c r="B2768" s="202">
        <v>19638.349999999999</v>
      </c>
    </row>
    <row r="2769" spans="1:2" hidden="1" x14ac:dyDescent="0.25">
      <c r="A2769" s="203">
        <v>2766000</v>
      </c>
      <c r="B2769" s="202">
        <v>19641.5</v>
      </c>
    </row>
    <row r="2770" spans="1:2" hidden="1" x14ac:dyDescent="0.25">
      <c r="A2770" s="203">
        <v>2767000</v>
      </c>
      <c r="B2770" s="202">
        <v>19644.7</v>
      </c>
    </row>
    <row r="2771" spans="1:2" hidden="1" x14ac:dyDescent="0.25">
      <c r="A2771" s="203">
        <v>2768000</v>
      </c>
      <c r="B2771" s="202">
        <v>19647.900000000001</v>
      </c>
    </row>
    <row r="2772" spans="1:2" hidden="1" x14ac:dyDescent="0.25">
      <c r="A2772" s="203">
        <v>2769000</v>
      </c>
      <c r="B2772" s="202">
        <v>19651.05</v>
      </c>
    </row>
    <row r="2773" spans="1:2" hidden="1" x14ac:dyDescent="0.25">
      <c r="A2773" s="203">
        <v>2770000</v>
      </c>
      <c r="B2773" s="202">
        <v>19654.25</v>
      </c>
    </row>
    <row r="2774" spans="1:2" hidden="1" x14ac:dyDescent="0.25">
      <c r="A2774" s="203">
        <v>2771000</v>
      </c>
      <c r="B2774" s="202">
        <v>19657.400000000001</v>
      </c>
    </row>
    <row r="2775" spans="1:2" hidden="1" x14ac:dyDescent="0.25">
      <c r="A2775" s="203">
        <v>2772000</v>
      </c>
      <c r="B2775" s="202">
        <v>19660.55</v>
      </c>
    </row>
    <row r="2776" spans="1:2" hidden="1" x14ac:dyDescent="0.25">
      <c r="A2776" s="203">
        <v>2773000</v>
      </c>
      <c r="B2776" s="202">
        <v>19663.8</v>
      </c>
    </row>
    <row r="2777" spans="1:2" hidden="1" x14ac:dyDescent="0.25">
      <c r="A2777" s="203">
        <v>2774000</v>
      </c>
      <c r="B2777" s="202">
        <v>19666.95</v>
      </c>
    </row>
    <row r="2778" spans="1:2" hidden="1" x14ac:dyDescent="0.25">
      <c r="A2778" s="203">
        <v>2775000</v>
      </c>
      <c r="B2778" s="202">
        <v>19670.099999999999</v>
      </c>
    </row>
    <row r="2779" spans="1:2" hidden="1" x14ac:dyDescent="0.25">
      <c r="A2779" s="203">
        <v>2776000</v>
      </c>
      <c r="B2779" s="202">
        <v>19673.3</v>
      </c>
    </row>
    <row r="2780" spans="1:2" hidden="1" x14ac:dyDescent="0.25">
      <c r="A2780" s="203">
        <v>2777000</v>
      </c>
      <c r="B2780" s="202">
        <v>19676.45</v>
      </c>
    </row>
    <row r="2781" spans="1:2" hidden="1" x14ac:dyDescent="0.25">
      <c r="A2781" s="203">
        <v>2778000</v>
      </c>
      <c r="B2781" s="202">
        <v>19679.75</v>
      </c>
    </row>
    <row r="2782" spans="1:2" hidden="1" x14ac:dyDescent="0.25">
      <c r="A2782" s="203">
        <v>2779000</v>
      </c>
      <c r="B2782" s="202">
        <v>19682.900000000001</v>
      </c>
    </row>
    <row r="2783" spans="1:2" hidden="1" x14ac:dyDescent="0.25">
      <c r="A2783" s="203">
        <v>2780000</v>
      </c>
      <c r="B2783" s="202">
        <v>19686.05</v>
      </c>
    </row>
    <row r="2784" spans="1:2" hidden="1" x14ac:dyDescent="0.25">
      <c r="A2784" s="203">
        <v>2781000</v>
      </c>
      <c r="B2784" s="202">
        <v>19689.25</v>
      </c>
    </row>
    <row r="2785" spans="1:2" hidden="1" x14ac:dyDescent="0.25">
      <c r="A2785" s="203">
        <v>2782000</v>
      </c>
      <c r="B2785" s="202">
        <v>19692.400000000001</v>
      </c>
    </row>
    <row r="2786" spans="1:2" hidden="1" x14ac:dyDescent="0.25">
      <c r="A2786" s="203">
        <v>2783000</v>
      </c>
      <c r="B2786" s="202">
        <v>19695.599999999999</v>
      </c>
    </row>
    <row r="2787" spans="1:2" hidden="1" x14ac:dyDescent="0.25">
      <c r="A2787" s="203">
        <v>2784000</v>
      </c>
      <c r="B2787" s="202">
        <v>19698.8</v>
      </c>
    </row>
    <row r="2788" spans="1:2" hidden="1" x14ac:dyDescent="0.25">
      <c r="A2788" s="203">
        <v>2785000</v>
      </c>
      <c r="B2788" s="202">
        <v>19701.95</v>
      </c>
    </row>
    <row r="2789" spans="1:2" hidden="1" x14ac:dyDescent="0.25">
      <c r="A2789" s="203">
        <v>2786000</v>
      </c>
      <c r="B2789" s="202">
        <v>19705.099999999999</v>
      </c>
    </row>
    <row r="2790" spans="1:2" hidden="1" x14ac:dyDescent="0.25">
      <c r="A2790" s="203">
        <v>2787000</v>
      </c>
      <c r="B2790" s="202">
        <v>19708.3</v>
      </c>
    </row>
    <row r="2791" spans="1:2" hidden="1" x14ac:dyDescent="0.25">
      <c r="A2791" s="203">
        <v>2788000</v>
      </c>
      <c r="B2791" s="202">
        <v>19711.5</v>
      </c>
    </row>
    <row r="2792" spans="1:2" hidden="1" x14ac:dyDescent="0.25">
      <c r="A2792" s="203">
        <v>2789000</v>
      </c>
      <c r="B2792" s="202">
        <v>19714.7</v>
      </c>
    </row>
    <row r="2793" spans="1:2" hidden="1" x14ac:dyDescent="0.25">
      <c r="A2793" s="203">
        <v>2790000</v>
      </c>
      <c r="B2793" s="202">
        <v>19717.849999999999</v>
      </c>
    </row>
    <row r="2794" spans="1:2" hidden="1" x14ac:dyDescent="0.25">
      <c r="A2794" s="203">
        <v>2791000</v>
      </c>
      <c r="B2794" s="202">
        <v>19721</v>
      </c>
    </row>
    <row r="2795" spans="1:2" hidden="1" x14ac:dyDescent="0.25">
      <c r="A2795" s="203">
        <v>2792000</v>
      </c>
      <c r="B2795" s="202">
        <v>19724.2</v>
      </c>
    </row>
    <row r="2796" spans="1:2" hidden="1" x14ac:dyDescent="0.25">
      <c r="A2796" s="203">
        <v>2793000</v>
      </c>
      <c r="B2796" s="202">
        <v>19727.45</v>
      </c>
    </row>
    <row r="2797" spans="1:2" hidden="1" x14ac:dyDescent="0.25">
      <c r="A2797" s="203">
        <v>2794000</v>
      </c>
      <c r="B2797" s="202">
        <v>19730.599999999999</v>
      </c>
    </row>
    <row r="2798" spans="1:2" hidden="1" x14ac:dyDescent="0.25">
      <c r="A2798" s="203">
        <v>2795000</v>
      </c>
      <c r="B2798" s="202">
        <v>19733.8</v>
      </c>
    </row>
    <row r="2799" spans="1:2" hidden="1" x14ac:dyDescent="0.25">
      <c r="A2799" s="203">
        <v>2796000</v>
      </c>
      <c r="B2799" s="202">
        <v>19736.95</v>
      </c>
    </row>
    <row r="2800" spans="1:2" hidden="1" x14ac:dyDescent="0.25">
      <c r="A2800" s="203">
        <v>2797000</v>
      </c>
      <c r="B2800" s="202">
        <v>19740.099999999999</v>
      </c>
    </row>
    <row r="2801" spans="1:2" hidden="1" x14ac:dyDescent="0.25">
      <c r="A2801" s="203">
        <v>2798000</v>
      </c>
      <c r="B2801" s="202">
        <v>19743.349999999999</v>
      </c>
    </row>
    <row r="2802" spans="1:2" hidden="1" x14ac:dyDescent="0.25">
      <c r="A2802" s="203">
        <v>2799000</v>
      </c>
      <c r="B2802" s="202">
        <v>19746.5</v>
      </c>
    </row>
    <row r="2803" spans="1:2" hidden="1" x14ac:dyDescent="0.25">
      <c r="A2803" s="203">
        <v>2800000</v>
      </c>
      <c r="B2803" s="202">
        <v>19749.650000000001</v>
      </c>
    </row>
    <row r="2804" spans="1:2" hidden="1" x14ac:dyDescent="0.25">
      <c r="A2804" s="203">
        <v>2801000</v>
      </c>
      <c r="B2804" s="202">
        <v>19752.849999999999</v>
      </c>
    </row>
    <row r="2805" spans="1:2" hidden="1" x14ac:dyDescent="0.25">
      <c r="A2805" s="203">
        <v>2802000</v>
      </c>
      <c r="B2805" s="202">
        <v>19756</v>
      </c>
    </row>
    <row r="2806" spans="1:2" hidden="1" x14ac:dyDescent="0.25">
      <c r="A2806" s="203">
        <v>2803000</v>
      </c>
      <c r="B2806" s="202">
        <v>19759.25</v>
      </c>
    </row>
    <row r="2807" spans="1:2" hidden="1" x14ac:dyDescent="0.25">
      <c r="A2807" s="203">
        <v>2804000</v>
      </c>
      <c r="B2807" s="202">
        <v>19762.400000000001</v>
      </c>
    </row>
    <row r="2808" spans="1:2" hidden="1" x14ac:dyDescent="0.25">
      <c r="A2808" s="203">
        <v>2805000</v>
      </c>
      <c r="B2808" s="202">
        <v>19765.55</v>
      </c>
    </row>
    <row r="2809" spans="1:2" hidden="1" x14ac:dyDescent="0.25">
      <c r="A2809" s="203">
        <v>2806000</v>
      </c>
      <c r="B2809" s="202">
        <v>19768.8</v>
      </c>
    </row>
    <row r="2810" spans="1:2" hidden="1" x14ac:dyDescent="0.25">
      <c r="A2810" s="203">
        <v>2807000</v>
      </c>
      <c r="B2810" s="202">
        <v>19771.95</v>
      </c>
    </row>
    <row r="2811" spans="1:2" hidden="1" x14ac:dyDescent="0.25">
      <c r="A2811" s="203">
        <v>2808000</v>
      </c>
      <c r="B2811" s="202">
        <v>19775.150000000001</v>
      </c>
    </row>
    <row r="2812" spans="1:2" hidden="1" x14ac:dyDescent="0.25">
      <c r="A2812" s="203">
        <v>2809000</v>
      </c>
      <c r="B2812" s="202">
        <v>19778.349999999999</v>
      </c>
    </row>
    <row r="2813" spans="1:2" hidden="1" x14ac:dyDescent="0.25">
      <c r="A2813" s="203">
        <v>2810000</v>
      </c>
      <c r="B2813" s="202">
        <v>19781.5</v>
      </c>
    </row>
    <row r="2814" spans="1:2" hidden="1" x14ac:dyDescent="0.25">
      <c r="A2814" s="203">
        <v>2811000</v>
      </c>
      <c r="B2814" s="202">
        <v>19784.650000000001</v>
      </c>
    </row>
    <row r="2815" spans="1:2" hidden="1" x14ac:dyDescent="0.25">
      <c r="A2815" s="203">
        <v>2812000</v>
      </c>
      <c r="B2815" s="202">
        <v>19787.849999999999</v>
      </c>
    </row>
    <row r="2816" spans="1:2" hidden="1" x14ac:dyDescent="0.25">
      <c r="A2816" s="203">
        <v>2813000</v>
      </c>
      <c r="B2816" s="202">
        <v>19791.05</v>
      </c>
    </row>
    <row r="2817" spans="1:2" hidden="1" x14ac:dyDescent="0.25">
      <c r="A2817" s="203">
        <v>2814000</v>
      </c>
      <c r="B2817" s="202">
        <v>19794.25</v>
      </c>
    </row>
    <row r="2818" spans="1:2" hidden="1" x14ac:dyDescent="0.25">
      <c r="A2818" s="203">
        <v>2815000</v>
      </c>
      <c r="B2818" s="202">
        <v>19797.400000000001</v>
      </c>
    </row>
    <row r="2819" spans="1:2" hidden="1" x14ac:dyDescent="0.25">
      <c r="A2819" s="203">
        <v>2816000</v>
      </c>
      <c r="B2819" s="202">
        <v>19800.55</v>
      </c>
    </row>
    <row r="2820" spans="1:2" hidden="1" x14ac:dyDescent="0.25">
      <c r="A2820" s="203">
        <v>2817000</v>
      </c>
      <c r="B2820" s="202">
        <v>19803.75</v>
      </c>
    </row>
    <row r="2821" spans="1:2" hidden="1" x14ac:dyDescent="0.25">
      <c r="A2821" s="203">
        <v>2818000</v>
      </c>
      <c r="B2821" s="202">
        <v>19806.95</v>
      </c>
    </row>
    <row r="2822" spans="1:2" hidden="1" x14ac:dyDescent="0.25">
      <c r="A2822" s="203">
        <v>2819000</v>
      </c>
      <c r="B2822" s="202">
        <v>19810.099999999999</v>
      </c>
    </row>
    <row r="2823" spans="1:2" hidden="1" x14ac:dyDescent="0.25">
      <c r="A2823" s="203">
        <v>2820000</v>
      </c>
      <c r="B2823" s="202">
        <v>19813.349999999999</v>
      </c>
    </row>
    <row r="2824" spans="1:2" hidden="1" x14ac:dyDescent="0.25">
      <c r="A2824" s="203">
        <v>2821000</v>
      </c>
      <c r="B2824" s="202">
        <v>19816.5</v>
      </c>
    </row>
    <row r="2825" spans="1:2" hidden="1" x14ac:dyDescent="0.25">
      <c r="A2825" s="203">
        <v>2822000</v>
      </c>
      <c r="B2825" s="202">
        <v>19819.650000000001</v>
      </c>
    </row>
    <row r="2826" spans="1:2" hidden="1" x14ac:dyDescent="0.25">
      <c r="A2826" s="203">
        <v>2823000</v>
      </c>
      <c r="B2826" s="202">
        <v>19822.900000000001</v>
      </c>
    </row>
    <row r="2827" spans="1:2" hidden="1" x14ac:dyDescent="0.25">
      <c r="A2827" s="203">
        <v>2824000</v>
      </c>
      <c r="B2827" s="202">
        <v>19826.05</v>
      </c>
    </row>
    <row r="2828" spans="1:2" hidden="1" x14ac:dyDescent="0.25">
      <c r="A2828" s="203">
        <v>2825000</v>
      </c>
      <c r="B2828" s="202">
        <v>19829.2</v>
      </c>
    </row>
    <row r="2829" spans="1:2" hidden="1" x14ac:dyDescent="0.25">
      <c r="A2829" s="203">
        <v>2826000</v>
      </c>
      <c r="B2829" s="202">
        <v>19832.400000000001</v>
      </c>
    </row>
    <row r="2830" spans="1:2" hidden="1" x14ac:dyDescent="0.25">
      <c r="A2830" s="203">
        <v>2827000</v>
      </c>
      <c r="B2830" s="202">
        <v>19835.55</v>
      </c>
    </row>
    <row r="2831" spans="1:2" hidden="1" x14ac:dyDescent="0.25">
      <c r="A2831" s="203">
        <v>2828000</v>
      </c>
      <c r="B2831" s="202">
        <v>19838.8</v>
      </c>
    </row>
    <row r="2832" spans="1:2" hidden="1" x14ac:dyDescent="0.25">
      <c r="A2832" s="203">
        <v>2829000</v>
      </c>
      <c r="B2832" s="202">
        <v>19841.95</v>
      </c>
    </row>
    <row r="2833" spans="1:2" hidden="1" x14ac:dyDescent="0.25">
      <c r="A2833" s="203">
        <v>2830000</v>
      </c>
      <c r="B2833" s="202">
        <v>19845.099999999999</v>
      </c>
    </row>
    <row r="2834" spans="1:2" hidden="1" x14ac:dyDescent="0.25">
      <c r="A2834" s="203">
        <v>2831000</v>
      </c>
      <c r="B2834" s="202">
        <v>19848.3</v>
      </c>
    </row>
    <row r="2835" spans="1:2" hidden="1" x14ac:dyDescent="0.25">
      <c r="A2835" s="203">
        <v>2832000</v>
      </c>
      <c r="B2835" s="202">
        <v>19851.45</v>
      </c>
    </row>
    <row r="2836" spans="1:2" hidden="1" x14ac:dyDescent="0.25">
      <c r="A2836" s="203">
        <v>2833000</v>
      </c>
      <c r="B2836" s="202">
        <v>19854.650000000001</v>
      </c>
    </row>
    <row r="2837" spans="1:2" hidden="1" x14ac:dyDescent="0.25">
      <c r="A2837" s="203">
        <v>2834000</v>
      </c>
      <c r="B2837" s="202">
        <v>19857.900000000001</v>
      </c>
    </row>
    <row r="2838" spans="1:2" hidden="1" x14ac:dyDescent="0.25">
      <c r="A2838" s="203">
        <v>2835000</v>
      </c>
      <c r="B2838" s="202">
        <v>19861.05</v>
      </c>
    </row>
    <row r="2839" spans="1:2" hidden="1" x14ac:dyDescent="0.25">
      <c r="A2839" s="203">
        <v>2836000</v>
      </c>
      <c r="B2839" s="202">
        <v>19864.2</v>
      </c>
    </row>
    <row r="2840" spans="1:2" hidden="1" x14ac:dyDescent="0.25">
      <c r="A2840" s="203">
        <v>2837000</v>
      </c>
      <c r="B2840" s="202">
        <v>19867.400000000001</v>
      </c>
    </row>
    <row r="2841" spans="1:2" hidden="1" x14ac:dyDescent="0.25">
      <c r="A2841" s="203">
        <v>2838000</v>
      </c>
      <c r="B2841" s="202">
        <v>19870.599999999999</v>
      </c>
    </row>
    <row r="2842" spans="1:2" hidden="1" x14ac:dyDescent="0.25">
      <c r="A2842" s="203">
        <v>2839000</v>
      </c>
      <c r="B2842" s="202">
        <v>19873.75</v>
      </c>
    </row>
    <row r="2843" spans="1:2" hidden="1" x14ac:dyDescent="0.25">
      <c r="A2843" s="203">
        <v>2840000</v>
      </c>
      <c r="B2843" s="202">
        <v>19876.95</v>
      </c>
    </row>
    <row r="2844" spans="1:2" hidden="1" x14ac:dyDescent="0.25">
      <c r="A2844" s="203">
        <v>2841000</v>
      </c>
      <c r="B2844" s="202">
        <v>19880.099999999999</v>
      </c>
    </row>
    <row r="2845" spans="1:2" hidden="1" x14ac:dyDescent="0.25">
      <c r="A2845" s="203">
        <v>2842000</v>
      </c>
      <c r="B2845" s="202">
        <v>19883.3</v>
      </c>
    </row>
    <row r="2846" spans="1:2" hidden="1" x14ac:dyDescent="0.25">
      <c r="A2846" s="203">
        <v>2843000</v>
      </c>
      <c r="B2846" s="202">
        <v>19886.5</v>
      </c>
    </row>
    <row r="2847" spans="1:2" hidden="1" x14ac:dyDescent="0.25">
      <c r="A2847" s="203">
        <v>2844000</v>
      </c>
      <c r="B2847" s="202">
        <v>19889.650000000001</v>
      </c>
    </row>
    <row r="2848" spans="1:2" hidden="1" x14ac:dyDescent="0.25">
      <c r="A2848" s="203">
        <v>2845000</v>
      </c>
      <c r="B2848" s="202">
        <v>19892.849999999999</v>
      </c>
    </row>
    <row r="2849" spans="1:2" hidden="1" x14ac:dyDescent="0.25">
      <c r="A2849" s="203">
        <v>2846000</v>
      </c>
      <c r="B2849" s="202">
        <v>19896</v>
      </c>
    </row>
    <row r="2850" spans="1:2" hidden="1" x14ac:dyDescent="0.25">
      <c r="A2850" s="203">
        <v>2847000</v>
      </c>
      <c r="B2850" s="202">
        <v>19899.150000000001</v>
      </c>
    </row>
    <row r="2851" spans="1:2" hidden="1" x14ac:dyDescent="0.25">
      <c r="A2851" s="203">
        <v>2848000</v>
      </c>
      <c r="B2851" s="202">
        <v>19902.45</v>
      </c>
    </row>
    <row r="2852" spans="1:2" hidden="1" x14ac:dyDescent="0.25">
      <c r="A2852" s="203">
        <v>2849000</v>
      </c>
      <c r="B2852" s="202">
        <v>19905.599999999999</v>
      </c>
    </row>
    <row r="2853" spans="1:2" hidden="1" x14ac:dyDescent="0.25">
      <c r="A2853" s="203">
        <v>2850000</v>
      </c>
      <c r="B2853" s="202">
        <v>19908.75</v>
      </c>
    </row>
    <row r="2854" spans="1:2" hidden="1" x14ac:dyDescent="0.25">
      <c r="A2854" s="203">
        <v>2851000</v>
      </c>
      <c r="B2854" s="202">
        <v>19911.95</v>
      </c>
    </row>
    <row r="2855" spans="1:2" hidden="1" x14ac:dyDescent="0.25">
      <c r="A2855" s="203">
        <v>2852000</v>
      </c>
      <c r="B2855" s="202">
        <v>19915.099999999999</v>
      </c>
    </row>
    <row r="2856" spans="1:2" hidden="1" x14ac:dyDescent="0.25">
      <c r="A2856" s="203">
        <v>2853000</v>
      </c>
      <c r="B2856" s="202">
        <v>19918.349999999999</v>
      </c>
    </row>
    <row r="2857" spans="1:2" hidden="1" x14ac:dyDescent="0.25">
      <c r="A2857" s="203">
        <v>2854000</v>
      </c>
      <c r="B2857" s="202">
        <v>19921.5</v>
      </c>
    </row>
    <row r="2858" spans="1:2" hidden="1" x14ac:dyDescent="0.25">
      <c r="A2858" s="203">
        <v>2855000</v>
      </c>
      <c r="B2858" s="202">
        <v>19924.650000000001</v>
      </c>
    </row>
    <row r="2859" spans="1:2" hidden="1" x14ac:dyDescent="0.25">
      <c r="A2859" s="203">
        <v>2856000</v>
      </c>
      <c r="B2859" s="202">
        <v>19927.849999999999</v>
      </c>
    </row>
    <row r="2860" spans="1:2" hidden="1" x14ac:dyDescent="0.25">
      <c r="A2860" s="203">
        <v>2857000</v>
      </c>
      <c r="B2860" s="202">
        <v>19931</v>
      </c>
    </row>
    <row r="2861" spans="1:2" hidden="1" x14ac:dyDescent="0.25">
      <c r="A2861" s="203">
        <v>2858000</v>
      </c>
      <c r="B2861" s="202">
        <v>19934.2</v>
      </c>
    </row>
    <row r="2862" spans="1:2" hidden="1" x14ac:dyDescent="0.25">
      <c r="A2862" s="203">
        <v>2859000</v>
      </c>
      <c r="B2862" s="202">
        <v>19937.400000000001</v>
      </c>
    </row>
    <row r="2863" spans="1:2" hidden="1" x14ac:dyDescent="0.25">
      <c r="A2863" s="203">
        <v>2860000</v>
      </c>
      <c r="B2863" s="202">
        <v>19940.55</v>
      </c>
    </row>
    <row r="2864" spans="1:2" hidden="1" x14ac:dyDescent="0.25">
      <c r="A2864" s="203">
        <v>2861000</v>
      </c>
      <c r="B2864" s="202">
        <v>19943.7</v>
      </c>
    </row>
    <row r="2865" spans="1:2" hidden="1" x14ac:dyDescent="0.25">
      <c r="A2865" s="203">
        <v>2862000</v>
      </c>
      <c r="B2865" s="202">
        <v>19946.95</v>
      </c>
    </row>
    <row r="2866" spans="1:2" hidden="1" x14ac:dyDescent="0.25">
      <c r="A2866" s="203">
        <v>2863000</v>
      </c>
      <c r="B2866" s="202">
        <v>19950.150000000001</v>
      </c>
    </row>
    <row r="2867" spans="1:2" hidden="1" x14ac:dyDescent="0.25">
      <c r="A2867" s="203">
        <v>2864000</v>
      </c>
      <c r="B2867" s="202">
        <v>19953.3</v>
      </c>
    </row>
    <row r="2868" spans="1:2" hidden="1" x14ac:dyDescent="0.25">
      <c r="A2868" s="203">
        <v>2865000</v>
      </c>
      <c r="B2868" s="202">
        <v>19956.5</v>
      </c>
    </row>
    <row r="2869" spans="1:2" hidden="1" x14ac:dyDescent="0.25">
      <c r="A2869" s="203">
        <v>2866000</v>
      </c>
      <c r="B2869" s="202">
        <v>19959.650000000001</v>
      </c>
    </row>
    <row r="2870" spans="1:2" hidden="1" x14ac:dyDescent="0.25">
      <c r="A2870" s="203">
        <v>2867000</v>
      </c>
      <c r="B2870" s="202">
        <v>19962.849999999999</v>
      </c>
    </row>
    <row r="2871" spans="1:2" hidden="1" x14ac:dyDescent="0.25">
      <c r="A2871" s="203">
        <v>2868000</v>
      </c>
      <c r="B2871" s="202">
        <v>19966.05</v>
      </c>
    </row>
    <row r="2872" spans="1:2" hidden="1" x14ac:dyDescent="0.25">
      <c r="A2872" s="203">
        <v>2869000</v>
      </c>
      <c r="B2872" s="202">
        <v>19969.2</v>
      </c>
    </row>
    <row r="2873" spans="1:2" hidden="1" x14ac:dyDescent="0.25">
      <c r="A2873" s="203">
        <v>2870000</v>
      </c>
      <c r="B2873" s="202">
        <v>19972.400000000001</v>
      </c>
    </row>
    <row r="2874" spans="1:2" hidden="1" x14ac:dyDescent="0.25">
      <c r="A2874" s="203">
        <v>2871000</v>
      </c>
      <c r="B2874" s="202">
        <v>19975.55</v>
      </c>
    </row>
    <row r="2875" spans="1:2" hidden="1" x14ac:dyDescent="0.25">
      <c r="A2875" s="203">
        <v>2872000</v>
      </c>
      <c r="B2875" s="202">
        <v>19978.7</v>
      </c>
    </row>
    <row r="2876" spans="1:2" hidden="1" x14ac:dyDescent="0.25">
      <c r="A2876" s="203">
        <v>2873000</v>
      </c>
      <c r="B2876" s="202">
        <v>19981.95</v>
      </c>
    </row>
    <row r="2877" spans="1:2" hidden="1" x14ac:dyDescent="0.25">
      <c r="A2877" s="203">
        <v>2874000</v>
      </c>
      <c r="B2877" s="202">
        <v>19985.099999999999</v>
      </c>
    </row>
    <row r="2878" spans="1:2" hidden="1" x14ac:dyDescent="0.25">
      <c r="A2878" s="203">
        <v>2875000</v>
      </c>
      <c r="B2878" s="202">
        <v>19988.25</v>
      </c>
    </row>
    <row r="2879" spans="1:2" hidden="1" x14ac:dyDescent="0.25">
      <c r="A2879" s="203">
        <v>2876000</v>
      </c>
      <c r="B2879" s="202">
        <v>19991.5</v>
      </c>
    </row>
    <row r="2880" spans="1:2" hidden="1" x14ac:dyDescent="0.25">
      <c r="A2880" s="203">
        <v>2877000</v>
      </c>
      <c r="B2880" s="202">
        <v>19994.650000000001</v>
      </c>
    </row>
    <row r="2881" spans="1:2" hidden="1" x14ac:dyDescent="0.25">
      <c r="A2881" s="203">
        <v>2878000</v>
      </c>
      <c r="B2881" s="202">
        <v>19997.900000000001</v>
      </c>
    </row>
    <row r="2882" spans="1:2" hidden="1" x14ac:dyDescent="0.25">
      <c r="A2882" s="203">
        <v>2879000</v>
      </c>
      <c r="B2882" s="202">
        <v>20001.05</v>
      </c>
    </row>
    <row r="2883" spans="1:2" hidden="1" x14ac:dyDescent="0.25">
      <c r="A2883" s="203">
        <v>2880000</v>
      </c>
      <c r="B2883" s="202">
        <v>20004.2</v>
      </c>
    </row>
    <row r="2884" spans="1:2" hidden="1" x14ac:dyDescent="0.25">
      <c r="A2884" s="203">
        <v>2881000</v>
      </c>
      <c r="B2884" s="202">
        <v>20007.400000000001</v>
      </c>
    </row>
    <row r="2885" spans="1:2" hidden="1" x14ac:dyDescent="0.25">
      <c r="A2885" s="203">
        <v>2882000</v>
      </c>
      <c r="B2885" s="202">
        <v>20010.55</v>
      </c>
    </row>
    <row r="2886" spans="1:2" hidden="1" x14ac:dyDescent="0.25">
      <c r="A2886" s="203">
        <v>2883000</v>
      </c>
      <c r="B2886" s="202">
        <v>20013.75</v>
      </c>
    </row>
    <row r="2887" spans="1:2" hidden="1" x14ac:dyDescent="0.25">
      <c r="A2887" s="203">
        <v>2884000</v>
      </c>
      <c r="B2887" s="202">
        <v>20016.95</v>
      </c>
    </row>
    <row r="2888" spans="1:2" hidden="1" x14ac:dyDescent="0.25">
      <c r="A2888" s="203">
        <v>2885000</v>
      </c>
      <c r="B2888" s="202">
        <v>20020.099999999999</v>
      </c>
    </row>
    <row r="2889" spans="1:2" hidden="1" x14ac:dyDescent="0.25">
      <c r="A2889" s="203">
        <v>2886000</v>
      </c>
      <c r="B2889" s="202">
        <v>20023.25</v>
      </c>
    </row>
    <row r="2890" spans="1:2" hidden="1" x14ac:dyDescent="0.25">
      <c r="A2890" s="203">
        <v>2887000</v>
      </c>
      <c r="B2890" s="202">
        <v>20026.45</v>
      </c>
    </row>
    <row r="2891" spans="1:2" hidden="1" x14ac:dyDescent="0.25">
      <c r="A2891" s="203">
        <v>2888000</v>
      </c>
      <c r="B2891" s="202">
        <v>20029.650000000001</v>
      </c>
    </row>
    <row r="2892" spans="1:2" hidden="1" x14ac:dyDescent="0.25">
      <c r="A2892" s="203">
        <v>2889000</v>
      </c>
      <c r="B2892" s="202">
        <v>20032.8</v>
      </c>
    </row>
    <row r="2893" spans="1:2" hidden="1" x14ac:dyDescent="0.25">
      <c r="A2893" s="203">
        <v>2890000</v>
      </c>
      <c r="B2893" s="202">
        <v>20036.05</v>
      </c>
    </row>
    <row r="2894" spans="1:2" hidden="1" x14ac:dyDescent="0.25">
      <c r="A2894" s="203">
        <v>2891000</v>
      </c>
      <c r="B2894" s="202">
        <v>20039.2</v>
      </c>
    </row>
    <row r="2895" spans="1:2" hidden="1" x14ac:dyDescent="0.25">
      <c r="A2895" s="203">
        <v>2892000</v>
      </c>
      <c r="B2895" s="202">
        <v>20042.349999999999</v>
      </c>
    </row>
    <row r="2896" spans="1:2" hidden="1" x14ac:dyDescent="0.25">
      <c r="A2896" s="203">
        <v>2893000</v>
      </c>
      <c r="B2896" s="202">
        <v>20045.599999999999</v>
      </c>
    </row>
    <row r="2897" spans="1:2" hidden="1" x14ac:dyDescent="0.25">
      <c r="A2897" s="203">
        <v>2894000</v>
      </c>
      <c r="B2897" s="202">
        <v>20048.75</v>
      </c>
    </row>
    <row r="2898" spans="1:2" hidden="1" x14ac:dyDescent="0.25">
      <c r="A2898" s="203">
        <v>2895000</v>
      </c>
      <c r="B2898" s="202">
        <v>20051.95</v>
      </c>
    </row>
    <row r="2899" spans="1:2" hidden="1" x14ac:dyDescent="0.25">
      <c r="A2899" s="203">
        <v>2896000</v>
      </c>
      <c r="B2899" s="202">
        <v>20055.099999999999</v>
      </c>
    </row>
    <row r="2900" spans="1:2" hidden="1" x14ac:dyDescent="0.25">
      <c r="A2900" s="203">
        <v>2897000</v>
      </c>
      <c r="B2900" s="202">
        <v>20058.25</v>
      </c>
    </row>
    <row r="2901" spans="1:2" hidden="1" x14ac:dyDescent="0.25">
      <c r="A2901" s="203">
        <v>2898000</v>
      </c>
      <c r="B2901" s="202">
        <v>20061.5</v>
      </c>
    </row>
    <row r="2902" spans="1:2" hidden="1" x14ac:dyDescent="0.25">
      <c r="A2902" s="203">
        <v>2899000</v>
      </c>
      <c r="B2902" s="202">
        <v>20064.650000000001</v>
      </c>
    </row>
    <row r="2903" spans="1:2" hidden="1" x14ac:dyDescent="0.25">
      <c r="A2903" s="203">
        <v>2900000</v>
      </c>
      <c r="B2903" s="202">
        <v>20067.8</v>
      </c>
    </row>
    <row r="2904" spans="1:2" hidden="1" x14ac:dyDescent="0.25">
      <c r="A2904" s="203">
        <v>2901000</v>
      </c>
      <c r="B2904" s="202">
        <v>20071</v>
      </c>
    </row>
    <row r="2905" spans="1:2" hidden="1" x14ac:dyDescent="0.25">
      <c r="A2905" s="203">
        <v>2902000</v>
      </c>
      <c r="B2905" s="202">
        <v>20074.150000000001</v>
      </c>
    </row>
    <row r="2906" spans="1:2" hidden="1" x14ac:dyDescent="0.25">
      <c r="A2906" s="203">
        <v>2903000</v>
      </c>
      <c r="B2906" s="202">
        <v>20077.400000000001</v>
      </c>
    </row>
    <row r="2907" spans="1:2" hidden="1" x14ac:dyDescent="0.25">
      <c r="A2907" s="203">
        <v>2904000</v>
      </c>
      <c r="B2907" s="202">
        <v>20080.599999999999</v>
      </c>
    </row>
    <row r="2908" spans="1:2" hidden="1" x14ac:dyDescent="0.25">
      <c r="A2908" s="203">
        <v>2905000</v>
      </c>
      <c r="B2908" s="202">
        <v>20083.75</v>
      </c>
    </row>
    <row r="2909" spans="1:2" hidden="1" x14ac:dyDescent="0.25">
      <c r="A2909" s="203">
        <v>2906000</v>
      </c>
      <c r="B2909" s="202">
        <v>20086.95</v>
      </c>
    </row>
    <row r="2910" spans="1:2" hidden="1" x14ac:dyDescent="0.25">
      <c r="A2910" s="203">
        <v>2907000</v>
      </c>
      <c r="B2910" s="202">
        <v>20090.099999999999</v>
      </c>
    </row>
    <row r="2911" spans="1:2" hidden="1" x14ac:dyDescent="0.25">
      <c r="A2911" s="203">
        <v>2908000</v>
      </c>
      <c r="B2911" s="202">
        <v>20093.3</v>
      </c>
    </row>
    <row r="2912" spans="1:2" hidden="1" x14ac:dyDescent="0.25">
      <c r="A2912" s="203">
        <v>2909000</v>
      </c>
      <c r="B2912" s="202">
        <v>20096.5</v>
      </c>
    </row>
    <row r="2913" spans="1:2" hidden="1" x14ac:dyDescent="0.25">
      <c r="A2913" s="203">
        <v>2910000</v>
      </c>
      <c r="B2913" s="202">
        <v>20099.650000000001</v>
      </c>
    </row>
    <row r="2914" spans="1:2" hidden="1" x14ac:dyDescent="0.25">
      <c r="A2914" s="203">
        <v>2911000</v>
      </c>
      <c r="B2914" s="202">
        <v>20102.8</v>
      </c>
    </row>
    <row r="2915" spans="1:2" hidden="1" x14ac:dyDescent="0.25">
      <c r="A2915" s="203">
        <v>2912000</v>
      </c>
      <c r="B2915" s="202">
        <v>20106</v>
      </c>
    </row>
    <row r="2916" spans="1:2" hidden="1" x14ac:dyDescent="0.25">
      <c r="A2916" s="203">
        <v>2913000</v>
      </c>
      <c r="B2916" s="202">
        <v>20109.2</v>
      </c>
    </row>
    <row r="2917" spans="1:2" hidden="1" x14ac:dyDescent="0.25">
      <c r="A2917" s="203">
        <v>2914000</v>
      </c>
      <c r="B2917" s="202">
        <v>20112.349999999999</v>
      </c>
    </row>
    <row r="2918" spans="1:2" hidden="1" x14ac:dyDescent="0.25">
      <c r="A2918" s="203">
        <v>2915000</v>
      </c>
      <c r="B2918" s="202">
        <v>20115.55</v>
      </c>
    </row>
    <row r="2919" spans="1:2" hidden="1" x14ac:dyDescent="0.25">
      <c r="A2919" s="203">
        <v>2916000</v>
      </c>
      <c r="B2919" s="202">
        <v>20118.7</v>
      </c>
    </row>
    <row r="2920" spans="1:2" hidden="1" x14ac:dyDescent="0.25">
      <c r="A2920" s="203">
        <v>2917000</v>
      </c>
      <c r="B2920" s="202">
        <v>20121.849999999999</v>
      </c>
    </row>
    <row r="2921" spans="1:2" hidden="1" x14ac:dyDescent="0.25">
      <c r="A2921" s="203">
        <v>2918000</v>
      </c>
      <c r="B2921" s="202">
        <v>20125.150000000001</v>
      </c>
    </row>
    <row r="2922" spans="1:2" hidden="1" x14ac:dyDescent="0.25">
      <c r="A2922" s="203">
        <v>2919000</v>
      </c>
      <c r="B2922" s="202">
        <v>20128.3</v>
      </c>
    </row>
    <row r="2923" spans="1:2" hidden="1" x14ac:dyDescent="0.25">
      <c r="A2923" s="203">
        <v>2920000</v>
      </c>
      <c r="B2923" s="202">
        <v>20131.5</v>
      </c>
    </row>
    <row r="2924" spans="1:2" hidden="1" x14ac:dyDescent="0.25">
      <c r="A2924" s="203">
        <v>2921000</v>
      </c>
      <c r="B2924" s="202">
        <v>20134.650000000001</v>
      </c>
    </row>
    <row r="2925" spans="1:2" hidden="1" x14ac:dyDescent="0.25">
      <c r="A2925" s="203">
        <v>2922000</v>
      </c>
      <c r="B2925" s="202">
        <v>20137.8</v>
      </c>
    </row>
    <row r="2926" spans="1:2" hidden="1" x14ac:dyDescent="0.25">
      <c r="A2926" s="203">
        <v>2923000</v>
      </c>
      <c r="B2926" s="202">
        <v>20141.05</v>
      </c>
    </row>
    <row r="2927" spans="1:2" hidden="1" x14ac:dyDescent="0.25">
      <c r="A2927" s="203">
        <v>2924000</v>
      </c>
      <c r="B2927" s="202">
        <v>20144.2</v>
      </c>
    </row>
    <row r="2928" spans="1:2" hidden="1" x14ac:dyDescent="0.25">
      <c r="A2928" s="203">
        <v>2925000</v>
      </c>
      <c r="B2928" s="202">
        <v>20147.349999999999</v>
      </c>
    </row>
    <row r="2929" spans="1:2" hidden="1" x14ac:dyDescent="0.25">
      <c r="A2929" s="203">
        <v>2926000</v>
      </c>
      <c r="B2929" s="202">
        <v>20150.55</v>
      </c>
    </row>
    <row r="2930" spans="1:2" hidden="1" x14ac:dyDescent="0.25">
      <c r="A2930" s="203">
        <v>2927000</v>
      </c>
      <c r="B2930" s="202">
        <v>20153.7</v>
      </c>
    </row>
    <row r="2931" spans="1:2" hidden="1" x14ac:dyDescent="0.25">
      <c r="A2931" s="203">
        <v>2928000</v>
      </c>
      <c r="B2931" s="202">
        <v>20156.900000000001</v>
      </c>
    </row>
    <row r="2932" spans="1:2" hidden="1" x14ac:dyDescent="0.25">
      <c r="A2932" s="203">
        <v>2929000</v>
      </c>
      <c r="B2932" s="202">
        <v>20160.099999999999</v>
      </c>
    </row>
    <row r="2933" spans="1:2" hidden="1" x14ac:dyDescent="0.25">
      <c r="A2933" s="203">
        <v>2930000</v>
      </c>
      <c r="B2933" s="202">
        <v>20163.25</v>
      </c>
    </row>
    <row r="2934" spans="1:2" hidden="1" x14ac:dyDescent="0.25">
      <c r="A2934" s="203">
        <v>2931000</v>
      </c>
      <c r="B2934" s="202">
        <v>20166.5</v>
      </c>
    </row>
    <row r="2935" spans="1:2" hidden="1" x14ac:dyDescent="0.25">
      <c r="A2935" s="203">
        <v>2932000</v>
      </c>
      <c r="B2935" s="202">
        <v>20169.650000000001</v>
      </c>
    </row>
    <row r="2936" spans="1:2" hidden="1" x14ac:dyDescent="0.25">
      <c r="A2936" s="203">
        <v>2933000</v>
      </c>
      <c r="B2936" s="202">
        <v>20172.849999999999</v>
      </c>
    </row>
    <row r="2937" spans="1:2" hidden="1" x14ac:dyDescent="0.25">
      <c r="A2937" s="203">
        <v>2934000</v>
      </c>
      <c r="B2937" s="202">
        <v>20176.05</v>
      </c>
    </row>
    <row r="2938" spans="1:2" hidden="1" x14ac:dyDescent="0.25">
      <c r="A2938" s="203">
        <v>2935000</v>
      </c>
      <c r="B2938" s="202">
        <v>20179.2</v>
      </c>
    </row>
    <row r="2939" spans="1:2" hidden="1" x14ac:dyDescent="0.25">
      <c r="A2939" s="203">
        <v>2936000</v>
      </c>
      <c r="B2939" s="202">
        <v>20182.349999999999</v>
      </c>
    </row>
    <row r="2940" spans="1:2" hidden="1" x14ac:dyDescent="0.25">
      <c r="A2940" s="203">
        <v>2937000</v>
      </c>
      <c r="B2940" s="202">
        <v>20185.55</v>
      </c>
    </row>
    <row r="2941" spans="1:2" hidden="1" x14ac:dyDescent="0.25">
      <c r="A2941" s="203">
        <v>2938000</v>
      </c>
      <c r="B2941" s="202">
        <v>20188.75</v>
      </c>
    </row>
    <row r="2942" spans="1:2" hidden="1" x14ac:dyDescent="0.25">
      <c r="A2942" s="203">
        <v>2939000</v>
      </c>
      <c r="B2942" s="202">
        <v>20191.900000000001</v>
      </c>
    </row>
    <row r="2943" spans="1:2" hidden="1" x14ac:dyDescent="0.25">
      <c r="A2943" s="203">
        <v>2940000</v>
      </c>
      <c r="B2943" s="202">
        <v>20195.099999999999</v>
      </c>
    </row>
    <row r="2944" spans="1:2" hidden="1" x14ac:dyDescent="0.25">
      <c r="A2944" s="203">
        <v>2941000</v>
      </c>
      <c r="B2944" s="202">
        <v>20198.25</v>
      </c>
    </row>
    <row r="2945" spans="1:2" hidden="1" x14ac:dyDescent="0.25">
      <c r="A2945" s="203">
        <v>2942000</v>
      </c>
      <c r="B2945" s="202">
        <v>20201.400000000001</v>
      </c>
    </row>
    <row r="2946" spans="1:2" hidden="1" x14ac:dyDescent="0.25">
      <c r="A2946" s="203">
        <v>2943000</v>
      </c>
      <c r="B2946" s="202">
        <v>20204.650000000001</v>
      </c>
    </row>
    <row r="2947" spans="1:2" hidden="1" x14ac:dyDescent="0.25">
      <c r="A2947" s="203">
        <v>2944000</v>
      </c>
      <c r="B2947" s="202">
        <v>20207.8</v>
      </c>
    </row>
    <row r="2948" spans="1:2" hidden="1" x14ac:dyDescent="0.25">
      <c r="A2948" s="203">
        <v>2945000</v>
      </c>
      <c r="B2948" s="202">
        <v>20211.05</v>
      </c>
    </row>
    <row r="2949" spans="1:2" hidden="1" x14ac:dyDescent="0.25">
      <c r="A2949" s="203">
        <v>2946000</v>
      </c>
      <c r="B2949" s="202">
        <v>20214.2</v>
      </c>
    </row>
    <row r="2950" spans="1:2" hidden="1" x14ac:dyDescent="0.25">
      <c r="A2950" s="203">
        <v>2947000</v>
      </c>
      <c r="B2950" s="202">
        <v>20217.349999999999</v>
      </c>
    </row>
    <row r="2951" spans="1:2" hidden="1" x14ac:dyDescent="0.25">
      <c r="A2951" s="203">
        <v>2948000</v>
      </c>
      <c r="B2951" s="202">
        <v>20220.599999999999</v>
      </c>
    </row>
    <row r="2952" spans="1:2" hidden="1" x14ac:dyDescent="0.25">
      <c r="A2952" s="203">
        <v>2949000</v>
      </c>
      <c r="B2952" s="202">
        <v>20223.75</v>
      </c>
    </row>
    <row r="2953" spans="1:2" hidden="1" x14ac:dyDescent="0.25">
      <c r="A2953" s="203">
        <v>2950000</v>
      </c>
      <c r="B2953" s="202">
        <v>20226.900000000001</v>
      </c>
    </row>
    <row r="2954" spans="1:2" hidden="1" x14ac:dyDescent="0.25">
      <c r="A2954" s="203">
        <v>2951000</v>
      </c>
      <c r="B2954" s="202">
        <v>20230.099999999999</v>
      </c>
    </row>
    <row r="2955" spans="1:2" hidden="1" x14ac:dyDescent="0.25">
      <c r="A2955" s="203">
        <v>2952000</v>
      </c>
      <c r="B2955" s="202">
        <v>20233.25</v>
      </c>
    </row>
    <row r="2956" spans="1:2" hidden="1" x14ac:dyDescent="0.25">
      <c r="A2956" s="203">
        <v>2953000</v>
      </c>
      <c r="B2956" s="202">
        <v>20236.45</v>
      </c>
    </row>
    <row r="2957" spans="1:2" hidden="1" x14ac:dyDescent="0.25">
      <c r="A2957" s="203">
        <v>2954000</v>
      </c>
      <c r="B2957" s="202">
        <v>20239.650000000001</v>
      </c>
    </row>
    <row r="2958" spans="1:2" hidden="1" x14ac:dyDescent="0.25">
      <c r="A2958" s="203">
        <v>2955000</v>
      </c>
      <c r="B2958" s="202">
        <v>20242.8</v>
      </c>
    </row>
    <row r="2959" spans="1:2" hidden="1" x14ac:dyDescent="0.25">
      <c r="A2959" s="203">
        <v>2956000</v>
      </c>
      <c r="B2959" s="202">
        <v>20245.95</v>
      </c>
    </row>
    <row r="2960" spans="1:2" hidden="1" x14ac:dyDescent="0.25">
      <c r="A2960" s="203">
        <v>2957000</v>
      </c>
      <c r="B2960" s="202">
        <v>20249.150000000001</v>
      </c>
    </row>
    <row r="2961" spans="1:2" hidden="1" x14ac:dyDescent="0.25">
      <c r="A2961" s="203">
        <v>2958000</v>
      </c>
      <c r="B2961" s="202">
        <v>20252.349999999999</v>
      </c>
    </row>
    <row r="2962" spans="1:2" hidden="1" x14ac:dyDescent="0.25">
      <c r="A2962" s="203">
        <v>2959000</v>
      </c>
      <c r="B2962" s="202">
        <v>20255.599999999999</v>
      </c>
    </row>
    <row r="2963" spans="1:2" hidden="1" x14ac:dyDescent="0.25">
      <c r="A2963" s="203">
        <v>2960000</v>
      </c>
      <c r="B2963" s="202">
        <v>20258.75</v>
      </c>
    </row>
    <row r="2964" spans="1:2" hidden="1" x14ac:dyDescent="0.25">
      <c r="A2964" s="203">
        <v>2961000</v>
      </c>
      <c r="B2964" s="202">
        <v>20261.900000000001</v>
      </c>
    </row>
    <row r="2965" spans="1:2" hidden="1" x14ac:dyDescent="0.25">
      <c r="A2965" s="203">
        <v>2962000</v>
      </c>
      <c r="B2965" s="202">
        <v>20265.099999999999</v>
      </c>
    </row>
    <row r="2966" spans="1:2" hidden="1" x14ac:dyDescent="0.25">
      <c r="A2966" s="203">
        <v>2963000</v>
      </c>
      <c r="B2966" s="202">
        <v>20268.3</v>
      </c>
    </row>
    <row r="2967" spans="1:2" hidden="1" x14ac:dyDescent="0.25">
      <c r="A2967" s="203">
        <v>2964000</v>
      </c>
      <c r="B2967" s="202">
        <v>20271.45</v>
      </c>
    </row>
    <row r="2968" spans="1:2" hidden="1" x14ac:dyDescent="0.25">
      <c r="A2968" s="203">
        <v>2965000</v>
      </c>
      <c r="B2968" s="202">
        <v>20274.650000000001</v>
      </c>
    </row>
    <row r="2969" spans="1:2" hidden="1" x14ac:dyDescent="0.25">
      <c r="A2969" s="203">
        <v>2966000</v>
      </c>
      <c r="B2969" s="202">
        <v>20277.8</v>
      </c>
    </row>
    <row r="2970" spans="1:2" hidden="1" x14ac:dyDescent="0.25">
      <c r="A2970" s="203">
        <v>2967000</v>
      </c>
      <c r="B2970" s="202">
        <v>20280.95</v>
      </c>
    </row>
    <row r="2971" spans="1:2" hidden="1" x14ac:dyDescent="0.25">
      <c r="A2971" s="203">
        <v>2968000</v>
      </c>
      <c r="B2971" s="202">
        <v>20284.2</v>
      </c>
    </row>
    <row r="2972" spans="1:2" hidden="1" x14ac:dyDescent="0.25">
      <c r="A2972" s="203">
        <v>2969000</v>
      </c>
      <c r="B2972" s="202">
        <v>20287.349999999999</v>
      </c>
    </row>
    <row r="2973" spans="1:2" hidden="1" x14ac:dyDescent="0.25">
      <c r="A2973" s="203">
        <v>2970000</v>
      </c>
      <c r="B2973" s="202">
        <v>20290.5</v>
      </c>
    </row>
    <row r="2974" spans="1:2" hidden="1" x14ac:dyDescent="0.25">
      <c r="A2974" s="203">
        <v>2971000</v>
      </c>
      <c r="B2974" s="202">
        <v>20293.7</v>
      </c>
    </row>
    <row r="2975" spans="1:2" hidden="1" x14ac:dyDescent="0.25">
      <c r="A2975" s="203">
        <v>2972000</v>
      </c>
      <c r="B2975" s="202">
        <v>20296.849999999999</v>
      </c>
    </row>
    <row r="2976" spans="1:2" hidden="1" x14ac:dyDescent="0.25">
      <c r="A2976" s="203">
        <v>2973000</v>
      </c>
      <c r="B2976" s="202">
        <v>20300.150000000001</v>
      </c>
    </row>
    <row r="2977" spans="1:2" hidden="1" x14ac:dyDescent="0.25">
      <c r="A2977" s="203">
        <v>2974000</v>
      </c>
      <c r="B2977" s="202">
        <v>20303.3</v>
      </c>
    </row>
    <row r="2978" spans="1:2" hidden="1" x14ac:dyDescent="0.25">
      <c r="A2978" s="203">
        <v>2975000</v>
      </c>
      <c r="B2978" s="202">
        <v>20306.45</v>
      </c>
    </row>
    <row r="2979" spans="1:2" hidden="1" x14ac:dyDescent="0.25">
      <c r="A2979" s="203">
        <v>2976000</v>
      </c>
      <c r="B2979" s="202">
        <v>20309.650000000001</v>
      </c>
    </row>
    <row r="2980" spans="1:2" hidden="1" x14ac:dyDescent="0.25">
      <c r="A2980" s="203">
        <v>2977000</v>
      </c>
      <c r="B2980" s="202">
        <v>20312.8</v>
      </c>
    </row>
    <row r="2981" spans="1:2" hidden="1" x14ac:dyDescent="0.25">
      <c r="A2981" s="203">
        <v>2978000</v>
      </c>
      <c r="B2981" s="202">
        <v>20316.05</v>
      </c>
    </row>
    <row r="2982" spans="1:2" hidden="1" x14ac:dyDescent="0.25">
      <c r="A2982" s="203">
        <v>2979000</v>
      </c>
      <c r="B2982" s="202">
        <v>20319.2</v>
      </c>
    </row>
    <row r="2983" spans="1:2" hidden="1" x14ac:dyDescent="0.25">
      <c r="A2983" s="203">
        <v>2980000</v>
      </c>
      <c r="B2983" s="202">
        <v>20322.349999999999</v>
      </c>
    </row>
    <row r="2984" spans="1:2" hidden="1" x14ac:dyDescent="0.25">
      <c r="A2984" s="203">
        <v>2981000</v>
      </c>
      <c r="B2984" s="202">
        <v>20325.5</v>
      </c>
    </row>
    <row r="2985" spans="1:2" hidden="1" x14ac:dyDescent="0.25">
      <c r="A2985" s="203">
        <v>2982000</v>
      </c>
      <c r="B2985" s="202">
        <v>20328.7</v>
      </c>
    </row>
    <row r="2986" spans="1:2" hidden="1" x14ac:dyDescent="0.25">
      <c r="A2986" s="203">
        <v>2983000</v>
      </c>
      <c r="B2986" s="202">
        <v>20331.95</v>
      </c>
    </row>
    <row r="2987" spans="1:2" hidden="1" x14ac:dyDescent="0.25">
      <c r="A2987" s="203">
        <v>2984000</v>
      </c>
      <c r="B2987" s="202">
        <v>20335.150000000001</v>
      </c>
    </row>
    <row r="2988" spans="1:2" hidden="1" x14ac:dyDescent="0.25">
      <c r="A2988" s="203">
        <v>2985000</v>
      </c>
      <c r="B2988" s="202">
        <v>20338.3</v>
      </c>
    </row>
    <row r="2989" spans="1:2" hidden="1" x14ac:dyDescent="0.25">
      <c r="A2989" s="203">
        <v>2986000</v>
      </c>
      <c r="B2989" s="202">
        <v>20341.400000000001</v>
      </c>
    </row>
    <row r="2990" spans="1:2" hidden="1" x14ac:dyDescent="0.25">
      <c r="A2990" s="203">
        <v>2987000</v>
      </c>
      <c r="B2990" s="202">
        <v>20344.650000000001</v>
      </c>
    </row>
    <row r="2991" spans="1:2" hidden="1" x14ac:dyDescent="0.25">
      <c r="A2991" s="203">
        <v>2988000</v>
      </c>
      <c r="B2991" s="202">
        <v>20347.900000000001</v>
      </c>
    </row>
    <row r="2992" spans="1:2" hidden="1" x14ac:dyDescent="0.25">
      <c r="A2992" s="203">
        <v>2989000</v>
      </c>
      <c r="B2992" s="202">
        <v>20351.05</v>
      </c>
    </row>
    <row r="2993" spans="1:5" hidden="1" x14ac:dyDescent="0.25">
      <c r="A2993" s="203">
        <v>2990000</v>
      </c>
      <c r="B2993" s="202">
        <v>20354.25</v>
      </c>
    </row>
    <row r="2994" spans="1:5" hidden="1" x14ac:dyDescent="0.25">
      <c r="A2994" s="203">
        <v>2991000</v>
      </c>
      <c r="B2994" s="202">
        <v>20357.400000000001</v>
      </c>
    </row>
    <row r="2995" spans="1:5" hidden="1" x14ac:dyDescent="0.25">
      <c r="A2995" s="203">
        <v>2992000</v>
      </c>
      <c r="B2995" s="202">
        <v>20360.55</v>
      </c>
    </row>
    <row r="2996" spans="1:5" hidden="1" x14ac:dyDescent="0.25">
      <c r="A2996" s="203">
        <v>2993000</v>
      </c>
      <c r="B2996" s="202">
        <v>20363.8</v>
      </c>
    </row>
    <row r="2997" spans="1:5" hidden="1" x14ac:dyDescent="0.25">
      <c r="A2997" s="203">
        <v>2994000</v>
      </c>
      <c r="B2997" s="202">
        <v>20366.95</v>
      </c>
    </row>
    <row r="2998" spans="1:5" hidden="1" x14ac:dyDescent="0.25">
      <c r="A2998" s="203">
        <v>2995000</v>
      </c>
      <c r="B2998" s="202">
        <v>20370.150000000001</v>
      </c>
    </row>
    <row r="2999" spans="1:5" ht="15" hidden="1" customHeight="1" x14ac:dyDescent="0.25">
      <c r="A2999" s="203">
        <v>2996000</v>
      </c>
      <c r="B2999" s="202">
        <v>20373.3</v>
      </c>
    </row>
    <row r="3000" spans="1:5" hidden="1" x14ac:dyDescent="0.25">
      <c r="A3000" s="203">
        <v>2997000</v>
      </c>
      <c r="B3000" s="202">
        <v>20376.45</v>
      </c>
    </row>
    <row r="3001" spans="1:5" hidden="1" x14ac:dyDescent="0.25">
      <c r="A3001" s="203">
        <v>2998000</v>
      </c>
      <c r="B3001" s="202">
        <v>20379.7</v>
      </c>
    </row>
    <row r="3002" spans="1:5" hidden="1" x14ac:dyDescent="0.25">
      <c r="A3002" s="203">
        <v>2999000</v>
      </c>
      <c r="B3002" s="202">
        <v>20382.849999999999</v>
      </c>
    </row>
    <row r="3003" spans="1:5" hidden="1" x14ac:dyDescent="0.25">
      <c r="A3003" s="203">
        <v>3000000</v>
      </c>
      <c r="B3003" s="201" t="s">
        <v>540</v>
      </c>
    </row>
    <row r="3005" spans="1:5" ht="45" x14ac:dyDescent="0.25">
      <c r="A3005" s="200"/>
      <c r="E3005" s="200" t="s">
        <v>541</v>
      </c>
    </row>
  </sheetData>
  <sheetProtection algorithmName="SHA-512" hashValue="ZncYP38tucFmn2EJoPDWFmCNc6hi73Yi+oApfK30TXl06PISwIydoqjWAswmaj7JO6k1g+1Q7pFHnFa52/r6Wg==" saltValue="Dsr7y+hS5b2QtXkB6UOgcg==" spinCount="100000" sheet="1" formatCells="0" formatColumns="0" formatRows="0" insertColumns="0" insertRows="0" insertHyperlinks="0" deleteColumns="0" deleteRows="0" selectLockedCells="1" sort="0" autoFilter="0" pivotTable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50"/>
  </sheetPr>
  <dimension ref="A1:S410"/>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8" width="18.85546875" style="25" bestFit="1" customWidth="1" outlineLevel="1"/>
    <col min="9" max="11" width="15.5703125" style="25" customWidth="1" outlineLevel="1"/>
    <col min="12" max="12" width="17.5703125" style="25" customWidth="1" outlineLevel="1"/>
    <col min="13" max="13" width="18.85546875" style="88" bestFit="1" customWidth="1" outlineLevel="1"/>
    <col min="14"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70" t="s">
        <v>22</v>
      </c>
      <c r="N1" s="71"/>
    </row>
    <row r="2" spans="1:19" s="79" customFormat="1" ht="20.100000000000001" customHeight="1" thickBot="1" x14ac:dyDescent="0.4">
      <c r="A2" s="72">
        <f>Preliminaries!A2+1</f>
        <v>2</v>
      </c>
      <c r="B2" s="73" t="s" cm="1">
        <v>2436</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2.0099999999999998</v>
      </c>
      <c r="B3" s="27" t="s">
        <v>887</v>
      </c>
      <c r="C3" s="83">
        <v>33.17</v>
      </c>
      <c r="D3" s="29" t="s">
        <v>15</v>
      </c>
      <c r="E3" s="85"/>
      <c r="F3" s="86">
        <f>IF(E3="inc",0,IF(C3="",0,C3*E3))</f>
        <v>0</v>
      </c>
      <c r="G3" s="208"/>
      <c r="H3" s="30"/>
      <c r="I3" s="30"/>
      <c r="J3" s="30"/>
      <c r="K3" s="30"/>
      <c r="L3" s="30"/>
      <c r="M3" s="87"/>
      <c r="N3" s="88"/>
      <c r="O3" s="25"/>
      <c r="P3" s="25"/>
      <c r="Q3" s="25"/>
      <c r="R3" s="25"/>
      <c r="S3" s="25"/>
    </row>
    <row r="4" spans="1:19" s="94" customFormat="1" ht="15.75" x14ac:dyDescent="0.25">
      <c r="A4" s="24"/>
      <c r="B4" s="24" t="s">
        <v>902</v>
      </c>
      <c r="C4" s="32">
        <v>33.17</v>
      </c>
      <c r="D4" s="32" t="s">
        <v>15</v>
      </c>
      <c r="E4" s="26"/>
      <c r="F4" s="33"/>
      <c r="G4" s="209"/>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79" customFormat="1" ht="21.75" thickBot="1" x14ac:dyDescent="0.4">
      <c r="A6" s="99"/>
      <c r="B6" s="394" t="s">
        <v>4</v>
      </c>
      <c r="C6" s="395"/>
      <c r="D6" s="396"/>
      <c r="E6" s="100"/>
      <c r="F6" s="101">
        <f ca="1">SUM(F$2:OFFSET(F6,-1,0))</f>
        <v>0</v>
      </c>
      <c r="G6" s="208"/>
      <c r="H6" s="100"/>
      <c r="I6" s="100"/>
      <c r="J6" s="100"/>
      <c r="K6" s="100"/>
      <c r="L6" s="100"/>
      <c r="M6" s="102"/>
      <c r="N6" s="103"/>
    </row>
    <row r="7" spans="1:19" s="94" customFormat="1" ht="15.75" x14ac:dyDescent="0.25">
      <c r="A7" s="105"/>
      <c r="B7" s="25"/>
      <c r="C7" s="106"/>
      <c r="D7" s="32"/>
      <c r="E7" s="92"/>
      <c r="F7" s="26"/>
      <c r="G7" s="26"/>
      <c r="H7" s="26"/>
      <c r="I7" s="26"/>
      <c r="J7" s="26"/>
      <c r="K7" s="26"/>
      <c r="L7" s="26"/>
      <c r="M7" s="88"/>
      <c r="N7" s="88"/>
    </row>
    <row r="8" spans="1:19" ht="15.75" x14ac:dyDescent="0.25">
      <c r="C8" s="106"/>
      <c r="F8" s="26"/>
      <c r="G8" s="26"/>
      <c r="H8" s="26"/>
      <c r="I8" s="26"/>
      <c r="J8" s="26"/>
      <c r="K8" s="26"/>
      <c r="L8" s="26"/>
    </row>
    <row r="9" spans="1:19" ht="15.75" x14ac:dyDescent="0.25">
      <c r="F9" s="26"/>
      <c r="G9" s="26"/>
      <c r="H9" s="26"/>
      <c r="I9" s="26"/>
      <c r="J9" s="26"/>
      <c r="K9" s="26"/>
      <c r="L9" s="26"/>
    </row>
    <row r="10" spans="1:19" ht="15.75" x14ac:dyDescent="0.25">
      <c r="F10" s="26"/>
      <c r="G10" s="26"/>
      <c r="H10" s="26"/>
      <c r="I10" s="26"/>
      <c r="J10" s="26"/>
      <c r="K10" s="26"/>
      <c r="L10" s="26"/>
    </row>
    <row r="11" spans="1:19" ht="15.75" x14ac:dyDescent="0.25">
      <c r="F11" s="108" t="e">
        <f ca="1">F6-#REF!</f>
        <v>#REF!</v>
      </c>
      <c r="G11" s="26"/>
      <c r="H11" s="26"/>
      <c r="I11" s="26"/>
      <c r="J11" s="26"/>
      <c r="K11" s="26"/>
      <c r="L11" s="26"/>
    </row>
    <row r="12" spans="1:19" ht="15.75" x14ac:dyDescent="0.25">
      <c r="F12" s="26"/>
      <c r="G12" s="26"/>
      <c r="H12" s="26"/>
      <c r="I12" s="26"/>
      <c r="J12" s="26"/>
      <c r="K12" s="26"/>
      <c r="L12" s="26"/>
    </row>
    <row r="13" spans="1:19" ht="15.75" x14ac:dyDescent="0.25">
      <c r="F13" s="26"/>
      <c r="G13" s="26"/>
      <c r="H13" s="26"/>
      <c r="I13" s="26"/>
      <c r="J13" s="26"/>
      <c r="K13" s="26"/>
      <c r="L13" s="26"/>
    </row>
    <row r="14" spans="1:19" ht="15.75" x14ac:dyDescent="0.25">
      <c r="F14" s="26"/>
      <c r="G14" s="26"/>
      <c r="H14" s="26"/>
      <c r="I14" s="26"/>
      <c r="J14" s="26"/>
      <c r="K14" s="26"/>
      <c r="L14" s="26"/>
    </row>
    <row r="15" spans="1:19" ht="15.75" x14ac:dyDescent="0.25">
      <c r="F15" s="26"/>
      <c r="G15" s="26"/>
      <c r="H15" s="26"/>
      <c r="I15" s="26"/>
      <c r="J15" s="26"/>
      <c r="K15" s="26"/>
      <c r="L15" s="26"/>
    </row>
    <row r="16" spans="1:19" ht="15.75" x14ac:dyDescent="0.25">
      <c r="F16" s="26"/>
      <c r="G16" s="26"/>
      <c r="H16" s="26"/>
      <c r="I16" s="26"/>
      <c r="J16" s="26"/>
      <c r="K16" s="26"/>
      <c r="L16" s="26"/>
    </row>
    <row r="17" spans="1:19" ht="18.75" x14ac:dyDescent="0.25">
      <c r="F17" s="26"/>
      <c r="G17" s="26"/>
      <c r="H17" s="26"/>
      <c r="I17" s="30"/>
      <c r="J17" s="30"/>
      <c r="K17" s="30"/>
      <c r="L17" s="30"/>
    </row>
    <row r="18" spans="1:19" ht="15.75" x14ac:dyDescent="0.25">
      <c r="F18" s="26"/>
      <c r="G18" s="26"/>
      <c r="H18" s="26"/>
      <c r="I18" s="26"/>
      <c r="J18" s="26"/>
      <c r="K18" s="26"/>
      <c r="L18" s="26"/>
    </row>
    <row r="19" spans="1:19" ht="15.75" x14ac:dyDescent="0.25">
      <c r="F19" s="26"/>
      <c r="G19" s="26"/>
      <c r="H19" s="26"/>
      <c r="I19" s="26"/>
      <c r="J19" s="26"/>
      <c r="K19" s="26"/>
      <c r="L19" s="26"/>
    </row>
    <row r="20" spans="1:19" ht="15.75" x14ac:dyDescent="0.25">
      <c r="F20" s="26"/>
      <c r="G20" s="26"/>
      <c r="H20" s="26"/>
      <c r="I20" s="26"/>
      <c r="J20" s="26"/>
      <c r="K20" s="26"/>
      <c r="L20" s="26"/>
    </row>
    <row r="21" spans="1:19" s="110" customFormat="1" ht="15.75" x14ac:dyDescent="0.25">
      <c r="A21" s="25"/>
      <c r="B21" s="25"/>
      <c r="D21" s="36"/>
      <c r="E21" s="25"/>
      <c r="F21" s="26"/>
      <c r="G21" s="26"/>
      <c r="H21" s="26"/>
      <c r="I21" s="26"/>
      <c r="J21" s="26"/>
      <c r="K21" s="26"/>
      <c r="L21" s="26"/>
      <c r="M21" s="88"/>
      <c r="N21" s="88"/>
      <c r="O21" s="25"/>
      <c r="P21" s="25"/>
      <c r="Q21" s="25"/>
      <c r="R21" s="25"/>
      <c r="S21" s="25"/>
    </row>
    <row r="22" spans="1:19" s="110" customFormat="1" ht="15.75" x14ac:dyDescent="0.25">
      <c r="A22" s="25"/>
      <c r="B22" s="25"/>
      <c r="D22" s="36"/>
      <c r="E22" s="25"/>
      <c r="F22" s="26"/>
      <c r="G22" s="26"/>
      <c r="H22" s="26"/>
      <c r="I22" s="26"/>
      <c r="J22" s="26"/>
      <c r="K22" s="26"/>
      <c r="L22" s="26"/>
      <c r="M22" s="88"/>
      <c r="N22" s="88"/>
      <c r="O22" s="25"/>
      <c r="P22" s="25"/>
      <c r="Q22" s="25"/>
      <c r="R22" s="25"/>
      <c r="S22" s="25"/>
    </row>
    <row r="23" spans="1:19" s="110" customFormat="1" ht="15.75" x14ac:dyDescent="0.25">
      <c r="A23" s="25"/>
      <c r="B23" s="25"/>
      <c r="D23" s="36"/>
      <c r="E23" s="25"/>
      <c r="F23" s="26"/>
      <c r="G23" s="26"/>
      <c r="H23" s="26"/>
      <c r="I23" s="26"/>
      <c r="J23" s="26"/>
      <c r="K23" s="26"/>
      <c r="L23" s="26"/>
      <c r="M23" s="88"/>
      <c r="N23" s="88"/>
      <c r="O23" s="25"/>
      <c r="P23" s="25"/>
      <c r="Q23" s="25"/>
      <c r="R23" s="25"/>
      <c r="S23" s="25"/>
    </row>
    <row r="24" spans="1:19" s="110" customFormat="1" ht="15.75" x14ac:dyDescent="0.25">
      <c r="A24" s="25"/>
      <c r="B24" s="25"/>
      <c r="D24" s="36"/>
      <c r="E24" s="25"/>
      <c r="F24" s="26"/>
      <c r="G24" s="26"/>
      <c r="H24" s="26"/>
      <c r="I24" s="26"/>
      <c r="J24" s="26"/>
      <c r="K24" s="26"/>
      <c r="L24" s="26"/>
      <c r="M24" s="88"/>
      <c r="N24" s="88"/>
      <c r="O24" s="25"/>
      <c r="P24" s="25"/>
      <c r="Q24" s="25"/>
      <c r="R24" s="25"/>
      <c r="S24" s="25"/>
    </row>
    <row r="25" spans="1:19" s="110" customFormat="1" ht="15.75" x14ac:dyDescent="0.25">
      <c r="A25" s="25"/>
      <c r="B25" s="25"/>
      <c r="D25" s="36"/>
      <c r="E25" s="25"/>
      <c r="F25" s="26"/>
      <c r="G25" s="26"/>
      <c r="H25" s="26"/>
      <c r="I25" s="26"/>
      <c r="J25" s="26"/>
      <c r="K25" s="26"/>
      <c r="L25" s="26"/>
      <c r="M25" s="88"/>
      <c r="N25" s="88"/>
      <c r="O25" s="25"/>
      <c r="P25" s="25"/>
      <c r="Q25" s="25"/>
      <c r="R25" s="25"/>
      <c r="S25" s="25"/>
    </row>
    <row r="26" spans="1:19" s="110" customFormat="1" ht="15.75" x14ac:dyDescent="0.25">
      <c r="A26" s="25"/>
      <c r="B26" s="25"/>
      <c r="D26" s="36"/>
      <c r="E26" s="25"/>
      <c r="F26" s="26"/>
      <c r="G26" s="26"/>
      <c r="H26" s="26"/>
      <c r="I26" s="26"/>
      <c r="J26" s="26"/>
      <c r="K26" s="26"/>
      <c r="L26" s="26"/>
      <c r="M26" s="88"/>
      <c r="N26" s="88"/>
      <c r="O26" s="25"/>
      <c r="P26" s="25"/>
      <c r="Q26" s="25"/>
      <c r="R26" s="25"/>
      <c r="S26" s="25"/>
    </row>
    <row r="27" spans="1:19" s="110" customFormat="1" ht="15.75" x14ac:dyDescent="0.25">
      <c r="A27" s="25"/>
      <c r="B27" s="25"/>
      <c r="D27" s="36"/>
      <c r="E27" s="25"/>
      <c r="F27" s="26"/>
      <c r="G27" s="26"/>
      <c r="H27" s="26"/>
      <c r="I27" s="26"/>
      <c r="J27" s="26"/>
      <c r="K27" s="26"/>
      <c r="L27" s="26"/>
      <c r="M27" s="88"/>
      <c r="N27" s="88"/>
      <c r="O27" s="25"/>
      <c r="P27" s="25"/>
      <c r="Q27" s="25"/>
      <c r="R27" s="25"/>
      <c r="S27" s="25"/>
    </row>
    <row r="28" spans="1:19" s="110" customFormat="1" ht="18.75" x14ac:dyDescent="0.25">
      <c r="A28" s="25"/>
      <c r="B28" s="25"/>
      <c r="D28" s="36"/>
      <c r="E28" s="25"/>
      <c r="F28" s="26"/>
      <c r="G28" s="26"/>
      <c r="H28" s="26"/>
      <c r="I28" s="30"/>
      <c r="J28" s="30"/>
      <c r="K28" s="30"/>
      <c r="L28" s="30"/>
      <c r="M28" s="88"/>
      <c r="N28" s="88"/>
      <c r="O28" s="25"/>
      <c r="P28" s="25"/>
      <c r="Q28" s="25"/>
      <c r="R28" s="25"/>
      <c r="S28" s="25"/>
    </row>
    <row r="29" spans="1:19" s="110" customFormat="1" ht="15.75" x14ac:dyDescent="0.25">
      <c r="A29" s="25"/>
      <c r="B29" s="25"/>
      <c r="D29" s="36"/>
      <c r="E29" s="25"/>
      <c r="F29" s="26"/>
      <c r="G29" s="26"/>
      <c r="H29" s="26"/>
      <c r="I29" s="26"/>
      <c r="J29" s="26"/>
      <c r="K29" s="26"/>
      <c r="L29" s="26"/>
      <c r="M29" s="88"/>
      <c r="N29" s="88"/>
      <c r="O29" s="25"/>
      <c r="P29" s="25"/>
      <c r="Q29" s="25"/>
      <c r="R29" s="25"/>
      <c r="S29" s="25"/>
    </row>
    <row r="30" spans="1:19" s="110" customFormat="1" ht="15.75" x14ac:dyDescent="0.25">
      <c r="A30" s="25"/>
      <c r="B30" s="25"/>
      <c r="D30" s="36"/>
      <c r="E30" s="25"/>
      <c r="F30" s="26"/>
      <c r="G30" s="26"/>
      <c r="H30" s="26"/>
      <c r="I30" s="26"/>
      <c r="J30" s="26"/>
      <c r="K30" s="26"/>
      <c r="L30" s="26"/>
      <c r="M30" s="88"/>
      <c r="N30" s="88"/>
      <c r="O30" s="25"/>
      <c r="P30" s="25"/>
      <c r="Q30" s="25"/>
      <c r="R30" s="25"/>
      <c r="S30" s="25"/>
    </row>
    <row r="31" spans="1:19" s="110" customFormat="1" ht="15.75" x14ac:dyDescent="0.25">
      <c r="A31" s="25"/>
      <c r="B31" s="25"/>
      <c r="D31" s="36"/>
      <c r="E31" s="25"/>
      <c r="F31" s="26"/>
      <c r="G31" s="26"/>
      <c r="H31" s="26"/>
      <c r="I31" s="26"/>
      <c r="J31" s="26"/>
      <c r="K31" s="26"/>
      <c r="L31" s="26"/>
      <c r="M31" s="88"/>
      <c r="N31" s="88"/>
      <c r="O31" s="25"/>
      <c r="P31" s="25"/>
      <c r="Q31" s="25"/>
      <c r="R31" s="25"/>
      <c r="S31" s="25"/>
    </row>
    <row r="32" spans="1:19" s="110" customFormat="1" ht="15.75" x14ac:dyDescent="0.25">
      <c r="A32" s="25"/>
      <c r="B32" s="25"/>
      <c r="D32" s="36"/>
      <c r="E32" s="25"/>
      <c r="F32" s="26"/>
      <c r="G32" s="26"/>
      <c r="H32" s="26"/>
      <c r="I32" s="26"/>
      <c r="J32" s="26"/>
      <c r="K32" s="26"/>
      <c r="L32" s="26"/>
      <c r="M32" s="88"/>
      <c r="N32" s="88"/>
      <c r="O32" s="25"/>
      <c r="P32" s="25"/>
      <c r="Q32" s="25"/>
      <c r="R32" s="25"/>
      <c r="S32" s="25"/>
    </row>
    <row r="33" spans="1:19" s="110" customFormat="1" ht="15.75" x14ac:dyDescent="0.25">
      <c r="A33" s="25"/>
      <c r="B33" s="25"/>
      <c r="D33" s="36"/>
      <c r="E33" s="25"/>
      <c r="F33" s="26"/>
      <c r="G33" s="26"/>
      <c r="H33" s="26"/>
      <c r="I33" s="26"/>
      <c r="J33" s="26"/>
      <c r="K33" s="26"/>
      <c r="L33" s="26"/>
      <c r="M33" s="88"/>
      <c r="N33" s="88"/>
      <c r="O33" s="25"/>
      <c r="P33" s="25"/>
      <c r="Q33" s="25"/>
      <c r="R33" s="25"/>
      <c r="S33" s="25"/>
    </row>
    <row r="34" spans="1:19" ht="15.75" x14ac:dyDescent="0.25">
      <c r="F34" s="26"/>
      <c r="G34" s="26"/>
      <c r="H34" s="26"/>
      <c r="I34" s="26"/>
      <c r="J34" s="26"/>
      <c r="K34" s="26"/>
      <c r="L34" s="26"/>
    </row>
    <row r="35" spans="1:19" ht="15.75" x14ac:dyDescent="0.25">
      <c r="F35" s="26"/>
      <c r="G35" s="26"/>
      <c r="H35" s="26"/>
      <c r="I35" s="26"/>
      <c r="J35" s="26"/>
      <c r="K35" s="26"/>
      <c r="L35" s="26"/>
    </row>
    <row r="36" spans="1:19" ht="15.75" x14ac:dyDescent="0.25">
      <c r="F36" s="26"/>
      <c r="G36" s="26"/>
      <c r="H36" s="26"/>
      <c r="I36" s="26"/>
      <c r="J36" s="26"/>
      <c r="K36" s="26"/>
      <c r="L36" s="26"/>
    </row>
    <row r="37" spans="1:19" ht="15.75" x14ac:dyDescent="0.25">
      <c r="F37" s="26"/>
      <c r="G37" s="26"/>
      <c r="H37" s="26"/>
      <c r="I37" s="26"/>
      <c r="J37" s="26"/>
      <c r="K37" s="26"/>
      <c r="L37" s="26"/>
    </row>
    <row r="38" spans="1:19" ht="15.75" x14ac:dyDescent="0.25">
      <c r="F38" s="26"/>
      <c r="G38" s="26"/>
      <c r="H38" s="26"/>
      <c r="I38" s="26"/>
      <c r="J38" s="26"/>
      <c r="K38" s="26"/>
      <c r="L38" s="26"/>
    </row>
    <row r="39" spans="1:19" ht="18.75" x14ac:dyDescent="0.25">
      <c r="F39" s="26"/>
      <c r="G39" s="26"/>
      <c r="H39" s="26"/>
      <c r="I39" s="30"/>
      <c r="J39" s="30"/>
      <c r="K39" s="30"/>
      <c r="L39" s="30"/>
    </row>
    <row r="40" spans="1:19" ht="15.75" x14ac:dyDescent="0.25">
      <c r="F40" s="26"/>
      <c r="G40" s="26"/>
      <c r="H40" s="26"/>
      <c r="I40" s="26"/>
      <c r="J40" s="26"/>
      <c r="K40" s="26"/>
      <c r="L40" s="26"/>
    </row>
    <row r="41" spans="1:19" ht="15.75" x14ac:dyDescent="0.25">
      <c r="F41" s="26"/>
      <c r="G41" s="26"/>
      <c r="H41" s="26"/>
      <c r="I41" s="26"/>
      <c r="J41" s="26"/>
      <c r="K41" s="26"/>
      <c r="L41" s="26"/>
    </row>
    <row r="42" spans="1:19" ht="15.75" x14ac:dyDescent="0.25">
      <c r="F42" s="26"/>
      <c r="G42" s="26"/>
      <c r="H42" s="26"/>
      <c r="I42" s="26"/>
      <c r="J42" s="26"/>
      <c r="K42" s="26"/>
      <c r="L42" s="26"/>
    </row>
    <row r="43" spans="1:19" ht="15.75" x14ac:dyDescent="0.25">
      <c r="F43" s="26"/>
      <c r="G43" s="26"/>
      <c r="H43" s="26"/>
      <c r="I43" s="26"/>
      <c r="J43" s="26"/>
      <c r="K43" s="26"/>
      <c r="L43" s="26"/>
    </row>
    <row r="44" spans="1:19" ht="15.75" x14ac:dyDescent="0.25">
      <c r="F44" s="26"/>
      <c r="G44" s="26"/>
      <c r="H44" s="26"/>
      <c r="I44" s="26"/>
      <c r="J44" s="26"/>
      <c r="K44" s="26"/>
      <c r="L44" s="26"/>
    </row>
    <row r="45" spans="1:19" ht="15.75" x14ac:dyDescent="0.25">
      <c r="F45" s="26"/>
      <c r="G45" s="26"/>
      <c r="H45" s="26"/>
      <c r="I45" s="26"/>
      <c r="J45" s="26"/>
      <c r="K45" s="26"/>
      <c r="L45" s="26"/>
    </row>
    <row r="46" spans="1:19" ht="15.75" x14ac:dyDescent="0.25">
      <c r="F46" s="26"/>
      <c r="G46" s="26"/>
      <c r="H46" s="26"/>
      <c r="I46" s="26"/>
      <c r="J46" s="26"/>
      <c r="K46" s="26"/>
      <c r="L46" s="26"/>
    </row>
    <row r="47" spans="1:19" ht="15.75" x14ac:dyDescent="0.25">
      <c r="F47" s="26"/>
      <c r="G47" s="26"/>
      <c r="H47" s="26"/>
      <c r="I47" s="26"/>
      <c r="J47" s="26"/>
      <c r="K47" s="26"/>
      <c r="L47" s="26"/>
    </row>
    <row r="48" spans="1:19" ht="15.75" x14ac:dyDescent="0.25">
      <c r="F48" s="26"/>
      <c r="G48" s="26"/>
      <c r="H48" s="26"/>
      <c r="I48" s="26"/>
      <c r="J48" s="26"/>
      <c r="K48" s="26"/>
      <c r="L48" s="26"/>
    </row>
    <row r="49" spans="6:12" ht="15.75" x14ac:dyDescent="0.25">
      <c r="F49" s="26"/>
      <c r="G49" s="26"/>
      <c r="H49" s="26"/>
      <c r="I49" s="26"/>
      <c r="J49" s="26"/>
      <c r="K49" s="26"/>
      <c r="L49" s="26"/>
    </row>
    <row r="50" spans="6:12" ht="18.75" x14ac:dyDescent="0.25">
      <c r="F50" s="26"/>
      <c r="G50" s="26"/>
      <c r="H50" s="26"/>
      <c r="I50" s="30"/>
      <c r="J50" s="30"/>
      <c r="K50" s="30"/>
      <c r="L50" s="30"/>
    </row>
    <row r="51" spans="6:12" ht="15.75" x14ac:dyDescent="0.25">
      <c r="F51" s="26"/>
      <c r="G51" s="26"/>
      <c r="H51" s="26"/>
      <c r="I51" s="26"/>
      <c r="J51" s="26"/>
      <c r="K51" s="26"/>
      <c r="L51" s="26"/>
    </row>
    <row r="52" spans="6:12" ht="15.75" x14ac:dyDescent="0.25">
      <c r="F52" s="26"/>
      <c r="G52" s="26"/>
      <c r="H52" s="26"/>
      <c r="I52" s="26"/>
      <c r="J52" s="26"/>
      <c r="K52" s="26"/>
      <c r="L52" s="26"/>
    </row>
    <row r="53" spans="6:12" ht="15.75" x14ac:dyDescent="0.25">
      <c r="F53" s="26"/>
      <c r="G53" s="26"/>
      <c r="H53" s="26"/>
      <c r="I53" s="26"/>
      <c r="J53" s="26"/>
      <c r="K53" s="26"/>
      <c r="L53" s="26"/>
    </row>
    <row r="54" spans="6:12" ht="15.75" x14ac:dyDescent="0.25">
      <c r="F54" s="26"/>
      <c r="G54" s="26"/>
      <c r="H54" s="26"/>
      <c r="I54" s="26"/>
      <c r="J54" s="26"/>
      <c r="K54" s="26"/>
      <c r="L54" s="26"/>
    </row>
    <row r="55" spans="6:12" ht="15.75" x14ac:dyDescent="0.25">
      <c r="F55" s="26"/>
      <c r="G55" s="26"/>
      <c r="H55" s="26"/>
      <c r="I55" s="26"/>
      <c r="J55" s="26"/>
      <c r="K55" s="26"/>
      <c r="L55" s="26"/>
    </row>
    <row r="56" spans="6:12" ht="15.75" x14ac:dyDescent="0.25">
      <c r="F56" s="26"/>
      <c r="G56" s="26"/>
      <c r="H56" s="26"/>
      <c r="I56" s="26"/>
      <c r="J56" s="26"/>
      <c r="K56" s="26"/>
      <c r="L56" s="26"/>
    </row>
    <row r="57" spans="6:12" ht="15.75" x14ac:dyDescent="0.25">
      <c r="F57" s="26"/>
      <c r="G57" s="26"/>
      <c r="H57" s="26"/>
      <c r="I57" s="26"/>
      <c r="J57" s="26"/>
      <c r="K57" s="26"/>
      <c r="L57" s="26"/>
    </row>
    <row r="58" spans="6:12" ht="15.75" x14ac:dyDescent="0.25">
      <c r="F58" s="26"/>
      <c r="G58" s="26"/>
      <c r="H58" s="26"/>
      <c r="I58" s="26"/>
      <c r="J58" s="26"/>
      <c r="K58" s="26"/>
      <c r="L58" s="26"/>
    </row>
    <row r="59" spans="6:12" ht="15.75" x14ac:dyDescent="0.25">
      <c r="F59" s="26"/>
      <c r="G59" s="26"/>
      <c r="H59" s="26"/>
      <c r="I59" s="26"/>
      <c r="J59" s="26"/>
      <c r="K59" s="26"/>
      <c r="L59" s="26"/>
    </row>
    <row r="60" spans="6:12" ht="15.75" x14ac:dyDescent="0.25">
      <c r="F60" s="26"/>
      <c r="G60" s="26"/>
      <c r="H60" s="26"/>
      <c r="I60" s="26"/>
      <c r="J60" s="26"/>
      <c r="K60" s="26"/>
      <c r="L60" s="26"/>
    </row>
    <row r="61" spans="6:12" ht="18.75" x14ac:dyDescent="0.25">
      <c r="F61" s="26"/>
      <c r="G61" s="26"/>
      <c r="H61" s="26"/>
      <c r="I61" s="30"/>
      <c r="J61" s="30"/>
      <c r="K61" s="30"/>
      <c r="L61" s="30"/>
    </row>
    <row r="62" spans="6:12" ht="15.75" x14ac:dyDescent="0.25">
      <c r="F62" s="26"/>
      <c r="G62" s="26"/>
      <c r="H62" s="26"/>
      <c r="I62" s="26"/>
      <c r="J62" s="26"/>
      <c r="K62" s="26"/>
      <c r="L62" s="26"/>
    </row>
    <row r="63" spans="6:12" ht="15.75" x14ac:dyDescent="0.25">
      <c r="F63" s="26"/>
      <c r="G63" s="26"/>
      <c r="H63" s="26"/>
      <c r="I63" s="26"/>
      <c r="J63" s="26"/>
      <c r="K63" s="26"/>
      <c r="L63" s="26"/>
    </row>
    <row r="64" spans="6:12" ht="15.75" x14ac:dyDescent="0.25">
      <c r="F64" s="26"/>
      <c r="G64" s="26"/>
      <c r="H64" s="26"/>
      <c r="I64" s="26"/>
      <c r="J64" s="26"/>
      <c r="K64" s="26"/>
      <c r="L64" s="26"/>
    </row>
    <row r="65" spans="6:12" ht="15.75" x14ac:dyDescent="0.25">
      <c r="F65" s="26"/>
      <c r="G65" s="26"/>
      <c r="H65" s="26"/>
      <c r="I65" s="26"/>
      <c r="J65" s="26"/>
      <c r="K65" s="26"/>
      <c r="L65" s="26"/>
    </row>
    <row r="66" spans="6:12" ht="15.75" x14ac:dyDescent="0.25">
      <c r="F66" s="26"/>
      <c r="G66" s="26"/>
      <c r="H66" s="26"/>
      <c r="I66" s="26"/>
      <c r="J66" s="26"/>
      <c r="K66" s="26"/>
      <c r="L66" s="26"/>
    </row>
    <row r="67" spans="6:12" ht="15.75" x14ac:dyDescent="0.25">
      <c r="F67" s="26"/>
      <c r="G67" s="26"/>
      <c r="H67" s="26"/>
      <c r="I67" s="26"/>
      <c r="J67" s="26"/>
      <c r="K67" s="26"/>
      <c r="L67" s="26"/>
    </row>
    <row r="68" spans="6:12" ht="15.75" x14ac:dyDescent="0.25">
      <c r="F68" s="26"/>
      <c r="G68" s="26"/>
      <c r="H68" s="26"/>
      <c r="I68" s="26"/>
      <c r="J68" s="26"/>
      <c r="K68" s="26"/>
      <c r="L68" s="26"/>
    </row>
    <row r="69" spans="6:12" ht="15.75" x14ac:dyDescent="0.25">
      <c r="F69" s="26"/>
      <c r="G69" s="26"/>
      <c r="H69" s="26"/>
      <c r="I69" s="26"/>
      <c r="J69" s="26"/>
      <c r="K69" s="26"/>
      <c r="L69" s="26"/>
    </row>
    <row r="70" spans="6:12" ht="15.75" x14ac:dyDescent="0.25">
      <c r="F70" s="26"/>
      <c r="G70" s="26"/>
      <c r="H70" s="26"/>
      <c r="I70" s="26"/>
      <c r="J70" s="26"/>
      <c r="K70" s="26"/>
      <c r="L70" s="26"/>
    </row>
    <row r="71" spans="6:12" ht="15.75" x14ac:dyDescent="0.25">
      <c r="F71" s="26"/>
      <c r="G71" s="26"/>
      <c r="H71" s="26"/>
      <c r="I71" s="26"/>
      <c r="J71" s="26"/>
      <c r="K71" s="26"/>
      <c r="L71" s="26"/>
    </row>
    <row r="72" spans="6:12" ht="18.75" x14ac:dyDescent="0.25">
      <c r="F72" s="26"/>
      <c r="G72" s="26"/>
      <c r="H72" s="26"/>
      <c r="I72" s="30"/>
      <c r="J72" s="30"/>
      <c r="K72" s="30"/>
      <c r="L72" s="30"/>
    </row>
    <row r="73" spans="6:12" ht="15.75" x14ac:dyDescent="0.25">
      <c r="F73" s="26"/>
      <c r="G73" s="26"/>
      <c r="H73" s="26"/>
      <c r="I73" s="26"/>
      <c r="J73" s="26"/>
      <c r="K73" s="26"/>
      <c r="L73" s="26"/>
    </row>
    <row r="74" spans="6:12" ht="15.75" x14ac:dyDescent="0.25">
      <c r="F74" s="26"/>
      <c r="G74" s="26"/>
      <c r="H74" s="26"/>
      <c r="I74" s="26"/>
      <c r="J74" s="26"/>
      <c r="K74" s="26"/>
      <c r="L74" s="26"/>
    </row>
    <row r="75" spans="6:12" ht="15.75" x14ac:dyDescent="0.25">
      <c r="F75" s="26"/>
      <c r="G75" s="26"/>
      <c r="H75" s="26"/>
      <c r="I75" s="26"/>
      <c r="J75" s="26"/>
      <c r="K75" s="26"/>
      <c r="L75" s="26"/>
    </row>
    <row r="76" spans="6:12" ht="15.75" x14ac:dyDescent="0.25">
      <c r="F76" s="26"/>
      <c r="G76" s="26"/>
      <c r="H76" s="26"/>
      <c r="I76" s="26"/>
      <c r="J76" s="26"/>
      <c r="K76" s="26"/>
      <c r="L76" s="26"/>
    </row>
    <row r="77" spans="6:12" ht="15.75" x14ac:dyDescent="0.25">
      <c r="F77" s="26"/>
      <c r="G77" s="26"/>
      <c r="H77" s="26"/>
      <c r="I77" s="26"/>
      <c r="J77" s="26"/>
      <c r="K77" s="26"/>
      <c r="L77" s="26"/>
    </row>
    <row r="78" spans="6:12" ht="15.75" x14ac:dyDescent="0.25">
      <c r="F78" s="26"/>
      <c r="G78" s="26"/>
      <c r="H78" s="26"/>
      <c r="I78" s="26"/>
      <c r="J78" s="26"/>
      <c r="K78" s="26"/>
      <c r="L78" s="26"/>
    </row>
    <row r="79" spans="6:12" ht="15.75" x14ac:dyDescent="0.25">
      <c r="F79" s="26"/>
      <c r="G79" s="26"/>
      <c r="H79" s="26"/>
      <c r="I79" s="26"/>
      <c r="J79" s="26"/>
      <c r="K79" s="26"/>
      <c r="L79" s="26"/>
    </row>
    <row r="80" spans="6:12" ht="15.75" x14ac:dyDescent="0.25">
      <c r="F80" s="26"/>
      <c r="G80" s="26"/>
      <c r="H80" s="26"/>
      <c r="I80" s="26"/>
      <c r="J80" s="26"/>
      <c r="K80" s="26"/>
      <c r="L80" s="26"/>
    </row>
    <row r="81" spans="6:12" ht="15.75" x14ac:dyDescent="0.25">
      <c r="F81" s="26"/>
      <c r="G81" s="26"/>
      <c r="H81" s="26"/>
      <c r="I81" s="26"/>
      <c r="J81" s="26"/>
      <c r="K81" s="26"/>
      <c r="L81" s="26"/>
    </row>
    <row r="82" spans="6:12" ht="15.75" x14ac:dyDescent="0.25">
      <c r="F82" s="26"/>
      <c r="G82" s="26"/>
      <c r="H82" s="26"/>
      <c r="I82" s="26"/>
      <c r="J82" s="26"/>
      <c r="K82" s="26"/>
      <c r="L82" s="26"/>
    </row>
    <row r="83" spans="6:12" ht="18.75" x14ac:dyDescent="0.25">
      <c r="F83" s="26"/>
      <c r="G83" s="26"/>
      <c r="H83" s="26"/>
      <c r="I83" s="30"/>
      <c r="J83" s="30"/>
      <c r="K83" s="30"/>
      <c r="L83" s="30"/>
    </row>
    <row r="84" spans="6:12" ht="15.75" x14ac:dyDescent="0.25">
      <c r="F84" s="26"/>
      <c r="G84" s="26"/>
      <c r="H84" s="26"/>
      <c r="I84" s="26"/>
      <c r="J84" s="26"/>
      <c r="K84" s="26"/>
      <c r="L84" s="26"/>
    </row>
    <row r="85" spans="6:12" ht="15.75" x14ac:dyDescent="0.25">
      <c r="F85" s="26"/>
      <c r="G85" s="26"/>
      <c r="H85" s="26"/>
      <c r="I85" s="26"/>
      <c r="J85" s="26"/>
      <c r="K85" s="26"/>
      <c r="L85" s="26"/>
    </row>
    <row r="86" spans="6:12" ht="15.75" x14ac:dyDescent="0.25">
      <c r="F86" s="26"/>
      <c r="G86" s="26"/>
      <c r="H86" s="26"/>
      <c r="I86" s="26"/>
      <c r="J86" s="26"/>
      <c r="K86" s="26"/>
      <c r="L86" s="26"/>
    </row>
    <row r="87" spans="6:12" ht="15.75" x14ac:dyDescent="0.25">
      <c r="F87" s="26"/>
      <c r="G87" s="26"/>
      <c r="H87" s="26"/>
      <c r="I87" s="26"/>
      <c r="J87" s="26"/>
      <c r="K87" s="26"/>
      <c r="L87" s="26"/>
    </row>
    <row r="88" spans="6:12" ht="15.75" x14ac:dyDescent="0.25">
      <c r="F88" s="26"/>
      <c r="G88" s="26"/>
      <c r="H88" s="26"/>
      <c r="I88" s="26"/>
      <c r="J88" s="26"/>
      <c r="K88" s="26"/>
      <c r="L88" s="26"/>
    </row>
    <row r="89" spans="6:12" ht="15.75" x14ac:dyDescent="0.25">
      <c r="F89" s="26"/>
      <c r="G89" s="26"/>
      <c r="H89" s="26"/>
      <c r="I89" s="26"/>
      <c r="J89" s="26"/>
      <c r="K89" s="26"/>
      <c r="L89" s="26"/>
    </row>
    <row r="90" spans="6:12" ht="15.75" x14ac:dyDescent="0.25">
      <c r="F90" s="26"/>
      <c r="G90" s="26"/>
      <c r="H90" s="26"/>
      <c r="I90" s="26"/>
      <c r="J90" s="26"/>
      <c r="K90" s="26"/>
      <c r="L90" s="26"/>
    </row>
    <row r="91" spans="6:12" ht="15.75" x14ac:dyDescent="0.25">
      <c r="F91" s="26"/>
      <c r="G91" s="26"/>
      <c r="H91" s="26"/>
      <c r="I91" s="26"/>
      <c r="J91" s="26"/>
      <c r="K91" s="26"/>
      <c r="L91" s="26"/>
    </row>
    <row r="92" spans="6:12" ht="15.75" x14ac:dyDescent="0.25">
      <c r="F92" s="26"/>
      <c r="G92" s="26"/>
      <c r="H92" s="26"/>
      <c r="I92" s="26"/>
      <c r="J92" s="26"/>
      <c r="K92" s="26"/>
      <c r="L92" s="26"/>
    </row>
    <row r="93" spans="6:12" ht="15.75" x14ac:dyDescent="0.25">
      <c r="F93" s="26"/>
      <c r="G93" s="26"/>
      <c r="H93" s="26"/>
      <c r="I93" s="26"/>
      <c r="J93" s="26"/>
      <c r="K93" s="26"/>
      <c r="L93" s="26"/>
    </row>
    <row r="94" spans="6:12" ht="18.75" x14ac:dyDescent="0.25">
      <c r="F94" s="26"/>
      <c r="G94" s="26"/>
      <c r="H94" s="26"/>
      <c r="I94" s="30"/>
      <c r="J94" s="30"/>
      <c r="K94" s="30"/>
      <c r="L94" s="30"/>
    </row>
    <row r="95" spans="6:12" ht="15.75" x14ac:dyDescent="0.25">
      <c r="F95" s="26"/>
      <c r="G95" s="26"/>
      <c r="H95" s="26"/>
      <c r="I95" s="26"/>
      <c r="J95" s="26"/>
      <c r="K95" s="26"/>
      <c r="L95" s="26"/>
    </row>
    <row r="96" spans="6:12" ht="15.75" x14ac:dyDescent="0.25">
      <c r="F96" s="26"/>
      <c r="G96" s="26"/>
      <c r="H96" s="26"/>
      <c r="I96" s="26"/>
      <c r="J96" s="26"/>
      <c r="K96" s="26"/>
      <c r="L96" s="26"/>
    </row>
    <row r="97" spans="6:12" ht="15.75" x14ac:dyDescent="0.25">
      <c r="F97" s="26"/>
      <c r="G97" s="26"/>
      <c r="H97" s="26"/>
      <c r="I97" s="26"/>
      <c r="J97" s="26"/>
      <c r="K97" s="26"/>
      <c r="L97" s="26"/>
    </row>
    <row r="98" spans="6:12" ht="15.75" x14ac:dyDescent="0.25">
      <c r="F98" s="26"/>
      <c r="G98" s="26"/>
      <c r="H98" s="26"/>
      <c r="I98" s="26"/>
      <c r="J98" s="26"/>
      <c r="K98" s="26"/>
      <c r="L98" s="26"/>
    </row>
    <row r="99" spans="6:12" ht="15.75" x14ac:dyDescent="0.25">
      <c r="F99" s="26"/>
      <c r="G99" s="26"/>
      <c r="H99" s="26"/>
      <c r="I99" s="26"/>
      <c r="J99" s="26"/>
      <c r="K99" s="26"/>
      <c r="L99" s="26"/>
    </row>
    <row r="100" spans="6:12" ht="15.75" x14ac:dyDescent="0.25">
      <c r="F100" s="26"/>
      <c r="G100" s="26"/>
      <c r="H100" s="26"/>
      <c r="I100" s="26"/>
      <c r="J100" s="26"/>
      <c r="K100" s="26"/>
      <c r="L100" s="26"/>
    </row>
    <row r="101" spans="6:12" ht="15.75" x14ac:dyDescent="0.25">
      <c r="F101" s="26"/>
      <c r="G101" s="26"/>
      <c r="H101" s="26"/>
      <c r="I101" s="26"/>
      <c r="J101" s="26"/>
      <c r="K101" s="26"/>
      <c r="L101" s="26"/>
    </row>
    <row r="102" spans="6:12" ht="15.75" x14ac:dyDescent="0.25">
      <c r="F102" s="26"/>
      <c r="G102" s="26"/>
      <c r="H102" s="26"/>
      <c r="I102" s="26"/>
      <c r="J102" s="26"/>
      <c r="K102" s="26"/>
      <c r="L102" s="26"/>
    </row>
    <row r="103" spans="6:12" ht="15.75" x14ac:dyDescent="0.25">
      <c r="F103" s="26"/>
      <c r="G103" s="26"/>
      <c r="H103" s="26"/>
      <c r="I103" s="26"/>
      <c r="J103" s="26"/>
      <c r="K103" s="26"/>
      <c r="L103" s="26"/>
    </row>
    <row r="104" spans="6:12" ht="15.75" x14ac:dyDescent="0.25">
      <c r="F104" s="26"/>
      <c r="G104" s="26"/>
      <c r="H104" s="26"/>
      <c r="I104" s="26"/>
      <c r="J104" s="26"/>
      <c r="K104" s="26"/>
      <c r="L104" s="26"/>
    </row>
    <row r="105" spans="6:12" ht="18.75" x14ac:dyDescent="0.25">
      <c r="F105" s="26"/>
      <c r="G105" s="26"/>
      <c r="H105" s="26"/>
      <c r="I105" s="30"/>
      <c r="J105" s="30"/>
      <c r="K105" s="30"/>
      <c r="L105" s="30"/>
    </row>
    <row r="106" spans="6:12" ht="15.75" x14ac:dyDescent="0.25">
      <c r="F106" s="26"/>
      <c r="G106" s="26"/>
      <c r="H106" s="26"/>
      <c r="I106" s="26"/>
      <c r="J106" s="26"/>
      <c r="K106" s="26"/>
      <c r="L106" s="26"/>
    </row>
    <row r="107" spans="6:12" ht="15.75" x14ac:dyDescent="0.25">
      <c r="F107" s="26"/>
      <c r="G107" s="26"/>
      <c r="H107" s="26"/>
      <c r="I107" s="26"/>
      <c r="J107" s="26"/>
      <c r="K107" s="26"/>
      <c r="L107" s="26"/>
    </row>
    <row r="108" spans="6:12" ht="15.75" x14ac:dyDescent="0.25">
      <c r="F108" s="26"/>
      <c r="G108" s="26"/>
      <c r="H108" s="26"/>
      <c r="I108" s="26"/>
      <c r="J108" s="26"/>
      <c r="K108" s="26"/>
      <c r="L108" s="26"/>
    </row>
    <row r="109" spans="6:12" ht="15.75" x14ac:dyDescent="0.25">
      <c r="F109" s="26"/>
      <c r="G109" s="26"/>
      <c r="H109" s="26"/>
      <c r="I109" s="26"/>
      <c r="J109" s="26"/>
      <c r="K109" s="26"/>
      <c r="L109" s="26"/>
    </row>
    <row r="110" spans="6:12" ht="15.75" x14ac:dyDescent="0.25">
      <c r="F110" s="26"/>
      <c r="G110" s="26"/>
      <c r="H110" s="26"/>
      <c r="I110" s="26"/>
      <c r="J110" s="26"/>
      <c r="K110" s="26"/>
      <c r="L110" s="26"/>
    </row>
    <row r="111" spans="6:12" ht="15.75" x14ac:dyDescent="0.25">
      <c r="F111" s="26"/>
      <c r="G111" s="26"/>
      <c r="H111" s="26"/>
      <c r="I111" s="26"/>
      <c r="J111" s="26"/>
      <c r="K111" s="26"/>
      <c r="L111" s="26"/>
    </row>
    <row r="112" spans="6:12" ht="15.75" x14ac:dyDescent="0.25">
      <c r="F112" s="26"/>
      <c r="G112" s="26"/>
      <c r="H112" s="26"/>
      <c r="I112" s="26"/>
      <c r="J112" s="26"/>
      <c r="K112" s="26"/>
      <c r="L112" s="26"/>
    </row>
    <row r="113" spans="6:12" ht="15.75" x14ac:dyDescent="0.25">
      <c r="F113" s="26"/>
      <c r="G113" s="26"/>
      <c r="H113" s="26"/>
      <c r="I113" s="26"/>
      <c r="J113" s="26"/>
      <c r="K113" s="26"/>
      <c r="L113" s="26"/>
    </row>
    <row r="114" spans="6:12" ht="15.75" x14ac:dyDescent="0.25">
      <c r="F114" s="26"/>
      <c r="G114" s="26"/>
      <c r="H114" s="26"/>
      <c r="I114" s="26"/>
      <c r="J114" s="26"/>
      <c r="K114" s="26"/>
      <c r="L114" s="26"/>
    </row>
    <row r="115" spans="6:12" ht="15.75" x14ac:dyDescent="0.25">
      <c r="F115" s="26"/>
      <c r="G115" s="26"/>
      <c r="H115" s="26"/>
      <c r="I115" s="26"/>
      <c r="J115" s="26"/>
      <c r="K115" s="26"/>
      <c r="L115" s="26"/>
    </row>
    <row r="116" spans="6:12" ht="18.75" x14ac:dyDescent="0.25">
      <c r="F116" s="26"/>
      <c r="G116" s="26"/>
      <c r="H116" s="26"/>
      <c r="I116" s="30"/>
      <c r="J116" s="30"/>
      <c r="K116" s="30"/>
      <c r="L116" s="30"/>
    </row>
    <row r="117" spans="6:12" ht="15.75" x14ac:dyDescent="0.25">
      <c r="F117" s="26"/>
      <c r="G117" s="26"/>
      <c r="H117" s="26"/>
      <c r="I117" s="26"/>
      <c r="J117" s="26"/>
      <c r="K117" s="26"/>
      <c r="L117" s="26"/>
    </row>
    <row r="118" spans="6:12" ht="15.75" x14ac:dyDescent="0.25">
      <c r="F118" s="26"/>
      <c r="G118" s="26"/>
      <c r="H118" s="26"/>
      <c r="I118" s="26"/>
      <c r="J118" s="26"/>
      <c r="K118" s="26"/>
      <c r="L118" s="26"/>
    </row>
    <row r="119" spans="6:12" ht="15.75" x14ac:dyDescent="0.25">
      <c r="F119" s="26"/>
      <c r="G119" s="26"/>
      <c r="H119" s="26"/>
      <c r="I119" s="26"/>
      <c r="J119" s="26"/>
      <c r="K119" s="26"/>
      <c r="L119" s="26"/>
    </row>
    <row r="120" spans="6:12" ht="15.75" x14ac:dyDescent="0.25">
      <c r="F120" s="26"/>
      <c r="G120" s="26"/>
      <c r="H120" s="26"/>
      <c r="I120" s="26"/>
      <c r="J120" s="26"/>
      <c r="K120" s="26"/>
      <c r="L120" s="26"/>
    </row>
    <row r="121" spans="6:12" ht="15.75" x14ac:dyDescent="0.25">
      <c r="F121" s="26"/>
      <c r="G121" s="26"/>
      <c r="H121" s="26"/>
      <c r="I121" s="26"/>
      <c r="J121" s="26"/>
      <c r="K121" s="26"/>
      <c r="L121" s="26"/>
    </row>
    <row r="122" spans="6:12" ht="15.75" x14ac:dyDescent="0.25">
      <c r="F122" s="26"/>
      <c r="G122" s="26"/>
      <c r="H122" s="26"/>
      <c r="I122" s="26"/>
      <c r="J122" s="26"/>
      <c r="K122" s="26"/>
      <c r="L122" s="26"/>
    </row>
    <row r="123" spans="6:12" ht="15.75" x14ac:dyDescent="0.25">
      <c r="F123" s="26"/>
      <c r="G123" s="26"/>
      <c r="H123" s="26"/>
      <c r="I123" s="26"/>
      <c r="J123" s="26"/>
      <c r="K123" s="26"/>
      <c r="L123" s="26"/>
    </row>
    <row r="124" spans="6:12" ht="15.75" x14ac:dyDescent="0.25">
      <c r="F124" s="26"/>
      <c r="G124" s="26"/>
      <c r="H124" s="26"/>
      <c r="I124" s="26"/>
      <c r="J124" s="26"/>
      <c r="K124" s="26"/>
      <c r="L124" s="26"/>
    </row>
    <row r="125" spans="6:12" ht="15.75" x14ac:dyDescent="0.25">
      <c r="F125" s="26"/>
      <c r="G125" s="26"/>
      <c r="H125" s="26"/>
      <c r="I125" s="26"/>
      <c r="J125" s="26"/>
      <c r="K125" s="26"/>
      <c r="L125" s="26"/>
    </row>
    <row r="126" spans="6:12" ht="15.75" x14ac:dyDescent="0.25">
      <c r="F126" s="26"/>
      <c r="G126" s="26"/>
      <c r="H126" s="26"/>
      <c r="I126" s="26"/>
      <c r="J126" s="26"/>
      <c r="K126" s="26"/>
      <c r="L126" s="26"/>
    </row>
    <row r="127" spans="6:12" ht="18.75" x14ac:dyDescent="0.25">
      <c r="F127" s="26"/>
      <c r="G127" s="26"/>
      <c r="H127" s="26"/>
      <c r="I127" s="30"/>
      <c r="J127" s="30"/>
      <c r="K127" s="30"/>
      <c r="L127" s="30"/>
    </row>
    <row r="128" spans="6:12" ht="15.75" x14ac:dyDescent="0.25">
      <c r="F128" s="26"/>
      <c r="G128" s="26"/>
      <c r="H128" s="26"/>
      <c r="I128" s="26"/>
      <c r="J128" s="26"/>
      <c r="K128" s="26"/>
      <c r="L128" s="26"/>
    </row>
    <row r="129" spans="6:12" ht="15.75" x14ac:dyDescent="0.25">
      <c r="F129" s="26"/>
      <c r="G129" s="26"/>
      <c r="H129" s="26"/>
      <c r="I129" s="26"/>
      <c r="J129" s="26"/>
      <c r="K129" s="26"/>
      <c r="L129" s="26"/>
    </row>
    <row r="130" spans="6:12" ht="15.75" x14ac:dyDescent="0.25">
      <c r="F130" s="26"/>
      <c r="G130" s="26"/>
      <c r="H130" s="26"/>
      <c r="I130" s="26"/>
      <c r="J130" s="26"/>
      <c r="K130" s="26"/>
      <c r="L130" s="26"/>
    </row>
    <row r="131" spans="6:12" ht="15.75" x14ac:dyDescent="0.25">
      <c r="F131" s="26"/>
      <c r="G131" s="26"/>
      <c r="H131" s="26"/>
      <c r="I131" s="26"/>
      <c r="J131" s="26"/>
      <c r="K131" s="26"/>
      <c r="L131" s="26"/>
    </row>
    <row r="132" spans="6:12" ht="15.75" x14ac:dyDescent="0.25">
      <c r="F132" s="26"/>
      <c r="G132" s="26"/>
      <c r="H132" s="26"/>
      <c r="I132" s="26"/>
      <c r="J132" s="26"/>
      <c r="K132" s="26"/>
      <c r="L132" s="26"/>
    </row>
    <row r="133" spans="6:12" ht="15.75" x14ac:dyDescent="0.25">
      <c r="F133" s="26"/>
      <c r="G133" s="26"/>
      <c r="H133" s="26"/>
      <c r="I133" s="26"/>
      <c r="J133" s="26"/>
      <c r="K133" s="26"/>
      <c r="L133" s="26"/>
    </row>
    <row r="134" spans="6:12" ht="15.75" x14ac:dyDescent="0.25">
      <c r="F134" s="26"/>
      <c r="G134" s="26"/>
      <c r="H134" s="26"/>
      <c r="I134" s="26"/>
      <c r="J134" s="26"/>
      <c r="K134" s="26"/>
      <c r="L134" s="26"/>
    </row>
    <row r="135" spans="6:12" ht="15.75" x14ac:dyDescent="0.25">
      <c r="F135" s="26"/>
      <c r="G135" s="26"/>
      <c r="H135" s="26"/>
      <c r="I135" s="26"/>
      <c r="J135" s="26"/>
      <c r="K135" s="26"/>
      <c r="L135" s="26"/>
    </row>
    <row r="136" spans="6:12" ht="15.75" x14ac:dyDescent="0.25">
      <c r="F136" s="26"/>
      <c r="G136" s="26"/>
      <c r="H136" s="26"/>
      <c r="I136" s="26"/>
      <c r="J136" s="26"/>
      <c r="K136" s="26"/>
      <c r="L136" s="26"/>
    </row>
    <row r="137" spans="6:12" ht="15.75" x14ac:dyDescent="0.25">
      <c r="F137" s="26"/>
      <c r="G137" s="26"/>
      <c r="H137" s="26"/>
      <c r="I137" s="26"/>
      <c r="J137" s="26"/>
      <c r="K137" s="26"/>
      <c r="L137" s="26"/>
    </row>
    <row r="138" spans="6:12" ht="18.75" x14ac:dyDescent="0.25">
      <c r="F138" s="26"/>
      <c r="G138" s="26"/>
      <c r="H138" s="26"/>
      <c r="I138" s="30"/>
      <c r="J138" s="30"/>
      <c r="K138" s="30"/>
      <c r="L138" s="30"/>
    </row>
    <row r="139" spans="6:12" ht="15.75" x14ac:dyDescent="0.25">
      <c r="F139" s="26"/>
      <c r="G139" s="26"/>
      <c r="H139" s="26"/>
      <c r="I139" s="26"/>
      <c r="J139" s="26"/>
      <c r="K139" s="26"/>
      <c r="L139" s="26"/>
    </row>
    <row r="140" spans="6:12" ht="15.75" x14ac:dyDescent="0.25">
      <c r="F140" s="26"/>
      <c r="G140" s="26"/>
      <c r="H140" s="26"/>
      <c r="I140" s="26"/>
      <c r="J140" s="26"/>
      <c r="K140" s="26"/>
      <c r="L140" s="26"/>
    </row>
    <row r="141" spans="6:12" ht="15.75" x14ac:dyDescent="0.25">
      <c r="F141" s="26"/>
      <c r="G141" s="26"/>
      <c r="H141" s="26"/>
      <c r="I141" s="26"/>
      <c r="J141" s="26"/>
      <c r="K141" s="26"/>
      <c r="L141" s="26"/>
    </row>
    <row r="142" spans="6:12" ht="15.75" x14ac:dyDescent="0.25">
      <c r="F142" s="26"/>
      <c r="G142" s="26"/>
      <c r="H142" s="26"/>
      <c r="I142" s="26"/>
      <c r="J142" s="26"/>
      <c r="K142" s="26"/>
      <c r="L142" s="26"/>
    </row>
    <row r="143" spans="6:12" ht="15.75" x14ac:dyDescent="0.25">
      <c r="F143" s="26"/>
      <c r="G143" s="26"/>
      <c r="H143" s="26"/>
      <c r="I143" s="26"/>
      <c r="J143" s="26"/>
      <c r="K143" s="26"/>
      <c r="L143" s="26"/>
    </row>
    <row r="144" spans="6:12" ht="15.75" x14ac:dyDescent="0.25">
      <c r="F144" s="26"/>
      <c r="G144" s="26"/>
      <c r="H144" s="26"/>
      <c r="I144" s="26"/>
      <c r="J144" s="26"/>
      <c r="K144" s="26"/>
      <c r="L144" s="26"/>
    </row>
    <row r="145" spans="6:12" ht="15.75" x14ac:dyDescent="0.25">
      <c r="F145" s="26"/>
      <c r="G145" s="26"/>
      <c r="H145" s="26"/>
      <c r="I145" s="26"/>
      <c r="J145" s="26"/>
      <c r="K145" s="26"/>
      <c r="L145" s="26"/>
    </row>
    <row r="146" spans="6:12" ht="15.75" x14ac:dyDescent="0.25">
      <c r="F146" s="26"/>
      <c r="G146" s="26"/>
      <c r="H146" s="26"/>
      <c r="I146" s="26"/>
      <c r="J146" s="26"/>
      <c r="K146" s="26"/>
      <c r="L146" s="26"/>
    </row>
    <row r="147" spans="6:12" ht="15.75" x14ac:dyDescent="0.25">
      <c r="F147" s="26"/>
      <c r="G147" s="26"/>
      <c r="H147" s="26"/>
      <c r="I147" s="26"/>
      <c r="J147" s="26"/>
      <c r="K147" s="26"/>
      <c r="L147" s="26"/>
    </row>
    <row r="148" spans="6:12" ht="15.75" x14ac:dyDescent="0.25">
      <c r="F148" s="26"/>
      <c r="G148" s="26"/>
      <c r="H148" s="26"/>
      <c r="I148" s="26"/>
      <c r="J148" s="26"/>
      <c r="K148" s="26"/>
      <c r="L148" s="26"/>
    </row>
    <row r="149" spans="6:12" ht="18.75" x14ac:dyDescent="0.25">
      <c r="F149" s="26"/>
      <c r="G149" s="26"/>
      <c r="H149" s="26"/>
      <c r="I149" s="30"/>
      <c r="J149" s="30"/>
      <c r="K149" s="30"/>
      <c r="L149" s="30"/>
    </row>
    <row r="150" spans="6:12" ht="15.75" x14ac:dyDescent="0.25">
      <c r="F150" s="26"/>
      <c r="G150" s="26"/>
      <c r="H150" s="26"/>
      <c r="I150" s="26"/>
      <c r="J150" s="26"/>
      <c r="K150" s="26"/>
      <c r="L150" s="26"/>
    </row>
    <row r="151" spans="6:12" ht="15.75" x14ac:dyDescent="0.25">
      <c r="F151" s="26"/>
      <c r="G151" s="26"/>
      <c r="H151" s="26"/>
      <c r="I151" s="26"/>
      <c r="J151" s="26"/>
      <c r="K151" s="26"/>
      <c r="L151" s="26"/>
    </row>
    <row r="152" spans="6:12" ht="15.75" x14ac:dyDescent="0.25">
      <c r="F152" s="26"/>
      <c r="G152" s="26"/>
      <c r="H152" s="26"/>
      <c r="I152" s="26"/>
      <c r="J152" s="26"/>
      <c r="K152" s="26"/>
      <c r="L152" s="26"/>
    </row>
    <row r="153" spans="6:12" ht="15.75" x14ac:dyDescent="0.25">
      <c r="F153" s="26"/>
      <c r="G153" s="26"/>
      <c r="H153" s="26"/>
      <c r="I153" s="26"/>
      <c r="J153" s="26"/>
      <c r="K153" s="26"/>
      <c r="L153" s="26"/>
    </row>
    <row r="154" spans="6:12" ht="15.75" x14ac:dyDescent="0.25">
      <c r="F154" s="26"/>
      <c r="G154" s="26"/>
      <c r="H154" s="26"/>
      <c r="I154" s="26"/>
      <c r="J154" s="26"/>
      <c r="K154" s="26"/>
      <c r="L154" s="26"/>
    </row>
    <row r="155" spans="6:12" ht="15.75" x14ac:dyDescent="0.25">
      <c r="F155" s="26"/>
      <c r="G155" s="26"/>
      <c r="H155" s="26"/>
      <c r="I155" s="26"/>
      <c r="J155" s="26"/>
      <c r="K155" s="26"/>
      <c r="L155" s="26"/>
    </row>
    <row r="156" spans="6:12" ht="15.75" x14ac:dyDescent="0.25">
      <c r="F156" s="26"/>
      <c r="G156" s="26"/>
      <c r="H156" s="26"/>
      <c r="I156" s="26"/>
      <c r="J156" s="26"/>
      <c r="K156" s="26"/>
      <c r="L156" s="26"/>
    </row>
    <row r="157" spans="6:12" ht="15.75" x14ac:dyDescent="0.25">
      <c r="F157" s="26"/>
      <c r="G157" s="26"/>
      <c r="H157" s="26"/>
      <c r="I157" s="26"/>
      <c r="J157" s="26"/>
      <c r="K157" s="26"/>
      <c r="L157" s="26"/>
    </row>
    <row r="158" spans="6:12" ht="15.75" x14ac:dyDescent="0.25">
      <c r="F158" s="26"/>
      <c r="G158" s="26"/>
      <c r="H158" s="26"/>
      <c r="I158" s="26"/>
      <c r="J158" s="26"/>
      <c r="K158" s="26"/>
      <c r="L158" s="26"/>
    </row>
    <row r="159" spans="6:12" ht="15.75" x14ac:dyDescent="0.25">
      <c r="F159" s="26"/>
      <c r="G159" s="26"/>
      <c r="H159" s="26"/>
      <c r="I159" s="26"/>
      <c r="J159" s="26"/>
      <c r="K159" s="26"/>
      <c r="L159" s="26"/>
    </row>
    <row r="160" spans="6:12" ht="18.75" x14ac:dyDescent="0.25">
      <c r="F160" s="26"/>
      <c r="G160" s="26"/>
      <c r="H160" s="26"/>
      <c r="I160" s="30"/>
      <c r="J160" s="30"/>
      <c r="K160" s="30"/>
      <c r="L160" s="30"/>
    </row>
    <row r="161" spans="6:12" ht="15.75" x14ac:dyDescent="0.25">
      <c r="F161" s="26"/>
      <c r="G161" s="26"/>
      <c r="H161" s="26"/>
      <c r="I161" s="26"/>
      <c r="J161" s="26"/>
      <c r="K161" s="26"/>
      <c r="L161" s="26"/>
    </row>
    <row r="162" spans="6:12" ht="15.75" x14ac:dyDescent="0.25">
      <c r="F162" s="26"/>
      <c r="G162" s="26"/>
      <c r="H162" s="26"/>
      <c r="I162" s="26"/>
      <c r="J162" s="26"/>
      <c r="K162" s="26"/>
      <c r="L162" s="26"/>
    </row>
    <row r="163" spans="6:12" ht="15.75" x14ac:dyDescent="0.25">
      <c r="F163" s="26"/>
      <c r="G163" s="26"/>
      <c r="H163" s="26"/>
      <c r="I163" s="26"/>
      <c r="J163" s="26"/>
      <c r="K163" s="26"/>
      <c r="L163" s="26"/>
    </row>
    <row r="164" spans="6:12" ht="15.75" x14ac:dyDescent="0.25">
      <c r="F164" s="26"/>
      <c r="G164" s="26"/>
      <c r="H164" s="26"/>
      <c r="I164" s="26"/>
      <c r="J164" s="26"/>
      <c r="K164" s="26"/>
      <c r="L164" s="26"/>
    </row>
    <row r="165" spans="6:12" ht="15.75" x14ac:dyDescent="0.25">
      <c r="F165" s="26"/>
      <c r="G165" s="26"/>
      <c r="H165" s="26"/>
      <c r="I165" s="26"/>
      <c r="J165" s="26"/>
      <c r="K165" s="26"/>
      <c r="L165" s="26"/>
    </row>
    <row r="166" spans="6:12" ht="15.75" x14ac:dyDescent="0.25">
      <c r="F166" s="26"/>
      <c r="G166" s="26"/>
      <c r="H166" s="26"/>
      <c r="I166" s="26"/>
      <c r="J166" s="26"/>
      <c r="K166" s="26"/>
      <c r="L166" s="26"/>
    </row>
    <row r="167" spans="6:12" ht="15.75" x14ac:dyDescent="0.25">
      <c r="F167" s="26"/>
      <c r="G167" s="26"/>
      <c r="H167" s="26"/>
      <c r="I167" s="26"/>
      <c r="J167" s="26"/>
      <c r="K167" s="26"/>
      <c r="L167" s="26"/>
    </row>
    <row r="168" spans="6:12" ht="15.75" x14ac:dyDescent="0.25">
      <c r="F168" s="26"/>
      <c r="G168" s="26"/>
      <c r="H168" s="26"/>
      <c r="I168" s="26"/>
      <c r="J168" s="26"/>
      <c r="K168" s="26"/>
      <c r="L168" s="26"/>
    </row>
    <row r="169" spans="6:12" ht="15.75" x14ac:dyDescent="0.25">
      <c r="F169" s="26"/>
      <c r="G169" s="26"/>
      <c r="H169" s="26"/>
      <c r="I169" s="26"/>
      <c r="J169" s="26"/>
      <c r="K169" s="26"/>
      <c r="L169" s="26"/>
    </row>
    <row r="170" spans="6:12" ht="15.75" x14ac:dyDescent="0.25">
      <c r="F170" s="26"/>
      <c r="G170" s="26"/>
      <c r="H170" s="26"/>
      <c r="I170" s="26"/>
      <c r="J170" s="26"/>
      <c r="K170" s="26"/>
      <c r="L170" s="26"/>
    </row>
    <row r="171" spans="6:12" ht="18.75" x14ac:dyDescent="0.25">
      <c r="F171" s="26"/>
      <c r="G171" s="26"/>
      <c r="H171" s="26"/>
      <c r="I171" s="30"/>
      <c r="J171" s="30"/>
      <c r="K171" s="30"/>
      <c r="L171" s="30"/>
    </row>
    <row r="172" spans="6:12" ht="15.75" x14ac:dyDescent="0.25">
      <c r="F172" s="26"/>
      <c r="G172" s="26"/>
      <c r="H172" s="26"/>
      <c r="I172" s="26"/>
      <c r="J172" s="26"/>
      <c r="K172" s="26"/>
      <c r="L172" s="26"/>
    </row>
    <row r="173" spans="6:12" ht="15.75" x14ac:dyDescent="0.25">
      <c r="F173" s="26"/>
      <c r="G173" s="26"/>
      <c r="H173" s="26"/>
      <c r="I173" s="26"/>
      <c r="J173" s="26"/>
      <c r="K173" s="26"/>
      <c r="L173" s="26"/>
    </row>
    <row r="174" spans="6:12" ht="15.75" x14ac:dyDescent="0.25">
      <c r="F174" s="26"/>
      <c r="G174" s="26"/>
      <c r="H174" s="26"/>
      <c r="I174" s="26"/>
      <c r="J174" s="26"/>
      <c r="K174" s="26"/>
      <c r="L174" s="26"/>
    </row>
    <row r="175" spans="6:12" ht="15.75" x14ac:dyDescent="0.25">
      <c r="F175" s="26"/>
      <c r="G175" s="26"/>
      <c r="H175" s="26"/>
      <c r="I175" s="26"/>
      <c r="J175" s="26"/>
      <c r="K175" s="26"/>
      <c r="L175" s="26"/>
    </row>
    <row r="176" spans="6:12" ht="15.75" x14ac:dyDescent="0.25">
      <c r="F176" s="26"/>
      <c r="G176" s="26"/>
      <c r="H176" s="26"/>
      <c r="I176" s="26"/>
      <c r="J176" s="26"/>
      <c r="K176" s="26"/>
      <c r="L176" s="26"/>
    </row>
    <row r="177" spans="6:12" ht="15.75" x14ac:dyDescent="0.25">
      <c r="F177" s="26"/>
      <c r="G177" s="26"/>
      <c r="H177" s="26"/>
      <c r="I177" s="26"/>
      <c r="J177" s="26"/>
      <c r="K177" s="26"/>
      <c r="L177" s="26"/>
    </row>
    <row r="178" spans="6:12" ht="15.75" x14ac:dyDescent="0.25">
      <c r="F178" s="26"/>
      <c r="G178" s="26"/>
      <c r="H178" s="26"/>
      <c r="I178" s="26"/>
      <c r="J178" s="26"/>
      <c r="K178" s="26"/>
      <c r="L178" s="26"/>
    </row>
    <row r="179" spans="6:12" ht="15.75" x14ac:dyDescent="0.25">
      <c r="F179" s="26"/>
      <c r="G179" s="26"/>
      <c r="H179" s="26"/>
      <c r="I179" s="26"/>
      <c r="J179" s="26"/>
      <c r="K179" s="26"/>
      <c r="L179" s="26"/>
    </row>
    <row r="180" spans="6:12" ht="15.75" x14ac:dyDescent="0.25">
      <c r="F180" s="26"/>
      <c r="G180" s="26"/>
      <c r="H180" s="26"/>
      <c r="I180" s="26"/>
      <c r="J180" s="26"/>
      <c r="K180" s="26"/>
      <c r="L180" s="26"/>
    </row>
    <row r="181" spans="6:12" ht="15.75" x14ac:dyDescent="0.25">
      <c r="F181" s="26"/>
      <c r="G181" s="26"/>
      <c r="H181" s="26"/>
      <c r="I181" s="26"/>
      <c r="J181" s="26"/>
      <c r="K181" s="26"/>
      <c r="L181" s="26"/>
    </row>
    <row r="182" spans="6:12" ht="18.75" x14ac:dyDescent="0.25">
      <c r="F182" s="26"/>
      <c r="G182" s="26"/>
      <c r="H182" s="26"/>
      <c r="I182" s="30"/>
      <c r="J182" s="30"/>
      <c r="K182" s="30"/>
      <c r="L182" s="30"/>
    </row>
    <row r="183" spans="6:12" ht="15.75" x14ac:dyDescent="0.25">
      <c r="F183" s="26"/>
      <c r="G183" s="26"/>
      <c r="H183" s="26"/>
      <c r="I183" s="26"/>
      <c r="J183" s="26"/>
      <c r="K183" s="26"/>
      <c r="L183" s="26"/>
    </row>
    <row r="184" spans="6:12" ht="15.75" x14ac:dyDescent="0.25">
      <c r="F184" s="26"/>
      <c r="G184" s="26"/>
      <c r="H184" s="26"/>
      <c r="I184" s="26"/>
      <c r="J184" s="26"/>
      <c r="K184" s="26"/>
      <c r="L184" s="26"/>
    </row>
    <row r="185" spans="6:12" ht="15.75" x14ac:dyDescent="0.25">
      <c r="F185" s="26"/>
      <c r="G185" s="26"/>
      <c r="H185" s="26"/>
      <c r="I185" s="26"/>
      <c r="J185" s="26"/>
      <c r="K185" s="26"/>
      <c r="L185" s="26"/>
    </row>
    <row r="186" spans="6:12" ht="15.75" x14ac:dyDescent="0.25">
      <c r="F186" s="26"/>
      <c r="G186" s="26"/>
      <c r="H186" s="26"/>
      <c r="I186" s="26"/>
      <c r="J186" s="26"/>
      <c r="K186" s="26"/>
      <c r="L186" s="26"/>
    </row>
    <row r="187" spans="6:12" ht="15.75" x14ac:dyDescent="0.25">
      <c r="F187" s="26"/>
      <c r="G187" s="26"/>
      <c r="H187" s="26"/>
      <c r="I187" s="26"/>
      <c r="J187" s="26"/>
      <c r="K187" s="26"/>
      <c r="L187" s="26"/>
    </row>
    <row r="188" spans="6:12" ht="15.75" x14ac:dyDescent="0.25">
      <c r="F188" s="26"/>
      <c r="G188" s="26"/>
      <c r="H188" s="26"/>
      <c r="I188" s="26"/>
      <c r="J188" s="26"/>
      <c r="K188" s="26"/>
      <c r="L188" s="26"/>
    </row>
    <row r="189" spans="6:12" ht="15.75" x14ac:dyDescent="0.25">
      <c r="F189" s="26"/>
      <c r="G189" s="26"/>
      <c r="H189" s="26"/>
      <c r="I189" s="26"/>
      <c r="J189" s="26"/>
      <c r="K189" s="26"/>
      <c r="L189" s="26"/>
    </row>
    <row r="190" spans="6:12" ht="15.75" x14ac:dyDescent="0.25">
      <c r="F190" s="26"/>
      <c r="G190" s="26"/>
      <c r="H190" s="26"/>
      <c r="I190" s="26"/>
      <c r="J190" s="26"/>
      <c r="K190" s="26"/>
      <c r="L190" s="26"/>
    </row>
    <row r="191" spans="6:12" ht="15.75" x14ac:dyDescent="0.25">
      <c r="F191" s="26"/>
      <c r="G191" s="26"/>
      <c r="H191" s="26"/>
      <c r="I191" s="26"/>
      <c r="J191" s="26"/>
      <c r="K191" s="26"/>
      <c r="L191" s="26"/>
    </row>
    <row r="192" spans="6:12" ht="15.75" x14ac:dyDescent="0.25">
      <c r="F192" s="26"/>
      <c r="G192" s="26"/>
      <c r="H192" s="26"/>
      <c r="I192" s="26"/>
      <c r="J192" s="26"/>
      <c r="K192" s="26"/>
      <c r="L192" s="26"/>
    </row>
    <row r="193" spans="6:12" ht="18.75" x14ac:dyDescent="0.25">
      <c r="F193" s="26"/>
      <c r="G193" s="26"/>
      <c r="H193" s="26"/>
      <c r="I193" s="30"/>
      <c r="J193" s="30"/>
      <c r="K193" s="30"/>
      <c r="L193" s="30"/>
    </row>
    <row r="194" spans="6:12" ht="15.75" x14ac:dyDescent="0.25">
      <c r="F194" s="26"/>
      <c r="G194" s="26"/>
      <c r="H194" s="26"/>
      <c r="I194" s="26"/>
      <c r="J194" s="26"/>
      <c r="K194" s="26"/>
      <c r="L194" s="26"/>
    </row>
    <row r="195" spans="6:12" ht="15.75" x14ac:dyDescent="0.25">
      <c r="F195" s="26"/>
      <c r="G195" s="26"/>
      <c r="H195" s="26"/>
      <c r="I195" s="26"/>
      <c r="J195" s="26"/>
      <c r="K195" s="26"/>
      <c r="L195" s="26"/>
    </row>
    <row r="196" spans="6:12" ht="15.75" x14ac:dyDescent="0.25">
      <c r="F196" s="26"/>
      <c r="G196" s="26"/>
      <c r="H196" s="26"/>
      <c r="I196" s="26"/>
      <c r="J196" s="26"/>
      <c r="K196" s="26"/>
      <c r="L196" s="26"/>
    </row>
    <row r="197" spans="6:12" ht="15.75" x14ac:dyDescent="0.25">
      <c r="F197" s="26"/>
      <c r="G197" s="26"/>
      <c r="H197" s="26"/>
      <c r="I197" s="26"/>
      <c r="J197" s="26"/>
      <c r="K197" s="26"/>
      <c r="L197" s="26"/>
    </row>
    <row r="198" spans="6:12" ht="15.75" x14ac:dyDescent="0.25">
      <c r="F198" s="26"/>
      <c r="G198" s="26"/>
      <c r="H198" s="26"/>
      <c r="I198" s="26"/>
      <c r="J198" s="26"/>
      <c r="K198" s="26"/>
      <c r="L198" s="26"/>
    </row>
    <row r="199" spans="6:12" ht="15.75" x14ac:dyDescent="0.25">
      <c r="F199" s="26"/>
      <c r="G199" s="26"/>
      <c r="H199" s="26"/>
      <c r="I199" s="26"/>
      <c r="J199" s="26"/>
      <c r="K199" s="26"/>
      <c r="L199" s="26"/>
    </row>
    <row r="200" spans="6:12" ht="15.75" x14ac:dyDescent="0.25">
      <c r="F200" s="26"/>
      <c r="G200" s="26"/>
      <c r="H200" s="26"/>
      <c r="I200" s="26"/>
      <c r="J200" s="26"/>
      <c r="K200" s="26"/>
      <c r="L200" s="26"/>
    </row>
    <row r="201" spans="6:12" ht="15.75" x14ac:dyDescent="0.25">
      <c r="F201" s="26"/>
      <c r="G201" s="26"/>
      <c r="H201" s="26"/>
      <c r="I201" s="26"/>
      <c r="J201" s="26"/>
      <c r="K201" s="26"/>
      <c r="L201" s="26"/>
    </row>
    <row r="202" spans="6:12" ht="15.75" x14ac:dyDescent="0.25">
      <c r="F202" s="26"/>
      <c r="G202" s="26"/>
      <c r="H202" s="26"/>
      <c r="I202" s="26"/>
      <c r="J202" s="26"/>
      <c r="K202" s="26"/>
      <c r="L202" s="26"/>
    </row>
    <row r="203" spans="6:12" ht="15.75" x14ac:dyDescent="0.25">
      <c r="F203" s="26"/>
      <c r="G203" s="26"/>
      <c r="H203" s="26"/>
      <c r="I203" s="26"/>
      <c r="J203" s="26"/>
      <c r="K203" s="26"/>
      <c r="L203" s="26"/>
    </row>
    <row r="204" spans="6:12" ht="18.75" x14ac:dyDescent="0.25">
      <c r="F204" s="26"/>
      <c r="G204" s="26"/>
      <c r="H204" s="26"/>
      <c r="I204" s="30"/>
      <c r="J204" s="30"/>
      <c r="K204" s="30"/>
      <c r="L204" s="30"/>
    </row>
    <row r="205" spans="6:12" ht="15.75" x14ac:dyDescent="0.25">
      <c r="F205" s="26"/>
      <c r="G205" s="26"/>
      <c r="H205" s="26"/>
      <c r="I205" s="26"/>
      <c r="J205" s="26"/>
      <c r="K205" s="26"/>
      <c r="L205" s="26"/>
    </row>
    <row r="206" spans="6:12" ht="15.75" x14ac:dyDescent="0.25">
      <c r="F206" s="26"/>
      <c r="G206" s="26"/>
      <c r="H206" s="26"/>
      <c r="I206" s="26"/>
      <c r="J206" s="26"/>
      <c r="K206" s="26"/>
      <c r="L206" s="26"/>
    </row>
    <row r="207" spans="6:12" ht="15.75" x14ac:dyDescent="0.25">
      <c r="F207" s="26"/>
      <c r="G207" s="26"/>
      <c r="H207" s="26"/>
      <c r="I207" s="26"/>
      <c r="J207" s="26"/>
      <c r="K207" s="26"/>
      <c r="L207" s="26"/>
    </row>
    <row r="208" spans="6:12" ht="15.75" x14ac:dyDescent="0.25">
      <c r="F208" s="26"/>
      <c r="G208" s="26"/>
      <c r="H208" s="26"/>
      <c r="I208" s="26"/>
      <c r="J208" s="26"/>
      <c r="K208" s="26"/>
      <c r="L208" s="26"/>
    </row>
    <row r="209" spans="6:12" ht="15.75" x14ac:dyDescent="0.25">
      <c r="F209" s="26"/>
      <c r="G209" s="26"/>
      <c r="H209" s="26"/>
      <c r="I209" s="26"/>
      <c r="J209" s="26"/>
      <c r="K209" s="26"/>
      <c r="L209" s="26"/>
    </row>
    <row r="210" spans="6:12" ht="15.75" x14ac:dyDescent="0.25">
      <c r="F210" s="26"/>
      <c r="G210" s="26"/>
      <c r="H210" s="26"/>
      <c r="I210" s="26"/>
      <c r="J210" s="26"/>
      <c r="K210" s="26"/>
      <c r="L210" s="26"/>
    </row>
    <row r="211" spans="6:12" ht="15.75" x14ac:dyDescent="0.25">
      <c r="F211" s="26"/>
      <c r="G211" s="26"/>
      <c r="H211" s="26"/>
      <c r="I211" s="26"/>
      <c r="J211" s="26"/>
      <c r="K211" s="26"/>
      <c r="L211" s="26"/>
    </row>
    <row r="212" spans="6:12" ht="15.75" x14ac:dyDescent="0.25">
      <c r="F212" s="26"/>
      <c r="G212" s="26"/>
      <c r="H212" s="26"/>
      <c r="I212" s="26"/>
      <c r="J212" s="26"/>
      <c r="K212" s="26"/>
      <c r="L212" s="26"/>
    </row>
    <row r="213" spans="6:12" ht="15.75" x14ac:dyDescent="0.25">
      <c r="F213" s="26"/>
      <c r="G213" s="26"/>
      <c r="H213" s="26"/>
      <c r="I213" s="26"/>
      <c r="J213" s="26"/>
      <c r="K213" s="26"/>
      <c r="L213" s="26"/>
    </row>
    <row r="214" spans="6:12" ht="15.75" x14ac:dyDescent="0.25">
      <c r="F214" s="26"/>
      <c r="G214" s="26"/>
      <c r="H214" s="26"/>
      <c r="I214" s="26"/>
      <c r="J214" s="26"/>
      <c r="K214" s="26"/>
      <c r="L214" s="26"/>
    </row>
    <row r="215" spans="6:12" ht="18.75" x14ac:dyDescent="0.25">
      <c r="F215" s="26"/>
      <c r="G215" s="26"/>
      <c r="H215" s="26"/>
      <c r="I215" s="30"/>
      <c r="J215" s="30"/>
      <c r="K215" s="30"/>
      <c r="L215" s="30"/>
    </row>
    <row r="216" spans="6:12" ht="15.75" x14ac:dyDescent="0.25">
      <c r="F216" s="26"/>
      <c r="G216" s="26"/>
      <c r="H216" s="26"/>
      <c r="I216" s="26"/>
      <c r="J216" s="26"/>
      <c r="K216" s="26"/>
      <c r="L216" s="26"/>
    </row>
    <row r="217" spans="6:12" ht="15.75" x14ac:dyDescent="0.25">
      <c r="F217" s="26"/>
      <c r="G217" s="26"/>
      <c r="H217" s="26"/>
      <c r="I217" s="26"/>
      <c r="J217" s="26"/>
      <c r="K217" s="26"/>
      <c r="L217" s="26"/>
    </row>
    <row r="218" spans="6:12" ht="15.75" x14ac:dyDescent="0.25">
      <c r="F218" s="26"/>
      <c r="G218" s="26"/>
      <c r="H218" s="26"/>
      <c r="I218" s="26"/>
      <c r="J218" s="26"/>
      <c r="K218" s="26"/>
      <c r="L218" s="26"/>
    </row>
    <row r="219" spans="6:12" ht="15.75" x14ac:dyDescent="0.25">
      <c r="F219" s="26"/>
      <c r="G219" s="26"/>
      <c r="H219" s="26"/>
      <c r="I219" s="26"/>
      <c r="J219" s="26"/>
      <c r="K219" s="26"/>
      <c r="L219" s="26"/>
    </row>
    <row r="220" spans="6:12" ht="15.75" x14ac:dyDescent="0.25">
      <c r="F220" s="26"/>
      <c r="G220" s="26"/>
      <c r="H220" s="26"/>
      <c r="I220" s="26"/>
      <c r="J220" s="26"/>
      <c r="K220" s="26"/>
      <c r="L220" s="26"/>
    </row>
    <row r="221" spans="6:12" ht="15.75" x14ac:dyDescent="0.25">
      <c r="F221" s="26"/>
      <c r="G221" s="26"/>
      <c r="H221" s="26"/>
      <c r="I221" s="26"/>
      <c r="J221" s="26"/>
      <c r="K221" s="26"/>
      <c r="L221" s="26"/>
    </row>
    <row r="222" spans="6:12" ht="15.75" x14ac:dyDescent="0.25">
      <c r="F222" s="26"/>
      <c r="G222" s="26"/>
      <c r="H222" s="26"/>
      <c r="I222" s="26"/>
      <c r="J222" s="26"/>
      <c r="K222" s="26"/>
      <c r="L222" s="26"/>
    </row>
    <row r="223" spans="6:12" ht="15.75" x14ac:dyDescent="0.25">
      <c r="F223" s="26"/>
      <c r="G223" s="26"/>
      <c r="H223" s="26"/>
      <c r="I223" s="26"/>
      <c r="J223" s="26"/>
      <c r="K223" s="26"/>
      <c r="L223" s="26"/>
    </row>
    <row r="224" spans="6:12" ht="15.75" x14ac:dyDescent="0.25">
      <c r="F224" s="26"/>
      <c r="G224" s="26"/>
      <c r="H224" s="26"/>
      <c r="I224" s="26"/>
      <c r="J224" s="26"/>
      <c r="K224" s="26"/>
      <c r="L224" s="26"/>
    </row>
    <row r="225" spans="6:12" ht="15.75" x14ac:dyDescent="0.25">
      <c r="F225" s="26"/>
      <c r="G225" s="26"/>
      <c r="H225" s="26"/>
      <c r="I225" s="26"/>
      <c r="J225" s="26"/>
      <c r="K225" s="26"/>
      <c r="L225" s="26"/>
    </row>
    <row r="226" spans="6:12" ht="18.75" x14ac:dyDescent="0.25">
      <c r="F226" s="26"/>
      <c r="G226" s="26"/>
      <c r="H226" s="26"/>
      <c r="I226" s="30"/>
      <c r="J226" s="30"/>
      <c r="K226" s="30"/>
      <c r="L226" s="30"/>
    </row>
    <row r="227" spans="6:12" ht="15.75" x14ac:dyDescent="0.25">
      <c r="F227" s="26"/>
      <c r="G227" s="26"/>
      <c r="H227" s="26"/>
      <c r="I227" s="26"/>
      <c r="J227" s="26"/>
      <c r="K227" s="26"/>
      <c r="L227" s="26"/>
    </row>
    <row r="228" spans="6:12" ht="15.75" x14ac:dyDescent="0.25">
      <c r="F228" s="26"/>
      <c r="G228" s="26"/>
      <c r="H228" s="26"/>
      <c r="I228" s="26"/>
      <c r="J228" s="26"/>
      <c r="K228" s="26"/>
      <c r="L228" s="26"/>
    </row>
    <row r="229" spans="6:12" ht="15.75" x14ac:dyDescent="0.25">
      <c r="F229" s="26"/>
      <c r="G229" s="26"/>
      <c r="H229" s="26"/>
      <c r="I229" s="26"/>
      <c r="J229" s="26"/>
      <c r="K229" s="26"/>
      <c r="L229" s="26"/>
    </row>
    <row r="230" spans="6:12" ht="15.75" x14ac:dyDescent="0.25">
      <c r="F230" s="26"/>
      <c r="G230" s="26"/>
      <c r="H230" s="26"/>
      <c r="I230" s="26"/>
      <c r="J230" s="26"/>
      <c r="K230" s="26"/>
      <c r="L230" s="26"/>
    </row>
    <row r="231" spans="6:12" ht="15.75" x14ac:dyDescent="0.25">
      <c r="F231" s="26"/>
      <c r="G231" s="26"/>
      <c r="H231" s="26"/>
      <c r="I231" s="26"/>
      <c r="J231" s="26"/>
      <c r="K231" s="26"/>
      <c r="L231" s="26"/>
    </row>
    <row r="232" spans="6:12" ht="15.75" x14ac:dyDescent="0.25">
      <c r="F232" s="26"/>
      <c r="G232" s="26"/>
      <c r="H232" s="26"/>
      <c r="I232" s="26"/>
      <c r="J232" s="26"/>
      <c r="K232" s="26"/>
      <c r="L232" s="26"/>
    </row>
    <row r="233" spans="6:12" ht="15.75" x14ac:dyDescent="0.25">
      <c r="F233" s="26"/>
      <c r="G233" s="26"/>
      <c r="H233" s="26"/>
      <c r="I233" s="26"/>
      <c r="J233" s="26"/>
      <c r="K233" s="26"/>
      <c r="L233" s="26"/>
    </row>
    <row r="234" spans="6:12" ht="15.75" x14ac:dyDescent="0.25">
      <c r="F234" s="26"/>
      <c r="G234" s="26"/>
      <c r="H234" s="26"/>
      <c r="I234" s="26"/>
      <c r="J234" s="26"/>
      <c r="K234" s="26"/>
      <c r="L234" s="26"/>
    </row>
    <row r="235" spans="6:12" ht="15.75" x14ac:dyDescent="0.25">
      <c r="F235" s="26"/>
      <c r="G235" s="26"/>
      <c r="H235" s="26"/>
      <c r="I235" s="26"/>
      <c r="J235" s="26"/>
      <c r="K235" s="26"/>
      <c r="L235" s="26"/>
    </row>
    <row r="236" spans="6:12" ht="15.75" x14ac:dyDescent="0.25">
      <c r="F236" s="26"/>
      <c r="G236" s="26"/>
      <c r="H236" s="26"/>
      <c r="I236" s="26"/>
      <c r="J236" s="26"/>
      <c r="K236" s="26"/>
      <c r="L236" s="26"/>
    </row>
    <row r="237" spans="6:12" ht="18.75" x14ac:dyDescent="0.25">
      <c r="F237" s="26"/>
      <c r="G237" s="26"/>
      <c r="H237" s="26"/>
      <c r="I237" s="30"/>
      <c r="J237" s="30"/>
      <c r="K237" s="30"/>
      <c r="L237" s="30"/>
    </row>
    <row r="238" spans="6:12" ht="15.75" x14ac:dyDescent="0.25">
      <c r="F238" s="26"/>
      <c r="G238" s="26"/>
      <c r="H238" s="26"/>
      <c r="I238" s="26"/>
      <c r="J238" s="26"/>
      <c r="K238" s="26"/>
      <c r="L238" s="26"/>
    </row>
    <row r="239" spans="6:12" ht="15.75" x14ac:dyDescent="0.25">
      <c r="F239" s="26"/>
      <c r="G239" s="26"/>
      <c r="H239" s="26"/>
      <c r="I239" s="26"/>
      <c r="J239" s="26"/>
      <c r="K239" s="26"/>
      <c r="L239" s="26"/>
    </row>
    <row r="240" spans="6:12" ht="15.75" x14ac:dyDescent="0.25">
      <c r="F240" s="26"/>
      <c r="G240" s="26"/>
      <c r="H240" s="26"/>
      <c r="I240" s="26"/>
      <c r="J240" s="26"/>
      <c r="K240" s="26"/>
      <c r="L240" s="26"/>
    </row>
    <row r="241" spans="6:12" ht="15.75" x14ac:dyDescent="0.25">
      <c r="F241" s="26"/>
      <c r="G241" s="26"/>
      <c r="H241" s="26"/>
      <c r="I241" s="26"/>
      <c r="J241" s="26"/>
      <c r="K241" s="26"/>
      <c r="L241" s="26"/>
    </row>
    <row r="242" spans="6:12" ht="15.75" x14ac:dyDescent="0.25">
      <c r="F242" s="26"/>
      <c r="G242" s="26"/>
      <c r="H242" s="26"/>
      <c r="I242" s="26"/>
      <c r="J242" s="26"/>
      <c r="K242" s="26"/>
      <c r="L242" s="26"/>
    </row>
    <row r="243" spans="6:12" ht="15.75" x14ac:dyDescent="0.25">
      <c r="F243" s="26"/>
      <c r="G243" s="26"/>
      <c r="H243" s="26"/>
      <c r="I243" s="26"/>
      <c r="J243" s="26"/>
      <c r="K243" s="26"/>
      <c r="L243" s="26"/>
    </row>
    <row r="244" spans="6:12" ht="15.75" x14ac:dyDescent="0.25">
      <c r="F244" s="26"/>
      <c r="G244" s="26"/>
      <c r="H244" s="26"/>
      <c r="I244" s="26"/>
      <c r="J244" s="26"/>
      <c r="K244" s="26"/>
      <c r="L244" s="26"/>
    </row>
    <row r="245" spans="6:12" ht="15.75" x14ac:dyDescent="0.25">
      <c r="F245" s="26"/>
      <c r="G245" s="26"/>
      <c r="H245" s="26"/>
      <c r="I245" s="26"/>
      <c r="J245" s="26"/>
      <c r="K245" s="26"/>
      <c r="L245" s="26"/>
    </row>
    <row r="246" spans="6:12" ht="15.75" x14ac:dyDescent="0.25">
      <c r="F246" s="26"/>
      <c r="G246" s="26"/>
      <c r="H246" s="26"/>
      <c r="I246" s="26"/>
      <c r="J246" s="26"/>
      <c r="K246" s="26"/>
      <c r="L246" s="26"/>
    </row>
    <row r="247" spans="6:12" ht="15.75" x14ac:dyDescent="0.25">
      <c r="F247" s="26"/>
      <c r="G247" s="26"/>
      <c r="H247" s="26"/>
      <c r="I247" s="26"/>
      <c r="J247" s="26"/>
      <c r="K247" s="26"/>
      <c r="L247" s="26"/>
    </row>
    <row r="248" spans="6:12" ht="18.75" x14ac:dyDescent="0.25">
      <c r="F248" s="26"/>
      <c r="G248" s="26"/>
      <c r="H248" s="26"/>
      <c r="I248" s="30"/>
      <c r="J248" s="30"/>
      <c r="K248" s="30"/>
      <c r="L248" s="30"/>
    </row>
    <row r="249" spans="6:12" ht="15.75" x14ac:dyDescent="0.25">
      <c r="F249" s="26"/>
      <c r="G249" s="26"/>
      <c r="H249" s="26"/>
      <c r="I249" s="26"/>
      <c r="J249" s="26"/>
      <c r="K249" s="26"/>
      <c r="L249" s="26"/>
    </row>
    <row r="250" spans="6:12" ht="15.75" x14ac:dyDescent="0.25">
      <c r="F250" s="26"/>
      <c r="G250" s="26"/>
      <c r="H250" s="26"/>
      <c r="I250" s="26"/>
      <c r="J250" s="26"/>
      <c r="K250" s="26"/>
      <c r="L250" s="26"/>
    </row>
    <row r="251" spans="6:12" ht="15.75" x14ac:dyDescent="0.25">
      <c r="F251" s="26"/>
      <c r="G251" s="26"/>
      <c r="H251" s="26"/>
      <c r="I251" s="26"/>
      <c r="J251" s="26"/>
      <c r="K251" s="26"/>
      <c r="L251" s="26"/>
    </row>
    <row r="252" spans="6:12" ht="15.75" x14ac:dyDescent="0.25">
      <c r="F252" s="26"/>
      <c r="G252" s="26"/>
      <c r="H252" s="26"/>
      <c r="I252" s="26"/>
      <c r="J252" s="26"/>
      <c r="K252" s="26"/>
      <c r="L252" s="26"/>
    </row>
    <row r="253" spans="6:12" ht="15.75" x14ac:dyDescent="0.25">
      <c r="F253" s="26"/>
      <c r="G253" s="26"/>
      <c r="H253" s="26"/>
      <c r="I253" s="26"/>
      <c r="J253" s="26"/>
      <c r="K253" s="26"/>
      <c r="L253" s="26"/>
    </row>
    <row r="254" spans="6:12" ht="15.75" x14ac:dyDescent="0.25">
      <c r="F254" s="26"/>
      <c r="G254" s="26"/>
      <c r="H254" s="26"/>
      <c r="I254" s="26"/>
      <c r="J254" s="26"/>
      <c r="K254" s="26"/>
      <c r="L254" s="26"/>
    </row>
    <row r="255" spans="6:12" ht="15.75" x14ac:dyDescent="0.25">
      <c r="F255" s="26"/>
      <c r="G255" s="26"/>
      <c r="H255" s="26"/>
      <c r="I255" s="26"/>
      <c r="J255" s="26"/>
      <c r="K255" s="26"/>
      <c r="L255" s="26"/>
    </row>
    <row r="256" spans="6:12" ht="15.75" x14ac:dyDescent="0.25">
      <c r="F256" s="26"/>
      <c r="G256" s="26"/>
      <c r="H256" s="26"/>
      <c r="I256" s="26"/>
      <c r="J256" s="26"/>
      <c r="K256" s="26"/>
      <c r="L256" s="26"/>
    </row>
    <row r="257" spans="6:12" ht="15.75" x14ac:dyDescent="0.25">
      <c r="F257" s="26"/>
      <c r="G257" s="26"/>
      <c r="H257" s="26"/>
      <c r="I257" s="26"/>
      <c r="J257" s="26"/>
      <c r="K257" s="26"/>
      <c r="L257" s="26"/>
    </row>
    <row r="258" spans="6:12" ht="15.75" x14ac:dyDescent="0.25">
      <c r="F258" s="26"/>
      <c r="G258" s="26"/>
      <c r="H258" s="26"/>
      <c r="I258" s="26"/>
      <c r="J258" s="26"/>
      <c r="K258" s="26"/>
      <c r="L258" s="26"/>
    </row>
    <row r="259" spans="6:12" ht="18.75" x14ac:dyDescent="0.25">
      <c r="F259" s="26"/>
      <c r="G259" s="26"/>
      <c r="H259" s="26"/>
      <c r="I259" s="30"/>
      <c r="J259" s="30"/>
      <c r="K259" s="30"/>
      <c r="L259" s="30"/>
    </row>
    <row r="260" spans="6:12" ht="15.75" x14ac:dyDescent="0.25">
      <c r="F260" s="26"/>
      <c r="G260" s="26"/>
      <c r="H260" s="26"/>
      <c r="I260" s="26"/>
      <c r="J260" s="26"/>
      <c r="K260" s="26"/>
      <c r="L260" s="26"/>
    </row>
    <row r="261" spans="6:12" ht="15.75" x14ac:dyDescent="0.25">
      <c r="F261" s="26"/>
      <c r="G261" s="26"/>
      <c r="H261" s="26"/>
      <c r="I261" s="26"/>
      <c r="J261" s="26"/>
      <c r="K261" s="26"/>
      <c r="L261" s="26"/>
    </row>
    <row r="262" spans="6:12" ht="15.75" x14ac:dyDescent="0.25">
      <c r="F262" s="26"/>
      <c r="G262" s="26"/>
      <c r="H262" s="26"/>
      <c r="I262" s="26"/>
      <c r="J262" s="26"/>
      <c r="K262" s="26"/>
      <c r="L262" s="26"/>
    </row>
    <row r="263" spans="6:12" ht="15.75" x14ac:dyDescent="0.25">
      <c r="F263" s="26"/>
      <c r="G263" s="26"/>
      <c r="H263" s="26"/>
      <c r="I263" s="26"/>
      <c r="J263" s="26"/>
      <c r="K263" s="26"/>
      <c r="L263" s="26"/>
    </row>
    <row r="264" spans="6:12" ht="15.75" x14ac:dyDescent="0.25">
      <c r="F264" s="26"/>
      <c r="G264" s="26"/>
      <c r="H264" s="26"/>
      <c r="I264" s="26"/>
      <c r="J264" s="26"/>
      <c r="K264" s="26"/>
      <c r="L264" s="26"/>
    </row>
    <row r="265" spans="6:12" ht="15.75" x14ac:dyDescent="0.25">
      <c r="F265" s="26"/>
      <c r="G265" s="26"/>
      <c r="H265" s="26"/>
      <c r="I265" s="26"/>
      <c r="J265" s="26"/>
      <c r="K265" s="26"/>
      <c r="L265" s="26"/>
    </row>
    <row r="266" spans="6:12" ht="15.75" x14ac:dyDescent="0.25">
      <c r="F266" s="26"/>
      <c r="G266" s="26"/>
      <c r="H266" s="26"/>
      <c r="I266" s="26"/>
      <c r="J266" s="26"/>
      <c r="K266" s="26"/>
      <c r="L266" s="26"/>
    </row>
    <row r="267" spans="6:12" ht="15.75" x14ac:dyDescent="0.25">
      <c r="F267" s="26"/>
      <c r="G267" s="26"/>
      <c r="H267" s="26"/>
      <c r="I267" s="26"/>
      <c r="J267" s="26"/>
      <c r="K267" s="26"/>
      <c r="L267" s="26"/>
    </row>
    <row r="268" spans="6:12" ht="15.75" x14ac:dyDescent="0.25">
      <c r="F268" s="26"/>
      <c r="G268" s="26"/>
      <c r="H268" s="26"/>
      <c r="I268" s="26"/>
      <c r="J268" s="26"/>
      <c r="K268" s="26"/>
      <c r="L268" s="26"/>
    </row>
    <row r="269" spans="6:12" ht="15.75" x14ac:dyDescent="0.25">
      <c r="F269" s="26"/>
      <c r="G269" s="26"/>
      <c r="H269" s="26"/>
      <c r="I269" s="26"/>
      <c r="J269" s="26"/>
      <c r="K269" s="26"/>
      <c r="L269" s="26"/>
    </row>
    <row r="270" spans="6:12" ht="18.75" x14ac:dyDescent="0.25">
      <c r="F270" s="26"/>
      <c r="G270" s="26"/>
      <c r="H270" s="26"/>
      <c r="I270" s="30"/>
      <c r="J270" s="30"/>
      <c r="K270" s="30"/>
      <c r="L270" s="30"/>
    </row>
    <row r="271" spans="6:12" ht="15.75" x14ac:dyDescent="0.25">
      <c r="F271" s="26"/>
      <c r="G271" s="26"/>
      <c r="H271" s="26"/>
      <c r="I271" s="26"/>
      <c r="J271" s="26"/>
      <c r="K271" s="26"/>
      <c r="L271" s="26"/>
    </row>
    <row r="272" spans="6:12" ht="15.75" x14ac:dyDescent="0.25">
      <c r="F272" s="26"/>
      <c r="G272" s="26"/>
      <c r="H272" s="26"/>
      <c r="I272" s="26"/>
      <c r="J272" s="26"/>
      <c r="K272" s="26"/>
      <c r="L272" s="26"/>
    </row>
    <row r="273" spans="6:12" ht="15.75" x14ac:dyDescent="0.25">
      <c r="F273" s="26"/>
      <c r="G273" s="26"/>
      <c r="H273" s="26"/>
      <c r="I273" s="26"/>
      <c r="J273" s="26"/>
      <c r="K273" s="26"/>
      <c r="L273" s="26"/>
    </row>
    <row r="274" spans="6:12" ht="15.75" x14ac:dyDescent="0.25">
      <c r="F274" s="26"/>
      <c r="G274" s="26"/>
      <c r="H274" s="26"/>
      <c r="I274" s="26"/>
      <c r="J274" s="26"/>
      <c r="K274" s="26"/>
      <c r="L274" s="26"/>
    </row>
    <row r="275" spans="6:12" ht="15.75" x14ac:dyDescent="0.25">
      <c r="F275" s="26"/>
      <c r="G275" s="26"/>
      <c r="H275" s="26"/>
      <c r="I275" s="26"/>
      <c r="J275" s="26"/>
      <c r="K275" s="26"/>
      <c r="L275" s="26"/>
    </row>
    <row r="276" spans="6:12" ht="15.75" x14ac:dyDescent="0.25">
      <c r="F276" s="26"/>
      <c r="G276" s="26"/>
      <c r="H276" s="26"/>
      <c r="I276" s="26"/>
      <c r="J276" s="26"/>
      <c r="K276" s="26"/>
      <c r="L276" s="26"/>
    </row>
    <row r="277" spans="6:12" ht="15.75" x14ac:dyDescent="0.25">
      <c r="F277" s="26"/>
      <c r="G277" s="26"/>
      <c r="H277" s="26"/>
      <c r="I277" s="26"/>
      <c r="J277" s="26"/>
      <c r="K277" s="26"/>
      <c r="L277" s="26"/>
    </row>
    <row r="278" spans="6:12" ht="15.75" x14ac:dyDescent="0.25">
      <c r="F278" s="26"/>
      <c r="G278" s="26"/>
      <c r="H278" s="26"/>
      <c r="I278" s="26"/>
      <c r="J278" s="26"/>
      <c r="K278" s="26"/>
      <c r="L278" s="26"/>
    </row>
    <row r="279" spans="6:12" ht="15.75" x14ac:dyDescent="0.25">
      <c r="F279" s="26"/>
      <c r="G279" s="26"/>
      <c r="H279" s="26"/>
      <c r="I279" s="26"/>
      <c r="J279" s="26"/>
      <c r="K279" s="26"/>
      <c r="L279" s="26"/>
    </row>
    <row r="280" spans="6:12" ht="15.75" x14ac:dyDescent="0.25">
      <c r="F280" s="26"/>
      <c r="G280" s="26"/>
      <c r="H280" s="26"/>
      <c r="I280" s="26"/>
      <c r="J280" s="26"/>
      <c r="K280" s="26"/>
      <c r="L280" s="26"/>
    </row>
    <row r="281" spans="6:12" ht="18.75" x14ac:dyDescent="0.25">
      <c r="F281" s="26"/>
      <c r="G281" s="26"/>
      <c r="H281" s="26"/>
      <c r="I281" s="30"/>
      <c r="J281" s="30"/>
      <c r="K281" s="30"/>
      <c r="L281" s="30"/>
    </row>
    <row r="282" spans="6:12" ht="15.75" x14ac:dyDescent="0.25">
      <c r="F282" s="26"/>
      <c r="G282" s="26"/>
      <c r="H282" s="26"/>
      <c r="I282" s="26"/>
      <c r="J282" s="26"/>
      <c r="K282" s="26"/>
      <c r="L282" s="26"/>
    </row>
    <row r="283" spans="6:12" ht="15.75" x14ac:dyDescent="0.25">
      <c r="F283" s="26"/>
      <c r="G283" s="26"/>
      <c r="H283" s="26"/>
      <c r="I283" s="26"/>
      <c r="J283" s="26"/>
      <c r="K283" s="26"/>
      <c r="L283" s="26"/>
    </row>
    <row r="284" spans="6:12" ht="15.75" x14ac:dyDescent="0.25">
      <c r="F284" s="26"/>
      <c r="G284" s="26"/>
      <c r="H284" s="26"/>
      <c r="I284" s="26"/>
      <c r="J284" s="26"/>
      <c r="K284" s="26"/>
      <c r="L284" s="26"/>
    </row>
    <row r="285" spans="6:12" ht="15.75" x14ac:dyDescent="0.25">
      <c r="F285" s="26"/>
      <c r="G285" s="26"/>
      <c r="H285" s="26"/>
      <c r="I285" s="26"/>
      <c r="J285" s="26"/>
      <c r="K285" s="26"/>
      <c r="L285" s="26"/>
    </row>
    <row r="286" spans="6:12" ht="15.75" x14ac:dyDescent="0.25">
      <c r="F286" s="26"/>
      <c r="G286" s="26"/>
      <c r="H286" s="26"/>
      <c r="I286" s="26"/>
      <c r="J286" s="26"/>
      <c r="K286" s="26"/>
      <c r="L286" s="26"/>
    </row>
    <row r="287" spans="6:12" ht="15.75" x14ac:dyDescent="0.25">
      <c r="F287" s="26"/>
      <c r="G287" s="26"/>
      <c r="H287" s="26"/>
      <c r="I287" s="26"/>
      <c r="J287" s="26"/>
      <c r="K287" s="26"/>
      <c r="L287" s="26"/>
    </row>
    <row r="288" spans="6:12" ht="15.75" x14ac:dyDescent="0.25">
      <c r="F288" s="26"/>
      <c r="G288" s="26"/>
      <c r="H288" s="26"/>
      <c r="I288" s="26"/>
      <c r="J288" s="26"/>
      <c r="K288" s="26"/>
      <c r="L288" s="26"/>
    </row>
    <row r="289" spans="6:12" ht="15.75" x14ac:dyDescent="0.25">
      <c r="F289" s="26"/>
      <c r="G289" s="26"/>
      <c r="H289" s="26"/>
      <c r="I289" s="26"/>
      <c r="J289" s="26"/>
      <c r="K289" s="26"/>
      <c r="L289" s="26"/>
    </row>
    <row r="290" spans="6:12" ht="15.75" x14ac:dyDescent="0.25">
      <c r="F290" s="26"/>
      <c r="G290" s="26"/>
      <c r="H290" s="26"/>
      <c r="I290" s="26"/>
      <c r="J290" s="26"/>
      <c r="K290" s="26"/>
      <c r="L290" s="26"/>
    </row>
    <row r="291" spans="6:12" ht="15.75" x14ac:dyDescent="0.25">
      <c r="F291" s="26"/>
      <c r="G291" s="26"/>
      <c r="H291" s="26"/>
      <c r="I291" s="26"/>
      <c r="J291" s="26"/>
      <c r="K291" s="26"/>
      <c r="L291" s="26"/>
    </row>
    <row r="292" spans="6:12" ht="18.75" x14ac:dyDescent="0.25">
      <c r="F292" s="26"/>
      <c r="G292" s="26"/>
      <c r="H292" s="26"/>
      <c r="I292" s="30"/>
      <c r="J292" s="30"/>
      <c r="K292" s="30"/>
      <c r="L292" s="30"/>
    </row>
    <row r="293" spans="6:12" ht="15.75" x14ac:dyDescent="0.25">
      <c r="F293" s="26"/>
      <c r="G293" s="26"/>
      <c r="H293" s="26"/>
      <c r="I293" s="26"/>
      <c r="J293" s="26"/>
      <c r="K293" s="26"/>
      <c r="L293" s="26"/>
    </row>
    <row r="294" spans="6:12" ht="15.75" x14ac:dyDescent="0.25">
      <c r="F294" s="26"/>
      <c r="G294" s="26"/>
      <c r="H294" s="26"/>
      <c r="I294" s="26"/>
      <c r="J294" s="26"/>
      <c r="K294" s="26"/>
      <c r="L294" s="26"/>
    </row>
    <row r="295" spans="6:12" ht="15.75" x14ac:dyDescent="0.25">
      <c r="F295" s="26"/>
      <c r="G295" s="26"/>
      <c r="H295" s="26"/>
      <c r="I295" s="26"/>
      <c r="J295" s="26"/>
      <c r="K295" s="26"/>
      <c r="L295" s="26"/>
    </row>
    <row r="296" spans="6:12" ht="15.75" x14ac:dyDescent="0.25">
      <c r="F296" s="26"/>
      <c r="G296" s="26"/>
      <c r="H296" s="26"/>
      <c r="I296" s="26"/>
      <c r="J296" s="26"/>
      <c r="K296" s="26"/>
      <c r="L296" s="26"/>
    </row>
    <row r="297" spans="6:12" ht="15.75" x14ac:dyDescent="0.25">
      <c r="F297" s="26"/>
      <c r="G297" s="26"/>
      <c r="H297" s="26"/>
      <c r="I297" s="26"/>
      <c r="J297" s="26"/>
      <c r="K297" s="26"/>
      <c r="L297" s="26"/>
    </row>
    <row r="298" spans="6:12" ht="15.75" x14ac:dyDescent="0.25">
      <c r="F298" s="26"/>
      <c r="G298" s="26"/>
      <c r="H298" s="26"/>
      <c r="I298" s="26"/>
      <c r="J298" s="26"/>
      <c r="K298" s="26"/>
      <c r="L298" s="26"/>
    </row>
    <row r="299" spans="6:12" ht="15.75" x14ac:dyDescent="0.25">
      <c r="F299" s="26"/>
      <c r="G299" s="26"/>
      <c r="H299" s="26"/>
      <c r="I299" s="26"/>
      <c r="J299" s="26"/>
      <c r="K299" s="26"/>
      <c r="L299" s="26"/>
    </row>
    <row r="300" spans="6:12" ht="15.75" x14ac:dyDescent="0.25">
      <c r="F300" s="26"/>
      <c r="G300" s="26"/>
      <c r="H300" s="26"/>
      <c r="I300" s="26"/>
      <c r="J300" s="26"/>
      <c r="K300" s="26"/>
      <c r="L300" s="26"/>
    </row>
    <row r="301" spans="6:12" ht="15.75" x14ac:dyDescent="0.25">
      <c r="F301" s="26"/>
      <c r="G301" s="26"/>
      <c r="H301" s="26"/>
      <c r="I301" s="26"/>
      <c r="J301" s="26"/>
      <c r="K301" s="26"/>
      <c r="L301" s="26"/>
    </row>
    <row r="302" spans="6:12" ht="15.75" x14ac:dyDescent="0.25">
      <c r="F302" s="26"/>
      <c r="G302" s="26"/>
      <c r="H302" s="26"/>
      <c r="I302" s="26"/>
      <c r="J302" s="26"/>
      <c r="K302" s="26"/>
      <c r="L302" s="26"/>
    </row>
    <row r="303" spans="6:12" ht="18.75" x14ac:dyDescent="0.25">
      <c r="F303" s="26"/>
      <c r="G303" s="26"/>
      <c r="H303" s="26"/>
      <c r="I303" s="30"/>
      <c r="J303" s="30"/>
      <c r="K303" s="30"/>
      <c r="L303" s="30"/>
    </row>
    <row r="304" spans="6:12" ht="15.75" x14ac:dyDescent="0.25">
      <c r="F304" s="26"/>
      <c r="G304" s="26"/>
      <c r="H304" s="26"/>
      <c r="I304" s="26"/>
      <c r="J304" s="26"/>
      <c r="K304" s="26"/>
      <c r="L304" s="26"/>
    </row>
    <row r="305" spans="6:12" ht="15.75" x14ac:dyDescent="0.25">
      <c r="F305" s="26"/>
      <c r="G305" s="26"/>
      <c r="H305" s="26"/>
      <c r="I305" s="26"/>
      <c r="J305" s="26"/>
      <c r="K305" s="26"/>
      <c r="L305" s="26"/>
    </row>
    <row r="306" spans="6:12" ht="15.75" x14ac:dyDescent="0.25">
      <c r="F306" s="26"/>
      <c r="G306" s="26"/>
      <c r="H306" s="26"/>
      <c r="I306" s="26"/>
      <c r="J306" s="26"/>
      <c r="K306" s="26"/>
      <c r="L306" s="26"/>
    </row>
    <row r="307" spans="6:12" ht="15.75" x14ac:dyDescent="0.25">
      <c r="F307" s="26"/>
      <c r="G307" s="26"/>
      <c r="H307" s="26"/>
      <c r="I307" s="26"/>
      <c r="J307" s="26"/>
      <c r="K307" s="26"/>
      <c r="L307" s="26"/>
    </row>
    <row r="308" spans="6:12" ht="15.75" x14ac:dyDescent="0.25">
      <c r="F308" s="26"/>
      <c r="G308" s="26"/>
      <c r="H308" s="26"/>
      <c r="I308" s="26"/>
      <c r="J308" s="26"/>
      <c r="K308" s="26"/>
      <c r="L308" s="26"/>
    </row>
    <row r="309" spans="6:12" ht="15.75" x14ac:dyDescent="0.25">
      <c r="F309" s="26"/>
      <c r="G309" s="26"/>
      <c r="H309" s="26"/>
      <c r="I309" s="26"/>
      <c r="J309" s="26"/>
      <c r="K309" s="26"/>
      <c r="L309" s="26"/>
    </row>
    <row r="310" spans="6:12" ht="15.75" x14ac:dyDescent="0.25">
      <c r="F310" s="26"/>
      <c r="G310" s="26"/>
      <c r="H310" s="26"/>
      <c r="I310" s="26"/>
      <c r="J310" s="26"/>
      <c r="K310" s="26"/>
      <c r="L310" s="26"/>
    </row>
    <row r="311" spans="6:12" ht="15.75" x14ac:dyDescent="0.25">
      <c r="F311" s="26"/>
      <c r="G311" s="26"/>
      <c r="H311" s="26"/>
      <c r="I311" s="26"/>
      <c r="J311" s="26"/>
      <c r="K311" s="26"/>
      <c r="L311" s="26"/>
    </row>
    <row r="312" spans="6:12" ht="15.75" x14ac:dyDescent="0.25">
      <c r="F312" s="26"/>
      <c r="G312" s="26"/>
      <c r="H312" s="26"/>
      <c r="I312" s="26"/>
      <c r="J312" s="26"/>
      <c r="K312" s="26"/>
      <c r="L312" s="26"/>
    </row>
    <row r="313" spans="6:12" ht="15.75" x14ac:dyDescent="0.25">
      <c r="F313" s="26"/>
      <c r="G313" s="26"/>
      <c r="H313" s="26"/>
      <c r="I313" s="26"/>
      <c r="J313" s="26"/>
      <c r="K313" s="26"/>
      <c r="L313" s="26"/>
    </row>
    <row r="314" spans="6:12" ht="18.75" x14ac:dyDescent="0.25">
      <c r="F314" s="26"/>
      <c r="G314" s="26"/>
      <c r="H314" s="26"/>
      <c r="I314" s="30"/>
      <c r="J314" s="30"/>
      <c r="K314" s="30"/>
      <c r="L314" s="30"/>
    </row>
    <row r="315" spans="6:12" ht="15.75" x14ac:dyDescent="0.25">
      <c r="F315" s="26"/>
      <c r="G315" s="26"/>
      <c r="H315" s="26"/>
      <c r="I315" s="26"/>
      <c r="J315" s="26"/>
      <c r="K315" s="26"/>
      <c r="L315" s="26"/>
    </row>
    <row r="316" spans="6:12" ht="15.75" x14ac:dyDescent="0.25">
      <c r="F316" s="26"/>
      <c r="G316" s="26"/>
      <c r="H316" s="26"/>
      <c r="I316" s="26"/>
      <c r="J316" s="26"/>
      <c r="K316" s="26"/>
      <c r="L316" s="26"/>
    </row>
    <row r="317" spans="6:12" ht="15.75" x14ac:dyDescent="0.25">
      <c r="F317" s="26"/>
      <c r="G317" s="26"/>
      <c r="H317" s="26"/>
      <c r="I317" s="26"/>
      <c r="J317" s="26"/>
      <c r="K317" s="26"/>
      <c r="L317" s="26"/>
    </row>
    <row r="318" spans="6:12" ht="15.75" x14ac:dyDescent="0.25">
      <c r="F318" s="26"/>
      <c r="G318" s="26"/>
      <c r="H318" s="26"/>
      <c r="I318" s="26"/>
      <c r="J318" s="26"/>
      <c r="K318" s="26"/>
      <c r="L318" s="26"/>
    </row>
    <row r="319" spans="6:12" ht="15.75" x14ac:dyDescent="0.25">
      <c r="F319" s="26"/>
      <c r="G319" s="26"/>
      <c r="H319" s="26"/>
      <c r="I319" s="26"/>
      <c r="J319" s="26"/>
      <c r="K319" s="26"/>
      <c r="L319" s="26"/>
    </row>
    <row r="320" spans="6:12" ht="15.75" x14ac:dyDescent="0.25">
      <c r="F320" s="26"/>
      <c r="G320" s="26"/>
      <c r="H320" s="26"/>
      <c r="I320" s="26"/>
      <c r="J320" s="26"/>
      <c r="K320" s="26"/>
      <c r="L320" s="26"/>
    </row>
    <row r="321" spans="6:12" ht="15.75" x14ac:dyDescent="0.25">
      <c r="F321" s="26"/>
      <c r="G321" s="26"/>
      <c r="H321" s="26"/>
      <c r="I321" s="26"/>
      <c r="J321" s="26"/>
      <c r="K321" s="26"/>
      <c r="L321" s="26"/>
    </row>
    <row r="322" spans="6:12" ht="15.75" x14ac:dyDescent="0.25">
      <c r="F322" s="26"/>
      <c r="G322" s="26"/>
      <c r="H322" s="26"/>
      <c r="I322" s="26"/>
      <c r="J322" s="26"/>
      <c r="K322" s="26"/>
      <c r="L322" s="26"/>
    </row>
    <row r="323" spans="6:12" ht="15.75" x14ac:dyDescent="0.25">
      <c r="F323" s="26"/>
      <c r="G323" s="26"/>
      <c r="H323" s="26"/>
      <c r="I323" s="26"/>
      <c r="J323" s="26"/>
      <c r="K323" s="26"/>
      <c r="L323" s="26"/>
    </row>
    <row r="324" spans="6:12" ht="15.75" x14ac:dyDescent="0.25">
      <c r="F324" s="26"/>
      <c r="G324" s="26"/>
      <c r="H324" s="26"/>
      <c r="I324" s="26"/>
      <c r="J324" s="26"/>
      <c r="K324" s="26"/>
      <c r="L324" s="26"/>
    </row>
    <row r="325" spans="6:12" ht="18.75" x14ac:dyDescent="0.25">
      <c r="F325" s="26"/>
      <c r="G325" s="26"/>
      <c r="H325" s="26"/>
      <c r="I325" s="30"/>
      <c r="J325" s="30"/>
      <c r="K325" s="30"/>
      <c r="L325" s="30"/>
    </row>
    <row r="326" spans="6:12" ht="15.75" x14ac:dyDescent="0.25">
      <c r="F326" s="26"/>
      <c r="G326" s="26"/>
      <c r="H326" s="26"/>
    </row>
    <row r="327" spans="6:12" ht="15.75" x14ac:dyDescent="0.25">
      <c r="F327" s="26"/>
      <c r="G327" s="26"/>
      <c r="H327" s="26"/>
    </row>
    <row r="328" spans="6:12" ht="15.75" x14ac:dyDescent="0.25">
      <c r="F328" s="26"/>
      <c r="G328" s="26"/>
      <c r="H328" s="26"/>
    </row>
    <row r="329" spans="6:12" ht="15.75" x14ac:dyDescent="0.25">
      <c r="F329" s="26"/>
      <c r="G329" s="26"/>
      <c r="H329" s="26"/>
    </row>
    <row r="330" spans="6:12" ht="15.75" x14ac:dyDescent="0.25">
      <c r="F330" s="26"/>
      <c r="G330" s="26"/>
      <c r="H330" s="26"/>
    </row>
    <row r="331" spans="6:12" ht="15.75" x14ac:dyDescent="0.25">
      <c r="F331" s="26"/>
      <c r="G331" s="26"/>
      <c r="H331" s="26"/>
    </row>
    <row r="332" spans="6:12" ht="15.75" x14ac:dyDescent="0.25">
      <c r="F332" s="26"/>
      <c r="G332" s="26"/>
      <c r="H332" s="26"/>
    </row>
    <row r="333" spans="6:12" ht="15.75" x14ac:dyDescent="0.25">
      <c r="F333" s="26"/>
      <c r="G333" s="26"/>
      <c r="H333" s="26"/>
    </row>
    <row r="334" spans="6:12" ht="15.75" x14ac:dyDescent="0.25">
      <c r="F334" s="26"/>
      <c r="G334" s="26"/>
      <c r="H334" s="26"/>
    </row>
    <row r="335" spans="6:12" ht="15.75" x14ac:dyDescent="0.25">
      <c r="F335" s="26"/>
      <c r="G335" s="26"/>
      <c r="H335" s="26"/>
    </row>
    <row r="336" spans="6:12" ht="18.75" x14ac:dyDescent="0.25">
      <c r="F336" s="26"/>
      <c r="G336" s="26"/>
      <c r="H336" s="26"/>
      <c r="I336" s="30"/>
      <c r="J336" s="30"/>
      <c r="K336" s="30"/>
      <c r="L336" s="30"/>
    </row>
    <row r="337" spans="6:12" ht="15.75" x14ac:dyDescent="0.25">
      <c r="F337" s="26"/>
      <c r="G337" s="26"/>
      <c r="H337" s="26"/>
    </row>
    <row r="338" spans="6:12" ht="15.75" x14ac:dyDescent="0.25">
      <c r="F338" s="26"/>
      <c r="G338" s="26"/>
      <c r="H338" s="26"/>
    </row>
    <row r="339" spans="6:12" ht="15.75" x14ac:dyDescent="0.25">
      <c r="F339" s="26"/>
      <c r="G339" s="26"/>
      <c r="H339" s="26"/>
    </row>
    <row r="340" spans="6:12" ht="15.75" x14ac:dyDescent="0.25">
      <c r="F340" s="26"/>
      <c r="G340" s="26"/>
      <c r="H340" s="26"/>
    </row>
    <row r="341" spans="6:12" ht="15.75" x14ac:dyDescent="0.25">
      <c r="F341" s="26"/>
      <c r="G341" s="26"/>
      <c r="H341" s="26"/>
    </row>
    <row r="342" spans="6:12" ht="15.75" x14ac:dyDescent="0.25">
      <c r="F342" s="26"/>
      <c r="G342" s="26"/>
      <c r="H342" s="26"/>
    </row>
    <row r="343" spans="6:12" ht="15.75" x14ac:dyDescent="0.25">
      <c r="F343" s="26"/>
      <c r="G343" s="26"/>
      <c r="H343" s="26"/>
    </row>
    <row r="344" spans="6:12" ht="15.75" x14ac:dyDescent="0.25">
      <c r="F344" s="26"/>
      <c r="G344" s="26"/>
      <c r="H344" s="26"/>
    </row>
    <row r="345" spans="6:12" ht="15.75" x14ac:dyDescent="0.25">
      <c r="F345" s="26"/>
      <c r="G345" s="26"/>
      <c r="H345" s="26"/>
    </row>
    <row r="346" spans="6:12" ht="15.75" x14ac:dyDescent="0.25">
      <c r="F346" s="26"/>
      <c r="G346" s="26"/>
      <c r="H346" s="26"/>
    </row>
    <row r="347" spans="6:12" ht="18.75" x14ac:dyDescent="0.25">
      <c r="F347" s="26"/>
      <c r="G347" s="26"/>
      <c r="H347" s="26"/>
      <c r="I347" s="30"/>
      <c r="J347" s="30"/>
      <c r="K347" s="30"/>
      <c r="L347" s="30"/>
    </row>
    <row r="348" spans="6:12" ht="15.75" x14ac:dyDescent="0.25">
      <c r="F348" s="26"/>
      <c r="G348" s="26"/>
      <c r="H348" s="26"/>
    </row>
    <row r="349" spans="6:12" ht="15.75" x14ac:dyDescent="0.25">
      <c r="F349" s="26"/>
      <c r="G349" s="26"/>
      <c r="H349" s="26"/>
    </row>
    <row r="350" spans="6:12" ht="15.75" x14ac:dyDescent="0.25">
      <c r="F350" s="26"/>
      <c r="G350" s="26"/>
      <c r="H350" s="26"/>
    </row>
    <row r="351" spans="6:12" ht="15.75" x14ac:dyDescent="0.25">
      <c r="F351" s="26"/>
      <c r="G351" s="26"/>
      <c r="H351" s="26"/>
    </row>
    <row r="352" spans="6:12" ht="15.75" x14ac:dyDescent="0.25">
      <c r="F352" s="26"/>
      <c r="G352" s="26"/>
      <c r="H352" s="26"/>
    </row>
    <row r="353" spans="6:12" ht="15.75" x14ac:dyDescent="0.25">
      <c r="F353" s="26"/>
      <c r="G353" s="26"/>
      <c r="H353" s="26"/>
    </row>
    <row r="354" spans="6:12" ht="15.75" x14ac:dyDescent="0.25">
      <c r="F354" s="26"/>
      <c r="G354" s="26"/>
      <c r="H354" s="26"/>
    </row>
    <row r="355" spans="6:12" ht="15.75" x14ac:dyDescent="0.25">
      <c r="F355" s="26"/>
      <c r="G355" s="26"/>
      <c r="H355" s="26"/>
    </row>
    <row r="356" spans="6:12" ht="15.75" x14ac:dyDescent="0.25">
      <c r="F356" s="26"/>
      <c r="G356" s="26"/>
      <c r="H356" s="26"/>
    </row>
    <row r="357" spans="6:12" ht="15.75" x14ac:dyDescent="0.25">
      <c r="F357" s="26"/>
      <c r="G357" s="26"/>
      <c r="H357" s="26"/>
    </row>
    <row r="358" spans="6:12" ht="18.75" x14ac:dyDescent="0.25">
      <c r="F358" s="26"/>
      <c r="G358" s="26"/>
      <c r="H358" s="26"/>
      <c r="I358" s="30"/>
      <c r="J358" s="30"/>
      <c r="K358" s="30"/>
      <c r="L358" s="30"/>
    </row>
    <row r="359" spans="6:12" ht="15.75" x14ac:dyDescent="0.25">
      <c r="F359" s="26"/>
      <c r="G359" s="26"/>
      <c r="H359" s="26"/>
    </row>
    <row r="360" spans="6:12" ht="15.75" x14ac:dyDescent="0.25">
      <c r="F360" s="26"/>
      <c r="G360" s="26"/>
      <c r="H360" s="26"/>
    </row>
    <row r="361" spans="6:12" ht="15.75" x14ac:dyDescent="0.25">
      <c r="F361" s="26"/>
      <c r="G361" s="26"/>
      <c r="H361" s="26"/>
    </row>
    <row r="362" spans="6:12" ht="15.75" x14ac:dyDescent="0.25">
      <c r="F362" s="26"/>
      <c r="G362" s="26"/>
      <c r="H362" s="26"/>
    </row>
    <row r="363" spans="6:12" ht="15.75" x14ac:dyDescent="0.25">
      <c r="F363" s="26"/>
      <c r="G363" s="26"/>
      <c r="H363" s="26"/>
    </row>
    <row r="364" spans="6:12" ht="15.75" x14ac:dyDescent="0.25">
      <c r="F364" s="26"/>
      <c r="G364" s="26"/>
      <c r="H364" s="26"/>
    </row>
    <row r="365" spans="6:12" ht="15.75" x14ac:dyDescent="0.25">
      <c r="F365" s="26"/>
      <c r="G365" s="26"/>
      <c r="H365" s="26"/>
    </row>
    <row r="366" spans="6:12" ht="15.75" x14ac:dyDescent="0.25">
      <c r="F366" s="26"/>
      <c r="G366" s="26"/>
      <c r="H366" s="26"/>
    </row>
    <row r="367" spans="6:12" ht="15.75" x14ac:dyDescent="0.25">
      <c r="F367" s="26"/>
      <c r="G367" s="26"/>
      <c r="H367" s="26"/>
    </row>
    <row r="368" spans="6:12" ht="15.75" x14ac:dyDescent="0.25">
      <c r="F368" s="26"/>
      <c r="G368" s="26"/>
      <c r="H368" s="26"/>
    </row>
    <row r="369" spans="6:12" ht="18.75" x14ac:dyDescent="0.25">
      <c r="F369" s="26"/>
      <c r="G369" s="26"/>
      <c r="H369" s="26"/>
      <c r="I369" s="30"/>
      <c r="J369" s="30"/>
      <c r="K369" s="30"/>
      <c r="L369" s="30"/>
    </row>
    <row r="370" spans="6:12" ht="15.75" x14ac:dyDescent="0.25">
      <c r="F370" s="26"/>
      <c r="G370" s="26"/>
      <c r="H370" s="26"/>
    </row>
    <row r="371" spans="6:12" ht="15.75" x14ac:dyDescent="0.25">
      <c r="F371" s="26"/>
      <c r="G371" s="26"/>
      <c r="H371" s="26"/>
    </row>
    <row r="372" spans="6:12" ht="15.75" x14ac:dyDescent="0.25">
      <c r="F372" s="26"/>
      <c r="G372" s="26"/>
      <c r="H372" s="26"/>
    </row>
    <row r="373" spans="6:12" ht="15.75" x14ac:dyDescent="0.25">
      <c r="F373" s="26"/>
      <c r="G373" s="26"/>
      <c r="H373" s="26"/>
    </row>
    <row r="374" spans="6:12" ht="15.75" x14ac:dyDescent="0.25">
      <c r="F374" s="26"/>
      <c r="G374" s="26"/>
      <c r="H374" s="26"/>
    </row>
    <row r="375" spans="6:12" ht="15.75" x14ac:dyDescent="0.25">
      <c r="F375" s="26"/>
      <c r="G375" s="26"/>
      <c r="H375" s="26"/>
    </row>
    <row r="376" spans="6:12" ht="15.75" x14ac:dyDescent="0.25">
      <c r="F376" s="26"/>
      <c r="G376" s="26"/>
      <c r="H376" s="26"/>
    </row>
    <row r="377" spans="6:12" ht="15.75" x14ac:dyDescent="0.25">
      <c r="F377" s="26"/>
      <c r="G377" s="26"/>
      <c r="H377" s="26"/>
    </row>
    <row r="378" spans="6:12" ht="15.75" x14ac:dyDescent="0.25">
      <c r="F378" s="26"/>
      <c r="G378" s="26"/>
      <c r="H378" s="26"/>
    </row>
    <row r="379" spans="6:12" ht="15.75" x14ac:dyDescent="0.25">
      <c r="F379" s="26"/>
      <c r="G379" s="26"/>
      <c r="H379" s="26"/>
    </row>
    <row r="380" spans="6:12" ht="18.75" x14ac:dyDescent="0.25">
      <c r="F380" s="26"/>
      <c r="G380" s="26"/>
      <c r="H380" s="26"/>
      <c r="I380" s="30"/>
      <c r="J380" s="30"/>
      <c r="K380" s="30"/>
      <c r="L380" s="30"/>
    </row>
    <row r="381" spans="6:12" ht="15.75" x14ac:dyDescent="0.25">
      <c r="F381" s="26"/>
      <c r="G381" s="26"/>
      <c r="H381" s="26"/>
    </row>
    <row r="382" spans="6:12" ht="15.75" x14ac:dyDescent="0.25">
      <c r="F382" s="26"/>
      <c r="G382" s="26"/>
      <c r="H382" s="26"/>
    </row>
    <row r="383" spans="6:12" ht="15.75" x14ac:dyDescent="0.25">
      <c r="F383" s="26"/>
      <c r="G383" s="26"/>
      <c r="H383" s="26"/>
    </row>
    <row r="384" spans="6:12" ht="15.75" x14ac:dyDescent="0.25">
      <c r="F384" s="26"/>
      <c r="G384" s="26"/>
      <c r="H384" s="26"/>
    </row>
    <row r="385" spans="6:13" ht="15.75" x14ac:dyDescent="0.25">
      <c r="F385" s="26"/>
      <c r="G385" s="26"/>
      <c r="H385" s="26"/>
    </row>
    <row r="386" spans="6:13" ht="15.75" x14ac:dyDescent="0.25">
      <c r="F386" s="26"/>
      <c r="G386" s="26"/>
      <c r="H386" s="26"/>
    </row>
    <row r="387" spans="6:13" ht="15.75" x14ac:dyDescent="0.25">
      <c r="F387" s="26"/>
      <c r="G387" s="26"/>
      <c r="H387" s="26"/>
    </row>
    <row r="388" spans="6:13" ht="15.75" x14ac:dyDescent="0.25">
      <c r="F388" s="26"/>
      <c r="G388" s="26"/>
      <c r="H388" s="26"/>
    </row>
    <row r="389" spans="6:13" ht="15.75" x14ac:dyDescent="0.25">
      <c r="F389" s="26"/>
      <c r="G389" s="26"/>
      <c r="H389" s="26"/>
    </row>
    <row r="390" spans="6:13" ht="15.75" x14ac:dyDescent="0.25">
      <c r="F390" s="26"/>
      <c r="G390" s="26"/>
      <c r="H390" s="26"/>
    </row>
    <row r="391" spans="6:13" ht="18.75" x14ac:dyDescent="0.25">
      <c r="F391" s="26"/>
      <c r="G391" s="26"/>
      <c r="H391" s="26"/>
      <c r="I391" s="30"/>
      <c r="J391" s="30"/>
      <c r="K391" s="30"/>
      <c r="L391" s="30"/>
    </row>
    <row r="392" spans="6:13" ht="15.75" x14ac:dyDescent="0.25">
      <c r="F392" s="26"/>
      <c r="G392" s="26"/>
      <c r="H392" s="26"/>
    </row>
    <row r="393" spans="6:13" ht="15.75" x14ac:dyDescent="0.25">
      <c r="F393" s="26"/>
      <c r="G393" s="26"/>
      <c r="H393" s="26"/>
    </row>
    <row r="394" spans="6:13" ht="15.75" x14ac:dyDescent="0.25">
      <c r="F394" s="26"/>
      <c r="G394" s="26"/>
      <c r="H394" s="26"/>
    </row>
    <row r="395" spans="6:13" ht="15.75" x14ac:dyDescent="0.25">
      <c r="F395" s="26"/>
      <c r="G395" s="26"/>
      <c r="H395" s="26"/>
      <c r="I395" s="26"/>
      <c r="J395" s="26"/>
      <c r="K395" s="26"/>
      <c r="L395" s="26"/>
      <c r="M395" s="26"/>
    </row>
    <row r="396" spans="6:13" ht="15.75" x14ac:dyDescent="0.25">
      <c r="F396" s="26"/>
      <c r="G396" s="26"/>
      <c r="H396" s="26"/>
      <c r="I396" s="26"/>
      <c r="J396" s="26"/>
      <c r="K396" s="26"/>
      <c r="L396" s="26"/>
      <c r="M396" s="26"/>
    </row>
    <row r="397" spans="6:13" ht="15.75" x14ac:dyDescent="0.25">
      <c r="F397" s="26"/>
      <c r="G397" s="26"/>
      <c r="H397" s="26"/>
      <c r="I397" s="26"/>
      <c r="J397" s="26"/>
      <c r="K397" s="26"/>
      <c r="L397" s="26"/>
      <c r="M397" s="26"/>
    </row>
    <row r="398" spans="6:13" ht="15.75" x14ac:dyDescent="0.25">
      <c r="F398" s="26"/>
      <c r="G398" s="26"/>
      <c r="H398" s="26"/>
      <c r="I398" s="26"/>
      <c r="J398" s="26"/>
      <c r="K398" s="26"/>
      <c r="L398" s="26"/>
      <c r="M398" s="26"/>
    </row>
    <row r="399" spans="6:13" ht="15.75" x14ac:dyDescent="0.25">
      <c r="F399" s="26"/>
      <c r="G399" s="26"/>
      <c r="H399" s="26"/>
      <c r="I399" s="26"/>
      <c r="J399" s="26"/>
      <c r="K399" s="26"/>
      <c r="L399" s="26"/>
      <c r="M399" s="26"/>
    </row>
    <row r="400" spans="6:13" ht="15.75" x14ac:dyDescent="0.25">
      <c r="F400" s="26"/>
      <c r="G400" s="26"/>
      <c r="H400" s="26"/>
      <c r="I400" s="26"/>
      <c r="J400" s="26"/>
      <c r="K400" s="26"/>
      <c r="L400" s="26"/>
      <c r="M400" s="26"/>
    </row>
    <row r="401" spans="6:13" ht="15.75" x14ac:dyDescent="0.25">
      <c r="F401" s="26"/>
      <c r="G401" s="26"/>
      <c r="H401" s="26"/>
      <c r="I401" s="26"/>
      <c r="J401" s="26"/>
      <c r="K401" s="26"/>
      <c r="L401" s="26"/>
      <c r="M401" s="26"/>
    </row>
    <row r="402" spans="6:13" ht="15.75" x14ac:dyDescent="0.25">
      <c r="F402" s="26"/>
      <c r="G402" s="26"/>
      <c r="H402" s="26"/>
      <c r="I402" s="26"/>
      <c r="J402" s="26"/>
      <c r="K402" s="26"/>
      <c r="L402" s="26"/>
      <c r="M402" s="26"/>
    </row>
    <row r="403" spans="6:13" ht="15.75" x14ac:dyDescent="0.25">
      <c r="F403" s="26"/>
      <c r="G403" s="26"/>
      <c r="H403" s="26"/>
      <c r="I403" s="26"/>
      <c r="J403" s="26"/>
      <c r="K403" s="26"/>
      <c r="L403" s="26"/>
      <c r="M403" s="26"/>
    </row>
    <row r="404" spans="6:13" ht="15.75" x14ac:dyDescent="0.25">
      <c r="F404" s="26"/>
      <c r="G404" s="26"/>
      <c r="H404" s="26"/>
      <c r="I404" s="26"/>
      <c r="J404" s="26"/>
      <c r="K404" s="26"/>
      <c r="L404" s="26"/>
      <c r="M404" s="26"/>
    </row>
    <row r="405" spans="6:13" ht="15.75" x14ac:dyDescent="0.25">
      <c r="F405" s="26"/>
      <c r="G405" s="26"/>
      <c r="H405" s="26"/>
      <c r="I405" s="26"/>
      <c r="J405" s="26"/>
      <c r="K405" s="26"/>
      <c r="L405" s="26"/>
      <c r="M405" s="26"/>
    </row>
    <row r="406" spans="6:13" ht="15.75" x14ac:dyDescent="0.25">
      <c r="F406" s="26"/>
      <c r="G406" s="26"/>
      <c r="H406" s="26"/>
      <c r="I406" s="26"/>
      <c r="J406" s="26"/>
      <c r="K406" s="26"/>
      <c r="L406" s="26"/>
      <c r="M406" s="26"/>
    </row>
    <row r="407" spans="6:13" ht="15.75" x14ac:dyDescent="0.25">
      <c r="F407" s="26"/>
      <c r="G407" s="26"/>
      <c r="H407" s="26"/>
      <c r="I407" s="26"/>
      <c r="J407" s="26"/>
      <c r="K407" s="26"/>
      <c r="L407" s="26"/>
      <c r="M407" s="26"/>
    </row>
    <row r="408" spans="6:13" ht="15.75" x14ac:dyDescent="0.25">
      <c r="F408" s="26"/>
      <c r="G408" s="26"/>
      <c r="H408" s="26"/>
    </row>
    <row r="409" spans="6:13" ht="15.75" x14ac:dyDescent="0.25">
      <c r="F409" s="26"/>
      <c r="G409" s="26"/>
      <c r="H409" s="26"/>
    </row>
    <row r="410" spans="6:13" ht="15.75" x14ac:dyDescent="0.25">
      <c r="F410" s="26"/>
      <c r="G410" s="26"/>
      <c r="H410" s="26"/>
    </row>
  </sheetData>
  <mergeCells count="1">
    <mergeCell ref="H1:L1"/>
  </mergeCells>
  <conditionalFormatting sqref="D4:D5">
    <cfRule type="cellIs" dxfId="96" priority="106" operator="equal">
      <formula>0</formula>
    </cfRule>
  </conditionalFormatting>
  <dataValidations count="1">
    <dataValidation type="list" allowBlank="1" showInputMessage="1" sqref="H3:L3" xr:uid="{8A83F251-4FEA-4CDC-94DD-AD92A701B3C9}">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00000000-0002-0000-0900-000000000000}">
          <x14:formula1>
            <xm:f>Unit!$A$4:$A$11</xm:f>
          </x14:formula1>
          <xm:sqref>D3</xm:sqref>
        </x14:dataValidation>
        <x14:dataValidation type="list" allowBlank="1" showInputMessage="1" xr:uid="{00000000-0002-0000-0900-000001000000}">
          <x14:formula1>
            <xm:f>Unit!#REF!</xm:f>
          </x14:formula1>
          <xm:sqref>I303:L303 I248:L248 I237:L237 I226:L226 I215:L215 I204:L204 I193:L193 I182:L182 I171:L171 I50:L50 I28:L28 I17:L17 I259:L259 I347:L347 I336:L336 I325:L325 I314:L314 I391:L391 I358:L358 I369:L369 I380:L380 I292:L292 I281:L281 I270:L270 I160:L160 I149:L149 I138:L138 I116:L116 I105:L105 I94:L94 I83:L83 I72:L72 I127:L127 I39:L39 I61:L61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00B050"/>
  </sheetPr>
  <dimension ref="A1:S80"/>
  <sheetViews>
    <sheetView view="pageBreakPreview" zoomScale="70" zoomScaleNormal="85" zoomScaleSheetLayoutView="70" zoomScalePageLayoutView="85" workbookViewId="0">
      <pane ySplit="2" topLeftCell="A7"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3" width="31" style="88" customWidth="1" outlineLevel="1"/>
    <col min="14"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70" t="s">
        <v>22</v>
      </c>
      <c r="N1" s="71"/>
    </row>
    <row r="2" spans="1:19" s="79" customFormat="1" ht="20.100000000000001" customHeight="1" thickBot="1" x14ac:dyDescent="0.4">
      <c r="A2" s="72">
        <f>Scaffolding!A2+1</f>
        <v>3</v>
      </c>
      <c r="B2" s="73" t="s" cm="1">
        <v>2437</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3.01</v>
      </c>
      <c r="B3" s="27" t="s">
        <v>165</v>
      </c>
      <c r="C3" s="83">
        <v>1</v>
      </c>
      <c r="D3" s="29" t="s">
        <v>24</v>
      </c>
      <c r="E3" s="85"/>
      <c r="F3" s="86">
        <f>IF(E3="inc",0,IF(C3="",0,C3*E3))</f>
        <v>0</v>
      </c>
      <c r="G3" s="208"/>
      <c r="H3" s="30"/>
      <c r="I3" s="30"/>
      <c r="J3" s="30"/>
      <c r="K3" s="30"/>
      <c r="L3" s="30"/>
      <c r="M3" s="87"/>
      <c r="N3" s="88"/>
      <c r="O3" s="25"/>
      <c r="P3" s="25"/>
      <c r="Q3" s="25"/>
      <c r="R3" s="25"/>
      <c r="S3" s="25"/>
    </row>
    <row r="4" spans="1:19" s="94" customFormat="1" ht="15.75" x14ac:dyDescent="0.25">
      <c r="A4" s="24"/>
      <c r="B4" s="24" t="s">
        <v>166</v>
      </c>
      <c r="C4" s="32">
        <v>1</v>
      </c>
      <c r="D4" s="32" t="s">
        <v>5</v>
      </c>
      <c r="E4" s="26"/>
      <c r="F4" s="33"/>
      <c r="G4" s="209"/>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90" customFormat="1" ht="18.75" x14ac:dyDescent="0.25">
      <c r="A6" s="82">
        <f ca="1">IF(C6&gt;0,MAX($A$1:OFFSET(A6,-1,0))+0.01,"")</f>
        <v>3.0199999999999996</v>
      </c>
      <c r="B6" s="27" t="s">
        <v>200</v>
      </c>
      <c r="C6" s="83">
        <v>7.3499999999999988</v>
      </c>
      <c r="D6" s="29" t="s">
        <v>11</v>
      </c>
      <c r="E6" s="85"/>
      <c r="F6" s="86">
        <f>IF(E6="inc",0,IF(C6="",0,C6*E6))</f>
        <v>0</v>
      </c>
      <c r="G6" s="208"/>
      <c r="H6" s="30"/>
      <c r="I6" s="30"/>
      <c r="J6" s="30"/>
      <c r="K6" s="30"/>
      <c r="L6" s="30"/>
      <c r="M6" s="87"/>
      <c r="N6" s="88"/>
      <c r="O6" s="25"/>
      <c r="P6" s="25"/>
      <c r="Q6" s="25"/>
      <c r="R6" s="25"/>
      <c r="S6" s="25"/>
    </row>
    <row r="7" spans="1:19" s="94" customFormat="1" ht="15.75" x14ac:dyDescent="0.25">
      <c r="A7" s="24"/>
      <c r="B7" s="24" t="s">
        <v>202</v>
      </c>
      <c r="C7" s="32">
        <v>7.3499999999999988</v>
      </c>
      <c r="D7" s="32" t="s">
        <v>11</v>
      </c>
      <c r="E7" s="26"/>
      <c r="F7" s="33"/>
      <c r="G7" s="210"/>
      <c r="H7" s="26"/>
      <c r="I7" s="26"/>
      <c r="J7" s="26"/>
      <c r="K7" s="26"/>
      <c r="L7" s="26"/>
      <c r="M7" s="34"/>
      <c r="N7" s="32"/>
      <c r="O7" s="44"/>
    </row>
    <row r="8" spans="1:19" s="94" customFormat="1" ht="15.75" x14ac:dyDescent="0.25">
      <c r="A8" s="24"/>
      <c r="B8" s="24"/>
      <c r="C8" s="32" t="s">
        <v>2346</v>
      </c>
      <c r="D8" s="32">
        <v>0</v>
      </c>
      <c r="E8" s="26"/>
      <c r="F8" s="33"/>
      <c r="G8" s="210"/>
      <c r="H8" s="26"/>
      <c r="I8" s="26"/>
      <c r="J8" s="26"/>
      <c r="K8" s="26"/>
      <c r="L8" s="26"/>
      <c r="M8" s="34"/>
      <c r="N8" s="32"/>
      <c r="O8" s="44"/>
    </row>
    <row r="9" spans="1:19" s="90" customFormat="1" ht="18.75" x14ac:dyDescent="0.25">
      <c r="A9" s="82">
        <f ca="1">IF(C9&gt;0,MAX($A$1:OFFSET(A9,-1,0))+0.01,"")</f>
        <v>3.0299999999999994</v>
      </c>
      <c r="B9" s="27" t="s">
        <v>201</v>
      </c>
      <c r="C9" s="83">
        <v>1</v>
      </c>
      <c r="D9" s="29" t="s">
        <v>24</v>
      </c>
      <c r="E9" s="85"/>
      <c r="F9" s="86">
        <f>IF(E9="inc",0,IF(C9="",0,C9*E9))</f>
        <v>0</v>
      </c>
      <c r="G9" s="208"/>
      <c r="H9" s="30"/>
      <c r="I9" s="30"/>
      <c r="J9" s="30"/>
      <c r="K9" s="30"/>
      <c r="L9" s="30"/>
      <c r="M9" s="87"/>
      <c r="N9" s="88"/>
      <c r="O9" s="25"/>
      <c r="P9" s="25"/>
      <c r="Q9" s="25"/>
      <c r="R9" s="25"/>
      <c r="S9" s="25"/>
    </row>
    <row r="10" spans="1:19" s="94" customFormat="1" ht="15.75" x14ac:dyDescent="0.25">
      <c r="A10" s="112" t="str">
        <f>IF(C10="","d","")</f>
        <v/>
      </c>
      <c r="B10" s="24" t="s">
        <v>203</v>
      </c>
      <c r="C10" s="32">
        <v>6</v>
      </c>
      <c r="D10" s="32" t="s">
        <v>15</v>
      </c>
      <c r="E10" s="26"/>
      <c r="F10" s="33"/>
      <c r="G10" s="210"/>
      <c r="H10" s="26"/>
      <c r="I10" s="26"/>
      <c r="J10" s="26"/>
      <c r="K10" s="26"/>
      <c r="L10" s="26"/>
      <c r="M10" s="34"/>
      <c r="N10" s="32"/>
      <c r="O10" s="44"/>
    </row>
    <row r="11" spans="1:19" s="94" customFormat="1" ht="15.75" x14ac:dyDescent="0.25">
      <c r="A11" s="24"/>
      <c r="B11" s="24"/>
      <c r="C11" s="32" t="s">
        <v>2346</v>
      </c>
      <c r="D11" s="32">
        <v>0</v>
      </c>
      <c r="E11" s="26"/>
      <c r="F11" s="33"/>
      <c r="G11" s="210"/>
      <c r="H11" s="26"/>
      <c r="I11" s="26"/>
      <c r="J11" s="26"/>
      <c r="K11" s="26"/>
      <c r="L11" s="26"/>
      <c r="M11" s="34"/>
      <c r="N11" s="32"/>
      <c r="O11" s="44"/>
    </row>
    <row r="12" spans="1:19" s="90" customFormat="1" ht="21.75" customHeight="1" x14ac:dyDescent="0.25">
      <c r="A12" s="82">
        <f ca="1">IF(C12&gt;0,MAX($A$1:OFFSET(A12,-1,0))+0.01,"")</f>
        <v>3.0399999999999991</v>
      </c>
      <c r="B12" s="27" t="s">
        <v>358</v>
      </c>
      <c r="C12" s="98">
        <v>7.03</v>
      </c>
      <c r="D12" s="29" t="s">
        <v>15</v>
      </c>
      <c r="E12" s="85"/>
      <c r="F12" s="86">
        <f>IF(E12="inc",0,IF(C12="",0,C12*E12))</f>
        <v>0</v>
      </c>
      <c r="G12" s="208"/>
      <c r="H12" s="30"/>
      <c r="I12" s="30"/>
      <c r="J12" s="30"/>
      <c r="K12" s="30"/>
      <c r="L12" s="30"/>
      <c r="M12" s="87"/>
      <c r="N12" s="88"/>
      <c r="O12" s="25"/>
      <c r="P12" s="25"/>
      <c r="Q12" s="25"/>
      <c r="R12" s="25"/>
      <c r="S12" s="25"/>
    </row>
    <row r="13" spans="1:19" s="94" customFormat="1" ht="15.75" x14ac:dyDescent="0.25">
      <c r="A13" s="24"/>
      <c r="B13" s="24"/>
      <c r="C13" s="32">
        <v>7.03</v>
      </c>
      <c r="D13" s="32" t="s">
        <v>15</v>
      </c>
      <c r="E13" s="26"/>
      <c r="F13" s="33"/>
      <c r="G13" s="210"/>
      <c r="H13" s="26"/>
      <c r="I13" s="26"/>
      <c r="J13" s="26"/>
      <c r="K13" s="26"/>
      <c r="L13" s="26"/>
      <c r="M13" s="34"/>
      <c r="N13" s="32"/>
      <c r="O13" s="44"/>
    </row>
    <row r="14" spans="1:19" s="94" customFormat="1" ht="15.75" x14ac:dyDescent="0.25">
      <c r="A14" s="24"/>
      <c r="B14" s="24"/>
      <c r="C14" s="32" t="s">
        <v>2346</v>
      </c>
      <c r="D14" s="32">
        <v>0</v>
      </c>
      <c r="E14" s="26"/>
      <c r="F14" s="33"/>
      <c r="G14" s="210"/>
      <c r="H14" s="26"/>
      <c r="I14" s="26"/>
      <c r="J14" s="26"/>
      <c r="K14" s="26"/>
      <c r="L14" s="26"/>
      <c r="M14" s="34"/>
      <c r="N14" s="32"/>
      <c r="O14" s="44"/>
    </row>
    <row r="15" spans="1:19" s="90" customFormat="1" ht="18.75" x14ac:dyDescent="0.25">
      <c r="A15" s="82">
        <f ca="1">IF(C15&gt;0,MAX($A$1:OFFSET(A15,-1,0))+0.01,"")</f>
        <v>3.0499999999999989</v>
      </c>
      <c r="B15" s="27" t="s">
        <v>359</v>
      </c>
      <c r="C15" s="98">
        <v>51.41</v>
      </c>
      <c r="D15" s="29" t="s">
        <v>15</v>
      </c>
      <c r="E15" s="85"/>
      <c r="F15" s="86">
        <f>IF(E15="inc",0,IF(C15="",0,C15*E15))</f>
        <v>0</v>
      </c>
      <c r="G15" s="208"/>
      <c r="H15" s="30"/>
      <c r="I15" s="30"/>
      <c r="J15" s="30"/>
      <c r="K15" s="30"/>
      <c r="L15" s="30"/>
      <c r="M15" s="87"/>
      <c r="N15" s="88"/>
      <c r="O15" s="25"/>
      <c r="P15" s="25"/>
      <c r="Q15" s="25"/>
      <c r="R15" s="25"/>
      <c r="S15" s="25"/>
    </row>
    <row r="16" spans="1:19" s="94" customFormat="1" ht="15.75" x14ac:dyDescent="0.25">
      <c r="A16" s="24"/>
      <c r="B16" s="24" t="s">
        <v>359</v>
      </c>
      <c r="C16" s="32">
        <v>51.41</v>
      </c>
      <c r="D16" s="32" t="s">
        <v>15</v>
      </c>
      <c r="E16" s="26"/>
      <c r="F16" s="33"/>
      <c r="G16" s="210"/>
      <c r="H16" s="26"/>
      <c r="I16" s="26"/>
      <c r="J16" s="26"/>
      <c r="K16" s="26"/>
      <c r="L16" s="26"/>
      <c r="M16" s="34"/>
      <c r="N16" s="32"/>
      <c r="O16" s="44"/>
    </row>
    <row r="17" spans="1:19" s="94" customFormat="1" ht="15.75" x14ac:dyDescent="0.25">
      <c r="A17" s="24"/>
      <c r="B17" s="24"/>
      <c r="C17" s="32" t="s">
        <v>2346</v>
      </c>
      <c r="D17" s="32">
        <v>0</v>
      </c>
      <c r="E17" s="26"/>
      <c r="F17" s="33"/>
      <c r="G17" s="210"/>
      <c r="H17" s="26"/>
      <c r="I17" s="26"/>
      <c r="J17" s="26"/>
      <c r="K17" s="26"/>
      <c r="L17" s="26"/>
      <c r="M17" s="34"/>
      <c r="N17" s="32"/>
      <c r="O17" s="44"/>
    </row>
    <row r="18" spans="1:19" s="90" customFormat="1" ht="18.75" x14ac:dyDescent="0.25">
      <c r="A18" s="82">
        <f ca="1">IF(C18&gt;0,MAX($A$1:OFFSET(A18,-1,0))+0.01,"")</f>
        <v>3.0599999999999987</v>
      </c>
      <c r="B18" s="27" t="s">
        <v>360</v>
      </c>
      <c r="C18" s="98">
        <v>263.89</v>
      </c>
      <c r="D18" s="29" t="s">
        <v>11</v>
      </c>
      <c r="E18" s="85"/>
      <c r="F18" s="86">
        <f>IF(E18="inc",0,IF(C18="",0,C18*E18))</f>
        <v>0</v>
      </c>
      <c r="G18" s="208"/>
      <c r="H18" s="30"/>
      <c r="I18" s="30"/>
      <c r="J18" s="30"/>
      <c r="K18" s="30"/>
      <c r="L18" s="30"/>
      <c r="M18" s="87"/>
      <c r="N18" s="88"/>
      <c r="O18" s="25"/>
      <c r="P18" s="25"/>
      <c r="Q18" s="25"/>
      <c r="R18" s="25"/>
      <c r="S18" s="25"/>
    </row>
    <row r="19" spans="1:19" s="94" customFormat="1" ht="15.75" x14ac:dyDescent="0.25">
      <c r="A19" s="24"/>
      <c r="B19" s="24" t="s">
        <v>355</v>
      </c>
      <c r="C19" s="32">
        <v>209.66</v>
      </c>
      <c r="D19" s="32" t="s">
        <v>11</v>
      </c>
      <c r="E19" s="26"/>
      <c r="F19" s="33"/>
      <c r="G19" s="210"/>
      <c r="H19" s="26"/>
      <c r="I19" s="26"/>
      <c r="J19" s="26"/>
      <c r="K19" s="26"/>
      <c r="L19" s="26"/>
      <c r="M19" s="34"/>
      <c r="N19" s="32"/>
      <c r="O19" s="44"/>
    </row>
    <row r="20" spans="1:19" s="94" customFormat="1" ht="15.75" x14ac:dyDescent="0.25">
      <c r="A20" s="24"/>
      <c r="B20" s="24" t="s">
        <v>356</v>
      </c>
      <c r="C20" s="32">
        <v>54.23</v>
      </c>
      <c r="D20" s="32" t="s">
        <v>11</v>
      </c>
      <c r="E20" s="26"/>
      <c r="F20" s="33"/>
      <c r="G20" s="210"/>
      <c r="H20" s="26"/>
      <c r="I20" s="26"/>
      <c r="J20" s="26"/>
      <c r="K20" s="26"/>
      <c r="L20" s="26"/>
      <c r="M20" s="34"/>
      <c r="N20" s="32"/>
      <c r="O20" s="44"/>
    </row>
    <row r="21" spans="1:19" s="94" customFormat="1" ht="15.75" x14ac:dyDescent="0.25">
      <c r="A21" s="24"/>
      <c r="B21" s="24" t="s">
        <v>357</v>
      </c>
      <c r="C21" s="32">
        <v>263.89</v>
      </c>
      <c r="D21" s="32" t="s">
        <v>11</v>
      </c>
      <c r="E21" s="26"/>
      <c r="F21" s="33"/>
      <c r="G21" s="210"/>
      <c r="H21" s="26"/>
      <c r="I21" s="26"/>
      <c r="J21" s="26"/>
      <c r="K21" s="26"/>
      <c r="L21" s="26"/>
      <c r="M21" s="34"/>
      <c r="N21" s="32"/>
      <c r="O21" s="44"/>
    </row>
    <row r="22" spans="1:19" s="94" customFormat="1" ht="15.75" x14ac:dyDescent="0.25">
      <c r="A22" s="24"/>
      <c r="B22" s="24"/>
      <c r="C22" s="32" t="s">
        <v>2346</v>
      </c>
      <c r="D22" s="32">
        <v>0</v>
      </c>
      <c r="E22" s="26"/>
      <c r="F22" s="33"/>
      <c r="G22" s="210"/>
      <c r="H22" s="26"/>
      <c r="I22" s="26"/>
      <c r="J22" s="26"/>
      <c r="K22" s="26"/>
      <c r="L22" s="26"/>
      <c r="M22" s="34"/>
      <c r="N22" s="32"/>
      <c r="O22" s="44"/>
    </row>
    <row r="23" spans="1:19" s="90" customFormat="1" ht="18.75" x14ac:dyDescent="0.25">
      <c r="A23" s="82">
        <f ca="1">IF(C23&gt;0,MAX($A$1:OFFSET(A23,-1,0))+0.01,"")</f>
        <v>3.0699999999999985</v>
      </c>
      <c r="B23" s="27" t="s">
        <v>361</v>
      </c>
      <c r="C23" s="98">
        <v>75</v>
      </c>
      <c r="D23" s="29" t="s">
        <v>15</v>
      </c>
      <c r="E23" s="85"/>
      <c r="F23" s="86">
        <f>IF(E23="inc",0,IF(C23="",0,C23*E23))</f>
        <v>0</v>
      </c>
      <c r="G23" s="208"/>
      <c r="H23" s="30"/>
      <c r="I23" s="30"/>
      <c r="J23" s="30"/>
      <c r="K23" s="30"/>
      <c r="L23" s="30"/>
      <c r="M23" s="87"/>
      <c r="N23" s="88"/>
      <c r="O23" s="25"/>
      <c r="P23" s="25"/>
      <c r="Q23" s="25"/>
      <c r="R23" s="25"/>
      <c r="S23" s="25"/>
    </row>
    <row r="24" spans="1:19" s="94" customFormat="1" ht="15.75" x14ac:dyDescent="0.25">
      <c r="A24" s="24"/>
      <c r="B24" s="24" t="s">
        <v>146</v>
      </c>
      <c r="C24" s="32">
        <v>52.86</v>
      </c>
      <c r="D24" s="32" t="s">
        <v>15</v>
      </c>
      <c r="E24" s="26"/>
      <c r="F24" s="33"/>
      <c r="G24" s="210"/>
      <c r="H24" s="26"/>
      <c r="I24" s="26"/>
      <c r="J24" s="26"/>
      <c r="K24" s="26"/>
      <c r="L24" s="26"/>
      <c r="M24" s="34"/>
      <c r="N24" s="32"/>
      <c r="O24" s="44"/>
    </row>
    <row r="25" spans="1:19" s="94" customFormat="1" ht="15.75" x14ac:dyDescent="0.25">
      <c r="A25" s="24"/>
      <c r="B25" s="24" t="s">
        <v>362</v>
      </c>
      <c r="C25" s="32">
        <v>22.14</v>
      </c>
      <c r="D25" s="32" t="s">
        <v>15</v>
      </c>
      <c r="E25" s="26"/>
      <c r="F25" s="33"/>
      <c r="G25" s="210"/>
      <c r="H25" s="26"/>
      <c r="I25" s="26"/>
      <c r="J25" s="26"/>
      <c r="K25" s="26"/>
      <c r="L25" s="26"/>
      <c r="M25" s="34"/>
      <c r="N25" s="32"/>
      <c r="O25" s="44"/>
    </row>
    <row r="26" spans="1:19" s="94" customFormat="1" ht="15.75" x14ac:dyDescent="0.25">
      <c r="A26" s="24"/>
      <c r="B26" s="24"/>
      <c r="C26" s="32" t="s">
        <v>2346</v>
      </c>
      <c r="D26" s="32">
        <v>0</v>
      </c>
      <c r="E26" s="26"/>
      <c r="F26" s="33"/>
      <c r="G26" s="210"/>
      <c r="H26" s="26"/>
      <c r="I26" s="26"/>
      <c r="J26" s="26"/>
      <c r="K26" s="26"/>
      <c r="L26" s="26"/>
      <c r="M26" s="34"/>
      <c r="N26" s="32"/>
      <c r="O26" s="44"/>
    </row>
    <row r="27" spans="1:19" s="90" customFormat="1" ht="39.950000000000003" customHeight="1" x14ac:dyDescent="0.25">
      <c r="A27" s="82">
        <f ca="1">IF(C27&gt;0,MAX($A$1:OFFSET(A27,-1,0))+0.01,"")</f>
        <v>3.0799999999999983</v>
      </c>
      <c r="B27" s="27" t="s">
        <v>669</v>
      </c>
      <c r="C27" s="97">
        <v>79.55</v>
      </c>
      <c r="D27" s="29" t="s">
        <v>11</v>
      </c>
      <c r="E27" s="85"/>
      <c r="F27" s="86">
        <f>IF(E27="inc",0,IF(C27="",0,C27*E27))</f>
        <v>0</v>
      </c>
      <c r="G27" s="208"/>
      <c r="H27" s="30"/>
      <c r="I27" s="30"/>
      <c r="J27" s="30"/>
      <c r="K27" s="30"/>
      <c r="L27" s="30"/>
      <c r="M27" s="87"/>
      <c r="N27" s="88"/>
      <c r="O27" s="25"/>
      <c r="P27" s="25"/>
      <c r="Q27" s="25"/>
      <c r="R27" s="25"/>
      <c r="S27" s="25"/>
    </row>
    <row r="28" spans="1:19" s="94" customFormat="1" ht="15.75" x14ac:dyDescent="0.25">
      <c r="A28" s="24"/>
      <c r="B28" s="24"/>
      <c r="C28" s="32">
        <v>79.55</v>
      </c>
      <c r="D28" s="32" t="s">
        <v>11</v>
      </c>
      <c r="E28" s="26"/>
      <c r="F28" s="33"/>
      <c r="G28" s="210"/>
      <c r="H28" s="26"/>
      <c r="I28" s="26"/>
      <c r="J28" s="26"/>
      <c r="K28" s="26"/>
      <c r="L28" s="26"/>
      <c r="M28" s="34"/>
      <c r="N28" s="32"/>
      <c r="O28" s="44"/>
    </row>
    <row r="29" spans="1:19" s="94" customFormat="1" ht="15.75" x14ac:dyDescent="0.25">
      <c r="A29" s="24"/>
      <c r="B29" s="24"/>
      <c r="C29" s="32" t="s">
        <v>2346</v>
      </c>
      <c r="D29" s="32">
        <v>0</v>
      </c>
      <c r="E29" s="26"/>
      <c r="F29" s="33"/>
      <c r="G29" s="210"/>
      <c r="H29" s="26"/>
      <c r="I29" s="26"/>
      <c r="J29" s="26"/>
      <c r="K29" s="26"/>
      <c r="L29" s="26"/>
      <c r="M29" s="34"/>
      <c r="N29" s="32"/>
      <c r="O29" s="44"/>
    </row>
    <row r="30" spans="1:19" s="90" customFormat="1" ht="18.75" x14ac:dyDescent="0.25">
      <c r="A30" s="82">
        <f ca="1">IF(C30&gt;0,MAX($A$1:OFFSET(A30,-1,0))+0.01,"")</f>
        <v>3.0899999999999981</v>
      </c>
      <c r="B30" s="27" t="s">
        <v>354</v>
      </c>
      <c r="C30" s="97">
        <v>226.64</v>
      </c>
      <c r="D30" s="29" t="s">
        <v>11</v>
      </c>
      <c r="E30" s="85"/>
      <c r="F30" s="86">
        <f>IF(E30="inc",0,IF(C30="",0,C30*E30))</f>
        <v>0</v>
      </c>
      <c r="G30" s="208"/>
      <c r="H30" s="30"/>
      <c r="I30" s="30"/>
      <c r="J30" s="30"/>
      <c r="K30" s="30"/>
      <c r="L30" s="30"/>
      <c r="M30" s="87"/>
      <c r="N30" s="88"/>
      <c r="O30" s="25"/>
      <c r="P30" s="25"/>
      <c r="Q30" s="25"/>
      <c r="R30" s="25"/>
      <c r="S30" s="25"/>
    </row>
    <row r="31" spans="1:19" s="94" customFormat="1" ht="15.75" x14ac:dyDescent="0.25">
      <c r="A31" s="24"/>
      <c r="B31" s="24" t="s">
        <v>355</v>
      </c>
      <c r="C31" s="32">
        <v>226.64</v>
      </c>
      <c r="D31" s="32" t="s">
        <v>11</v>
      </c>
      <c r="E31" s="26"/>
      <c r="F31" s="33"/>
      <c r="G31" s="210"/>
      <c r="H31" s="26"/>
      <c r="I31" s="26"/>
      <c r="J31" s="26"/>
      <c r="K31" s="26"/>
      <c r="L31" s="26"/>
      <c r="M31" s="34"/>
      <c r="N31" s="32"/>
      <c r="O31" s="44"/>
    </row>
    <row r="32" spans="1:19" s="94" customFormat="1" ht="15.75" x14ac:dyDescent="0.25">
      <c r="A32" s="24"/>
      <c r="B32" s="24" t="s">
        <v>357</v>
      </c>
      <c r="C32" s="32">
        <v>226.64</v>
      </c>
      <c r="D32" s="32" t="s">
        <v>11</v>
      </c>
      <c r="E32" s="26"/>
      <c r="F32" s="33"/>
      <c r="G32" s="210"/>
      <c r="H32" s="26"/>
      <c r="I32" s="26"/>
      <c r="J32" s="26"/>
      <c r="K32" s="26"/>
      <c r="L32" s="26"/>
      <c r="M32" s="34"/>
      <c r="N32" s="32"/>
      <c r="O32" s="44"/>
    </row>
    <row r="33" spans="1:19" s="94" customFormat="1" ht="15.75" x14ac:dyDescent="0.25">
      <c r="A33" s="24"/>
      <c r="B33" s="24"/>
      <c r="C33" s="32" t="s">
        <v>2346</v>
      </c>
      <c r="D33" s="32">
        <v>0</v>
      </c>
      <c r="E33" s="26"/>
      <c r="F33" s="33"/>
      <c r="G33" s="210"/>
      <c r="H33" s="26"/>
      <c r="I33" s="26"/>
      <c r="J33" s="26"/>
      <c r="K33" s="26"/>
      <c r="L33" s="26"/>
      <c r="M33" s="34"/>
      <c r="N33" s="32"/>
      <c r="O33" s="44"/>
    </row>
    <row r="34" spans="1:19" s="90" customFormat="1" ht="18.75" x14ac:dyDescent="0.25">
      <c r="A34" s="82">
        <f ca="1">IF(C34&gt;0,MAX($A$1:OFFSET(A34,-1,0))+0.01,"")</f>
        <v>3.0999999999999979</v>
      </c>
      <c r="B34" s="27" t="s">
        <v>204</v>
      </c>
      <c r="C34" s="97">
        <v>11</v>
      </c>
      <c r="D34" s="29" t="s">
        <v>5</v>
      </c>
      <c r="E34" s="85"/>
      <c r="F34" s="86">
        <f>IF(E34="inc",0,IF(C34="",0,C34*E34))</f>
        <v>0</v>
      </c>
      <c r="G34" s="208"/>
      <c r="H34" s="30"/>
      <c r="I34" s="30"/>
      <c r="J34" s="30"/>
      <c r="K34" s="30"/>
      <c r="L34" s="30"/>
      <c r="M34" s="87"/>
      <c r="N34" s="88"/>
      <c r="O34" s="25"/>
      <c r="P34" s="25"/>
      <c r="Q34" s="25"/>
      <c r="R34" s="25"/>
      <c r="S34" s="25"/>
    </row>
    <row r="35" spans="1:19" s="94" customFormat="1" ht="15.75" x14ac:dyDescent="0.25">
      <c r="A35" s="24"/>
      <c r="B35" s="24" t="s">
        <v>205</v>
      </c>
      <c r="C35" s="32">
        <v>2</v>
      </c>
      <c r="D35" s="32" t="s">
        <v>5</v>
      </c>
      <c r="E35" s="26"/>
      <c r="F35" s="33"/>
      <c r="G35" s="210"/>
      <c r="H35" s="26"/>
      <c r="I35" s="26"/>
      <c r="J35" s="26"/>
      <c r="K35" s="26"/>
      <c r="L35" s="26"/>
      <c r="M35" s="34"/>
      <c r="N35" s="32"/>
      <c r="O35" s="44"/>
    </row>
    <row r="36" spans="1:19" s="94" customFormat="1" ht="15.75" x14ac:dyDescent="0.25">
      <c r="A36" s="24"/>
      <c r="B36" s="24" t="s">
        <v>206</v>
      </c>
      <c r="C36" s="32">
        <v>9</v>
      </c>
      <c r="D36" s="32" t="s">
        <v>5</v>
      </c>
      <c r="E36" s="26"/>
      <c r="F36" s="33"/>
      <c r="G36" s="210"/>
      <c r="H36" s="26"/>
      <c r="I36" s="26"/>
      <c r="J36" s="26"/>
      <c r="K36" s="26"/>
      <c r="L36" s="26"/>
      <c r="M36" s="34"/>
      <c r="N36" s="32"/>
      <c r="O36" s="44"/>
    </row>
    <row r="37" spans="1:19" s="94" customFormat="1" ht="15.75" x14ac:dyDescent="0.25">
      <c r="A37" s="24"/>
      <c r="B37" s="24"/>
      <c r="C37" s="32" t="s">
        <v>2346</v>
      </c>
      <c r="D37" s="32">
        <v>0</v>
      </c>
      <c r="E37" s="26"/>
      <c r="F37" s="33"/>
      <c r="G37" s="210"/>
      <c r="H37" s="26"/>
      <c r="I37" s="26"/>
      <c r="J37" s="26"/>
      <c r="K37" s="26"/>
      <c r="L37" s="26"/>
      <c r="M37" s="34"/>
      <c r="N37" s="32"/>
      <c r="O37" s="44"/>
    </row>
    <row r="38" spans="1:19" s="90" customFormat="1" ht="18.75" x14ac:dyDescent="0.25">
      <c r="A38" s="82">
        <f ca="1">IF(C38&gt;0,MAX($A$1:OFFSET(A38,-1,0))+0.01,"")</f>
        <v>3.1099999999999977</v>
      </c>
      <c r="B38" s="27" t="s">
        <v>207</v>
      </c>
      <c r="C38" s="97">
        <v>8</v>
      </c>
      <c r="D38" s="29" t="s">
        <v>5</v>
      </c>
      <c r="E38" s="85"/>
      <c r="F38" s="86">
        <f>IF(E38="inc",0,IF(C38="",0,C38*E38))</f>
        <v>0</v>
      </c>
      <c r="G38" s="208"/>
      <c r="H38" s="30"/>
      <c r="I38" s="30"/>
      <c r="J38" s="30"/>
      <c r="K38" s="30"/>
      <c r="L38" s="30"/>
      <c r="M38" s="87"/>
      <c r="N38" s="88"/>
      <c r="O38" s="25"/>
      <c r="P38" s="25"/>
      <c r="Q38" s="25"/>
      <c r="R38" s="25"/>
      <c r="S38" s="25"/>
    </row>
    <row r="39" spans="1:19" s="94" customFormat="1" ht="15.75" x14ac:dyDescent="0.25">
      <c r="A39" s="112" t="str">
        <f>IF(C39="","d","")</f>
        <v/>
      </c>
      <c r="B39" s="24" t="s">
        <v>208</v>
      </c>
      <c r="C39" s="32">
        <v>8</v>
      </c>
      <c r="D39" s="32" t="s">
        <v>5</v>
      </c>
      <c r="E39" s="26"/>
      <c r="F39" s="33"/>
      <c r="G39" s="210"/>
      <c r="H39" s="26"/>
      <c r="I39" s="26"/>
      <c r="J39" s="26"/>
      <c r="K39" s="26"/>
      <c r="L39" s="26"/>
      <c r="M39" s="34"/>
      <c r="N39" s="32"/>
      <c r="O39" s="44"/>
    </row>
    <row r="40" spans="1:19" s="94" customFormat="1" ht="15.75" x14ac:dyDescent="0.25">
      <c r="A40" s="24"/>
      <c r="B40" s="24"/>
      <c r="C40" s="32" t="s">
        <v>2346</v>
      </c>
      <c r="D40" s="32">
        <v>0</v>
      </c>
      <c r="E40" s="26"/>
      <c r="F40" s="33"/>
      <c r="G40" s="210"/>
      <c r="H40" s="26"/>
      <c r="I40" s="26"/>
      <c r="J40" s="26"/>
      <c r="K40" s="26"/>
      <c r="L40" s="26"/>
      <c r="M40" s="34"/>
      <c r="N40" s="32"/>
      <c r="O40" s="44"/>
    </row>
    <row r="41" spans="1:19" s="90" customFormat="1" ht="18.75" x14ac:dyDescent="0.25">
      <c r="A41" s="82">
        <f ca="1">IF(C41&gt;0,MAX($A$1:OFFSET(A41,-1,0))+0.01,"")</f>
        <v>3.1199999999999974</v>
      </c>
      <c r="B41" s="27" t="s">
        <v>242</v>
      </c>
      <c r="C41" s="97">
        <v>1</v>
      </c>
      <c r="D41" s="29" t="s">
        <v>24</v>
      </c>
      <c r="E41" s="85"/>
      <c r="F41" s="86">
        <f>IF(E41="inc",0,IF(C41="",0,C41*E41))</f>
        <v>0</v>
      </c>
      <c r="G41" s="208"/>
      <c r="H41" s="30"/>
      <c r="I41" s="30"/>
      <c r="J41" s="30"/>
      <c r="K41" s="30"/>
      <c r="L41" s="30"/>
      <c r="M41" s="87"/>
      <c r="N41" s="88"/>
      <c r="O41" s="25"/>
      <c r="P41" s="25"/>
      <c r="Q41" s="25"/>
      <c r="R41" s="25"/>
      <c r="S41" s="25"/>
    </row>
    <row r="42" spans="1:19" s="94" customFormat="1" ht="15.75" x14ac:dyDescent="0.25">
      <c r="A42" s="24"/>
      <c r="B42" s="24" t="s">
        <v>243</v>
      </c>
      <c r="C42" s="32">
        <v>2.1139999999999999</v>
      </c>
      <c r="D42" s="32" t="s">
        <v>15</v>
      </c>
      <c r="E42" s="26"/>
      <c r="F42" s="33"/>
      <c r="G42" s="210"/>
      <c r="H42" s="26"/>
      <c r="I42" s="26"/>
      <c r="J42" s="26"/>
      <c r="K42" s="26"/>
      <c r="L42" s="26"/>
      <c r="M42" s="34"/>
      <c r="N42" s="32"/>
      <c r="O42" s="44"/>
    </row>
    <row r="43" spans="1:19" s="94" customFormat="1" ht="15.75" x14ac:dyDescent="0.25">
      <c r="A43" s="24"/>
      <c r="B43" s="24"/>
      <c r="C43" s="32" t="s">
        <v>2346</v>
      </c>
      <c r="D43" s="32">
        <v>0</v>
      </c>
      <c r="E43" s="26"/>
      <c r="F43" s="33"/>
      <c r="G43" s="210"/>
      <c r="H43" s="26"/>
      <c r="I43" s="26"/>
      <c r="J43" s="26"/>
      <c r="K43" s="26"/>
      <c r="L43" s="26"/>
      <c r="M43" s="34"/>
      <c r="N43" s="32"/>
      <c r="O43" s="44"/>
    </row>
    <row r="44" spans="1:19" s="90" customFormat="1" ht="18.75" x14ac:dyDescent="0.25">
      <c r="A44" s="82">
        <f ca="1">IF(C44&gt;0,MAX($A$1:OFFSET(A44,-1,0))+0.01,"")</f>
        <v>3.1299999999999972</v>
      </c>
      <c r="B44" s="27" t="s">
        <v>2404</v>
      </c>
      <c r="C44" s="98">
        <v>59.97</v>
      </c>
      <c r="D44" s="29" t="s">
        <v>15</v>
      </c>
      <c r="E44" s="85"/>
      <c r="F44" s="86">
        <f>IF(E44="inc",0,IF(C44="",0,C44*E44))</f>
        <v>0</v>
      </c>
      <c r="G44" s="208"/>
      <c r="H44" s="30"/>
      <c r="I44" s="30"/>
      <c r="J44" s="30"/>
      <c r="K44" s="30"/>
      <c r="L44" s="30"/>
      <c r="M44" s="87"/>
      <c r="N44" s="88"/>
      <c r="O44" s="25"/>
      <c r="P44" s="25"/>
      <c r="Q44" s="25"/>
      <c r="R44" s="25"/>
      <c r="S44" s="25"/>
    </row>
    <row r="45" spans="1:19" s="94" customFormat="1" ht="15.75" x14ac:dyDescent="0.25">
      <c r="A45" s="24"/>
      <c r="B45" s="24"/>
      <c r="C45" s="32">
        <v>59.97</v>
      </c>
      <c r="D45" s="32" t="s">
        <v>15</v>
      </c>
      <c r="E45" s="26"/>
      <c r="F45" s="33"/>
      <c r="G45" s="210"/>
      <c r="H45" s="26"/>
      <c r="I45" s="26"/>
      <c r="J45" s="26"/>
      <c r="K45" s="26"/>
      <c r="L45" s="26"/>
      <c r="M45" s="34"/>
      <c r="N45" s="32"/>
      <c r="O45" s="44"/>
    </row>
    <row r="46" spans="1:19" s="94" customFormat="1" ht="15.75" x14ac:dyDescent="0.25">
      <c r="A46" s="24"/>
      <c r="B46" s="24"/>
      <c r="C46" s="32" t="s">
        <v>2346</v>
      </c>
      <c r="D46" s="32">
        <v>0</v>
      </c>
      <c r="E46" s="26"/>
      <c r="F46" s="33"/>
      <c r="G46" s="210"/>
      <c r="H46" s="26"/>
      <c r="I46" s="26"/>
      <c r="J46" s="26"/>
      <c r="K46" s="26"/>
      <c r="L46" s="26"/>
      <c r="M46" s="34"/>
      <c r="N46" s="32"/>
      <c r="O46" s="44"/>
    </row>
    <row r="47" spans="1:19" s="90" customFormat="1" ht="18.75" x14ac:dyDescent="0.25">
      <c r="A47" s="82">
        <f ca="1">IF(C47&gt;0,MAX($A$1:OFFSET(A47,-1,0))+0.01,"")</f>
        <v>3.139999999999997</v>
      </c>
      <c r="B47" s="27" t="s">
        <v>2405</v>
      </c>
      <c r="C47" s="98">
        <v>52.65</v>
      </c>
      <c r="D47" s="29" t="s">
        <v>15</v>
      </c>
      <c r="E47" s="85"/>
      <c r="F47" s="86">
        <f>IF(E47="inc",0,IF(C47="",0,C47*E47))</f>
        <v>0</v>
      </c>
      <c r="G47" s="208"/>
      <c r="H47" s="30"/>
      <c r="I47" s="30"/>
      <c r="J47" s="30"/>
      <c r="K47" s="30"/>
      <c r="L47" s="30"/>
      <c r="M47" s="87"/>
      <c r="N47" s="88"/>
      <c r="O47" s="25"/>
      <c r="P47" s="25"/>
      <c r="Q47" s="25"/>
      <c r="R47" s="25"/>
      <c r="S47" s="25"/>
    </row>
    <row r="48" spans="1:19" s="94" customFormat="1" ht="15.75" x14ac:dyDescent="0.25">
      <c r="A48" s="24"/>
      <c r="B48" s="24"/>
      <c r="C48" s="32">
        <v>52.65</v>
      </c>
      <c r="D48" s="32" t="s">
        <v>15</v>
      </c>
      <c r="E48" s="26"/>
      <c r="F48" s="33"/>
      <c r="G48" s="210"/>
      <c r="H48" s="26"/>
      <c r="I48" s="26"/>
      <c r="J48" s="26"/>
      <c r="K48" s="26"/>
      <c r="L48" s="26"/>
      <c r="M48" s="34"/>
      <c r="N48" s="32"/>
      <c r="O48" s="44"/>
    </row>
    <row r="49" spans="1:19" s="94" customFormat="1" ht="15.75" x14ac:dyDescent="0.25">
      <c r="A49" s="24"/>
      <c r="B49" s="24"/>
      <c r="C49" s="32" t="s">
        <v>2346</v>
      </c>
      <c r="D49" s="32">
        <v>0</v>
      </c>
      <c r="E49" s="26"/>
      <c r="F49" s="33"/>
      <c r="G49" s="210"/>
      <c r="H49" s="26"/>
      <c r="I49" s="26"/>
      <c r="J49" s="26"/>
      <c r="K49" s="26"/>
      <c r="L49" s="26"/>
      <c r="M49" s="34"/>
      <c r="N49" s="32"/>
      <c r="O49" s="44"/>
    </row>
    <row r="50" spans="1:19" s="90" customFormat="1" ht="18.75" x14ac:dyDescent="0.25">
      <c r="A50" s="82">
        <f ca="1">IF(C50&gt;0,MAX($A$1:OFFSET(A50,-1,0))+0.01,"")</f>
        <v>3.1499999999999968</v>
      </c>
      <c r="B50" s="27" t="s">
        <v>2406</v>
      </c>
      <c r="C50" s="98">
        <v>12.07</v>
      </c>
      <c r="D50" s="29" t="s">
        <v>11</v>
      </c>
      <c r="E50" s="85"/>
      <c r="F50" s="86">
        <f>IF(E50="inc",0,IF(C50="",0,C50*E50))</f>
        <v>0</v>
      </c>
      <c r="G50" s="208"/>
      <c r="H50" s="30"/>
      <c r="I50" s="30"/>
      <c r="J50" s="30"/>
      <c r="K50" s="30"/>
      <c r="L50" s="30"/>
      <c r="M50" s="87"/>
      <c r="N50" s="88"/>
      <c r="O50" s="25"/>
      <c r="P50" s="25"/>
      <c r="Q50" s="25"/>
      <c r="R50" s="25"/>
      <c r="S50" s="25"/>
    </row>
    <row r="51" spans="1:19" s="94" customFormat="1" ht="15.75" x14ac:dyDescent="0.25">
      <c r="A51" s="24"/>
      <c r="B51" s="24"/>
      <c r="C51" s="32">
        <v>12.07</v>
      </c>
      <c r="D51" s="32" t="s">
        <v>11</v>
      </c>
      <c r="E51" s="26"/>
      <c r="F51" s="33"/>
      <c r="G51" s="210"/>
      <c r="H51" s="26"/>
      <c r="I51" s="26"/>
      <c r="J51" s="26"/>
      <c r="K51" s="26"/>
      <c r="L51" s="26"/>
      <c r="M51" s="34"/>
      <c r="N51" s="32"/>
      <c r="O51" s="44"/>
    </row>
    <row r="52" spans="1:19" s="94" customFormat="1" ht="15.75" x14ac:dyDescent="0.25">
      <c r="A52" s="24"/>
      <c r="B52" s="24"/>
      <c r="C52" s="32" t="s">
        <v>2346</v>
      </c>
      <c r="D52" s="32">
        <v>0</v>
      </c>
      <c r="E52" s="26"/>
      <c r="F52" s="33"/>
      <c r="G52" s="210"/>
      <c r="H52" s="26"/>
      <c r="I52" s="26"/>
      <c r="J52" s="26"/>
      <c r="K52" s="26"/>
      <c r="L52" s="26"/>
      <c r="M52" s="34"/>
      <c r="N52" s="32"/>
      <c r="O52" s="44"/>
    </row>
    <row r="53" spans="1:19" s="79" customFormat="1" ht="21.75" thickBot="1" x14ac:dyDescent="0.4">
      <c r="A53" s="99"/>
      <c r="B53" s="394" t="s">
        <v>4</v>
      </c>
      <c r="C53" s="395"/>
      <c r="D53" s="396"/>
      <c r="E53" s="100"/>
      <c r="F53" s="101">
        <f ca="1">SUM(F$2:OFFSET(F53,-1,0))</f>
        <v>0</v>
      </c>
      <c r="G53" s="210"/>
      <c r="H53" s="100"/>
      <c r="I53" s="100"/>
      <c r="J53" s="100"/>
      <c r="K53" s="100"/>
      <c r="L53" s="100"/>
      <c r="M53" s="102"/>
      <c r="N53" s="103"/>
    </row>
    <row r="54" spans="1:19" s="94" customFormat="1" ht="15.75" x14ac:dyDescent="0.25">
      <c r="A54" s="105"/>
      <c r="B54" s="25"/>
      <c r="C54" s="106"/>
      <c r="D54" s="32"/>
      <c r="E54" s="92"/>
      <c r="F54" s="107"/>
      <c r="G54" s="212"/>
      <c r="H54" s="25"/>
      <c r="I54" s="25"/>
      <c r="J54" s="25"/>
      <c r="K54" s="25"/>
      <c r="L54" s="25"/>
      <c r="M54" s="88"/>
      <c r="N54" s="88"/>
    </row>
    <row r="55" spans="1:19" x14ac:dyDescent="0.25">
      <c r="C55" s="106"/>
    </row>
    <row r="58" spans="1:19" x14ac:dyDescent="0.25">
      <c r="F58" s="108" t="e">
        <f ca="1">F53-#REF!</f>
        <v>#REF!</v>
      </c>
    </row>
    <row r="68" spans="1:19" s="110" customFormat="1" x14ac:dyDescent="0.25">
      <c r="A68" s="25"/>
      <c r="B68" s="25"/>
      <c r="D68" s="36"/>
      <c r="E68" s="25"/>
      <c r="F68" s="108"/>
      <c r="G68" s="212"/>
      <c r="H68" s="25"/>
      <c r="I68" s="25"/>
      <c r="J68" s="25"/>
      <c r="K68" s="25"/>
      <c r="L68" s="25"/>
      <c r="M68" s="88"/>
      <c r="N68" s="88"/>
      <c r="O68" s="25"/>
      <c r="P68" s="25"/>
      <c r="Q68" s="25"/>
      <c r="R68" s="25"/>
      <c r="S68" s="25"/>
    </row>
    <row r="69" spans="1:19" s="110" customFormat="1" x14ac:dyDescent="0.25">
      <c r="A69" s="25"/>
      <c r="B69" s="25"/>
      <c r="D69" s="36"/>
      <c r="E69" s="25"/>
      <c r="F69" s="108"/>
      <c r="G69" s="212"/>
      <c r="H69" s="25"/>
      <c r="I69" s="25"/>
      <c r="J69" s="25"/>
      <c r="K69" s="25"/>
      <c r="L69" s="25"/>
      <c r="M69" s="88"/>
      <c r="N69" s="88"/>
      <c r="O69" s="25"/>
      <c r="P69" s="25"/>
      <c r="Q69" s="25"/>
      <c r="R69" s="25"/>
      <c r="S69" s="25"/>
    </row>
    <row r="70" spans="1:19" s="110" customFormat="1" x14ac:dyDescent="0.25">
      <c r="A70" s="25"/>
      <c r="B70" s="25"/>
      <c r="D70" s="36"/>
      <c r="E70" s="25"/>
      <c r="F70" s="108"/>
      <c r="G70" s="212"/>
      <c r="H70" s="25"/>
      <c r="I70" s="25"/>
      <c r="J70" s="25"/>
      <c r="K70" s="25"/>
      <c r="L70" s="25"/>
      <c r="M70" s="88"/>
      <c r="N70" s="88"/>
      <c r="O70" s="25"/>
      <c r="P70" s="25"/>
      <c r="Q70" s="25"/>
      <c r="R70" s="25"/>
      <c r="S70" s="25"/>
    </row>
    <row r="71" spans="1:19" s="110" customFormat="1" x14ac:dyDescent="0.25">
      <c r="A71" s="25"/>
      <c r="B71" s="25"/>
      <c r="D71" s="36"/>
      <c r="E71" s="25"/>
      <c r="F71" s="108"/>
      <c r="G71" s="212"/>
      <c r="H71" s="25"/>
      <c r="I71" s="25"/>
      <c r="J71" s="25"/>
      <c r="K71" s="25"/>
      <c r="L71" s="25"/>
      <c r="M71" s="88"/>
      <c r="N71" s="88"/>
      <c r="O71" s="25"/>
      <c r="P71" s="25"/>
      <c r="Q71" s="25"/>
      <c r="R71" s="25"/>
      <c r="S71" s="25"/>
    </row>
    <row r="72" spans="1:19" s="110" customFormat="1" x14ac:dyDescent="0.25">
      <c r="A72" s="25"/>
      <c r="B72" s="25"/>
      <c r="D72" s="36"/>
      <c r="E72" s="25"/>
      <c r="F72" s="108"/>
      <c r="G72" s="212"/>
      <c r="H72" s="25"/>
      <c r="I72" s="25"/>
      <c r="J72" s="25"/>
      <c r="K72" s="25"/>
      <c r="L72" s="25"/>
      <c r="M72" s="88"/>
      <c r="N72" s="88"/>
      <c r="O72" s="25"/>
      <c r="P72" s="25"/>
      <c r="Q72" s="25"/>
      <c r="R72" s="25"/>
      <c r="S72" s="25"/>
    </row>
    <row r="73" spans="1:19" s="110" customFormat="1" x14ac:dyDescent="0.25">
      <c r="A73" s="25"/>
      <c r="B73" s="25"/>
      <c r="D73" s="36"/>
      <c r="E73" s="25"/>
      <c r="F73" s="108"/>
      <c r="G73" s="212"/>
      <c r="H73" s="25"/>
      <c r="I73" s="25"/>
      <c r="J73" s="25"/>
      <c r="K73" s="25"/>
      <c r="L73" s="25"/>
      <c r="M73" s="88"/>
      <c r="N73" s="88"/>
      <c r="O73" s="25"/>
      <c r="P73" s="25"/>
      <c r="Q73" s="25"/>
      <c r="R73" s="25"/>
      <c r="S73" s="25"/>
    </row>
    <row r="74" spans="1:19" s="110" customFormat="1" x14ac:dyDescent="0.25">
      <c r="A74" s="25"/>
      <c r="B74" s="25"/>
      <c r="D74" s="36"/>
      <c r="E74" s="25"/>
      <c r="F74" s="108"/>
      <c r="G74" s="212"/>
      <c r="H74" s="25"/>
      <c r="I74" s="25"/>
      <c r="J74" s="25"/>
      <c r="K74" s="25"/>
      <c r="L74" s="25"/>
      <c r="M74" s="88"/>
      <c r="N74" s="88"/>
      <c r="O74" s="25"/>
      <c r="P74" s="25"/>
      <c r="Q74" s="25"/>
      <c r="R74" s="25"/>
      <c r="S74" s="25"/>
    </row>
    <row r="75" spans="1:19" s="110" customFormat="1" x14ac:dyDescent="0.25">
      <c r="A75" s="25"/>
      <c r="B75" s="25"/>
      <c r="D75" s="36"/>
      <c r="E75" s="25"/>
      <c r="F75" s="108"/>
      <c r="G75" s="212"/>
      <c r="H75" s="25"/>
      <c r="I75" s="25"/>
      <c r="J75" s="25"/>
      <c r="K75" s="25"/>
      <c r="L75" s="25"/>
      <c r="M75" s="88"/>
      <c r="N75" s="88"/>
      <c r="O75" s="25"/>
      <c r="P75" s="25"/>
      <c r="Q75" s="25"/>
      <c r="R75" s="25"/>
      <c r="S75" s="25"/>
    </row>
    <row r="76" spans="1:19" s="110" customFormat="1" x14ac:dyDescent="0.25">
      <c r="A76" s="25"/>
      <c r="B76" s="25"/>
      <c r="D76" s="36"/>
      <c r="E76" s="25"/>
      <c r="F76" s="108"/>
      <c r="G76" s="212"/>
      <c r="H76" s="25"/>
      <c r="I76" s="25"/>
      <c r="J76" s="25"/>
      <c r="K76" s="25"/>
      <c r="L76" s="25"/>
      <c r="M76" s="88"/>
      <c r="N76" s="88"/>
      <c r="O76" s="25"/>
      <c r="P76" s="25"/>
      <c r="Q76" s="25"/>
      <c r="R76" s="25"/>
      <c r="S76" s="25"/>
    </row>
    <row r="77" spans="1:19" s="110" customFormat="1" x14ac:dyDescent="0.25">
      <c r="A77" s="25"/>
      <c r="B77" s="25"/>
      <c r="D77" s="36"/>
      <c r="E77" s="25"/>
      <c r="F77" s="108"/>
      <c r="G77" s="212"/>
      <c r="H77" s="25"/>
      <c r="I77" s="25"/>
      <c r="J77" s="25"/>
      <c r="K77" s="25"/>
      <c r="L77" s="25"/>
      <c r="M77" s="88"/>
      <c r="N77" s="88"/>
      <c r="O77" s="25"/>
      <c r="P77" s="25"/>
      <c r="Q77" s="25"/>
      <c r="R77" s="25"/>
      <c r="S77" s="25"/>
    </row>
    <row r="78" spans="1:19" s="110" customFormat="1" x14ac:dyDescent="0.25">
      <c r="A78" s="25"/>
      <c r="B78" s="25"/>
      <c r="D78" s="36"/>
      <c r="E78" s="25"/>
      <c r="F78" s="108"/>
      <c r="G78" s="212"/>
      <c r="H78" s="25"/>
      <c r="I78" s="25"/>
      <c r="J78" s="25"/>
      <c r="K78" s="25"/>
      <c r="L78" s="25"/>
      <c r="M78" s="88"/>
      <c r="N78" s="88"/>
      <c r="O78" s="25"/>
      <c r="P78" s="25"/>
      <c r="Q78" s="25"/>
      <c r="R78" s="25"/>
      <c r="S78" s="25"/>
    </row>
    <row r="79" spans="1:19" s="110" customFormat="1" x14ac:dyDescent="0.25">
      <c r="A79" s="25"/>
      <c r="B79" s="25"/>
      <c r="D79" s="36"/>
      <c r="E79" s="25"/>
      <c r="F79" s="108"/>
      <c r="G79" s="212"/>
      <c r="H79" s="25"/>
      <c r="I79" s="25"/>
      <c r="J79" s="25"/>
      <c r="K79" s="25"/>
      <c r="L79" s="25"/>
      <c r="M79" s="88"/>
      <c r="N79" s="88"/>
      <c r="O79" s="25"/>
      <c r="P79" s="25"/>
      <c r="Q79" s="25"/>
      <c r="R79" s="25"/>
      <c r="S79" s="25"/>
    </row>
    <row r="80" spans="1:19" s="110" customFormat="1" x14ac:dyDescent="0.25">
      <c r="A80" s="25"/>
      <c r="B80" s="25"/>
      <c r="D80" s="36"/>
      <c r="E80" s="25"/>
      <c r="F80" s="108"/>
      <c r="G80" s="212"/>
      <c r="H80" s="25"/>
      <c r="I80" s="25"/>
      <c r="J80" s="25"/>
      <c r="K80" s="25"/>
      <c r="L80" s="25"/>
      <c r="M80" s="88"/>
      <c r="N80" s="88"/>
      <c r="O80" s="25"/>
      <c r="P80" s="25"/>
      <c r="Q80" s="25"/>
      <c r="R80" s="25"/>
      <c r="S80" s="25"/>
    </row>
  </sheetData>
  <mergeCells count="1">
    <mergeCell ref="H1:L1"/>
  </mergeCells>
  <conditionalFormatting sqref="A7">
    <cfRule type="containsText" dxfId="95" priority="459" operator="containsText" text="thickness">
      <formula>NOT(ISERROR(SEARCH("thickness",A7)))</formula>
    </cfRule>
    <cfRule type="containsText" dxfId="94" priority="460" operator="containsText" text="&quot;&quot;">
      <formula>NOT(ISERROR(SEARCH("""""",A7)))</formula>
    </cfRule>
  </conditionalFormatting>
  <conditionalFormatting sqref="D4:D5 D7:D8 D10:D11 D13:D14 D16:D17 D19:D22 D24:D26 D28:D29 D31:D33 D35:D37 D39:D40 D42:D43 D45:D46 D48:D49 D51:D52">
    <cfRule type="cellIs" dxfId="93" priority="79" operator="equal">
      <formula>0</formula>
    </cfRule>
  </conditionalFormatting>
  <dataValidations count="1">
    <dataValidation type="list" allowBlank="1" showInputMessage="1" sqref="H3:L3 H6:L6 H9:L9 H12:L12 H15:L15 H18:L18 H23:L23 H27:L27 H30:L30 H34:L34 H38:L38 H41:L41 H44:L44 H47:L47 H50:L50" xr:uid="{7C32058D-F7B0-4F91-A91F-FFF9D337A8AB}">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0A00-000000000000}">
          <x14:formula1>
            <xm:f>Unit!$A$4:$A$11</xm:f>
          </x14:formula1>
          <xm:sqref>D3 D41 D38 D34 D27 D15 D12 D9 D6 D30 D18 D23 D50 D47 D44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DD4EC-83C3-405D-B599-5A815A1508A3}">
  <sheetPr codeName="Sheet31">
    <tabColor rgb="FF00B0F0"/>
  </sheetPr>
  <dimension ref="A1:AK23"/>
  <sheetViews>
    <sheetView workbookViewId="0">
      <selection sqref="A1:N3"/>
    </sheetView>
  </sheetViews>
  <sheetFormatPr defaultColWidth="8.5703125" defaultRowHeight="15" outlineLevelRow="1" x14ac:dyDescent="0.25"/>
  <cols>
    <col min="1" max="1" width="12.85546875" bestFit="1" customWidth="1"/>
    <col min="2" max="2" width="37" bestFit="1" customWidth="1"/>
    <col min="3" max="3" width="14.5703125" bestFit="1" customWidth="1"/>
    <col min="4" max="4" width="11.85546875" customWidth="1"/>
    <col min="5" max="5" width="10.85546875" customWidth="1"/>
    <col min="7" max="7" width="9.85546875" bestFit="1" customWidth="1"/>
    <col min="8" max="8" width="12.42578125" customWidth="1"/>
    <col min="9" max="9" width="11.140625" bestFit="1" customWidth="1"/>
    <col min="10" max="10" width="14.5703125" bestFit="1" customWidth="1"/>
    <col min="16" max="16" width="14.5703125" bestFit="1" customWidth="1"/>
  </cols>
  <sheetData>
    <row r="1" spans="1:37" s="187" customFormat="1" ht="15" customHeight="1" x14ac:dyDescent="0.3">
      <c r="A1" s="615" t="s">
        <v>661</v>
      </c>
      <c r="B1" s="615"/>
      <c r="C1" s="616"/>
      <c r="D1" s="616"/>
      <c r="E1" s="616"/>
      <c r="F1" s="616"/>
      <c r="G1" s="616"/>
      <c r="H1" s="616"/>
      <c r="I1" s="616"/>
      <c r="J1" s="616"/>
      <c r="K1" s="616"/>
      <c r="L1" s="616"/>
      <c r="M1" s="616"/>
      <c r="N1" s="616"/>
      <c r="O1" s="619" t="s">
        <v>150</v>
      </c>
      <c r="P1" s="617"/>
      <c r="Q1" s="227"/>
      <c r="R1" s="227"/>
      <c r="T1" s="184"/>
      <c r="U1" s="184"/>
      <c r="V1" s="184"/>
      <c r="W1" s="184"/>
      <c r="X1" s="184"/>
      <c r="Y1" s="184"/>
      <c r="Z1" s="184"/>
      <c r="AA1" s="184"/>
      <c r="AB1" s="184"/>
      <c r="AH1" s="9"/>
      <c r="AI1" s="9"/>
    </row>
    <row r="2" spans="1:37" s="187" customFormat="1" ht="15.75" customHeight="1" x14ac:dyDescent="0.3">
      <c r="A2" s="616"/>
      <c r="B2" s="616"/>
      <c r="C2" s="617"/>
      <c r="D2" s="617"/>
      <c r="E2" s="617"/>
      <c r="F2" s="617"/>
      <c r="G2" s="617"/>
      <c r="H2" s="617"/>
      <c r="I2" s="617"/>
      <c r="J2" s="617"/>
      <c r="K2" s="617"/>
      <c r="L2" s="617"/>
      <c r="M2" s="617"/>
      <c r="N2" s="616"/>
      <c r="O2" s="617"/>
      <c r="P2" s="617"/>
      <c r="Q2" s="227"/>
      <c r="R2" s="227"/>
      <c r="T2" s="184"/>
      <c r="U2" s="184"/>
      <c r="V2" s="184"/>
      <c r="W2" s="184"/>
      <c r="X2" s="184"/>
      <c r="Y2" s="184"/>
      <c r="Z2" s="184"/>
      <c r="AA2" s="184"/>
      <c r="AB2" s="184"/>
      <c r="AH2" s="9"/>
      <c r="AI2" s="9"/>
    </row>
    <row r="3" spans="1:37" s="187" customFormat="1" ht="15" customHeight="1" thickBot="1" x14ac:dyDescent="0.35">
      <c r="A3" s="618"/>
      <c r="B3" s="618"/>
      <c r="C3" s="618"/>
      <c r="D3" s="618"/>
      <c r="E3" s="618"/>
      <c r="F3" s="618"/>
      <c r="G3" s="618"/>
      <c r="H3" s="618"/>
      <c r="I3" s="618"/>
      <c r="J3" s="618"/>
      <c r="K3" s="618"/>
      <c r="L3" s="618"/>
      <c r="M3" s="618"/>
      <c r="N3" s="618"/>
      <c r="O3" s="620">
        <v>44228</v>
      </c>
      <c r="P3" s="617"/>
      <c r="Q3" s="227"/>
      <c r="R3" s="227"/>
      <c r="T3" s="184"/>
      <c r="U3" s="184"/>
      <c r="V3" s="184"/>
      <c r="W3" s="184"/>
      <c r="X3" s="184"/>
      <c r="Y3" s="184"/>
      <c r="Z3" s="184"/>
      <c r="AA3" s="184"/>
      <c r="AB3" s="184"/>
      <c r="AH3" s="9"/>
      <c r="AI3" s="9"/>
    </row>
    <row r="4" spans="1:37" s="187" customFormat="1" ht="42.75" customHeight="1" x14ac:dyDescent="0.3">
      <c r="A4" s="6" t="s">
        <v>14</v>
      </c>
      <c r="B4" s="6" t="s">
        <v>653</v>
      </c>
      <c r="C4" s="6" t="s">
        <v>7</v>
      </c>
      <c r="D4" s="6" t="s">
        <v>493</v>
      </c>
      <c r="E4" s="6" t="s">
        <v>601</v>
      </c>
      <c r="F4" s="6" t="s">
        <v>149</v>
      </c>
      <c r="G4" s="189" t="s">
        <v>510</v>
      </c>
      <c r="H4" s="190" t="s">
        <v>511</v>
      </c>
      <c r="I4" s="5" t="s">
        <v>26</v>
      </c>
      <c r="J4" s="5" t="s">
        <v>27</v>
      </c>
      <c r="K4" s="5" t="s">
        <v>28</v>
      </c>
      <c r="L4" s="5" t="s">
        <v>34</v>
      </c>
      <c r="M4" s="5" t="s">
        <v>32</v>
      </c>
      <c r="N4" s="5" t="s">
        <v>3</v>
      </c>
      <c r="O4" s="9"/>
      <c r="P4" s="228"/>
      <c r="Q4" s="225"/>
      <c r="R4" s="225"/>
      <c r="S4" s="9"/>
      <c r="T4" s="184"/>
      <c r="U4" s="184"/>
      <c r="V4" s="184"/>
      <c r="W4" s="184"/>
      <c r="X4" s="184"/>
      <c r="Y4" s="184"/>
      <c r="Z4" s="184"/>
      <c r="AA4" s="184"/>
      <c r="AB4" s="184"/>
      <c r="AH4" s="9"/>
      <c r="AI4" s="9"/>
      <c r="AJ4" s="9"/>
      <c r="AK4" s="9"/>
    </row>
    <row r="5" spans="1:37" s="187" customFormat="1" ht="21.75" hidden="1" customHeight="1" outlineLevel="1" x14ac:dyDescent="0.35">
      <c r="A5" s="621" t="s">
        <v>666</v>
      </c>
      <c r="B5" s="621"/>
      <c r="C5" s="621"/>
      <c r="D5" s="621"/>
      <c r="E5" s="621"/>
      <c r="F5" s="621"/>
      <c r="G5" s="621"/>
      <c r="H5" s="621"/>
      <c r="I5" s="621"/>
      <c r="J5" s="621"/>
      <c r="K5" s="621"/>
      <c r="L5" s="621"/>
      <c r="M5" s="621"/>
      <c r="N5" s="621"/>
      <c r="P5" s="229" t="s">
        <v>170</v>
      </c>
      <c r="Q5" s="229" t="s">
        <v>535</v>
      </c>
      <c r="R5" s="229"/>
    </row>
    <row r="6" spans="1:37" s="187" customFormat="1" hidden="1" outlineLevel="1" x14ac:dyDescent="0.25">
      <c r="A6" s="205"/>
      <c r="B6" s="206" t="str">
        <f t="shared" ref="B6:B13" si="0">C6&amp;D6&amp;E6</f>
        <v>75mmmachine</v>
      </c>
      <c r="C6" s="4"/>
      <c r="D6" s="4" t="s">
        <v>301</v>
      </c>
      <c r="E6" s="4" t="s">
        <v>665</v>
      </c>
      <c r="F6" s="4" t="s">
        <v>11</v>
      </c>
      <c r="G6" s="192">
        <v>1.97</v>
      </c>
      <c r="H6" s="198">
        <v>2.46</v>
      </c>
      <c r="I6" s="188">
        <f>IF(Notes!$B$9="Domestic",G6, IF(Notes!$B$9="Commercial",H6))</f>
        <v>2.46</v>
      </c>
      <c r="J6" s="186"/>
      <c r="K6" s="8">
        <v>15.73</v>
      </c>
      <c r="L6" s="8">
        <v>46.13</v>
      </c>
      <c r="M6" s="7"/>
      <c r="N6" s="3">
        <f t="shared" ref="N6:N13" si="1">IF(M6&gt;0,M6,SUM(I6:L6))</f>
        <v>64.320000000000007</v>
      </c>
      <c r="O6" s="184"/>
      <c r="P6" s="226" t="s">
        <v>301</v>
      </c>
      <c r="Q6" s="226" t="s">
        <v>665</v>
      </c>
      <c r="R6" s="226"/>
      <c r="S6" s="184"/>
      <c r="T6" s="184"/>
      <c r="U6" s="184"/>
      <c r="V6" s="184"/>
      <c r="W6" s="184"/>
      <c r="X6" s="184"/>
      <c r="Y6" s="184"/>
      <c r="Z6" s="184"/>
      <c r="AA6" s="184"/>
      <c r="AB6" s="184"/>
    </row>
    <row r="7" spans="1:37" s="187" customFormat="1" hidden="1" outlineLevel="1" x14ac:dyDescent="0.25">
      <c r="A7" s="205"/>
      <c r="B7" s="206" t="str">
        <f t="shared" si="0"/>
        <v>100mmmachine</v>
      </c>
      <c r="C7" s="4"/>
      <c r="D7" s="4" t="s">
        <v>302</v>
      </c>
      <c r="E7" s="4" t="s">
        <v>665</v>
      </c>
      <c r="F7" s="4" t="s">
        <v>11</v>
      </c>
      <c r="G7" s="192">
        <v>2.11</v>
      </c>
      <c r="H7" s="198">
        <v>2.63</v>
      </c>
      <c r="I7" s="188">
        <f>IF(Notes!$B$9="Domestic",G7, IF(Notes!$B$9="Commercial",H7))</f>
        <v>2.63</v>
      </c>
      <c r="J7" s="186"/>
      <c r="K7" s="8">
        <v>16.66</v>
      </c>
      <c r="L7" s="8">
        <v>62.77</v>
      </c>
      <c r="M7" s="7"/>
      <c r="N7" s="3">
        <f t="shared" si="1"/>
        <v>82.06</v>
      </c>
      <c r="O7" s="184"/>
      <c r="P7" s="226" t="s">
        <v>302</v>
      </c>
      <c r="Q7" s="226" t="s">
        <v>664</v>
      </c>
      <c r="R7" s="226"/>
      <c r="S7" s="184"/>
      <c r="T7" s="184"/>
      <c r="U7" s="184"/>
      <c r="V7" s="184"/>
      <c r="W7" s="184"/>
      <c r="X7" s="184"/>
      <c r="Y7" s="184"/>
      <c r="Z7" s="184"/>
      <c r="AA7" s="184"/>
      <c r="AB7" s="184"/>
    </row>
    <row r="8" spans="1:37" s="187" customFormat="1" hidden="1" outlineLevel="1" x14ac:dyDescent="0.25">
      <c r="A8" s="205"/>
      <c r="B8" s="206" t="str">
        <f t="shared" si="0"/>
        <v>125mmmachine</v>
      </c>
      <c r="C8" s="4"/>
      <c r="D8" s="4" t="s">
        <v>662</v>
      </c>
      <c r="E8" s="4" t="s">
        <v>665</v>
      </c>
      <c r="F8" s="4" t="s">
        <v>11</v>
      </c>
      <c r="G8" s="192">
        <v>3.16</v>
      </c>
      <c r="H8" s="198">
        <v>3.95</v>
      </c>
      <c r="I8" s="188">
        <f>IF(Notes!$B$9="Domestic",G8, IF(Notes!$B$9="Commercial",H8))</f>
        <v>3.95</v>
      </c>
      <c r="J8" s="186"/>
      <c r="K8" s="8">
        <v>22.99</v>
      </c>
      <c r="L8" s="8">
        <v>78.760000000000005</v>
      </c>
      <c r="M8" s="7"/>
      <c r="N8" s="3">
        <f t="shared" si="1"/>
        <v>105.7</v>
      </c>
      <c r="O8" s="184"/>
      <c r="P8" s="226" t="s">
        <v>662</v>
      </c>
      <c r="Q8" s="226"/>
      <c r="R8" s="226"/>
      <c r="S8" s="184"/>
      <c r="T8" s="184"/>
      <c r="U8" s="184"/>
      <c r="V8" s="184"/>
      <c r="W8" s="184"/>
      <c r="X8" s="184"/>
      <c r="Y8" s="184"/>
      <c r="Z8" s="184"/>
      <c r="AA8" s="184"/>
      <c r="AB8" s="184"/>
    </row>
    <row r="9" spans="1:37" s="187" customFormat="1" hidden="1" outlineLevel="1" x14ac:dyDescent="0.25">
      <c r="A9" s="205"/>
      <c r="B9" s="206" t="str">
        <f t="shared" si="0"/>
        <v>150mmmachine</v>
      </c>
      <c r="C9" s="4"/>
      <c r="D9" s="4" t="s">
        <v>663</v>
      </c>
      <c r="E9" s="4" t="s">
        <v>665</v>
      </c>
      <c r="F9" s="4" t="s">
        <v>11</v>
      </c>
      <c r="G9" s="192">
        <v>4.25</v>
      </c>
      <c r="H9" s="198">
        <v>5.3</v>
      </c>
      <c r="I9" s="188">
        <f>IF(Notes!$B$9="Domestic",G9, IF(Notes!$B$9="Commercial",H9))</f>
        <v>5.3</v>
      </c>
      <c r="J9" s="191"/>
      <c r="K9" s="7">
        <v>34.119999999999997</v>
      </c>
      <c r="L9" s="8">
        <v>97.22</v>
      </c>
      <c r="M9" s="7"/>
      <c r="N9" s="3">
        <f t="shared" si="1"/>
        <v>136.63999999999999</v>
      </c>
      <c r="O9" s="184"/>
      <c r="P9" s="226" t="s">
        <v>663</v>
      </c>
      <c r="Q9" s="226"/>
      <c r="R9" s="226"/>
      <c r="S9" s="184"/>
      <c r="T9" s="184"/>
      <c r="U9" s="184"/>
      <c r="V9" s="184"/>
      <c r="W9" s="184"/>
      <c r="X9" s="184"/>
      <c r="Y9" s="184"/>
      <c r="Z9" s="184"/>
      <c r="AA9" s="184"/>
      <c r="AB9" s="184"/>
    </row>
    <row r="10" spans="1:37" s="187" customFormat="1" hidden="1" outlineLevel="1" x14ac:dyDescent="0.25">
      <c r="A10" s="205"/>
      <c r="B10" s="206" t="str">
        <f t="shared" si="0"/>
        <v>75mmhand</v>
      </c>
      <c r="C10" s="4"/>
      <c r="D10" s="4" t="s">
        <v>301</v>
      </c>
      <c r="E10" s="4" t="s">
        <v>664</v>
      </c>
      <c r="F10" s="4" t="s">
        <v>11</v>
      </c>
      <c r="G10" s="192">
        <v>20.72</v>
      </c>
      <c r="H10" s="198">
        <v>25.85</v>
      </c>
      <c r="I10" s="188">
        <f>IF(Notes!$B$9="Domestic",G10, IF(Notes!$B$9="Commercial",H10))</f>
        <v>25.85</v>
      </c>
      <c r="J10" s="186"/>
      <c r="K10" s="8">
        <v>22.86</v>
      </c>
      <c r="L10" s="8">
        <v>36.04</v>
      </c>
      <c r="M10" s="7"/>
      <c r="N10" s="3">
        <f t="shared" si="1"/>
        <v>84.75</v>
      </c>
      <c r="O10" s="184"/>
      <c r="P10" s="226"/>
      <c r="Q10" s="226"/>
      <c r="R10" s="226"/>
      <c r="S10" s="184"/>
      <c r="T10" s="184"/>
      <c r="U10" s="184"/>
      <c r="V10" s="184"/>
      <c r="W10" s="184"/>
      <c r="X10" s="184"/>
      <c r="Y10" s="184"/>
      <c r="Z10" s="184"/>
      <c r="AA10" s="184"/>
      <c r="AB10" s="184"/>
    </row>
    <row r="11" spans="1:37" s="187" customFormat="1" hidden="1" outlineLevel="1" x14ac:dyDescent="0.25">
      <c r="A11" s="205"/>
      <c r="B11" s="206" t="str">
        <f t="shared" si="0"/>
        <v>100mmhand</v>
      </c>
      <c r="C11" s="4"/>
      <c r="D11" s="4" t="s">
        <v>302</v>
      </c>
      <c r="E11" s="4" t="s">
        <v>664</v>
      </c>
      <c r="F11" s="4" t="s">
        <v>11</v>
      </c>
      <c r="G11" s="192">
        <v>27.63</v>
      </c>
      <c r="H11" s="198">
        <v>34.47</v>
      </c>
      <c r="I11" s="188">
        <f>IF(Notes!$B$9="Domestic",G11, IF(Notes!$B$9="Commercial",H11))</f>
        <v>34.47</v>
      </c>
      <c r="J11" s="186"/>
      <c r="K11" s="186">
        <v>29.47</v>
      </c>
      <c r="L11" s="8">
        <v>47.9</v>
      </c>
      <c r="M11" s="7"/>
      <c r="N11" s="3">
        <f t="shared" si="1"/>
        <v>111.84</v>
      </c>
      <c r="O11" s="184"/>
      <c r="P11" s="226"/>
      <c r="Q11" s="226"/>
      <c r="R11" s="226"/>
      <c r="S11" s="184"/>
      <c r="T11" s="184"/>
      <c r="U11" s="184"/>
      <c r="V11" s="184"/>
      <c r="W11" s="184"/>
      <c r="X11" s="184"/>
      <c r="Y11" s="184"/>
      <c r="Z11" s="184"/>
      <c r="AA11" s="184"/>
      <c r="AB11" s="184"/>
    </row>
    <row r="12" spans="1:37" s="187" customFormat="1" hidden="1" outlineLevel="1" x14ac:dyDescent="0.25">
      <c r="A12" s="205"/>
      <c r="B12" s="206" t="str">
        <f t="shared" si="0"/>
        <v>125mmhand</v>
      </c>
      <c r="C12" s="4"/>
      <c r="D12" s="4" t="s">
        <v>662</v>
      </c>
      <c r="E12" s="4" t="s">
        <v>664</v>
      </c>
      <c r="F12" s="4" t="s">
        <v>11</v>
      </c>
      <c r="G12" s="192">
        <v>34.58</v>
      </c>
      <c r="H12" s="198">
        <v>43.15</v>
      </c>
      <c r="I12" s="188">
        <f>IF(Notes!$B$9="Domestic",G12, IF(Notes!$B$9="Commercial",H12))</f>
        <v>43.15</v>
      </c>
      <c r="J12" s="186"/>
      <c r="K12" s="186">
        <v>36.090000000000003</v>
      </c>
      <c r="L12" s="8">
        <v>59.97</v>
      </c>
      <c r="M12" s="7"/>
      <c r="N12" s="3">
        <f t="shared" si="1"/>
        <v>139.21</v>
      </c>
      <c r="O12" s="184"/>
      <c r="P12" s="226"/>
      <c r="Q12" s="226"/>
      <c r="R12" s="226"/>
      <c r="S12" s="184"/>
      <c r="T12" s="184"/>
      <c r="U12" s="184"/>
      <c r="V12" s="184"/>
      <c r="W12" s="184"/>
      <c r="X12" s="184"/>
      <c r="Y12" s="184"/>
      <c r="Z12" s="184"/>
      <c r="AA12" s="184"/>
      <c r="AB12" s="184"/>
    </row>
    <row r="13" spans="1:37" s="187" customFormat="1" hidden="1" outlineLevel="1" x14ac:dyDescent="0.25">
      <c r="A13" s="205"/>
      <c r="B13" s="206" t="str">
        <f t="shared" si="0"/>
        <v>150mmhand</v>
      </c>
      <c r="C13" s="4"/>
      <c r="D13" s="4" t="s">
        <v>663</v>
      </c>
      <c r="E13" s="4" t="s">
        <v>664</v>
      </c>
      <c r="F13" s="4" t="s">
        <v>11</v>
      </c>
      <c r="G13" s="192">
        <v>41.44</v>
      </c>
      <c r="H13" s="198">
        <v>51.7</v>
      </c>
      <c r="I13" s="188">
        <f>IF(Notes!$B$9="Domestic",G13, IF(Notes!$B$9="Commercial",H13))</f>
        <v>51.7</v>
      </c>
      <c r="J13" s="186"/>
      <c r="K13" s="8">
        <v>44.51</v>
      </c>
      <c r="L13" s="8">
        <v>71.849999999999994</v>
      </c>
      <c r="M13" s="7"/>
      <c r="N13" s="3">
        <f t="shared" si="1"/>
        <v>168.06</v>
      </c>
      <c r="O13" s="184"/>
      <c r="P13" s="226"/>
      <c r="Q13" s="226"/>
      <c r="R13" s="226"/>
      <c r="S13" s="184"/>
      <c r="T13" s="184"/>
      <c r="U13" s="184"/>
      <c r="V13" s="184"/>
      <c r="W13" s="184"/>
      <c r="X13" s="184"/>
      <c r="Y13" s="184"/>
      <c r="Z13" s="184"/>
      <c r="AA13" s="184"/>
      <c r="AB13" s="184"/>
    </row>
    <row r="14" spans="1:37" s="187" customFormat="1" hidden="1" outlineLevel="1" x14ac:dyDescent="0.25">
      <c r="A14" s="612" t="str">
        <f>C14&amp;D14&amp;E14</f>
        <v/>
      </c>
      <c r="B14" s="613"/>
      <c r="C14" s="613"/>
      <c r="D14" s="613"/>
      <c r="E14" s="613"/>
      <c r="F14" s="613"/>
      <c r="G14" s="613"/>
      <c r="H14" s="613"/>
      <c r="I14" s="613"/>
      <c r="J14" s="613"/>
      <c r="K14" s="613"/>
      <c r="L14" s="613"/>
      <c r="M14" s="613"/>
      <c r="N14" s="614"/>
      <c r="O14" s="184"/>
      <c r="P14" s="226"/>
      <c r="Q14" s="226"/>
      <c r="R14" s="226"/>
      <c r="S14" s="184"/>
      <c r="T14" s="184"/>
      <c r="U14" s="184"/>
      <c r="V14" s="184"/>
      <c r="W14" s="184"/>
      <c r="X14" s="184"/>
      <c r="Y14" s="184"/>
      <c r="Z14" s="184"/>
      <c r="AA14" s="184"/>
      <c r="AB14" s="184"/>
    </row>
    <row r="15" spans="1:37" s="187" customFormat="1" ht="21.75" hidden="1" customHeight="1" outlineLevel="1" x14ac:dyDescent="0.35">
      <c r="A15" s="621" t="s">
        <v>667</v>
      </c>
      <c r="B15" s="621"/>
      <c r="C15" s="621"/>
      <c r="D15" s="621"/>
      <c r="E15" s="621"/>
      <c r="F15" s="621"/>
      <c r="G15" s="621"/>
      <c r="H15" s="621"/>
      <c r="I15" s="621"/>
      <c r="J15" s="621"/>
      <c r="K15" s="621"/>
      <c r="L15" s="621"/>
      <c r="M15" s="621"/>
      <c r="N15" s="621"/>
      <c r="P15" s="229" t="s">
        <v>170</v>
      </c>
      <c r="Q15" s="229" t="s">
        <v>535</v>
      </c>
      <c r="R15" s="229"/>
    </row>
    <row r="16" spans="1:37" s="187" customFormat="1" hidden="1" outlineLevel="1" x14ac:dyDescent="0.25">
      <c r="A16" s="205"/>
      <c r="B16" s="206" t="str">
        <f t="shared" ref="B16:B21" si="2">C16&amp;D16&amp;E16</f>
        <v>100mmmachine</v>
      </c>
      <c r="C16" s="4"/>
      <c r="D16" s="4" t="s">
        <v>302</v>
      </c>
      <c r="E16" s="4" t="s">
        <v>665</v>
      </c>
      <c r="F16" s="4" t="s">
        <v>11</v>
      </c>
      <c r="G16" s="192">
        <v>3.16</v>
      </c>
      <c r="H16" s="198">
        <v>3.95</v>
      </c>
      <c r="I16" s="188">
        <f>IF(Notes!$B$9="Domestic",G16, IF(Notes!$B$9="Commercial",H16))</f>
        <v>3.95</v>
      </c>
      <c r="J16" s="186"/>
      <c r="K16" s="8">
        <v>25.47</v>
      </c>
      <c r="L16" s="8">
        <v>47.9</v>
      </c>
      <c r="M16" s="7"/>
      <c r="N16" s="3">
        <f t="shared" ref="N16:N21" si="3">IF(M16&gt;0,M16,SUM(I16:L16))</f>
        <v>77.319999999999993</v>
      </c>
      <c r="O16" s="184"/>
      <c r="P16" s="226" t="s">
        <v>302</v>
      </c>
      <c r="Q16" s="226" t="s">
        <v>665</v>
      </c>
      <c r="R16" s="226"/>
      <c r="S16" s="184"/>
      <c r="T16" s="184"/>
      <c r="U16" s="184"/>
      <c r="V16" s="184"/>
      <c r="W16" s="184"/>
      <c r="X16" s="184"/>
      <c r="Y16" s="184"/>
      <c r="Z16" s="184"/>
      <c r="AA16" s="184"/>
      <c r="AB16" s="184"/>
    </row>
    <row r="17" spans="1:28" s="187" customFormat="1" hidden="1" outlineLevel="1" x14ac:dyDescent="0.25">
      <c r="A17" s="205"/>
      <c r="B17" s="206" t="str">
        <f t="shared" si="2"/>
        <v>150mmmachine</v>
      </c>
      <c r="C17" s="4"/>
      <c r="D17" s="4" t="s">
        <v>663</v>
      </c>
      <c r="E17" s="4" t="s">
        <v>665</v>
      </c>
      <c r="F17" s="4" t="s">
        <v>11</v>
      </c>
      <c r="G17" s="192">
        <v>5.51</v>
      </c>
      <c r="H17" s="198">
        <v>6.87</v>
      </c>
      <c r="I17" s="188">
        <f>IF(Notes!$B$9="Domestic",G17, IF(Notes!$B$9="Commercial",H17))</f>
        <v>6.87</v>
      </c>
      <c r="J17" s="186"/>
      <c r="K17" s="186">
        <v>43.11</v>
      </c>
      <c r="L17" s="8">
        <v>71.06</v>
      </c>
      <c r="M17" s="7"/>
      <c r="N17" s="3">
        <f t="shared" si="3"/>
        <v>121.03999999999999</v>
      </c>
      <c r="O17" s="184"/>
      <c r="P17" s="226" t="s">
        <v>663</v>
      </c>
      <c r="Q17" s="226" t="s">
        <v>664</v>
      </c>
      <c r="R17" s="226"/>
      <c r="S17" s="184"/>
      <c r="T17" s="184"/>
      <c r="U17" s="184"/>
      <c r="V17" s="184"/>
      <c r="W17" s="184"/>
      <c r="X17" s="184"/>
      <c r="Y17" s="184"/>
      <c r="Z17" s="184"/>
      <c r="AA17" s="184"/>
      <c r="AB17" s="184"/>
    </row>
    <row r="18" spans="1:28" s="187" customFormat="1" hidden="1" outlineLevel="1" x14ac:dyDescent="0.25">
      <c r="A18" s="205"/>
      <c r="B18" s="206" t="str">
        <f t="shared" si="2"/>
        <v>200mmmachine</v>
      </c>
      <c r="C18" s="4"/>
      <c r="D18" s="4" t="s">
        <v>668</v>
      </c>
      <c r="E18" s="4" t="s">
        <v>665</v>
      </c>
      <c r="F18" s="4" t="s">
        <v>11</v>
      </c>
      <c r="G18" s="192">
        <v>8.44</v>
      </c>
      <c r="H18" s="198">
        <v>10.52</v>
      </c>
      <c r="I18" s="188">
        <f>IF(Notes!$B$9="Domestic",G18, IF(Notes!$B$9="Commercial",H18))</f>
        <v>10.52</v>
      </c>
      <c r="J18" s="186"/>
      <c r="K18" s="186">
        <v>63.93</v>
      </c>
      <c r="L18" s="8">
        <v>95.73</v>
      </c>
      <c r="M18" s="7"/>
      <c r="N18" s="3">
        <f t="shared" si="3"/>
        <v>170.18</v>
      </c>
      <c r="O18" s="184"/>
      <c r="P18" s="226" t="s">
        <v>668</v>
      </c>
      <c r="Q18" s="226"/>
      <c r="R18" s="226"/>
      <c r="S18" s="184"/>
      <c r="T18" s="184"/>
      <c r="U18" s="184"/>
      <c r="V18" s="184"/>
      <c r="W18" s="184"/>
      <c r="X18" s="184"/>
      <c r="Y18" s="184"/>
      <c r="Z18" s="184"/>
      <c r="AA18" s="184"/>
      <c r="AB18" s="184"/>
    </row>
    <row r="19" spans="1:28" s="187" customFormat="1" hidden="1" outlineLevel="1" x14ac:dyDescent="0.25">
      <c r="A19" s="205"/>
      <c r="B19" s="206" t="str">
        <f t="shared" si="2"/>
        <v>100mmhand</v>
      </c>
      <c r="C19" s="4"/>
      <c r="D19" s="4" t="s">
        <v>302</v>
      </c>
      <c r="E19" s="4" t="s">
        <v>664</v>
      </c>
      <c r="F19" s="4" t="s">
        <v>11</v>
      </c>
      <c r="G19" s="192">
        <v>27.63</v>
      </c>
      <c r="H19" s="198">
        <v>34.47</v>
      </c>
      <c r="I19" s="188">
        <f>IF(Notes!$B$9="Domestic",G19, IF(Notes!$B$9="Commercial",H19))</f>
        <v>34.47</v>
      </c>
      <c r="J19" s="186"/>
      <c r="K19" s="8">
        <v>44.43</v>
      </c>
      <c r="L19" s="8">
        <v>47.9</v>
      </c>
      <c r="M19" s="7"/>
      <c r="N19" s="3">
        <f t="shared" si="3"/>
        <v>126.80000000000001</v>
      </c>
      <c r="O19" s="184"/>
      <c r="P19" s="226"/>
      <c r="Q19" s="226"/>
      <c r="R19" s="226"/>
      <c r="S19" s="184"/>
      <c r="T19" s="184"/>
      <c r="U19" s="184"/>
      <c r="V19" s="184"/>
      <c r="W19" s="184"/>
      <c r="X19" s="184"/>
      <c r="Y19" s="184"/>
      <c r="Z19" s="184"/>
      <c r="AA19" s="184"/>
      <c r="AB19" s="184"/>
    </row>
    <row r="20" spans="1:28" s="187" customFormat="1" hidden="1" outlineLevel="1" x14ac:dyDescent="0.25">
      <c r="A20" s="205"/>
      <c r="B20" s="206" t="str">
        <f t="shared" si="2"/>
        <v>150mmhand</v>
      </c>
      <c r="C20" s="4"/>
      <c r="D20" s="4" t="s">
        <v>663</v>
      </c>
      <c r="E20" s="4" t="s">
        <v>664</v>
      </c>
      <c r="F20" s="4" t="s">
        <v>11</v>
      </c>
      <c r="G20" s="192">
        <v>41.44</v>
      </c>
      <c r="H20" s="198">
        <v>51.7</v>
      </c>
      <c r="I20" s="188">
        <f>IF(Notes!$B$9="Domestic",G20, IF(Notes!$B$9="Commercial",H20))</f>
        <v>51.7</v>
      </c>
      <c r="J20" s="186"/>
      <c r="K20" s="8">
        <v>65.94</v>
      </c>
      <c r="L20" s="8">
        <v>71.849999999999994</v>
      </c>
      <c r="M20" s="7"/>
      <c r="N20" s="3">
        <f t="shared" si="3"/>
        <v>189.49</v>
      </c>
      <c r="O20" s="184"/>
      <c r="P20" s="226"/>
      <c r="Q20" s="226"/>
      <c r="R20" s="226"/>
      <c r="S20" s="184"/>
      <c r="T20" s="184"/>
      <c r="U20" s="184"/>
      <c r="V20" s="184"/>
      <c r="W20" s="184"/>
      <c r="X20" s="184"/>
      <c r="Y20" s="184"/>
      <c r="Z20" s="184"/>
      <c r="AA20" s="184"/>
      <c r="AB20" s="184"/>
    </row>
    <row r="21" spans="1:28" s="187" customFormat="1" hidden="1" outlineLevel="1" x14ac:dyDescent="0.25">
      <c r="A21" s="205"/>
      <c r="B21" s="206" t="str">
        <f t="shared" si="2"/>
        <v>200mmhand</v>
      </c>
      <c r="C21" s="4"/>
      <c r="D21" s="4" t="s">
        <v>668</v>
      </c>
      <c r="E21" s="4" t="s">
        <v>664</v>
      </c>
      <c r="F21" s="4" t="s">
        <v>11</v>
      </c>
      <c r="G21" s="192">
        <v>55.25</v>
      </c>
      <c r="H21" s="198">
        <v>68.94</v>
      </c>
      <c r="I21" s="188">
        <f>IF(Notes!$B$9="Domestic",G21, IF(Notes!$B$9="Commercial",H21))</f>
        <v>68.94</v>
      </c>
      <c r="J21" s="186"/>
      <c r="K21" s="8">
        <v>85.66</v>
      </c>
      <c r="L21" s="8">
        <v>95.73</v>
      </c>
      <c r="M21" s="7"/>
      <c r="N21" s="3">
        <f t="shared" si="3"/>
        <v>250.32999999999998</v>
      </c>
      <c r="O21" s="184"/>
      <c r="P21" s="226"/>
      <c r="Q21" s="226"/>
      <c r="R21" s="226"/>
      <c r="S21" s="184"/>
      <c r="T21" s="184"/>
      <c r="U21" s="184"/>
      <c r="V21" s="184"/>
      <c r="W21" s="184"/>
      <c r="X21" s="184"/>
      <c r="Y21" s="184"/>
      <c r="Z21" s="184"/>
      <c r="AA21" s="184"/>
      <c r="AB21" s="184"/>
    </row>
    <row r="22" spans="1:28" s="187" customFormat="1" hidden="1" outlineLevel="1" x14ac:dyDescent="0.25">
      <c r="A22" s="612" t="str">
        <f>C22&amp;D22&amp;E22</f>
        <v/>
      </c>
      <c r="B22" s="613"/>
      <c r="C22" s="613"/>
      <c r="D22" s="613"/>
      <c r="E22" s="613"/>
      <c r="F22" s="613"/>
      <c r="G22" s="613"/>
      <c r="H22" s="613"/>
      <c r="I22" s="613"/>
      <c r="J22" s="613"/>
      <c r="K22" s="613"/>
      <c r="L22" s="613"/>
      <c r="M22" s="613"/>
      <c r="N22" s="614"/>
      <c r="O22" s="184"/>
      <c r="P22" s="226"/>
      <c r="Q22" s="226"/>
      <c r="R22" s="226"/>
      <c r="S22" s="184"/>
      <c r="T22" s="184"/>
      <c r="U22" s="184"/>
      <c r="V22" s="184"/>
      <c r="W22" s="184"/>
      <c r="X22" s="184"/>
      <c r="Y22" s="184"/>
      <c r="Z22" s="184"/>
      <c r="AA22" s="184"/>
      <c r="AB22" s="184"/>
    </row>
    <row r="23" spans="1:28" collapsed="1" x14ac:dyDescent="0.25"/>
  </sheetData>
  <sheetProtection algorithmName="SHA-512" hashValue="9QPSg+rhVC+Po1FhnB33oGApPuDpcDNpt8dJfeaRwb2ZSDZ/3gSFh7ZpqhO9Bq5i8GSzzPjRno+DnVxw43O5HA==" saltValue="7PCkOlQMMnD7cYHuSAfXgA==" spinCount="100000" sheet="1" objects="1" scenarios="1"/>
  <mergeCells count="7">
    <mergeCell ref="A22:N22"/>
    <mergeCell ref="A1:N3"/>
    <mergeCell ref="O1:P2"/>
    <mergeCell ref="O3:P3"/>
    <mergeCell ref="A5:N5"/>
    <mergeCell ref="A14:N14"/>
    <mergeCell ref="A15:N1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50"/>
  </sheetPr>
  <dimension ref="A1:S35"/>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2.42578125" style="25" customWidth="1"/>
    <col min="2" max="2" width="60.42578125" style="25" customWidth="1"/>
    <col min="3" max="3" width="19.85546875" style="110" customWidth="1"/>
    <col min="4" max="4" width="15.5703125" style="36" customWidth="1"/>
    <col min="5" max="5" width="16.5703125" style="25" bestFit="1" customWidth="1"/>
    <col min="6" max="6" width="21.42578125" style="108" bestFit="1" customWidth="1"/>
    <col min="7" max="7" width="1.140625" style="212" customWidth="1"/>
    <col min="8" max="11" width="15.5703125" style="25" customWidth="1" outlineLevel="1"/>
    <col min="12" max="12" width="17.5703125" style="25" customWidth="1" outlineLevel="1"/>
    <col min="13" max="13" width="42.42578125" style="88" customWidth="1" outlineLevel="1"/>
    <col min="14"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Demolition!A2+1</f>
        <v>4</v>
      </c>
      <c r="B2" s="73" t="s" cm="1">
        <v>2438</v>
      </c>
      <c r="C2" s="75"/>
      <c r="D2" s="76"/>
      <c r="E2" s="77"/>
      <c r="F2" s="78"/>
      <c r="G2" s="207"/>
      <c r="H2" s="221" t="s">
        <v>26</v>
      </c>
      <c r="I2" s="222" t="s">
        <v>27</v>
      </c>
      <c r="J2" s="222" t="s">
        <v>28</v>
      </c>
      <c r="K2" s="222" t="s">
        <v>34</v>
      </c>
      <c r="L2" s="222" t="s">
        <v>615</v>
      </c>
      <c r="M2" s="80"/>
      <c r="N2" s="71"/>
    </row>
    <row r="3" spans="1:19" s="90" customFormat="1" ht="37.5" x14ac:dyDescent="0.25">
      <c r="A3" s="82">
        <f ca="1">IF(C3&gt;0,MAX($A$1:OFFSET(A3,-1,0))+0.01,"")</f>
        <v>4.01</v>
      </c>
      <c r="B3" s="27" t="s">
        <v>673</v>
      </c>
      <c r="C3" s="98">
        <v>59.699999999999996</v>
      </c>
      <c r="D3" s="29" t="s">
        <v>15</v>
      </c>
      <c r="E3" s="85"/>
      <c r="F3" s="86">
        <f>IF(E3="inc",0,IF(C3="",0,C3*E3))</f>
        <v>0</v>
      </c>
      <c r="G3" s="208"/>
      <c r="H3" s="30"/>
      <c r="I3" s="30"/>
      <c r="J3" s="30"/>
      <c r="K3" s="30"/>
      <c r="L3" s="30"/>
      <c r="M3" s="87"/>
      <c r="N3" s="88"/>
      <c r="O3" s="25"/>
      <c r="P3" s="25"/>
      <c r="Q3" s="25"/>
      <c r="R3" s="25"/>
      <c r="S3" s="25"/>
    </row>
    <row r="4" spans="1:19" s="94" customFormat="1" ht="15.75" customHeight="1" x14ac:dyDescent="0.25">
      <c r="A4" s="24" t="s">
        <v>2355</v>
      </c>
      <c r="B4" s="24" t="s">
        <v>168</v>
      </c>
      <c r="C4" s="32">
        <v>9.98</v>
      </c>
      <c r="D4" s="32" t="s">
        <v>15</v>
      </c>
      <c r="E4" s="26"/>
      <c r="F4" s="33"/>
      <c r="G4" s="210"/>
      <c r="H4" s="26"/>
      <c r="I4" s="26"/>
      <c r="J4" s="26"/>
      <c r="K4" s="26"/>
      <c r="L4" s="26"/>
      <c r="M4" s="34"/>
      <c r="N4" s="32"/>
      <c r="O4" s="44"/>
    </row>
    <row r="5" spans="1:19" s="94" customFormat="1" ht="15.75" customHeight="1" x14ac:dyDescent="0.25">
      <c r="A5" s="24"/>
      <c r="B5" s="24" t="s">
        <v>168</v>
      </c>
      <c r="C5" s="32">
        <v>9.06</v>
      </c>
      <c r="D5" s="32" t="s">
        <v>15</v>
      </c>
      <c r="E5" s="26"/>
      <c r="F5" s="33"/>
      <c r="G5" s="210"/>
      <c r="H5" s="26"/>
      <c r="I5" s="26"/>
      <c r="J5" s="26"/>
      <c r="K5" s="26"/>
      <c r="L5" s="26"/>
      <c r="M5" s="34"/>
      <c r="N5" s="32"/>
      <c r="O5" s="44"/>
    </row>
    <row r="6" spans="1:19" s="94" customFormat="1" ht="15.75" customHeight="1" x14ac:dyDescent="0.25">
      <c r="A6" s="24" t="s">
        <v>2355</v>
      </c>
      <c r="B6" s="24" t="s">
        <v>169</v>
      </c>
      <c r="C6" s="32">
        <v>40.659999999999997</v>
      </c>
      <c r="D6" s="32" t="s">
        <v>15</v>
      </c>
      <c r="E6" s="26"/>
      <c r="F6" s="33"/>
      <c r="G6" s="210"/>
      <c r="H6" s="26"/>
      <c r="I6" s="26"/>
      <c r="J6" s="26"/>
      <c r="K6" s="26"/>
      <c r="L6" s="26"/>
      <c r="M6" s="34"/>
      <c r="N6" s="32"/>
      <c r="O6" s="44"/>
    </row>
    <row r="7" spans="1:19" s="94" customFormat="1" ht="15.6" customHeight="1" x14ac:dyDescent="0.25">
      <c r="A7" s="24"/>
      <c r="B7" s="24"/>
      <c r="C7" s="32" t="s">
        <v>2346</v>
      </c>
      <c r="D7" s="32">
        <v>0</v>
      </c>
      <c r="E7" s="26"/>
      <c r="F7" s="33"/>
      <c r="G7" s="210"/>
      <c r="H7" s="26"/>
      <c r="I7" s="26"/>
      <c r="J7" s="26"/>
      <c r="K7" s="26"/>
      <c r="L7" s="26"/>
      <c r="M7" s="34"/>
      <c r="N7" s="32"/>
      <c r="O7" s="44"/>
    </row>
    <row r="8" spans="1:19" s="79" customFormat="1" ht="21.75" thickBot="1" x14ac:dyDescent="0.4">
      <c r="A8" s="99"/>
      <c r="B8" s="394" t="s">
        <v>4</v>
      </c>
      <c r="C8" s="395"/>
      <c r="D8" s="396"/>
      <c r="E8" s="100"/>
      <c r="F8" s="101">
        <f ca="1">SUM(F$2:OFFSET(F8,-1,0))</f>
        <v>0</v>
      </c>
      <c r="G8" s="210"/>
      <c r="H8" s="100"/>
      <c r="I8" s="100"/>
      <c r="J8" s="100"/>
      <c r="K8" s="100"/>
      <c r="L8" s="100"/>
      <c r="M8" s="102"/>
      <c r="N8" s="103"/>
    </row>
    <row r="9" spans="1:19" s="94" customFormat="1" ht="15.75" x14ac:dyDescent="0.25">
      <c r="A9" s="105"/>
      <c r="B9" s="25"/>
      <c r="C9" s="106"/>
      <c r="D9" s="32"/>
      <c r="E9" s="92"/>
      <c r="F9" s="107"/>
      <c r="G9" s="212"/>
      <c r="H9" s="26"/>
      <c r="I9" s="26"/>
      <c r="J9" s="26"/>
      <c r="K9" s="26"/>
      <c r="L9" s="26"/>
      <c r="M9" s="88"/>
      <c r="N9" s="88"/>
    </row>
    <row r="10" spans="1:19" ht="18.75" x14ac:dyDescent="0.25">
      <c r="C10" s="106"/>
      <c r="H10" s="30"/>
      <c r="I10" s="30"/>
      <c r="J10" s="30"/>
      <c r="K10" s="30"/>
      <c r="L10" s="30"/>
    </row>
    <row r="11" spans="1:19" ht="15.75" x14ac:dyDescent="0.25">
      <c r="H11" s="26"/>
      <c r="I11" s="26"/>
      <c r="J11" s="26"/>
      <c r="K11" s="26"/>
      <c r="L11" s="26"/>
    </row>
    <row r="12" spans="1:19" ht="15.75" x14ac:dyDescent="0.25">
      <c r="H12" s="26"/>
      <c r="I12" s="26"/>
      <c r="J12" s="26"/>
      <c r="K12" s="26"/>
      <c r="L12" s="26"/>
    </row>
    <row r="13" spans="1:19" ht="15.75" x14ac:dyDescent="0.25">
      <c r="F13" s="108" t="e">
        <f ca="1">F8-#REF!</f>
        <v>#REF!</v>
      </c>
      <c r="H13" s="26"/>
      <c r="I13" s="26"/>
      <c r="J13" s="26"/>
      <c r="K13" s="26"/>
      <c r="L13" s="26"/>
    </row>
    <row r="14" spans="1:19" ht="15.75" x14ac:dyDescent="0.25">
      <c r="H14" s="26"/>
      <c r="I14" s="26"/>
      <c r="J14" s="26"/>
      <c r="K14" s="26"/>
      <c r="L14" s="26"/>
    </row>
    <row r="15" spans="1:19" ht="15.75" x14ac:dyDescent="0.25">
      <c r="H15" s="26"/>
      <c r="I15" s="26"/>
      <c r="J15" s="26"/>
      <c r="K15" s="26"/>
      <c r="L15" s="26"/>
    </row>
    <row r="23" spans="1:19" s="110" customFormat="1" x14ac:dyDescent="0.25">
      <c r="A23" s="25"/>
      <c r="B23" s="25"/>
      <c r="D23" s="36"/>
      <c r="E23" s="25"/>
      <c r="F23" s="108"/>
      <c r="G23" s="212"/>
      <c r="H23" s="25"/>
      <c r="I23" s="25"/>
      <c r="J23" s="25"/>
      <c r="K23" s="25"/>
      <c r="L23" s="25"/>
      <c r="M23" s="88"/>
      <c r="N23" s="88"/>
      <c r="O23" s="25"/>
      <c r="P23" s="25"/>
      <c r="Q23" s="25"/>
      <c r="R23" s="25"/>
      <c r="S23" s="25"/>
    </row>
    <row r="24" spans="1:19" s="110" customFormat="1" x14ac:dyDescent="0.25">
      <c r="A24" s="25"/>
      <c r="B24" s="25"/>
      <c r="D24" s="36"/>
      <c r="E24" s="25"/>
      <c r="F24" s="108"/>
      <c r="G24" s="212"/>
      <c r="H24" s="25"/>
      <c r="I24" s="25"/>
      <c r="J24" s="25"/>
      <c r="K24" s="25"/>
      <c r="L24" s="25"/>
      <c r="M24" s="88"/>
      <c r="N24" s="88"/>
      <c r="O24" s="25"/>
      <c r="P24" s="25"/>
      <c r="Q24" s="25"/>
      <c r="R24" s="25"/>
      <c r="S24" s="25"/>
    </row>
    <row r="25" spans="1:19" s="110" customFormat="1" x14ac:dyDescent="0.25">
      <c r="A25" s="25"/>
      <c r="B25" s="25"/>
      <c r="D25" s="36"/>
      <c r="E25" s="25"/>
      <c r="F25" s="108"/>
      <c r="G25" s="212"/>
      <c r="H25" s="25"/>
      <c r="I25" s="25"/>
      <c r="J25" s="25"/>
      <c r="K25" s="25"/>
      <c r="L25" s="25"/>
      <c r="M25" s="88"/>
      <c r="N25" s="88"/>
      <c r="O25" s="25"/>
      <c r="P25" s="25"/>
      <c r="Q25" s="25"/>
      <c r="R25" s="25"/>
      <c r="S25" s="25"/>
    </row>
    <row r="26" spans="1:19" s="110" customFormat="1" x14ac:dyDescent="0.25">
      <c r="A26" s="25"/>
      <c r="B26" s="25"/>
      <c r="D26" s="36"/>
      <c r="E26" s="25"/>
      <c r="F26" s="108"/>
      <c r="G26" s="212"/>
      <c r="H26" s="25"/>
      <c r="I26" s="25"/>
      <c r="J26" s="25"/>
      <c r="K26" s="25"/>
      <c r="L26" s="25"/>
      <c r="M26" s="88"/>
      <c r="N26" s="88"/>
      <c r="O26" s="25"/>
      <c r="P26" s="25"/>
      <c r="Q26" s="25"/>
      <c r="R26" s="25"/>
      <c r="S26" s="25"/>
    </row>
    <row r="27" spans="1:19" s="110" customFormat="1" x14ac:dyDescent="0.25">
      <c r="A27" s="25"/>
      <c r="B27" s="25"/>
      <c r="D27" s="36"/>
      <c r="E27" s="25"/>
      <c r="F27" s="108"/>
      <c r="G27" s="212"/>
      <c r="H27" s="25"/>
      <c r="I27" s="25"/>
      <c r="J27" s="25"/>
      <c r="K27" s="25"/>
      <c r="L27" s="25"/>
      <c r="M27" s="88"/>
      <c r="N27" s="88"/>
      <c r="O27" s="25"/>
      <c r="P27" s="25"/>
      <c r="Q27" s="25"/>
      <c r="R27" s="25"/>
      <c r="S27" s="25"/>
    </row>
    <row r="28" spans="1:19" s="110" customFormat="1" x14ac:dyDescent="0.25">
      <c r="A28" s="25"/>
      <c r="B28" s="25"/>
      <c r="D28" s="36"/>
      <c r="E28" s="25"/>
      <c r="F28" s="108"/>
      <c r="G28" s="212"/>
      <c r="H28" s="25"/>
      <c r="I28" s="25"/>
      <c r="J28" s="25"/>
      <c r="K28" s="25"/>
      <c r="L28" s="25"/>
      <c r="M28" s="88"/>
      <c r="N28" s="88"/>
      <c r="O28" s="25"/>
      <c r="P28" s="25"/>
      <c r="Q28" s="25"/>
      <c r="R28" s="25"/>
      <c r="S28" s="25"/>
    </row>
    <row r="29" spans="1:19" s="110" customFormat="1" x14ac:dyDescent="0.25">
      <c r="A29" s="25"/>
      <c r="B29" s="25"/>
      <c r="D29" s="36"/>
      <c r="E29" s="25"/>
      <c r="F29" s="108"/>
      <c r="G29" s="212"/>
      <c r="H29" s="25"/>
      <c r="I29" s="25"/>
      <c r="J29" s="25"/>
      <c r="K29" s="25"/>
      <c r="L29" s="25"/>
      <c r="M29" s="88"/>
      <c r="N29" s="88"/>
      <c r="O29" s="25"/>
      <c r="P29" s="25"/>
      <c r="Q29" s="25"/>
      <c r="R29" s="25"/>
      <c r="S29" s="25"/>
    </row>
    <row r="30" spans="1:19" s="110" customFormat="1" x14ac:dyDescent="0.25">
      <c r="A30" s="25"/>
      <c r="B30" s="25"/>
      <c r="D30" s="36"/>
      <c r="E30" s="25"/>
      <c r="F30" s="108"/>
      <c r="G30" s="212"/>
      <c r="H30" s="25"/>
      <c r="I30" s="25"/>
      <c r="J30" s="25"/>
      <c r="K30" s="25"/>
      <c r="L30" s="25"/>
      <c r="M30" s="88"/>
      <c r="N30" s="88"/>
      <c r="O30" s="25"/>
      <c r="P30" s="25"/>
      <c r="Q30" s="25"/>
      <c r="R30" s="25"/>
      <c r="S30" s="25"/>
    </row>
    <row r="31" spans="1:19" s="110" customFormat="1" x14ac:dyDescent="0.25">
      <c r="A31" s="25"/>
      <c r="B31" s="25"/>
      <c r="D31" s="36"/>
      <c r="E31" s="25"/>
      <c r="F31" s="108"/>
      <c r="G31" s="212"/>
      <c r="H31" s="25"/>
      <c r="I31" s="25"/>
      <c r="J31" s="25"/>
      <c r="K31" s="25"/>
      <c r="L31" s="25"/>
      <c r="M31" s="88"/>
      <c r="N31" s="88"/>
      <c r="O31" s="25"/>
      <c r="P31" s="25"/>
      <c r="Q31" s="25"/>
      <c r="R31" s="25"/>
      <c r="S31" s="25"/>
    </row>
    <row r="32" spans="1:19" s="110" customFormat="1" x14ac:dyDescent="0.25">
      <c r="A32" s="25"/>
      <c r="B32" s="25"/>
      <c r="D32" s="36"/>
      <c r="E32" s="25"/>
      <c r="F32" s="108"/>
      <c r="G32" s="212"/>
      <c r="H32" s="25"/>
      <c r="I32" s="25"/>
      <c r="J32" s="25"/>
      <c r="K32" s="25"/>
      <c r="L32" s="25"/>
      <c r="M32" s="88"/>
      <c r="N32" s="88"/>
      <c r="O32" s="25"/>
      <c r="P32" s="25"/>
      <c r="Q32" s="25"/>
      <c r="R32" s="25"/>
      <c r="S32" s="25"/>
    </row>
    <row r="33" spans="1:19" s="110" customFormat="1" x14ac:dyDescent="0.25">
      <c r="A33" s="25"/>
      <c r="B33" s="25"/>
      <c r="D33" s="36"/>
      <c r="E33" s="25"/>
      <c r="F33" s="108"/>
      <c r="G33" s="212"/>
      <c r="H33" s="25"/>
      <c r="I33" s="25"/>
      <c r="J33" s="25"/>
      <c r="K33" s="25"/>
      <c r="L33" s="25"/>
      <c r="M33" s="88"/>
      <c r="N33" s="88"/>
      <c r="O33" s="25"/>
      <c r="P33" s="25"/>
      <c r="Q33" s="25"/>
      <c r="R33" s="25"/>
      <c r="S33" s="25"/>
    </row>
    <row r="34" spans="1:19" s="110" customFormat="1" x14ac:dyDescent="0.25">
      <c r="A34" s="25"/>
      <c r="B34" s="25"/>
      <c r="D34" s="36"/>
      <c r="E34" s="25"/>
      <c r="F34" s="108"/>
      <c r="G34" s="212"/>
      <c r="H34" s="25"/>
      <c r="I34" s="25"/>
      <c r="J34" s="25"/>
      <c r="K34" s="25"/>
      <c r="L34" s="25"/>
      <c r="M34" s="88"/>
      <c r="N34" s="88"/>
      <c r="O34" s="25"/>
      <c r="P34" s="25"/>
      <c r="Q34" s="25"/>
      <c r="R34" s="25"/>
      <c r="S34" s="25"/>
    </row>
    <row r="35" spans="1:19" s="110" customFormat="1" x14ac:dyDescent="0.25">
      <c r="A35" s="25"/>
      <c r="B35" s="25"/>
      <c r="D35" s="36"/>
      <c r="E35" s="25"/>
      <c r="F35" s="108"/>
      <c r="G35" s="212"/>
      <c r="H35" s="25"/>
      <c r="I35" s="25"/>
      <c r="J35" s="25"/>
      <c r="K35" s="25"/>
      <c r="L35" s="25"/>
      <c r="M35" s="88"/>
      <c r="N35" s="88"/>
      <c r="O35" s="25"/>
      <c r="P35" s="25"/>
      <c r="Q35" s="25"/>
      <c r="R35" s="25"/>
      <c r="S35" s="25"/>
    </row>
  </sheetData>
  <mergeCells count="1">
    <mergeCell ref="H1:L1"/>
  </mergeCells>
  <conditionalFormatting sqref="D4:D7">
    <cfRule type="cellIs" dxfId="92" priority="420" operator="equal">
      <formula>0</formula>
    </cfRule>
  </conditionalFormatting>
  <dataValidations count="1">
    <dataValidation type="list" allowBlank="1" showInputMessage="1" sqref="H3:L3" xr:uid="{7948F7B4-3CEB-4952-9A1A-C926D4F0F5F6}">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00000000-0002-0000-0B00-000000000000}">
          <x14:formula1>
            <xm:f>Unit!$A$4:$A$11</xm:f>
          </x14:formula1>
          <xm:sqref>D3</xm:sqref>
        </x14:dataValidation>
        <x14:dataValidation type="list" allowBlank="1" showInputMessage="1" xr:uid="{00000000-0002-0000-0B00-000001000000}">
          <x14:formula1>
            <xm:f>Unit!#REF!</xm:f>
          </x14:formula1>
          <xm:sqref>H10:L10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00B050"/>
  </sheetPr>
  <dimension ref="A1:AI389"/>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2" style="25" customWidth="1"/>
    <col min="2" max="2" width="52.5703125" style="25" customWidth="1"/>
    <col min="3" max="11" width="10.5703125" style="36" hidden="1" customWidth="1" outlineLevel="1"/>
    <col min="12" max="12" width="12" style="36" hidden="1" customWidth="1" outlineLevel="1"/>
    <col min="13" max="13" width="15.5703125" style="110" customWidth="1" collapsed="1"/>
    <col min="14" max="14" width="15.5703125" style="36" customWidth="1"/>
    <col min="15" max="18" width="15.5703125" style="25" customWidth="1" outlineLevel="1"/>
    <col min="19" max="19" width="15.5703125" style="25" customWidth="1"/>
    <col min="20" max="20" width="21.42578125" style="108" bestFit="1" customWidth="1"/>
    <col min="21" max="21" width="1.140625" style="212" customWidth="1"/>
    <col min="22" max="25" width="15.5703125" style="25" customWidth="1" outlineLevel="1"/>
    <col min="26" max="26" width="17.5703125" style="25" customWidth="1" outlineLevel="1"/>
    <col min="27" max="27" width="20" style="25" customWidth="1" outlineLevel="1"/>
    <col min="28" max="34" width="16.5703125" style="25" customWidth="1" outlineLevel="1"/>
    <col min="35" max="36" width="16.5703125" style="25" customWidth="1"/>
    <col min="37" max="16384" width="8.85546875" style="25"/>
  </cols>
  <sheetData>
    <row r="1" spans="1:35" s="69" customFormat="1" ht="39.950000000000003" customHeight="1" thickBot="1" x14ac:dyDescent="0.3">
      <c r="A1" s="23" t="s">
        <v>0</v>
      </c>
      <c r="B1" s="63" t="s">
        <v>14</v>
      </c>
      <c r="C1" s="64" t="s">
        <v>826</v>
      </c>
      <c r="D1" s="64" t="s">
        <v>827</v>
      </c>
      <c r="E1" s="64" t="s">
        <v>828</v>
      </c>
      <c r="F1" s="307" t="s">
        <v>900</v>
      </c>
      <c r="G1" s="64" t="s">
        <v>5</v>
      </c>
      <c r="H1" s="64" t="s">
        <v>6</v>
      </c>
      <c r="I1" s="64" t="s">
        <v>7</v>
      </c>
      <c r="J1" s="64" t="s">
        <v>8</v>
      </c>
      <c r="K1" s="64" t="s">
        <v>9</v>
      </c>
      <c r="L1" s="64" t="s">
        <v>10</v>
      </c>
      <c r="M1" s="65" t="s">
        <v>1</v>
      </c>
      <c r="N1" s="66" t="s">
        <v>2</v>
      </c>
      <c r="O1" s="67" t="s">
        <v>26</v>
      </c>
      <c r="P1" s="67" t="s">
        <v>27</v>
      </c>
      <c r="Q1" s="111" t="s">
        <v>28</v>
      </c>
      <c r="R1" s="67" t="s">
        <v>34</v>
      </c>
      <c r="S1" s="67" t="s">
        <v>3</v>
      </c>
      <c r="T1" s="68" t="s">
        <v>4</v>
      </c>
      <c r="U1" s="215"/>
      <c r="V1" s="610" t="s">
        <v>626</v>
      </c>
      <c r="W1" s="611"/>
      <c r="X1" s="611"/>
      <c r="Y1" s="611"/>
      <c r="Z1" s="611"/>
      <c r="AA1" s="81" t="s">
        <v>22</v>
      </c>
      <c r="AB1" s="71"/>
      <c r="AC1" s="625" t="s">
        <v>155</v>
      </c>
      <c r="AD1" s="625"/>
      <c r="AE1" s="625"/>
      <c r="AF1" s="625"/>
      <c r="AG1" s="625"/>
      <c r="AH1" s="625"/>
    </row>
    <row r="2" spans="1:35" s="79" customFormat="1" ht="20.100000000000001" customHeight="1" thickBot="1" x14ac:dyDescent="0.4">
      <c r="A2" s="72">
        <f>Civil!A2+1</f>
        <v>5</v>
      </c>
      <c r="B2" s="73" t="str" cm="1">
        <f t="array" aca="1" ref="B2" ca="1">UPPER(MID(CELL("filename",A1),FIND("]",CELL("filename",A1))+1,255))</f>
        <v>DETAILED EXCAVATION</v>
      </c>
      <c r="C2" s="74"/>
      <c r="D2" s="74"/>
      <c r="E2" s="74"/>
      <c r="F2" s="74"/>
      <c r="G2" s="74"/>
      <c r="H2" s="74"/>
      <c r="I2" s="74"/>
      <c r="J2" s="74"/>
      <c r="K2" s="74"/>
      <c r="L2" s="74"/>
      <c r="M2" s="75"/>
      <c r="N2" s="76"/>
      <c r="O2" s="77"/>
      <c r="P2" s="77"/>
      <c r="Q2" s="77"/>
      <c r="R2" s="77"/>
      <c r="S2" s="77"/>
      <c r="T2" s="78"/>
      <c r="U2" s="207"/>
      <c r="V2" s="221" t="s">
        <v>26</v>
      </c>
      <c r="W2" s="222" t="s">
        <v>27</v>
      </c>
      <c r="X2" s="222" t="s">
        <v>28</v>
      </c>
      <c r="Y2" s="222" t="s">
        <v>34</v>
      </c>
      <c r="Z2" s="222" t="s">
        <v>615</v>
      </c>
      <c r="AA2" s="80"/>
      <c r="AB2" s="71"/>
      <c r="AC2" s="81" t="s">
        <v>26</v>
      </c>
      <c r="AD2" s="81" t="s">
        <v>36</v>
      </c>
      <c r="AE2" s="81" t="s">
        <v>28</v>
      </c>
      <c r="AF2" s="81" t="s">
        <v>34</v>
      </c>
      <c r="AG2" s="81" t="s">
        <v>32</v>
      </c>
      <c r="AH2" s="81" t="s">
        <v>4</v>
      </c>
    </row>
    <row r="3" spans="1:35" s="79" customFormat="1" ht="21.75" customHeight="1" thickBot="1" x14ac:dyDescent="0.4">
      <c r="A3" s="99"/>
      <c r="B3" s="622" t="str">
        <f>"TOTAL"</f>
        <v>TOTAL</v>
      </c>
      <c r="C3" s="623"/>
      <c r="D3" s="623"/>
      <c r="E3" s="623"/>
      <c r="F3" s="623"/>
      <c r="G3" s="623"/>
      <c r="H3" s="623"/>
      <c r="I3" s="623"/>
      <c r="J3" s="623"/>
      <c r="K3" s="623"/>
      <c r="L3" s="623"/>
      <c r="M3" s="623"/>
      <c r="N3" s="624"/>
      <c r="O3" s="100"/>
      <c r="P3" s="100"/>
      <c r="Q3" s="100"/>
      <c r="R3" s="100"/>
      <c r="S3" s="100"/>
      <c r="T3" s="101">
        <f ca="1">SUM(T$2:OFFSET(T3,-1,0))</f>
        <v>0</v>
      </c>
      <c r="U3" s="210"/>
      <c r="V3" s="100"/>
      <c r="W3" s="100"/>
      <c r="X3" s="100"/>
      <c r="Y3" s="100"/>
      <c r="Z3" s="100"/>
      <c r="AA3" s="115"/>
      <c r="AB3" s="94"/>
      <c r="AC3" s="104">
        <f t="shared" ref="AC3:AH3" si="0">SUM(AC1:AC2)</f>
        <v>0</v>
      </c>
      <c r="AD3" s="104">
        <f t="shared" si="0"/>
        <v>0</v>
      </c>
      <c r="AE3" s="104">
        <f t="shared" si="0"/>
        <v>0</v>
      </c>
      <c r="AF3" s="104">
        <f t="shared" si="0"/>
        <v>0</v>
      </c>
      <c r="AG3" s="104">
        <f t="shared" si="0"/>
        <v>0</v>
      </c>
      <c r="AH3" s="104">
        <f t="shared" si="0"/>
        <v>0</v>
      </c>
      <c r="AI3" s="116"/>
    </row>
    <row r="4" spans="1:35" s="94" customFormat="1" ht="21" x14ac:dyDescent="0.25">
      <c r="A4" s="105"/>
      <c r="B4" s="25"/>
      <c r="C4" s="36"/>
      <c r="D4" s="36"/>
      <c r="E4" s="36"/>
      <c r="F4" s="36"/>
      <c r="G4" s="36"/>
      <c r="H4" s="36"/>
      <c r="I4" s="36"/>
      <c r="J4" s="36"/>
      <c r="K4" s="36"/>
      <c r="L4" s="36"/>
      <c r="M4" s="106"/>
      <c r="N4" s="32"/>
      <c r="O4" s="25"/>
      <c r="P4" s="25"/>
      <c r="Q4" s="25"/>
      <c r="R4" s="25"/>
      <c r="S4" s="92"/>
      <c r="T4" s="107"/>
      <c r="U4" s="107"/>
      <c r="V4" s="107"/>
      <c r="W4" s="107"/>
      <c r="X4" s="26"/>
      <c r="Y4" s="26"/>
      <c r="Z4" s="26"/>
      <c r="AC4" s="81" t="s">
        <v>26</v>
      </c>
      <c r="AD4" s="81" t="s">
        <v>36</v>
      </c>
      <c r="AE4" s="81" t="s">
        <v>28</v>
      </c>
      <c r="AF4" s="81" t="s">
        <v>34</v>
      </c>
      <c r="AG4" s="81" t="s">
        <v>32</v>
      </c>
      <c r="AH4" s="81" t="s">
        <v>4</v>
      </c>
      <c r="AI4" s="116"/>
    </row>
    <row r="5" spans="1:35" ht="15.75" x14ac:dyDescent="0.25">
      <c r="M5" s="106"/>
      <c r="U5" s="107"/>
      <c r="V5" s="107"/>
      <c r="W5" s="26"/>
      <c r="X5" s="26"/>
      <c r="Y5" s="26"/>
      <c r="Z5" s="26"/>
      <c r="AA5" s="94"/>
      <c r="AB5" s="94"/>
      <c r="AC5" s="94"/>
      <c r="AD5" s="94"/>
      <c r="AE5" s="116"/>
      <c r="AF5" s="116"/>
      <c r="AG5" s="116"/>
      <c r="AH5" s="116"/>
      <c r="AI5" s="116"/>
    </row>
    <row r="6" spans="1:35" ht="15.75" x14ac:dyDescent="0.25">
      <c r="U6" s="107"/>
      <c r="V6" s="107"/>
      <c r="W6" s="26"/>
      <c r="X6" s="26"/>
      <c r="Y6" s="26"/>
      <c r="Z6" s="26"/>
      <c r="AA6" s="94"/>
      <c r="AB6" s="94"/>
      <c r="AC6" s="94"/>
      <c r="AD6" s="94"/>
      <c r="AE6" s="116"/>
      <c r="AF6" s="116"/>
      <c r="AG6" s="116"/>
      <c r="AH6" s="116"/>
      <c r="AI6" s="116"/>
    </row>
    <row r="7" spans="1:35" ht="15.75" x14ac:dyDescent="0.25">
      <c r="K7" s="109"/>
      <c r="U7" s="107"/>
      <c r="V7" s="107"/>
      <c r="W7" s="26"/>
      <c r="X7" s="26"/>
      <c r="Y7" s="26"/>
      <c r="Z7" s="26"/>
      <c r="AA7" s="94"/>
      <c r="AB7" s="94"/>
      <c r="AC7" s="94"/>
      <c r="AD7" s="94"/>
    </row>
    <row r="8" spans="1:35" ht="15.75" x14ac:dyDescent="0.25">
      <c r="U8" s="107"/>
      <c r="V8" s="107"/>
      <c r="W8" s="26"/>
      <c r="X8" s="26"/>
      <c r="Y8" s="26"/>
      <c r="Z8" s="26"/>
      <c r="AA8" s="94"/>
      <c r="AB8" s="94"/>
      <c r="AC8" s="94"/>
      <c r="AD8" s="94"/>
    </row>
    <row r="9" spans="1:35" ht="15.75" x14ac:dyDescent="0.25">
      <c r="T9" s="108">
        <f ca="1">AH3-T3</f>
        <v>0</v>
      </c>
      <c r="U9" s="107"/>
      <c r="V9" s="107"/>
      <c r="W9" s="26"/>
      <c r="X9" s="26"/>
      <c r="Y9" s="26"/>
      <c r="Z9" s="26"/>
    </row>
    <row r="10" spans="1:35" ht="15.75" x14ac:dyDescent="0.25">
      <c r="U10" s="107"/>
      <c r="V10" s="107"/>
      <c r="W10" s="26"/>
      <c r="X10" s="26"/>
      <c r="Y10" s="26"/>
      <c r="Z10" s="26"/>
    </row>
    <row r="11" spans="1:35" ht="15.75" x14ac:dyDescent="0.25">
      <c r="U11" s="107"/>
      <c r="V11" s="107"/>
      <c r="W11" s="26"/>
      <c r="X11" s="26"/>
      <c r="Y11" s="26"/>
      <c r="Z11" s="26"/>
    </row>
    <row r="12" spans="1:35" ht="15.75" x14ac:dyDescent="0.25">
      <c r="U12" s="107"/>
      <c r="V12" s="107"/>
      <c r="W12" s="26"/>
      <c r="X12" s="26"/>
      <c r="Y12" s="26"/>
      <c r="Z12" s="26"/>
    </row>
    <row r="13" spans="1:35" ht="18.75" x14ac:dyDescent="0.25">
      <c r="U13" s="107"/>
      <c r="V13" s="107"/>
      <c r="W13" s="30"/>
      <c r="X13" s="30"/>
      <c r="Y13" s="30"/>
      <c r="Z13" s="30"/>
    </row>
    <row r="14" spans="1:35" s="110" customFormat="1" ht="15.75" x14ac:dyDescent="0.25">
      <c r="A14" s="25"/>
      <c r="B14" s="25"/>
      <c r="C14" s="36"/>
      <c r="D14" s="36"/>
      <c r="E14" s="36"/>
      <c r="F14" s="36"/>
      <c r="G14" s="36"/>
      <c r="H14" s="36"/>
      <c r="I14" s="36"/>
      <c r="J14" s="36"/>
      <c r="K14" s="36"/>
      <c r="L14" s="36"/>
      <c r="N14" s="36"/>
      <c r="O14" s="25"/>
      <c r="P14" s="25"/>
      <c r="Q14" s="25"/>
      <c r="R14" s="25"/>
      <c r="S14" s="25"/>
      <c r="T14" s="108"/>
      <c r="U14" s="107"/>
      <c r="V14" s="107"/>
      <c r="W14" s="26"/>
      <c r="X14" s="26"/>
      <c r="Y14" s="26"/>
      <c r="Z14" s="26"/>
    </row>
    <row r="15" spans="1:35" s="110" customFormat="1" ht="15.75" x14ac:dyDescent="0.25">
      <c r="A15" s="25"/>
      <c r="B15" s="25"/>
      <c r="C15" s="36"/>
      <c r="D15" s="36"/>
      <c r="E15" s="36"/>
      <c r="F15" s="36"/>
      <c r="G15" s="36"/>
      <c r="H15" s="36"/>
      <c r="I15" s="36"/>
      <c r="J15" s="36"/>
      <c r="K15" s="36"/>
      <c r="L15" s="36"/>
      <c r="N15" s="36"/>
      <c r="O15" s="25"/>
      <c r="P15" s="25"/>
      <c r="Q15" s="25"/>
      <c r="R15" s="25"/>
      <c r="S15" s="25"/>
      <c r="T15" s="108"/>
      <c r="U15" s="107"/>
      <c r="V15" s="107"/>
      <c r="W15" s="26"/>
      <c r="X15" s="26"/>
      <c r="Y15" s="26"/>
      <c r="Z15" s="26"/>
    </row>
    <row r="16" spans="1:35" s="110" customFormat="1" ht="15.75" x14ac:dyDescent="0.25">
      <c r="A16" s="25"/>
      <c r="B16" s="25"/>
      <c r="C16" s="36"/>
      <c r="D16" s="36"/>
      <c r="E16" s="36"/>
      <c r="F16" s="36"/>
      <c r="G16" s="36"/>
      <c r="H16" s="36"/>
      <c r="I16" s="36"/>
      <c r="J16" s="36"/>
      <c r="K16" s="36"/>
      <c r="L16" s="36"/>
      <c r="N16" s="36"/>
      <c r="O16" s="25"/>
      <c r="P16" s="25"/>
      <c r="Q16" s="25"/>
      <c r="R16" s="25"/>
      <c r="S16" s="25"/>
      <c r="T16" s="108"/>
      <c r="U16" s="107"/>
      <c r="V16" s="107"/>
      <c r="W16" s="26"/>
      <c r="X16" s="26"/>
      <c r="Y16" s="26"/>
      <c r="Z16" s="26"/>
    </row>
    <row r="17" spans="1:26" s="110" customFormat="1" ht="15.75" x14ac:dyDescent="0.25">
      <c r="A17" s="25"/>
      <c r="B17" s="25"/>
      <c r="C17" s="36"/>
      <c r="D17" s="36"/>
      <c r="E17" s="36"/>
      <c r="F17" s="36"/>
      <c r="G17" s="36"/>
      <c r="H17" s="36"/>
      <c r="I17" s="36"/>
      <c r="J17" s="36"/>
      <c r="K17" s="36"/>
      <c r="L17" s="36"/>
      <c r="N17" s="36"/>
      <c r="O17" s="25"/>
      <c r="P17" s="25"/>
      <c r="Q17" s="25"/>
      <c r="R17" s="25"/>
      <c r="S17" s="25"/>
      <c r="T17" s="108"/>
      <c r="U17" s="107"/>
      <c r="V17" s="107"/>
      <c r="W17" s="26"/>
      <c r="X17" s="26"/>
      <c r="Y17" s="26"/>
      <c r="Z17" s="26"/>
    </row>
    <row r="18" spans="1:26" s="110" customFormat="1" ht="15.75" x14ac:dyDescent="0.25">
      <c r="A18" s="25"/>
      <c r="B18" s="25"/>
      <c r="C18" s="36"/>
      <c r="D18" s="36"/>
      <c r="E18" s="36"/>
      <c r="F18" s="36"/>
      <c r="G18" s="36"/>
      <c r="H18" s="36"/>
      <c r="I18" s="36"/>
      <c r="J18" s="36"/>
      <c r="K18" s="36"/>
      <c r="L18" s="36"/>
      <c r="N18" s="36"/>
      <c r="O18" s="25"/>
      <c r="P18" s="25"/>
      <c r="Q18" s="25"/>
      <c r="R18" s="25"/>
      <c r="S18" s="25"/>
      <c r="T18" s="108"/>
      <c r="U18" s="107"/>
      <c r="V18" s="107"/>
      <c r="W18" s="26"/>
      <c r="X18" s="26"/>
      <c r="Y18" s="26"/>
      <c r="Z18" s="26"/>
    </row>
    <row r="19" spans="1:26" s="110" customFormat="1" ht="15.75" x14ac:dyDescent="0.25">
      <c r="A19" s="25"/>
      <c r="B19" s="25"/>
      <c r="C19" s="36"/>
      <c r="D19" s="36"/>
      <c r="E19" s="36"/>
      <c r="F19" s="36"/>
      <c r="G19" s="36"/>
      <c r="H19" s="36"/>
      <c r="I19" s="36"/>
      <c r="J19" s="36"/>
      <c r="K19" s="36"/>
      <c r="L19" s="36"/>
      <c r="N19" s="36"/>
      <c r="O19" s="25"/>
      <c r="P19" s="25"/>
      <c r="Q19" s="25"/>
      <c r="R19" s="25"/>
      <c r="S19" s="25"/>
      <c r="T19" s="108"/>
      <c r="U19" s="107"/>
      <c r="V19" s="107"/>
      <c r="W19" s="26"/>
      <c r="X19" s="26"/>
      <c r="Y19" s="26"/>
      <c r="Z19" s="26"/>
    </row>
    <row r="20" spans="1:26" s="110" customFormat="1" ht="15.75" x14ac:dyDescent="0.25">
      <c r="A20" s="25"/>
      <c r="B20" s="25"/>
      <c r="C20" s="36"/>
      <c r="D20" s="36"/>
      <c r="E20" s="36"/>
      <c r="F20" s="36"/>
      <c r="G20" s="36"/>
      <c r="H20" s="36"/>
      <c r="I20" s="36"/>
      <c r="J20" s="36"/>
      <c r="K20" s="36"/>
      <c r="L20" s="36"/>
      <c r="N20" s="36"/>
      <c r="O20" s="25"/>
      <c r="P20" s="25"/>
      <c r="Q20" s="25"/>
      <c r="R20" s="25"/>
      <c r="S20" s="25"/>
      <c r="T20" s="108"/>
      <c r="U20" s="107"/>
      <c r="V20" s="107"/>
      <c r="W20" s="26"/>
      <c r="X20" s="26"/>
      <c r="Y20" s="26"/>
      <c r="Z20" s="26"/>
    </row>
    <row r="21" spans="1:26" s="110" customFormat="1" ht="15.75" x14ac:dyDescent="0.25">
      <c r="A21" s="25"/>
      <c r="B21" s="25"/>
      <c r="C21" s="36"/>
      <c r="D21" s="36"/>
      <c r="E21" s="36"/>
      <c r="F21" s="36"/>
      <c r="G21" s="36"/>
      <c r="H21" s="36"/>
      <c r="I21" s="36"/>
      <c r="J21" s="36"/>
      <c r="K21" s="36"/>
      <c r="L21" s="36"/>
      <c r="N21" s="36"/>
      <c r="O21" s="25"/>
      <c r="P21" s="25"/>
      <c r="Q21" s="25"/>
      <c r="R21" s="25"/>
      <c r="S21" s="25"/>
      <c r="T21" s="108"/>
      <c r="U21" s="107"/>
      <c r="V21" s="107"/>
      <c r="W21" s="26"/>
      <c r="X21" s="26"/>
      <c r="Y21" s="26"/>
      <c r="Z21" s="26"/>
    </row>
    <row r="22" spans="1:26" s="110" customFormat="1" ht="15.75" x14ac:dyDescent="0.25">
      <c r="A22" s="25"/>
      <c r="B22" s="25"/>
      <c r="C22" s="36"/>
      <c r="D22" s="36"/>
      <c r="E22" s="36"/>
      <c r="F22" s="36"/>
      <c r="G22" s="36"/>
      <c r="H22" s="36"/>
      <c r="I22" s="36"/>
      <c r="J22" s="36"/>
      <c r="K22" s="36"/>
      <c r="L22" s="36"/>
      <c r="N22" s="36"/>
      <c r="O22" s="25"/>
      <c r="P22" s="25"/>
      <c r="Q22" s="25"/>
      <c r="R22" s="25"/>
      <c r="S22" s="25"/>
      <c r="T22" s="108"/>
      <c r="U22" s="107"/>
      <c r="V22" s="107"/>
      <c r="W22" s="26"/>
      <c r="X22" s="26"/>
      <c r="Y22" s="26"/>
      <c r="Z22" s="26"/>
    </row>
    <row r="23" spans="1:26" s="110" customFormat="1" ht="15.75" x14ac:dyDescent="0.25">
      <c r="A23" s="25"/>
      <c r="B23" s="25"/>
      <c r="C23" s="36"/>
      <c r="D23" s="36"/>
      <c r="E23" s="36"/>
      <c r="F23" s="36"/>
      <c r="G23" s="36"/>
      <c r="H23" s="36"/>
      <c r="I23" s="36"/>
      <c r="J23" s="36"/>
      <c r="K23" s="36"/>
      <c r="L23" s="36"/>
      <c r="N23" s="36"/>
      <c r="O23" s="25"/>
      <c r="P23" s="25"/>
      <c r="Q23" s="25"/>
      <c r="R23" s="25"/>
      <c r="S23" s="25"/>
      <c r="T23" s="108"/>
      <c r="U23" s="107"/>
      <c r="V23" s="107"/>
      <c r="W23" s="26"/>
      <c r="X23" s="26"/>
      <c r="Y23" s="26"/>
      <c r="Z23" s="26"/>
    </row>
    <row r="24" spans="1:26" s="110" customFormat="1" ht="18.75" x14ac:dyDescent="0.25">
      <c r="A24" s="25"/>
      <c r="B24" s="25"/>
      <c r="C24" s="36"/>
      <c r="D24" s="36"/>
      <c r="E24" s="36"/>
      <c r="F24" s="36"/>
      <c r="G24" s="36"/>
      <c r="H24" s="36"/>
      <c r="I24" s="36"/>
      <c r="J24" s="36"/>
      <c r="K24" s="36"/>
      <c r="L24" s="36"/>
      <c r="N24" s="36"/>
      <c r="O24" s="25"/>
      <c r="P24" s="25"/>
      <c r="Q24" s="25"/>
      <c r="R24" s="25"/>
      <c r="S24" s="25"/>
      <c r="T24" s="108"/>
      <c r="U24" s="107"/>
      <c r="V24" s="107"/>
      <c r="W24" s="30"/>
      <c r="X24" s="30"/>
      <c r="Y24" s="30"/>
      <c r="Z24" s="30"/>
    </row>
    <row r="25" spans="1:26" s="110" customFormat="1" ht="15.75" x14ac:dyDescent="0.25">
      <c r="A25" s="25"/>
      <c r="B25" s="25"/>
      <c r="C25" s="36"/>
      <c r="D25" s="36"/>
      <c r="E25" s="36"/>
      <c r="F25" s="36"/>
      <c r="G25" s="36"/>
      <c r="H25" s="36"/>
      <c r="I25" s="36"/>
      <c r="J25" s="36"/>
      <c r="K25" s="36"/>
      <c r="L25" s="36"/>
      <c r="N25" s="36"/>
      <c r="O25" s="25"/>
      <c r="P25" s="25"/>
      <c r="Q25" s="25"/>
      <c r="R25" s="25"/>
      <c r="S25" s="25"/>
      <c r="T25" s="108"/>
      <c r="U25" s="107"/>
      <c r="V25" s="107"/>
      <c r="W25" s="26"/>
      <c r="X25" s="26"/>
      <c r="Y25" s="26"/>
      <c r="Z25" s="26"/>
    </row>
    <row r="26" spans="1:26" s="110" customFormat="1" ht="15.75" x14ac:dyDescent="0.25">
      <c r="A26" s="25"/>
      <c r="B26" s="25"/>
      <c r="C26" s="36"/>
      <c r="D26" s="36"/>
      <c r="E26" s="36"/>
      <c r="F26" s="36"/>
      <c r="G26" s="36"/>
      <c r="H26" s="36"/>
      <c r="I26" s="36"/>
      <c r="J26" s="36"/>
      <c r="K26" s="36"/>
      <c r="L26" s="36"/>
      <c r="N26" s="36"/>
      <c r="O26" s="25"/>
      <c r="P26" s="25"/>
      <c r="Q26" s="25"/>
      <c r="R26" s="25"/>
      <c r="S26" s="25"/>
      <c r="T26" s="108"/>
      <c r="U26" s="107"/>
      <c r="V26" s="107"/>
      <c r="W26" s="26"/>
      <c r="X26" s="26"/>
      <c r="Y26" s="26"/>
      <c r="Z26" s="26"/>
    </row>
    <row r="27" spans="1:26" s="110" customFormat="1" ht="15.75" x14ac:dyDescent="0.25">
      <c r="A27" s="25"/>
      <c r="B27" s="25"/>
      <c r="C27" s="36"/>
      <c r="D27" s="36"/>
      <c r="E27" s="36"/>
      <c r="F27" s="36"/>
      <c r="G27" s="36"/>
      <c r="H27" s="36"/>
      <c r="I27" s="36"/>
      <c r="J27" s="36"/>
      <c r="K27" s="36"/>
      <c r="L27" s="36"/>
      <c r="N27" s="36"/>
      <c r="O27" s="25"/>
      <c r="P27" s="25"/>
      <c r="Q27" s="25"/>
      <c r="R27" s="25"/>
      <c r="S27" s="25"/>
      <c r="T27" s="108"/>
      <c r="U27" s="107"/>
      <c r="V27" s="107"/>
      <c r="W27" s="26"/>
      <c r="X27" s="26"/>
      <c r="Y27" s="26"/>
      <c r="Z27" s="26"/>
    </row>
    <row r="28" spans="1:26" s="110" customFormat="1" ht="15.75" x14ac:dyDescent="0.25">
      <c r="A28" s="25"/>
      <c r="B28" s="25"/>
      <c r="C28" s="36"/>
      <c r="D28" s="36"/>
      <c r="E28" s="36"/>
      <c r="F28" s="36"/>
      <c r="G28" s="36"/>
      <c r="H28" s="36"/>
      <c r="I28" s="36"/>
      <c r="J28" s="36"/>
      <c r="K28" s="36"/>
      <c r="L28" s="36"/>
      <c r="N28" s="36"/>
      <c r="O28" s="25"/>
      <c r="P28" s="25"/>
      <c r="Q28" s="25"/>
      <c r="R28" s="25"/>
      <c r="S28" s="25"/>
      <c r="T28" s="108"/>
      <c r="U28" s="107"/>
      <c r="V28" s="107"/>
      <c r="W28" s="26"/>
      <c r="X28" s="26"/>
      <c r="Y28" s="26"/>
      <c r="Z28" s="26"/>
    </row>
    <row r="29" spans="1:26" s="110" customFormat="1" ht="15.75" x14ac:dyDescent="0.25">
      <c r="A29" s="25"/>
      <c r="B29" s="25"/>
      <c r="C29" s="36"/>
      <c r="D29" s="36"/>
      <c r="E29" s="36"/>
      <c r="F29" s="36"/>
      <c r="G29" s="36"/>
      <c r="H29" s="36"/>
      <c r="I29" s="36"/>
      <c r="J29" s="36"/>
      <c r="K29" s="36"/>
      <c r="L29" s="36"/>
      <c r="N29" s="36"/>
      <c r="O29" s="25"/>
      <c r="P29" s="25"/>
      <c r="Q29" s="25"/>
      <c r="R29" s="25"/>
      <c r="S29" s="25"/>
      <c r="T29" s="108"/>
      <c r="U29" s="107"/>
      <c r="V29" s="107"/>
      <c r="W29" s="26"/>
      <c r="X29" s="26"/>
      <c r="Y29" s="26"/>
      <c r="Z29" s="26"/>
    </row>
    <row r="30" spans="1:26" s="110" customFormat="1" ht="15.75" x14ac:dyDescent="0.25">
      <c r="A30" s="25"/>
      <c r="B30" s="25"/>
      <c r="C30" s="36"/>
      <c r="D30" s="36"/>
      <c r="E30" s="36"/>
      <c r="F30" s="36"/>
      <c r="G30" s="36"/>
      <c r="H30" s="36"/>
      <c r="I30" s="36"/>
      <c r="J30" s="36"/>
      <c r="K30" s="36"/>
      <c r="L30" s="36"/>
      <c r="N30" s="36"/>
      <c r="O30" s="25"/>
      <c r="P30" s="25"/>
      <c r="Q30" s="25"/>
      <c r="R30" s="25"/>
      <c r="S30" s="25"/>
      <c r="T30" s="108"/>
      <c r="U30" s="107"/>
      <c r="V30" s="107"/>
      <c r="W30" s="26"/>
      <c r="X30" s="26"/>
      <c r="Y30" s="26"/>
      <c r="Z30" s="26"/>
    </row>
    <row r="31" spans="1:26" ht="15.75" x14ac:dyDescent="0.25">
      <c r="U31" s="107"/>
      <c r="V31" s="107"/>
      <c r="W31" s="26"/>
      <c r="X31" s="26"/>
      <c r="Y31" s="26"/>
      <c r="Z31" s="26"/>
    </row>
    <row r="32" spans="1:26" ht="15.75" x14ac:dyDescent="0.25">
      <c r="U32" s="107"/>
      <c r="V32" s="107"/>
      <c r="W32" s="26"/>
      <c r="X32" s="26"/>
      <c r="Y32" s="26"/>
      <c r="Z32" s="26"/>
    </row>
    <row r="33" spans="21:26" ht="15.75" x14ac:dyDescent="0.25">
      <c r="U33" s="107"/>
      <c r="V33" s="107"/>
      <c r="W33" s="26"/>
      <c r="X33" s="26"/>
      <c r="Y33" s="26"/>
      <c r="Z33" s="26"/>
    </row>
    <row r="34" spans="21:26" ht="15.75" x14ac:dyDescent="0.25">
      <c r="U34" s="107"/>
      <c r="V34" s="107"/>
      <c r="W34" s="26"/>
      <c r="X34" s="26"/>
      <c r="Y34" s="26"/>
      <c r="Z34" s="26"/>
    </row>
    <row r="35" spans="21:26" ht="18.75" x14ac:dyDescent="0.25">
      <c r="U35" s="107"/>
      <c r="V35" s="107"/>
      <c r="W35" s="30"/>
      <c r="X35" s="30"/>
      <c r="Y35" s="30"/>
      <c r="Z35" s="30"/>
    </row>
    <row r="36" spans="21:26" ht="15.75" x14ac:dyDescent="0.25">
      <c r="U36" s="107"/>
      <c r="V36" s="107"/>
      <c r="W36" s="26"/>
      <c r="X36" s="26"/>
      <c r="Y36" s="26"/>
      <c r="Z36" s="26"/>
    </row>
    <row r="37" spans="21:26" ht="15.75" x14ac:dyDescent="0.25">
      <c r="U37" s="107"/>
      <c r="V37" s="107"/>
      <c r="W37" s="26"/>
      <c r="X37" s="26"/>
      <c r="Y37" s="26"/>
      <c r="Z37" s="26"/>
    </row>
    <row r="38" spans="21:26" ht="15.75" x14ac:dyDescent="0.25">
      <c r="U38" s="107"/>
      <c r="V38" s="107"/>
      <c r="W38" s="26"/>
      <c r="X38" s="26"/>
      <c r="Y38" s="26"/>
      <c r="Z38" s="26"/>
    </row>
    <row r="39" spans="21:26" ht="15.75" x14ac:dyDescent="0.25">
      <c r="U39" s="107"/>
      <c r="V39" s="107"/>
      <c r="W39" s="26"/>
      <c r="X39" s="26"/>
      <c r="Y39" s="26"/>
      <c r="Z39" s="26"/>
    </row>
    <row r="40" spans="21:26" ht="15.75" x14ac:dyDescent="0.25">
      <c r="U40" s="107"/>
      <c r="V40" s="107"/>
      <c r="W40" s="26"/>
      <c r="X40" s="26"/>
      <c r="Y40" s="26"/>
      <c r="Z40" s="26"/>
    </row>
    <row r="41" spans="21:26" ht="15.75" x14ac:dyDescent="0.25">
      <c r="U41" s="107"/>
      <c r="V41" s="107"/>
      <c r="W41" s="26"/>
      <c r="X41" s="26"/>
      <c r="Y41" s="26"/>
      <c r="Z41" s="26"/>
    </row>
    <row r="42" spans="21:26" ht="15.75" x14ac:dyDescent="0.25">
      <c r="U42" s="107"/>
      <c r="V42" s="107"/>
      <c r="W42" s="26"/>
      <c r="X42" s="26"/>
      <c r="Y42" s="26"/>
      <c r="Z42" s="26"/>
    </row>
    <row r="43" spans="21:26" ht="15.75" x14ac:dyDescent="0.25">
      <c r="U43" s="107"/>
      <c r="V43" s="107"/>
      <c r="W43" s="26"/>
      <c r="X43" s="26"/>
      <c r="Y43" s="26"/>
      <c r="Z43" s="26"/>
    </row>
    <row r="44" spans="21:26" ht="15.75" x14ac:dyDescent="0.25">
      <c r="U44" s="107"/>
      <c r="V44" s="107"/>
      <c r="W44" s="26"/>
      <c r="X44" s="26"/>
      <c r="Y44" s="26"/>
      <c r="Z44" s="26"/>
    </row>
    <row r="45" spans="21:26" ht="15.75" x14ac:dyDescent="0.25">
      <c r="U45" s="107"/>
      <c r="V45" s="107"/>
      <c r="W45" s="26"/>
      <c r="X45" s="26"/>
      <c r="Y45" s="26"/>
      <c r="Z45" s="26"/>
    </row>
    <row r="46" spans="21:26" ht="18.75" x14ac:dyDescent="0.25">
      <c r="U46" s="107"/>
      <c r="V46" s="107"/>
      <c r="W46" s="30"/>
      <c r="X46" s="30"/>
      <c r="Y46" s="30"/>
      <c r="Z46" s="30"/>
    </row>
    <row r="47" spans="21:26" ht="15.75" x14ac:dyDescent="0.25">
      <c r="U47" s="107"/>
      <c r="V47" s="107"/>
      <c r="W47" s="26"/>
      <c r="X47" s="26"/>
      <c r="Y47" s="26"/>
      <c r="Z47" s="26"/>
    </row>
    <row r="48" spans="21:26" ht="15.75" x14ac:dyDescent="0.25">
      <c r="U48" s="107"/>
      <c r="V48" s="107"/>
      <c r="W48" s="26"/>
      <c r="X48" s="26"/>
      <c r="Y48" s="26"/>
      <c r="Z48" s="26"/>
    </row>
    <row r="49" spans="21:26" ht="15.75" x14ac:dyDescent="0.25">
      <c r="U49" s="107"/>
      <c r="V49" s="107"/>
      <c r="W49" s="26"/>
      <c r="X49" s="26"/>
      <c r="Y49" s="26"/>
      <c r="Z49" s="26"/>
    </row>
    <row r="50" spans="21:26" ht="15.75" x14ac:dyDescent="0.25">
      <c r="U50" s="107"/>
      <c r="V50" s="107"/>
      <c r="W50" s="26"/>
      <c r="X50" s="26"/>
      <c r="Y50" s="26"/>
      <c r="Z50" s="26"/>
    </row>
    <row r="51" spans="21:26" ht="15.75" x14ac:dyDescent="0.25">
      <c r="U51" s="107"/>
      <c r="V51" s="107"/>
      <c r="W51" s="26"/>
      <c r="X51" s="26"/>
      <c r="Y51" s="26"/>
      <c r="Z51" s="26"/>
    </row>
    <row r="52" spans="21:26" ht="15.75" x14ac:dyDescent="0.25">
      <c r="U52" s="107"/>
      <c r="V52" s="107"/>
      <c r="W52" s="26"/>
      <c r="X52" s="26"/>
      <c r="Y52" s="26"/>
      <c r="Z52" s="26"/>
    </row>
    <row r="53" spans="21:26" ht="15.75" x14ac:dyDescent="0.25">
      <c r="U53" s="107"/>
      <c r="V53" s="107"/>
      <c r="W53" s="26"/>
      <c r="X53" s="26"/>
      <c r="Y53" s="26"/>
      <c r="Z53" s="26"/>
    </row>
    <row r="54" spans="21:26" ht="15.75" x14ac:dyDescent="0.25">
      <c r="U54" s="107"/>
      <c r="V54" s="107"/>
      <c r="W54" s="26"/>
      <c r="X54" s="26"/>
      <c r="Y54" s="26"/>
      <c r="Z54" s="26"/>
    </row>
    <row r="55" spans="21:26" ht="15.75" x14ac:dyDescent="0.25">
      <c r="U55" s="107"/>
      <c r="V55" s="107"/>
      <c r="W55" s="26"/>
      <c r="X55" s="26"/>
      <c r="Y55" s="26"/>
      <c r="Z55" s="26"/>
    </row>
    <row r="56" spans="21:26" ht="15.75" x14ac:dyDescent="0.25">
      <c r="U56" s="107"/>
      <c r="V56" s="107"/>
      <c r="W56" s="26"/>
      <c r="X56" s="26"/>
      <c r="Y56" s="26"/>
      <c r="Z56" s="26"/>
    </row>
    <row r="57" spans="21:26" ht="18.75" x14ac:dyDescent="0.25">
      <c r="U57" s="107"/>
      <c r="V57" s="107"/>
      <c r="W57" s="30"/>
      <c r="X57" s="30"/>
      <c r="Y57" s="30"/>
      <c r="Z57" s="30"/>
    </row>
    <row r="58" spans="21:26" ht="15.75" x14ac:dyDescent="0.25">
      <c r="U58" s="107"/>
      <c r="V58" s="107"/>
      <c r="W58" s="26"/>
      <c r="X58" s="26"/>
      <c r="Y58" s="26"/>
      <c r="Z58" s="26"/>
    </row>
    <row r="59" spans="21:26" ht="15.75" x14ac:dyDescent="0.25">
      <c r="U59" s="107"/>
      <c r="V59" s="107"/>
      <c r="W59" s="26"/>
      <c r="X59" s="26"/>
      <c r="Y59" s="26"/>
      <c r="Z59" s="26"/>
    </row>
    <row r="60" spans="21:26" ht="15.75" x14ac:dyDescent="0.25">
      <c r="U60" s="107"/>
      <c r="V60" s="107"/>
      <c r="W60" s="26"/>
      <c r="X60" s="26"/>
      <c r="Y60" s="26"/>
      <c r="Z60" s="26"/>
    </row>
    <row r="61" spans="21:26" ht="15.75" x14ac:dyDescent="0.25">
      <c r="U61" s="107"/>
      <c r="V61" s="107"/>
      <c r="W61" s="26"/>
      <c r="X61" s="26"/>
      <c r="Y61" s="26"/>
      <c r="Z61" s="26"/>
    </row>
    <row r="62" spans="21:26" ht="15.75" x14ac:dyDescent="0.25">
      <c r="U62" s="107"/>
      <c r="V62" s="107"/>
      <c r="W62" s="26"/>
      <c r="X62" s="26"/>
      <c r="Y62" s="26"/>
      <c r="Z62" s="26"/>
    </row>
    <row r="63" spans="21:26" ht="15.75" x14ac:dyDescent="0.25">
      <c r="U63" s="107"/>
      <c r="V63" s="107"/>
      <c r="W63" s="26"/>
      <c r="X63" s="26"/>
      <c r="Y63" s="26"/>
      <c r="Z63" s="26"/>
    </row>
    <row r="64" spans="21:26" ht="15.75" x14ac:dyDescent="0.25">
      <c r="U64" s="107"/>
      <c r="V64" s="107"/>
      <c r="W64" s="26"/>
      <c r="X64" s="26"/>
      <c r="Y64" s="26"/>
      <c r="Z64" s="26"/>
    </row>
    <row r="65" spans="21:26" ht="15.75" x14ac:dyDescent="0.25">
      <c r="U65" s="107"/>
      <c r="V65" s="107"/>
      <c r="W65" s="26"/>
      <c r="X65" s="26"/>
      <c r="Y65" s="26"/>
      <c r="Z65" s="26"/>
    </row>
    <row r="66" spans="21:26" ht="15.75" x14ac:dyDescent="0.25">
      <c r="U66" s="107"/>
      <c r="V66" s="107"/>
      <c r="W66" s="26"/>
      <c r="X66" s="26"/>
      <c r="Y66" s="26"/>
      <c r="Z66" s="26"/>
    </row>
    <row r="67" spans="21:26" ht="15.75" x14ac:dyDescent="0.25">
      <c r="U67" s="107"/>
      <c r="V67" s="107"/>
      <c r="W67" s="26"/>
      <c r="X67" s="26"/>
      <c r="Y67" s="26"/>
      <c r="Z67" s="26"/>
    </row>
    <row r="68" spans="21:26" ht="18.75" x14ac:dyDescent="0.25">
      <c r="U68" s="107"/>
      <c r="V68" s="107"/>
      <c r="W68" s="30"/>
      <c r="X68" s="30"/>
      <c r="Y68" s="30"/>
      <c r="Z68" s="30"/>
    </row>
    <row r="69" spans="21:26" ht="15.75" x14ac:dyDescent="0.25">
      <c r="U69" s="107"/>
      <c r="V69" s="107"/>
      <c r="W69" s="26"/>
      <c r="X69" s="26"/>
      <c r="Y69" s="26"/>
      <c r="Z69" s="26"/>
    </row>
    <row r="70" spans="21:26" ht="15.75" x14ac:dyDescent="0.25">
      <c r="U70" s="107"/>
      <c r="V70" s="107"/>
      <c r="W70" s="26"/>
      <c r="X70" s="26"/>
      <c r="Y70" s="26"/>
      <c r="Z70" s="26"/>
    </row>
    <row r="71" spans="21:26" ht="15.75" x14ac:dyDescent="0.25">
      <c r="U71" s="107"/>
      <c r="V71" s="107"/>
      <c r="W71" s="26"/>
      <c r="X71" s="26"/>
      <c r="Y71" s="26"/>
      <c r="Z71" s="26"/>
    </row>
    <row r="72" spans="21:26" ht="15.75" x14ac:dyDescent="0.25">
      <c r="U72" s="107"/>
      <c r="V72" s="107"/>
      <c r="W72" s="26"/>
      <c r="X72" s="26"/>
      <c r="Y72" s="26"/>
      <c r="Z72" s="26"/>
    </row>
    <row r="73" spans="21:26" ht="15.75" x14ac:dyDescent="0.25">
      <c r="U73" s="107"/>
      <c r="V73" s="107"/>
      <c r="W73" s="26"/>
      <c r="X73" s="26"/>
      <c r="Y73" s="26"/>
      <c r="Z73" s="26"/>
    </row>
    <row r="74" spans="21:26" ht="15.75" x14ac:dyDescent="0.25">
      <c r="U74" s="107"/>
      <c r="V74" s="107"/>
      <c r="W74" s="26"/>
      <c r="X74" s="26"/>
      <c r="Y74" s="26"/>
      <c r="Z74" s="26"/>
    </row>
    <row r="75" spans="21:26" ht="15.75" x14ac:dyDescent="0.25">
      <c r="U75" s="107"/>
      <c r="V75" s="107"/>
      <c r="W75" s="26"/>
      <c r="X75" s="26"/>
      <c r="Y75" s="26"/>
      <c r="Z75" s="26"/>
    </row>
    <row r="76" spans="21:26" ht="15.75" x14ac:dyDescent="0.25">
      <c r="U76" s="107"/>
      <c r="V76" s="107"/>
      <c r="W76" s="26"/>
      <c r="X76" s="26"/>
      <c r="Y76" s="26"/>
      <c r="Z76" s="26"/>
    </row>
    <row r="77" spans="21:26" ht="15.75" x14ac:dyDescent="0.25">
      <c r="U77" s="107"/>
      <c r="V77" s="107"/>
      <c r="W77" s="26"/>
      <c r="X77" s="26"/>
      <c r="Y77" s="26"/>
      <c r="Z77" s="26"/>
    </row>
    <row r="78" spans="21:26" ht="15.75" x14ac:dyDescent="0.25">
      <c r="U78" s="107"/>
      <c r="V78" s="107"/>
      <c r="W78" s="26"/>
      <c r="X78" s="26"/>
      <c r="Y78" s="26"/>
      <c r="Z78" s="26"/>
    </row>
    <row r="79" spans="21:26" ht="18.75" x14ac:dyDescent="0.25">
      <c r="U79" s="107"/>
      <c r="V79" s="107"/>
      <c r="W79" s="30"/>
      <c r="X79" s="30"/>
      <c r="Y79" s="30"/>
      <c r="Z79" s="30"/>
    </row>
    <row r="80" spans="21:26" ht="15.75" x14ac:dyDescent="0.25">
      <c r="U80" s="107"/>
      <c r="V80" s="107"/>
      <c r="W80" s="26"/>
      <c r="X80" s="26"/>
      <c r="Y80" s="26"/>
      <c r="Z80" s="26"/>
    </row>
    <row r="81" spans="21:26" ht="15.75" x14ac:dyDescent="0.25">
      <c r="U81" s="107"/>
      <c r="V81" s="107"/>
      <c r="W81" s="26"/>
      <c r="X81" s="26"/>
      <c r="Y81" s="26"/>
      <c r="Z81" s="26"/>
    </row>
    <row r="82" spans="21:26" ht="15.75" x14ac:dyDescent="0.25">
      <c r="U82" s="107"/>
      <c r="V82" s="107"/>
      <c r="W82" s="26"/>
      <c r="X82" s="26"/>
      <c r="Y82" s="26"/>
      <c r="Z82" s="26"/>
    </row>
    <row r="83" spans="21:26" ht="15.75" x14ac:dyDescent="0.25">
      <c r="U83" s="107"/>
      <c r="V83" s="107"/>
      <c r="W83" s="26"/>
      <c r="X83" s="26"/>
      <c r="Y83" s="26"/>
      <c r="Z83" s="26"/>
    </row>
    <row r="84" spans="21:26" ht="15.75" x14ac:dyDescent="0.25">
      <c r="U84" s="107"/>
      <c r="V84" s="107"/>
      <c r="W84" s="26"/>
      <c r="X84" s="26"/>
      <c r="Y84" s="26"/>
      <c r="Z84" s="26"/>
    </row>
    <row r="85" spans="21:26" ht="15.75" x14ac:dyDescent="0.25">
      <c r="U85" s="107"/>
      <c r="V85" s="107"/>
      <c r="W85" s="26"/>
      <c r="X85" s="26"/>
      <c r="Y85" s="26"/>
      <c r="Z85" s="26"/>
    </row>
    <row r="86" spans="21:26" ht="15.75" x14ac:dyDescent="0.25">
      <c r="U86" s="107"/>
      <c r="V86" s="107"/>
      <c r="W86" s="26"/>
      <c r="X86" s="26"/>
      <c r="Y86" s="26"/>
      <c r="Z86" s="26"/>
    </row>
    <row r="87" spans="21:26" ht="15.75" x14ac:dyDescent="0.25">
      <c r="U87" s="107"/>
      <c r="V87" s="107"/>
      <c r="W87" s="26"/>
      <c r="X87" s="26"/>
      <c r="Y87" s="26"/>
      <c r="Z87" s="26"/>
    </row>
    <row r="88" spans="21:26" ht="15.75" x14ac:dyDescent="0.25">
      <c r="U88" s="107"/>
      <c r="V88" s="107"/>
      <c r="W88" s="26"/>
      <c r="X88" s="26"/>
      <c r="Y88" s="26"/>
      <c r="Z88" s="26"/>
    </row>
    <row r="89" spans="21:26" ht="15.75" x14ac:dyDescent="0.25">
      <c r="U89" s="107"/>
      <c r="V89" s="107"/>
      <c r="W89" s="26"/>
      <c r="X89" s="26"/>
      <c r="Y89" s="26"/>
      <c r="Z89" s="26"/>
    </row>
    <row r="90" spans="21:26" ht="18.75" x14ac:dyDescent="0.25">
      <c r="U90" s="107"/>
      <c r="V90" s="107"/>
      <c r="W90" s="30"/>
      <c r="X90" s="30"/>
      <c r="Y90" s="30"/>
      <c r="Z90" s="30"/>
    </row>
    <row r="91" spans="21:26" ht="15.75" x14ac:dyDescent="0.25">
      <c r="U91" s="107"/>
      <c r="V91" s="107"/>
      <c r="W91" s="26"/>
      <c r="X91" s="26"/>
      <c r="Y91" s="26"/>
      <c r="Z91" s="26"/>
    </row>
    <row r="92" spans="21:26" ht="15.75" x14ac:dyDescent="0.25">
      <c r="U92" s="107"/>
      <c r="V92" s="107"/>
      <c r="W92" s="26"/>
      <c r="X92" s="26"/>
      <c r="Y92" s="26"/>
      <c r="Z92" s="26"/>
    </row>
    <row r="93" spans="21:26" ht="15.75" x14ac:dyDescent="0.25">
      <c r="U93" s="107"/>
      <c r="V93" s="107"/>
      <c r="W93" s="26"/>
      <c r="X93" s="26"/>
      <c r="Y93" s="26"/>
      <c r="Z93" s="26"/>
    </row>
    <row r="94" spans="21:26" ht="15.75" x14ac:dyDescent="0.25">
      <c r="U94" s="107"/>
      <c r="V94" s="107"/>
      <c r="W94" s="26"/>
      <c r="X94" s="26"/>
      <c r="Y94" s="26"/>
      <c r="Z94" s="26"/>
    </row>
    <row r="95" spans="21:26" ht="15.75" x14ac:dyDescent="0.25">
      <c r="U95" s="107"/>
      <c r="V95" s="107"/>
      <c r="W95" s="26"/>
      <c r="X95" s="26"/>
      <c r="Y95" s="26"/>
      <c r="Z95" s="26"/>
    </row>
    <row r="96" spans="21:26" ht="15.75" x14ac:dyDescent="0.25">
      <c r="U96" s="107"/>
      <c r="V96" s="107"/>
      <c r="W96" s="26"/>
      <c r="X96" s="26"/>
      <c r="Y96" s="26"/>
      <c r="Z96" s="26"/>
    </row>
    <row r="97" spans="21:26" ht="15.75" x14ac:dyDescent="0.25">
      <c r="U97" s="107"/>
      <c r="V97" s="107"/>
      <c r="W97" s="26"/>
      <c r="X97" s="26"/>
      <c r="Y97" s="26"/>
      <c r="Z97" s="26"/>
    </row>
    <row r="98" spans="21:26" ht="15.75" x14ac:dyDescent="0.25">
      <c r="U98" s="107"/>
      <c r="V98" s="107"/>
      <c r="W98" s="26"/>
      <c r="X98" s="26"/>
      <c r="Y98" s="26"/>
      <c r="Z98" s="26"/>
    </row>
    <row r="99" spans="21:26" ht="15.75" x14ac:dyDescent="0.25">
      <c r="U99" s="107"/>
      <c r="V99" s="107"/>
      <c r="W99" s="26"/>
      <c r="X99" s="26"/>
      <c r="Y99" s="26"/>
      <c r="Z99" s="26"/>
    </row>
    <row r="100" spans="21:26" ht="15.75" x14ac:dyDescent="0.25">
      <c r="U100" s="107"/>
      <c r="V100" s="107"/>
      <c r="W100" s="26"/>
      <c r="X100" s="26"/>
      <c r="Y100" s="26"/>
      <c r="Z100" s="26"/>
    </row>
    <row r="101" spans="21:26" ht="18.75" x14ac:dyDescent="0.25">
      <c r="U101" s="107"/>
      <c r="V101" s="107"/>
      <c r="W101" s="30"/>
      <c r="X101" s="30"/>
      <c r="Y101" s="30"/>
      <c r="Z101" s="30"/>
    </row>
    <row r="102" spans="21:26" ht="15.75" x14ac:dyDescent="0.25">
      <c r="U102" s="107"/>
      <c r="V102" s="107"/>
      <c r="W102" s="26"/>
      <c r="X102" s="26"/>
      <c r="Y102" s="26"/>
      <c r="Z102" s="26"/>
    </row>
    <row r="103" spans="21:26" ht="15.75" x14ac:dyDescent="0.25">
      <c r="U103" s="107"/>
      <c r="V103" s="107"/>
      <c r="W103" s="26"/>
      <c r="X103" s="26"/>
      <c r="Y103" s="26"/>
      <c r="Z103" s="26"/>
    </row>
    <row r="104" spans="21:26" ht="15.75" x14ac:dyDescent="0.25">
      <c r="U104" s="107"/>
      <c r="V104" s="107"/>
      <c r="W104" s="26"/>
      <c r="X104" s="26"/>
      <c r="Y104" s="26"/>
      <c r="Z104" s="26"/>
    </row>
    <row r="105" spans="21:26" ht="15.75" x14ac:dyDescent="0.25">
      <c r="U105" s="107"/>
      <c r="V105" s="107"/>
      <c r="W105" s="26"/>
      <c r="X105" s="26"/>
      <c r="Y105" s="26"/>
      <c r="Z105" s="26"/>
    </row>
    <row r="106" spans="21:26" ht="15.75" x14ac:dyDescent="0.25">
      <c r="U106" s="107"/>
      <c r="V106" s="107"/>
      <c r="W106" s="26"/>
      <c r="X106" s="26"/>
      <c r="Y106" s="26"/>
      <c r="Z106" s="26"/>
    </row>
    <row r="107" spans="21:26" ht="15.75" x14ac:dyDescent="0.25">
      <c r="U107" s="107"/>
      <c r="V107" s="107"/>
      <c r="W107" s="26"/>
      <c r="X107" s="26"/>
      <c r="Y107" s="26"/>
      <c r="Z107" s="26"/>
    </row>
    <row r="108" spans="21:26" ht="15.75" x14ac:dyDescent="0.25">
      <c r="U108" s="107"/>
      <c r="V108" s="107"/>
      <c r="W108" s="26"/>
      <c r="X108" s="26"/>
      <c r="Y108" s="26"/>
      <c r="Z108" s="26"/>
    </row>
    <row r="109" spans="21:26" ht="15.75" x14ac:dyDescent="0.25">
      <c r="U109" s="107"/>
      <c r="V109" s="107"/>
      <c r="W109" s="26"/>
      <c r="X109" s="26"/>
      <c r="Y109" s="26"/>
      <c r="Z109" s="26"/>
    </row>
    <row r="110" spans="21:26" ht="15.75" x14ac:dyDescent="0.25">
      <c r="U110" s="107"/>
      <c r="V110" s="107"/>
      <c r="W110" s="26"/>
      <c r="X110" s="26"/>
      <c r="Y110" s="26"/>
      <c r="Z110" s="26"/>
    </row>
    <row r="111" spans="21:26" ht="15.75" x14ac:dyDescent="0.25">
      <c r="U111" s="107"/>
      <c r="V111" s="107"/>
      <c r="W111" s="26"/>
      <c r="X111" s="26"/>
      <c r="Y111" s="26"/>
      <c r="Z111" s="26"/>
    </row>
    <row r="112" spans="21:26" ht="18.75" x14ac:dyDescent="0.25">
      <c r="U112" s="107"/>
      <c r="V112" s="107"/>
      <c r="W112" s="30"/>
      <c r="X112" s="30"/>
      <c r="Y112" s="30"/>
      <c r="Z112" s="30"/>
    </row>
    <row r="113" spans="21:26" ht="15.75" x14ac:dyDescent="0.25">
      <c r="U113" s="107"/>
      <c r="V113" s="107"/>
      <c r="W113" s="26"/>
      <c r="X113" s="26"/>
      <c r="Y113" s="26"/>
      <c r="Z113" s="26"/>
    </row>
    <row r="114" spans="21:26" ht="15.75" x14ac:dyDescent="0.25">
      <c r="U114" s="107"/>
      <c r="V114" s="107"/>
      <c r="W114" s="26"/>
      <c r="X114" s="26"/>
      <c r="Y114" s="26"/>
      <c r="Z114" s="26"/>
    </row>
    <row r="115" spans="21:26" ht="15.75" x14ac:dyDescent="0.25">
      <c r="U115" s="107"/>
      <c r="V115" s="107"/>
      <c r="W115" s="26"/>
      <c r="X115" s="26"/>
      <c r="Y115" s="26"/>
      <c r="Z115" s="26"/>
    </row>
    <row r="116" spans="21:26" ht="15.75" x14ac:dyDescent="0.25">
      <c r="U116" s="107"/>
      <c r="V116" s="107"/>
      <c r="W116" s="26"/>
      <c r="X116" s="26"/>
      <c r="Y116" s="26"/>
      <c r="Z116" s="26"/>
    </row>
    <row r="117" spans="21:26" ht="15.75" x14ac:dyDescent="0.25">
      <c r="U117" s="107"/>
      <c r="V117" s="107"/>
      <c r="W117" s="26"/>
      <c r="X117" s="26"/>
      <c r="Y117" s="26"/>
      <c r="Z117" s="26"/>
    </row>
    <row r="118" spans="21:26" ht="15.75" x14ac:dyDescent="0.25">
      <c r="U118" s="107"/>
      <c r="V118" s="107"/>
      <c r="W118" s="26"/>
      <c r="X118" s="26"/>
      <c r="Y118" s="26"/>
      <c r="Z118" s="26"/>
    </row>
    <row r="119" spans="21:26" ht="15.75" x14ac:dyDescent="0.25">
      <c r="U119" s="107"/>
      <c r="V119" s="107"/>
      <c r="W119" s="26"/>
      <c r="X119" s="26"/>
      <c r="Y119" s="26"/>
      <c r="Z119" s="26"/>
    </row>
    <row r="120" spans="21:26" ht="15.75" x14ac:dyDescent="0.25">
      <c r="U120" s="107"/>
      <c r="V120" s="107"/>
      <c r="W120" s="26"/>
      <c r="X120" s="26"/>
      <c r="Y120" s="26"/>
      <c r="Z120" s="26"/>
    </row>
    <row r="121" spans="21:26" ht="15.75" x14ac:dyDescent="0.25">
      <c r="U121" s="107"/>
      <c r="V121" s="107"/>
      <c r="W121" s="26"/>
      <c r="X121" s="26"/>
      <c r="Y121" s="26"/>
      <c r="Z121" s="26"/>
    </row>
    <row r="122" spans="21:26" ht="15.75" x14ac:dyDescent="0.25">
      <c r="U122" s="107"/>
      <c r="V122" s="107"/>
      <c r="W122" s="26"/>
      <c r="X122" s="26"/>
      <c r="Y122" s="26"/>
      <c r="Z122" s="26"/>
    </row>
    <row r="123" spans="21:26" ht="18.75" x14ac:dyDescent="0.25">
      <c r="U123" s="107"/>
      <c r="V123" s="107"/>
      <c r="W123" s="30"/>
      <c r="X123" s="30"/>
      <c r="Y123" s="30"/>
      <c r="Z123" s="30"/>
    </row>
    <row r="124" spans="21:26" ht="15.75" x14ac:dyDescent="0.25">
      <c r="U124" s="107"/>
      <c r="V124" s="107"/>
      <c r="W124" s="26"/>
      <c r="X124" s="26"/>
      <c r="Y124" s="26"/>
      <c r="Z124" s="26"/>
    </row>
    <row r="125" spans="21:26" ht="15.75" x14ac:dyDescent="0.25">
      <c r="U125" s="107"/>
      <c r="V125" s="107"/>
      <c r="W125" s="26"/>
      <c r="X125" s="26"/>
      <c r="Y125" s="26"/>
      <c r="Z125" s="26"/>
    </row>
    <row r="126" spans="21:26" ht="15.75" x14ac:dyDescent="0.25">
      <c r="U126" s="107"/>
      <c r="V126" s="107"/>
      <c r="W126" s="26"/>
      <c r="X126" s="26"/>
      <c r="Y126" s="26"/>
      <c r="Z126" s="26"/>
    </row>
    <row r="127" spans="21:26" ht="15.75" x14ac:dyDescent="0.25">
      <c r="U127" s="107"/>
      <c r="V127" s="107"/>
      <c r="W127" s="26"/>
      <c r="X127" s="26"/>
      <c r="Y127" s="26"/>
      <c r="Z127" s="26"/>
    </row>
    <row r="128" spans="21:26" ht="15.75" x14ac:dyDescent="0.25">
      <c r="U128" s="107"/>
      <c r="V128" s="107"/>
      <c r="W128" s="26"/>
      <c r="X128" s="26"/>
      <c r="Y128" s="26"/>
      <c r="Z128" s="26"/>
    </row>
    <row r="129" spans="21:26" ht="15.75" x14ac:dyDescent="0.25">
      <c r="U129" s="107"/>
      <c r="V129" s="107"/>
      <c r="W129" s="26"/>
      <c r="X129" s="26"/>
      <c r="Y129" s="26"/>
      <c r="Z129" s="26"/>
    </row>
    <row r="130" spans="21:26" ht="15.75" x14ac:dyDescent="0.25">
      <c r="U130" s="107"/>
      <c r="V130" s="107"/>
      <c r="W130" s="26"/>
      <c r="X130" s="26"/>
      <c r="Y130" s="26"/>
      <c r="Z130" s="26"/>
    </row>
    <row r="131" spans="21:26" ht="15.75" x14ac:dyDescent="0.25">
      <c r="U131" s="107"/>
      <c r="V131" s="107"/>
      <c r="W131" s="26"/>
      <c r="X131" s="26"/>
      <c r="Y131" s="26"/>
      <c r="Z131" s="26"/>
    </row>
    <row r="132" spans="21:26" ht="15.75" x14ac:dyDescent="0.25">
      <c r="U132" s="107"/>
      <c r="V132" s="107"/>
      <c r="W132" s="26"/>
      <c r="X132" s="26"/>
      <c r="Y132" s="26"/>
      <c r="Z132" s="26"/>
    </row>
    <row r="133" spans="21:26" ht="15.75" x14ac:dyDescent="0.25">
      <c r="U133" s="107"/>
      <c r="V133" s="107"/>
      <c r="W133" s="26"/>
      <c r="X133" s="26"/>
      <c r="Y133" s="26"/>
      <c r="Z133" s="26"/>
    </row>
    <row r="134" spans="21:26" ht="18.75" x14ac:dyDescent="0.25">
      <c r="U134" s="107"/>
      <c r="V134" s="107"/>
      <c r="W134" s="30"/>
      <c r="X134" s="30"/>
      <c r="Y134" s="30"/>
      <c r="Z134" s="30"/>
    </row>
    <row r="135" spans="21:26" ht="15.75" x14ac:dyDescent="0.25">
      <c r="U135" s="107"/>
      <c r="V135" s="107"/>
      <c r="W135" s="26"/>
      <c r="X135" s="26"/>
      <c r="Y135" s="26"/>
      <c r="Z135" s="26"/>
    </row>
    <row r="136" spans="21:26" ht="15.75" x14ac:dyDescent="0.25">
      <c r="U136" s="107"/>
      <c r="V136" s="107"/>
      <c r="W136" s="26"/>
      <c r="X136" s="26"/>
      <c r="Y136" s="26"/>
      <c r="Z136" s="26"/>
    </row>
    <row r="137" spans="21:26" ht="15.75" x14ac:dyDescent="0.25">
      <c r="U137" s="107"/>
      <c r="V137" s="107"/>
      <c r="W137" s="26"/>
      <c r="X137" s="26"/>
      <c r="Y137" s="26"/>
      <c r="Z137" s="26"/>
    </row>
    <row r="138" spans="21:26" ht="15.75" x14ac:dyDescent="0.25">
      <c r="U138" s="107"/>
      <c r="V138" s="107"/>
      <c r="W138" s="26"/>
      <c r="X138" s="26"/>
      <c r="Y138" s="26"/>
      <c r="Z138" s="26"/>
    </row>
    <row r="139" spans="21:26" ht="15.75" x14ac:dyDescent="0.25">
      <c r="U139" s="107"/>
      <c r="V139" s="107"/>
      <c r="W139" s="26"/>
      <c r="X139" s="26"/>
      <c r="Y139" s="26"/>
      <c r="Z139" s="26"/>
    </row>
    <row r="140" spans="21:26" ht="15.75" x14ac:dyDescent="0.25">
      <c r="U140" s="107"/>
      <c r="V140" s="107"/>
      <c r="W140" s="26"/>
      <c r="X140" s="26"/>
      <c r="Y140" s="26"/>
      <c r="Z140" s="26"/>
    </row>
    <row r="141" spans="21:26" ht="15.75" x14ac:dyDescent="0.25">
      <c r="U141" s="107"/>
      <c r="V141" s="107"/>
      <c r="W141" s="26"/>
      <c r="X141" s="26"/>
      <c r="Y141" s="26"/>
      <c r="Z141" s="26"/>
    </row>
    <row r="142" spans="21:26" ht="15.75" x14ac:dyDescent="0.25">
      <c r="U142" s="107"/>
      <c r="V142" s="107"/>
      <c r="W142" s="26"/>
      <c r="X142" s="26"/>
      <c r="Y142" s="26"/>
      <c r="Z142" s="26"/>
    </row>
    <row r="143" spans="21:26" ht="15.75" x14ac:dyDescent="0.25">
      <c r="U143" s="107"/>
      <c r="V143" s="107"/>
      <c r="W143" s="26"/>
      <c r="X143" s="26"/>
      <c r="Y143" s="26"/>
      <c r="Z143" s="26"/>
    </row>
    <row r="144" spans="21:26" ht="15.75" x14ac:dyDescent="0.25">
      <c r="U144" s="107"/>
      <c r="V144" s="107"/>
      <c r="W144" s="26"/>
      <c r="X144" s="26"/>
      <c r="Y144" s="26"/>
      <c r="Z144" s="26"/>
    </row>
    <row r="145" spans="21:26" ht="18.75" x14ac:dyDescent="0.25">
      <c r="U145" s="107"/>
      <c r="V145" s="107"/>
      <c r="W145" s="30"/>
      <c r="X145" s="30"/>
      <c r="Y145" s="30"/>
      <c r="Z145" s="30"/>
    </row>
    <row r="146" spans="21:26" ht="15.75" x14ac:dyDescent="0.25">
      <c r="U146" s="107"/>
      <c r="V146" s="107"/>
      <c r="W146" s="26"/>
      <c r="X146" s="26"/>
      <c r="Y146" s="26"/>
      <c r="Z146" s="26"/>
    </row>
    <row r="147" spans="21:26" ht="15.75" x14ac:dyDescent="0.25">
      <c r="U147" s="107"/>
      <c r="V147" s="107"/>
      <c r="W147" s="26"/>
      <c r="X147" s="26"/>
      <c r="Y147" s="26"/>
      <c r="Z147" s="26"/>
    </row>
    <row r="148" spans="21:26" ht="15.75" x14ac:dyDescent="0.25">
      <c r="U148" s="107"/>
      <c r="V148" s="107"/>
      <c r="W148" s="26"/>
      <c r="X148" s="26"/>
      <c r="Y148" s="26"/>
      <c r="Z148" s="26"/>
    </row>
    <row r="149" spans="21:26" ht="15.75" x14ac:dyDescent="0.25">
      <c r="U149" s="107"/>
      <c r="V149" s="107"/>
      <c r="W149" s="26"/>
      <c r="X149" s="26"/>
      <c r="Y149" s="26"/>
      <c r="Z149" s="26"/>
    </row>
    <row r="150" spans="21:26" ht="15.75" x14ac:dyDescent="0.25">
      <c r="U150" s="107"/>
      <c r="V150" s="107"/>
      <c r="W150" s="26"/>
      <c r="X150" s="26"/>
      <c r="Y150" s="26"/>
      <c r="Z150" s="26"/>
    </row>
    <row r="151" spans="21:26" ht="15.75" x14ac:dyDescent="0.25">
      <c r="U151" s="107"/>
      <c r="V151" s="107"/>
      <c r="W151" s="26"/>
      <c r="X151" s="26"/>
      <c r="Y151" s="26"/>
      <c r="Z151" s="26"/>
    </row>
    <row r="152" spans="21:26" ht="15.75" x14ac:dyDescent="0.25">
      <c r="U152" s="107"/>
      <c r="V152" s="107"/>
      <c r="W152" s="26"/>
      <c r="X152" s="26"/>
      <c r="Y152" s="26"/>
      <c r="Z152" s="26"/>
    </row>
    <row r="153" spans="21:26" ht="15.75" x14ac:dyDescent="0.25">
      <c r="U153" s="107"/>
      <c r="V153" s="107"/>
      <c r="W153" s="26"/>
      <c r="X153" s="26"/>
      <c r="Y153" s="26"/>
      <c r="Z153" s="26"/>
    </row>
    <row r="154" spans="21:26" ht="15.75" x14ac:dyDescent="0.25">
      <c r="U154" s="107"/>
      <c r="V154" s="107"/>
      <c r="W154" s="26"/>
      <c r="X154" s="26"/>
      <c r="Y154" s="26"/>
      <c r="Z154" s="26"/>
    </row>
    <row r="155" spans="21:26" ht="15.75" x14ac:dyDescent="0.25">
      <c r="U155" s="107"/>
      <c r="V155" s="107"/>
      <c r="W155" s="26"/>
      <c r="X155" s="26"/>
      <c r="Y155" s="26"/>
      <c r="Z155" s="26"/>
    </row>
    <row r="156" spans="21:26" ht="18.75" x14ac:dyDescent="0.25">
      <c r="U156" s="107"/>
      <c r="V156" s="107"/>
      <c r="W156" s="30"/>
      <c r="X156" s="30"/>
      <c r="Y156" s="30"/>
      <c r="Z156" s="30"/>
    </row>
    <row r="157" spans="21:26" ht="15.75" x14ac:dyDescent="0.25">
      <c r="U157" s="107"/>
      <c r="V157" s="107"/>
      <c r="W157" s="26"/>
      <c r="X157" s="26"/>
      <c r="Y157" s="26"/>
      <c r="Z157" s="26"/>
    </row>
    <row r="158" spans="21:26" ht="15.75" x14ac:dyDescent="0.25">
      <c r="U158" s="107"/>
      <c r="V158" s="107"/>
      <c r="W158" s="26"/>
      <c r="X158" s="26"/>
      <c r="Y158" s="26"/>
      <c r="Z158" s="26"/>
    </row>
    <row r="159" spans="21:26" ht="15.75" x14ac:dyDescent="0.25">
      <c r="U159" s="107"/>
      <c r="V159" s="107"/>
      <c r="W159" s="26"/>
      <c r="X159" s="26"/>
      <c r="Y159" s="26"/>
      <c r="Z159" s="26"/>
    </row>
    <row r="160" spans="21:26" ht="15.75" x14ac:dyDescent="0.25">
      <c r="U160" s="107"/>
      <c r="V160" s="107"/>
      <c r="W160" s="26"/>
      <c r="X160" s="26"/>
      <c r="Y160" s="26"/>
      <c r="Z160" s="26"/>
    </row>
    <row r="161" spans="21:26" ht="15.75" x14ac:dyDescent="0.25">
      <c r="U161" s="107"/>
      <c r="V161" s="107"/>
      <c r="W161" s="26"/>
      <c r="X161" s="26"/>
      <c r="Y161" s="26"/>
      <c r="Z161" s="26"/>
    </row>
    <row r="162" spans="21:26" ht="15.75" x14ac:dyDescent="0.25">
      <c r="U162" s="107"/>
      <c r="V162" s="107"/>
      <c r="W162" s="26"/>
      <c r="X162" s="26"/>
      <c r="Y162" s="26"/>
      <c r="Z162" s="26"/>
    </row>
    <row r="163" spans="21:26" ht="15.75" x14ac:dyDescent="0.25">
      <c r="U163" s="107"/>
      <c r="V163" s="107"/>
      <c r="W163" s="26"/>
      <c r="X163" s="26"/>
      <c r="Y163" s="26"/>
      <c r="Z163" s="26"/>
    </row>
    <row r="164" spans="21:26" ht="15.75" x14ac:dyDescent="0.25">
      <c r="U164" s="107"/>
      <c r="V164" s="107"/>
      <c r="W164" s="26"/>
      <c r="X164" s="26"/>
      <c r="Y164" s="26"/>
      <c r="Z164" s="26"/>
    </row>
    <row r="165" spans="21:26" ht="15.75" x14ac:dyDescent="0.25">
      <c r="U165" s="107"/>
      <c r="V165" s="107"/>
      <c r="W165" s="26"/>
      <c r="X165" s="26"/>
      <c r="Y165" s="26"/>
      <c r="Z165" s="26"/>
    </row>
    <row r="166" spans="21:26" ht="15.75" x14ac:dyDescent="0.25">
      <c r="U166" s="107"/>
      <c r="V166" s="107"/>
      <c r="W166" s="26"/>
      <c r="X166" s="26"/>
      <c r="Y166" s="26"/>
      <c r="Z166" s="26"/>
    </row>
    <row r="167" spans="21:26" ht="18.75" x14ac:dyDescent="0.25">
      <c r="U167" s="107"/>
      <c r="V167" s="107"/>
      <c r="W167" s="30"/>
      <c r="X167" s="30"/>
      <c r="Y167" s="30"/>
      <c r="Z167" s="30"/>
    </row>
    <row r="168" spans="21:26" ht="15.75" x14ac:dyDescent="0.25">
      <c r="U168" s="107"/>
      <c r="V168" s="107"/>
      <c r="W168" s="26"/>
      <c r="X168" s="26"/>
      <c r="Y168" s="26"/>
      <c r="Z168" s="26"/>
    </row>
    <row r="169" spans="21:26" ht="15.75" x14ac:dyDescent="0.25">
      <c r="U169" s="107"/>
      <c r="V169" s="107"/>
      <c r="W169" s="26"/>
      <c r="X169" s="26"/>
      <c r="Y169" s="26"/>
      <c r="Z169" s="26"/>
    </row>
    <row r="170" spans="21:26" ht="15.75" x14ac:dyDescent="0.25">
      <c r="U170" s="107"/>
      <c r="V170" s="107"/>
      <c r="W170" s="26"/>
      <c r="X170" s="26"/>
      <c r="Y170" s="26"/>
      <c r="Z170" s="26"/>
    </row>
    <row r="171" spans="21:26" ht="15.75" x14ac:dyDescent="0.25">
      <c r="U171" s="107"/>
      <c r="V171" s="107"/>
      <c r="W171" s="26"/>
      <c r="X171" s="26"/>
      <c r="Y171" s="26"/>
      <c r="Z171" s="26"/>
    </row>
    <row r="172" spans="21:26" ht="15.75" x14ac:dyDescent="0.25">
      <c r="U172" s="107"/>
      <c r="V172" s="107"/>
      <c r="W172" s="26"/>
      <c r="X172" s="26"/>
      <c r="Y172" s="26"/>
      <c r="Z172" s="26"/>
    </row>
    <row r="173" spans="21:26" ht="15.75" x14ac:dyDescent="0.25">
      <c r="U173" s="107"/>
      <c r="V173" s="107"/>
      <c r="W173" s="26"/>
      <c r="X173" s="26"/>
      <c r="Y173" s="26"/>
      <c r="Z173" s="26"/>
    </row>
    <row r="174" spans="21:26" ht="15.75" x14ac:dyDescent="0.25">
      <c r="U174" s="107"/>
      <c r="V174" s="107"/>
      <c r="W174" s="26"/>
      <c r="X174" s="26"/>
      <c r="Y174" s="26"/>
      <c r="Z174" s="26"/>
    </row>
    <row r="175" spans="21:26" ht="15.75" x14ac:dyDescent="0.25">
      <c r="U175" s="107"/>
      <c r="V175" s="107"/>
      <c r="W175" s="26"/>
      <c r="X175" s="26"/>
      <c r="Y175" s="26"/>
      <c r="Z175" s="26"/>
    </row>
    <row r="176" spans="21:26" ht="15.75" x14ac:dyDescent="0.25">
      <c r="U176" s="107"/>
      <c r="V176" s="107"/>
      <c r="W176" s="26"/>
      <c r="X176" s="26"/>
      <c r="Y176" s="26"/>
      <c r="Z176" s="26"/>
    </row>
    <row r="177" spans="21:26" ht="15.75" x14ac:dyDescent="0.25">
      <c r="U177" s="107"/>
      <c r="V177" s="107"/>
      <c r="W177" s="26"/>
      <c r="X177" s="26"/>
      <c r="Y177" s="26"/>
      <c r="Z177" s="26"/>
    </row>
    <row r="178" spans="21:26" ht="18.75" x14ac:dyDescent="0.25">
      <c r="U178" s="107"/>
      <c r="V178" s="107"/>
      <c r="W178" s="30"/>
      <c r="X178" s="30"/>
      <c r="Y178" s="30"/>
      <c r="Z178" s="30"/>
    </row>
    <row r="179" spans="21:26" ht="15.75" x14ac:dyDescent="0.25">
      <c r="U179" s="107"/>
      <c r="V179" s="107"/>
      <c r="W179" s="26"/>
      <c r="X179" s="26"/>
      <c r="Y179" s="26"/>
      <c r="Z179" s="26"/>
    </row>
    <row r="180" spans="21:26" ht="15.75" x14ac:dyDescent="0.25">
      <c r="U180" s="107"/>
      <c r="V180" s="107"/>
      <c r="W180" s="26"/>
      <c r="X180" s="26"/>
      <c r="Y180" s="26"/>
      <c r="Z180" s="26"/>
    </row>
    <row r="181" spans="21:26" ht="15.75" x14ac:dyDescent="0.25">
      <c r="U181" s="107"/>
      <c r="V181" s="107"/>
      <c r="W181" s="26"/>
      <c r="X181" s="26"/>
      <c r="Y181" s="26"/>
      <c r="Z181" s="26"/>
    </row>
    <row r="182" spans="21:26" ht="15.75" x14ac:dyDescent="0.25">
      <c r="U182" s="107"/>
      <c r="V182" s="107"/>
      <c r="W182" s="26"/>
      <c r="X182" s="26"/>
      <c r="Y182" s="26"/>
      <c r="Z182" s="26"/>
    </row>
    <row r="183" spans="21:26" ht="15.75" x14ac:dyDescent="0.25">
      <c r="U183" s="107"/>
      <c r="V183" s="107"/>
      <c r="W183" s="26"/>
      <c r="X183" s="26"/>
      <c r="Y183" s="26"/>
      <c r="Z183" s="26"/>
    </row>
    <row r="184" spans="21:26" ht="15.75" x14ac:dyDescent="0.25">
      <c r="U184" s="107"/>
      <c r="V184" s="107"/>
      <c r="W184" s="26"/>
      <c r="X184" s="26"/>
      <c r="Y184" s="26"/>
      <c r="Z184" s="26"/>
    </row>
    <row r="185" spans="21:26" ht="15.75" x14ac:dyDescent="0.25">
      <c r="U185" s="107"/>
      <c r="V185" s="107"/>
      <c r="W185" s="26"/>
      <c r="X185" s="26"/>
      <c r="Y185" s="26"/>
      <c r="Z185" s="26"/>
    </row>
    <row r="186" spans="21:26" ht="15.75" x14ac:dyDescent="0.25">
      <c r="U186" s="107"/>
      <c r="V186" s="107"/>
      <c r="W186" s="26"/>
      <c r="X186" s="26"/>
      <c r="Y186" s="26"/>
      <c r="Z186" s="26"/>
    </row>
    <row r="187" spans="21:26" ht="15.75" x14ac:dyDescent="0.25">
      <c r="U187" s="107"/>
      <c r="V187" s="107"/>
      <c r="W187" s="26"/>
      <c r="X187" s="26"/>
      <c r="Y187" s="26"/>
      <c r="Z187" s="26"/>
    </row>
    <row r="188" spans="21:26" ht="15.75" x14ac:dyDescent="0.25">
      <c r="U188" s="107"/>
      <c r="V188" s="107"/>
      <c r="W188" s="26"/>
      <c r="X188" s="26"/>
      <c r="Y188" s="26"/>
      <c r="Z188" s="26"/>
    </row>
    <row r="189" spans="21:26" ht="18.75" x14ac:dyDescent="0.25">
      <c r="U189" s="107"/>
      <c r="V189" s="107"/>
      <c r="W189" s="30"/>
      <c r="X189" s="30"/>
      <c r="Y189" s="30"/>
      <c r="Z189" s="30"/>
    </row>
    <row r="190" spans="21:26" ht="15.75" x14ac:dyDescent="0.25">
      <c r="U190" s="107"/>
      <c r="V190" s="107"/>
      <c r="W190" s="26"/>
      <c r="X190" s="26"/>
      <c r="Y190" s="26"/>
      <c r="Z190" s="26"/>
    </row>
    <row r="191" spans="21:26" ht="15.75" x14ac:dyDescent="0.25">
      <c r="U191" s="107"/>
      <c r="V191" s="107"/>
      <c r="W191" s="26"/>
      <c r="X191" s="26"/>
      <c r="Y191" s="26"/>
      <c r="Z191" s="26"/>
    </row>
    <row r="192" spans="21:26" ht="15.75" x14ac:dyDescent="0.25">
      <c r="U192" s="107"/>
      <c r="V192" s="107"/>
      <c r="W192" s="26"/>
      <c r="X192" s="26"/>
      <c r="Y192" s="26"/>
      <c r="Z192" s="26"/>
    </row>
    <row r="193" spans="21:26" ht="15.75" x14ac:dyDescent="0.25">
      <c r="U193" s="107"/>
      <c r="V193" s="107"/>
      <c r="W193" s="26"/>
      <c r="X193" s="26"/>
      <c r="Y193" s="26"/>
      <c r="Z193" s="26"/>
    </row>
    <row r="194" spans="21:26" ht="15.75" x14ac:dyDescent="0.25">
      <c r="U194" s="107"/>
      <c r="V194" s="107"/>
      <c r="W194" s="26"/>
      <c r="X194" s="26"/>
      <c r="Y194" s="26"/>
      <c r="Z194" s="26"/>
    </row>
    <row r="195" spans="21:26" ht="15.75" x14ac:dyDescent="0.25">
      <c r="U195" s="107"/>
      <c r="V195" s="107"/>
      <c r="W195" s="26"/>
      <c r="X195" s="26"/>
      <c r="Y195" s="26"/>
      <c r="Z195" s="26"/>
    </row>
    <row r="196" spans="21:26" ht="15.75" x14ac:dyDescent="0.25">
      <c r="U196" s="107"/>
      <c r="V196" s="107"/>
      <c r="W196" s="26"/>
      <c r="X196" s="26"/>
      <c r="Y196" s="26"/>
      <c r="Z196" s="26"/>
    </row>
    <row r="197" spans="21:26" ht="15.75" x14ac:dyDescent="0.25">
      <c r="U197" s="107"/>
      <c r="V197" s="107"/>
      <c r="W197" s="26"/>
      <c r="X197" s="26"/>
      <c r="Y197" s="26"/>
      <c r="Z197" s="26"/>
    </row>
    <row r="198" spans="21:26" ht="15.75" x14ac:dyDescent="0.25">
      <c r="U198" s="107"/>
      <c r="V198" s="107"/>
      <c r="W198" s="26"/>
      <c r="X198" s="26"/>
      <c r="Y198" s="26"/>
      <c r="Z198" s="26"/>
    </row>
    <row r="199" spans="21:26" ht="15.75" x14ac:dyDescent="0.25">
      <c r="U199" s="107"/>
      <c r="V199" s="107"/>
      <c r="W199" s="26"/>
      <c r="X199" s="26"/>
      <c r="Y199" s="26"/>
      <c r="Z199" s="26"/>
    </row>
    <row r="200" spans="21:26" ht="18.75" x14ac:dyDescent="0.25">
      <c r="U200" s="107"/>
      <c r="V200" s="107"/>
      <c r="W200" s="30"/>
      <c r="X200" s="30"/>
      <c r="Y200" s="30"/>
      <c r="Z200" s="30"/>
    </row>
    <row r="201" spans="21:26" ht="15.75" x14ac:dyDescent="0.25">
      <c r="U201" s="107"/>
      <c r="V201" s="107"/>
      <c r="W201" s="26"/>
      <c r="X201" s="26"/>
      <c r="Y201" s="26"/>
      <c r="Z201" s="26"/>
    </row>
    <row r="202" spans="21:26" ht="15.75" x14ac:dyDescent="0.25">
      <c r="U202" s="107"/>
      <c r="V202" s="107"/>
      <c r="W202" s="26"/>
      <c r="X202" s="26"/>
      <c r="Y202" s="26"/>
      <c r="Z202" s="26"/>
    </row>
    <row r="203" spans="21:26" ht="15.75" x14ac:dyDescent="0.25">
      <c r="U203" s="107"/>
      <c r="V203" s="107"/>
      <c r="W203" s="26"/>
      <c r="X203" s="26"/>
      <c r="Y203" s="26"/>
      <c r="Z203" s="26"/>
    </row>
    <row r="204" spans="21:26" ht="15.75" x14ac:dyDescent="0.25">
      <c r="U204" s="107"/>
      <c r="V204" s="107"/>
      <c r="W204" s="26"/>
      <c r="X204" s="26"/>
      <c r="Y204" s="26"/>
      <c r="Z204" s="26"/>
    </row>
    <row r="205" spans="21:26" ht="15.75" x14ac:dyDescent="0.25">
      <c r="U205" s="107"/>
      <c r="V205" s="107"/>
      <c r="W205" s="26"/>
      <c r="X205" s="26"/>
      <c r="Y205" s="26"/>
      <c r="Z205" s="26"/>
    </row>
    <row r="206" spans="21:26" ht="15.75" x14ac:dyDescent="0.25">
      <c r="U206" s="107"/>
      <c r="V206" s="107"/>
      <c r="W206" s="26"/>
      <c r="X206" s="26"/>
      <c r="Y206" s="26"/>
      <c r="Z206" s="26"/>
    </row>
    <row r="207" spans="21:26" ht="15.75" x14ac:dyDescent="0.25">
      <c r="U207" s="107"/>
      <c r="V207" s="107"/>
      <c r="W207" s="26"/>
      <c r="X207" s="26"/>
      <c r="Y207" s="26"/>
      <c r="Z207" s="26"/>
    </row>
    <row r="208" spans="21:26" ht="15.75" x14ac:dyDescent="0.25">
      <c r="U208" s="107"/>
      <c r="V208" s="107"/>
      <c r="W208" s="26"/>
      <c r="X208" s="26"/>
      <c r="Y208" s="26"/>
      <c r="Z208" s="26"/>
    </row>
    <row r="209" spans="21:26" ht="15.75" x14ac:dyDescent="0.25">
      <c r="U209" s="107"/>
      <c r="V209" s="107"/>
      <c r="W209" s="26"/>
      <c r="X209" s="26"/>
      <c r="Y209" s="26"/>
      <c r="Z209" s="26"/>
    </row>
    <row r="210" spans="21:26" ht="15.75" x14ac:dyDescent="0.25">
      <c r="U210" s="107"/>
      <c r="V210" s="107"/>
      <c r="W210" s="26"/>
      <c r="X210" s="26"/>
      <c r="Y210" s="26"/>
      <c r="Z210" s="26"/>
    </row>
    <row r="211" spans="21:26" ht="18.75" x14ac:dyDescent="0.25">
      <c r="U211" s="107"/>
      <c r="V211" s="107"/>
      <c r="W211" s="30"/>
      <c r="X211" s="30"/>
      <c r="Y211" s="30"/>
      <c r="Z211" s="30"/>
    </row>
    <row r="212" spans="21:26" ht="15.75" x14ac:dyDescent="0.25">
      <c r="U212" s="107"/>
      <c r="V212" s="107"/>
      <c r="W212" s="26"/>
      <c r="X212" s="26"/>
      <c r="Y212" s="26"/>
      <c r="Z212" s="26"/>
    </row>
    <row r="213" spans="21:26" ht="15.75" x14ac:dyDescent="0.25">
      <c r="U213" s="107"/>
      <c r="V213" s="107"/>
      <c r="W213" s="26"/>
      <c r="X213" s="26"/>
      <c r="Y213" s="26"/>
      <c r="Z213" s="26"/>
    </row>
    <row r="214" spans="21:26" ht="15.75" x14ac:dyDescent="0.25">
      <c r="U214" s="107"/>
      <c r="V214" s="107"/>
      <c r="W214" s="26"/>
      <c r="X214" s="26"/>
      <c r="Y214" s="26"/>
      <c r="Z214" s="26"/>
    </row>
    <row r="215" spans="21:26" ht="15.75" x14ac:dyDescent="0.25">
      <c r="U215" s="107"/>
      <c r="V215" s="107"/>
      <c r="W215" s="26"/>
      <c r="X215" s="26"/>
      <c r="Y215" s="26"/>
      <c r="Z215" s="26"/>
    </row>
    <row r="216" spans="21:26" ht="15.75" x14ac:dyDescent="0.25">
      <c r="U216" s="107"/>
      <c r="V216" s="107"/>
      <c r="W216" s="26"/>
      <c r="X216" s="26"/>
      <c r="Y216" s="26"/>
      <c r="Z216" s="26"/>
    </row>
    <row r="217" spans="21:26" ht="15.75" x14ac:dyDescent="0.25">
      <c r="U217" s="107"/>
      <c r="V217" s="107"/>
      <c r="W217" s="26"/>
      <c r="X217" s="26"/>
      <c r="Y217" s="26"/>
      <c r="Z217" s="26"/>
    </row>
    <row r="218" spans="21:26" ht="15.75" x14ac:dyDescent="0.25">
      <c r="U218" s="107"/>
      <c r="V218" s="107"/>
      <c r="W218" s="26"/>
      <c r="X218" s="26"/>
      <c r="Y218" s="26"/>
      <c r="Z218" s="26"/>
    </row>
    <row r="219" spans="21:26" ht="15.75" x14ac:dyDescent="0.25">
      <c r="U219" s="107"/>
      <c r="V219" s="107"/>
      <c r="W219" s="26"/>
      <c r="X219" s="26"/>
      <c r="Y219" s="26"/>
      <c r="Z219" s="26"/>
    </row>
    <row r="220" spans="21:26" ht="15.75" x14ac:dyDescent="0.25">
      <c r="U220" s="107"/>
      <c r="V220" s="107"/>
      <c r="W220" s="26"/>
      <c r="X220" s="26"/>
      <c r="Y220" s="26"/>
      <c r="Z220" s="26"/>
    </row>
    <row r="221" spans="21:26" ht="15.75" x14ac:dyDescent="0.25">
      <c r="U221" s="107"/>
      <c r="V221" s="107"/>
      <c r="W221" s="26"/>
      <c r="X221" s="26"/>
      <c r="Y221" s="26"/>
      <c r="Z221" s="26"/>
    </row>
    <row r="222" spans="21:26" ht="18.75" x14ac:dyDescent="0.25">
      <c r="U222" s="107"/>
      <c r="V222" s="107"/>
      <c r="W222" s="30"/>
      <c r="X222" s="30"/>
      <c r="Y222" s="30"/>
      <c r="Z222" s="30"/>
    </row>
    <row r="223" spans="21:26" ht="15.75" x14ac:dyDescent="0.25">
      <c r="U223" s="107"/>
      <c r="V223" s="107"/>
      <c r="W223" s="26"/>
      <c r="X223" s="26"/>
      <c r="Y223" s="26"/>
      <c r="Z223" s="26"/>
    </row>
    <row r="224" spans="21:26" ht="15.75" x14ac:dyDescent="0.25">
      <c r="U224" s="107"/>
      <c r="V224" s="107"/>
      <c r="W224" s="26"/>
      <c r="X224" s="26"/>
      <c r="Y224" s="26"/>
      <c r="Z224" s="26"/>
    </row>
    <row r="225" spans="21:26" ht="15.75" x14ac:dyDescent="0.25">
      <c r="U225" s="107"/>
      <c r="V225" s="107"/>
      <c r="W225" s="26"/>
      <c r="X225" s="26"/>
      <c r="Y225" s="26"/>
      <c r="Z225" s="26"/>
    </row>
    <row r="226" spans="21:26" ht="15.75" x14ac:dyDescent="0.25">
      <c r="U226" s="107"/>
      <c r="V226" s="107"/>
      <c r="W226" s="26"/>
      <c r="X226" s="26"/>
      <c r="Y226" s="26"/>
      <c r="Z226" s="26"/>
    </row>
    <row r="227" spans="21:26" ht="15.75" x14ac:dyDescent="0.25">
      <c r="U227" s="107"/>
      <c r="V227" s="107"/>
      <c r="W227" s="26"/>
      <c r="X227" s="26"/>
      <c r="Y227" s="26"/>
      <c r="Z227" s="26"/>
    </row>
    <row r="228" spans="21:26" ht="15.75" x14ac:dyDescent="0.25">
      <c r="U228" s="107"/>
      <c r="V228" s="107"/>
      <c r="W228" s="26"/>
      <c r="X228" s="26"/>
      <c r="Y228" s="26"/>
      <c r="Z228" s="26"/>
    </row>
    <row r="229" spans="21:26" ht="15.75" x14ac:dyDescent="0.25">
      <c r="U229" s="107"/>
      <c r="V229" s="107"/>
      <c r="W229" s="26"/>
      <c r="X229" s="26"/>
      <c r="Y229" s="26"/>
      <c r="Z229" s="26"/>
    </row>
    <row r="230" spans="21:26" ht="15.75" x14ac:dyDescent="0.25">
      <c r="U230" s="107"/>
      <c r="V230" s="107"/>
      <c r="W230" s="26"/>
      <c r="X230" s="26"/>
      <c r="Y230" s="26"/>
      <c r="Z230" s="26"/>
    </row>
    <row r="231" spans="21:26" ht="15.75" x14ac:dyDescent="0.25">
      <c r="U231" s="107"/>
      <c r="V231" s="107"/>
      <c r="W231" s="26"/>
      <c r="X231" s="26"/>
      <c r="Y231" s="26"/>
      <c r="Z231" s="26"/>
    </row>
    <row r="232" spans="21:26" ht="15.75" x14ac:dyDescent="0.25">
      <c r="U232" s="107"/>
      <c r="V232" s="107"/>
      <c r="W232" s="26"/>
      <c r="X232" s="26"/>
      <c r="Y232" s="26"/>
      <c r="Z232" s="26"/>
    </row>
    <row r="233" spans="21:26" ht="18.75" x14ac:dyDescent="0.25">
      <c r="U233" s="107"/>
      <c r="V233" s="107"/>
      <c r="W233" s="30"/>
      <c r="X233" s="30"/>
      <c r="Y233" s="30"/>
      <c r="Z233" s="30"/>
    </row>
    <row r="234" spans="21:26" ht="15.75" x14ac:dyDescent="0.25">
      <c r="U234" s="107"/>
      <c r="V234" s="107"/>
      <c r="W234" s="26"/>
      <c r="X234" s="26"/>
      <c r="Y234" s="26"/>
      <c r="Z234" s="26"/>
    </row>
    <row r="235" spans="21:26" ht="15.75" x14ac:dyDescent="0.25">
      <c r="U235" s="107"/>
      <c r="V235" s="107"/>
      <c r="W235" s="26"/>
      <c r="X235" s="26"/>
      <c r="Y235" s="26"/>
      <c r="Z235" s="26"/>
    </row>
    <row r="236" spans="21:26" ht="15.75" x14ac:dyDescent="0.25">
      <c r="U236" s="107"/>
      <c r="V236" s="107"/>
      <c r="W236" s="26"/>
      <c r="X236" s="26"/>
      <c r="Y236" s="26"/>
      <c r="Z236" s="26"/>
    </row>
    <row r="237" spans="21:26" ht="15.75" x14ac:dyDescent="0.25">
      <c r="U237" s="107"/>
      <c r="V237" s="107"/>
      <c r="W237" s="26"/>
      <c r="X237" s="26"/>
      <c r="Y237" s="26"/>
      <c r="Z237" s="26"/>
    </row>
    <row r="238" spans="21:26" ht="15.75" x14ac:dyDescent="0.25">
      <c r="U238" s="107"/>
      <c r="V238" s="107"/>
      <c r="W238" s="26"/>
      <c r="X238" s="26"/>
      <c r="Y238" s="26"/>
      <c r="Z238" s="26"/>
    </row>
    <row r="239" spans="21:26" ht="15.75" x14ac:dyDescent="0.25">
      <c r="U239" s="107"/>
      <c r="V239" s="107"/>
      <c r="W239" s="26"/>
      <c r="X239" s="26"/>
      <c r="Y239" s="26"/>
      <c r="Z239" s="26"/>
    </row>
    <row r="240" spans="21:26" ht="15.75" x14ac:dyDescent="0.25">
      <c r="U240" s="107"/>
      <c r="V240" s="107"/>
      <c r="W240" s="26"/>
      <c r="X240" s="26"/>
      <c r="Y240" s="26"/>
      <c r="Z240" s="26"/>
    </row>
    <row r="241" spans="21:26" ht="15.75" x14ac:dyDescent="0.25">
      <c r="U241" s="107"/>
      <c r="V241" s="107"/>
      <c r="W241" s="26"/>
      <c r="X241" s="26"/>
      <c r="Y241" s="26"/>
      <c r="Z241" s="26"/>
    </row>
    <row r="242" spans="21:26" ht="15.75" x14ac:dyDescent="0.25">
      <c r="U242" s="107"/>
      <c r="V242" s="107"/>
      <c r="W242" s="26"/>
      <c r="X242" s="26"/>
      <c r="Y242" s="26"/>
      <c r="Z242" s="26"/>
    </row>
    <row r="243" spans="21:26" ht="15.75" x14ac:dyDescent="0.25">
      <c r="U243" s="107"/>
      <c r="V243" s="107"/>
      <c r="W243" s="26"/>
      <c r="X243" s="26"/>
      <c r="Y243" s="26"/>
      <c r="Z243" s="26"/>
    </row>
    <row r="244" spans="21:26" ht="18.75" x14ac:dyDescent="0.25">
      <c r="U244" s="107"/>
      <c r="V244" s="107"/>
      <c r="W244" s="30"/>
      <c r="X244" s="30"/>
      <c r="Y244" s="30"/>
      <c r="Z244" s="30"/>
    </row>
    <row r="245" spans="21:26" ht="15.75" x14ac:dyDescent="0.25">
      <c r="U245" s="107"/>
      <c r="V245" s="107"/>
      <c r="W245" s="26"/>
      <c r="X245" s="26"/>
      <c r="Y245" s="26"/>
      <c r="Z245" s="26"/>
    </row>
    <row r="246" spans="21:26" ht="15.75" x14ac:dyDescent="0.25">
      <c r="U246" s="107"/>
      <c r="V246" s="107"/>
      <c r="W246" s="26"/>
      <c r="X246" s="26"/>
      <c r="Y246" s="26"/>
      <c r="Z246" s="26"/>
    </row>
    <row r="247" spans="21:26" ht="15.75" x14ac:dyDescent="0.25">
      <c r="U247" s="107"/>
      <c r="V247" s="107"/>
      <c r="W247" s="26"/>
      <c r="X247" s="26"/>
      <c r="Y247" s="26"/>
      <c r="Z247" s="26"/>
    </row>
    <row r="248" spans="21:26" ht="15.75" x14ac:dyDescent="0.25">
      <c r="U248" s="107"/>
      <c r="V248" s="107"/>
      <c r="W248" s="26"/>
      <c r="X248" s="26"/>
      <c r="Y248" s="26"/>
      <c r="Z248" s="26"/>
    </row>
    <row r="249" spans="21:26" ht="15.75" x14ac:dyDescent="0.25">
      <c r="U249" s="107"/>
      <c r="V249" s="107"/>
      <c r="W249" s="26"/>
      <c r="X249" s="26"/>
      <c r="Y249" s="26"/>
      <c r="Z249" s="26"/>
    </row>
    <row r="250" spans="21:26" ht="15.75" x14ac:dyDescent="0.25">
      <c r="U250" s="107"/>
      <c r="V250" s="107"/>
      <c r="W250" s="26"/>
      <c r="X250" s="26"/>
      <c r="Y250" s="26"/>
      <c r="Z250" s="26"/>
    </row>
    <row r="251" spans="21:26" ht="15.75" x14ac:dyDescent="0.25">
      <c r="U251" s="107"/>
      <c r="V251" s="107"/>
      <c r="W251" s="26"/>
      <c r="X251" s="26"/>
      <c r="Y251" s="26"/>
      <c r="Z251" s="26"/>
    </row>
    <row r="252" spans="21:26" ht="15.75" x14ac:dyDescent="0.25">
      <c r="U252" s="107"/>
      <c r="V252" s="107"/>
      <c r="W252" s="26"/>
      <c r="X252" s="26"/>
      <c r="Y252" s="26"/>
      <c r="Z252" s="26"/>
    </row>
    <row r="253" spans="21:26" ht="15.75" x14ac:dyDescent="0.25">
      <c r="U253" s="107"/>
      <c r="V253" s="107"/>
      <c r="W253" s="26"/>
      <c r="X253" s="26"/>
      <c r="Y253" s="26"/>
      <c r="Z253" s="26"/>
    </row>
    <row r="254" spans="21:26" ht="15.75" x14ac:dyDescent="0.25">
      <c r="U254" s="107"/>
      <c r="V254" s="107"/>
      <c r="W254" s="26"/>
      <c r="X254" s="26"/>
      <c r="Y254" s="26"/>
      <c r="Z254" s="26"/>
    </row>
    <row r="255" spans="21:26" ht="18.75" x14ac:dyDescent="0.25">
      <c r="U255" s="107"/>
      <c r="V255" s="107"/>
      <c r="W255" s="30"/>
      <c r="X255" s="30"/>
      <c r="Y255" s="30"/>
      <c r="Z255" s="30"/>
    </row>
    <row r="256" spans="21:26" ht="15.75" x14ac:dyDescent="0.25">
      <c r="U256" s="107"/>
      <c r="V256" s="107"/>
      <c r="W256" s="26"/>
      <c r="X256" s="26"/>
      <c r="Y256" s="26"/>
      <c r="Z256" s="26"/>
    </row>
    <row r="257" spans="21:26" ht="15.75" x14ac:dyDescent="0.25">
      <c r="U257" s="107"/>
      <c r="V257" s="107"/>
      <c r="W257" s="26"/>
      <c r="X257" s="26"/>
      <c r="Y257" s="26"/>
      <c r="Z257" s="26"/>
    </row>
    <row r="258" spans="21:26" ht="15.75" x14ac:dyDescent="0.25">
      <c r="U258" s="107"/>
      <c r="V258" s="107"/>
      <c r="W258" s="26"/>
      <c r="X258" s="26"/>
      <c r="Y258" s="26"/>
      <c r="Z258" s="26"/>
    </row>
    <row r="259" spans="21:26" ht="15.75" x14ac:dyDescent="0.25">
      <c r="U259" s="107"/>
      <c r="V259" s="107"/>
      <c r="W259" s="26"/>
      <c r="X259" s="26"/>
      <c r="Y259" s="26"/>
      <c r="Z259" s="26"/>
    </row>
    <row r="260" spans="21:26" ht="15.75" x14ac:dyDescent="0.25">
      <c r="U260" s="107"/>
      <c r="V260" s="107"/>
      <c r="W260" s="26"/>
      <c r="X260" s="26"/>
      <c r="Y260" s="26"/>
      <c r="Z260" s="26"/>
    </row>
    <row r="261" spans="21:26" ht="15.75" x14ac:dyDescent="0.25">
      <c r="U261" s="107"/>
      <c r="V261" s="107"/>
      <c r="W261" s="26"/>
      <c r="X261" s="26"/>
      <c r="Y261" s="26"/>
      <c r="Z261" s="26"/>
    </row>
    <row r="262" spans="21:26" ht="15.75" x14ac:dyDescent="0.25">
      <c r="U262" s="107"/>
      <c r="V262" s="107"/>
      <c r="W262" s="26"/>
      <c r="X262" s="26"/>
      <c r="Y262" s="26"/>
      <c r="Z262" s="26"/>
    </row>
    <row r="263" spans="21:26" ht="15.75" x14ac:dyDescent="0.25">
      <c r="U263" s="107"/>
      <c r="V263" s="107"/>
      <c r="W263" s="26"/>
      <c r="X263" s="26"/>
      <c r="Y263" s="26"/>
      <c r="Z263" s="26"/>
    </row>
    <row r="264" spans="21:26" ht="15.75" x14ac:dyDescent="0.25">
      <c r="U264" s="107"/>
      <c r="V264" s="107"/>
      <c r="W264" s="26"/>
      <c r="X264" s="26"/>
      <c r="Y264" s="26"/>
      <c r="Z264" s="26"/>
    </row>
    <row r="265" spans="21:26" ht="15.75" x14ac:dyDescent="0.25">
      <c r="U265" s="107"/>
      <c r="V265" s="107"/>
      <c r="W265" s="26"/>
      <c r="X265" s="26"/>
      <c r="Y265" s="26"/>
      <c r="Z265" s="26"/>
    </row>
    <row r="266" spans="21:26" ht="18.75" x14ac:dyDescent="0.25">
      <c r="U266" s="107"/>
      <c r="V266" s="107"/>
      <c r="W266" s="30"/>
      <c r="X266" s="30"/>
      <c r="Y266" s="30"/>
      <c r="Z266" s="30"/>
    </row>
    <row r="267" spans="21:26" ht="15.75" x14ac:dyDescent="0.25">
      <c r="U267" s="107"/>
      <c r="V267" s="107"/>
      <c r="W267" s="26"/>
      <c r="X267" s="26"/>
      <c r="Y267" s="26"/>
      <c r="Z267" s="26"/>
    </row>
    <row r="268" spans="21:26" ht="15.75" x14ac:dyDescent="0.25">
      <c r="U268" s="107"/>
      <c r="V268" s="107"/>
      <c r="W268" s="26"/>
      <c r="X268" s="26"/>
      <c r="Y268" s="26"/>
      <c r="Z268" s="26"/>
    </row>
    <row r="269" spans="21:26" ht="15.75" x14ac:dyDescent="0.25">
      <c r="U269" s="107"/>
      <c r="V269" s="107"/>
      <c r="W269" s="26"/>
      <c r="X269" s="26"/>
      <c r="Y269" s="26"/>
      <c r="Z269" s="26"/>
    </row>
    <row r="270" spans="21:26" ht="15.75" x14ac:dyDescent="0.25">
      <c r="U270" s="107"/>
      <c r="V270" s="107"/>
      <c r="W270" s="26"/>
      <c r="X270" s="26"/>
      <c r="Y270" s="26"/>
      <c r="Z270" s="26"/>
    </row>
    <row r="271" spans="21:26" ht="15.75" x14ac:dyDescent="0.25">
      <c r="U271" s="107"/>
      <c r="V271" s="107"/>
      <c r="W271" s="26"/>
      <c r="X271" s="26"/>
      <c r="Y271" s="26"/>
      <c r="Z271" s="26"/>
    </row>
    <row r="272" spans="21:26" ht="15.75" x14ac:dyDescent="0.25">
      <c r="U272" s="107"/>
      <c r="V272" s="107"/>
      <c r="W272" s="26"/>
      <c r="X272" s="26"/>
      <c r="Y272" s="26"/>
      <c r="Z272" s="26"/>
    </row>
    <row r="273" spans="21:26" ht="15.75" x14ac:dyDescent="0.25">
      <c r="U273" s="107"/>
      <c r="V273" s="107"/>
      <c r="W273" s="26"/>
      <c r="X273" s="26"/>
      <c r="Y273" s="26"/>
      <c r="Z273" s="26"/>
    </row>
    <row r="274" spans="21:26" ht="15.75" x14ac:dyDescent="0.25">
      <c r="U274" s="107"/>
      <c r="V274" s="107"/>
      <c r="W274" s="26"/>
      <c r="X274" s="26"/>
      <c r="Y274" s="26"/>
      <c r="Z274" s="26"/>
    </row>
    <row r="275" spans="21:26" ht="15.75" x14ac:dyDescent="0.25">
      <c r="U275" s="107"/>
      <c r="V275" s="107"/>
      <c r="W275" s="26"/>
      <c r="X275" s="26"/>
      <c r="Y275" s="26"/>
      <c r="Z275" s="26"/>
    </row>
    <row r="276" spans="21:26" ht="15.75" x14ac:dyDescent="0.25">
      <c r="U276" s="107"/>
      <c r="V276" s="107"/>
      <c r="W276" s="26"/>
      <c r="X276" s="26"/>
      <c r="Y276" s="26"/>
      <c r="Z276" s="26"/>
    </row>
    <row r="277" spans="21:26" ht="18.75" x14ac:dyDescent="0.25">
      <c r="U277" s="107"/>
      <c r="V277" s="107"/>
      <c r="W277" s="30"/>
      <c r="X277" s="30"/>
      <c r="Y277" s="30"/>
      <c r="Z277" s="30"/>
    </row>
    <row r="278" spans="21:26" ht="15.75" x14ac:dyDescent="0.25">
      <c r="U278" s="107"/>
      <c r="V278" s="107"/>
      <c r="W278" s="26"/>
      <c r="X278" s="26"/>
      <c r="Y278" s="26"/>
      <c r="Z278" s="26"/>
    </row>
    <row r="279" spans="21:26" ht="15.75" x14ac:dyDescent="0.25">
      <c r="U279" s="107"/>
      <c r="V279" s="107"/>
      <c r="W279" s="26"/>
      <c r="X279" s="26"/>
      <c r="Y279" s="26"/>
      <c r="Z279" s="26"/>
    </row>
    <row r="280" spans="21:26" ht="15.75" x14ac:dyDescent="0.25">
      <c r="U280" s="107"/>
      <c r="V280" s="107"/>
      <c r="W280" s="26"/>
      <c r="X280" s="26"/>
      <c r="Y280" s="26"/>
      <c r="Z280" s="26"/>
    </row>
    <row r="281" spans="21:26" ht="15.75" x14ac:dyDescent="0.25">
      <c r="U281" s="107"/>
      <c r="V281" s="107"/>
      <c r="W281" s="26"/>
      <c r="X281" s="26"/>
      <c r="Y281" s="26"/>
      <c r="Z281" s="26"/>
    </row>
    <row r="282" spans="21:26" ht="15.75" x14ac:dyDescent="0.25">
      <c r="U282" s="107"/>
      <c r="V282" s="107"/>
      <c r="W282" s="26"/>
      <c r="X282" s="26"/>
      <c r="Y282" s="26"/>
      <c r="Z282" s="26"/>
    </row>
    <row r="283" spans="21:26" ht="15.75" x14ac:dyDescent="0.25">
      <c r="U283" s="107"/>
      <c r="V283" s="107"/>
      <c r="W283" s="26"/>
      <c r="X283" s="26"/>
      <c r="Y283" s="26"/>
      <c r="Z283" s="26"/>
    </row>
    <row r="284" spans="21:26" ht="15.75" x14ac:dyDescent="0.25">
      <c r="U284" s="107"/>
      <c r="V284" s="107"/>
      <c r="W284" s="26"/>
      <c r="X284" s="26"/>
      <c r="Y284" s="26"/>
      <c r="Z284" s="26"/>
    </row>
    <row r="285" spans="21:26" ht="15.75" x14ac:dyDescent="0.25">
      <c r="U285" s="107"/>
      <c r="V285" s="107"/>
      <c r="W285" s="26"/>
      <c r="X285" s="26"/>
      <c r="Y285" s="26"/>
      <c r="Z285" s="26"/>
    </row>
    <row r="286" spans="21:26" ht="15.75" x14ac:dyDescent="0.25">
      <c r="U286" s="107"/>
      <c r="V286" s="107"/>
      <c r="W286" s="26"/>
      <c r="X286" s="26"/>
      <c r="Y286" s="26"/>
      <c r="Z286" s="26"/>
    </row>
    <row r="287" spans="21:26" ht="15.75" x14ac:dyDescent="0.25">
      <c r="U287" s="107"/>
      <c r="V287" s="107"/>
      <c r="W287" s="26"/>
      <c r="X287" s="26"/>
      <c r="Y287" s="26"/>
      <c r="Z287" s="26"/>
    </row>
    <row r="288" spans="21:26" ht="18.75" x14ac:dyDescent="0.25">
      <c r="U288" s="107"/>
      <c r="V288" s="107"/>
      <c r="W288" s="30"/>
      <c r="X288" s="30"/>
      <c r="Y288" s="30"/>
      <c r="Z288" s="30"/>
    </row>
    <row r="289" spans="21:26" ht="15.75" x14ac:dyDescent="0.25">
      <c r="U289" s="107"/>
      <c r="V289" s="107"/>
      <c r="W289" s="26"/>
      <c r="X289" s="26"/>
      <c r="Y289" s="26"/>
      <c r="Z289" s="26"/>
    </row>
    <row r="290" spans="21:26" ht="15.75" x14ac:dyDescent="0.25">
      <c r="U290" s="107"/>
      <c r="V290" s="107"/>
      <c r="W290" s="26"/>
      <c r="X290" s="26"/>
      <c r="Y290" s="26"/>
      <c r="Z290" s="26"/>
    </row>
    <row r="291" spans="21:26" ht="15.75" x14ac:dyDescent="0.25">
      <c r="U291" s="107"/>
      <c r="V291" s="107"/>
      <c r="W291" s="26"/>
      <c r="X291" s="26"/>
      <c r="Y291" s="26"/>
      <c r="Z291" s="26"/>
    </row>
    <row r="292" spans="21:26" ht="15.75" x14ac:dyDescent="0.25">
      <c r="U292" s="107"/>
      <c r="V292" s="107"/>
      <c r="W292" s="26"/>
      <c r="X292" s="26"/>
      <c r="Y292" s="26"/>
      <c r="Z292" s="26"/>
    </row>
    <row r="293" spans="21:26" ht="15.75" x14ac:dyDescent="0.25">
      <c r="U293" s="107"/>
      <c r="V293" s="107"/>
      <c r="W293" s="26"/>
      <c r="X293" s="26"/>
      <c r="Y293" s="26"/>
      <c r="Z293" s="26"/>
    </row>
    <row r="294" spans="21:26" ht="15.75" x14ac:dyDescent="0.25">
      <c r="U294" s="107"/>
      <c r="V294" s="107"/>
      <c r="W294" s="26"/>
      <c r="X294" s="26"/>
      <c r="Y294" s="26"/>
      <c r="Z294" s="26"/>
    </row>
    <row r="295" spans="21:26" ht="15.75" x14ac:dyDescent="0.25">
      <c r="U295" s="107"/>
      <c r="V295" s="107"/>
      <c r="W295" s="26"/>
      <c r="X295" s="26"/>
      <c r="Y295" s="26"/>
      <c r="Z295" s="26"/>
    </row>
    <row r="296" spans="21:26" ht="15.75" x14ac:dyDescent="0.25">
      <c r="U296" s="107"/>
      <c r="V296" s="107"/>
      <c r="W296" s="26"/>
      <c r="X296" s="26"/>
      <c r="Y296" s="26"/>
      <c r="Z296" s="26"/>
    </row>
    <row r="297" spans="21:26" ht="15.75" x14ac:dyDescent="0.25">
      <c r="U297" s="107"/>
      <c r="V297" s="107"/>
      <c r="W297" s="26"/>
      <c r="X297" s="26"/>
      <c r="Y297" s="26"/>
      <c r="Z297" s="26"/>
    </row>
    <row r="298" spans="21:26" ht="15.75" x14ac:dyDescent="0.25">
      <c r="U298" s="107"/>
      <c r="V298" s="107"/>
      <c r="W298" s="26"/>
      <c r="X298" s="26"/>
      <c r="Y298" s="26"/>
      <c r="Z298" s="26"/>
    </row>
    <row r="299" spans="21:26" ht="18.75" x14ac:dyDescent="0.25">
      <c r="U299" s="107"/>
      <c r="V299" s="107"/>
      <c r="W299" s="30"/>
      <c r="X299" s="30"/>
      <c r="Y299" s="30"/>
      <c r="Z299" s="30"/>
    </row>
    <row r="300" spans="21:26" ht="15.75" x14ac:dyDescent="0.25">
      <c r="U300" s="107"/>
      <c r="V300" s="107"/>
    </row>
    <row r="301" spans="21:26" ht="15.75" x14ac:dyDescent="0.25">
      <c r="U301" s="107"/>
      <c r="V301" s="107"/>
    </row>
    <row r="302" spans="21:26" ht="15.75" x14ac:dyDescent="0.25">
      <c r="U302" s="107"/>
      <c r="V302" s="107"/>
    </row>
    <row r="303" spans="21:26" ht="15.75" x14ac:dyDescent="0.25">
      <c r="U303" s="107"/>
      <c r="V303" s="107"/>
    </row>
    <row r="304" spans="21:26" ht="15.75" x14ac:dyDescent="0.25">
      <c r="U304" s="107"/>
      <c r="V304" s="107"/>
    </row>
    <row r="305" spans="21:26" ht="15.75" x14ac:dyDescent="0.25">
      <c r="U305" s="107"/>
      <c r="V305" s="107"/>
    </row>
    <row r="306" spans="21:26" ht="15.75" x14ac:dyDescent="0.25">
      <c r="U306" s="107"/>
      <c r="V306" s="107"/>
    </row>
    <row r="307" spans="21:26" ht="15.75" x14ac:dyDescent="0.25">
      <c r="U307" s="107"/>
      <c r="V307" s="107"/>
    </row>
    <row r="308" spans="21:26" ht="15.75" x14ac:dyDescent="0.25">
      <c r="U308" s="107"/>
      <c r="V308" s="107"/>
    </row>
    <row r="309" spans="21:26" ht="15.75" x14ac:dyDescent="0.25">
      <c r="U309" s="107"/>
      <c r="V309" s="107"/>
    </row>
    <row r="310" spans="21:26" ht="18.75" x14ac:dyDescent="0.25">
      <c r="U310" s="107"/>
      <c r="V310" s="107"/>
      <c r="W310" s="30"/>
      <c r="X310" s="30"/>
      <c r="Y310" s="30"/>
      <c r="Z310" s="30"/>
    </row>
    <row r="311" spans="21:26" ht="15.75" x14ac:dyDescent="0.25">
      <c r="U311" s="107"/>
      <c r="V311" s="107"/>
    </row>
    <row r="312" spans="21:26" ht="15.75" x14ac:dyDescent="0.25">
      <c r="U312" s="107"/>
      <c r="V312" s="107"/>
    </row>
    <row r="313" spans="21:26" ht="15.75" x14ac:dyDescent="0.25">
      <c r="U313" s="107"/>
      <c r="V313" s="107"/>
    </row>
    <row r="314" spans="21:26" ht="15.75" x14ac:dyDescent="0.25">
      <c r="U314" s="107"/>
      <c r="V314" s="107"/>
    </row>
    <row r="315" spans="21:26" ht="15.75" x14ac:dyDescent="0.25">
      <c r="U315" s="107"/>
      <c r="V315" s="107"/>
    </row>
    <row r="316" spans="21:26" ht="15.75" x14ac:dyDescent="0.25">
      <c r="U316" s="107"/>
      <c r="V316" s="107"/>
    </row>
    <row r="317" spans="21:26" ht="15.75" x14ac:dyDescent="0.25">
      <c r="U317" s="107"/>
      <c r="V317" s="107"/>
    </row>
    <row r="318" spans="21:26" ht="15.75" x14ac:dyDescent="0.25">
      <c r="U318" s="107"/>
      <c r="V318" s="107"/>
    </row>
    <row r="319" spans="21:26" ht="15.75" x14ac:dyDescent="0.25">
      <c r="U319" s="107"/>
      <c r="V319" s="107"/>
    </row>
    <row r="320" spans="21:26" ht="15.75" x14ac:dyDescent="0.25">
      <c r="U320" s="107"/>
      <c r="V320" s="107"/>
    </row>
    <row r="321" spans="21:26" ht="18.75" x14ac:dyDescent="0.25">
      <c r="U321" s="107"/>
      <c r="V321" s="107"/>
      <c r="W321" s="30"/>
      <c r="X321" s="30"/>
      <c r="Y321" s="30"/>
      <c r="Z321" s="30"/>
    </row>
    <row r="322" spans="21:26" ht="15.75" x14ac:dyDescent="0.25">
      <c r="U322" s="107"/>
      <c r="V322" s="107"/>
    </row>
    <row r="323" spans="21:26" ht="15.75" x14ac:dyDescent="0.25">
      <c r="U323" s="107"/>
      <c r="V323" s="107"/>
    </row>
    <row r="324" spans="21:26" ht="15.75" x14ac:dyDescent="0.25">
      <c r="U324" s="107"/>
      <c r="V324" s="107"/>
    </row>
    <row r="325" spans="21:26" ht="15.75" x14ac:dyDescent="0.25">
      <c r="U325" s="107"/>
      <c r="V325" s="107"/>
    </row>
    <row r="326" spans="21:26" ht="15.75" x14ac:dyDescent="0.25">
      <c r="U326" s="107"/>
      <c r="V326" s="107"/>
    </row>
    <row r="327" spans="21:26" ht="15.75" x14ac:dyDescent="0.25">
      <c r="U327" s="107"/>
      <c r="V327" s="107"/>
    </row>
    <row r="328" spans="21:26" ht="15.75" x14ac:dyDescent="0.25">
      <c r="U328" s="107"/>
      <c r="V328" s="107"/>
    </row>
    <row r="329" spans="21:26" ht="15.75" x14ac:dyDescent="0.25">
      <c r="U329" s="107"/>
      <c r="V329" s="107"/>
    </row>
    <row r="330" spans="21:26" ht="15.75" x14ac:dyDescent="0.25">
      <c r="U330" s="107"/>
      <c r="V330" s="107"/>
    </row>
    <row r="331" spans="21:26" ht="15.75" x14ac:dyDescent="0.25">
      <c r="U331" s="107"/>
      <c r="V331" s="107"/>
    </row>
    <row r="332" spans="21:26" ht="18.75" x14ac:dyDescent="0.25">
      <c r="U332" s="107"/>
      <c r="V332" s="107"/>
      <c r="W332" s="30"/>
      <c r="X332" s="30"/>
      <c r="Y332" s="30"/>
      <c r="Z332" s="30"/>
    </row>
    <row r="333" spans="21:26" ht="15.75" x14ac:dyDescent="0.25">
      <c r="U333" s="107"/>
      <c r="V333" s="107"/>
    </row>
    <row r="334" spans="21:26" ht="15.75" x14ac:dyDescent="0.25">
      <c r="U334" s="107"/>
      <c r="V334" s="107"/>
    </row>
    <row r="335" spans="21:26" ht="15.75" x14ac:dyDescent="0.25">
      <c r="U335" s="107"/>
      <c r="V335" s="107"/>
    </row>
    <row r="336" spans="21:26" ht="15.75" x14ac:dyDescent="0.25">
      <c r="U336" s="107"/>
      <c r="V336" s="107"/>
    </row>
    <row r="337" spans="21:26" ht="15.75" x14ac:dyDescent="0.25">
      <c r="U337" s="107"/>
      <c r="V337" s="107"/>
    </row>
    <row r="338" spans="21:26" ht="15.75" x14ac:dyDescent="0.25">
      <c r="U338" s="107"/>
      <c r="V338" s="107"/>
    </row>
    <row r="339" spans="21:26" ht="15.75" x14ac:dyDescent="0.25">
      <c r="U339" s="107"/>
      <c r="V339" s="107"/>
    </row>
    <row r="340" spans="21:26" ht="15.75" x14ac:dyDescent="0.25">
      <c r="U340" s="107"/>
      <c r="V340" s="107"/>
    </row>
    <row r="341" spans="21:26" ht="15.75" x14ac:dyDescent="0.25">
      <c r="U341" s="107"/>
      <c r="V341" s="107"/>
    </row>
    <row r="342" spans="21:26" ht="15.75" x14ac:dyDescent="0.25">
      <c r="U342" s="107"/>
      <c r="V342" s="107"/>
    </row>
    <row r="343" spans="21:26" ht="18.75" x14ac:dyDescent="0.25">
      <c r="U343" s="107"/>
      <c r="V343" s="107"/>
      <c r="W343" s="30"/>
      <c r="X343" s="30"/>
      <c r="Y343" s="30"/>
      <c r="Z343" s="30"/>
    </row>
    <row r="344" spans="21:26" ht="15.75" x14ac:dyDescent="0.25">
      <c r="U344" s="107"/>
      <c r="V344" s="107"/>
    </row>
    <row r="345" spans="21:26" ht="15.75" x14ac:dyDescent="0.25">
      <c r="U345" s="107"/>
      <c r="V345" s="107"/>
    </row>
    <row r="346" spans="21:26" ht="15.75" x14ac:dyDescent="0.25">
      <c r="U346" s="107"/>
      <c r="V346" s="107"/>
    </row>
    <row r="347" spans="21:26" ht="15.75" x14ac:dyDescent="0.25">
      <c r="U347" s="107"/>
      <c r="V347" s="107"/>
    </row>
    <row r="348" spans="21:26" ht="15.75" x14ac:dyDescent="0.25">
      <c r="U348" s="107"/>
      <c r="V348" s="107"/>
    </row>
    <row r="349" spans="21:26" ht="15.75" x14ac:dyDescent="0.25">
      <c r="U349" s="107"/>
      <c r="V349" s="107"/>
    </row>
    <row r="350" spans="21:26" ht="15.75" x14ac:dyDescent="0.25">
      <c r="U350" s="107"/>
      <c r="V350" s="107"/>
    </row>
    <row r="351" spans="21:26" ht="15.75" x14ac:dyDescent="0.25">
      <c r="U351" s="107"/>
      <c r="V351" s="107"/>
    </row>
    <row r="352" spans="21:26" ht="15.75" x14ac:dyDescent="0.25">
      <c r="U352" s="107"/>
      <c r="V352" s="107"/>
    </row>
    <row r="353" spans="21:26" ht="15.75" x14ac:dyDescent="0.25">
      <c r="U353" s="107"/>
      <c r="V353" s="107"/>
    </row>
    <row r="354" spans="21:26" ht="18.75" x14ac:dyDescent="0.25">
      <c r="U354" s="107"/>
      <c r="V354" s="107"/>
      <c r="W354" s="30"/>
      <c r="X354" s="30"/>
      <c r="Y354" s="30"/>
      <c r="Z354" s="30"/>
    </row>
    <row r="355" spans="21:26" ht="15.75" x14ac:dyDescent="0.25">
      <c r="U355" s="107"/>
      <c r="V355" s="107"/>
    </row>
    <row r="356" spans="21:26" ht="15.75" x14ac:dyDescent="0.25">
      <c r="U356" s="107"/>
      <c r="V356" s="107"/>
    </row>
    <row r="357" spans="21:26" ht="15.75" x14ac:dyDescent="0.25">
      <c r="U357" s="107"/>
      <c r="V357" s="107"/>
    </row>
    <row r="358" spans="21:26" ht="15.75" x14ac:dyDescent="0.25">
      <c r="U358" s="107"/>
      <c r="V358" s="107"/>
    </row>
    <row r="359" spans="21:26" ht="15.75" x14ac:dyDescent="0.25">
      <c r="U359" s="107"/>
      <c r="V359" s="107"/>
    </row>
    <row r="360" spans="21:26" ht="15.75" x14ac:dyDescent="0.25">
      <c r="U360" s="107"/>
      <c r="V360" s="107"/>
    </row>
    <row r="361" spans="21:26" ht="15.75" x14ac:dyDescent="0.25">
      <c r="U361" s="107"/>
      <c r="V361" s="107"/>
    </row>
    <row r="362" spans="21:26" ht="15.75" x14ac:dyDescent="0.25">
      <c r="U362" s="107"/>
      <c r="V362" s="107"/>
    </row>
    <row r="363" spans="21:26" ht="15.75" x14ac:dyDescent="0.25">
      <c r="U363" s="107"/>
      <c r="V363" s="107"/>
    </row>
    <row r="364" spans="21:26" ht="15.75" x14ac:dyDescent="0.25">
      <c r="U364" s="107"/>
      <c r="V364" s="107"/>
    </row>
    <row r="365" spans="21:26" ht="18.75" x14ac:dyDescent="0.25">
      <c r="U365" s="107"/>
      <c r="V365" s="107"/>
      <c r="W365" s="30"/>
      <c r="X365" s="30"/>
      <c r="Y365" s="30"/>
      <c r="Z365" s="30"/>
    </row>
    <row r="366" spans="21:26" ht="15.75" x14ac:dyDescent="0.25">
      <c r="U366" s="107"/>
      <c r="V366" s="107"/>
    </row>
    <row r="367" spans="21:26" ht="15.75" x14ac:dyDescent="0.25">
      <c r="U367" s="107"/>
      <c r="V367" s="107"/>
    </row>
    <row r="368" spans="21:26" ht="15.75" x14ac:dyDescent="0.25">
      <c r="U368" s="107"/>
      <c r="V368" s="107"/>
    </row>
    <row r="369" spans="21:22" ht="15.75" x14ac:dyDescent="0.25">
      <c r="U369" s="107"/>
      <c r="V369" s="107"/>
    </row>
    <row r="370" spans="21:22" ht="15.75" x14ac:dyDescent="0.25">
      <c r="U370" s="107"/>
      <c r="V370" s="107"/>
    </row>
    <row r="371" spans="21:22" ht="15.75" x14ac:dyDescent="0.25">
      <c r="U371" s="107"/>
      <c r="V371" s="107"/>
    </row>
    <row r="372" spans="21:22" ht="15.75" x14ac:dyDescent="0.25">
      <c r="U372" s="107"/>
      <c r="V372" s="107"/>
    </row>
    <row r="373" spans="21:22" ht="15.75" x14ac:dyDescent="0.25">
      <c r="U373" s="107"/>
      <c r="V373" s="107"/>
    </row>
    <row r="374" spans="21:22" ht="15.75" x14ac:dyDescent="0.25">
      <c r="U374" s="107"/>
      <c r="V374" s="107"/>
    </row>
    <row r="375" spans="21:22" ht="15.75" x14ac:dyDescent="0.25">
      <c r="U375" s="107"/>
      <c r="V375" s="107"/>
    </row>
    <row r="376" spans="21:22" ht="15.75" x14ac:dyDescent="0.25">
      <c r="U376" s="107"/>
      <c r="V376" s="107"/>
    </row>
    <row r="377" spans="21:22" ht="15.75" x14ac:dyDescent="0.25">
      <c r="U377" s="107"/>
      <c r="V377" s="107"/>
    </row>
    <row r="378" spans="21:22" ht="15.75" x14ac:dyDescent="0.25">
      <c r="U378" s="107"/>
      <c r="V378" s="107"/>
    </row>
    <row r="379" spans="21:22" ht="15.75" x14ac:dyDescent="0.25">
      <c r="U379" s="107"/>
      <c r="V379" s="107"/>
    </row>
    <row r="380" spans="21:22" ht="15.75" x14ac:dyDescent="0.25">
      <c r="U380" s="107"/>
      <c r="V380" s="107"/>
    </row>
    <row r="381" spans="21:22" ht="15.75" x14ac:dyDescent="0.25">
      <c r="U381" s="107"/>
      <c r="V381" s="107"/>
    </row>
    <row r="382" spans="21:22" ht="15.75" x14ac:dyDescent="0.25">
      <c r="U382" s="107"/>
      <c r="V382" s="107"/>
    </row>
    <row r="383" spans="21:22" ht="15.75" x14ac:dyDescent="0.25">
      <c r="U383" s="107"/>
      <c r="V383" s="107"/>
    </row>
    <row r="384" spans="21:22" ht="15.75" x14ac:dyDescent="0.25">
      <c r="U384" s="107"/>
      <c r="V384" s="107"/>
    </row>
    <row r="385" spans="21:22" ht="15.75" x14ac:dyDescent="0.25">
      <c r="U385" s="107"/>
      <c r="V385" s="107"/>
    </row>
    <row r="386" spans="21:22" ht="15.75" x14ac:dyDescent="0.25">
      <c r="U386" s="107"/>
      <c r="V386" s="107"/>
    </row>
    <row r="387" spans="21:22" ht="15.75" x14ac:dyDescent="0.25">
      <c r="U387" s="107"/>
      <c r="V387" s="107"/>
    </row>
    <row r="388" spans="21:22" ht="15.75" x14ac:dyDescent="0.25">
      <c r="U388" s="107"/>
      <c r="V388" s="107"/>
    </row>
    <row r="389" spans="21:22" ht="15.75" x14ac:dyDescent="0.25">
      <c r="U389" s="107"/>
      <c r="V389" s="107"/>
    </row>
  </sheetData>
  <sheetProtection algorithmName="SHA-512" hashValue="y3Tom5X+7U2CmueaE/puNq6MbQSWUiJ6VT9MBOUezbvPU8wZiIejtM7xIkNRC7VvAe+P6iwfAZzN1s0+INoSwQ==" saltValue="OwhIq/rDZpil2p3ycGFJAA==" spinCount="100000" sheet="1" objects="1" scenarios="1"/>
  <mergeCells count="3">
    <mergeCell ref="B3:N3"/>
    <mergeCell ref="AC1:AH1"/>
    <mergeCell ref="V1:Z1"/>
  </mergeCell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xr:uid="{10E4EFE2-E1BE-4F3D-9F78-4FB7D828DA41}">
          <x14:formula1>
            <xm:f>Unit!#REF!</xm:f>
          </x14:formula1>
          <xm:sqref>W277:Z277 W200:Z200 W189:Z189 W178:Z178 W167:Z167 W156:Z156 W145:Z145 W101:Z101 W233:Z233 W222:Z222 W24:Z24 W321:Z321 W310:Z310 W299:Z299 W288:Z288 W365:Z365 W332:Z332 W343:Z343 W354:Z354 W266:Z266 W255:Z255 W244:Z244 W134:Z134 W123:Z123 W112:Z112 W90:Z90 W79:Z79 W68:Z68 W57:Z57 W46:Z46 W211:Z211 W13:Z13 W35:Z35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00B050"/>
  </sheetPr>
  <dimension ref="A1:AJ9"/>
  <sheetViews>
    <sheetView view="pageBreakPreview" zoomScale="70" zoomScaleNormal="85" zoomScaleSheetLayoutView="70" zoomScalePageLayoutView="85" workbookViewId="0">
      <pane ySplit="2" topLeftCell="A223" activePane="bottomLeft" state="frozen"/>
      <selection activeCell="F51" sqref="F51"/>
      <selection pane="bottomLeft"/>
    </sheetView>
  </sheetViews>
  <sheetFormatPr defaultColWidth="8.85546875" defaultRowHeight="15" outlineLevelCol="1" x14ac:dyDescent="0.25"/>
  <cols>
    <col min="1" max="1" width="10.85546875" style="25" bestFit="1" customWidth="1"/>
    <col min="2" max="2" width="58.42578125" style="25" customWidth="1"/>
    <col min="3" max="10" width="10.5703125" style="36" hidden="1" customWidth="1" outlineLevel="1"/>
    <col min="11" max="11" width="12.85546875" style="36" hidden="1" customWidth="1" outlineLevel="1"/>
    <col min="12" max="12" width="12" style="36" hidden="1" customWidth="1" outlineLevel="1"/>
    <col min="13" max="13" width="15.5703125" style="110" customWidth="1" collapsed="1"/>
    <col min="14" max="14" width="15.5703125" style="36" customWidth="1"/>
    <col min="15" max="18" width="15.5703125" style="25" customWidth="1" outlineLevel="1"/>
    <col min="19" max="19" width="15.5703125" style="25" customWidth="1"/>
    <col min="20" max="20" width="22.5703125" style="108" customWidth="1"/>
    <col min="21" max="21" width="1.140625" style="212" customWidth="1"/>
    <col min="22" max="25" width="15.5703125" style="25" customWidth="1" outlineLevel="1"/>
    <col min="26" max="26" width="17.5703125" style="25" customWidth="1" outlineLevel="1"/>
    <col min="27" max="27" width="17.5703125" style="88" customWidth="1" outlineLevel="1"/>
    <col min="28" max="28" width="16.5703125" style="88" customWidth="1" outlineLevel="1"/>
    <col min="29" max="34" width="16.5703125" style="25" customWidth="1" outlineLevel="1"/>
    <col min="35" max="36" width="16.5703125" style="25" customWidth="1"/>
    <col min="37" max="37" width="14.5703125" style="25" bestFit="1" customWidth="1"/>
    <col min="38" max="16384" width="8.85546875" style="25"/>
  </cols>
  <sheetData>
    <row r="1" spans="1:36" s="69" customFormat="1" ht="39.950000000000003" customHeight="1" thickBot="1" x14ac:dyDescent="0.3">
      <c r="A1" s="23" t="s">
        <v>0</v>
      </c>
      <c r="B1" s="63" t="s">
        <v>14</v>
      </c>
      <c r="C1" s="64" t="s">
        <v>826</v>
      </c>
      <c r="D1" s="64" t="s">
        <v>827</v>
      </c>
      <c r="E1" s="64" t="s">
        <v>828</v>
      </c>
      <c r="F1" s="307" t="s">
        <v>900</v>
      </c>
      <c r="G1" s="64" t="s">
        <v>5</v>
      </c>
      <c r="H1" s="64" t="s">
        <v>6</v>
      </c>
      <c r="I1" s="64" t="s">
        <v>7</v>
      </c>
      <c r="J1" s="64" t="s">
        <v>8</v>
      </c>
      <c r="K1" s="64" t="s">
        <v>9</v>
      </c>
      <c r="L1" s="64" t="s">
        <v>10</v>
      </c>
      <c r="M1" s="65" t="s">
        <v>1</v>
      </c>
      <c r="N1" s="66" t="s">
        <v>2</v>
      </c>
      <c r="O1" s="67" t="s">
        <v>26</v>
      </c>
      <c r="P1" s="67" t="s">
        <v>27</v>
      </c>
      <c r="Q1" s="111" t="s">
        <v>28</v>
      </c>
      <c r="R1" s="67" t="s">
        <v>34</v>
      </c>
      <c r="S1" s="67" t="s">
        <v>3</v>
      </c>
      <c r="T1" s="68" t="s">
        <v>4</v>
      </c>
      <c r="U1" s="215"/>
      <c r="V1" s="610" t="s">
        <v>626</v>
      </c>
      <c r="W1" s="611"/>
      <c r="X1" s="611"/>
      <c r="Y1" s="611"/>
      <c r="Z1" s="611"/>
      <c r="AA1" s="81" t="s">
        <v>22</v>
      </c>
      <c r="AB1" s="71"/>
      <c r="AC1" s="625" t="s">
        <v>155</v>
      </c>
      <c r="AD1" s="625"/>
      <c r="AE1" s="625"/>
      <c r="AF1" s="625"/>
      <c r="AG1" s="625"/>
      <c r="AH1" s="625"/>
    </row>
    <row r="2" spans="1:36" s="79" customFormat="1" ht="20.100000000000001" customHeight="1" thickBot="1" x14ac:dyDescent="0.4">
      <c r="A2" s="72">
        <f>'Detailed Excavation'!A2+1</f>
        <v>6</v>
      </c>
      <c r="B2" s="73" t="str" cm="1">
        <f t="array" aca="1" ref="B2" ca="1">UPPER(MID(CELL("filename",A1),FIND("]",CELL("filename",A1))+1,255))</f>
        <v>CONCRETE</v>
      </c>
      <c r="C2" s="74"/>
      <c r="D2" s="74"/>
      <c r="E2" s="74"/>
      <c r="F2" s="74"/>
      <c r="G2" s="74"/>
      <c r="H2" s="74"/>
      <c r="I2" s="74"/>
      <c r="J2" s="74"/>
      <c r="K2" s="74"/>
      <c r="L2" s="74"/>
      <c r="M2" s="75"/>
      <c r="N2" s="76"/>
      <c r="O2" s="77"/>
      <c r="P2" s="77"/>
      <c r="Q2" s="77"/>
      <c r="R2" s="77"/>
      <c r="S2" s="77"/>
      <c r="T2" s="78"/>
      <c r="U2" s="207"/>
      <c r="V2" s="221" t="s">
        <v>26</v>
      </c>
      <c r="W2" s="222" t="s">
        <v>27</v>
      </c>
      <c r="X2" s="222" t="s">
        <v>28</v>
      </c>
      <c r="Y2" s="222" t="s">
        <v>34</v>
      </c>
      <c r="Z2" s="222" t="s">
        <v>615</v>
      </c>
      <c r="AA2" s="80"/>
      <c r="AB2" s="71"/>
      <c r="AC2" s="81" t="s">
        <v>26</v>
      </c>
      <c r="AD2" s="81" t="s">
        <v>36</v>
      </c>
      <c r="AE2" s="81" t="s">
        <v>28</v>
      </c>
      <c r="AF2" s="81" t="s">
        <v>34</v>
      </c>
      <c r="AG2" s="81" t="s">
        <v>32</v>
      </c>
      <c r="AH2" s="81" t="s">
        <v>4</v>
      </c>
    </row>
    <row r="3" spans="1:36" s="79" customFormat="1" ht="21.75" thickBot="1" x14ac:dyDescent="0.4">
      <c r="A3" s="99"/>
      <c r="B3" s="622" t="str">
        <f>"TOTAL"</f>
        <v>TOTAL</v>
      </c>
      <c r="C3" s="623"/>
      <c r="D3" s="623"/>
      <c r="E3" s="623"/>
      <c r="F3" s="623"/>
      <c r="G3" s="623"/>
      <c r="H3" s="623"/>
      <c r="I3" s="623"/>
      <c r="J3" s="623"/>
      <c r="K3" s="623"/>
      <c r="L3" s="623"/>
      <c r="M3" s="623"/>
      <c r="N3" s="624"/>
      <c r="O3" s="100"/>
      <c r="P3" s="100"/>
      <c r="Q3" s="100"/>
      <c r="R3" s="100"/>
      <c r="S3" s="100"/>
      <c r="T3" s="101">
        <f ca="1">SUM(T$2:OFFSET(T3,-1,0))</f>
        <v>0</v>
      </c>
      <c r="U3" s="210"/>
      <c r="V3" s="100"/>
      <c r="W3" s="100"/>
      <c r="X3" s="100"/>
      <c r="Y3" s="100"/>
      <c r="Z3" s="100"/>
      <c r="AA3" s="102"/>
      <c r="AB3" s="103"/>
      <c r="AC3" s="104">
        <f t="shared" ref="AC3:AH3" si="0">SUM(AC1:AC2)</f>
        <v>0</v>
      </c>
      <c r="AD3" s="104">
        <f t="shared" si="0"/>
        <v>0</v>
      </c>
      <c r="AE3" s="104">
        <f t="shared" si="0"/>
        <v>0</v>
      </c>
      <c r="AF3" s="104">
        <f t="shared" si="0"/>
        <v>0</v>
      </c>
      <c r="AG3" s="104">
        <f t="shared" si="0"/>
        <v>0</v>
      </c>
      <c r="AH3" s="104">
        <f t="shared" si="0"/>
        <v>0</v>
      </c>
      <c r="AJ3" s="26"/>
    </row>
    <row r="4" spans="1:36" s="94" customFormat="1" ht="21" x14ac:dyDescent="0.25">
      <c r="A4" s="105"/>
      <c r="B4" s="25"/>
      <c r="C4" s="36"/>
      <c r="D4" s="36"/>
      <c r="E4" s="36"/>
      <c r="F4" s="36"/>
      <c r="G4" s="36"/>
      <c r="H4" s="36"/>
      <c r="I4" s="36"/>
      <c r="J4" s="36"/>
      <c r="K4" s="36"/>
      <c r="L4" s="36"/>
      <c r="M4" s="106"/>
      <c r="N4" s="32"/>
      <c r="O4" s="25"/>
      <c r="P4" s="25"/>
      <c r="Q4" s="25"/>
      <c r="R4" s="25"/>
      <c r="S4" s="92"/>
      <c r="T4" s="107"/>
      <c r="U4" s="212"/>
      <c r="V4" s="25"/>
      <c r="W4" s="25"/>
      <c r="X4" s="25"/>
      <c r="Y4" s="25"/>
      <c r="Z4" s="25"/>
      <c r="AA4" s="88"/>
      <c r="AB4" s="88"/>
      <c r="AC4" s="81" t="s">
        <v>26</v>
      </c>
      <c r="AD4" s="81" t="s">
        <v>36</v>
      </c>
      <c r="AE4" s="81" t="s">
        <v>28</v>
      </c>
      <c r="AF4" s="81" t="s">
        <v>34</v>
      </c>
      <c r="AG4" s="81" t="s">
        <v>32</v>
      </c>
      <c r="AH4" s="81" t="s">
        <v>4</v>
      </c>
    </row>
    <row r="5" spans="1:36" x14ac:dyDescent="0.25">
      <c r="M5" s="106"/>
    </row>
    <row r="7" spans="1:36" x14ac:dyDescent="0.25">
      <c r="K7" s="109"/>
    </row>
    <row r="9" spans="1:36" x14ac:dyDescent="0.25">
      <c r="T9" s="108">
        <f ca="1">AH3-T3</f>
        <v>0</v>
      </c>
    </row>
  </sheetData>
  <sheetProtection algorithmName="SHA-512" hashValue="G7kzabhHyxvOXErZ71Sq/pyayDuasNIUTr6oYoisWPbSqh/vFUVAp+sxHu7D7jNfiHf2fjRDC+1sqHZMfF2sSw==" saltValue="jNSF3kIXhJlmuZRc1Mtaew==" spinCount="100000" sheet="1" objects="1" scenarios="1"/>
  <mergeCells count="3">
    <mergeCell ref="B3:N3"/>
    <mergeCell ref="AC1:AH1"/>
    <mergeCell ref="V1:Z1"/>
  </mergeCells>
  <phoneticPr fontId="32" type="noConversion"/>
  <pageMargins left="0.70866141732283472" right="0.70866141732283472" top="0.74803149606299213" bottom="0.74803149606299213" header="0.31496062992125984" footer="0.31496062992125984"/>
  <pageSetup scale="40" orientation="landscape"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953A5-5A85-4B33-8287-30B9EEA9A8BD}">
  <sheetPr codeName="Sheet40">
    <tabColor rgb="FF00B0F0"/>
  </sheetPr>
  <dimension ref="A1:AC114"/>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9" ht="35.450000000000003" customHeight="1" x14ac:dyDescent="0.25">
      <c r="A1" s="294" t="s">
        <v>852</v>
      </c>
      <c r="B1" s="295"/>
      <c r="C1" s="295"/>
      <c r="D1" s="295"/>
      <c r="E1" s="295"/>
      <c r="F1" s="295"/>
      <c r="G1" s="295"/>
      <c r="H1" s="295"/>
      <c r="I1" s="295"/>
      <c r="J1" s="295"/>
      <c r="K1" s="295"/>
      <c r="L1" s="295"/>
      <c r="M1" s="295"/>
      <c r="N1" s="295"/>
      <c r="O1" s="295"/>
      <c r="P1" s="295"/>
      <c r="Q1" s="295"/>
      <c r="R1" s="295"/>
      <c r="S1" s="296" t="s">
        <v>888</v>
      </c>
      <c r="T1" s="301">
        <v>44953</v>
      </c>
      <c r="U1" s="301"/>
      <c r="V1" s="301"/>
      <c r="W1" s="301"/>
      <c r="X1" s="301"/>
      <c r="Y1" s="301"/>
      <c r="Z1" s="301"/>
      <c r="AA1" s="301"/>
      <c r="AB1" s="301"/>
    </row>
    <row r="2" spans="1:29" ht="15.75" x14ac:dyDescent="0.25">
      <c r="I2" s="292">
        <v>65.37</v>
      </c>
      <c r="J2" s="293">
        <v>80.84</v>
      </c>
      <c r="K2" s="291">
        <v>1</v>
      </c>
      <c r="L2" s="291">
        <v>1</v>
      </c>
      <c r="U2" s="291">
        <v>1</v>
      </c>
      <c r="V2" s="291">
        <v>1</v>
      </c>
      <c r="W2" s="291">
        <v>1</v>
      </c>
      <c r="X2" s="291">
        <v>1</v>
      </c>
      <c r="Y2" s="291">
        <v>1</v>
      </c>
      <c r="Z2" s="291">
        <v>1</v>
      </c>
      <c r="AA2" s="291">
        <v>1</v>
      </c>
      <c r="AB2" s="291">
        <v>1</v>
      </c>
    </row>
    <row r="3" spans="1:29"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9" ht="21" hidden="1" outlineLevel="1" x14ac:dyDescent="0.25">
      <c r="A4" s="299" t="s">
        <v>775</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9"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v>1</v>
      </c>
      <c r="V5" s="291">
        <v>1</v>
      </c>
      <c r="W5" s="291">
        <v>1</v>
      </c>
      <c r="X5" s="291">
        <v>1</v>
      </c>
      <c r="Y5" s="291">
        <v>1</v>
      </c>
      <c r="Z5" s="291">
        <v>1</v>
      </c>
      <c r="AA5" s="291">
        <v>1</v>
      </c>
      <c r="AB5" s="291">
        <v>1</v>
      </c>
    </row>
    <row r="6" spans="1:29" s="305" customFormat="1" ht="14.45" hidden="1" customHeight="1" outlineLevel="1" x14ac:dyDescent="0.25">
      <c r="A6" s="278"/>
      <c r="B6" s="279" t="str">
        <f>C6&amp;D6&amp;E6&amp;F6</f>
        <v>15MPa</v>
      </c>
      <c r="C6" s="278" t="s">
        <v>612</v>
      </c>
      <c r="D6" s="278"/>
      <c r="E6" s="278"/>
      <c r="F6" s="278"/>
      <c r="G6" s="278" t="s">
        <v>25</v>
      </c>
      <c r="H6" s="290"/>
      <c r="I6" s="280">
        <f t="shared" ref="I6:I12" si="0">$I$2*H6</f>
        <v>0</v>
      </c>
      <c r="J6" s="281">
        <f>$J$2*H6</f>
        <v>0</v>
      </c>
      <c r="K6" s="282">
        <f>IF(Notes!$B$9="Domestic",I6, IF(Notes!$B$9="Commercial",J6))*$K$5</f>
        <v>0</v>
      </c>
      <c r="L6" s="283">
        <f>(SUM(O6:Q6)+(K6+SUM(M6:Q6))*(INDEX($U$5:$AB$5,MATCH(Notes!$C$16,$U$3:$AB$3,0))-100%))*$L$5</f>
        <v>234</v>
      </c>
      <c r="M6" s="284"/>
      <c r="N6" s="284"/>
      <c r="O6" s="285">
        <f>INDEX(U6:AB6,MATCH(Notes!$C$16,'Concrete Rates'!$U$3:$AB$3,0))</f>
        <v>234</v>
      </c>
      <c r="P6" s="285"/>
      <c r="Q6" s="285"/>
      <c r="R6" s="278" t="s">
        <v>612</v>
      </c>
      <c r="S6" s="278"/>
      <c r="T6" s="278"/>
      <c r="U6" s="304">
        <v>189</v>
      </c>
      <c r="V6" s="305">
        <v>234</v>
      </c>
      <c r="W6" s="305">
        <v>205</v>
      </c>
      <c r="X6" s="305">
        <v>213</v>
      </c>
      <c r="Y6" s="304">
        <v>239</v>
      </c>
      <c r="Z6" s="304">
        <v>212</v>
      </c>
      <c r="AA6" s="305">
        <v>250</v>
      </c>
      <c r="AB6" s="305">
        <v>200</v>
      </c>
    </row>
    <row r="7" spans="1:29" s="305" customFormat="1" ht="14.45" hidden="1" customHeight="1" outlineLevel="1" x14ac:dyDescent="0.25">
      <c r="A7" s="278"/>
      <c r="B7" s="279" t="str">
        <f t="shared" ref="B7:B12" si="1">C7&amp;D7&amp;E7&amp;F7</f>
        <v>20MPa</v>
      </c>
      <c r="C7" s="278" t="s">
        <v>531</v>
      </c>
      <c r="D7" s="278"/>
      <c r="E7" s="278"/>
      <c r="F7" s="278"/>
      <c r="G7" s="278" t="s">
        <v>25</v>
      </c>
      <c r="H7" s="290"/>
      <c r="I7" s="280">
        <f t="shared" si="0"/>
        <v>0</v>
      </c>
      <c r="J7" s="281">
        <f t="shared" ref="J7:J12" si="2">$J$2*H7</f>
        <v>0</v>
      </c>
      <c r="K7" s="282">
        <f>IF(Notes!$B$9="Domestic",I7, IF(Notes!$B$9="Commercial",J7))*$K$5</f>
        <v>0</v>
      </c>
      <c r="L7" s="283">
        <f>(SUM(O7:Q7)+(K7+SUM(M7:Q7))*(INDEX($U$5:$AB$5,MATCH(Notes!$C$16,$U$3:$AB$3,0))-100%))*$L$5</f>
        <v>234</v>
      </c>
      <c r="M7" s="284"/>
      <c r="N7" s="284"/>
      <c r="O7" s="285">
        <f>INDEX(U7:AB7,MATCH(Notes!$C$16,'Concrete Rates'!$U$3:$AB$3,0))</f>
        <v>234</v>
      </c>
      <c r="P7" s="285"/>
      <c r="Q7" s="285"/>
      <c r="R7" s="278" t="s">
        <v>531</v>
      </c>
      <c r="S7" s="278"/>
      <c r="T7" s="278"/>
      <c r="U7" s="304">
        <v>189</v>
      </c>
      <c r="V7" s="305">
        <v>234</v>
      </c>
      <c r="W7" s="305">
        <v>205</v>
      </c>
      <c r="X7" s="305">
        <v>213</v>
      </c>
      <c r="Y7" s="304">
        <v>239</v>
      </c>
      <c r="Z7" s="304">
        <v>212</v>
      </c>
      <c r="AA7" s="305">
        <v>250</v>
      </c>
      <c r="AB7" s="305">
        <v>200</v>
      </c>
    </row>
    <row r="8" spans="1:29" s="305" customFormat="1" ht="14.45" hidden="1" customHeight="1" outlineLevel="1" x14ac:dyDescent="0.25">
      <c r="A8" s="278"/>
      <c r="B8" s="279" t="str">
        <f t="shared" si="1"/>
        <v>25MPa</v>
      </c>
      <c r="C8" s="278" t="s">
        <v>773</v>
      </c>
      <c r="D8" s="278"/>
      <c r="E8" s="278"/>
      <c r="F8" s="278"/>
      <c r="G8" s="278" t="s">
        <v>25</v>
      </c>
      <c r="H8" s="290"/>
      <c r="I8" s="280">
        <f t="shared" si="0"/>
        <v>0</v>
      </c>
      <c r="J8" s="281">
        <f t="shared" si="2"/>
        <v>0</v>
      </c>
      <c r="K8" s="282">
        <f>IF(Notes!$B$9="Domestic",I8, IF(Notes!$B$9="Commercial",J8))*$K$5</f>
        <v>0</v>
      </c>
      <c r="L8" s="283">
        <f>(SUM(O8:Q8)+(K8+SUM(M8:Q8))*(INDEX($U$5:$AB$5,MATCH(Notes!$C$16,$U$3:$AB$3,0))-100%))*$L$5</f>
        <v>239</v>
      </c>
      <c r="M8" s="284"/>
      <c r="N8" s="284"/>
      <c r="O8" s="285">
        <f>INDEX(U8:AB8,MATCH(Notes!$C$16,'Concrete Rates'!$U$3:$AB$3,0))</f>
        <v>239</v>
      </c>
      <c r="P8" s="285"/>
      <c r="Q8" s="285"/>
      <c r="R8" s="278" t="s">
        <v>773</v>
      </c>
      <c r="S8" s="278"/>
      <c r="T8" s="278"/>
      <c r="U8" s="304">
        <v>198</v>
      </c>
      <c r="V8" s="305">
        <v>239</v>
      </c>
      <c r="W8" s="305">
        <v>215</v>
      </c>
      <c r="X8" s="305">
        <v>218</v>
      </c>
      <c r="Y8" s="304">
        <v>247</v>
      </c>
      <c r="Z8" s="304">
        <v>227</v>
      </c>
      <c r="AA8" s="305">
        <v>260</v>
      </c>
      <c r="AB8" s="305">
        <v>205</v>
      </c>
    </row>
    <row r="9" spans="1:29" s="305" customFormat="1" ht="14.45" hidden="1" customHeight="1" outlineLevel="1" x14ac:dyDescent="0.25">
      <c r="A9" s="278"/>
      <c r="B9" s="279" t="str">
        <f t="shared" si="1"/>
        <v>32MPa</v>
      </c>
      <c r="C9" s="278" t="s">
        <v>532</v>
      </c>
      <c r="D9" s="278"/>
      <c r="E9" s="278"/>
      <c r="F9" s="278"/>
      <c r="G9" s="278" t="s">
        <v>25</v>
      </c>
      <c r="H9" s="290"/>
      <c r="I9" s="280">
        <f t="shared" si="0"/>
        <v>0</v>
      </c>
      <c r="J9" s="281">
        <f t="shared" si="2"/>
        <v>0</v>
      </c>
      <c r="K9" s="282">
        <f>IF(Notes!$B$9="Domestic",I9, IF(Notes!$B$9="Commercial",J9))*$K$5</f>
        <v>0</v>
      </c>
      <c r="L9" s="283">
        <f>(SUM(O9:Q9)+(K9+SUM(M9:Q9))*(INDEX($U$5:$AB$5,MATCH(Notes!$C$16,$U$3:$AB$3,0))-100%))*$L$5</f>
        <v>246</v>
      </c>
      <c r="M9" s="284"/>
      <c r="N9" s="284"/>
      <c r="O9" s="285">
        <f>INDEX(U9:AB9,MATCH(Notes!$C$16,'Concrete Rates'!$U$3:$AB$3,0))</f>
        <v>246</v>
      </c>
      <c r="P9" s="285"/>
      <c r="Q9" s="285"/>
      <c r="R9" s="278" t="s">
        <v>532</v>
      </c>
      <c r="S9" s="278"/>
      <c r="T9" s="278"/>
      <c r="U9" s="305">
        <v>207</v>
      </c>
      <c r="V9" s="305">
        <v>246</v>
      </c>
      <c r="W9" s="305">
        <v>225</v>
      </c>
      <c r="X9" s="305">
        <v>225</v>
      </c>
      <c r="Y9" s="304">
        <v>255</v>
      </c>
      <c r="Z9" s="304">
        <v>237</v>
      </c>
      <c r="AA9" s="305">
        <v>270</v>
      </c>
      <c r="AB9" s="305">
        <v>214</v>
      </c>
    </row>
    <row r="10" spans="1:29" s="305" customFormat="1" ht="14.45" hidden="1" customHeight="1" outlineLevel="1" x14ac:dyDescent="0.25">
      <c r="A10" s="278"/>
      <c r="B10" s="279" t="str">
        <f t="shared" si="1"/>
        <v>40MPa</v>
      </c>
      <c r="C10" s="278" t="s">
        <v>533</v>
      </c>
      <c r="D10" s="278"/>
      <c r="E10" s="278"/>
      <c r="F10" s="278"/>
      <c r="G10" s="278" t="s">
        <v>25</v>
      </c>
      <c r="H10" s="290"/>
      <c r="I10" s="280">
        <f t="shared" si="0"/>
        <v>0</v>
      </c>
      <c r="J10" s="281">
        <f t="shared" si="2"/>
        <v>0</v>
      </c>
      <c r="K10" s="282">
        <f>IF(Notes!$B$9="Domestic",I10, IF(Notes!$B$9="Commercial",J10))*$K$5</f>
        <v>0</v>
      </c>
      <c r="L10" s="283">
        <f>(SUM(O10:Q10)+(K10+SUM(M10:Q10))*(INDEX($U$5:$AB$5,MATCH(Notes!$C$16,$U$3:$AB$3,0))-100%))*$L$5</f>
        <v>258</v>
      </c>
      <c r="M10" s="284"/>
      <c r="N10" s="284"/>
      <c r="O10" s="285">
        <f>INDEX(U10:AB10,MATCH(Notes!$C$16,'Concrete Rates'!$U$3:$AB$3,0))</f>
        <v>258</v>
      </c>
      <c r="P10" s="285"/>
      <c r="Q10" s="285"/>
      <c r="R10" s="278" t="s">
        <v>533</v>
      </c>
      <c r="S10" s="278"/>
      <c r="T10" s="278"/>
      <c r="U10" s="305">
        <v>219</v>
      </c>
      <c r="V10" s="305">
        <v>258</v>
      </c>
      <c r="W10" s="305">
        <v>235</v>
      </c>
      <c r="X10" s="305">
        <v>235</v>
      </c>
      <c r="Y10" s="304">
        <v>267</v>
      </c>
      <c r="Z10" s="304">
        <v>249</v>
      </c>
      <c r="AA10" s="305">
        <v>290</v>
      </c>
      <c r="AB10" s="305">
        <v>225</v>
      </c>
    </row>
    <row r="11" spans="1:29" s="305" customFormat="1" hidden="1" outlineLevel="1" x14ac:dyDescent="0.25">
      <c r="A11" s="278"/>
      <c r="B11" s="279" t="str">
        <f t="shared" si="1"/>
        <v>50MPa</v>
      </c>
      <c r="C11" s="278" t="s">
        <v>534</v>
      </c>
      <c r="D11" s="278"/>
      <c r="E11" s="278"/>
      <c r="F11" s="278"/>
      <c r="G11" s="278" t="s">
        <v>25</v>
      </c>
      <c r="H11" s="290"/>
      <c r="I11" s="280">
        <f t="shared" si="0"/>
        <v>0</v>
      </c>
      <c r="J11" s="281">
        <f t="shared" si="2"/>
        <v>0</v>
      </c>
      <c r="K11" s="282">
        <f>IF(Notes!$B$9="Domestic",I11, IF(Notes!$B$9="Commercial",J11))*$K$5</f>
        <v>0</v>
      </c>
      <c r="L11" s="283">
        <f>(SUM(O11:Q11)+(K11+SUM(M11:Q11))*(INDEX($U$5:$AB$5,MATCH(Notes!$C$16,$U$3:$AB$3,0))-100%))*$L$5</f>
        <v>284</v>
      </c>
      <c r="M11" s="284"/>
      <c r="N11" s="284"/>
      <c r="O11" s="285">
        <f>INDEX(U11:AB11,MATCH(Notes!$C$16,'Concrete Rates'!$U$3:$AB$3,0))</f>
        <v>284</v>
      </c>
      <c r="P11" s="285"/>
      <c r="Q11" s="285"/>
      <c r="R11" s="278" t="s">
        <v>534</v>
      </c>
      <c r="S11" s="278"/>
      <c r="T11" s="278"/>
      <c r="U11" s="305">
        <v>236</v>
      </c>
      <c r="V11" s="305">
        <v>284</v>
      </c>
      <c r="W11" s="305">
        <v>255</v>
      </c>
      <c r="X11" s="305">
        <v>255</v>
      </c>
      <c r="Y11" s="304">
        <v>293</v>
      </c>
      <c r="Z11" s="304">
        <f>Z10+26</f>
        <v>275</v>
      </c>
      <c r="AA11" s="305">
        <v>310</v>
      </c>
      <c r="AB11" s="305">
        <v>235</v>
      </c>
    </row>
    <row r="12" spans="1:29" s="305" customFormat="1" hidden="1" outlineLevel="1" x14ac:dyDescent="0.25">
      <c r="A12" s="278"/>
      <c r="B12" s="279" t="str">
        <f t="shared" si="1"/>
        <v>60MPa</v>
      </c>
      <c r="C12" s="278" t="s">
        <v>776</v>
      </c>
      <c r="D12" s="278"/>
      <c r="E12" s="278"/>
      <c r="F12" s="278"/>
      <c r="G12" s="278" t="s">
        <v>25</v>
      </c>
      <c r="H12" s="290"/>
      <c r="I12" s="280">
        <f t="shared" si="0"/>
        <v>0</v>
      </c>
      <c r="J12" s="281">
        <f t="shared" si="2"/>
        <v>0</v>
      </c>
      <c r="K12" s="282">
        <f>IF(Notes!$B$9="Domestic",I12, IF(Notes!$B$9="Commercial",J12))*$K$5</f>
        <v>0</v>
      </c>
      <c r="L12" s="283">
        <f>(SUM(O12:Q12)+(K12+SUM(M12:Q12))*(INDEX($U$5:$AB$5,MATCH(Notes!$C$16,$U$3:$AB$3,0))-100%))*$L$5</f>
        <v>305</v>
      </c>
      <c r="M12" s="284"/>
      <c r="N12" s="284"/>
      <c r="O12" s="285">
        <f>INDEX(U12:AB12,MATCH(Notes!$C$16,'Concrete Rates'!$U$3:$AB$3,0))</f>
        <v>305</v>
      </c>
      <c r="P12" s="285"/>
      <c r="Q12" s="285"/>
      <c r="R12" s="278" t="s">
        <v>776</v>
      </c>
      <c r="S12" s="278"/>
      <c r="T12" s="278"/>
      <c r="U12" s="305">
        <v>258</v>
      </c>
      <c r="V12" s="305">
        <v>305</v>
      </c>
      <c r="W12" s="305">
        <v>285</v>
      </c>
      <c r="X12" s="305">
        <v>275</v>
      </c>
      <c r="Y12" s="304">
        <v>314</v>
      </c>
      <c r="Z12" s="304">
        <f>Z11+21</f>
        <v>296</v>
      </c>
      <c r="AA12" s="305">
        <v>330</v>
      </c>
      <c r="AB12" s="305">
        <v>245</v>
      </c>
    </row>
    <row r="13" spans="1:29" ht="21" hidden="1" outlineLevel="1" x14ac:dyDescent="0.25">
      <c r="A13" s="299" t="s">
        <v>839</v>
      </c>
      <c r="B13" s="299"/>
      <c r="C13" s="299"/>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305"/>
    </row>
    <row r="14" spans="1:29" ht="15.75" hidden="1" outlineLevel="1" x14ac:dyDescent="0.25">
      <c r="A14" s="291"/>
      <c r="B14" s="291"/>
      <c r="C14" s="291"/>
      <c r="D14" s="291"/>
      <c r="E14" s="291"/>
      <c r="F14" s="291"/>
      <c r="G14" s="291"/>
      <c r="H14" s="291"/>
      <c r="I14" s="291"/>
      <c r="J14" s="291"/>
      <c r="K14" s="291">
        <f>K$2</f>
        <v>1</v>
      </c>
      <c r="L14" s="291">
        <f>L$2</f>
        <v>1</v>
      </c>
      <c r="M14" s="291"/>
      <c r="N14" s="291"/>
      <c r="O14" s="303"/>
      <c r="P14" s="303"/>
      <c r="Q14" s="303"/>
      <c r="R14" s="291"/>
      <c r="S14" s="291"/>
      <c r="T14" s="291"/>
      <c r="U14" s="291">
        <f>U17/$V$17</f>
        <v>0.96685082872928174</v>
      </c>
      <c r="V14" s="291">
        <f t="shared" ref="V14:AB14" si="3">V17/$V$17</f>
        <v>1</v>
      </c>
      <c r="W14" s="291">
        <f t="shared" si="3"/>
        <v>0.96685082872928174</v>
      </c>
      <c r="X14" s="291">
        <f t="shared" si="3"/>
        <v>0.98895027624309395</v>
      </c>
      <c r="Y14" s="291">
        <f t="shared" si="3"/>
        <v>1</v>
      </c>
      <c r="Z14" s="291">
        <f t="shared" si="3"/>
        <v>0.93922651933701662</v>
      </c>
      <c r="AA14" s="291">
        <f t="shared" si="3"/>
        <v>0.95027624309392267</v>
      </c>
      <c r="AB14" s="291">
        <f t="shared" si="3"/>
        <v>0.93922651933701662</v>
      </c>
    </row>
    <row r="15" spans="1:29" ht="14.45" hidden="1" customHeight="1" outlineLevel="1" x14ac:dyDescent="0.25">
      <c r="A15" s="278"/>
      <c r="B15" s="279" t="str">
        <f>C15&amp;D15&amp;E15&amp;F15</f>
        <v>100mmtilt-up</v>
      </c>
      <c r="C15" s="278" t="s">
        <v>302</v>
      </c>
      <c r="D15" s="278" t="s">
        <v>912</v>
      </c>
      <c r="E15" s="278"/>
      <c r="F15" s="278"/>
      <c r="G15" s="278" t="s">
        <v>11</v>
      </c>
      <c r="H15" s="290">
        <v>1.1200000000000001</v>
      </c>
      <c r="I15" s="280">
        <f>$I$2*H15</f>
        <v>73.214400000000012</v>
      </c>
      <c r="J15" s="281">
        <f>$J$2*H15</f>
        <v>90.540800000000019</v>
      </c>
      <c r="K15" s="282">
        <f>IF(Notes!$B$9="Domestic",I15, IF(Notes!$B$9="Commercial",J15))*$K$14</f>
        <v>90.540800000000019</v>
      </c>
      <c r="L15" s="283">
        <f>(SUM(O15:Q15)+(K15+SUM(M15:Q15))*(INDEX($U$14:$AB$14,MATCH(Notes!$C$16,$U$3:$AB$3,0))-100%))*$L$14</f>
        <v>76.209999999999994</v>
      </c>
      <c r="M15" s="286">
        <v>43.78</v>
      </c>
      <c r="N15" s="286"/>
      <c r="O15" s="285">
        <v>76.209999999999994</v>
      </c>
      <c r="P15" s="285"/>
      <c r="Q15" s="285"/>
      <c r="R15" s="278" t="s">
        <v>302</v>
      </c>
      <c r="S15" s="278"/>
      <c r="T15" s="278"/>
      <c r="U15" s="305"/>
      <c r="V15" s="305"/>
      <c r="W15" s="305"/>
      <c r="X15" s="305"/>
      <c r="Y15" s="305"/>
      <c r="Z15" s="305"/>
      <c r="AA15" s="305"/>
      <c r="AB15" s="305"/>
    </row>
    <row r="16" spans="1:29" ht="14.45" hidden="1" customHeight="1" outlineLevel="1" x14ac:dyDescent="0.25">
      <c r="A16" s="278"/>
      <c r="B16" s="279" t="str">
        <f t="shared" ref="B16:B19" si="4">C16&amp;D16&amp;E16&amp;F16</f>
        <v>125mmtilt-up</v>
      </c>
      <c r="C16" s="278" t="s">
        <v>662</v>
      </c>
      <c r="D16" s="278" t="s">
        <v>912</v>
      </c>
      <c r="E16" s="278"/>
      <c r="F16" s="278"/>
      <c r="G16" s="278" t="s">
        <v>11</v>
      </c>
      <c r="H16" s="290">
        <v>1.24</v>
      </c>
      <c r="I16" s="280">
        <f>$I$2*H16</f>
        <v>81.058800000000005</v>
      </c>
      <c r="J16" s="281">
        <f t="shared" ref="J16:J19" si="5">$J$2*H16</f>
        <v>100.24160000000001</v>
      </c>
      <c r="K16" s="282">
        <f>IF(Notes!$B$9="Domestic",I16, IF(Notes!$B$9="Commercial",J16))*$K$14</f>
        <v>100.24160000000001</v>
      </c>
      <c r="L16" s="283">
        <f>(SUM(O16:Q16)+(K16+SUM(M16:Q16))*(INDEX($U$14:$AB$14,MATCH(Notes!$C$16,$U$3:$AB$3,0))-100%))*$L$14</f>
        <v>84.37</v>
      </c>
      <c r="M16" s="286">
        <v>44.34</v>
      </c>
      <c r="N16" s="286"/>
      <c r="O16" s="285">
        <v>84.37</v>
      </c>
      <c r="P16" s="285"/>
      <c r="Q16" s="285"/>
      <c r="R16" s="278" t="s">
        <v>662</v>
      </c>
      <c r="S16" s="278"/>
      <c r="T16" s="278"/>
      <c r="U16" s="305"/>
      <c r="V16" s="305"/>
      <c r="W16" s="305"/>
      <c r="X16" s="305"/>
      <c r="Y16" s="305"/>
      <c r="Z16" s="305"/>
      <c r="AA16" s="305"/>
      <c r="AB16" s="305"/>
    </row>
    <row r="17" spans="1:28" ht="14.45" hidden="1" customHeight="1" outlineLevel="1" x14ac:dyDescent="0.25">
      <c r="A17" s="278"/>
      <c r="B17" s="279" t="str">
        <f t="shared" si="4"/>
        <v>150mmtilt-up</v>
      </c>
      <c r="C17" s="278" t="s">
        <v>663</v>
      </c>
      <c r="D17" s="278" t="s">
        <v>912</v>
      </c>
      <c r="E17" s="278"/>
      <c r="F17" s="278"/>
      <c r="G17" s="278" t="s">
        <v>11</v>
      </c>
      <c r="H17" s="290">
        <v>1.28</v>
      </c>
      <c r="I17" s="280">
        <f t="shared" ref="I17:I18" si="6">$I$2*H17</f>
        <v>83.673600000000008</v>
      </c>
      <c r="J17" s="281">
        <f t="shared" si="5"/>
        <v>103.4752</v>
      </c>
      <c r="K17" s="282">
        <f>IF(Notes!$B$9="Domestic",I17, IF(Notes!$B$9="Commercial",J17))*$K$14</f>
        <v>103.4752</v>
      </c>
      <c r="L17" s="283">
        <f>(SUM(O17:Q17)+(K17+SUM(M17:Q17))*(INDEX($U$14:$AB$14,MATCH(Notes!$C$16,$U$3:$AB$3,0))-100%))*$L$14</f>
        <v>92.05</v>
      </c>
      <c r="M17" s="286">
        <v>44.82</v>
      </c>
      <c r="N17" s="286"/>
      <c r="O17" s="285">
        <v>92.05</v>
      </c>
      <c r="P17" s="285"/>
      <c r="Q17" s="285"/>
      <c r="R17" s="278" t="s">
        <v>663</v>
      </c>
      <c r="S17" s="278"/>
      <c r="T17" s="278"/>
      <c r="U17" s="305">
        <v>175</v>
      </c>
      <c r="V17" s="305">
        <v>181</v>
      </c>
      <c r="W17" s="305">
        <v>175</v>
      </c>
      <c r="X17" s="305">
        <v>179</v>
      </c>
      <c r="Y17" s="305">
        <v>181</v>
      </c>
      <c r="Z17" s="305">
        <v>170</v>
      </c>
      <c r="AA17" s="305">
        <v>172</v>
      </c>
      <c r="AB17" s="305">
        <v>170</v>
      </c>
    </row>
    <row r="18" spans="1:28" hidden="1" outlineLevel="1" x14ac:dyDescent="0.25">
      <c r="A18" s="278"/>
      <c r="B18" s="279" t="str">
        <f t="shared" si="4"/>
        <v>175mmtilt-up</v>
      </c>
      <c r="C18" s="278" t="s">
        <v>853</v>
      </c>
      <c r="D18" s="278" t="s">
        <v>912</v>
      </c>
      <c r="E18" s="278"/>
      <c r="F18" s="278"/>
      <c r="G18" s="278" t="s">
        <v>11</v>
      </c>
      <c r="H18" s="290">
        <v>1.35</v>
      </c>
      <c r="I18" s="280">
        <f t="shared" si="6"/>
        <v>88.249500000000012</v>
      </c>
      <c r="J18" s="281">
        <f t="shared" si="5"/>
        <v>109.13400000000001</v>
      </c>
      <c r="K18" s="282">
        <f>IF(Notes!$B$9="Domestic",I18, IF(Notes!$B$9="Commercial",J18))*$K$14</f>
        <v>109.13400000000001</v>
      </c>
      <c r="L18" s="283">
        <f>(SUM(O18:Q18)+(K18+SUM(M18:Q18))*(INDEX($U$14:$AB$14,MATCH(Notes!$C$16,$U$3:$AB$3,0))-100%))*$L$14</f>
        <v>100.74</v>
      </c>
      <c r="M18" s="286">
        <v>45.35</v>
      </c>
      <c r="N18" s="286"/>
      <c r="O18" s="285">
        <v>100.74</v>
      </c>
      <c r="P18" s="285"/>
      <c r="Q18" s="285"/>
      <c r="R18" s="278" t="s">
        <v>853</v>
      </c>
      <c r="S18" s="278"/>
      <c r="T18" s="278"/>
      <c r="U18" s="305"/>
      <c r="V18" s="305"/>
      <c r="W18" s="305"/>
      <c r="X18" s="305"/>
      <c r="Y18" s="305"/>
      <c r="Z18" s="305"/>
      <c r="AA18" s="305"/>
      <c r="AB18" s="305"/>
    </row>
    <row r="19" spans="1:28" hidden="1" outlineLevel="1" x14ac:dyDescent="0.25">
      <c r="A19" s="278"/>
      <c r="B19" s="279" t="str">
        <f t="shared" si="4"/>
        <v>200mmtilt-up</v>
      </c>
      <c r="C19" s="278" t="s">
        <v>668</v>
      </c>
      <c r="D19" s="278" t="s">
        <v>912</v>
      </c>
      <c r="E19" s="278"/>
      <c r="F19" s="278"/>
      <c r="G19" s="278" t="s">
        <v>11</v>
      </c>
      <c r="H19" s="290">
        <v>1.39</v>
      </c>
      <c r="I19" s="280">
        <f>$I$2*H19</f>
        <v>90.8643</v>
      </c>
      <c r="J19" s="281">
        <f t="shared" si="5"/>
        <v>112.3676</v>
      </c>
      <c r="K19" s="282">
        <f>IF(Notes!$B$9="Domestic",I19, IF(Notes!$B$9="Commercial",J19))*$K$14</f>
        <v>112.3676</v>
      </c>
      <c r="L19" s="283">
        <f>(SUM(O19:Q19)+(K19+SUM(M19:Q19))*(INDEX($U$14:$AB$14,MATCH(Notes!$C$16,$U$3:$AB$3,0))-100%))*$L$14</f>
        <v>108.07</v>
      </c>
      <c r="M19" s="286">
        <v>45.88</v>
      </c>
      <c r="N19" s="286"/>
      <c r="O19" s="285">
        <v>108.07</v>
      </c>
      <c r="P19" s="285"/>
      <c r="Q19" s="285"/>
      <c r="R19" s="278" t="s">
        <v>668</v>
      </c>
      <c r="S19" s="278"/>
      <c r="T19" s="278"/>
      <c r="U19" s="305"/>
      <c r="V19" s="305"/>
      <c r="W19" s="305"/>
      <c r="X19" s="305"/>
      <c r="Y19" s="305"/>
      <c r="Z19" s="305"/>
      <c r="AA19" s="305"/>
      <c r="AB19" s="305"/>
    </row>
    <row r="20" spans="1:28" ht="21" hidden="1" outlineLevel="1" x14ac:dyDescent="0.25">
      <c r="A20" s="299" t="s">
        <v>854</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row>
    <row r="21" spans="1:28" ht="15.75" hidden="1" outlineLevel="1" x14ac:dyDescent="0.25">
      <c r="A21" s="291"/>
      <c r="B21" s="291"/>
      <c r="C21" s="291"/>
      <c r="D21" s="291"/>
      <c r="E21" s="291"/>
      <c r="F21" s="291"/>
      <c r="G21" s="291"/>
      <c r="H21" s="291"/>
      <c r="I21" s="291"/>
      <c r="J21" s="291"/>
      <c r="K21" s="291">
        <f>K$2</f>
        <v>1</v>
      </c>
      <c r="L21" s="291">
        <f>L$2</f>
        <v>1</v>
      </c>
      <c r="M21" s="291"/>
      <c r="N21" s="291"/>
      <c r="O21" s="303"/>
      <c r="P21" s="303"/>
      <c r="Q21" s="303"/>
      <c r="R21" s="291"/>
      <c r="S21" s="291"/>
      <c r="T21" s="291"/>
      <c r="U21" s="291">
        <f>U24/$V$24</f>
        <v>1.046875</v>
      </c>
      <c r="V21" s="291">
        <f t="shared" ref="V21:AB21" si="7">V24/$V$24</f>
        <v>1</v>
      </c>
      <c r="W21" s="291">
        <f t="shared" si="7"/>
        <v>1.03125</v>
      </c>
      <c r="X21" s="291">
        <f t="shared" si="7"/>
        <v>1.078125</v>
      </c>
      <c r="Y21" s="291">
        <f t="shared" si="7"/>
        <v>0.99062499999999998</v>
      </c>
      <c r="Z21" s="291">
        <f t="shared" si="7"/>
        <v>0.90625</v>
      </c>
      <c r="AA21" s="291">
        <f t="shared" si="7"/>
        <v>0.96875</v>
      </c>
      <c r="AB21" s="291">
        <f t="shared" si="7"/>
        <v>0.89687499999999998</v>
      </c>
    </row>
    <row r="22" spans="1:28" ht="14.45" hidden="1" customHeight="1" outlineLevel="1" x14ac:dyDescent="0.25">
      <c r="A22" s="278"/>
      <c r="B22" s="279" t="str">
        <f>C22&amp;D22&amp;E22&amp;F22</f>
        <v>100mmprecast</v>
      </c>
      <c r="C22" s="278" t="s">
        <v>302</v>
      </c>
      <c r="D22" s="278" t="s">
        <v>913</v>
      </c>
      <c r="E22" s="278"/>
      <c r="F22" s="278"/>
      <c r="G22" s="278" t="s">
        <v>11</v>
      </c>
      <c r="H22" s="290">
        <v>3.2</v>
      </c>
      <c r="I22" s="280">
        <f>$I$2*H22</f>
        <v>209.18400000000003</v>
      </c>
      <c r="J22" s="281">
        <f>$J$2*H22</f>
        <v>258.68800000000005</v>
      </c>
      <c r="K22" s="282">
        <f>IF(Notes!$B$9="Domestic",I22, IF(Notes!$B$9="Commercial",J22))*$K$21</f>
        <v>258.68800000000005</v>
      </c>
      <c r="L22" s="283">
        <f>(SUM(O22:Q22)+(K22+SUM(M22:Q22))*(INDEX($U$21:$AB$21,MATCH(Notes!$C$16,$U$3:$AB$3,0))-100%))*$L$21</f>
        <v>80.2</v>
      </c>
      <c r="M22" s="286">
        <v>62.88</v>
      </c>
      <c r="N22" s="286"/>
      <c r="O22" s="285">
        <v>80.2</v>
      </c>
      <c r="P22" s="285"/>
      <c r="Q22" s="285"/>
      <c r="R22" s="278" t="s">
        <v>302</v>
      </c>
      <c r="S22" s="278"/>
      <c r="T22" s="278"/>
      <c r="U22" s="305"/>
      <c r="V22" s="305"/>
      <c r="W22" s="305"/>
      <c r="X22" s="305"/>
      <c r="Y22" s="305"/>
      <c r="Z22" s="305"/>
      <c r="AA22" s="305"/>
      <c r="AB22" s="305"/>
    </row>
    <row r="23" spans="1:28" ht="14.45" hidden="1" customHeight="1" outlineLevel="1" x14ac:dyDescent="0.25">
      <c r="A23" s="278"/>
      <c r="B23" s="279" t="str">
        <f t="shared" ref="B23:B26" si="8">C23&amp;D23&amp;E23&amp;F23</f>
        <v>125mmprecast</v>
      </c>
      <c r="C23" s="278" t="s">
        <v>662</v>
      </c>
      <c r="D23" s="278" t="s">
        <v>913</v>
      </c>
      <c r="E23" s="278"/>
      <c r="F23" s="278"/>
      <c r="G23" s="278" t="s">
        <v>11</v>
      </c>
      <c r="H23" s="290">
        <v>3.5</v>
      </c>
      <c r="I23" s="280">
        <f t="shared" ref="I23:I25" si="9">$I$2*H23</f>
        <v>228.79500000000002</v>
      </c>
      <c r="J23" s="281">
        <f t="shared" ref="J23:J26" si="10">$J$2*H23</f>
        <v>282.94</v>
      </c>
      <c r="K23" s="282">
        <f>IF(Notes!$B$9="Domestic",I23, IF(Notes!$B$9="Commercial",J23))*$K$21</f>
        <v>282.94</v>
      </c>
      <c r="L23" s="283">
        <f>(SUM(O23:Q23)+(K23+SUM(M23:Q23))*(INDEX($U$21:$AB$21,MATCH(Notes!$C$16,$U$3:$AB$3,0))-100%))*$L$21</f>
        <v>92.28</v>
      </c>
      <c r="M23" s="286">
        <v>74.66</v>
      </c>
      <c r="N23" s="286"/>
      <c r="O23" s="285">
        <v>92.28</v>
      </c>
      <c r="P23" s="285"/>
      <c r="Q23" s="285"/>
      <c r="R23" s="278" t="s">
        <v>662</v>
      </c>
      <c r="S23" s="278"/>
      <c r="T23" s="278"/>
      <c r="U23" s="305"/>
      <c r="V23" s="305"/>
      <c r="W23" s="305"/>
      <c r="X23" s="305"/>
      <c r="Y23" s="305"/>
      <c r="Z23" s="305"/>
      <c r="AA23" s="305"/>
      <c r="AB23" s="305"/>
    </row>
    <row r="24" spans="1:28" ht="14.45" hidden="1" customHeight="1" outlineLevel="1" x14ac:dyDescent="0.25">
      <c r="A24" s="278"/>
      <c r="B24" s="279" t="str">
        <f t="shared" si="8"/>
        <v>150mmprecast</v>
      </c>
      <c r="C24" s="278" t="s">
        <v>663</v>
      </c>
      <c r="D24" s="278" t="s">
        <v>913</v>
      </c>
      <c r="E24" s="278"/>
      <c r="F24" s="278"/>
      <c r="G24" s="278" t="s">
        <v>11</v>
      </c>
      <c r="H24" s="290">
        <v>3.8</v>
      </c>
      <c r="I24" s="280">
        <f>$I$2*H24</f>
        <v>248.40600000000001</v>
      </c>
      <c r="J24" s="281">
        <f t="shared" si="10"/>
        <v>307.19200000000001</v>
      </c>
      <c r="K24" s="282">
        <f>IF(Notes!$B$9="Domestic",I24, IF(Notes!$B$9="Commercial",J24))*$K$21</f>
        <v>307.19200000000001</v>
      </c>
      <c r="L24" s="283">
        <f>(SUM(O24:Q24)+(K24+SUM(M24:Q24))*(INDEX($U$21:$AB$21,MATCH(Notes!$C$16,$U$3:$AB$3,0))-100%))*$L$21</f>
        <v>104.16</v>
      </c>
      <c r="M24" s="286">
        <v>89.34</v>
      </c>
      <c r="N24" s="286"/>
      <c r="O24" s="285">
        <v>104.16</v>
      </c>
      <c r="P24" s="285"/>
      <c r="Q24" s="285"/>
      <c r="R24" s="278" t="s">
        <v>663</v>
      </c>
      <c r="S24" s="278"/>
      <c r="T24" s="278"/>
      <c r="U24" s="305">
        <v>335</v>
      </c>
      <c r="V24" s="305">
        <v>320</v>
      </c>
      <c r="W24" s="305">
        <v>330</v>
      </c>
      <c r="X24" s="305">
        <v>345</v>
      </c>
      <c r="Y24" s="305">
        <v>317</v>
      </c>
      <c r="Z24" s="305">
        <v>290</v>
      </c>
      <c r="AA24" s="305">
        <v>310</v>
      </c>
      <c r="AB24" s="305">
        <v>287</v>
      </c>
    </row>
    <row r="25" spans="1:28" ht="14.45" hidden="1" customHeight="1" outlineLevel="1" x14ac:dyDescent="0.25">
      <c r="A25" s="278"/>
      <c r="B25" s="279" t="str">
        <f t="shared" si="8"/>
        <v>175mmprecast</v>
      </c>
      <c r="C25" s="278" t="s">
        <v>853</v>
      </c>
      <c r="D25" s="278" t="s">
        <v>913</v>
      </c>
      <c r="E25" s="278"/>
      <c r="F25" s="278"/>
      <c r="G25" s="278" t="s">
        <v>11</v>
      </c>
      <c r="H25" s="290">
        <v>4.0999999999999996</v>
      </c>
      <c r="I25" s="280">
        <f t="shared" si="9"/>
        <v>268.017</v>
      </c>
      <c r="J25" s="281">
        <f t="shared" si="10"/>
        <v>331.44399999999996</v>
      </c>
      <c r="K25" s="282">
        <f>IF(Notes!$B$9="Domestic",I25, IF(Notes!$B$9="Commercial",J25))*$K$21</f>
        <v>331.44399999999996</v>
      </c>
      <c r="L25" s="283">
        <f>(SUM(O25:Q25)+(K25+SUM(M25:Q25))*(INDEX($U$21:$AB$21,MATCH(Notes!$C$16,$U$3:$AB$3,0))-100%))*$L$21</f>
        <v>116.15</v>
      </c>
      <c r="M25" s="286">
        <v>101.11</v>
      </c>
      <c r="N25" s="286"/>
      <c r="O25" s="285">
        <v>116.15</v>
      </c>
      <c r="P25" s="285"/>
      <c r="Q25" s="285"/>
      <c r="R25" s="278" t="s">
        <v>853</v>
      </c>
      <c r="S25" s="278"/>
      <c r="T25" s="278"/>
      <c r="U25" s="305"/>
      <c r="V25" s="305"/>
      <c r="W25" s="305"/>
      <c r="X25" s="305"/>
      <c r="Y25" s="305"/>
      <c r="Z25" s="305"/>
      <c r="AA25" s="305"/>
      <c r="AB25" s="305"/>
    </row>
    <row r="26" spans="1:28" ht="14.45" hidden="1" customHeight="1" outlineLevel="1" x14ac:dyDescent="0.25">
      <c r="A26" s="278"/>
      <c r="B26" s="279" t="str">
        <f t="shared" si="8"/>
        <v>200mmprecast</v>
      </c>
      <c r="C26" s="278" t="s">
        <v>668</v>
      </c>
      <c r="D26" s="278" t="s">
        <v>913</v>
      </c>
      <c r="E26" s="278"/>
      <c r="F26" s="278"/>
      <c r="G26" s="278" t="s">
        <v>11</v>
      </c>
      <c r="H26" s="290">
        <v>4.4000000000000004</v>
      </c>
      <c r="I26" s="280">
        <f>$I$2*H26</f>
        <v>287.62800000000004</v>
      </c>
      <c r="J26" s="281">
        <f t="shared" si="10"/>
        <v>355.69600000000003</v>
      </c>
      <c r="K26" s="282">
        <f>IF(Notes!$B$9="Domestic",I26, IF(Notes!$B$9="Commercial",J26))*$K$21</f>
        <v>355.69600000000003</v>
      </c>
      <c r="L26" s="283">
        <f>(SUM(O26:Q26)+(K26+SUM(M26:Q26))*(INDEX($U$21:$AB$21,MATCH(Notes!$C$16,$U$3:$AB$3,0))-100%))*$L$21</f>
        <v>128.13</v>
      </c>
      <c r="M26" s="286">
        <v>128.13</v>
      </c>
      <c r="N26" s="286"/>
      <c r="O26" s="285">
        <v>128.13</v>
      </c>
      <c r="P26" s="285"/>
      <c r="Q26" s="285"/>
      <c r="R26" s="278" t="s">
        <v>668</v>
      </c>
      <c r="S26" s="278"/>
      <c r="T26" s="278"/>
      <c r="U26" s="305"/>
      <c r="V26" s="305"/>
      <c r="W26" s="305"/>
      <c r="X26" s="305"/>
      <c r="Y26" s="305"/>
      <c r="Z26" s="305"/>
      <c r="AA26" s="305"/>
      <c r="AB26" s="305"/>
    </row>
    <row r="27" spans="1:28" ht="21" hidden="1" outlineLevel="1" x14ac:dyDescent="0.25">
      <c r="A27" s="299"/>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row>
    <row r="28" spans="1:28" ht="15.75" hidden="1" outlineLevel="1" x14ac:dyDescent="0.25">
      <c r="A28" s="291"/>
      <c r="B28" s="291"/>
      <c r="C28" s="291"/>
      <c r="D28" s="291"/>
      <c r="E28" s="291"/>
      <c r="F28" s="291"/>
      <c r="G28" s="291"/>
      <c r="H28" s="291"/>
      <c r="I28" s="291"/>
      <c r="J28" s="291"/>
      <c r="K28" s="291">
        <f>K$2</f>
        <v>1</v>
      </c>
      <c r="L28" s="291">
        <f>L$2</f>
        <v>1</v>
      </c>
      <c r="M28" s="291"/>
      <c r="N28" s="291"/>
      <c r="O28" s="303"/>
      <c r="P28" s="303"/>
      <c r="Q28" s="303"/>
      <c r="R28" s="291"/>
      <c r="S28" s="291"/>
      <c r="T28" s="291"/>
      <c r="U28" s="291">
        <f>U$2</f>
        <v>1</v>
      </c>
      <c r="V28" s="291">
        <f>V$2</f>
        <v>1</v>
      </c>
      <c r="W28" s="291">
        <f t="shared" ref="W28:AB28" si="11">W$2</f>
        <v>1</v>
      </c>
      <c r="X28" s="291">
        <f t="shared" si="11"/>
        <v>1</v>
      </c>
      <c r="Y28" s="291">
        <f t="shared" si="11"/>
        <v>1</v>
      </c>
      <c r="Z28" s="291">
        <f t="shared" si="11"/>
        <v>1</v>
      </c>
      <c r="AA28" s="291">
        <f t="shared" si="11"/>
        <v>1</v>
      </c>
      <c r="AB28" s="291">
        <f t="shared" si="11"/>
        <v>1</v>
      </c>
    </row>
    <row r="29" spans="1:28" ht="14.45" hidden="1" customHeight="1" outlineLevel="1" x14ac:dyDescent="0.25">
      <c r="A29" s="278"/>
      <c r="B29" s="279" t="str">
        <f>C29&amp;D29&amp;E29&amp;F29</f>
        <v/>
      </c>
      <c r="C29" s="278"/>
      <c r="D29" s="278"/>
      <c r="E29" s="278"/>
      <c r="F29" s="278"/>
      <c r="G29" s="278"/>
      <c r="H29" s="290"/>
      <c r="I29" s="280">
        <f>$I$2*H29</f>
        <v>0</v>
      </c>
      <c r="J29" s="281">
        <f>$J$2*H29</f>
        <v>0</v>
      </c>
      <c r="K29" s="282">
        <f>IF(Notes!$B$9="Domestic",I29, IF(Notes!$B$9="Commercial",J29))*$K$28</f>
        <v>0</v>
      </c>
      <c r="L29" s="283">
        <f>(SUM(O29:Q29)+(K29+SUM(M29:Q29))*(INDEX($U$28:$AB$28,MATCH(Notes!$C$16,$U$3:$AB$3,0))-100%))*$L$28</f>
        <v>0</v>
      </c>
      <c r="M29" s="286"/>
      <c r="N29" s="286"/>
      <c r="O29" s="285"/>
      <c r="P29" s="285"/>
      <c r="Q29" s="285"/>
      <c r="R29" s="278"/>
      <c r="S29" s="278"/>
      <c r="T29" s="278"/>
      <c r="U29" s="277"/>
    </row>
    <row r="30" spans="1:28" ht="14.45" hidden="1" customHeight="1" outlineLevel="1" x14ac:dyDescent="0.25">
      <c r="A30" s="278"/>
      <c r="B30" s="279" t="str">
        <f t="shared" ref="B30:B38" si="12">C30&amp;D30&amp;E30&amp;F30</f>
        <v/>
      </c>
      <c r="C30" s="278"/>
      <c r="D30" s="278"/>
      <c r="E30" s="278"/>
      <c r="F30" s="278"/>
      <c r="G30" s="278"/>
      <c r="H30" s="290"/>
      <c r="I30" s="280">
        <f t="shared" ref="I30:I38" si="13">$I$2*H30</f>
        <v>0</v>
      </c>
      <c r="J30" s="281">
        <f t="shared" ref="J30:J38" si="14">$J$2*H30</f>
        <v>0</v>
      </c>
      <c r="K30" s="282">
        <f>IF(Notes!$B$9="Domestic",I30, IF(Notes!$B$9="Commercial",J30))*$K$28</f>
        <v>0</v>
      </c>
      <c r="L30" s="283">
        <f>(SUM(O30:Q30)+(K30+SUM(M30:Q30))*(INDEX($U$28:$AB$28,MATCH(Notes!$C$16,$U$3:$AB$3,0))-100%))*$L$28</f>
        <v>0</v>
      </c>
      <c r="M30" s="286"/>
      <c r="N30" s="286"/>
      <c r="O30" s="285"/>
      <c r="P30" s="285"/>
      <c r="Q30" s="285"/>
      <c r="R30" s="278"/>
      <c r="S30" s="278"/>
      <c r="T30" s="278"/>
      <c r="U30" s="277"/>
    </row>
    <row r="31" spans="1:28" ht="14.45" hidden="1" customHeight="1" outlineLevel="1" x14ac:dyDescent="0.25">
      <c r="A31" s="278"/>
      <c r="B31" s="279" t="str">
        <f t="shared" si="12"/>
        <v/>
      </c>
      <c r="C31" s="278"/>
      <c r="D31" s="278"/>
      <c r="E31" s="278"/>
      <c r="F31" s="278"/>
      <c r="G31" s="278"/>
      <c r="H31" s="290"/>
      <c r="I31" s="280">
        <f t="shared" si="13"/>
        <v>0</v>
      </c>
      <c r="J31" s="281">
        <f t="shared" si="14"/>
        <v>0</v>
      </c>
      <c r="K31" s="282">
        <f>IF(Notes!$B$9="Domestic",I31, IF(Notes!$B$9="Commercial",J31))*$K$28</f>
        <v>0</v>
      </c>
      <c r="L31" s="283">
        <f>(SUM(O31:Q31)+(K31+SUM(M31:Q31))*(INDEX($U$28:$AB$28,MATCH(Notes!$C$16,$U$3:$AB$3,0))-100%))*$L$28</f>
        <v>0</v>
      </c>
      <c r="M31" s="286"/>
      <c r="N31" s="286"/>
      <c r="O31" s="285"/>
      <c r="P31" s="285"/>
      <c r="Q31" s="285"/>
      <c r="R31" s="278"/>
      <c r="S31" s="278"/>
      <c r="T31" s="278"/>
      <c r="U31" s="277"/>
    </row>
    <row r="32" spans="1:28" hidden="1" outlineLevel="1" x14ac:dyDescent="0.25">
      <c r="A32" s="278"/>
      <c r="B32" s="279" t="str">
        <f t="shared" si="12"/>
        <v/>
      </c>
      <c r="C32" s="278"/>
      <c r="D32" s="278"/>
      <c r="E32" s="278"/>
      <c r="F32" s="278"/>
      <c r="G32" s="278"/>
      <c r="H32" s="290"/>
      <c r="I32" s="280">
        <f t="shared" si="13"/>
        <v>0</v>
      </c>
      <c r="J32" s="281">
        <f t="shared" si="14"/>
        <v>0</v>
      </c>
      <c r="K32" s="282">
        <f>IF(Notes!$B$9="Domestic",I32, IF(Notes!$B$9="Commercial",J32))*$K$28</f>
        <v>0</v>
      </c>
      <c r="L32" s="283">
        <f>(SUM(O32:Q32)+(K32+SUM(M32:Q32))*(INDEX($U$28:$AB$28,MATCH(Notes!$C$16,$U$3:$AB$3,0))-100%))*$L$28</f>
        <v>0</v>
      </c>
      <c r="M32" s="286"/>
      <c r="N32" s="286"/>
      <c r="O32" s="285"/>
      <c r="P32" s="285"/>
      <c r="Q32" s="285"/>
      <c r="R32" s="278"/>
      <c r="S32" s="278"/>
      <c r="T32" s="278"/>
    </row>
    <row r="33" spans="1:28" hidden="1" outlineLevel="1" x14ac:dyDescent="0.25">
      <c r="A33" s="278"/>
      <c r="B33" s="279" t="str">
        <f t="shared" si="12"/>
        <v/>
      </c>
      <c r="C33" s="278"/>
      <c r="D33" s="278"/>
      <c r="E33" s="278"/>
      <c r="F33" s="278"/>
      <c r="G33" s="278"/>
      <c r="H33" s="290"/>
      <c r="I33" s="280">
        <f>$I$2*H33</f>
        <v>0</v>
      </c>
      <c r="J33" s="281">
        <f t="shared" si="14"/>
        <v>0</v>
      </c>
      <c r="K33" s="282">
        <f>IF(Notes!$B$9="Domestic",I33, IF(Notes!$B$9="Commercial",J33))*$K$28</f>
        <v>0</v>
      </c>
      <c r="L33" s="283">
        <f>(SUM(O33:Q33)+(K33+SUM(M33:Q33))*(INDEX($U$28:$AB$28,MATCH(Notes!$C$16,$U$3:$AB$3,0))-100%))*$L$28</f>
        <v>0</v>
      </c>
      <c r="M33" s="286"/>
      <c r="N33" s="286"/>
      <c r="O33" s="285"/>
      <c r="P33" s="285"/>
      <c r="Q33" s="285"/>
      <c r="R33" s="278"/>
      <c r="S33" s="278"/>
      <c r="T33" s="278"/>
    </row>
    <row r="34" spans="1:28" hidden="1" outlineLevel="1" x14ac:dyDescent="0.25">
      <c r="A34" s="278"/>
      <c r="B34" s="279" t="str">
        <f t="shared" si="12"/>
        <v/>
      </c>
      <c r="C34" s="278"/>
      <c r="D34" s="278"/>
      <c r="E34" s="278"/>
      <c r="F34" s="278"/>
      <c r="G34" s="278"/>
      <c r="H34" s="290"/>
      <c r="I34" s="280">
        <f t="shared" si="13"/>
        <v>0</v>
      </c>
      <c r="J34" s="281">
        <f t="shared" si="14"/>
        <v>0</v>
      </c>
      <c r="K34" s="282">
        <f>IF(Notes!$B$9="Domestic",I34, IF(Notes!$B$9="Commercial",J34))*$K$28</f>
        <v>0</v>
      </c>
      <c r="L34" s="283">
        <f>(SUM(O34:Q34)+(K34+SUM(M34:Q34))*(INDEX($U$28:$AB$28,MATCH(Notes!$C$16,$U$3:$AB$3,0))-100%))*$L$28</f>
        <v>0</v>
      </c>
      <c r="M34" s="286"/>
      <c r="N34" s="286"/>
      <c r="O34" s="285"/>
      <c r="P34" s="285"/>
      <c r="Q34" s="285"/>
      <c r="R34" s="278"/>
      <c r="S34" s="278"/>
      <c r="T34" s="278"/>
    </row>
    <row r="35" spans="1:28" hidden="1" outlineLevel="1" x14ac:dyDescent="0.25">
      <c r="A35" s="278"/>
      <c r="B35" s="279" t="str">
        <f t="shared" si="12"/>
        <v/>
      </c>
      <c r="C35" s="278"/>
      <c r="D35" s="278"/>
      <c r="E35" s="278"/>
      <c r="F35" s="278"/>
      <c r="G35" s="278"/>
      <c r="H35" s="290"/>
      <c r="I35" s="280">
        <f t="shared" si="13"/>
        <v>0</v>
      </c>
      <c r="J35" s="281">
        <f t="shared" si="14"/>
        <v>0</v>
      </c>
      <c r="K35" s="282">
        <f>IF(Notes!$B$9="Domestic",I35, IF(Notes!$B$9="Commercial",J35))*$K$28</f>
        <v>0</v>
      </c>
      <c r="L35" s="283">
        <f>(SUM(O35:Q35)+(K35+SUM(M35:Q35))*(INDEX($U$28:$AB$28,MATCH(Notes!$C$16,$U$3:$AB$3,0))-100%))*$L$28</f>
        <v>0</v>
      </c>
      <c r="M35" s="286"/>
      <c r="N35" s="286"/>
      <c r="O35" s="285"/>
      <c r="P35" s="285"/>
      <c r="Q35" s="285"/>
      <c r="R35" s="278"/>
      <c r="S35" s="278"/>
      <c r="T35" s="278"/>
    </row>
    <row r="36" spans="1:28" hidden="1" outlineLevel="1" x14ac:dyDescent="0.25">
      <c r="A36" s="278"/>
      <c r="B36" s="279" t="str">
        <f t="shared" si="12"/>
        <v/>
      </c>
      <c r="C36" s="278"/>
      <c r="D36" s="278"/>
      <c r="E36" s="278"/>
      <c r="F36" s="278"/>
      <c r="G36" s="278"/>
      <c r="H36" s="290"/>
      <c r="I36" s="280">
        <f t="shared" si="13"/>
        <v>0</v>
      </c>
      <c r="J36" s="281">
        <f t="shared" si="14"/>
        <v>0</v>
      </c>
      <c r="K36" s="282">
        <f>IF(Notes!$B$9="Domestic",I36, IF(Notes!$B$9="Commercial",J36))*$K$28</f>
        <v>0</v>
      </c>
      <c r="L36" s="283">
        <f>(SUM(O36:Q36)+(K36+SUM(M36:Q36))*(INDEX($U$28:$AB$28,MATCH(Notes!$C$16,$U$3:$AB$3,0))-100%))*$L$28</f>
        <v>0</v>
      </c>
      <c r="M36" s="286"/>
      <c r="N36" s="286"/>
      <c r="O36" s="285"/>
      <c r="P36" s="285"/>
      <c r="Q36" s="285"/>
      <c r="R36" s="278"/>
      <c r="S36" s="278"/>
      <c r="T36" s="278"/>
    </row>
    <row r="37" spans="1:28" hidden="1" outlineLevel="1" x14ac:dyDescent="0.25">
      <c r="A37" s="278"/>
      <c r="B37" s="279" t="str">
        <f t="shared" si="12"/>
        <v/>
      </c>
      <c r="C37" s="278"/>
      <c r="D37" s="278"/>
      <c r="E37" s="278"/>
      <c r="F37" s="278"/>
      <c r="G37" s="278"/>
      <c r="H37" s="290"/>
      <c r="I37" s="280">
        <f t="shared" si="13"/>
        <v>0</v>
      </c>
      <c r="J37" s="281">
        <f t="shared" si="14"/>
        <v>0</v>
      </c>
      <c r="K37" s="282">
        <f>IF(Notes!$B$9="Domestic",I37, IF(Notes!$B$9="Commercial",J37))*$K$28</f>
        <v>0</v>
      </c>
      <c r="L37" s="283">
        <f>(SUM(O37:Q37)+(K37+SUM(M37:Q37))*(INDEX($U$28:$AB$28,MATCH(Notes!$C$16,$U$3:$AB$3,0))-100%))*$L$28</f>
        <v>0</v>
      </c>
      <c r="M37" s="286"/>
      <c r="N37" s="286"/>
      <c r="O37" s="285"/>
      <c r="P37" s="285"/>
      <c r="Q37" s="285"/>
      <c r="R37" s="278"/>
      <c r="S37" s="278"/>
      <c r="T37" s="278"/>
    </row>
    <row r="38" spans="1:28" hidden="1" outlineLevel="1" x14ac:dyDescent="0.25">
      <c r="A38" s="278"/>
      <c r="B38" s="279" t="str">
        <f t="shared" si="12"/>
        <v/>
      </c>
      <c r="C38" s="278"/>
      <c r="D38" s="278"/>
      <c r="E38" s="278"/>
      <c r="F38" s="278"/>
      <c r="G38" s="278"/>
      <c r="H38" s="290"/>
      <c r="I38" s="280">
        <f t="shared" si="13"/>
        <v>0</v>
      </c>
      <c r="J38" s="281">
        <f t="shared" si="14"/>
        <v>0</v>
      </c>
      <c r="K38" s="282">
        <f>IF(Notes!$B$9="Domestic",I38, IF(Notes!$B$9="Commercial",J38))*$K$28</f>
        <v>0</v>
      </c>
      <c r="L38" s="283">
        <f>(SUM(O38:Q38)+(K38+SUM(M38:Q38))*(INDEX($U$28:$AB$28,MATCH(Notes!$C$16,$U$3:$AB$3,0))-100%))*$L$28</f>
        <v>0</v>
      </c>
      <c r="M38" s="286"/>
      <c r="N38" s="286"/>
      <c r="O38" s="285"/>
      <c r="P38" s="285"/>
      <c r="Q38" s="285"/>
      <c r="R38" s="278"/>
      <c r="S38" s="278"/>
      <c r="T38" s="278"/>
    </row>
    <row r="39" spans="1:28" ht="21" hidden="1" outlineLevel="1" x14ac:dyDescent="0.25">
      <c r="A39" s="299"/>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row>
    <row r="40" spans="1:28" ht="15.75" hidden="1" outlineLevel="1" x14ac:dyDescent="0.25">
      <c r="A40" s="291"/>
      <c r="B40" s="291"/>
      <c r="C40" s="291"/>
      <c r="D40" s="291"/>
      <c r="E40" s="291"/>
      <c r="F40" s="291"/>
      <c r="G40" s="291"/>
      <c r="H40" s="291"/>
      <c r="I40" s="291"/>
      <c r="J40" s="291"/>
      <c r="K40" s="291">
        <f>K$2</f>
        <v>1</v>
      </c>
      <c r="L40" s="291">
        <f>L$2</f>
        <v>1</v>
      </c>
      <c r="M40" s="291"/>
      <c r="N40" s="291"/>
      <c r="O40" s="303"/>
      <c r="P40" s="303"/>
      <c r="Q40" s="303"/>
      <c r="R40" s="291"/>
      <c r="S40" s="291"/>
      <c r="T40" s="291"/>
      <c r="U40" s="291">
        <f>U$2</f>
        <v>1</v>
      </c>
      <c r="V40" s="291">
        <f>V$2</f>
        <v>1</v>
      </c>
      <c r="W40" s="291">
        <f t="shared" ref="W40:AB40" si="15">W$2</f>
        <v>1</v>
      </c>
      <c r="X40" s="291">
        <f t="shared" si="15"/>
        <v>1</v>
      </c>
      <c r="Y40" s="291">
        <f t="shared" si="15"/>
        <v>1</v>
      </c>
      <c r="Z40" s="291">
        <f t="shared" si="15"/>
        <v>1</v>
      </c>
      <c r="AA40" s="291">
        <f t="shared" si="15"/>
        <v>1</v>
      </c>
      <c r="AB40" s="291">
        <f t="shared" si="15"/>
        <v>1</v>
      </c>
    </row>
    <row r="41" spans="1:28" ht="14.45" hidden="1" customHeight="1" outlineLevel="1" x14ac:dyDescent="0.25">
      <c r="A41" s="278"/>
      <c r="B41" s="279" t="str">
        <f>C41&amp;D41&amp;E41&amp;F41</f>
        <v/>
      </c>
      <c r="C41" s="278"/>
      <c r="D41" s="278"/>
      <c r="E41" s="278"/>
      <c r="F41" s="278"/>
      <c r="G41" s="278"/>
      <c r="H41" s="290"/>
      <c r="I41" s="280">
        <f>$I$2*H41</f>
        <v>0</v>
      </c>
      <c r="J41" s="281">
        <f>$J$2*H41</f>
        <v>0</v>
      </c>
      <c r="K41" s="282">
        <f>IF(Notes!$B$9="Domestic",I41, IF(Notes!$B$9="Commercial",J41))*$K$40</f>
        <v>0</v>
      </c>
      <c r="L41" s="283">
        <f>(SUM(O41:Q41)+(K41+SUM(M41:Q41))*(INDEX($U$40:$AB$40,MATCH(Notes!$C$16,$U$3:$AB$3,0))-100%))*$L$40</f>
        <v>0</v>
      </c>
      <c r="M41" s="286"/>
      <c r="N41" s="286"/>
      <c r="O41" s="285"/>
      <c r="P41" s="285"/>
      <c r="Q41" s="285"/>
      <c r="R41" s="278"/>
      <c r="S41" s="278"/>
      <c r="T41" s="278"/>
      <c r="U41" s="277"/>
    </row>
    <row r="42" spans="1:28" ht="14.45" hidden="1" customHeight="1" outlineLevel="1" x14ac:dyDescent="0.25">
      <c r="A42" s="278"/>
      <c r="B42" s="279" t="str">
        <f t="shared" ref="B42:B50" si="16">C42&amp;D42&amp;E42&amp;F42</f>
        <v/>
      </c>
      <c r="C42" s="278"/>
      <c r="D42" s="278"/>
      <c r="E42" s="278"/>
      <c r="F42" s="278"/>
      <c r="G42" s="278"/>
      <c r="H42" s="290"/>
      <c r="I42" s="280">
        <f t="shared" ref="I42:I50" si="17">$I$2*H42</f>
        <v>0</v>
      </c>
      <c r="J42" s="281">
        <f t="shared" ref="J42:J50" si="18">$J$2*H42</f>
        <v>0</v>
      </c>
      <c r="K42" s="282">
        <f>IF(Notes!$B$9="Domestic",I42, IF(Notes!$B$9="Commercial",J42))*$K$40</f>
        <v>0</v>
      </c>
      <c r="L42" s="283">
        <f>(SUM(O42:Q42)+(K42+SUM(M42:Q42))*(INDEX($U$40:$AB$40,MATCH(Notes!$C$16,$U$3:$AB$3,0))-100%))*$L$40</f>
        <v>0</v>
      </c>
      <c r="M42" s="286"/>
      <c r="N42" s="286"/>
      <c r="O42" s="285"/>
      <c r="P42" s="285"/>
      <c r="Q42" s="285"/>
      <c r="R42" s="278"/>
      <c r="S42" s="278"/>
      <c r="T42" s="278"/>
      <c r="U42" s="277"/>
    </row>
    <row r="43" spans="1:28" ht="14.45" hidden="1" customHeight="1" outlineLevel="1" x14ac:dyDescent="0.25">
      <c r="A43" s="278"/>
      <c r="B43" s="279" t="str">
        <f t="shared" si="16"/>
        <v/>
      </c>
      <c r="C43" s="278"/>
      <c r="D43" s="278"/>
      <c r="E43" s="278"/>
      <c r="F43" s="278"/>
      <c r="G43" s="278"/>
      <c r="H43" s="290"/>
      <c r="I43" s="280">
        <f t="shared" si="17"/>
        <v>0</v>
      </c>
      <c r="J43" s="281">
        <f t="shared" si="18"/>
        <v>0</v>
      </c>
      <c r="K43" s="282">
        <f>IF(Notes!$B$9="Domestic",I43, IF(Notes!$B$9="Commercial",J43))*$K$40</f>
        <v>0</v>
      </c>
      <c r="L43" s="283">
        <f>(SUM(O43:Q43)+(K43+SUM(M43:Q43))*(INDEX($U$40:$AB$40,MATCH(Notes!$C$16,$U$3:$AB$3,0))-100%))*$L$40</f>
        <v>0</v>
      </c>
      <c r="M43" s="286"/>
      <c r="N43" s="286"/>
      <c r="O43" s="285"/>
      <c r="P43" s="285"/>
      <c r="Q43" s="285"/>
      <c r="R43" s="278"/>
      <c r="S43" s="278"/>
      <c r="T43" s="278"/>
      <c r="U43" s="277"/>
    </row>
    <row r="44" spans="1:28" ht="14.45" hidden="1" customHeight="1" outlineLevel="1" x14ac:dyDescent="0.25">
      <c r="A44" s="278"/>
      <c r="B44" s="279" t="str">
        <f t="shared" si="16"/>
        <v/>
      </c>
      <c r="C44" s="278"/>
      <c r="D44" s="278"/>
      <c r="E44" s="278"/>
      <c r="F44" s="278"/>
      <c r="G44" s="278"/>
      <c r="H44" s="290"/>
      <c r="I44" s="280">
        <f t="shared" si="17"/>
        <v>0</v>
      </c>
      <c r="J44" s="281">
        <f t="shared" si="18"/>
        <v>0</v>
      </c>
      <c r="K44" s="282">
        <f>IF(Notes!$B$9="Domestic",I44, IF(Notes!$B$9="Commercial",J44))*$K$40</f>
        <v>0</v>
      </c>
      <c r="L44" s="283">
        <f>(SUM(O44:Q44)+(K44+SUM(M44:Q44))*(INDEX($U$40:$AB$40,MATCH(Notes!$C$16,$U$3:$AB$3,0))-100%))*$L$40</f>
        <v>0</v>
      </c>
      <c r="M44" s="286"/>
      <c r="N44" s="286"/>
      <c r="O44" s="285"/>
      <c r="P44" s="285"/>
      <c r="Q44" s="285"/>
      <c r="R44" s="278"/>
      <c r="S44" s="278"/>
      <c r="T44" s="278"/>
    </row>
    <row r="45" spans="1:28" hidden="1" outlineLevel="1" x14ac:dyDescent="0.25">
      <c r="A45" s="278"/>
      <c r="B45" s="279" t="str">
        <f t="shared" si="16"/>
        <v/>
      </c>
      <c r="C45" s="278"/>
      <c r="D45" s="278"/>
      <c r="E45" s="278"/>
      <c r="F45" s="278"/>
      <c r="G45" s="278"/>
      <c r="H45" s="290"/>
      <c r="I45" s="280">
        <f>$I$2*H45</f>
        <v>0</v>
      </c>
      <c r="J45" s="281">
        <f t="shared" si="18"/>
        <v>0</v>
      </c>
      <c r="K45" s="282">
        <f>IF(Notes!$B$9="Domestic",I45, IF(Notes!$B$9="Commercial",J45))*$K$40</f>
        <v>0</v>
      </c>
      <c r="L45" s="283">
        <f>(SUM(O45:Q45)+(K45+SUM(M45:Q45))*(INDEX($U$40:$AB$40,MATCH(Notes!$C$16,$U$3:$AB$3,0))-100%))*$L$40</f>
        <v>0</v>
      </c>
      <c r="M45" s="286"/>
      <c r="N45" s="286"/>
      <c r="O45" s="285"/>
      <c r="P45" s="285"/>
      <c r="Q45" s="285"/>
      <c r="R45" s="278"/>
      <c r="S45" s="278"/>
      <c r="T45" s="278"/>
    </row>
    <row r="46" spans="1:28" hidden="1" outlineLevel="1" x14ac:dyDescent="0.25">
      <c r="A46" s="278"/>
      <c r="B46" s="279" t="str">
        <f t="shared" si="16"/>
        <v/>
      </c>
      <c r="C46" s="278"/>
      <c r="D46" s="278"/>
      <c r="E46" s="278"/>
      <c r="F46" s="278"/>
      <c r="G46" s="278"/>
      <c r="H46" s="290"/>
      <c r="I46" s="280">
        <f t="shared" si="17"/>
        <v>0</v>
      </c>
      <c r="J46" s="281">
        <f t="shared" si="18"/>
        <v>0</v>
      </c>
      <c r="K46" s="282">
        <f>IF(Notes!$B$9="Domestic",I46, IF(Notes!$B$9="Commercial",J46))*$K$40</f>
        <v>0</v>
      </c>
      <c r="L46" s="283">
        <f>(SUM(O46:Q46)+(K46+SUM(M46:Q46))*(INDEX($U$40:$AB$40,MATCH(Notes!$C$16,$U$3:$AB$3,0))-100%))*$L$40</f>
        <v>0</v>
      </c>
      <c r="M46" s="286"/>
      <c r="N46" s="286"/>
      <c r="O46" s="285"/>
      <c r="P46" s="285"/>
      <c r="Q46" s="285"/>
      <c r="R46" s="278"/>
      <c r="S46" s="278"/>
      <c r="T46" s="278"/>
    </row>
    <row r="47" spans="1:28" hidden="1" outlineLevel="1" x14ac:dyDescent="0.25">
      <c r="A47" s="278"/>
      <c r="B47" s="279" t="str">
        <f t="shared" si="16"/>
        <v/>
      </c>
      <c r="C47" s="278"/>
      <c r="D47" s="278"/>
      <c r="E47" s="278"/>
      <c r="F47" s="278"/>
      <c r="G47" s="278"/>
      <c r="H47" s="290"/>
      <c r="I47" s="280">
        <f t="shared" si="17"/>
        <v>0</v>
      </c>
      <c r="J47" s="281">
        <f t="shared" si="18"/>
        <v>0</v>
      </c>
      <c r="K47" s="282">
        <f>IF(Notes!$B$9="Domestic",I47, IF(Notes!$B$9="Commercial",J47))*$K$40</f>
        <v>0</v>
      </c>
      <c r="L47" s="283">
        <f>(SUM(O47:Q47)+(K47+SUM(M47:Q47))*(INDEX($U$40:$AB$40,MATCH(Notes!$C$16,$U$3:$AB$3,0))-100%))*$L$40</f>
        <v>0</v>
      </c>
      <c r="M47" s="286"/>
      <c r="N47" s="286"/>
      <c r="O47" s="285"/>
      <c r="P47" s="285"/>
      <c r="Q47" s="285"/>
      <c r="R47" s="278"/>
      <c r="S47" s="278"/>
      <c r="T47" s="278"/>
    </row>
    <row r="48" spans="1:28" hidden="1" outlineLevel="1" x14ac:dyDescent="0.25">
      <c r="A48" s="278"/>
      <c r="B48" s="279" t="str">
        <f t="shared" si="16"/>
        <v/>
      </c>
      <c r="C48" s="278"/>
      <c r="D48" s="278"/>
      <c r="E48" s="278"/>
      <c r="F48" s="278"/>
      <c r="G48" s="278"/>
      <c r="H48" s="290"/>
      <c r="I48" s="280">
        <f t="shared" si="17"/>
        <v>0</v>
      </c>
      <c r="J48" s="281">
        <f t="shared" si="18"/>
        <v>0</v>
      </c>
      <c r="K48" s="282">
        <f>IF(Notes!$B$9="Domestic",I48, IF(Notes!$B$9="Commercial",J48))*$K$40</f>
        <v>0</v>
      </c>
      <c r="L48" s="283">
        <f>(SUM(O48:Q48)+(K48+SUM(M48:Q48))*(INDEX($U$40:$AB$40,MATCH(Notes!$C$16,$U$3:$AB$3,0))-100%))*$L$40</f>
        <v>0</v>
      </c>
      <c r="M48" s="286"/>
      <c r="N48" s="286"/>
      <c r="O48" s="285"/>
      <c r="P48" s="285"/>
      <c r="Q48" s="285"/>
      <c r="R48" s="278"/>
      <c r="S48" s="278"/>
      <c r="T48" s="278"/>
    </row>
    <row r="49" spans="1:28" hidden="1" outlineLevel="1" x14ac:dyDescent="0.25">
      <c r="A49" s="278"/>
      <c r="B49" s="279" t="str">
        <f t="shared" si="16"/>
        <v/>
      </c>
      <c r="C49" s="278"/>
      <c r="D49" s="278"/>
      <c r="E49" s="278"/>
      <c r="F49" s="278"/>
      <c r="G49" s="278"/>
      <c r="H49" s="290"/>
      <c r="I49" s="280">
        <f t="shared" si="17"/>
        <v>0</v>
      </c>
      <c r="J49" s="281">
        <f t="shared" si="18"/>
        <v>0</v>
      </c>
      <c r="K49" s="282">
        <f>IF(Notes!$B$9="Domestic",I49, IF(Notes!$B$9="Commercial",J49))*$K$40</f>
        <v>0</v>
      </c>
      <c r="L49" s="283">
        <f>(SUM(O49:Q49)+(K49+SUM(M49:Q49))*(INDEX($U$40:$AB$40,MATCH(Notes!$C$16,$U$3:$AB$3,0))-100%))*$L$40</f>
        <v>0</v>
      </c>
      <c r="M49" s="286"/>
      <c r="N49" s="286"/>
      <c r="O49" s="285"/>
      <c r="P49" s="285"/>
      <c r="Q49" s="285"/>
      <c r="R49" s="278"/>
      <c r="S49" s="278"/>
      <c r="T49" s="278"/>
    </row>
    <row r="50" spans="1:28" hidden="1" outlineLevel="1" x14ac:dyDescent="0.25">
      <c r="A50" s="278"/>
      <c r="B50" s="279" t="str">
        <f t="shared" si="16"/>
        <v/>
      </c>
      <c r="C50" s="278"/>
      <c r="D50" s="278"/>
      <c r="E50" s="278"/>
      <c r="F50" s="278"/>
      <c r="G50" s="278"/>
      <c r="H50" s="290"/>
      <c r="I50" s="280">
        <f t="shared" si="17"/>
        <v>0</v>
      </c>
      <c r="J50" s="281">
        <f t="shared" si="18"/>
        <v>0</v>
      </c>
      <c r="K50" s="282">
        <f>IF(Notes!$B$9="Domestic",I50, IF(Notes!$B$9="Commercial",J50))*$K$40</f>
        <v>0</v>
      </c>
      <c r="L50" s="283">
        <f>(SUM(O50:Q50)+(K50+SUM(M50:Q50))*(INDEX($U$40:$AB$40,MATCH(Notes!$C$16,$U$3:$AB$3,0))-100%))*$L$40</f>
        <v>0</v>
      </c>
      <c r="M50" s="286"/>
      <c r="N50" s="286"/>
      <c r="O50" s="285"/>
      <c r="P50" s="285"/>
      <c r="Q50" s="285"/>
      <c r="R50" s="278"/>
      <c r="S50" s="278"/>
      <c r="T50" s="278"/>
    </row>
    <row r="51" spans="1:28" ht="21" hidden="1" outlineLevel="1" x14ac:dyDescent="0.25">
      <c r="A51" s="299"/>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row>
    <row r="52" spans="1:28" ht="15.75" hidden="1" outlineLevel="1" x14ac:dyDescent="0.25">
      <c r="A52" s="291"/>
      <c r="B52" s="291"/>
      <c r="C52" s="291"/>
      <c r="D52" s="291"/>
      <c r="E52" s="291"/>
      <c r="F52" s="291"/>
      <c r="G52" s="291"/>
      <c r="H52" s="291"/>
      <c r="I52" s="291"/>
      <c r="J52" s="291"/>
      <c r="K52" s="291">
        <f>K$2</f>
        <v>1</v>
      </c>
      <c r="L52" s="291">
        <f>L$2</f>
        <v>1</v>
      </c>
      <c r="M52" s="291"/>
      <c r="N52" s="291"/>
      <c r="O52" s="303"/>
      <c r="P52" s="303"/>
      <c r="Q52" s="303"/>
      <c r="R52" s="291"/>
      <c r="S52" s="291"/>
      <c r="T52" s="291"/>
      <c r="U52" s="291">
        <f>U$2</f>
        <v>1</v>
      </c>
      <c r="V52" s="291">
        <f>V$2</f>
        <v>1</v>
      </c>
      <c r="W52" s="291">
        <f t="shared" ref="W52:AB52" si="19">W$2</f>
        <v>1</v>
      </c>
      <c r="X52" s="291">
        <f t="shared" si="19"/>
        <v>1</v>
      </c>
      <c r="Y52" s="291">
        <f t="shared" si="19"/>
        <v>1</v>
      </c>
      <c r="Z52" s="291">
        <f t="shared" si="19"/>
        <v>1</v>
      </c>
      <c r="AA52" s="291">
        <f t="shared" si="19"/>
        <v>1</v>
      </c>
      <c r="AB52" s="291">
        <f t="shared" si="19"/>
        <v>1</v>
      </c>
    </row>
    <row r="53" spans="1:28" ht="14.45" hidden="1" customHeight="1" outlineLevel="1" x14ac:dyDescent="0.25">
      <c r="A53" s="278"/>
      <c r="B53" s="279" t="str">
        <f>C53&amp;D53&amp;E53&amp;F53</f>
        <v/>
      </c>
      <c r="C53" s="278"/>
      <c r="D53" s="278"/>
      <c r="E53" s="278"/>
      <c r="F53" s="278"/>
      <c r="G53" s="278"/>
      <c r="H53" s="290"/>
      <c r="I53" s="280">
        <f>$I$2*H53</f>
        <v>0</v>
      </c>
      <c r="J53" s="281">
        <f>$J$2*H53</f>
        <v>0</v>
      </c>
      <c r="K53" s="282">
        <f>IF(Notes!$B$9="Domestic",I53, IF(Notes!$B$9="Commercial",J53))*$K$52</f>
        <v>0</v>
      </c>
      <c r="L53" s="283">
        <f>(SUM(O53:Q53)+(K53+SUM(M53:Q53))*(INDEX($U$52:$AB$52,MATCH(Notes!$C$16,$U$3:$AB$3,0))-100%))*$L$52</f>
        <v>0</v>
      </c>
      <c r="M53" s="286"/>
      <c r="N53" s="286"/>
      <c r="O53" s="285"/>
      <c r="P53" s="285"/>
      <c r="Q53" s="285"/>
      <c r="R53" s="278"/>
      <c r="S53" s="278"/>
      <c r="T53" s="278"/>
      <c r="U53" s="277"/>
    </row>
    <row r="54" spans="1:28" ht="14.45" hidden="1" customHeight="1" outlineLevel="1" x14ac:dyDescent="0.25">
      <c r="A54" s="278"/>
      <c r="B54" s="279" t="str">
        <f t="shared" ref="B54:B62" si="20">C54&amp;D54&amp;E54&amp;F54</f>
        <v/>
      </c>
      <c r="C54" s="278"/>
      <c r="D54" s="278"/>
      <c r="E54" s="278"/>
      <c r="F54" s="278"/>
      <c r="G54" s="278"/>
      <c r="H54" s="290"/>
      <c r="I54" s="280">
        <f t="shared" ref="I54:I62" si="21">$I$2*H54</f>
        <v>0</v>
      </c>
      <c r="J54" s="281">
        <f t="shared" ref="J54:J62" si="22">$J$2*H54</f>
        <v>0</v>
      </c>
      <c r="K54" s="282">
        <f>IF(Notes!$B$9="Domestic",I54, IF(Notes!$B$9="Commercial",J54))*$K$52</f>
        <v>0</v>
      </c>
      <c r="L54" s="283">
        <f>(SUM(O54:Q54)+(K54+SUM(M54:Q54))*(INDEX($U$52:$AB$52,MATCH(Notes!$C$16,$U$3:$AB$3,0))-100%))*$L$52</f>
        <v>0</v>
      </c>
      <c r="M54" s="286"/>
      <c r="N54" s="286"/>
      <c r="O54" s="285"/>
      <c r="P54" s="285"/>
      <c r="Q54" s="285"/>
      <c r="R54" s="278"/>
      <c r="S54" s="278"/>
      <c r="T54" s="278"/>
      <c r="U54" s="277"/>
    </row>
    <row r="55" spans="1:28" ht="14.45" hidden="1" customHeight="1" outlineLevel="1" x14ac:dyDescent="0.25">
      <c r="A55" s="278"/>
      <c r="B55" s="279" t="str">
        <f t="shared" si="20"/>
        <v/>
      </c>
      <c r="C55" s="278"/>
      <c r="D55" s="278"/>
      <c r="E55" s="278"/>
      <c r="F55" s="278"/>
      <c r="G55" s="278"/>
      <c r="H55" s="290"/>
      <c r="I55" s="280">
        <f t="shared" si="21"/>
        <v>0</v>
      </c>
      <c r="J55" s="281">
        <f t="shared" si="22"/>
        <v>0</v>
      </c>
      <c r="K55" s="282">
        <f>IF(Notes!$B$9="Domestic",I55, IF(Notes!$B$9="Commercial",J55))*$K$52</f>
        <v>0</v>
      </c>
      <c r="L55" s="283">
        <f>(SUM(O55:Q55)+(K55+SUM(M55:Q55))*(INDEX($U$52:$AB$52,MATCH(Notes!$C$16,$U$3:$AB$3,0))-100%))*$L$52</f>
        <v>0</v>
      </c>
      <c r="M55" s="286"/>
      <c r="N55" s="286"/>
      <c r="O55" s="285"/>
      <c r="P55" s="285"/>
      <c r="Q55" s="285"/>
      <c r="R55" s="278"/>
      <c r="S55" s="278"/>
      <c r="T55" s="278"/>
      <c r="U55" s="277"/>
    </row>
    <row r="56" spans="1:28" ht="14.45" hidden="1" customHeight="1" outlineLevel="1" x14ac:dyDescent="0.25">
      <c r="A56" s="278"/>
      <c r="B56" s="279" t="str">
        <f t="shared" si="20"/>
        <v/>
      </c>
      <c r="C56" s="278"/>
      <c r="D56" s="278"/>
      <c r="E56" s="278"/>
      <c r="F56" s="278"/>
      <c r="G56" s="278"/>
      <c r="H56" s="290"/>
      <c r="I56" s="280">
        <f t="shared" si="21"/>
        <v>0</v>
      </c>
      <c r="J56" s="281">
        <f t="shared" si="22"/>
        <v>0</v>
      </c>
      <c r="K56" s="282">
        <f>IF(Notes!$B$9="Domestic",I56, IF(Notes!$B$9="Commercial",J56))*$K$52</f>
        <v>0</v>
      </c>
      <c r="L56" s="283">
        <f>(SUM(O56:Q56)+(K56+SUM(M56:Q56))*(INDEX($U$52:$AB$52,MATCH(Notes!$C$16,$U$3:$AB$3,0))-100%))*$L$52</f>
        <v>0</v>
      </c>
      <c r="M56" s="286"/>
      <c r="N56" s="286"/>
      <c r="O56" s="285"/>
      <c r="P56" s="285"/>
      <c r="Q56" s="285"/>
      <c r="R56" s="278"/>
      <c r="S56" s="278"/>
      <c r="T56" s="278"/>
    </row>
    <row r="57" spans="1:28" ht="14.45" hidden="1" customHeight="1" outlineLevel="1" x14ac:dyDescent="0.25">
      <c r="A57" s="278"/>
      <c r="B57" s="279" t="str">
        <f t="shared" si="20"/>
        <v/>
      </c>
      <c r="C57" s="278"/>
      <c r="D57" s="278"/>
      <c r="E57" s="278"/>
      <c r="F57" s="278"/>
      <c r="G57" s="278"/>
      <c r="H57" s="290"/>
      <c r="I57" s="280">
        <f>$I$2*H57</f>
        <v>0</v>
      </c>
      <c r="J57" s="281">
        <f t="shared" si="22"/>
        <v>0</v>
      </c>
      <c r="K57" s="282">
        <f>IF(Notes!$B$9="Domestic",I57, IF(Notes!$B$9="Commercial",J57))*$K$52</f>
        <v>0</v>
      </c>
      <c r="L57" s="283">
        <f>(SUM(O57:Q57)+(K57+SUM(M57:Q57))*(INDEX($U$52:$AB$52,MATCH(Notes!$C$16,$U$3:$AB$3,0))-100%))*$L$52</f>
        <v>0</v>
      </c>
      <c r="M57" s="286"/>
      <c r="N57" s="286"/>
      <c r="O57" s="285"/>
      <c r="P57" s="285"/>
      <c r="Q57" s="285"/>
      <c r="R57" s="278"/>
      <c r="S57" s="278"/>
      <c r="T57" s="278"/>
    </row>
    <row r="58" spans="1:28" ht="14.45" hidden="1" customHeight="1" outlineLevel="1" x14ac:dyDescent="0.25">
      <c r="A58" s="278"/>
      <c r="B58" s="279" t="str">
        <f t="shared" si="20"/>
        <v/>
      </c>
      <c r="C58" s="278"/>
      <c r="D58" s="278"/>
      <c r="E58" s="278"/>
      <c r="F58" s="278"/>
      <c r="G58" s="278"/>
      <c r="H58" s="290"/>
      <c r="I58" s="280">
        <f t="shared" si="21"/>
        <v>0</v>
      </c>
      <c r="J58" s="281">
        <f t="shared" si="22"/>
        <v>0</v>
      </c>
      <c r="K58" s="282">
        <f>IF(Notes!$B$9="Domestic",I58, IF(Notes!$B$9="Commercial",J58))*$K$52</f>
        <v>0</v>
      </c>
      <c r="L58" s="283">
        <f>(SUM(O58:Q58)+(K58+SUM(M58:Q58))*(INDEX($U$52:$AB$52,MATCH(Notes!$C$16,$U$3:$AB$3,0))-100%))*$L$52</f>
        <v>0</v>
      </c>
      <c r="M58" s="286"/>
      <c r="N58" s="286"/>
      <c r="O58" s="285"/>
      <c r="P58" s="285"/>
      <c r="Q58" s="285"/>
      <c r="R58" s="278"/>
      <c r="S58" s="278"/>
      <c r="T58" s="278"/>
    </row>
    <row r="59" spans="1:28" hidden="1" outlineLevel="1" x14ac:dyDescent="0.25">
      <c r="A59" s="278"/>
      <c r="B59" s="279" t="str">
        <f t="shared" si="20"/>
        <v/>
      </c>
      <c r="C59" s="278"/>
      <c r="D59" s="278"/>
      <c r="E59" s="278"/>
      <c r="F59" s="278"/>
      <c r="G59" s="278"/>
      <c r="H59" s="290"/>
      <c r="I59" s="280">
        <f t="shared" si="21"/>
        <v>0</v>
      </c>
      <c r="J59" s="281">
        <f t="shared" si="22"/>
        <v>0</v>
      </c>
      <c r="K59" s="282">
        <f>IF(Notes!$B$9="Domestic",I59, IF(Notes!$B$9="Commercial",J59))*$K$52</f>
        <v>0</v>
      </c>
      <c r="L59" s="283">
        <f>(SUM(O59:Q59)+(K59+SUM(M59:Q59))*(INDEX($U$52:$AB$52,MATCH(Notes!$C$16,$U$3:$AB$3,0))-100%))*$L$52</f>
        <v>0</v>
      </c>
      <c r="M59" s="286"/>
      <c r="N59" s="286"/>
      <c r="O59" s="285"/>
      <c r="P59" s="285"/>
      <c r="Q59" s="285"/>
      <c r="R59" s="278"/>
      <c r="S59" s="278"/>
      <c r="T59" s="278"/>
    </row>
    <row r="60" spans="1:28" hidden="1" outlineLevel="1" x14ac:dyDescent="0.25">
      <c r="A60" s="278"/>
      <c r="B60" s="279" t="str">
        <f t="shared" si="20"/>
        <v/>
      </c>
      <c r="C60" s="278"/>
      <c r="D60" s="278"/>
      <c r="E60" s="278"/>
      <c r="F60" s="278"/>
      <c r="G60" s="278"/>
      <c r="H60" s="290"/>
      <c r="I60" s="280">
        <f t="shared" si="21"/>
        <v>0</v>
      </c>
      <c r="J60" s="281">
        <f t="shared" si="22"/>
        <v>0</v>
      </c>
      <c r="K60" s="282">
        <f>IF(Notes!$B$9="Domestic",I60, IF(Notes!$B$9="Commercial",J60))*$K$52</f>
        <v>0</v>
      </c>
      <c r="L60" s="283">
        <f>(SUM(O60:Q60)+(K60+SUM(M60:Q60))*(INDEX($U$52:$AB$52,MATCH(Notes!$C$16,$U$3:$AB$3,0))-100%))*$L$52</f>
        <v>0</v>
      </c>
      <c r="M60" s="286"/>
      <c r="N60" s="286"/>
      <c r="O60" s="285"/>
      <c r="P60" s="285"/>
      <c r="Q60" s="285"/>
      <c r="R60" s="278"/>
      <c r="S60" s="278"/>
      <c r="T60" s="278"/>
    </row>
    <row r="61" spans="1:28" hidden="1" outlineLevel="1" x14ac:dyDescent="0.25">
      <c r="A61" s="278"/>
      <c r="B61" s="279" t="str">
        <f t="shared" si="20"/>
        <v/>
      </c>
      <c r="C61" s="278"/>
      <c r="D61" s="278"/>
      <c r="E61" s="278"/>
      <c r="F61" s="278"/>
      <c r="G61" s="278"/>
      <c r="H61" s="290"/>
      <c r="I61" s="280">
        <f t="shared" si="21"/>
        <v>0</v>
      </c>
      <c r="J61" s="281">
        <f t="shared" si="22"/>
        <v>0</v>
      </c>
      <c r="K61" s="282">
        <f>IF(Notes!$B$9="Domestic",I61, IF(Notes!$B$9="Commercial",J61))*$K$52</f>
        <v>0</v>
      </c>
      <c r="L61" s="283">
        <f>(SUM(O61:Q61)+(K61+SUM(M61:Q61))*(INDEX($U$52:$AB$52,MATCH(Notes!$C$16,$U$3:$AB$3,0))-100%))*$L$52</f>
        <v>0</v>
      </c>
      <c r="M61" s="286"/>
      <c r="N61" s="286"/>
      <c r="O61" s="285"/>
      <c r="P61" s="285"/>
      <c r="Q61" s="285"/>
      <c r="R61" s="278"/>
      <c r="S61" s="278"/>
      <c r="T61" s="278"/>
    </row>
    <row r="62" spans="1:28" hidden="1" outlineLevel="1" x14ac:dyDescent="0.25">
      <c r="A62" s="278"/>
      <c r="B62" s="279" t="str">
        <f t="shared" si="20"/>
        <v/>
      </c>
      <c r="C62" s="278"/>
      <c r="D62" s="278"/>
      <c r="E62" s="278"/>
      <c r="F62" s="278"/>
      <c r="G62" s="278"/>
      <c r="H62" s="290"/>
      <c r="I62" s="280">
        <f t="shared" si="21"/>
        <v>0</v>
      </c>
      <c r="J62" s="281">
        <f t="shared" si="22"/>
        <v>0</v>
      </c>
      <c r="K62" s="282">
        <f>IF(Notes!$B$9="Domestic",I62, IF(Notes!$B$9="Commercial",J62))*$K$52</f>
        <v>0</v>
      </c>
      <c r="L62" s="283">
        <f>(SUM(O62:Q62)+(K62+SUM(M62:Q62))*(INDEX($U$52:$AB$52,MATCH(Notes!$C$16,$U$3:$AB$3,0))-100%))*$L$52</f>
        <v>0</v>
      </c>
      <c r="M62" s="286"/>
      <c r="N62" s="286"/>
      <c r="O62" s="285"/>
      <c r="P62" s="285"/>
      <c r="Q62" s="285"/>
      <c r="R62" s="278"/>
      <c r="S62" s="278"/>
      <c r="T62" s="278"/>
    </row>
    <row r="63" spans="1:28" ht="21" hidden="1" outlineLevel="1" x14ac:dyDescent="0.25">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row>
    <row r="64" spans="1:28" ht="15.75" hidden="1" outlineLevel="1" x14ac:dyDescent="0.25">
      <c r="A64" s="291"/>
      <c r="B64" s="291"/>
      <c r="C64" s="291"/>
      <c r="D64" s="291"/>
      <c r="E64" s="291"/>
      <c r="F64" s="291"/>
      <c r="G64" s="291"/>
      <c r="H64" s="291"/>
      <c r="I64" s="291"/>
      <c r="J64" s="291"/>
      <c r="K64" s="291">
        <f>K$2</f>
        <v>1</v>
      </c>
      <c r="L64" s="291">
        <f>L$2</f>
        <v>1</v>
      </c>
      <c r="M64" s="291"/>
      <c r="N64" s="291"/>
      <c r="O64" s="303"/>
      <c r="P64" s="303"/>
      <c r="Q64" s="303"/>
      <c r="R64" s="291"/>
      <c r="S64" s="291"/>
      <c r="T64" s="291"/>
      <c r="U64" s="291">
        <f>U$2</f>
        <v>1</v>
      </c>
      <c r="V64" s="291">
        <f>V$2</f>
        <v>1</v>
      </c>
      <c r="W64" s="291">
        <f t="shared" ref="W64:AB64" si="23">W$2</f>
        <v>1</v>
      </c>
      <c r="X64" s="291">
        <f t="shared" si="23"/>
        <v>1</v>
      </c>
      <c r="Y64" s="291">
        <f t="shared" si="23"/>
        <v>1</v>
      </c>
      <c r="Z64" s="291">
        <f t="shared" si="23"/>
        <v>1</v>
      </c>
      <c r="AA64" s="291">
        <f t="shared" si="23"/>
        <v>1</v>
      </c>
      <c r="AB64" s="291">
        <f t="shared" si="23"/>
        <v>1</v>
      </c>
    </row>
    <row r="65" spans="1:28" hidden="1" outlineLevel="1" x14ac:dyDescent="0.25">
      <c r="A65" s="278"/>
      <c r="B65" s="279" t="str">
        <f>C65&amp;D65&amp;E65&amp;F65</f>
        <v/>
      </c>
      <c r="C65" s="278"/>
      <c r="D65" s="278"/>
      <c r="E65" s="278"/>
      <c r="F65" s="278"/>
      <c r="G65" s="278"/>
      <c r="H65" s="290"/>
      <c r="I65" s="280">
        <f>$I$2*H65</f>
        <v>0</v>
      </c>
      <c r="J65" s="281">
        <f>$J$2*H65</f>
        <v>0</v>
      </c>
      <c r="K65" s="282">
        <f>IF(Notes!$B$9="Domestic",I65, IF(Notes!$B$9="Commercial",J65))*$K$64</f>
        <v>0</v>
      </c>
      <c r="L65" s="283">
        <f>(SUM(O65:Q65)+(K65+SUM(M65:Q65))*(INDEX($U$64:$AB$64,MATCH(Notes!$C$16,$U$3:$AB$3,0))-100%))*$L$64</f>
        <v>0</v>
      </c>
      <c r="M65" s="286"/>
      <c r="N65" s="286"/>
      <c r="O65" s="285"/>
      <c r="P65" s="285"/>
      <c r="Q65" s="285"/>
      <c r="R65" s="278"/>
      <c r="S65" s="278"/>
      <c r="T65" s="278"/>
    </row>
    <row r="66" spans="1:28" hidden="1" outlineLevel="1" x14ac:dyDescent="0.25">
      <c r="A66" s="278"/>
      <c r="B66" s="279" t="str">
        <f t="shared" ref="B66:B74" si="24">C66&amp;D66&amp;E66&amp;F66</f>
        <v/>
      </c>
      <c r="C66" s="278"/>
      <c r="D66" s="278"/>
      <c r="E66" s="278"/>
      <c r="F66" s="278"/>
      <c r="G66" s="278"/>
      <c r="H66" s="290"/>
      <c r="I66" s="280">
        <f t="shared" ref="I66:I74" si="25">$I$2*H66</f>
        <v>0</v>
      </c>
      <c r="J66" s="281">
        <f t="shared" ref="J66:J74" si="26">$J$2*H66</f>
        <v>0</v>
      </c>
      <c r="K66" s="282">
        <f>IF(Notes!$B$9="Domestic",I66, IF(Notes!$B$9="Commercial",J66))*$K$64</f>
        <v>0</v>
      </c>
      <c r="L66" s="283">
        <f>(SUM(O66:Q66)+(K66+SUM(M66:Q66))*(INDEX($U$64:$AB$64,MATCH(Notes!$C$16,$U$3:$AB$3,0))-100%))*$L$64</f>
        <v>0</v>
      </c>
      <c r="M66" s="286"/>
      <c r="N66" s="286"/>
      <c r="O66" s="285"/>
      <c r="P66" s="285"/>
      <c r="Q66" s="285"/>
      <c r="R66" s="278"/>
      <c r="S66" s="278"/>
      <c r="T66" s="278"/>
    </row>
    <row r="67" spans="1:28" hidden="1" outlineLevel="1" x14ac:dyDescent="0.25">
      <c r="A67" s="278"/>
      <c r="B67" s="279" t="str">
        <f t="shared" si="24"/>
        <v/>
      </c>
      <c r="C67" s="278"/>
      <c r="D67" s="278"/>
      <c r="E67" s="278"/>
      <c r="F67" s="278"/>
      <c r="G67" s="278"/>
      <c r="H67" s="290"/>
      <c r="I67" s="280">
        <f t="shared" si="25"/>
        <v>0</v>
      </c>
      <c r="J67" s="281">
        <f t="shared" si="26"/>
        <v>0</v>
      </c>
      <c r="K67" s="282">
        <f>IF(Notes!$B$9="Domestic",I67, IF(Notes!$B$9="Commercial",J67))*$K$64</f>
        <v>0</v>
      </c>
      <c r="L67" s="283">
        <f>(SUM(O67:Q67)+(K67+SUM(M67:Q67))*(INDEX($U$64:$AB$64,MATCH(Notes!$C$16,$U$3:$AB$3,0))-100%))*$L$64</f>
        <v>0</v>
      </c>
      <c r="M67" s="286"/>
      <c r="N67" s="286"/>
      <c r="O67" s="285"/>
      <c r="P67" s="285"/>
      <c r="Q67" s="285"/>
      <c r="R67" s="278"/>
      <c r="S67" s="278"/>
      <c r="T67" s="278"/>
    </row>
    <row r="68" spans="1:28" hidden="1" outlineLevel="1" x14ac:dyDescent="0.25">
      <c r="A68" s="278"/>
      <c r="B68" s="279" t="str">
        <f t="shared" si="24"/>
        <v/>
      </c>
      <c r="C68" s="278"/>
      <c r="D68" s="278"/>
      <c r="E68" s="278"/>
      <c r="F68" s="278"/>
      <c r="G68" s="278"/>
      <c r="H68" s="290"/>
      <c r="I68" s="280">
        <f t="shared" si="25"/>
        <v>0</v>
      </c>
      <c r="J68" s="281">
        <f t="shared" si="26"/>
        <v>0</v>
      </c>
      <c r="K68" s="282">
        <f>IF(Notes!$B$9="Domestic",I68, IF(Notes!$B$9="Commercial",J68))*$K$64</f>
        <v>0</v>
      </c>
      <c r="L68" s="283">
        <f>(SUM(O68:Q68)+(K68+SUM(M68:Q68))*(INDEX($U$64:$AB$64,MATCH(Notes!$C$16,$U$3:$AB$3,0))-100%))*$L$64</f>
        <v>0</v>
      </c>
      <c r="M68" s="286"/>
      <c r="N68" s="286"/>
      <c r="O68" s="285"/>
      <c r="P68" s="285"/>
      <c r="Q68" s="285"/>
      <c r="R68" s="278"/>
      <c r="S68" s="278"/>
      <c r="T68" s="278"/>
    </row>
    <row r="69" spans="1:28" hidden="1" outlineLevel="1" x14ac:dyDescent="0.25">
      <c r="A69" s="278"/>
      <c r="B69" s="279" t="str">
        <f t="shared" si="24"/>
        <v/>
      </c>
      <c r="C69" s="278"/>
      <c r="D69" s="278"/>
      <c r="E69" s="278"/>
      <c r="F69" s="278"/>
      <c r="G69" s="278"/>
      <c r="H69" s="290"/>
      <c r="I69" s="280">
        <f>$I$2*H69</f>
        <v>0</v>
      </c>
      <c r="J69" s="281">
        <f t="shared" si="26"/>
        <v>0</v>
      </c>
      <c r="K69" s="282">
        <f>IF(Notes!$B$9="Domestic",I69, IF(Notes!$B$9="Commercial",J69))*$K$64</f>
        <v>0</v>
      </c>
      <c r="L69" s="283">
        <f>(SUM(O69:Q69)+(K69+SUM(M69:Q69))*(INDEX($U$64:$AB$64,MATCH(Notes!$C$16,$U$3:$AB$3,0))-100%))*$L$64</f>
        <v>0</v>
      </c>
      <c r="M69" s="286"/>
      <c r="N69" s="286"/>
      <c r="O69" s="285"/>
      <c r="P69" s="285"/>
      <c r="Q69" s="285"/>
      <c r="R69" s="278"/>
      <c r="S69" s="278"/>
      <c r="T69" s="278"/>
    </row>
    <row r="70" spans="1:28" hidden="1" outlineLevel="1" x14ac:dyDescent="0.25">
      <c r="A70" s="278"/>
      <c r="B70" s="279" t="str">
        <f t="shared" si="24"/>
        <v/>
      </c>
      <c r="C70" s="278"/>
      <c r="D70" s="278"/>
      <c r="E70" s="278"/>
      <c r="F70" s="278"/>
      <c r="G70" s="278"/>
      <c r="H70" s="290"/>
      <c r="I70" s="280">
        <f t="shared" si="25"/>
        <v>0</v>
      </c>
      <c r="J70" s="281">
        <f t="shared" si="26"/>
        <v>0</v>
      </c>
      <c r="K70" s="282">
        <f>IF(Notes!$B$9="Domestic",I70, IF(Notes!$B$9="Commercial",J70))*$K$64</f>
        <v>0</v>
      </c>
      <c r="L70" s="283">
        <f>(SUM(O70:Q70)+(K70+SUM(M70:Q70))*(INDEX($U$64:$AB$64,MATCH(Notes!$C$16,$U$3:$AB$3,0))-100%))*$L$64</f>
        <v>0</v>
      </c>
      <c r="M70" s="286"/>
      <c r="N70" s="286"/>
      <c r="O70" s="285"/>
      <c r="P70" s="285"/>
      <c r="Q70" s="285"/>
      <c r="R70" s="278"/>
      <c r="S70" s="278"/>
      <c r="T70" s="278"/>
    </row>
    <row r="71" spans="1:28" hidden="1" outlineLevel="1" x14ac:dyDescent="0.25">
      <c r="A71" s="278"/>
      <c r="B71" s="279" t="str">
        <f t="shared" si="24"/>
        <v/>
      </c>
      <c r="C71" s="278"/>
      <c r="D71" s="278"/>
      <c r="E71" s="278"/>
      <c r="F71" s="278"/>
      <c r="G71" s="278"/>
      <c r="H71" s="290"/>
      <c r="I71" s="280">
        <f t="shared" si="25"/>
        <v>0</v>
      </c>
      <c r="J71" s="281">
        <f t="shared" si="26"/>
        <v>0</v>
      </c>
      <c r="K71" s="282">
        <f>IF(Notes!$B$9="Domestic",I71, IF(Notes!$B$9="Commercial",J71))*$K$64</f>
        <v>0</v>
      </c>
      <c r="L71" s="283">
        <f>(SUM(O71:Q71)+(K71+SUM(M71:Q71))*(INDEX($U$64:$AB$64,MATCH(Notes!$C$16,$U$3:$AB$3,0))-100%))*$L$64</f>
        <v>0</v>
      </c>
      <c r="M71" s="286"/>
      <c r="N71" s="286"/>
      <c r="O71" s="285"/>
      <c r="P71" s="285"/>
      <c r="Q71" s="285"/>
      <c r="R71" s="278"/>
      <c r="S71" s="278"/>
      <c r="T71" s="278"/>
    </row>
    <row r="72" spans="1:28" hidden="1" outlineLevel="1" x14ac:dyDescent="0.25">
      <c r="A72" s="278"/>
      <c r="B72" s="279" t="str">
        <f t="shared" si="24"/>
        <v/>
      </c>
      <c r="C72" s="278"/>
      <c r="D72" s="278"/>
      <c r="E72" s="278"/>
      <c r="F72" s="278"/>
      <c r="G72" s="278"/>
      <c r="H72" s="290"/>
      <c r="I72" s="280">
        <f t="shared" si="25"/>
        <v>0</v>
      </c>
      <c r="J72" s="281">
        <f t="shared" si="26"/>
        <v>0</v>
      </c>
      <c r="K72" s="282">
        <f>IF(Notes!$B$9="Domestic",I72, IF(Notes!$B$9="Commercial",J72))*$K$64</f>
        <v>0</v>
      </c>
      <c r="L72" s="283">
        <f>(SUM(O72:Q72)+(K72+SUM(M72:Q72))*(INDEX($U$64:$AB$64,MATCH(Notes!$C$16,$U$3:$AB$3,0))-100%))*$L$64</f>
        <v>0</v>
      </c>
      <c r="M72" s="286"/>
      <c r="N72" s="286"/>
      <c r="O72" s="285"/>
      <c r="P72" s="285"/>
      <c r="Q72" s="285"/>
      <c r="R72" s="278"/>
      <c r="S72" s="278"/>
      <c r="T72" s="278"/>
    </row>
    <row r="73" spans="1:28" hidden="1" outlineLevel="1" x14ac:dyDescent="0.25">
      <c r="A73" s="278"/>
      <c r="B73" s="279" t="str">
        <f t="shared" si="24"/>
        <v/>
      </c>
      <c r="C73" s="278"/>
      <c r="D73" s="278"/>
      <c r="E73" s="278"/>
      <c r="F73" s="278"/>
      <c r="G73" s="278"/>
      <c r="H73" s="290"/>
      <c r="I73" s="280">
        <f t="shared" si="25"/>
        <v>0</v>
      </c>
      <c r="J73" s="281">
        <f t="shared" si="26"/>
        <v>0</v>
      </c>
      <c r="K73" s="282">
        <f>IF(Notes!$B$9="Domestic",I73, IF(Notes!$B$9="Commercial",J73))*$K$64</f>
        <v>0</v>
      </c>
      <c r="L73" s="283">
        <f>(SUM(O73:Q73)+(K73+SUM(M73:Q73))*(INDEX($U$64:$AB$64,MATCH(Notes!$C$16,$U$3:$AB$3,0))-100%))*$L$64</f>
        <v>0</v>
      </c>
      <c r="M73" s="286"/>
      <c r="N73" s="286"/>
      <c r="O73" s="285"/>
      <c r="P73" s="285"/>
      <c r="Q73" s="285"/>
      <c r="R73" s="278"/>
      <c r="S73" s="278"/>
      <c r="T73" s="278"/>
    </row>
    <row r="74" spans="1:28" hidden="1" outlineLevel="1" x14ac:dyDescent="0.25">
      <c r="A74" s="278"/>
      <c r="B74" s="279" t="str">
        <f t="shared" si="24"/>
        <v/>
      </c>
      <c r="C74" s="278"/>
      <c r="D74" s="278"/>
      <c r="E74" s="278"/>
      <c r="F74" s="278"/>
      <c r="G74" s="278"/>
      <c r="H74" s="290"/>
      <c r="I74" s="280">
        <f t="shared" si="25"/>
        <v>0</v>
      </c>
      <c r="J74" s="281">
        <f t="shared" si="26"/>
        <v>0</v>
      </c>
      <c r="K74" s="282">
        <f>IF(Notes!$B$9="Domestic",I74, IF(Notes!$B$9="Commercial",J74))*$K$64</f>
        <v>0</v>
      </c>
      <c r="L74" s="283">
        <f>(SUM(O74:Q74)+(K74+SUM(M74:Q74))*(INDEX($U$64:$AB$64,MATCH(Notes!$C$16,$U$3:$AB$3,0))-100%))*$L$64</f>
        <v>0</v>
      </c>
      <c r="M74" s="286"/>
      <c r="N74" s="286"/>
      <c r="O74" s="285"/>
      <c r="P74" s="285"/>
      <c r="Q74" s="285"/>
      <c r="R74" s="278"/>
      <c r="S74" s="278"/>
      <c r="T74" s="278"/>
    </row>
    <row r="75" spans="1:28" ht="21" hidden="1" outlineLevel="1" x14ac:dyDescent="0.25">
      <c r="A75" s="299"/>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row>
    <row r="76" spans="1:28" ht="15.75" hidden="1" outlineLevel="1" x14ac:dyDescent="0.25">
      <c r="A76" s="291"/>
      <c r="B76" s="291"/>
      <c r="C76" s="291"/>
      <c r="D76" s="291"/>
      <c r="E76" s="291"/>
      <c r="F76" s="291"/>
      <c r="G76" s="291"/>
      <c r="H76" s="291"/>
      <c r="I76" s="291"/>
      <c r="J76" s="291"/>
      <c r="K76" s="291">
        <f>K$2</f>
        <v>1</v>
      </c>
      <c r="L76" s="291">
        <f>L$2</f>
        <v>1</v>
      </c>
      <c r="M76" s="291"/>
      <c r="N76" s="291"/>
      <c r="O76" s="303"/>
      <c r="P76" s="303"/>
      <c r="Q76" s="303"/>
      <c r="R76" s="291"/>
      <c r="S76" s="291"/>
      <c r="T76" s="291"/>
      <c r="U76" s="291">
        <f>U$2</f>
        <v>1</v>
      </c>
      <c r="V76" s="291">
        <f>V$2</f>
        <v>1</v>
      </c>
      <c r="W76" s="291">
        <f t="shared" ref="W76:AB76" si="27">W$2</f>
        <v>1</v>
      </c>
      <c r="X76" s="291">
        <f t="shared" si="27"/>
        <v>1</v>
      </c>
      <c r="Y76" s="291">
        <f t="shared" si="27"/>
        <v>1</v>
      </c>
      <c r="Z76" s="291">
        <f t="shared" si="27"/>
        <v>1</v>
      </c>
      <c r="AA76" s="291">
        <f t="shared" si="27"/>
        <v>1</v>
      </c>
      <c r="AB76" s="291">
        <f t="shared" si="27"/>
        <v>1</v>
      </c>
    </row>
    <row r="77" spans="1:28" hidden="1" outlineLevel="1" x14ac:dyDescent="0.25">
      <c r="A77" s="278"/>
      <c r="B77" s="279" t="str">
        <f>C77&amp;D77&amp;E77&amp;F77</f>
        <v/>
      </c>
      <c r="C77" s="278"/>
      <c r="D77" s="278"/>
      <c r="E77" s="278"/>
      <c r="F77" s="278"/>
      <c r="G77" s="278"/>
      <c r="H77" s="290"/>
      <c r="I77" s="280">
        <f>$I$2*H77</f>
        <v>0</v>
      </c>
      <c r="J77" s="281">
        <f>$J$2*H77</f>
        <v>0</v>
      </c>
      <c r="K77" s="282">
        <f>IF(Notes!$B$9="Domestic",I77, IF(Notes!$B$9="Commercial",J77))*$K$76</f>
        <v>0</v>
      </c>
      <c r="L77" s="283">
        <f>(SUM(O77:Q77)+(K77+SUM(M77:Q77))*(INDEX($U$76:$AB$76,MATCH(Notes!$C$16,$U$3:$AB$3,0))-100%))*$L$76</f>
        <v>0</v>
      </c>
      <c r="M77" s="286"/>
      <c r="N77" s="286"/>
      <c r="O77" s="285"/>
      <c r="P77" s="285"/>
      <c r="Q77" s="285"/>
      <c r="R77" s="278"/>
      <c r="S77" s="278"/>
      <c r="T77" s="278"/>
    </row>
    <row r="78" spans="1:28" hidden="1" outlineLevel="1" x14ac:dyDescent="0.25">
      <c r="A78" s="278"/>
      <c r="B78" s="279" t="str">
        <f t="shared" ref="B78:B86" si="28">C78&amp;D78&amp;E78&amp;F78</f>
        <v/>
      </c>
      <c r="C78" s="278"/>
      <c r="D78" s="278"/>
      <c r="E78" s="278"/>
      <c r="F78" s="278"/>
      <c r="G78" s="278"/>
      <c r="H78" s="290"/>
      <c r="I78" s="280">
        <f t="shared" ref="I78:I86" si="29">$I$2*H78</f>
        <v>0</v>
      </c>
      <c r="J78" s="281">
        <f t="shared" ref="J78:J86" si="30">$J$2*H78</f>
        <v>0</v>
      </c>
      <c r="K78" s="282">
        <f>IF(Notes!$B$9="Domestic",I78, IF(Notes!$B$9="Commercial",J78))*$K$76</f>
        <v>0</v>
      </c>
      <c r="L78" s="283">
        <f>(SUM(O78:Q78)+(K78+SUM(M78:Q78))*(INDEX($U$76:$AB$76,MATCH(Notes!$C$16,$U$3:$AB$3,0))-100%))*$L$76</f>
        <v>0</v>
      </c>
      <c r="M78" s="286"/>
      <c r="N78" s="286"/>
      <c r="O78" s="285"/>
      <c r="P78" s="285"/>
      <c r="Q78" s="285"/>
      <c r="R78" s="278"/>
      <c r="S78" s="278"/>
      <c r="T78" s="278"/>
    </row>
    <row r="79" spans="1:28" hidden="1" outlineLevel="1" x14ac:dyDescent="0.25">
      <c r="A79" s="278"/>
      <c r="B79" s="279" t="str">
        <f t="shared" si="28"/>
        <v/>
      </c>
      <c r="C79" s="278"/>
      <c r="D79" s="278"/>
      <c r="E79" s="278"/>
      <c r="F79" s="278"/>
      <c r="G79" s="278"/>
      <c r="H79" s="290"/>
      <c r="I79" s="280">
        <f t="shared" si="29"/>
        <v>0</v>
      </c>
      <c r="J79" s="281">
        <f t="shared" si="30"/>
        <v>0</v>
      </c>
      <c r="K79" s="282">
        <f>IF(Notes!$B$9="Domestic",I79, IF(Notes!$B$9="Commercial",J79))*$K$76</f>
        <v>0</v>
      </c>
      <c r="L79" s="283">
        <f>(SUM(O79:Q79)+(K79+SUM(M79:Q79))*(INDEX($U$76:$AB$76,MATCH(Notes!$C$16,$U$3:$AB$3,0))-100%))*$L$76</f>
        <v>0</v>
      </c>
      <c r="M79" s="286"/>
      <c r="N79" s="286"/>
      <c r="O79" s="285"/>
      <c r="P79" s="285"/>
      <c r="Q79" s="285"/>
      <c r="R79" s="278"/>
      <c r="S79" s="278"/>
      <c r="T79" s="278"/>
    </row>
    <row r="80" spans="1:28" hidden="1" outlineLevel="1" x14ac:dyDescent="0.25">
      <c r="A80" s="278"/>
      <c r="B80" s="279" t="str">
        <f t="shared" si="28"/>
        <v/>
      </c>
      <c r="C80" s="278"/>
      <c r="D80" s="278"/>
      <c r="E80" s="278"/>
      <c r="F80" s="278"/>
      <c r="G80" s="278"/>
      <c r="H80" s="290"/>
      <c r="I80" s="280">
        <f t="shared" si="29"/>
        <v>0</v>
      </c>
      <c r="J80" s="281">
        <f t="shared" si="30"/>
        <v>0</v>
      </c>
      <c r="K80" s="282">
        <f>IF(Notes!$B$9="Domestic",I80, IF(Notes!$B$9="Commercial",J80))*$K$76</f>
        <v>0</v>
      </c>
      <c r="L80" s="283">
        <f>(SUM(O80:Q80)+(K80+SUM(M80:Q80))*(INDEX($U$76:$AB$76,MATCH(Notes!$C$16,$U$3:$AB$3,0))-100%))*$L$76</f>
        <v>0</v>
      </c>
      <c r="M80" s="286"/>
      <c r="N80" s="286"/>
      <c r="O80" s="285"/>
      <c r="P80" s="285"/>
      <c r="Q80" s="285"/>
      <c r="R80" s="278"/>
      <c r="S80" s="278"/>
      <c r="T80" s="278"/>
    </row>
    <row r="81" spans="1:28" hidden="1" outlineLevel="1" x14ac:dyDescent="0.25">
      <c r="A81" s="278"/>
      <c r="B81" s="279" t="str">
        <f t="shared" si="28"/>
        <v/>
      </c>
      <c r="C81" s="278"/>
      <c r="D81" s="278"/>
      <c r="E81" s="278"/>
      <c r="F81" s="278"/>
      <c r="G81" s="278"/>
      <c r="H81" s="290"/>
      <c r="I81" s="280">
        <f>$I$2*H81</f>
        <v>0</v>
      </c>
      <c r="J81" s="281">
        <f t="shared" si="30"/>
        <v>0</v>
      </c>
      <c r="K81" s="282">
        <f>IF(Notes!$B$9="Domestic",I81, IF(Notes!$B$9="Commercial",J81))*$K$76</f>
        <v>0</v>
      </c>
      <c r="L81" s="283">
        <f>(SUM(O81:Q81)+(K81+SUM(M81:Q81))*(INDEX($U$76:$AB$76,MATCH(Notes!$C$16,$U$3:$AB$3,0))-100%))*$L$76</f>
        <v>0</v>
      </c>
      <c r="M81" s="286"/>
      <c r="N81" s="286"/>
      <c r="O81" s="285"/>
      <c r="P81" s="285"/>
      <c r="Q81" s="285"/>
      <c r="R81" s="278"/>
      <c r="S81" s="278"/>
      <c r="T81" s="278"/>
    </row>
    <row r="82" spans="1:28" hidden="1" outlineLevel="1" x14ac:dyDescent="0.25">
      <c r="A82" s="278"/>
      <c r="B82" s="279" t="str">
        <f t="shared" si="28"/>
        <v/>
      </c>
      <c r="C82" s="278"/>
      <c r="D82" s="278"/>
      <c r="E82" s="278"/>
      <c r="F82" s="278"/>
      <c r="G82" s="278"/>
      <c r="H82" s="290"/>
      <c r="I82" s="280">
        <f t="shared" si="29"/>
        <v>0</v>
      </c>
      <c r="J82" s="281">
        <f t="shared" si="30"/>
        <v>0</v>
      </c>
      <c r="K82" s="282">
        <f>IF(Notes!$B$9="Domestic",I82, IF(Notes!$B$9="Commercial",J82))*$K$76</f>
        <v>0</v>
      </c>
      <c r="L82" s="283">
        <f>(SUM(O82:Q82)+(K82+SUM(M82:Q82))*(INDEX($U$76:$AB$76,MATCH(Notes!$C$16,$U$3:$AB$3,0))-100%))*$L$76</f>
        <v>0</v>
      </c>
      <c r="M82" s="286"/>
      <c r="N82" s="286"/>
      <c r="O82" s="285"/>
      <c r="P82" s="285"/>
      <c r="Q82" s="285"/>
      <c r="R82" s="278"/>
      <c r="S82" s="278"/>
      <c r="T82" s="278"/>
    </row>
    <row r="83" spans="1:28" hidden="1" outlineLevel="1" x14ac:dyDescent="0.25">
      <c r="A83" s="278"/>
      <c r="B83" s="279" t="str">
        <f t="shared" si="28"/>
        <v/>
      </c>
      <c r="C83" s="278"/>
      <c r="D83" s="278"/>
      <c r="E83" s="278"/>
      <c r="F83" s="278"/>
      <c r="G83" s="278"/>
      <c r="H83" s="290"/>
      <c r="I83" s="280">
        <f t="shared" si="29"/>
        <v>0</v>
      </c>
      <c r="J83" s="281">
        <f t="shared" si="30"/>
        <v>0</v>
      </c>
      <c r="K83" s="282">
        <f>IF(Notes!$B$9="Domestic",I83, IF(Notes!$B$9="Commercial",J83))*$K$76</f>
        <v>0</v>
      </c>
      <c r="L83" s="283">
        <f>(SUM(O83:Q83)+(K83+SUM(M83:Q83))*(INDEX($U$76:$AB$76,MATCH(Notes!$C$16,$U$3:$AB$3,0))-100%))*$L$76</f>
        <v>0</v>
      </c>
      <c r="M83" s="286"/>
      <c r="N83" s="286"/>
      <c r="O83" s="285"/>
      <c r="P83" s="285"/>
      <c r="Q83" s="285"/>
      <c r="R83" s="278"/>
      <c r="S83" s="278"/>
      <c r="T83" s="278"/>
    </row>
    <row r="84" spans="1:28" hidden="1" outlineLevel="1" x14ac:dyDescent="0.25">
      <c r="A84" s="278"/>
      <c r="B84" s="279" t="str">
        <f t="shared" si="28"/>
        <v/>
      </c>
      <c r="C84" s="278"/>
      <c r="D84" s="278"/>
      <c r="E84" s="278"/>
      <c r="F84" s="278"/>
      <c r="G84" s="278"/>
      <c r="H84" s="290"/>
      <c r="I84" s="280">
        <f t="shared" si="29"/>
        <v>0</v>
      </c>
      <c r="J84" s="281">
        <f t="shared" si="30"/>
        <v>0</v>
      </c>
      <c r="K84" s="282">
        <f>IF(Notes!$B$9="Domestic",I84, IF(Notes!$B$9="Commercial",J84))*$K$76</f>
        <v>0</v>
      </c>
      <c r="L84" s="283">
        <f>(SUM(O84:Q84)+(K84+SUM(M84:Q84))*(INDEX($U$76:$AB$76,MATCH(Notes!$C$16,$U$3:$AB$3,0))-100%))*$L$76</f>
        <v>0</v>
      </c>
      <c r="M84" s="286"/>
      <c r="N84" s="286"/>
      <c r="O84" s="285"/>
      <c r="P84" s="285"/>
      <c r="Q84" s="285"/>
      <c r="R84" s="278"/>
      <c r="S84" s="278"/>
      <c r="T84" s="278"/>
    </row>
    <row r="85" spans="1:28" hidden="1" outlineLevel="1" x14ac:dyDescent="0.25">
      <c r="A85" s="278"/>
      <c r="B85" s="279" t="str">
        <f t="shared" si="28"/>
        <v/>
      </c>
      <c r="C85" s="278"/>
      <c r="D85" s="278"/>
      <c r="E85" s="278"/>
      <c r="F85" s="278"/>
      <c r="G85" s="278"/>
      <c r="H85" s="290"/>
      <c r="I85" s="280">
        <f t="shared" si="29"/>
        <v>0</v>
      </c>
      <c r="J85" s="281">
        <f t="shared" si="30"/>
        <v>0</v>
      </c>
      <c r="K85" s="282">
        <f>IF(Notes!$B$9="Domestic",I85, IF(Notes!$B$9="Commercial",J85))*$K$76</f>
        <v>0</v>
      </c>
      <c r="L85" s="283">
        <f>(SUM(O85:Q85)+(K85+SUM(M85:Q85))*(INDEX($U$76:$AB$76,MATCH(Notes!$C$16,$U$3:$AB$3,0))-100%))*$L$76</f>
        <v>0</v>
      </c>
      <c r="M85" s="286"/>
      <c r="N85" s="286"/>
      <c r="O85" s="285"/>
      <c r="P85" s="285"/>
      <c r="Q85" s="285"/>
      <c r="R85" s="278"/>
      <c r="S85" s="278"/>
      <c r="T85" s="278"/>
    </row>
    <row r="86" spans="1:28" hidden="1" outlineLevel="1" x14ac:dyDescent="0.25">
      <c r="A86" s="278"/>
      <c r="B86" s="279" t="str">
        <f t="shared" si="28"/>
        <v/>
      </c>
      <c r="C86" s="278"/>
      <c r="D86" s="278"/>
      <c r="E86" s="278"/>
      <c r="F86" s="278"/>
      <c r="G86" s="278"/>
      <c r="H86" s="290"/>
      <c r="I86" s="280">
        <f t="shared" si="29"/>
        <v>0</v>
      </c>
      <c r="J86" s="281">
        <f t="shared" si="30"/>
        <v>0</v>
      </c>
      <c r="K86" s="282">
        <f>IF(Notes!$B$9="Domestic",I86, IF(Notes!$B$9="Commercial",J86))*$K$76</f>
        <v>0</v>
      </c>
      <c r="L86" s="283">
        <f>(SUM(O86:Q86)+(K86+SUM(M86:Q86))*(INDEX($U$76:$AB$76,MATCH(Notes!$C$16,$U$3:$AB$3,0))-100%))*$L$76</f>
        <v>0</v>
      </c>
      <c r="M86" s="286"/>
      <c r="N86" s="286"/>
      <c r="O86" s="285"/>
      <c r="P86" s="285"/>
      <c r="Q86" s="285"/>
      <c r="R86" s="278"/>
      <c r="S86" s="278"/>
      <c r="T86" s="278"/>
    </row>
    <row r="87" spans="1:28" ht="21" hidden="1" outlineLevel="1" x14ac:dyDescent="0.25">
      <c r="A87" s="299"/>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row>
    <row r="88" spans="1:28" ht="15.75" hidden="1" outlineLevel="1" x14ac:dyDescent="0.25">
      <c r="A88" s="291"/>
      <c r="B88" s="291"/>
      <c r="C88" s="291"/>
      <c r="D88" s="291"/>
      <c r="E88" s="291"/>
      <c r="F88" s="291"/>
      <c r="G88" s="291"/>
      <c r="H88" s="291"/>
      <c r="I88" s="291"/>
      <c r="J88" s="291"/>
      <c r="K88" s="291">
        <f>K$2</f>
        <v>1</v>
      </c>
      <c r="L88" s="291">
        <f>L$2</f>
        <v>1</v>
      </c>
      <c r="M88" s="291"/>
      <c r="N88" s="291"/>
      <c r="O88" s="303"/>
      <c r="P88" s="303"/>
      <c r="Q88" s="303"/>
      <c r="R88" s="291"/>
      <c r="S88" s="291"/>
      <c r="T88" s="291"/>
      <c r="U88" s="291">
        <f>U$2</f>
        <v>1</v>
      </c>
      <c r="V88" s="291">
        <f>V$2</f>
        <v>1</v>
      </c>
      <c r="W88" s="291">
        <f t="shared" ref="W88:AB88" si="31">W$2</f>
        <v>1</v>
      </c>
      <c r="X88" s="291">
        <f t="shared" si="31"/>
        <v>1</v>
      </c>
      <c r="Y88" s="291">
        <f t="shared" si="31"/>
        <v>1</v>
      </c>
      <c r="Z88" s="291">
        <f t="shared" si="31"/>
        <v>1</v>
      </c>
      <c r="AA88" s="291">
        <f t="shared" si="31"/>
        <v>1</v>
      </c>
      <c r="AB88" s="291">
        <f t="shared" si="31"/>
        <v>1</v>
      </c>
    </row>
    <row r="89" spans="1:28" hidden="1" outlineLevel="1" x14ac:dyDescent="0.25">
      <c r="A89" s="278"/>
      <c r="B89" s="279" t="str">
        <f>C89&amp;D89&amp;E89&amp;F89</f>
        <v/>
      </c>
      <c r="C89" s="278"/>
      <c r="D89" s="278"/>
      <c r="E89" s="278"/>
      <c r="F89" s="278"/>
      <c r="G89" s="278"/>
      <c r="H89" s="290"/>
      <c r="I89" s="280">
        <f>$I$2*H89</f>
        <v>0</v>
      </c>
      <c r="J89" s="281">
        <f>$J$2*H89</f>
        <v>0</v>
      </c>
      <c r="K89" s="282">
        <f>IF(Notes!$B$9="Domestic",I89, IF(Notes!$B$9="Commercial",J89))*$K$88</f>
        <v>0</v>
      </c>
      <c r="L89" s="283">
        <f>(SUM(O89:Q89)+(K89+SUM(M89:Q89))*(INDEX($U$88:$AB$88,MATCH(Notes!$C$16,$U$3:$AB$3,0))-100%))*$L$88</f>
        <v>0</v>
      </c>
      <c r="M89" s="286"/>
      <c r="N89" s="286"/>
      <c r="O89" s="285"/>
      <c r="P89" s="285"/>
      <c r="Q89" s="285"/>
      <c r="R89" s="278"/>
      <c r="S89" s="278"/>
      <c r="T89" s="278"/>
    </row>
    <row r="90" spans="1:28" hidden="1" outlineLevel="1" x14ac:dyDescent="0.25">
      <c r="A90" s="278"/>
      <c r="B90" s="279" t="str">
        <f t="shared" ref="B90:B98" si="32">C90&amp;D90&amp;E90&amp;F90</f>
        <v/>
      </c>
      <c r="C90" s="278"/>
      <c r="D90" s="278"/>
      <c r="E90" s="278"/>
      <c r="F90" s="278"/>
      <c r="G90" s="278"/>
      <c r="H90" s="290"/>
      <c r="I90" s="280">
        <f t="shared" ref="I90:I98" si="33">$I$2*H90</f>
        <v>0</v>
      </c>
      <c r="J90" s="281">
        <f t="shared" ref="J90:J98" si="34">$J$2*H90</f>
        <v>0</v>
      </c>
      <c r="K90" s="282">
        <f>IF(Notes!$B$9="Domestic",I90, IF(Notes!$B$9="Commercial",J90))*$K$88</f>
        <v>0</v>
      </c>
      <c r="L90" s="283">
        <f>(SUM(O90:Q90)+(K90+SUM(M90:Q90))*(INDEX($U$88:$AB$88,MATCH(Notes!$C$16,$U$3:$AB$3,0))-100%))*$L$88</f>
        <v>0</v>
      </c>
      <c r="M90" s="286"/>
      <c r="N90" s="286"/>
      <c r="O90" s="285"/>
      <c r="P90" s="285"/>
      <c r="Q90" s="285"/>
      <c r="R90" s="278"/>
      <c r="S90" s="278"/>
      <c r="T90" s="278"/>
    </row>
    <row r="91" spans="1:28" hidden="1" outlineLevel="1" x14ac:dyDescent="0.25">
      <c r="A91" s="278"/>
      <c r="B91" s="279" t="str">
        <f t="shared" si="32"/>
        <v/>
      </c>
      <c r="C91" s="278"/>
      <c r="D91" s="278"/>
      <c r="E91" s="278"/>
      <c r="F91" s="278"/>
      <c r="G91" s="278"/>
      <c r="H91" s="290"/>
      <c r="I91" s="280">
        <f t="shared" si="33"/>
        <v>0</v>
      </c>
      <c r="J91" s="281">
        <f t="shared" si="34"/>
        <v>0</v>
      </c>
      <c r="K91" s="282">
        <f>IF(Notes!$B$9="Domestic",I91, IF(Notes!$B$9="Commercial",J91))*$K$88</f>
        <v>0</v>
      </c>
      <c r="L91" s="283">
        <f>(SUM(O91:Q91)+(K91+SUM(M91:Q91))*(INDEX($U$88:$AB$88,MATCH(Notes!$C$16,$U$3:$AB$3,0))-100%))*$L$88</f>
        <v>0</v>
      </c>
      <c r="M91" s="286"/>
      <c r="N91" s="286"/>
      <c r="O91" s="285"/>
      <c r="P91" s="285"/>
      <c r="Q91" s="285"/>
      <c r="R91" s="278"/>
      <c r="S91" s="278"/>
      <c r="T91" s="278"/>
    </row>
    <row r="92" spans="1:28" hidden="1" outlineLevel="1" x14ac:dyDescent="0.25">
      <c r="A92" s="278"/>
      <c r="B92" s="279" t="str">
        <f t="shared" si="32"/>
        <v/>
      </c>
      <c r="C92" s="278"/>
      <c r="D92" s="278"/>
      <c r="E92" s="278"/>
      <c r="F92" s="278"/>
      <c r="G92" s="278"/>
      <c r="H92" s="290"/>
      <c r="I92" s="280">
        <f t="shared" si="33"/>
        <v>0</v>
      </c>
      <c r="J92" s="281">
        <f t="shared" si="34"/>
        <v>0</v>
      </c>
      <c r="K92" s="282">
        <f>IF(Notes!$B$9="Domestic",I92, IF(Notes!$B$9="Commercial",J92))*$K$88</f>
        <v>0</v>
      </c>
      <c r="L92" s="283">
        <f>(SUM(O92:Q92)+(K92+SUM(M92:Q92))*(INDEX($U$88:$AB$88,MATCH(Notes!$C$16,$U$3:$AB$3,0))-100%))*$L$88</f>
        <v>0</v>
      </c>
      <c r="M92" s="286"/>
      <c r="N92" s="286"/>
      <c r="O92" s="285"/>
      <c r="P92" s="285"/>
      <c r="Q92" s="285"/>
      <c r="R92" s="278"/>
      <c r="S92" s="278"/>
      <c r="T92" s="278"/>
    </row>
    <row r="93" spans="1:28" hidden="1" outlineLevel="1" x14ac:dyDescent="0.25">
      <c r="A93" s="278"/>
      <c r="B93" s="279" t="str">
        <f t="shared" si="32"/>
        <v/>
      </c>
      <c r="C93" s="278"/>
      <c r="D93" s="278"/>
      <c r="E93" s="278"/>
      <c r="F93" s="278"/>
      <c r="G93" s="278"/>
      <c r="H93" s="290"/>
      <c r="I93" s="280">
        <f>$I$2*H93</f>
        <v>0</v>
      </c>
      <c r="J93" s="281">
        <f t="shared" si="34"/>
        <v>0</v>
      </c>
      <c r="K93" s="282">
        <f>IF(Notes!$B$9="Domestic",I93, IF(Notes!$B$9="Commercial",J93))*$K$88</f>
        <v>0</v>
      </c>
      <c r="L93" s="283">
        <f>(SUM(O93:Q93)+(K93+SUM(M93:Q93))*(INDEX($U$88:$AB$88,MATCH(Notes!$C$16,$U$3:$AB$3,0))-100%))*$L$88</f>
        <v>0</v>
      </c>
      <c r="M93" s="286"/>
      <c r="N93" s="286"/>
      <c r="O93" s="285"/>
      <c r="P93" s="285"/>
      <c r="Q93" s="285"/>
      <c r="R93" s="278"/>
      <c r="S93" s="278"/>
      <c r="T93" s="278"/>
    </row>
    <row r="94" spans="1:28" hidden="1" outlineLevel="1" x14ac:dyDescent="0.25">
      <c r="A94" s="278"/>
      <c r="B94" s="279" t="str">
        <f t="shared" si="32"/>
        <v/>
      </c>
      <c r="C94" s="278"/>
      <c r="D94" s="278"/>
      <c r="E94" s="278"/>
      <c r="F94" s="278"/>
      <c r="G94" s="278"/>
      <c r="H94" s="290"/>
      <c r="I94" s="280">
        <f t="shared" si="33"/>
        <v>0</v>
      </c>
      <c r="J94" s="281">
        <f t="shared" si="34"/>
        <v>0</v>
      </c>
      <c r="K94" s="282">
        <f>IF(Notes!$B$9="Domestic",I94, IF(Notes!$B$9="Commercial",J94))*$K$88</f>
        <v>0</v>
      </c>
      <c r="L94" s="283">
        <f>(SUM(O94:Q94)+(K94+SUM(M94:Q94))*(INDEX($U$88:$AB$88,MATCH(Notes!$C$16,$U$3:$AB$3,0))-100%))*$L$88</f>
        <v>0</v>
      </c>
      <c r="M94" s="286"/>
      <c r="N94" s="286"/>
      <c r="O94" s="285"/>
      <c r="P94" s="285"/>
      <c r="Q94" s="285"/>
      <c r="R94" s="278"/>
      <c r="S94" s="278"/>
      <c r="T94" s="278"/>
    </row>
    <row r="95" spans="1:28" hidden="1" outlineLevel="1" x14ac:dyDescent="0.25">
      <c r="A95" s="278"/>
      <c r="B95" s="279" t="str">
        <f t="shared" si="32"/>
        <v/>
      </c>
      <c r="C95" s="278"/>
      <c r="D95" s="278"/>
      <c r="E95" s="278"/>
      <c r="F95" s="278"/>
      <c r="G95" s="278"/>
      <c r="H95" s="290"/>
      <c r="I95" s="280">
        <f t="shared" si="33"/>
        <v>0</v>
      </c>
      <c r="J95" s="281">
        <f t="shared" si="34"/>
        <v>0</v>
      </c>
      <c r="K95" s="282">
        <f>IF(Notes!$B$9="Domestic",I95, IF(Notes!$B$9="Commercial",J95))*$K$88</f>
        <v>0</v>
      </c>
      <c r="L95" s="283">
        <f>(SUM(O95:Q95)+(K95+SUM(M95:Q95))*(INDEX($U$88:$AB$88,MATCH(Notes!$C$16,$U$3:$AB$3,0))-100%))*$L$88</f>
        <v>0</v>
      </c>
      <c r="M95" s="286"/>
      <c r="N95" s="286"/>
      <c r="O95" s="285"/>
      <c r="P95" s="285"/>
      <c r="Q95" s="285"/>
      <c r="R95" s="278"/>
      <c r="S95" s="278"/>
      <c r="T95" s="278"/>
    </row>
    <row r="96" spans="1:28" hidden="1" outlineLevel="1" x14ac:dyDescent="0.25">
      <c r="A96" s="278"/>
      <c r="B96" s="279" t="str">
        <f t="shared" si="32"/>
        <v/>
      </c>
      <c r="C96" s="278"/>
      <c r="D96" s="278"/>
      <c r="E96" s="278"/>
      <c r="F96" s="278"/>
      <c r="G96" s="278"/>
      <c r="H96" s="290"/>
      <c r="I96" s="280">
        <f t="shared" si="33"/>
        <v>0</v>
      </c>
      <c r="J96" s="281">
        <f t="shared" si="34"/>
        <v>0</v>
      </c>
      <c r="K96" s="282">
        <f>IF(Notes!$B$9="Domestic",I96, IF(Notes!$B$9="Commercial",J96))*$K$88</f>
        <v>0</v>
      </c>
      <c r="L96" s="283">
        <f>(SUM(O96:Q96)+(K96+SUM(M96:Q96))*(INDEX($U$88:$AB$88,MATCH(Notes!$C$16,$U$3:$AB$3,0))-100%))*$L$88</f>
        <v>0</v>
      </c>
      <c r="M96" s="286"/>
      <c r="N96" s="286"/>
      <c r="O96" s="285"/>
      <c r="P96" s="285"/>
      <c r="Q96" s="285"/>
      <c r="R96" s="278"/>
      <c r="S96" s="278"/>
      <c r="T96" s="278"/>
    </row>
    <row r="97" spans="1:28" hidden="1" outlineLevel="1" x14ac:dyDescent="0.25">
      <c r="A97" s="278"/>
      <c r="B97" s="279" t="str">
        <f t="shared" si="32"/>
        <v/>
      </c>
      <c r="C97" s="278"/>
      <c r="D97" s="278"/>
      <c r="E97" s="278"/>
      <c r="F97" s="278"/>
      <c r="G97" s="278"/>
      <c r="H97" s="290"/>
      <c r="I97" s="280">
        <f t="shared" si="33"/>
        <v>0</v>
      </c>
      <c r="J97" s="281">
        <f t="shared" si="34"/>
        <v>0</v>
      </c>
      <c r="K97" s="282">
        <f>IF(Notes!$B$9="Domestic",I97, IF(Notes!$B$9="Commercial",J97))*$K$88</f>
        <v>0</v>
      </c>
      <c r="L97" s="283">
        <f>(SUM(O97:Q97)+(K97+SUM(M97:Q97))*(INDEX($U$88:$AB$88,MATCH(Notes!$C$16,$U$3:$AB$3,0))-100%))*$L$88</f>
        <v>0</v>
      </c>
      <c r="M97" s="286"/>
      <c r="N97" s="286"/>
      <c r="O97" s="285"/>
      <c r="P97" s="285"/>
      <c r="Q97" s="285"/>
      <c r="R97" s="278"/>
      <c r="S97" s="278"/>
      <c r="T97" s="278"/>
    </row>
    <row r="98" spans="1:28" hidden="1" outlineLevel="1" x14ac:dyDescent="0.25">
      <c r="A98" s="278"/>
      <c r="B98" s="279" t="str">
        <f t="shared" si="32"/>
        <v/>
      </c>
      <c r="C98" s="278"/>
      <c r="D98" s="278"/>
      <c r="E98" s="278"/>
      <c r="F98" s="278"/>
      <c r="G98" s="278"/>
      <c r="H98" s="290"/>
      <c r="I98" s="280">
        <f t="shared" si="33"/>
        <v>0</v>
      </c>
      <c r="J98" s="281">
        <f t="shared" si="34"/>
        <v>0</v>
      </c>
      <c r="K98" s="282">
        <f>IF(Notes!$B$9="Domestic",I98, IF(Notes!$B$9="Commercial",J98))*$K$88</f>
        <v>0</v>
      </c>
      <c r="L98" s="283">
        <f>(SUM(O98:Q98)+(K98+SUM(M98:Q98))*(INDEX($U$88:$AB$88,MATCH(Notes!$C$16,$U$3:$AB$3,0))-100%))*$L$88</f>
        <v>0</v>
      </c>
      <c r="M98" s="286"/>
      <c r="N98" s="286"/>
      <c r="O98" s="285"/>
      <c r="P98" s="285"/>
      <c r="Q98" s="285"/>
      <c r="R98" s="278"/>
      <c r="S98" s="278"/>
      <c r="T98" s="278"/>
    </row>
    <row r="99" spans="1:28" ht="21" hidden="1" outlineLevel="1" x14ac:dyDescent="0.25">
      <c r="A99" s="299"/>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row>
    <row r="100" spans="1:28" ht="15.75" hidden="1" outlineLevel="1" x14ac:dyDescent="0.25">
      <c r="A100" s="291"/>
      <c r="B100" s="291"/>
      <c r="C100" s="291"/>
      <c r="D100" s="291"/>
      <c r="E100" s="291"/>
      <c r="F100" s="291"/>
      <c r="G100" s="291"/>
      <c r="H100" s="291"/>
      <c r="I100" s="291"/>
      <c r="J100" s="291"/>
      <c r="K100" s="291">
        <f>K$2</f>
        <v>1</v>
      </c>
      <c r="L100" s="291">
        <f>L$2</f>
        <v>1</v>
      </c>
      <c r="M100" s="291"/>
      <c r="N100" s="291"/>
      <c r="O100" s="303"/>
      <c r="P100" s="303"/>
      <c r="Q100" s="303"/>
      <c r="R100" s="291"/>
      <c r="S100" s="291"/>
      <c r="T100" s="291"/>
      <c r="U100" s="291">
        <f>U$2</f>
        <v>1</v>
      </c>
      <c r="V100" s="291">
        <f>V$2</f>
        <v>1</v>
      </c>
      <c r="W100" s="291">
        <f t="shared" ref="W100:AB100" si="35">W$2</f>
        <v>1</v>
      </c>
      <c r="X100" s="291">
        <f t="shared" si="35"/>
        <v>1</v>
      </c>
      <c r="Y100" s="291">
        <f t="shared" si="35"/>
        <v>1</v>
      </c>
      <c r="Z100" s="291">
        <f t="shared" si="35"/>
        <v>1</v>
      </c>
      <c r="AA100" s="291">
        <f t="shared" si="35"/>
        <v>1</v>
      </c>
      <c r="AB100" s="291">
        <f t="shared" si="35"/>
        <v>1</v>
      </c>
    </row>
    <row r="101" spans="1:28" hidden="1" outlineLevel="1" x14ac:dyDescent="0.25">
      <c r="A101" s="278"/>
      <c r="B101" s="279" t="str">
        <f>C101&amp;D101&amp;E101&amp;F101</f>
        <v/>
      </c>
      <c r="C101" s="278"/>
      <c r="D101" s="278"/>
      <c r="E101" s="278"/>
      <c r="F101" s="278"/>
      <c r="G101" s="278"/>
      <c r="H101" s="290"/>
      <c r="I101" s="280">
        <f>$I$2*H101</f>
        <v>0</v>
      </c>
      <c r="J101" s="281">
        <f>$J$2*H101</f>
        <v>0</v>
      </c>
      <c r="K101" s="282">
        <f>IF(Notes!$B$9="Domestic",I101, IF(Notes!$B$9="Commercial",J101))*$K$100</f>
        <v>0</v>
      </c>
      <c r="L101" s="283">
        <f>(SUM(O101:Q101)+(K101+SUM(M101:Q101))*(INDEX($U$100:$AB$100,MATCH(Notes!$C$16,$U$3:$AB$3,0))-100%))*$L$100</f>
        <v>0</v>
      </c>
      <c r="M101" s="286"/>
      <c r="N101" s="286"/>
      <c r="O101" s="285"/>
      <c r="P101" s="285"/>
      <c r="Q101" s="285"/>
      <c r="R101" s="278"/>
      <c r="S101" s="278"/>
      <c r="T101" s="278"/>
    </row>
    <row r="102" spans="1:28" hidden="1" outlineLevel="1" x14ac:dyDescent="0.25">
      <c r="A102" s="278"/>
      <c r="B102" s="279" t="str">
        <f t="shared" ref="B102:B110" si="36">C102&amp;D102&amp;E102&amp;F102</f>
        <v/>
      </c>
      <c r="C102" s="278"/>
      <c r="D102" s="278"/>
      <c r="E102" s="278"/>
      <c r="F102" s="278"/>
      <c r="G102" s="278"/>
      <c r="H102" s="290"/>
      <c r="I102" s="280">
        <f t="shared" ref="I102:I110" si="37">$I$2*H102</f>
        <v>0</v>
      </c>
      <c r="J102" s="281">
        <f t="shared" ref="J102:J110" si="38">$J$2*H102</f>
        <v>0</v>
      </c>
      <c r="K102" s="282">
        <f>IF(Notes!$B$9="Domestic",I102, IF(Notes!$B$9="Commercial",J102))*$K$100</f>
        <v>0</v>
      </c>
      <c r="L102" s="283">
        <f>(SUM(O102:Q102)+(K102+SUM(M102:Q102))*(INDEX($U$100:$AB$100,MATCH(Notes!$C$16,$U$3:$AB$3,0))-100%))*$L$100</f>
        <v>0</v>
      </c>
      <c r="M102" s="286"/>
      <c r="N102" s="286"/>
      <c r="O102" s="285"/>
      <c r="P102" s="285"/>
      <c r="Q102" s="285"/>
      <c r="R102" s="278"/>
      <c r="S102" s="278"/>
      <c r="T102" s="278"/>
    </row>
    <row r="103" spans="1:28" hidden="1" outlineLevel="1" x14ac:dyDescent="0.25">
      <c r="A103" s="278"/>
      <c r="B103" s="279" t="str">
        <f t="shared" si="36"/>
        <v/>
      </c>
      <c r="C103" s="278"/>
      <c r="D103" s="278"/>
      <c r="E103" s="278"/>
      <c r="F103" s="278"/>
      <c r="G103" s="278"/>
      <c r="H103" s="290"/>
      <c r="I103" s="280">
        <f t="shared" si="37"/>
        <v>0</v>
      </c>
      <c r="J103" s="281">
        <f t="shared" si="38"/>
        <v>0</v>
      </c>
      <c r="K103" s="282">
        <f>IF(Notes!$B$9="Domestic",I103, IF(Notes!$B$9="Commercial",J103))*$K$100</f>
        <v>0</v>
      </c>
      <c r="L103" s="283">
        <f>(SUM(O103:Q103)+(K103+SUM(M103:Q103))*(INDEX($U$100:$AB$100,MATCH(Notes!$C$16,$U$3:$AB$3,0))-100%))*$L$100</f>
        <v>0</v>
      </c>
      <c r="M103" s="286"/>
      <c r="N103" s="286"/>
      <c r="O103" s="285"/>
      <c r="P103" s="285"/>
      <c r="Q103" s="285"/>
      <c r="R103" s="278"/>
      <c r="S103" s="278"/>
      <c r="T103" s="278"/>
    </row>
    <row r="104" spans="1:28" hidden="1" outlineLevel="1" x14ac:dyDescent="0.25">
      <c r="A104" s="278"/>
      <c r="B104" s="279" t="str">
        <f t="shared" si="36"/>
        <v/>
      </c>
      <c r="C104" s="278"/>
      <c r="D104" s="278"/>
      <c r="E104" s="278"/>
      <c r="F104" s="278"/>
      <c r="G104" s="278"/>
      <c r="H104" s="290"/>
      <c r="I104" s="280">
        <f t="shared" si="37"/>
        <v>0</v>
      </c>
      <c r="J104" s="281">
        <f t="shared" si="38"/>
        <v>0</v>
      </c>
      <c r="K104" s="282">
        <f>IF(Notes!$B$9="Domestic",I104, IF(Notes!$B$9="Commercial",J104))*$K$100</f>
        <v>0</v>
      </c>
      <c r="L104" s="283">
        <f>(SUM(O104:Q104)+(K104+SUM(M104:Q104))*(INDEX($U$100:$AB$100,MATCH(Notes!$C$16,$U$3:$AB$3,0))-100%))*$L$100</f>
        <v>0</v>
      </c>
      <c r="M104" s="286"/>
      <c r="N104" s="286"/>
      <c r="O104" s="285"/>
      <c r="P104" s="285"/>
      <c r="Q104" s="285"/>
      <c r="R104" s="278"/>
      <c r="S104" s="278"/>
      <c r="T104" s="278"/>
    </row>
    <row r="105" spans="1:28" hidden="1" outlineLevel="1" x14ac:dyDescent="0.25">
      <c r="A105" s="278"/>
      <c r="B105" s="279" t="str">
        <f t="shared" si="36"/>
        <v/>
      </c>
      <c r="C105" s="278"/>
      <c r="D105" s="278"/>
      <c r="E105" s="278"/>
      <c r="F105" s="278"/>
      <c r="G105" s="278"/>
      <c r="H105" s="290"/>
      <c r="I105" s="280">
        <f>$I$2*H105</f>
        <v>0</v>
      </c>
      <c r="J105" s="281">
        <f t="shared" si="38"/>
        <v>0</v>
      </c>
      <c r="K105" s="282">
        <f>IF(Notes!$B$9="Domestic",I105, IF(Notes!$B$9="Commercial",J105))*$K$100</f>
        <v>0</v>
      </c>
      <c r="L105" s="283">
        <f>(SUM(O105:Q105)+(K105+SUM(M105:Q105))*(INDEX($U$100:$AB$100,MATCH(Notes!$C$16,$U$3:$AB$3,0))-100%))*$L$100</f>
        <v>0</v>
      </c>
      <c r="M105" s="286"/>
      <c r="N105" s="286"/>
      <c r="O105" s="285"/>
      <c r="P105" s="285"/>
      <c r="Q105" s="285"/>
      <c r="R105" s="278"/>
      <c r="S105" s="278"/>
      <c r="T105" s="278"/>
    </row>
    <row r="106" spans="1:28" hidden="1" outlineLevel="1" x14ac:dyDescent="0.25">
      <c r="A106" s="278"/>
      <c r="B106" s="279" t="str">
        <f t="shared" si="36"/>
        <v/>
      </c>
      <c r="C106" s="278"/>
      <c r="D106" s="278"/>
      <c r="E106" s="278"/>
      <c r="F106" s="278"/>
      <c r="G106" s="278"/>
      <c r="H106" s="290"/>
      <c r="I106" s="280">
        <f t="shared" si="37"/>
        <v>0</v>
      </c>
      <c r="J106" s="281">
        <f t="shared" si="38"/>
        <v>0</v>
      </c>
      <c r="K106" s="282">
        <f>IF(Notes!$B$9="Domestic",I106, IF(Notes!$B$9="Commercial",J106))*$K$100</f>
        <v>0</v>
      </c>
      <c r="L106" s="283">
        <f>(SUM(O106:Q106)+(K106+SUM(M106:Q106))*(INDEX($U$100:$AB$100,MATCH(Notes!$C$16,$U$3:$AB$3,0))-100%))*$L$100</f>
        <v>0</v>
      </c>
      <c r="M106" s="286"/>
      <c r="N106" s="286"/>
      <c r="O106" s="285"/>
      <c r="P106" s="285"/>
      <c r="Q106" s="285"/>
      <c r="R106" s="278"/>
      <c r="S106" s="278"/>
      <c r="T106" s="278"/>
    </row>
    <row r="107" spans="1:28" hidden="1" outlineLevel="1" x14ac:dyDescent="0.25">
      <c r="A107" s="278"/>
      <c r="B107" s="279" t="str">
        <f t="shared" si="36"/>
        <v/>
      </c>
      <c r="C107" s="278"/>
      <c r="D107" s="278"/>
      <c r="E107" s="278"/>
      <c r="F107" s="278"/>
      <c r="G107" s="278"/>
      <c r="H107" s="290"/>
      <c r="I107" s="280">
        <f t="shared" si="37"/>
        <v>0</v>
      </c>
      <c r="J107" s="281">
        <f t="shared" si="38"/>
        <v>0</v>
      </c>
      <c r="K107" s="282">
        <f>IF(Notes!$B$9="Domestic",I107, IF(Notes!$B$9="Commercial",J107))*$K$100</f>
        <v>0</v>
      </c>
      <c r="L107" s="283">
        <f>(SUM(O107:Q107)+(K107+SUM(M107:Q107))*(INDEX($U$100:$AB$100,MATCH(Notes!$C$16,$U$3:$AB$3,0))-100%))*$L$100</f>
        <v>0</v>
      </c>
      <c r="M107" s="286"/>
      <c r="N107" s="286"/>
      <c r="O107" s="285"/>
      <c r="P107" s="285"/>
      <c r="Q107" s="285"/>
      <c r="R107" s="278"/>
      <c r="S107" s="278"/>
      <c r="T107" s="278"/>
    </row>
    <row r="108" spans="1:28" hidden="1" outlineLevel="1" x14ac:dyDescent="0.25">
      <c r="A108" s="278"/>
      <c r="B108" s="279" t="str">
        <f t="shared" si="36"/>
        <v/>
      </c>
      <c r="C108" s="278"/>
      <c r="D108" s="278"/>
      <c r="E108" s="278"/>
      <c r="F108" s="278"/>
      <c r="G108" s="278"/>
      <c r="H108" s="290"/>
      <c r="I108" s="280">
        <f t="shared" si="37"/>
        <v>0</v>
      </c>
      <c r="J108" s="281">
        <f t="shared" si="38"/>
        <v>0</v>
      </c>
      <c r="K108" s="282">
        <f>IF(Notes!$B$9="Domestic",I108, IF(Notes!$B$9="Commercial",J108))*$K$100</f>
        <v>0</v>
      </c>
      <c r="L108" s="283">
        <f>(SUM(O108:Q108)+(K108+SUM(M108:Q108))*(INDEX($U$100:$AB$100,MATCH(Notes!$C$16,$U$3:$AB$3,0))-100%))*$L$100</f>
        <v>0</v>
      </c>
      <c r="M108" s="286"/>
      <c r="N108" s="286"/>
      <c r="O108" s="285"/>
      <c r="P108" s="285"/>
      <c r="Q108" s="285"/>
      <c r="R108" s="278"/>
      <c r="S108" s="278"/>
      <c r="T108" s="278"/>
    </row>
    <row r="109" spans="1:28" hidden="1" outlineLevel="1" x14ac:dyDescent="0.25">
      <c r="A109" s="278"/>
      <c r="B109" s="279" t="str">
        <f t="shared" si="36"/>
        <v/>
      </c>
      <c r="C109" s="278"/>
      <c r="D109" s="278"/>
      <c r="E109" s="278"/>
      <c r="F109" s="278"/>
      <c r="G109" s="278"/>
      <c r="H109" s="290"/>
      <c r="I109" s="280">
        <f t="shared" si="37"/>
        <v>0</v>
      </c>
      <c r="J109" s="281">
        <f t="shared" si="38"/>
        <v>0</v>
      </c>
      <c r="K109" s="282">
        <f>IF(Notes!$B$9="Domestic",I109, IF(Notes!$B$9="Commercial",J109))*$K$100</f>
        <v>0</v>
      </c>
      <c r="L109" s="283">
        <f>(SUM(O109:Q109)+(K109+SUM(M109:Q109))*(INDEX($U$100:$AB$100,MATCH(Notes!$C$16,$U$3:$AB$3,0))-100%))*$L$100</f>
        <v>0</v>
      </c>
      <c r="M109" s="286"/>
      <c r="N109" s="286"/>
      <c r="O109" s="285"/>
      <c r="P109" s="285"/>
      <c r="Q109" s="285"/>
      <c r="R109" s="278"/>
      <c r="S109" s="278"/>
      <c r="T109" s="278"/>
    </row>
    <row r="110" spans="1:28" hidden="1" outlineLevel="1" x14ac:dyDescent="0.25">
      <c r="A110" s="278"/>
      <c r="B110" s="279" t="str">
        <f t="shared" si="36"/>
        <v/>
      </c>
      <c r="C110" s="278"/>
      <c r="D110" s="278"/>
      <c r="E110" s="278"/>
      <c r="F110" s="278"/>
      <c r="G110" s="278"/>
      <c r="H110" s="290"/>
      <c r="I110" s="280">
        <f t="shared" si="37"/>
        <v>0</v>
      </c>
      <c r="J110" s="281">
        <f t="shared" si="38"/>
        <v>0</v>
      </c>
      <c r="K110" s="282">
        <f>IF(Notes!$B$9="Domestic",I110, IF(Notes!$B$9="Commercial",J110))*$K$100</f>
        <v>0</v>
      </c>
      <c r="L110" s="283">
        <f>(SUM(O110:Q110)+(K110+SUM(M110:Q110))*(INDEX($U$100:$AB$100,MATCH(Notes!$C$16,$U$3:$AB$3,0))-100%))*$L$100</f>
        <v>0</v>
      </c>
      <c r="M110" s="286"/>
      <c r="N110" s="286"/>
      <c r="O110" s="285"/>
      <c r="P110" s="285"/>
      <c r="Q110" s="285"/>
      <c r="R110" s="278"/>
      <c r="S110" s="278"/>
      <c r="T110" s="278"/>
    </row>
    <row r="111" spans="1:28" hidden="1" outlineLevel="1" x14ac:dyDescent="0.25">
      <c r="A111" s="284" t="str">
        <f>C111&amp;D111&amp;E111</f>
        <v/>
      </c>
      <c r="B111" s="284"/>
      <c r="C111" s="284"/>
      <c r="D111" s="284"/>
      <c r="E111" s="284"/>
      <c r="F111" s="284"/>
      <c r="G111" s="284"/>
      <c r="H111" s="284"/>
      <c r="I111" s="284"/>
      <c r="J111" s="284"/>
      <c r="K111" s="284"/>
      <c r="L111" s="284"/>
      <c r="M111" s="284"/>
      <c r="N111" s="284"/>
      <c r="O111" s="284"/>
      <c r="P111" s="284"/>
      <c r="Q111" s="284"/>
      <c r="R111" s="284"/>
      <c r="S111" s="284"/>
      <c r="T111" s="284"/>
    </row>
    <row r="112" spans="1:28" hidden="1" outlineLevel="1" x14ac:dyDescent="0.25"/>
    <row r="113" hidden="1" outlineLevel="1" x14ac:dyDescent="0.25"/>
    <row r="114" collapsed="1" x14ac:dyDescent="0.25"/>
  </sheetData>
  <sheetProtection algorithmName="SHA-512" hashValue="CbiVJEQ6TwP8FqlzfYuczZ1a3B/fvXdS030pPfrAcXsvQBaOBAC7yBZ9i54o/mPvAtz33qIK/byIltzmCbP6tg==" saltValue="cbuu8Qkszwg+qxoUHPTk9g=="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7D152-FD43-43E1-85D9-D8EEBCC681C9}">
  <sheetPr codeName="Sheet41">
    <tabColor rgb="FF00B050"/>
  </sheetPr>
  <dimension ref="A1:AM380"/>
  <sheetViews>
    <sheetView view="pageBreakPreview" zoomScale="70" zoomScaleNormal="100" zoomScaleSheetLayoutView="70"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11" width="10.5703125" style="36" hidden="1" customWidth="1" outlineLevel="1"/>
    <col min="12" max="12" width="11.42578125" style="36" hidden="1" customWidth="1" outlineLevel="1"/>
    <col min="13" max="13" width="15.5703125" style="110" customWidth="1" collapsed="1"/>
    <col min="14" max="14" width="15.5703125" style="36" customWidth="1"/>
    <col min="15" max="18" width="15.5703125" style="25" customWidth="1" outlineLevel="1"/>
    <col min="19" max="19" width="15.5703125" style="25" customWidth="1"/>
    <col min="20" max="20" width="21.42578125" style="108" bestFit="1" customWidth="1"/>
    <col min="21" max="21" width="1.140625" style="212" customWidth="1"/>
    <col min="22" max="25" width="15.5703125" style="25" customWidth="1" outlineLevel="1"/>
    <col min="26" max="26" width="17.5703125" style="25" customWidth="1" outlineLevel="1"/>
    <col min="27" max="28" width="18.5703125" style="88" customWidth="1" outlineLevel="1"/>
    <col min="29" max="34" width="18.5703125" style="25" customWidth="1" outlineLevel="1"/>
    <col min="35" max="36" width="18.5703125" style="25" customWidth="1"/>
    <col min="37" max="16384" width="8.85546875" style="25"/>
  </cols>
  <sheetData>
    <row r="1" spans="1:34" s="69" customFormat="1" ht="39.950000000000003" customHeight="1" thickBot="1" x14ac:dyDescent="0.3">
      <c r="A1" s="23" t="s">
        <v>0</v>
      </c>
      <c r="B1" s="63" t="s">
        <v>14</v>
      </c>
      <c r="C1" s="64" t="s">
        <v>826</v>
      </c>
      <c r="D1" s="64" t="s">
        <v>827</v>
      </c>
      <c r="E1" s="64" t="s">
        <v>828</v>
      </c>
      <c r="F1" s="307" t="s">
        <v>900</v>
      </c>
      <c r="G1" s="64" t="s">
        <v>5</v>
      </c>
      <c r="H1" s="64" t="s">
        <v>6</v>
      </c>
      <c r="I1" s="64" t="s">
        <v>7</v>
      </c>
      <c r="J1" s="64" t="s">
        <v>8</v>
      </c>
      <c r="K1" s="64" t="s">
        <v>9</v>
      </c>
      <c r="L1" s="64" t="s">
        <v>10</v>
      </c>
      <c r="M1" s="65" t="s">
        <v>1</v>
      </c>
      <c r="N1" s="66" t="s">
        <v>2</v>
      </c>
      <c r="O1" s="67" t="s">
        <v>26</v>
      </c>
      <c r="P1" s="67" t="s">
        <v>27</v>
      </c>
      <c r="Q1" s="111" t="s">
        <v>28</v>
      </c>
      <c r="R1" s="67" t="s">
        <v>34</v>
      </c>
      <c r="S1" s="67" t="s">
        <v>3</v>
      </c>
      <c r="T1" s="68" t="s">
        <v>4</v>
      </c>
      <c r="U1" s="215"/>
      <c r="V1" s="610" t="s">
        <v>626</v>
      </c>
      <c r="W1" s="611"/>
      <c r="X1" s="611"/>
      <c r="Y1" s="611"/>
      <c r="Z1" s="611"/>
      <c r="AA1" s="81" t="s">
        <v>22</v>
      </c>
      <c r="AB1" s="71"/>
      <c r="AC1" s="626" t="s">
        <v>155</v>
      </c>
      <c r="AD1" s="627"/>
      <c r="AE1" s="627"/>
      <c r="AF1" s="627"/>
      <c r="AG1" s="627"/>
      <c r="AH1" s="628"/>
    </row>
    <row r="2" spans="1:34" s="79" customFormat="1" ht="20.100000000000001" customHeight="1" thickBot="1" x14ac:dyDescent="0.4">
      <c r="A2" s="72">
        <f>Concrete!A2+1</f>
        <v>7</v>
      </c>
      <c r="B2" s="73" t="str" cm="1">
        <f t="array" aca="1" ref="B2" ca="1">UPPER(MID(CELL("filename",A1),FIND("]",CELL("filename",A1))+1,255))</f>
        <v>FORMWORK</v>
      </c>
      <c r="C2" s="74"/>
      <c r="D2" s="74"/>
      <c r="E2" s="74"/>
      <c r="F2" s="74"/>
      <c r="G2" s="74"/>
      <c r="H2" s="74"/>
      <c r="I2" s="74"/>
      <c r="J2" s="74"/>
      <c r="K2" s="74"/>
      <c r="L2" s="74"/>
      <c r="M2" s="75"/>
      <c r="N2" s="76"/>
      <c r="O2" s="77"/>
      <c r="P2" s="77"/>
      <c r="Q2" s="77"/>
      <c r="R2" s="77"/>
      <c r="S2" s="77"/>
      <c r="T2" s="78"/>
      <c r="U2" s="207"/>
      <c r="V2" s="221" t="s">
        <v>26</v>
      </c>
      <c r="W2" s="222" t="s">
        <v>27</v>
      </c>
      <c r="X2" s="222" t="s">
        <v>28</v>
      </c>
      <c r="Y2" s="222" t="s">
        <v>34</v>
      </c>
      <c r="Z2" s="222" t="s">
        <v>615</v>
      </c>
      <c r="AA2" s="80"/>
      <c r="AB2" s="71"/>
      <c r="AC2" s="81" t="s">
        <v>26</v>
      </c>
      <c r="AD2" s="81" t="s">
        <v>36</v>
      </c>
      <c r="AE2" s="81" t="s">
        <v>28</v>
      </c>
      <c r="AF2" s="81" t="s">
        <v>34</v>
      </c>
      <c r="AG2" s="81" t="s">
        <v>32</v>
      </c>
      <c r="AH2" s="81" t="s">
        <v>4</v>
      </c>
    </row>
    <row r="3" spans="1:34" s="79" customFormat="1" ht="21.75" thickBot="1" x14ac:dyDescent="0.4">
      <c r="A3" s="99"/>
      <c r="B3" s="622" t="str">
        <f>"TOTAL"</f>
        <v>TOTAL</v>
      </c>
      <c r="C3" s="623"/>
      <c r="D3" s="623"/>
      <c r="E3" s="623"/>
      <c r="F3" s="623"/>
      <c r="G3" s="623"/>
      <c r="H3" s="623"/>
      <c r="I3" s="623"/>
      <c r="J3" s="623"/>
      <c r="K3" s="623"/>
      <c r="L3" s="623"/>
      <c r="M3" s="623"/>
      <c r="N3" s="624"/>
      <c r="O3" s="100"/>
      <c r="P3" s="100"/>
      <c r="Q3" s="100"/>
      <c r="R3" s="100"/>
      <c r="S3" s="100"/>
      <c r="T3" s="101">
        <f ca="1">SUM(T$2:OFFSET(T3,-1,0))</f>
        <v>0</v>
      </c>
      <c r="U3" s="208"/>
      <c r="V3" s="100"/>
      <c r="W3" s="100"/>
      <c r="X3" s="100"/>
      <c r="Y3" s="100"/>
      <c r="Z3" s="100"/>
      <c r="AA3" s="102"/>
      <c r="AB3" s="103"/>
      <c r="AC3" s="104">
        <f t="shared" ref="AC3:AH3" si="0">SUM(AC1:AC2)</f>
        <v>0</v>
      </c>
      <c r="AD3" s="104">
        <f t="shared" si="0"/>
        <v>0</v>
      </c>
      <c r="AE3" s="104">
        <f t="shared" si="0"/>
        <v>0</v>
      </c>
      <c r="AF3" s="104">
        <f t="shared" si="0"/>
        <v>0</v>
      </c>
      <c r="AG3" s="104">
        <f t="shared" si="0"/>
        <v>0</v>
      </c>
      <c r="AH3" s="104">
        <f t="shared" si="0"/>
        <v>0</v>
      </c>
    </row>
    <row r="4" spans="1:34" s="94" customFormat="1" ht="21" x14ac:dyDescent="0.25">
      <c r="A4" s="105"/>
      <c r="B4" s="25"/>
      <c r="C4" s="36"/>
      <c r="D4" s="36"/>
      <c r="E4" s="36"/>
      <c r="F4" s="36"/>
      <c r="G4" s="36"/>
      <c r="H4" s="36"/>
      <c r="I4" s="36"/>
      <c r="J4" s="36"/>
      <c r="K4" s="36"/>
      <c r="L4" s="36"/>
      <c r="M4" s="106"/>
      <c r="N4" s="32"/>
      <c r="O4" s="25"/>
      <c r="P4" s="25"/>
      <c r="Q4" s="25"/>
      <c r="R4" s="25"/>
      <c r="S4" s="92"/>
      <c r="T4" s="107"/>
      <c r="U4" s="107"/>
      <c r="V4" s="107"/>
      <c r="W4" s="26"/>
      <c r="X4" s="26"/>
      <c r="Y4" s="26"/>
      <c r="Z4" s="26"/>
      <c r="AA4" s="88"/>
      <c r="AB4" s="88"/>
      <c r="AC4" s="81" t="s">
        <v>26</v>
      </c>
      <c r="AD4" s="81" t="s">
        <v>36</v>
      </c>
      <c r="AE4" s="81" t="s">
        <v>28</v>
      </c>
      <c r="AF4" s="81" t="s">
        <v>34</v>
      </c>
      <c r="AG4" s="81" t="s">
        <v>32</v>
      </c>
      <c r="AH4" s="81" t="s">
        <v>4</v>
      </c>
    </row>
    <row r="5" spans="1:34" ht="15.75" x14ac:dyDescent="0.25">
      <c r="M5" s="106"/>
      <c r="U5" s="107"/>
      <c r="V5" s="107"/>
      <c r="W5" s="26"/>
      <c r="X5" s="26"/>
      <c r="Y5" s="26"/>
      <c r="Z5" s="26"/>
    </row>
    <row r="6" spans="1:34" ht="15.75" x14ac:dyDescent="0.25">
      <c r="U6" s="107"/>
      <c r="V6" s="107"/>
      <c r="W6" s="26"/>
      <c r="X6" s="26"/>
      <c r="Y6" s="26"/>
      <c r="Z6" s="26"/>
    </row>
    <row r="7" spans="1:34" ht="15.75" x14ac:dyDescent="0.25">
      <c r="K7" s="109"/>
      <c r="U7" s="107"/>
      <c r="V7" s="107"/>
      <c r="W7" s="26"/>
      <c r="X7" s="26"/>
      <c r="Y7" s="26"/>
      <c r="Z7" s="26"/>
    </row>
    <row r="8" spans="1:34" ht="15.75" x14ac:dyDescent="0.25">
      <c r="T8" s="108">
        <f ca="1">T3-AH3</f>
        <v>0</v>
      </c>
      <c r="U8" s="107"/>
      <c r="V8" s="107"/>
      <c r="W8" s="26"/>
      <c r="X8" s="26"/>
      <c r="Y8" s="26"/>
      <c r="Z8" s="26"/>
    </row>
    <row r="9" spans="1:34" ht="15.75" x14ac:dyDescent="0.25">
      <c r="U9" s="107"/>
      <c r="V9" s="107"/>
      <c r="W9" s="26"/>
      <c r="X9" s="26"/>
      <c r="Y9" s="26"/>
      <c r="Z9" s="26"/>
    </row>
    <row r="10" spans="1:34" ht="15.75" x14ac:dyDescent="0.25">
      <c r="U10" s="107"/>
      <c r="V10" s="107"/>
      <c r="W10" s="26"/>
      <c r="X10" s="26"/>
      <c r="Y10" s="26"/>
      <c r="Z10" s="26"/>
    </row>
    <row r="11" spans="1:34" ht="15.75" x14ac:dyDescent="0.25">
      <c r="U11" s="107"/>
      <c r="V11" s="107"/>
      <c r="W11" s="26"/>
      <c r="X11" s="26"/>
      <c r="Y11" s="26"/>
      <c r="Z11" s="26"/>
    </row>
    <row r="12" spans="1:34" ht="15.75" x14ac:dyDescent="0.25">
      <c r="U12" s="107"/>
      <c r="V12" s="107"/>
      <c r="W12" s="26"/>
      <c r="X12" s="26"/>
      <c r="Y12" s="26"/>
      <c r="Z12" s="26"/>
    </row>
    <row r="13" spans="1:34" ht="15.75" x14ac:dyDescent="0.25">
      <c r="U13" s="107"/>
      <c r="V13" s="107"/>
      <c r="W13" s="26"/>
      <c r="X13" s="26"/>
      <c r="Y13" s="26"/>
      <c r="Z13" s="26"/>
    </row>
    <row r="14" spans="1:34" ht="15.75" x14ac:dyDescent="0.25">
      <c r="U14" s="107"/>
      <c r="V14" s="107"/>
      <c r="W14" s="26"/>
      <c r="X14" s="26"/>
      <c r="Y14" s="26"/>
      <c r="Z14" s="26"/>
    </row>
    <row r="15" spans="1:34" ht="15.75" x14ac:dyDescent="0.25">
      <c r="U15" s="107"/>
      <c r="V15" s="107"/>
      <c r="W15" s="26"/>
      <c r="X15" s="26"/>
      <c r="Y15" s="26"/>
      <c r="Z15" s="26"/>
    </row>
    <row r="16" spans="1:34" ht="15.75" x14ac:dyDescent="0.25">
      <c r="U16" s="107"/>
      <c r="V16" s="107"/>
      <c r="W16" s="26"/>
      <c r="X16" s="26"/>
      <c r="Y16" s="26"/>
      <c r="Z16" s="26"/>
    </row>
    <row r="17" spans="1:39" ht="15.75" x14ac:dyDescent="0.25">
      <c r="U17" s="107"/>
      <c r="V17" s="107"/>
      <c r="W17" s="26"/>
      <c r="X17" s="26"/>
      <c r="Y17" s="26"/>
      <c r="Z17" s="26"/>
    </row>
    <row r="18" spans="1:39" s="110" customFormat="1" ht="15.75" x14ac:dyDescent="0.25">
      <c r="A18" s="25"/>
      <c r="B18" s="25"/>
      <c r="C18" s="36"/>
      <c r="D18" s="36"/>
      <c r="E18" s="36"/>
      <c r="F18" s="36"/>
      <c r="G18" s="36"/>
      <c r="H18" s="36"/>
      <c r="I18" s="36"/>
      <c r="J18" s="36"/>
      <c r="K18" s="36"/>
      <c r="L18" s="36"/>
      <c r="N18" s="36"/>
      <c r="O18" s="25"/>
      <c r="P18" s="25"/>
      <c r="Q18" s="25"/>
      <c r="R18" s="25"/>
      <c r="S18" s="25"/>
      <c r="T18" s="108"/>
      <c r="U18" s="107"/>
      <c r="V18" s="107"/>
      <c r="W18" s="26"/>
      <c r="X18" s="26"/>
      <c r="Y18" s="26"/>
      <c r="Z18" s="26"/>
      <c r="AA18" s="88"/>
      <c r="AB18" s="88"/>
      <c r="AC18" s="25"/>
      <c r="AD18" s="25"/>
      <c r="AE18" s="25"/>
      <c r="AF18" s="25"/>
      <c r="AG18" s="25"/>
      <c r="AH18" s="25"/>
      <c r="AI18" s="25"/>
      <c r="AJ18" s="25"/>
      <c r="AK18" s="25"/>
      <c r="AL18" s="25"/>
      <c r="AM18" s="25"/>
    </row>
    <row r="19" spans="1:39" s="110" customFormat="1" ht="15.75" x14ac:dyDescent="0.25">
      <c r="A19" s="25"/>
      <c r="B19" s="25"/>
      <c r="C19" s="36"/>
      <c r="D19" s="36"/>
      <c r="E19" s="36"/>
      <c r="F19" s="36"/>
      <c r="G19" s="36"/>
      <c r="H19" s="36"/>
      <c r="I19" s="36"/>
      <c r="J19" s="36"/>
      <c r="K19" s="36"/>
      <c r="L19" s="36"/>
      <c r="N19" s="36"/>
      <c r="O19" s="25"/>
      <c r="P19" s="25"/>
      <c r="Q19" s="25"/>
      <c r="R19" s="25"/>
      <c r="S19" s="25"/>
      <c r="T19" s="108"/>
      <c r="U19" s="107"/>
      <c r="V19" s="107"/>
      <c r="W19" s="26"/>
      <c r="X19" s="26"/>
      <c r="Y19" s="26"/>
      <c r="Z19" s="26"/>
      <c r="AA19" s="88"/>
      <c r="AB19" s="88"/>
      <c r="AC19" s="25"/>
      <c r="AD19" s="25"/>
      <c r="AE19" s="25"/>
      <c r="AF19" s="25"/>
      <c r="AG19" s="25"/>
      <c r="AH19" s="25"/>
      <c r="AI19" s="25"/>
      <c r="AJ19" s="25"/>
      <c r="AK19" s="25"/>
      <c r="AL19" s="25"/>
      <c r="AM19" s="25"/>
    </row>
    <row r="20" spans="1:39" s="110" customFormat="1" ht="15.75" x14ac:dyDescent="0.25">
      <c r="A20" s="25"/>
      <c r="B20" s="25"/>
      <c r="C20" s="36"/>
      <c r="D20" s="36"/>
      <c r="E20" s="36"/>
      <c r="F20" s="36"/>
      <c r="G20" s="36"/>
      <c r="H20" s="36"/>
      <c r="I20" s="36"/>
      <c r="J20" s="36"/>
      <c r="K20" s="36"/>
      <c r="L20" s="36"/>
      <c r="N20" s="36"/>
      <c r="O20" s="25"/>
      <c r="P20" s="25"/>
      <c r="Q20" s="25"/>
      <c r="R20" s="25"/>
      <c r="S20" s="25"/>
      <c r="T20" s="108"/>
      <c r="U20" s="107"/>
      <c r="V20" s="107"/>
      <c r="W20" s="26"/>
      <c r="X20" s="26"/>
      <c r="Y20" s="26"/>
      <c r="Z20" s="26"/>
      <c r="AA20" s="88"/>
      <c r="AB20" s="88"/>
      <c r="AC20" s="25"/>
      <c r="AD20" s="25"/>
      <c r="AE20" s="25"/>
      <c r="AF20" s="25"/>
      <c r="AG20" s="25"/>
      <c r="AH20" s="25"/>
      <c r="AI20" s="25"/>
      <c r="AJ20" s="25"/>
      <c r="AK20" s="25"/>
      <c r="AL20" s="25"/>
      <c r="AM20" s="25"/>
    </row>
    <row r="21" spans="1:39" s="110" customFormat="1" ht="15.75" x14ac:dyDescent="0.25">
      <c r="A21" s="25"/>
      <c r="B21" s="25"/>
      <c r="C21" s="36"/>
      <c r="D21" s="36"/>
      <c r="E21" s="36"/>
      <c r="F21" s="36"/>
      <c r="G21" s="36"/>
      <c r="H21" s="36"/>
      <c r="I21" s="36"/>
      <c r="J21" s="36"/>
      <c r="K21" s="36"/>
      <c r="L21" s="36"/>
      <c r="N21" s="36"/>
      <c r="O21" s="25"/>
      <c r="P21" s="25"/>
      <c r="Q21" s="25"/>
      <c r="R21" s="25"/>
      <c r="S21" s="25"/>
      <c r="T21" s="108"/>
      <c r="U21" s="107"/>
      <c r="V21" s="107"/>
      <c r="W21" s="26"/>
      <c r="X21" s="26"/>
      <c r="Y21" s="26"/>
      <c r="Z21" s="26"/>
      <c r="AA21" s="88"/>
      <c r="AB21" s="88"/>
      <c r="AC21" s="25"/>
      <c r="AD21" s="25"/>
      <c r="AE21" s="25"/>
      <c r="AF21" s="25"/>
      <c r="AG21" s="25"/>
      <c r="AH21" s="25"/>
      <c r="AI21" s="25"/>
      <c r="AJ21" s="25"/>
      <c r="AK21" s="25"/>
      <c r="AL21" s="25"/>
      <c r="AM21" s="25"/>
    </row>
    <row r="22" spans="1:39" s="110" customFormat="1" ht="15.75" x14ac:dyDescent="0.25">
      <c r="A22" s="25"/>
      <c r="B22" s="25"/>
      <c r="C22" s="36"/>
      <c r="D22" s="36"/>
      <c r="E22" s="36"/>
      <c r="F22" s="36"/>
      <c r="G22" s="36"/>
      <c r="H22" s="36"/>
      <c r="I22" s="36"/>
      <c r="J22" s="36"/>
      <c r="K22" s="36"/>
      <c r="L22" s="36"/>
      <c r="N22" s="36"/>
      <c r="O22" s="25"/>
      <c r="P22" s="25"/>
      <c r="Q22" s="25"/>
      <c r="R22" s="25"/>
      <c r="S22" s="25"/>
      <c r="T22" s="108"/>
      <c r="U22" s="107"/>
      <c r="V22" s="107"/>
      <c r="W22" s="26"/>
      <c r="X22" s="26"/>
      <c r="Y22" s="26"/>
      <c r="Z22" s="26"/>
      <c r="AA22" s="88"/>
      <c r="AB22" s="88"/>
      <c r="AC22" s="25"/>
      <c r="AD22" s="25"/>
      <c r="AE22" s="25"/>
      <c r="AF22" s="25"/>
      <c r="AG22" s="25"/>
      <c r="AH22" s="25"/>
      <c r="AI22" s="25"/>
      <c r="AJ22" s="25"/>
      <c r="AK22" s="25"/>
      <c r="AL22" s="25"/>
      <c r="AM22" s="25"/>
    </row>
    <row r="23" spans="1:39" s="110" customFormat="1" ht="15.75" x14ac:dyDescent="0.25">
      <c r="A23" s="25"/>
      <c r="B23" s="25"/>
      <c r="C23" s="36"/>
      <c r="D23" s="36"/>
      <c r="E23" s="36"/>
      <c r="F23" s="36"/>
      <c r="G23" s="36"/>
      <c r="H23" s="36"/>
      <c r="I23" s="36"/>
      <c r="J23" s="36"/>
      <c r="K23" s="36"/>
      <c r="L23" s="36"/>
      <c r="N23" s="36"/>
      <c r="O23" s="25"/>
      <c r="P23" s="25"/>
      <c r="Q23" s="25"/>
      <c r="R23" s="25"/>
      <c r="S23" s="25"/>
      <c r="T23" s="108"/>
      <c r="U23" s="107"/>
      <c r="V23" s="107"/>
      <c r="W23" s="26"/>
      <c r="X23" s="26"/>
      <c r="Y23" s="26"/>
      <c r="Z23" s="26"/>
      <c r="AA23" s="88"/>
      <c r="AB23" s="88"/>
      <c r="AC23" s="25"/>
      <c r="AD23" s="25"/>
      <c r="AE23" s="25"/>
      <c r="AF23" s="25"/>
      <c r="AG23" s="25"/>
      <c r="AH23" s="25"/>
      <c r="AI23" s="25"/>
      <c r="AJ23" s="25"/>
      <c r="AK23" s="25"/>
      <c r="AL23" s="25"/>
      <c r="AM23" s="25"/>
    </row>
    <row r="24" spans="1:39" s="110" customFormat="1" ht="15.75" x14ac:dyDescent="0.25">
      <c r="A24" s="25"/>
      <c r="B24" s="25"/>
      <c r="C24" s="36"/>
      <c r="D24" s="36"/>
      <c r="E24" s="36"/>
      <c r="F24" s="36"/>
      <c r="G24" s="36"/>
      <c r="H24" s="36"/>
      <c r="I24" s="36"/>
      <c r="J24" s="36"/>
      <c r="K24" s="36"/>
      <c r="L24" s="36"/>
      <c r="N24" s="36"/>
      <c r="O24" s="25"/>
      <c r="P24" s="25"/>
      <c r="Q24" s="25"/>
      <c r="R24" s="25"/>
      <c r="S24" s="25"/>
      <c r="T24" s="108"/>
      <c r="U24" s="107"/>
      <c r="V24" s="107"/>
      <c r="W24" s="26"/>
      <c r="X24" s="26"/>
      <c r="Y24" s="26"/>
      <c r="Z24" s="26"/>
      <c r="AA24" s="88"/>
      <c r="AB24" s="88"/>
      <c r="AC24" s="25"/>
      <c r="AD24" s="25"/>
      <c r="AE24" s="25"/>
      <c r="AF24" s="25"/>
      <c r="AG24" s="25"/>
      <c r="AH24" s="25"/>
      <c r="AI24" s="25"/>
      <c r="AJ24" s="25"/>
      <c r="AK24" s="25"/>
      <c r="AL24" s="25"/>
      <c r="AM24" s="25"/>
    </row>
    <row r="25" spans="1:39" s="110" customFormat="1" ht="15.75" x14ac:dyDescent="0.25">
      <c r="A25" s="25"/>
      <c r="B25" s="25"/>
      <c r="C25" s="36"/>
      <c r="D25" s="36"/>
      <c r="E25" s="36"/>
      <c r="F25" s="36"/>
      <c r="G25" s="36"/>
      <c r="H25" s="36"/>
      <c r="I25" s="36"/>
      <c r="J25" s="36"/>
      <c r="K25" s="36"/>
      <c r="L25" s="36"/>
      <c r="N25" s="36"/>
      <c r="O25" s="25"/>
      <c r="P25" s="25"/>
      <c r="Q25" s="25"/>
      <c r="R25" s="25"/>
      <c r="S25" s="25"/>
      <c r="T25" s="108"/>
      <c r="U25" s="107"/>
      <c r="V25" s="107"/>
      <c r="W25" s="26"/>
      <c r="X25" s="26"/>
      <c r="Y25" s="26"/>
      <c r="Z25" s="26"/>
      <c r="AA25" s="88"/>
      <c r="AB25" s="88"/>
      <c r="AC25" s="25"/>
      <c r="AD25" s="25"/>
      <c r="AE25" s="25"/>
      <c r="AF25" s="25"/>
      <c r="AG25" s="25"/>
      <c r="AH25" s="25"/>
      <c r="AI25" s="25"/>
      <c r="AJ25" s="25"/>
      <c r="AK25" s="25"/>
      <c r="AL25" s="25"/>
      <c r="AM25" s="25"/>
    </row>
    <row r="26" spans="1:39" s="110" customFormat="1" ht="15.75" x14ac:dyDescent="0.25">
      <c r="A26" s="25"/>
      <c r="B26" s="25"/>
      <c r="C26" s="36"/>
      <c r="D26" s="36"/>
      <c r="E26" s="36"/>
      <c r="F26" s="36"/>
      <c r="G26" s="36"/>
      <c r="H26" s="36"/>
      <c r="I26" s="36"/>
      <c r="J26" s="36"/>
      <c r="K26" s="36"/>
      <c r="L26" s="36"/>
      <c r="N26" s="36"/>
      <c r="O26" s="25"/>
      <c r="P26" s="25"/>
      <c r="Q26" s="25"/>
      <c r="R26" s="25"/>
      <c r="S26" s="25"/>
      <c r="T26" s="108"/>
      <c r="U26" s="107"/>
      <c r="V26" s="107"/>
      <c r="W26" s="26"/>
      <c r="X26" s="26"/>
      <c r="Y26" s="26"/>
      <c r="Z26" s="26"/>
      <c r="AA26" s="88"/>
      <c r="AB26" s="88"/>
      <c r="AC26" s="25"/>
      <c r="AD26" s="25"/>
      <c r="AE26" s="25"/>
      <c r="AF26" s="25"/>
      <c r="AG26" s="25"/>
      <c r="AH26" s="25"/>
      <c r="AI26" s="25"/>
      <c r="AJ26" s="25"/>
      <c r="AK26" s="25"/>
      <c r="AL26" s="25"/>
      <c r="AM26" s="25"/>
    </row>
    <row r="27" spans="1:39" s="110" customFormat="1" ht="15.75" x14ac:dyDescent="0.25">
      <c r="A27" s="25"/>
      <c r="B27" s="25"/>
      <c r="C27" s="36"/>
      <c r="D27" s="36"/>
      <c r="E27" s="36"/>
      <c r="F27" s="36"/>
      <c r="G27" s="36"/>
      <c r="H27" s="36"/>
      <c r="I27" s="36"/>
      <c r="J27" s="36"/>
      <c r="K27" s="36"/>
      <c r="L27" s="36"/>
      <c r="N27" s="36"/>
      <c r="O27" s="25"/>
      <c r="P27" s="25"/>
      <c r="Q27" s="25"/>
      <c r="R27" s="25"/>
      <c r="S27" s="25"/>
      <c r="T27" s="108"/>
      <c r="U27" s="107"/>
      <c r="V27" s="107"/>
      <c r="W27" s="26"/>
      <c r="X27" s="26"/>
      <c r="Y27" s="26"/>
      <c r="Z27" s="26"/>
      <c r="AA27" s="88"/>
      <c r="AB27" s="88"/>
      <c r="AC27" s="25"/>
      <c r="AD27" s="25"/>
      <c r="AE27" s="25"/>
      <c r="AF27" s="25"/>
      <c r="AG27" s="25"/>
      <c r="AH27" s="25"/>
      <c r="AI27" s="25"/>
      <c r="AJ27" s="25"/>
      <c r="AK27" s="25"/>
      <c r="AL27" s="25"/>
      <c r="AM27" s="25"/>
    </row>
    <row r="28" spans="1:39" s="110" customFormat="1" ht="15.75" x14ac:dyDescent="0.25">
      <c r="A28" s="25"/>
      <c r="B28" s="25"/>
      <c r="C28" s="36"/>
      <c r="D28" s="36"/>
      <c r="E28" s="36"/>
      <c r="F28" s="36"/>
      <c r="G28" s="36"/>
      <c r="H28" s="36"/>
      <c r="I28" s="36"/>
      <c r="J28" s="36"/>
      <c r="K28" s="36"/>
      <c r="L28" s="36"/>
      <c r="N28" s="36"/>
      <c r="O28" s="25"/>
      <c r="P28" s="25"/>
      <c r="Q28" s="25"/>
      <c r="R28" s="25"/>
      <c r="S28" s="25"/>
      <c r="T28" s="108"/>
      <c r="U28" s="107"/>
      <c r="V28" s="107"/>
      <c r="W28" s="26"/>
      <c r="X28" s="26"/>
      <c r="Y28" s="26"/>
      <c r="Z28" s="26"/>
      <c r="AA28" s="88"/>
      <c r="AB28" s="88"/>
      <c r="AC28" s="25"/>
      <c r="AD28" s="25"/>
      <c r="AE28" s="25"/>
      <c r="AF28" s="25"/>
      <c r="AG28" s="25"/>
      <c r="AH28" s="25"/>
      <c r="AI28" s="25"/>
      <c r="AJ28" s="25"/>
      <c r="AK28" s="25"/>
      <c r="AL28" s="25"/>
      <c r="AM28" s="25"/>
    </row>
    <row r="29" spans="1:39" s="110" customFormat="1" ht="15.75" x14ac:dyDescent="0.25">
      <c r="A29" s="25"/>
      <c r="B29" s="25"/>
      <c r="C29" s="36"/>
      <c r="D29" s="36"/>
      <c r="E29" s="36"/>
      <c r="F29" s="36"/>
      <c r="G29" s="36"/>
      <c r="H29" s="36"/>
      <c r="I29" s="36"/>
      <c r="J29" s="36"/>
      <c r="K29" s="36"/>
      <c r="L29" s="36"/>
      <c r="N29" s="36"/>
      <c r="O29" s="25"/>
      <c r="P29" s="25"/>
      <c r="Q29" s="25"/>
      <c r="R29" s="25"/>
      <c r="S29" s="25"/>
      <c r="T29" s="108"/>
      <c r="U29" s="107"/>
      <c r="V29" s="107"/>
      <c r="W29" s="26"/>
      <c r="X29" s="26"/>
      <c r="Y29" s="26"/>
      <c r="Z29" s="26"/>
      <c r="AA29" s="88"/>
      <c r="AB29" s="88"/>
      <c r="AC29" s="25"/>
      <c r="AD29" s="25"/>
      <c r="AE29" s="25"/>
      <c r="AF29" s="25"/>
      <c r="AG29" s="25"/>
      <c r="AH29" s="25"/>
      <c r="AI29" s="25"/>
      <c r="AJ29" s="25"/>
      <c r="AK29" s="25"/>
      <c r="AL29" s="25"/>
      <c r="AM29" s="25"/>
    </row>
    <row r="30" spans="1:39" s="110" customFormat="1" ht="15.75" x14ac:dyDescent="0.25">
      <c r="A30" s="25"/>
      <c r="B30" s="25"/>
      <c r="C30" s="36"/>
      <c r="D30" s="36"/>
      <c r="E30" s="36"/>
      <c r="F30" s="36"/>
      <c r="G30" s="36"/>
      <c r="H30" s="36"/>
      <c r="I30" s="36"/>
      <c r="J30" s="36"/>
      <c r="K30" s="36"/>
      <c r="L30" s="36"/>
      <c r="N30" s="36"/>
      <c r="O30" s="25"/>
      <c r="P30" s="25"/>
      <c r="Q30" s="25"/>
      <c r="R30" s="25"/>
      <c r="S30" s="25"/>
      <c r="T30" s="108"/>
      <c r="U30" s="107"/>
      <c r="V30" s="107"/>
      <c r="W30" s="26"/>
      <c r="X30" s="26"/>
      <c r="Y30" s="26"/>
      <c r="Z30" s="26"/>
      <c r="AA30" s="88"/>
      <c r="AB30" s="88"/>
      <c r="AC30" s="25"/>
      <c r="AD30" s="25"/>
      <c r="AE30" s="25"/>
      <c r="AF30" s="25"/>
      <c r="AG30" s="25"/>
      <c r="AH30" s="25"/>
      <c r="AI30" s="25"/>
      <c r="AJ30" s="25"/>
      <c r="AK30" s="25"/>
      <c r="AL30" s="25"/>
      <c r="AM30" s="25"/>
    </row>
    <row r="31" spans="1:39" ht="15.75" x14ac:dyDescent="0.25">
      <c r="U31" s="107"/>
      <c r="V31" s="107"/>
      <c r="W31" s="26"/>
      <c r="X31" s="26"/>
      <c r="Y31" s="26"/>
      <c r="Z31" s="26"/>
    </row>
    <row r="32" spans="1:39" ht="15.75" x14ac:dyDescent="0.25">
      <c r="U32" s="107"/>
      <c r="V32" s="107"/>
      <c r="W32" s="26"/>
      <c r="X32" s="26"/>
      <c r="Y32" s="26"/>
      <c r="Z32" s="26"/>
    </row>
    <row r="33" spans="21:26" ht="15.75" x14ac:dyDescent="0.25">
      <c r="U33" s="107"/>
      <c r="V33" s="107"/>
      <c r="W33" s="26"/>
      <c r="X33" s="26"/>
      <c r="Y33" s="26"/>
      <c r="Z33" s="26"/>
    </row>
    <row r="34" spans="21:26" ht="15.75" x14ac:dyDescent="0.25">
      <c r="U34" s="107"/>
      <c r="V34" s="107"/>
      <c r="W34" s="26"/>
      <c r="X34" s="26"/>
      <c r="Y34" s="26"/>
      <c r="Z34" s="26"/>
    </row>
    <row r="35" spans="21:26" ht="15.75" x14ac:dyDescent="0.25">
      <c r="U35" s="107"/>
      <c r="V35" s="107"/>
      <c r="W35" s="26"/>
      <c r="X35" s="26"/>
      <c r="Y35" s="26"/>
      <c r="Z35" s="26"/>
    </row>
    <row r="36" spans="21:26" ht="15.75" x14ac:dyDescent="0.25">
      <c r="U36" s="107"/>
      <c r="V36" s="107"/>
      <c r="W36" s="26"/>
      <c r="X36" s="26"/>
      <c r="Y36" s="26"/>
      <c r="Z36" s="26"/>
    </row>
    <row r="37" spans="21:26" ht="15.75" x14ac:dyDescent="0.25">
      <c r="U37" s="107"/>
      <c r="V37" s="107"/>
      <c r="W37" s="26"/>
      <c r="X37" s="26"/>
      <c r="Y37" s="26"/>
      <c r="Z37" s="26"/>
    </row>
    <row r="38" spans="21:26" ht="15.75" x14ac:dyDescent="0.25">
      <c r="U38" s="107"/>
      <c r="V38" s="107"/>
      <c r="W38" s="26"/>
      <c r="X38" s="26"/>
      <c r="Y38" s="26"/>
      <c r="Z38" s="26"/>
    </row>
    <row r="39" spans="21:26" ht="15.75" x14ac:dyDescent="0.25">
      <c r="U39" s="107"/>
      <c r="V39" s="107"/>
      <c r="W39" s="26"/>
      <c r="X39" s="26"/>
      <c r="Y39" s="26"/>
      <c r="Z39" s="26"/>
    </row>
    <row r="40" spans="21:26" ht="15.75" x14ac:dyDescent="0.25">
      <c r="U40" s="107"/>
      <c r="V40" s="107"/>
      <c r="W40" s="26"/>
      <c r="X40" s="26"/>
      <c r="Y40" s="26"/>
      <c r="Z40" s="26"/>
    </row>
    <row r="41" spans="21:26" ht="15.75" x14ac:dyDescent="0.25">
      <c r="U41" s="107"/>
      <c r="V41" s="107"/>
      <c r="W41" s="26"/>
      <c r="X41" s="26"/>
      <c r="Y41" s="26"/>
      <c r="Z41" s="26"/>
    </row>
    <row r="42" spans="21:26" ht="15.75" x14ac:dyDescent="0.25">
      <c r="U42" s="107"/>
      <c r="V42" s="107"/>
      <c r="W42" s="26"/>
      <c r="X42" s="26"/>
      <c r="Y42" s="26"/>
      <c r="Z42" s="26"/>
    </row>
    <row r="43" spans="21:26" ht="15.75" x14ac:dyDescent="0.25">
      <c r="U43" s="107"/>
      <c r="V43" s="107"/>
      <c r="W43" s="26"/>
      <c r="X43" s="26"/>
      <c r="Y43" s="26"/>
      <c r="Z43" s="26"/>
    </row>
    <row r="44" spans="21:26" ht="15.75" x14ac:dyDescent="0.25">
      <c r="U44" s="107"/>
      <c r="V44" s="107"/>
      <c r="W44" s="26"/>
      <c r="X44" s="26"/>
      <c r="Y44" s="26"/>
      <c r="Z44" s="26"/>
    </row>
    <row r="45" spans="21:26" ht="15.75" x14ac:dyDescent="0.25">
      <c r="U45" s="107"/>
      <c r="V45" s="107"/>
      <c r="W45" s="26"/>
      <c r="X45" s="26"/>
      <c r="Y45" s="26"/>
      <c r="Z45" s="26"/>
    </row>
    <row r="46" spans="21:26" ht="15.75" x14ac:dyDescent="0.25">
      <c r="U46" s="107"/>
      <c r="V46" s="107"/>
      <c r="W46" s="26"/>
      <c r="X46" s="26"/>
      <c r="Y46" s="26"/>
      <c r="Z46" s="26"/>
    </row>
    <row r="47" spans="21:26" ht="15.75" x14ac:dyDescent="0.25">
      <c r="U47" s="107"/>
      <c r="V47" s="107"/>
      <c r="W47" s="26"/>
      <c r="X47" s="26"/>
      <c r="Y47" s="26"/>
      <c r="Z47" s="26"/>
    </row>
    <row r="48" spans="21:26" ht="15.75" x14ac:dyDescent="0.25">
      <c r="U48" s="107"/>
      <c r="V48" s="107"/>
      <c r="W48" s="26"/>
      <c r="X48" s="26"/>
      <c r="Y48" s="26"/>
      <c r="Z48" s="26"/>
    </row>
    <row r="49" spans="21:26" ht="15.75" x14ac:dyDescent="0.25">
      <c r="U49" s="107"/>
      <c r="V49" s="107"/>
      <c r="W49" s="26"/>
      <c r="X49" s="26"/>
      <c r="Y49" s="26"/>
      <c r="Z49" s="26"/>
    </row>
    <row r="50" spans="21:26" ht="15.75" x14ac:dyDescent="0.25">
      <c r="U50" s="107"/>
      <c r="V50" s="107"/>
      <c r="W50" s="26"/>
      <c r="X50" s="26"/>
      <c r="Y50" s="26"/>
      <c r="Z50" s="26"/>
    </row>
    <row r="51" spans="21:26" ht="15.75" x14ac:dyDescent="0.25">
      <c r="U51" s="107"/>
      <c r="V51" s="107"/>
      <c r="W51" s="26"/>
      <c r="X51" s="26"/>
      <c r="Y51" s="26"/>
      <c r="Z51" s="26"/>
    </row>
    <row r="52" spans="21:26" ht="15.75" x14ac:dyDescent="0.25">
      <c r="U52" s="107"/>
      <c r="V52" s="107"/>
      <c r="W52" s="26"/>
      <c r="X52" s="26"/>
      <c r="Y52" s="26"/>
      <c r="Z52" s="26"/>
    </row>
    <row r="53" spans="21:26" ht="15.75" x14ac:dyDescent="0.25">
      <c r="U53" s="107"/>
      <c r="V53" s="107"/>
      <c r="W53" s="26"/>
      <c r="X53" s="26"/>
      <c r="Y53" s="26"/>
      <c r="Z53" s="26"/>
    </row>
    <row r="54" spans="21:26" ht="15.75" x14ac:dyDescent="0.25">
      <c r="U54" s="107"/>
      <c r="V54" s="107"/>
      <c r="W54" s="26"/>
      <c r="X54" s="26"/>
      <c r="Y54" s="26"/>
      <c r="Z54" s="26"/>
    </row>
    <row r="55" spans="21:26" ht="15.75" x14ac:dyDescent="0.25">
      <c r="U55" s="107"/>
      <c r="V55" s="107"/>
      <c r="W55" s="26"/>
      <c r="X55" s="26"/>
      <c r="Y55" s="26"/>
      <c r="Z55" s="26"/>
    </row>
    <row r="56" spans="21:26" ht="15.75" x14ac:dyDescent="0.25">
      <c r="U56" s="107"/>
      <c r="V56" s="107"/>
      <c r="W56" s="26"/>
      <c r="X56" s="26"/>
      <c r="Y56" s="26"/>
      <c r="Z56" s="26"/>
    </row>
    <row r="57" spans="21:26" ht="15.75" x14ac:dyDescent="0.25">
      <c r="U57" s="107"/>
      <c r="V57" s="107"/>
      <c r="W57" s="26"/>
      <c r="X57" s="26"/>
      <c r="Y57" s="26"/>
      <c r="Z57" s="26"/>
    </row>
    <row r="58" spans="21:26" ht="15.75" x14ac:dyDescent="0.25">
      <c r="U58" s="107"/>
      <c r="V58" s="107"/>
      <c r="W58" s="26"/>
      <c r="X58" s="26"/>
      <c r="Y58" s="26"/>
      <c r="Z58" s="26"/>
    </row>
    <row r="59" spans="21:26" ht="15.75" x14ac:dyDescent="0.25">
      <c r="U59" s="107"/>
      <c r="V59" s="107"/>
      <c r="W59" s="26"/>
      <c r="X59" s="26"/>
      <c r="Y59" s="26"/>
      <c r="Z59" s="26"/>
    </row>
    <row r="60" spans="21:26" ht="15.75" x14ac:dyDescent="0.25">
      <c r="U60" s="107"/>
      <c r="V60" s="107"/>
      <c r="W60" s="26"/>
      <c r="X60" s="26"/>
      <c r="Y60" s="26"/>
      <c r="Z60" s="26"/>
    </row>
    <row r="61" spans="21:26" ht="15.75" x14ac:dyDescent="0.25">
      <c r="U61" s="107"/>
      <c r="V61" s="107"/>
      <c r="W61" s="26"/>
      <c r="X61" s="26"/>
      <c r="Y61" s="26"/>
      <c r="Z61" s="26"/>
    </row>
    <row r="62" spans="21:26" ht="15.75" x14ac:dyDescent="0.25">
      <c r="U62" s="107"/>
      <c r="V62" s="107"/>
      <c r="W62" s="26"/>
      <c r="X62" s="26"/>
      <c r="Y62" s="26"/>
      <c r="Z62" s="26"/>
    </row>
    <row r="63" spans="21:26" ht="15.75" x14ac:dyDescent="0.25">
      <c r="U63" s="107"/>
      <c r="V63" s="107"/>
      <c r="W63" s="26"/>
      <c r="X63" s="26"/>
      <c r="Y63" s="26"/>
      <c r="Z63" s="26"/>
    </row>
    <row r="64" spans="21:26" ht="15.75" x14ac:dyDescent="0.25">
      <c r="U64" s="107"/>
      <c r="V64" s="107"/>
      <c r="W64" s="26"/>
      <c r="X64" s="26"/>
      <c r="Y64" s="26"/>
      <c r="Z64" s="26"/>
    </row>
    <row r="65" spans="21:26" ht="15.75" x14ac:dyDescent="0.25">
      <c r="U65" s="107"/>
      <c r="V65" s="107"/>
      <c r="W65" s="26"/>
      <c r="X65" s="26"/>
      <c r="Y65" s="26"/>
      <c r="Z65" s="26"/>
    </row>
    <row r="66" spans="21:26" ht="15.75" x14ac:dyDescent="0.25">
      <c r="U66" s="107"/>
      <c r="V66" s="107"/>
      <c r="W66" s="26"/>
      <c r="X66" s="26"/>
      <c r="Y66" s="26"/>
      <c r="Z66" s="26"/>
    </row>
    <row r="67" spans="21:26" ht="15.75" x14ac:dyDescent="0.25">
      <c r="U67" s="107"/>
      <c r="V67" s="107"/>
      <c r="W67" s="26"/>
      <c r="X67" s="26"/>
      <c r="Y67" s="26"/>
      <c r="Z67" s="26"/>
    </row>
    <row r="68" spans="21:26" ht="15.75" x14ac:dyDescent="0.25">
      <c r="U68" s="107"/>
      <c r="V68" s="107"/>
      <c r="W68" s="26"/>
      <c r="X68" s="26"/>
      <c r="Y68" s="26"/>
      <c r="Z68" s="26"/>
    </row>
    <row r="69" spans="21:26" ht="15.75" x14ac:dyDescent="0.25">
      <c r="U69" s="107"/>
      <c r="V69" s="107"/>
      <c r="W69" s="26"/>
      <c r="X69" s="26"/>
      <c r="Y69" s="26"/>
      <c r="Z69" s="26"/>
    </row>
    <row r="70" spans="21:26" ht="15.75" x14ac:dyDescent="0.25">
      <c r="U70" s="107"/>
      <c r="V70" s="107"/>
      <c r="W70" s="26"/>
      <c r="X70" s="26"/>
      <c r="Y70" s="26"/>
      <c r="Z70" s="26"/>
    </row>
    <row r="71" spans="21:26" ht="15.75" x14ac:dyDescent="0.25">
      <c r="U71" s="107"/>
      <c r="V71" s="107"/>
      <c r="W71" s="26"/>
      <c r="X71" s="26"/>
      <c r="Y71" s="26"/>
      <c r="Z71" s="26"/>
    </row>
    <row r="72" spans="21:26" ht="15.75" x14ac:dyDescent="0.25">
      <c r="U72" s="107"/>
      <c r="V72" s="107"/>
      <c r="W72" s="26"/>
      <c r="X72" s="26"/>
      <c r="Y72" s="26"/>
      <c r="Z72" s="26"/>
    </row>
    <row r="73" spans="21:26" ht="15.75" x14ac:dyDescent="0.25">
      <c r="U73" s="107"/>
      <c r="V73" s="107"/>
      <c r="W73" s="26"/>
      <c r="X73" s="26"/>
      <c r="Y73" s="26"/>
      <c r="Z73" s="26"/>
    </row>
    <row r="74" spans="21:26" ht="15.75" x14ac:dyDescent="0.25">
      <c r="U74" s="107"/>
      <c r="V74" s="107"/>
      <c r="W74" s="26"/>
      <c r="X74" s="26"/>
      <c r="Y74" s="26"/>
      <c r="Z74" s="26"/>
    </row>
    <row r="75" spans="21:26" ht="15.75" x14ac:dyDescent="0.25">
      <c r="U75" s="107"/>
      <c r="V75" s="107"/>
      <c r="W75" s="26"/>
      <c r="X75" s="26"/>
      <c r="Y75" s="26"/>
      <c r="Z75" s="26"/>
    </row>
    <row r="76" spans="21:26" ht="15.75" x14ac:dyDescent="0.25">
      <c r="U76" s="107"/>
      <c r="V76" s="107"/>
      <c r="W76" s="26"/>
      <c r="X76" s="26"/>
      <c r="Y76" s="26"/>
      <c r="Z76" s="26"/>
    </row>
    <row r="77" spans="21:26" ht="15.75" x14ac:dyDescent="0.25">
      <c r="U77" s="107"/>
      <c r="V77" s="107"/>
      <c r="W77" s="26"/>
      <c r="X77" s="26"/>
      <c r="Y77" s="26"/>
      <c r="Z77" s="26"/>
    </row>
    <row r="78" spans="21:26" ht="15.75" x14ac:dyDescent="0.25">
      <c r="U78" s="107"/>
      <c r="V78" s="107"/>
      <c r="W78" s="26"/>
      <c r="X78" s="26"/>
      <c r="Y78" s="26"/>
      <c r="Z78" s="26"/>
    </row>
    <row r="79" spans="21:26" ht="15.75" x14ac:dyDescent="0.25">
      <c r="U79" s="107"/>
      <c r="V79" s="107"/>
      <c r="W79" s="26"/>
      <c r="X79" s="26"/>
      <c r="Y79" s="26"/>
      <c r="Z79" s="26"/>
    </row>
    <row r="80" spans="21:26" ht="15.75" x14ac:dyDescent="0.25">
      <c r="U80" s="107"/>
      <c r="V80" s="107"/>
      <c r="W80" s="26"/>
      <c r="X80" s="26"/>
      <c r="Y80" s="26"/>
      <c r="Z80" s="26"/>
    </row>
    <row r="81" spans="21:26" ht="15.75" x14ac:dyDescent="0.25">
      <c r="U81" s="107"/>
      <c r="V81" s="107"/>
      <c r="W81" s="26"/>
      <c r="X81" s="26"/>
      <c r="Y81" s="26"/>
      <c r="Z81" s="26"/>
    </row>
    <row r="82" spans="21:26" ht="15.75" x14ac:dyDescent="0.25">
      <c r="U82" s="107"/>
      <c r="V82" s="107"/>
      <c r="W82" s="26"/>
      <c r="X82" s="26"/>
      <c r="Y82" s="26"/>
      <c r="Z82" s="26"/>
    </row>
    <row r="83" spans="21:26" ht="15.75" x14ac:dyDescent="0.25">
      <c r="U83" s="107"/>
      <c r="V83" s="107"/>
      <c r="W83" s="26"/>
      <c r="X83" s="26"/>
      <c r="Y83" s="26"/>
      <c r="Z83" s="26"/>
    </row>
    <row r="84" spans="21:26" ht="15.75" x14ac:dyDescent="0.25">
      <c r="U84" s="107"/>
      <c r="V84" s="107"/>
      <c r="W84" s="26"/>
      <c r="X84" s="26"/>
      <c r="Y84" s="26"/>
      <c r="Z84" s="26"/>
    </row>
    <row r="85" spans="21:26" ht="15.75" x14ac:dyDescent="0.25">
      <c r="U85" s="107"/>
      <c r="V85" s="107"/>
      <c r="W85" s="26"/>
      <c r="X85" s="26"/>
      <c r="Y85" s="26"/>
      <c r="Z85" s="26"/>
    </row>
    <row r="86" spans="21:26" ht="15.75" x14ac:dyDescent="0.25">
      <c r="U86" s="107"/>
      <c r="V86" s="107"/>
      <c r="W86" s="26"/>
      <c r="X86" s="26"/>
      <c r="Y86" s="26"/>
      <c r="Z86" s="26"/>
    </row>
    <row r="87" spans="21:26" ht="15.75" x14ac:dyDescent="0.25">
      <c r="U87" s="107"/>
      <c r="V87" s="107"/>
      <c r="W87" s="26"/>
      <c r="X87" s="26"/>
      <c r="Y87" s="26"/>
      <c r="Z87" s="26"/>
    </row>
    <row r="88" spans="21:26" ht="15.75" x14ac:dyDescent="0.25">
      <c r="U88" s="107"/>
      <c r="V88" s="107"/>
      <c r="W88" s="26"/>
      <c r="X88" s="26"/>
      <c r="Y88" s="26"/>
      <c r="Z88" s="26"/>
    </row>
    <row r="89" spans="21:26" ht="15.75" x14ac:dyDescent="0.25">
      <c r="U89" s="107"/>
      <c r="V89" s="107"/>
      <c r="W89" s="26"/>
      <c r="X89" s="26"/>
      <c r="Y89" s="26"/>
      <c r="Z89" s="26"/>
    </row>
    <row r="90" spans="21:26" ht="15.75" x14ac:dyDescent="0.25">
      <c r="U90" s="107"/>
      <c r="V90" s="107"/>
      <c r="W90" s="26"/>
      <c r="X90" s="26"/>
      <c r="Y90" s="26"/>
      <c r="Z90" s="26"/>
    </row>
    <row r="91" spans="21:26" ht="15.75" x14ac:dyDescent="0.25">
      <c r="U91" s="107"/>
      <c r="V91" s="107"/>
      <c r="W91" s="26"/>
      <c r="X91" s="26"/>
      <c r="Y91" s="26"/>
      <c r="Z91" s="26"/>
    </row>
    <row r="92" spans="21:26" ht="15.75" x14ac:dyDescent="0.25">
      <c r="U92" s="107"/>
      <c r="V92" s="107"/>
      <c r="W92" s="26"/>
      <c r="X92" s="26"/>
      <c r="Y92" s="26"/>
      <c r="Z92" s="26"/>
    </row>
    <row r="93" spans="21:26" ht="15.75" x14ac:dyDescent="0.25">
      <c r="U93" s="107"/>
      <c r="V93" s="107"/>
      <c r="W93" s="26"/>
      <c r="X93" s="26"/>
      <c r="Y93" s="26"/>
      <c r="Z93" s="26"/>
    </row>
    <row r="94" spans="21:26" ht="15.75" x14ac:dyDescent="0.25">
      <c r="U94" s="107"/>
      <c r="V94" s="107"/>
      <c r="W94" s="26"/>
      <c r="X94" s="26"/>
      <c r="Y94" s="26"/>
      <c r="Z94" s="26"/>
    </row>
    <row r="95" spans="21:26" ht="15.75" x14ac:dyDescent="0.25">
      <c r="U95" s="107"/>
      <c r="V95" s="107"/>
      <c r="W95" s="26"/>
      <c r="X95" s="26"/>
      <c r="Y95" s="26"/>
      <c r="Z95" s="26"/>
    </row>
    <row r="96" spans="21:26" ht="15.75" x14ac:dyDescent="0.25">
      <c r="U96" s="107"/>
      <c r="V96" s="107"/>
      <c r="W96" s="26"/>
      <c r="X96" s="26"/>
      <c r="Y96" s="26"/>
      <c r="Z96" s="26"/>
    </row>
    <row r="97" spans="21:26" ht="15.75" x14ac:dyDescent="0.25">
      <c r="U97" s="107"/>
      <c r="V97" s="107"/>
      <c r="W97" s="26"/>
      <c r="X97" s="26"/>
      <c r="Y97" s="26"/>
      <c r="Z97" s="26"/>
    </row>
    <row r="98" spans="21:26" ht="15.75" x14ac:dyDescent="0.25">
      <c r="U98" s="107"/>
      <c r="V98" s="107"/>
      <c r="W98" s="26"/>
      <c r="X98" s="26"/>
      <c r="Y98" s="26"/>
      <c r="Z98" s="26"/>
    </row>
    <row r="99" spans="21:26" ht="15.75" x14ac:dyDescent="0.25">
      <c r="U99" s="107"/>
      <c r="V99" s="107"/>
      <c r="W99" s="26"/>
      <c r="X99" s="26"/>
      <c r="Y99" s="26"/>
      <c r="Z99" s="26"/>
    </row>
    <row r="100" spans="21:26" ht="15.75" x14ac:dyDescent="0.25">
      <c r="U100" s="107"/>
      <c r="V100" s="107"/>
      <c r="W100" s="26"/>
      <c r="X100" s="26"/>
      <c r="Y100" s="26"/>
      <c r="Z100" s="26"/>
    </row>
    <row r="101" spans="21:26" ht="15.75" x14ac:dyDescent="0.25">
      <c r="U101" s="107"/>
      <c r="V101" s="107"/>
      <c r="W101" s="26"/>
      <c r="X101" s="26"/>
      <c r="Y101" s="26"/>
      <c r="Z101" s="26"/>
    </row>
    <row r="102" spans="21:26" ht="15.75" x14ac:dyDescent="0.25">
      <c r="U102" s="107"/>
      <c r="V102" s="107"/>
      <c r="W102" s="26"/>
      <c r="X102" s="26"/>
      <c r="Y102" s="26"/>
      <c r="Z102" s="26"/>
    </row>
    <row r="103" spans="21:26" ht="15.75" x14ac:dyDescent="0.25">
      <c r="U103" s="107"/>
      <c r="V103" s="107"/>
      <c r="W103" s="26"/>
      <c r="X103" s="26"/>
      <c r="Y103" s="26"/>
      <c r="Z103" s="26"/>
    </row>
    <row r="104" spans="21:26" ht="15.75" x14ac:dyDescent="0.25">
      <c r="U104" s="107"/>
      <c r="V104" s="107"/>
      <c r="W104" s="26"/>
      <c r="X104" s="26"/>
      <c r="Y104" s="26"/>
      <c r="Z104" s="26"/>
    </row>
    <row r="105" spans="21:26" ht="15.75" x14ac:dyDescent="0.25">
      <c r="U105" s="107"/>
      <c r="V105" s="107"/>
      <c r="W105" s="26"/>
      <c r="X105" s="26"/>
      <c r="Y105" s="26"/>
      <c r="Z105" s="26"/>
    </row>
    <row r="106" spans="21:26" ht="15.75" x14ac:dyDescent="0.25">
      <c r="U106" s="107"/>
      <c r="V106" s="107"/>
      <c r="W106" s="26"/>
      <c r="X106" s="26"/>
      <c r="Y106" s="26"/>
      <c r="Z106" s="26"/>
    </row>
    <row r="107" spans="21:26" ht="15.75" x14ac:dyDescent="0.25">
      <c r="U107" s="107"/>
      <c r="V107" s="107"/>
      <c r="W107" s="26"/>
      <c r="X107" s="26"/>
      <c r="Y107" s="26"/>
      <c r="Z107" s="26"/>
    </row>
    <row r="108" spans="21:26" ht="15.75" x14ac:dyDescent="0.25">
      <c r="U108" s="107"/>
      <c r="V108" s="107"/>
      <c r="W108" s="26"/>
      <c r="X108" s="26"/>
      <c r="Y108" s="26"/>
      <c r="Z108" s="26"/>
    </row>
    <row r="109" spans="21:26" ht="15.75" x14ac:dyDescent="0.25">
      <c r="U109" s="107"/>
      <c r="V109" s="107"/>
      <c r="W109" s="26"/>
      <c r="X109" s="26"/>
      <c r="Y109" s="26"/>
      <c r="Z109" s="26"/>
    </row>
    <row r="110" spans="21:26" ht="15.75" x14ac:dyDescent="0.25">
      <c r="U110" s="107"/>
      <c r="V110" s="107"/>
      <c r="W110" s="26"/>
      <c r="X110" s="26"/>
      <c r="Y110" s="26"/>
      <c r="Z110" s="26"/>
    </row>
    <row r="111" spans="21:26" ht="15.75" x14ac:dyDescent="0.25">
      <c r="U111" s="107"/>
      <c r="V111" s="107"/>
      <c r="W111" s="26"/>
      <c r="X111" s="26"/>
      <c r="Y111" s="26"/>
      <c r="Z111" s="26"/>
    </row>
    <row r="112" spans="21:26" ht="15.75" x14ac:dyDescent="0.25">
      <c r="U112" s="92"/>
      <c r="V112" s="92"/>
      <c r="W112" s="92"/>
      <c r="X112" s="92"/>
      <c r="Y112" s="92"/>
      <c r="Z112" s="94"/>
    </row>
    <row r="113" spans="21:26" ht="15.75" x14ac:dyDescent="0.25">
      <c r="U113" s="92"/>
      <c r="V113" s="92"/>
      <c r="W113" s="92"/>
      <c r="X113" s="92"/>
      <c r="Y113" s="92"/>
      <c r="Z113" s="94"/>
    </row>
    <row r="114" spans="21:26" ht="15.75" x14ac:dyDescent="0.25">
      <c r="U114" s="92"/>
      <c r="V114" s="92"/>
      <c r="W114" s="92"/>
      <c r="X114" s="92"/>
      <c r="Y114" s="92"/>
      <c r="Z114" s="94"/>
    </row>
    <row r="115" spans="21:26" ht="15.75" x14ac:dyDescent="0.25">
      <c r="U115" s="92"/>
      <c r="V115" s="92"/>
      <c r="W115" s="92"/>
      <c r="X115" s="92"/>
      <c r="Y115" s="92"/>
      <c r="Z115" s="94"/>
    </row>
    <row r="116" spans="21:26" ht="15.75" x14ac:dyDescent="0.25">
      <c r="U116" s="92"/>
      <c r="V116" s="92"/>
      <c r="W116" s="92"/>
      <c r="X116" s="92"/>
      <c r="Y116" s="92"/>
      <c r="Z116" s="94"/>
    </row>
    <row r="117" spans="21:26" ht="15.75" x14ac:dyDescent="0.25">
      <c r="U117" s="92"/>
      <c r="V117" s="92"/>
      <c r="W117" s="92"/>
      <c r="X117" s="92"/>
      <c r="Y117" s="92"/>
      <c r="Z117" s="94"/>
    </row>
    <row r="118" spans="21:26" ht="15.75" x14ac:dyDescent="0.25">
      <c r="U118" s="92"/>
      <c r="V118" s="92"/>
      <c r="W118" s="92"/>
      <c r="X118" s="92"/>
      <c r="Y118" s="92"/>
      <c r="Z118" s="94"/>
    </row>
    <row r="119" spans="21:26" ht="15.75" x14ac:dyDescent="0.25">
      <c r="U119" s="92"/>
      <c r="V119" s="92"/>
      <c r="W119" s="92"/>
      <c r="X119" s="92"/>
      <c r="Y119" s="92"/>
      <c r="Z119" s="94"/>
    </row>
    <row r="120" spans="21:26" ht="15.75" x14ac:dyDescent="0.25">
      <c r="U120" s="92"/>
      <c r="V120" s="92"/>
      <c r="W120" s="92"/>
      <c r="X120" s="92"/>
      <c r="Y120" s="92"/>
      <c r="Z120" s="94"/>
    </row>
    <row r="121" spans="21:26" ht="15.75" x14ac:dyDescent="0.25">
      <c r="U121" s="92"/>
      <c r="V121" s="92"/>
      <c r="W121" s="92"/>
      <c r="X121" s="92"/>
      <c r="Y121" s="92"/>
      <c r="Z121" s="94"/>
    </row>
    <row r="122" spans="21:26" ht="15.75" x14ac:dyDescent="0.25">
      <c r="U122" s="92"/>
      <c r="V122" s="92"/>
      <c r="W122" s="92"/>
      <c r="X122" s="92"/>
      <c r="Y122" s="92"/>
      <c r="Z122" s="94"/>
    </row>
    <row r="123" spans="21:26" ht="15.75" x14ac:dyDescent="0.25">
      <c r="U123" s="92"/>
      <c r="V123" s="92"/>
      <c r="W123" s="92"/>
      <c r="X123" s="92"/>
      <c r="Y123" s="92"/>
      <c r="Z123" s="94"/>
    </row>
    <row r="124" spans="21:26" ht="15.75" x14ac:dyDescent="0.25">
      <c r="U124" s="92"/>
      <c r="V124" s="92"/>
      <c r="W124" s="92"/>
      <c r="X124" s="92"/>
      <c r="Y124" s="92"/>
      <c r="Z124" s="94"/>
    </row>
    <row r="125" spans="21:26" ht="15.75" x14ac:dyDescent="0.25">
      <c r="U125" s="92"/>
      <c r="V125" s="92"/>
      <c r="W125" s="92"/>
      <c r="X125" s="92"/>
      <c r="Y125" s="92"/>
      <c r="Z125" s="94"/>
    </row>
    <row r="126" spans="21:26" ht="15.75" x14ac:dyDescent="0.25">
      <c r="U126" s="92"/>
      <c r="V126" s="92"/>
      <c r="W126" s="92"/>
      <c r="X126" s="92"/>
      <c r="Y126" s="92"/>
      <c r="Z126" s="94"/>
    </row>
    <row r="127" spans="21:26" ht="15.75" x14ac:dyDescent="0.25">
      <c r="U127" s="92"/>
      <c r="V127" s="92"/>
      <c r="W127" s="92"/>
      <c r="X127" s="92"/>
      <c r="Y127" s="92"/>
      <c r="Z127" s="94"/>
    </row>
    <row r="128" spans="21:26" ht="15.75" x14ac:dyDescent="0.25">
      <c r="U128" s="92"/>
      <c r="V128" s="92"/>
      <c r="W128" s="92"/>
      <c r="X128" s="92"/>
      <c r="Y128" s="92"/>
      <c r="Z128" s="94"/>
    </row>
    <row r="129" spans="21:26" ht="15.75" x14ac:dyDescent="0.25">
      <c r="U129" s="92"/>
      <c r="V129" s="92"/>
      <c r="W129" s="92"/>
      <c r="X129" s="92"/>
      <c r="Y129" s="92"/>
      <c r="Z129" s="94"/>
    </row>
    <row r="130" spans="21:26" ht="15.75" x14ac:dyDescent="0.25">
      <c r="U130" s="92"/>
      <c r="V130" s="92"/>
      <c r="W130" s="92"/>
      <c r="X130" s="92"/>
      <c r="Y130" s="92"/>
      <c r="Z130" s="94"/>
    </row>
    <row r="131" spans="21:26" ht="15.75" x14ac:dyDescent="0.25">
      <c r="U131" s="92"/>
      <c r="V131" s="92"/>
      <c r="W131" s="92"/>
      <c r="X131" s="92"/>
      <c r="Y131" s="92"/>
      <c r="Z131" s="94"/>
    </row>
    <row r="132" spans="21:26" ht="15.75" x14ac:dyDescent="0.25">
      <c r="U132" s="92"/>
      <c r="V132" s="92"/>
      <c r="W132" s="92"/>
      <c r="X132" s="92"/>
      <c r="Y132" s="92"/>
      <c r="Z132" s="94"/>
    </row>
    <row r="133" spans="21:26" ht="15.75" x14ac:dyDescent="0.25">
      <c r="U133" s="92"/>
      <c r="V133" s="92"/>
      <c r="W133" s="92"/>
      <c r="X133" s="92"/>
      <c r="Y133" s="92"/>
      <c r="Z133" s="94"/>
    </row>
    <row r="134" spans="21:26" ht="15.75" x14ac:dyDescent="0.25">
      <c r="U134" s="92"/>
      <c r="V134" s="92"/>
      <c r="W134" s="92"/>
      <c r="X134" s="92"/>
      <c r="Y134" s="92"/>
      <c r="Z134" s="94"/>
    </row>
    <row r="135" spans="21:26" ht="15.75" x14ac:dyDescent="0.25">
      <c r="U135" s="92"/>
      <c r="V135" s="92"/>
      <c r="W135" s="92"/>
      <c r="X135" s="92"/>
      <c r="Y135" s="92"/>
      <c r="Z135" s="94"/>
    </row>
    <row r="136" spans="21:26" ht="15.75" x14ac:dyDescent="0.25">
      <c r="U136" s="92"/>
      <c r="V136" s="92"/>
      <c r="W136" s="92"/>
      <c r="X136" s="92"/>
      <c r="Y136" s="92"/>
      <c r="Z136" s="94"/>
    </row>
    <row r="137" spans="21:26" ht="15.75" x14ac:dyDescent="0.25">
      <c r="U137" s="92"/>
      <c r="V137" s="92"/>
      <c r="W137" s="92"/>
      <c r="X137" s="92"/>
      <c r="Y137" s="92"/>
      <c r="Z137" s="94"/>
    </row>
    <row r="138" spans="21:26" ht="15.75" x14ac:dyDescent="0.25">
      <c r="U138" s="92"/>
      <c r="V138" s="92"/>
      <c r="W138" s="92"/>
      <c r="X138" s="92"/>
      <c r="Y138" s="92"/>
      <c r="Z138" s="94"/>
    </row>
    <row r="139" spans="21:26" ht="15.75" x14ac:dyDescent="0.25">
      <c r="U139" s="92"/>
      <c r="V139" s="92"/>
      <c r="W139" s="92"/>
      <c r="X139" s="92"/>
      <c r="Y139" s="92"/>
      <c r="Z139" s="94"/>
    </row>
    <row r="140" spans="21:26" ht="15.75" x14ac:dyDescent="0.25">
      <c r="U140" s="92"/>
      <c r="V140" s="92"/>
      <c r="W140" s="92"/>
      <c r="X140" s="92"/>
      <c r="Y140" s="92"/>
      <c r="Z140" s="94"/>
    </row>
    <row r="141" spans="21:26" ht="15.75" x14ac:dyDescent="0.25">
      <c r="U141" s="92"/>
      <c r="V141" s="92"/>
      <c r="W141" s="92"/>
      <c r="X141" s="92"/>
      <c r="Y141" s="92"/>
      <c r="Z141" s="94"/>
    </row>
    <row r="142" spans="21:26" ht="15.75" x14ac:dyDescent="0.25">
      <c r="U142" s="92"/>
      <c r="V142" s="92"/>
      <c r="W142" s="92"/>
      <c r="X142" s="92"/>
      <c r="Y142" s="92"/>
      <c r="Z142" s="94"/>
    </row>
    <row r="143" spans="21:26" ht="15.75" x14ac:dyDescent="0.25">
      <c r="U143" s="92"/>
      <c r="V143" s="92"/>
      <c r="W143" s="92"/>
      <c r="X143" s="92"/>
      <c r="Y143" s="92"/>
      <c r="Z143" s="94"/>
    </row>
    <row r="144" spans="21:26" ht="15.75" x14ac:dyDescent="0.25">
      <c r="U144" s="92"/>
      <c r="V144" s="92"/>
      <c r="W144" s="92"/>
      <c r="X144" s="92"/>
      <c r="Y144" s="92"/>
      <c r="Z144" s="94"/>
    </row>
    <row r="145" spans="21:26" ht="15.75" x14ac:dyDescent="0.25">
      <c r="U145" s="92"/>
      <c r="V145" s="92"/>
      <c r="W145" s="92"/>
      <c r="X145" s="92"/>
      <c r="Y145" s="92"/>
      <c r="Z145" s="94"/>
    </row>
    <row r="146" spans="21:26" ht="15.75" x14ac:dyDescent="0.25">
      <c r="U146" s="92"/>
      <c r="V146" s="92"/>
      <c r="W146" s="92"/>
      <c r="X146" s="92"/>
      <c r="Y146" s="92"/>
      <c r="Z146" s="94"/>
    </row>
    <row r="147" spans="21:26" ht="15.75" x14ac:dyDescent="0.25">
      <c r="U147" s="92"/>
      <c r="V147" s="92"/>
      <c r="W147" s="92"/>
      <c r="X147" s="92"/>
      <c r="Y147" s="92"/>
      <c r="Z147" s="94"/>
    </row>
    <row r="148" spans="21:26" ht="15.75" x14ac:dyDescent="0.25">
      <c r="U148" s="92"/>
      <c r="V148" s="92"/>
      <c r="W148" s="92"/>
      <c r="X148" s="92"/>
      <c r="Y148" s="92"/>
      <c r="Z148" s="94"/>
    </row>
    <row r="149" spans="21:26" ht="15.75" x14ac:dyDescent="0.25">
      <c r="U149" s="92"/>
      <c r="V149" s="92"/>
      <c r="W149" s="92"/>
      <c r="X149" s="92"/>
      <c r="Y149" s="92"/>
      <c r="Z149" s="94"/>
    </row>
    <row r="150" spans="21:26" ht="15.75" x14ac:dyDescent="0.25">
      <c r="U150" s="92"/>
      <c r="V150" s="92"/>
      <c r="W150" s="92"/>
      <c r="X150" s="92"/>
      <c r="Y150" s="92"/>
      <c r="Z150" s="94"/>
    </row>
    <row r="151" spans="21:26" ht="15.75" x14ac:dyDescent="0.25">
      <c r="U151" s="92"/>
      <c r="V151" s="92"/>
      <c r="W151" s="92"/>
      <c r="X151" s="92"/>
      <c r="Y151" s="92"/>
      <c r="Z151" s="94"/>
    </row>
    <row r="152" spans="21:26" ht="15.75" x14ac:dyDescent="0.25">
      <c r="U152" s="92"/>
      <c r="V152" s="92"/>
      <c r="W152" s="92"/>
      <c r="X152" s="92"/>
      <c r="Y152" s="92"/>
      <c r="Z152" s="94"/>
    </row>
    <row r="153" spans="21:26" ht="15.75" x14ac:dyDescent="0.25">
      <c r="U153" s="92"/>
      <c r="V153" s="92"/>
      <c r="W153" s="92"/>
      <c r="X153" s="92"/>
      <c r="Y153" s="92"/>
      <c r="Z153" s="94"/>
    </row>
    <row r="154" spans="21:26" ht="15.75" x14ac:dyDescent="0.25">
      <c r="U154" s="92"/>
      <c r="V154" s="92"/>
      <c r="W154" s="92"/>
      <c r="X154" s="92"/>
      <c r="Y154" s="92"/>
      <c r="Z154" s="94"/>
    </row>
    <row r="155" spans="21:26" ht="15.75" x14ac:dyDescent="0.25">
      <c r="U155" s="92"/>
      <c r="V155" s="92"/>
      <c r="W155" s="92"/>
      <c r="X155" s="92"/>
      <c r="Y155" s="92"/>
      <c r="Z155" s="94"/>
    </row>
    <row r="156" spans="21:26" ht="15.75" x14ac:dyDescent="0.25">
      <c r="U156" s="92"/>
      <c r="V156" s="92"/>
      <c r="W156" s="92"/>
      <c r="X156" s="92"/>
      <c r="Y156" s="92"/>
      <c r="Z156" s="94"/>
    </row>
    <row r="157" spans="21:26" ht="15.75" x14ac:dyDescent="0.25">
      <c r="U157" s="92"/>
      <c r="V157" s="92"/>
      <c r="W157" s="92"/>
      <c r="X157" s="92"/>
      <c r="Y157" s="92"/>
      <c r="Z157" s="94"/>
    </row>
    <row r="158" spans="21:26" ht="15.75" x14ac:dyDescent="0.25">
      <c r="U158" s="92"/>
      <c r="V158" s="92"/>
      <c r="W158" s="92"/>
      <c r="X158" s="92"/>
      <c r="Y158" s="92"/>
      <c r="Z158" s="94"/>
    </row>
    <row r="159" spans="21:26" ht="15.75" x14ac:dyDescent="0.25">
      <c r="U159" s="92"/>
      <c r="V159" s="92"/>
      <c r="W159" s="92"/>
      <c r="X159" s="92"/>
      <c r="Y159" s="92"/>
      <c r="Z159" s="94"/>
    </row>
    <row r="160" spans="21:26" ht="15.75" x14ac:dyDescent="0.25">
      <c r="U160" s="92"/>
      <c r="V160" s="92"/>
      <c r="W160" s="92"/>
      <c r="X160" s="92"/>
      <c r="Y160" s="92"/>
      <c r="Z160" s="94"/>
    </row>
    <row r="161" spans="21:26" ht="15.75" x14ac:dyDescent="0.25">
      <c r="U161" s="92"/>
      <c r="V161" s="92"/>
      <c r="W161" s="92"/>
      <c r="X161" s="92"/>
      <c r="Y161" s="92"/>
      <c r="Z161" s="94"/>
    </row>
    <row r="162" spans="21:26" ht="15.75" x14ac:dyDescent="0.25">
      <c r="U162" s="92"/>
      <c r="V162" s="92"/>
      <c r="W162" s="92"/>
      <c r="X162" s="92"/>
      <c r="Y162" s="92"/>
      <c r="Z162" s="94"/>
    </row>
    <row r="163" spans="21:26" ht="15.75" x14ac:dyDescent="0.25">
      <c r="U163" s="92"/>
      <c r="V163" s="92"/>
      <c r="W163" s="92"/>
      <c r="X163" s="92"/>
      <c r="Y163" s="92"/>
      <c r="Z163" s="94"/>
    </row>
    <row r="164" spans="21:26" ht="15.75" x14ac:dyDescent="0.25">
      <c r="U164" s="92"/>
      <c r="V164" s="92"/>
      <c r="W164" s="92"/>
      <c r="X164" s="92"/>
      <c r="Y164" s="92"/>
      <c r="Z164" s="94"/>
    </row>
    <row r="165" spans="21:26" ht="15.75" x14ac:dyDescent="0.25">
      <c r="U165" s="92"/>
      <c r="V165" s="92"/>
      <c r="W165" s="92"/>
      <c r="X165" s="92"/>
      <c r="Y165" s="92"/>
      <c r="Z165" s="94"/>
    </row>
    <row r="166" spans="21:26" ht="15.75" x14ac:dyDescent="0.25">
      <c r="U166" s="92"/>
      <c r="V166" s="92"/>
      <c r="W166" s="92"/>
      <c r="X166" s="92"/>
      <c r="Y166" s="92"/>
      <c r="Z166" s="94"/>
    </row>
    <row r="167" spans="21:26" ht="15.75" x14ac:dyDescent="0.25">
      <c r="U167" s="92"/>
      <c r="V167" s="92"/>
      <c r="W167" s="92"/>
      <c r="X167" s="92"/>
      <c r="Y167" s="92"/>
      <c r="Z167" s="94"/>
    </row>
    <row r="168" spans="21:26" ht="15.75" x14ac:dyDescent="0.25">
      <c r="U168" s="92"/>
      <c r="V168" s="92"/>
      <c r="W168" s="92"/>
      <c r="X168" s="92"/>
      <c r="Y168" s="92"/>
      <c r="Z168" s="94"/>
    </row>
    <row r="169" spans="21:26" ht="15.75" x14ac:dyDescent="0.25">
      <c r="U169" s="92"/>
      <c r="V169" s="92"/>
      <c r="W169" s="92"/>
      <c r="X169" s="92"/>
      <c r="Y169" s="92"/>
      <c r="Z169" s="94"/>
    </row>
    <row r="170" spans="21:26" ht="15.75" x14ac:dyDescent="0.25">
      <c r="U170" s="92"/>
      <c r="V170" s="92"/>
      <c r="W170" s="92"/>
      <c r="X170" s="92"/>
      <c r="Y170" s="92"/>
      <c r="Z170" s="94"/>
    </row>
    <row r="171" spans="21:26" ht="15.75" x14ac:dyDescent="0.25">
      <c r="U171" s="92"/>
      <c r="V171" s="92"/>
      <c r="W171" s="92"/>
      <c r="X171" s="92"/>
      <c r="Y171" s="92"/>
      <c r="Z171" s="94"/>
    </row>
    <row r="172" spans="21:26" ht="15.75" x14ac:dyDescent="0.25">
      <c r="U172" s="92"/>
      <c r="V172" s="92"/>
      <c r="W172" s="92"/>
      <c r="X172" s="92"/>
      <c r="Y172" s="92"/>
      <c r="Z172" s="94"/>
    </row>
    <row r="173" spans="21:26" ht="15.75" x14ac:dyDescent="0.25">
      <c r="U173" s="92"/>
      <c r="V173" s="92"/>
      <c r="W173" s="92"/>
      <c r="X173" s="92"/>
      <c r="Y173" s="92"/>
      <c r="Z173" s="94"/>
    </row>
    <row r="174" spans="21:26" ht="15.75" x14ac:dyDescent="0.25">
      <c r="U174" s="92"/>
      <c r="V174" s="92"/>
      <c r="W174" s="92"/>
      <c r="X174" s="92"/>
      <c r="Y174" s="92"/>
      <c r="Z174" s="94"/>
    </row>
    <row r="175" spans="21:26" ht="15.75" x14ac:dyDescent="0.25">
      <c r="U175" s="92"/>
      <c r="V175" s="92"/>
      <c r="W175" s="92"/>
      <c r="X175" s="92"/>
      <c r="Y175" s="92"/>
      <c r="Z175" s="94"/>
    </row>
    <row r="176" spans="21:26" ht="15.75" x14ac:dyDescent="0.25">
      <c r="U176" s="92"/>
      <c r="V176" s="92"/>
      <c r="W176" s="92"/>
      <c r="X176" s="92"/>
      <c r="Y176" s="92"/>
      <c r="Z176" s="94"/>
    </row>
    <row r="177" spans="21:26" ht="15.75" x14ac:dyDescent="0.25">
      <c r="U177" s="92"/>
      <c r="V177" s="92"/>
      <c r="W177" s="92"/>
      <c r="X177" s="92"/>
      <c r="Y177" s="92"/>
      <c r="Z177" s="94"/>
    </row>
    <row r="178" spans="21:26" ht="15.75" x14ac:dyDescent="0.25">
      <c r="U178" s="92"/>
      <c r="V178" s="92"/>
      <c r="W178" s="92"/>
      <c r="X178" s="92"/>
      <c r="Y178" s="92"/>
      <c r="Z178" s="94"/>
    </row>
    <row r="179" spans="21:26" ht="15.75" x14ac:dyDescent="0.25">
      <c r="U179" s="92"/>
      <c r="V179" s="92"/>
      <c r="W179" s="92"/>
      <c r="X179" s="92"/>
      <c r="Y179" s="92"/>
      <c r="Z179" s="94"/>
    </row>
    <row r="180" spans="21:26" ht="15.75" x14ac:dyDescent="0.25">
      <c r="U180" s="92"/>
      <c r="V180" s="92"/>
      <c r="W180" s="92"/>
      <c r="X180" s="92"/>
      <c r="Y180" s="92"/>
      <c r="Z180" s="94"/>
    </row>
    <row r="181" spans="21:26" ht="15.75" x14ac:dyDescent="0.25">
      <c r="U181" s="92"/>
      <c r="V181" s="92"/>
      <c r="W181" s="92"/>
      <c r="X181" s="92"/>
      <c r="Y181" s="92"/>
      <c r="Z181" s="94"/>
    </row>
    <row r="182" spans="21:26" ht="15.75" x14ac:dyDescent="0.25">
      <c r="U182" s="92"/>
      <c r="V182" s="92"/>
      <c r="W182" s="92"/>
      <c r="X182" s="92"/>
      <c r="Y182" s="92"/>
      <c r="Z182" s="94"/>
    </row>
    <row r="183" spans="21:26" ht="15.75" x14ac:dyDescent="0.25">
      <c r="U183" s="92"/>
      <c r="V183" s="92"/>
      <c r="W183" s="92"/>
      <c r="X183" s="92"/>
      <c r="Y183" s="92"/>
      <c r="Z183" s="94"/>
    </row>
    <row r="184" spans="21:26" ht="15.75" x14ac:dyDescent="0.25">
      <c r="U184" s="92"/>
      <c r="V184" s="92"/>
      <c r="W184" s="92"/>
      <c r="X184" s="92"/>
      <c r="Y184" s="92"/>
      <c r="Z184" s="94"/>
    </row>
    <row r="185" spans="21:26" ht="15.75" x14ac:dyDescent="0.25">
      <c r="U185" s="92"/>
      <c r="V185" s="92"/>
      <c r="W185" s="92"/>
      <c r="X185" s="92"/>
      <c r="Y185" s="92"/>
      <c r="Z185" s="94"/>
    </row>
    <row r="186" spans="21:26" ht="15.75" x14ac:dyDescent="0.25">
      <c r="U186" s="92"/>
      <c r="V186" s="92"/>
      <c r="W186" s="92"/>
      <c r="X186" s="92"/>
      <c r="Y186" s="92"/>
      <c r="Z186" s="94"/>
    </row>
    <row r="187" spans="21:26" ht="15.75" x14ac:dyDescent="0.25">
      <c r="U187" s="92"/>
      <c r="V187" s="92"/>
      <c r="W187" s="92"/>
      <c r="X187" s="92"/>
      <c r="Y187" s="92"/>
      <c r="Z187" s="94"/>
    </row>
    <row r="188" spans="21:26" ht="15.75" x14ac:dyDescent="0.25">
      <c r="U188" s="92"/>
      <c r="V188" s="92"/>
      <c r="W188" s="92"/>
      <c r="X188" s="92"/>
      <c r="Y188" s="92"/>
      <c r="Z188" s="94"/>
    </row>
    <row r="189" spans="21:26" ht="15.75" x14ac:dyDescent="0.25">
      <c r="U189" s="92"/>
      <c r="V189" s="92"/>
      <c r="W189" s="92"/>
      <c r="X189" s="92"/>
      <c r="Y189" s="92"/>
      <c r="Z189" s="94"/>
    </row>
    <row r="190" spans="21:26" ht="15.75" x14ac:dyDescent="0.25">
      <c r="U190" s="92"/>
      <c r="V190" s="92"/>
      <c r="W190" s="92"/>
      <c r="X190" s="92"/>
      <c r="Y190" s="92"/>
      <c r="Z190" s="94"/>
    </row>
    <row r="191" spans="21:26" ht="15.75" x14ac:dyDescent="0.25">
      <c r="U191" s="92"/>
      <c r="V191" s="92"/>
      <c r="W191" s="92"/>
      <c r="X191" s="92"/>
      <c r="Y191" s="92"/>
      <c r="Z191" s="94"/>
    </row>
    <row r="192" spans="21:26" ht="15.75" x14ac:dyDescent="0.25">
      <c r="U192" s="92"/>
      <c r="V192" s="92"/>
      <c r="W192" s="92"/>
      <c r="X192" s="92"/>
      <c r="Y192" s="92"/>
      <c r="Z192" s="94"/>
    </row>
    <row r="193" spans="21:26" ht="15.75" x14ac:dyDescent="0.25">
      <c r="U193" s="92"/>
      <c r="V193" s="92"/>
      <c r="W193" s="92"/>
      <c r="X193" s="92"/>
      <c r="Y193" s="92"/>
      <c r="Z193" s="94"/>
    </row>
    <row r="194" spans="21:26" ht="15.75" x14ac:dyDescent="0.25">
      <c r="U194" s="92"/>
      <c r="V194" s="92"/>
      <c r="W194" s="92"/>
      <c r="X194" s="92"/>
      <c r="Y194" s="92"/>
      <c r="Z194" s="94"/>
    </row>
    <row r="195" spans="21:26" ht="15.75" x14ac:dyDescent="0.25">
      <c r="U195" s="92"/>
      <c r="V195" s="92"/>
      <c r="W195" s="92"/>
      <c r="X195" s="92"/>
      <c r="Y195" s="92"/>
      <c r="Z195" s="94"/>
    </row>
    <row r="196" spans="21:26" ht="15.75" x14ac:dyDescent="0.25">
      <c r="U196" s="92"/>
      <c r="V196" s="92"/>
      <c r="W196" s="92"/>
      <c r="X196" s="92"/>
      <c r="Y196" s="92"/>
      <c r="Z196" s="94"/>
    </row>
    <row r="197" spans="21:26" ht="15.75" x14ac:dyDescent="0.25">
      <c r="U197" s="92"/>
      <c r="V197" s="92"/>
      <c r="W197" s="92"/>
      <c r="X197" s="92"/>
      <c r="Y197" s="92"/>
      <c r="Z197" s="94"/>
    </row>
    <row r="198" spans="21:26" ht="15.75" x14ac:dyDescent="0.25">
      <c r="U198" s="92"/>
      <c r="V198" s="92"/>
      <c r="W198" s="92"/>
      <c r="X198" s="92"/>
      <c r="Y198" s="92"/>
      <c r="Z198" s="94"/>
    </row>
    <row r="199" spans="21:26" ht="15.75" x14ac:dyDescent="0.25">
      <c r="U199" s="92"/>
      <c r="V199" s="92"/>
      <c r="W199" s="92"/>
      <c r="X199" s="92"/>
      <c r="Y199" s="92"/>
      <c r="Z199" s="94"/>
    </row>
    <row r="200" spans="21:26" ht="15.75" x14ac:dyDescent="0.25">
      <c r="U200" s="92"/>
      <c r="V200" s="92"/>
      <c r="W200" s="92"/>
      <c r="X200" s="92"/>
      <c r="Y200" s="92"/>
      <c r="Z200" s="94"/>
    </row>
    <row r="201" spans="21:26" ht="15.75" x14ac:dyDescent="0.25">
      <c r="U201" s="92"/>
      <c r="V201" s="92"/>
      <c r="W201" s="92"/>
      <c r="X201" s="92"/>
      <c r="Y201" s="92"/>
      <c r="Z201" s="94"/>
    </row>
    <row r="202" spans="21:26" ht="15.75" x14ac:dyDescent="0.25">
      <c r="U202" s="92"/>
      <c r="V202" s="92"/>
      <c r="W202" s="92"/>
      <c r="X202" s="92"/>
      <c r="Y202" s="92"/>
      <c r="Z202" s="94"/>
    </row>
    <row r="203" spans="21:26" ht="15.75" x14ac:dyDescent="0.25">
      <c r="U203" s="92"/>
      <c r="V203" s="92"/>
      <c r="W203" s="92"/>
      <c r="X203" s="92"/>
      <c r="Y203" s="92"/>
      <c r="Z203" s="94"/>
    </row>
    <row r="204" spans="21:26" ht="15.75" x14ac:dyDescent="0.25">
      <c r="U204" s="92"/>
      <c r="V204" s="92"/>
      <c r="W204" s="92"/>
      <c r="X204" s="92"/>
      <c r="Y204" s="92"/>
      <c r="Z204" s="94"/>
    </row>
    <row r="205" spans="21:26" ht="15.75" x14ac:dyDescent="0.25">
      <c r="U205" s="92"/>
      <c r="V205" s="92"/>
      <c r="W205" s="92"/>
      <c r="X205" s="92"/>
      <c r="Y205" s="92"/>
      <c r="Z205" s="94"/>
    </row>
    <row r="206" spans="21:26" ht="15.75" x14ac:dyDescent="0.25">
      <c r="U206" s="92"/>
      <c r="V206" s="92"/>
      <c r="W206" s="92"/>
      <c r="X206" s="92"/>
      <c r="Y206" s="92"/>
      <c r="Z206" s="94"/>
    </row>
    <row r="207" spans="21:26" ht="15.75" x14ac:dyDescent="0.25">
      <c r="U207" s="92"/>
      <c r="V207" s="92"/>
      <c r="W207" s="92"/>
      <c r="X207" s="92"/>
      <c r="Y207" s="92"/>
      <c r="Z207" s="94"/>
    </row>
    <row r="208" spans="21:26" ht="15.75" x14ac:dyDescent="0.25">
      <c r="U208" s="92"/>
      <c r="V208" s="92"/>
      <c r="W208" s="92"/>
      <c r="X208" s="92"/>
      <c r="Y208" s="92"/>
      <c r="Z208" s="94"/>
    </row>
    <row r="209" spans="21:26" ht="15.75" x14ac:dyDescent="0.25">
      <c r="U209" s="92"/>
      <c r="V209" s="92"/>
      <c r="W209" s="92"/>
      <c r="X209" s="92"/>
      <c r="Y209" s="92"/>
      <c r="Z209" s="94"/>
    </row>
    <row r="210" spans="21:26" ht="15.75" x14ac:dyDescent="0.25">
      <c r="U210" s="92"/>
      <c r="V210" s="92"/>
      <c r="W210" s="92"/>
      <c r="X210" s="92"/>
      <c r="Y210" s="92"/>
      <c r="Z210" s="94"/>
    </row>
    <row r="211" spans="21:26" ht="15.75" x14ac:dyDescent="0.25">
      <c r="U211" s="92"/>
      <c r="V211" s="92"/>
      <c r="W211" s="92"/>
      <c r="X211" s="92"/>
      <c r="Y211" s="92"/>
      <c r="Z211" s="94"/>
    </row>
    <row r="212" spans="21:26" ht="15.75" x14ac:dyDescent="0.25">
      <c r="U212" s="92"/>
      <c r="V212" s="92"/>
      <c r="W212" s="92"/>
      <c r="X212" s="92"/>
      <c r="Y212" s="92"/>
      <c r="Z212" s="94"/>
    </row>
    <row r="213" spans="21:26" ht="15.75" x14ac:dyDescent="0.25">
      <c r="U213" s="92"/>
      <c r="V213" s="92"/>
      <c r="W213" s="92"/>
      <c r="X213" s="92"/>
      <c r="Y213" s="92"/>
      <c r="Z213" s="94"/>
    </row>
    <row r="214" spans="21:26" ht="15.75" x14ac:dyDescent="0.25">
      <c r="U214" s="92"/>
      <c r="V214" s="92"/>
      <c r="W214" s="92"/>
      <c r="X214" s="92"/>
      <c r="Y214" s="92"/>
      <c r="Z214" s="94"/>
    </row>
    <row r="215" spans="21:26" ht="15.75" x14ac:dyDescent="0.25">
      <c r="U215" s="92"/>
      <c r="V215" s="92"/>
      <c r="W215" s="92"/>
      <c r="X215" s="92"/>
      <c r="Y215" s="92"/>
      <c r="Z215" s="94"/>
    </row>
    <row r="216" spans="21:26" ht="15.75" x14ac:dyDescent="0.25">
      <c r="U216" s="92"/>
      <c r="V216" s="92"/>
      <c r="W216" s="92"/>
      <c r="X216" s="92"/>
      <c r="Y216" s="92"/>
      <c r="Z216" s="94"/>
    </row>
    <row r="217" spans="21:26" ht="15.75" x14ac:dyDescent="0.25">
      <c r="U217" s="92"/>
      <c r="V217" s="92"/>
      <c r="W217" s="92"/>
      <c r="X217" s="92"/>
      <c r="Y217" s="92"/>
      <c r="Z217" s="94"/>
    </row>
    <row r="218" spans="21:26" ht="15.75" x14ac:dyDescent="0.25">
      <c r="U218" s="92"/>
      <c r="V218" s="92"/>
      <c r="W218" s="92"/>
      <c r="X218" s="92"/>
      <c r="Y218" s="92"/>
      <c r="Z218" s="94"/>
    </row>
    <row r="219" spans="21:26" ht="15.75" x14ac:dyDescent="0.25">
      <c r="U219" s="92"/>
      <c r="V219" s="92"/>
      <c r="W219" s="92"/>
      <c r="X219" s="92"/>
      <c r="Y219" s="92"/>
      <c r="Z219" s="94"/>
    </row>
    <row r="220" spans="21:26" ht="15.75" x14ac:dyDescent="0.25">
      <c r="U220" s="92"/>
      <c r="V220" s="92"/>
      <c r="W220" s="92"/>
      <c r="X220" s="92"/>
      <c r="Y220" s="92"/>
      <c r="Z220" s="94"/>
    </row>
    <row r="221" spans="21:26" ht="15.75" x14ac:dyDescent="0.25">
      <c r="U221" s="92"/>
      <c r="V221" s="92"/>
      <c r="W221" s="92"/>
      <c r="X221" s="92"/>
      <c r="Y221" s="92"/>
      <c r="Z221" s="94"/>
    </row>
    <row r="222" spans="21:26" ht="15.75" x14ac:dyDescent="0.25">
      <c r="U222" s="92"/>
      <c r="V222" s="92"/>
      <c r="W222" s="92"/>
      <c r="X222" s="92"/>
      <c r="Y222" s="92"/>
      <c r="Z222" s="94"/>
    </row>
    <row r="223" spans="21:26" ht="15.75" x14ac:dyDescent="0.25">
      <c r="U223" s="92"/>
      <c r="V223" s="92"/>
      <c r="W223" s="92"/>
      <c r="X223" s="92"/>
      <c r="Y223" s="92"/>
      <c r="Z223" s="94"/>
    </row>
    <row r="224" spans="21:26" ht="15.75" x14ac:dyDescent="0.25">
      <c r="U224" s="92"/>
      <c r="V224" s="92"/>
      <c r="W224" s="92"/>
      <c r="X224" s="92"/>
      <c r="Y224" s="92"/>
      <c r="Z224" s="94"/>
    </row>
    <row r="225" spans="21:26" ht="15.75" x14ac:dyDescent="0.25">
      <c r="U225" s="92"/>
      <c r="V225" s="92"/>
      <c r="W225" s="92"/>
      <c r="X225" s="92"/>
      <c r="Y225" s="92"/>
      <c r="Z225" s="94"/>
    </row>
    <row r="226" spans="21:26" ht="15.75" x14ac:dyDescent="0.25">
      <c r="U226" s="92"/>
      <c r="V226" s="92"/>
      <c r="W226" s="92"/>
      <c r="X226" s="92"/>
      <c r="Y226" s="92"/>
      <c r="Z226" s="94"/>
    </row>
    <row r="227" spans="21:26" ht="15.75" x14ac:dyDescent="0.25">
      <c r="U227" s="92"/>
      <c r="V227" s="92"/>
      <c r="W227" s="92"/>
      <c r="X227" s="92"/>
      <c r="Y227" s="92"/>
      <c r="Z227" s="94"/>
    </row>
    <row r="228" spans="21:26" ht="15.75" x14ac:dyDescent="0.25">
      <c r="U228" s="92"/>
      <c r="V228" s="92"/>
      <c r="W228" s="92"/>
      <c r="X228" s="92"/>
      <c r="Y228" s="92"/>
      <c r="Z228" s="94"/>
    </row>
    <row r="229" spans="21:26" ht="15.75" x14ac:dyDescent="0.25">
      <c r="U229" s="92"/>
      <c r="V229" s="92"/>
      <c r="W229" s="92"/>
      <c r="X229" s="92"/>
      <c r="Y229" s="92"/>
      <c r="Z229" s="94"/>
    </row>
    <row r="230" spans="21:26" ht="15.75" x14ac:dyDescent="0.25">
      <c r="U230" s="92"/>
      <c r="V230" s="92"/>
      <c r="W230" s="92"/>
      <c r="X230" s="92"/>
      <c r="Y230" s="92"/>
      <c r="Z230" s="94"/>
    </row>
    <row r="231" spans="21:26" ht="15.75" x14ac:dyDescent="0.25">
      <c r="U231" s="92"/>
      <c r="V231" s="92"/>
      <c r="W231" s="92"/>
      <c r="X231" s="92"/>
      <c r="Y231" s="92"/>
      <c r="Z231" s="94"/>
    </row>
    <row r="232" spans="21:26" ht="15.75" x14ac:dyDescent="0.25">
      <c r="U232" s="92"/>
      <c r="V232" s="92"/>
      <c r="W232" s="92"/>
      <c r="X232" s="92"/>
      <c r="Y232" s="92"/>
      <c r="Z232" s="94"/>
    </row>
    <row r="233" spans="21:26" ht="15.75" x14ac:dyDescent="0.25">
      <c r="U233" s="92"/>
      <c r="V233" s="92"/>
      <c r="W233" s="92"/>
      <c r="X233" s="92"/>
      <c r="Y233" s="92"/>
      <c r="Z233" s="94"/>
    </row>
    <row r="234" spans="21:26" ht="15.75" x14ac:dyDescent="0.25">
      <c r="U234" s="92"/>
      <c r="V234" s="92"/>
      <c r="W234" s="92"/>
      <c r="X234" s="92"/>
      <c r="Y234" s="92"/>
      <c r="Z234" s="94"/>
    </row>
    <row r="235" spans="21:26" ht="15.75" x14ac:dyDescent="0.25">
      <c r="U235" s="92"/>
      <c r="V235" s="92"/>
      <c r="W235" s="92"/>
      <c r="X235" s="92"/>
      <c r="Y235" s="92"/>
      <c r="Z235" s="94"/>
    </row>
    <row r="236" spans="21:26" ht="15.75" x14ac:dyDescent="0.25">
      <c r="U236" s="92"/>
      <c r="V236" s="92"/>
      <c r="W236" s="92"/>
      <c r="X236" s="92"/>
      <c r="Y236" s="92"/>
      <c r="Z236" s="94"/>
    </row>
    <row r="237" spans="21:26" ht="15.75" x14ac:dyDescent="0.25">
      <c r="U237" s="107"/>
      <c r="V237" s="26"/>
      <c r="W237" s="26"/>
      <c r="X237" s="26"/>
      <c r="Y237" s="26"/>
      <c r="Z237" s="26"/>
    </row>
    <row r="238" spans="21:26" ht="15.75" x14ac:dyDescent="0.25">
      <c r="U238" s="107"/>
      <c r="V238" s="26"/>
      <c r="W238" s="26"/>
      <c r="X238" s="26"/>
      <c r="Y238" s="26"/>
      <c r="Z238" s="26"/>
    </row>
    <row r="239" spans="21:26" ht="15.75" x14ac:dyDescent="0.25">
      <c r="U239" s="107"/>
      <c r="V239" s="26"/>
      <c r="W239" s="26"/>
      <c r="X239" s="26"/>
      <c r="Y239" s="26"/>
      <c r="Z239" s="26"/>
    </row>
    <row r="240" spans="21:26" ht="15.75" x14ac:dyDescent="0.25">
      <c r="U240" s="107"/>
      <c r="V240" s="26"/>
      <c r="W240" s="26"/>
      <c r="X240" s="26"/>
      <c r="Y240" s="26"/>
      <c r="Z240" s="26"/>
    </row>
    <row r="241" spans="21:26" ht="15.75" x14ac:dyDescent="0.25">
      <c r="U241" s="107"/>
      <c r="V241" s="26"/>
      <c r="W241" s="26"/>
      <c r="X241" s="26"/>
      <c r="Y241" s="26"/>
      <c r="Z241" s="26"/>
    </row>
    <row r="242" spans="21:26" ht="15.75" x14ac:dyDescent="0.25">
      <c r="U242" s="107"/>
      <c r="V242" s="26"/>
      <c r="W242" s="26"/>
      <c r="X242" s="26"/>
      <c r="Y242" s="26"/>
      <c r="Z242" s="26"/>
    </row>
    <row r="243" spans="21:26" ht="15.75" x14ac:dyDescent="0.25">
      <c r="U243" s="107"/>
      <c r="V243" s="26"/>
      <c r="W243" s="26"/>
      <c r="X243" s="26"/>
      <c r="Y243" s="26"/>
      <c r="Z243" s="26"/>
    </row>
    <row r="244" spans="21:26" ht="15.75" x14ac:dyDescent="0.25">
      <c r="U244" s="107"/>
      <c r="V244" s="26"/>
      <c r="W244" s="26"/>
      <c r="X244" s="26"/>
      <c r="Y244" s="26"/>
      <c r="Z244" s="26"/>
    </row>
    <row r="245" spans="21:26" ht="15.75" x14ac:dyDescent="0.25">
      <c r="U245" s="107"/>
      <c r="V245" s="26"/>
      <c r="W245" s="26"/>
      <c r="X245" s="26"/>
      <c r="Y245" s="26"/>
      <c r="Z245" s="26"/>
    </row>
    <row r="246" spans="21:26" ht="15.75" x14ac:dyDescent="0.25">
      <c r="U246" s="107"/>
      <c r="V246" s="26"/>
      <c r="W246" s="26"/>
      <c r="X246" s="26"/>
      <c r="Y246" s="26"/>
      <c r="Z246" s="26"/>
    </row>
    <row r="247" spans="21:26" ht="15.75" x14ac:dyDescent="0.25">
      <c r="U247" s="107"/>
      <c r="V247" s="26"/>
      <c r="W247" s="26"/>
      <c r="X247" s="26"/>
      <c r="Y247" s="26"/>
      <c r="Z247" s="26"/>
    </row>
    <row r="248" spans="21:26" ht="15.75" x14ac:dyDescent="0.25">
      <c r="U248" s="107"/>
      <c r="V248" s="26"/>
      <c r="W248" s="26"/>
      <c r="X248" s="26"/>
      <c r="Y248" s="26"/>
      <c r="Z248" s="26"/>
    </row>
    <row r="249" spans="21:26" ht="15.75" x14ac:dyDescent="0.25">
      <c r="U249" s="107"/>
      <c r="V249" s="26"/>
      <c r="W249" s="26"/>
      <c r="X249" s="26"/>
      <c r="Y249" s="26"/>
      <c r="Z249" s="26"/>
    </row>
    <row r="250" spans="21:26" ht="15.75" x14ac:dyDescent="0.25">
      <c r="U250" s="107"/>
      <c r="V250" s="26"/>
      <c r="W250" s="26"/>
      <c r="X250" s="26"/>
      <c r="Y250" s="26"/>
      <c r="Z250" s="26"/>
    </row>
    <row r="251" spans="21:26" ht="15.75" x14ac:dyDescent="0.25">
      <c r="U251" s="107"/>
      <c r="V251" s="26"/>
      <c r="W251" s="26"/>
      <c r="X251" s="26"/>
      <c r="Y251" s="26"/>
      <c r="Z251" s="26"/>
    </row>
    <row r="252" spans="21:26" ht="15.75" x14ac:dyDescent="0.25">
      <c r="U252" s="107"/>
      <c r="V252" s="26"/>
      <c r="W252" s="26"/>
      <c r="X252" s="26"/>
      <c r="Y252" s="26"/>
      <c r="Z252" s="26"/>
    </row>
    <row r="253" spans="21:26" ht="15.75" x14ac:dyDescent="0.25">
      <c r="U253" s="107"/>
      <c r="V253" s="26"/>
      <c r="W253" s="26"/>
      <c r="X253" s="26"/>
      <c r="Y253" s="26"/>
      <c r="Z253" s="26"/>
    </row>
    <row r="254" spans="21:26" ht="15.75" x14ac:dyDescent="0.25">
      <c r="U254" s="107"/>
      <c r="V254" s="26"/>
      <c r="W254" s="26"/>
      <c r="X254" s="26"/>
      <c r="Y254" s="26"/>
      <c r="Z254" s="26"/>
    </row>
    <row r="255" spans="21:26" ht="15.75" x14ac:dyDescent="0.25">
      <c r="U255" s="107"/>
      <c r="V255" s="26"/>
      <c r="W255" s="26"/>
      <c r="X255" s="26"/>
      <c r="Y255" s="26"/>
      <c r="Z255" s="26"/>
    </row>
    <row r="256" spans="21:26" ht="15.75" x14ac:dyDescent="0.25">
      <c r="U256" s="107"/>
      <c r="V256" s="26"/>
      <c r="W256" s="26"/>
      <c r="X256" s="26"/>
      <c r="Y256" s="26"/>
      <c r="Z256" s="26"/>
    </row>
    <row r="257" spans="21:26" ht="15.75" x14ac:dyDescent="0.25">
      <c r="U257" s="107"/>
      <c r="V257" s="26"/>
      <c r="W257" s="26"/>
      <c r="X257" s="26"/>
      <c r="Y257" s="26"/>
      <c r="Z257" s="26"/>
    </row>
    <row r="258" spans="21:26" ht="15.75" x14ac:dyDescent="0.25">
      <c r="U258" s="107"/>
      <c r="V258" s="26"/>
      <c r="W258" s="26"/>
      <c r="X258" s="26"/>
      <c r="Y258" s="26"/>
      <c r="Z258" s="26"/>
    </row>
    <row r="259" spans="21:26" ht="15.75" x14ac:dyDescent="0.25">
      <c r="U259" s="107"/>
      <c r="V259" s="26"/>
      <c r="W259" s="26"/>
      <c r="X259" s="26"/>
      <c r="Y259" s="26"/>
      <c r="Z259" s="26"/>
    </row>
    <row r="260" spans="21:26" ht="15.75" x14ac:dyDescent="0.25">
      <c r="U260" s="107"/>
      <c r="V260" s="26"/>
      <c r="W260" s="26"/>
      <c r="X260" s="26"/>
      <c r="Y260" s="26"/>
      <c r="Z260" s="26"/>
    </row>
    <row r="261" spans="21:26" ht="15.75" x14ac:dyDescent="0.25">
      <c r="U261" s="107"/>
      <c r="V261" s="26"/>
      <c r="W261" s="26"/>
      <c r="X261" s="26"/>
      <c r="Y261" s="26"/>
      <c r="Z261" s="26"/>
    </row>
    <row r="262" spans="21:26" ht="15.75" x14ac:dyDescent="0.25">
      <c r="U262" s="107"/>
      <c r="V262" s="26"/>
      <c r="W262" s="26"/>
      <c r="X262" s="26"/>
      <c r="Y262" s="26"/>
      <c r="Z262" s="26"/>
    </row>
    <row r="263" spans="21:26" ht="15.75" x14ac:dyDescent="0.25">
      <c r="U263" s="107"/>
      <c r="V263" s="26"/>
      <c r="W263" s="26"/>
      <c r="X263" s="26"/>
      <c r="Y263" s="26"/>
      <c r="Z263" s="26"/>
    </row>
    <row r="264" spans="21:26" ht="15.75" x14ac:dyDescent="0.25">
      <c r="U264" s="107"/>
      <c r="V264" s="26"/>
      <c r="W264" s="26"/>
      <c r="X264" s="26"/>
      <c r="Y264" s="26"/>
      <c r="Z264" s="26"/>
    </row>
    <row r="265" spans="21:26" ht="15.75" x14ac:dyDescent="0.25">
      <c r="U265" s="107"/>
      <c r="V265" s="26"/>
      <c r="W265" s="26"/>
      <c r="X265" s="26"/>
      <c r="Y265" s="26"/>
      <c r="Z265" s="26"/>
    </row>
    <row r="266" spans="21:26" ht="15.75" x14ac:dyDescent="0.25">
      <c r="U266" s="107"/>
      <c r="V266" s="26"/>
      <c r="W266" s="26"/>
      <c r="X266" s="26"/>
      <c r="Y266" s="26"/>
      <c r="Z266" s="26"/>
    </row>
    <row r="267" spans="21:26" ht="15.75" x14ac:dyDescent="0.25">
      <c r="U267" s="107"/>
      <c r="V267" s="26"/>
      <c r="W267" s="26"/>
      <c r="X267" s="26"/>
      <c r="Y267" s="26"/>
      <c r="Z267" s="26"/>
    </row>
    <row r="268" spans="21:26" ht="15.75" x14ac:dyDescent="0.25">
      <c r="U268" s="107"/>
      <c r="V268" s="26"/>
      <c r="W268" s="26"/>
      <c r="X268" s="26"/>
      <c r="Y268" s="26"/>
      <c r="Z268" s="26"/>
    </row>
    <row r="269" spans="21:26" ht="15.75" x14ac:dyDescent="0.25">
      <c r="U269" s="107"/>
      <c r="V269" s="26"/>
      <c r="W269" s="26"/>
      <c r="X269" s="26"/>
      <c r="Y269" s="26"/>
      <c r="Z269" s="26"/>
    </row>
    <row r="270" spans="21:26" ht="15.75" x14ac:dyDescent="0.25">
      <c r="U270" s="107"/>
      <c r="V270" s="26"/>
      <c r="W270" s="26"/>
      <c r="X270" s="26"/>
      <c r="Y270" s="26"/>
      <c r="Z270" s="26"/>
    </row>
    <row r="271" spans="21:26" ht="15.75" x14ac:dyDescent="0.25">
      <c r="U271" s="107"/>
      <c r="V271" s="26"/>
      <c r="W271" s="26"/>
      <c r="X271" s="26"/>
      <c r="Y271" s="26"/>
      <c r="Z271" s="26"/>
    </row>
    <row r="272" spans="21:26" ht="15.75" x14ac:dyDescent="0.25">
      <c r="U272" s="107"/>
      <c r="V272" s="26"/>
      <c r="W272" s="26"/>
      <c r="X272" s="26"/>
      <c r="Y272" s="26"/>
      <c r="Z272" s="26"/>
    </row>
    <row r="273" spans="21:26" ht="15.75" x14ac:dyDescent="0.25">
      <c r="U273" s="107"/>
      <c r="V273" s="26"/>
      <c r="W273" s="26"/>
      <c r="X273" s="26"/>
      <c r="Y273" s="26"/>
      <c r="Z273" s="26"/>
    </row>
    <row r="274" spans="21:26" ht="15.75" x14ac:dyDescent="0.25">
      <c r="U274" s="107"/>
      <c r="V274" s="26"/>
      <c r="W274" s="26"/>
      <c r="X274" s="26"/>
      <c r="Y274" s="26"/>
      <c r="Z274" s="26"/>
    </row>
    <row r="275" spans="21:26" ht="15.75" x14ac:dyDescent="0.25">
      <c r="U275" s="107"/>
      <c r="V275" s="26"/>
      <c r="W275" s="26"/>
      <c r="X275" s="26"/>
      <c r="Y275" s="26"/>
      <c r="Z275" s="26"/>
    </row>
    <row r="276" spans="21:26" ht="15.75" x14ac:dyDescent="0.25">
      <c r="U276" s="107"/>
      <c r="V276" s="26"/>
      <c r="W276" s="26"/>
      <c r="X276" s="26"/>
      <c r="Y276" s="26"/>
      <c r="Z276" s="26"/>
    </row>
    <row r="277" spans="21:26" ht="15.75" x14ac:dyDescent="0.25">
      <c r="U277" s="107"/>
      <c r="V277" s="26"/>
      <c r="W277" s="26"/>
      <c r="X277" s="26"/>
      <c r="Y277" s="26"/>
      <c r="Z277" s="26"/>
    </row>
    <row r="278" spans="21:26" ht="15.75" x14ac:dyDescent="0.25">
      <c r="U278" s="107"/>
      <c r="V278" s="26"/>
      <c r="W278" s="26"/>
      <c r="X278" s="26"/>
      <c r="Y278" s="26"/>
      <c r="Z278" s="26"/>
    </row>
    <row r="279" spans="21:26" ht="15.75" x14ac:dyDescent="0.25">
      <c r="U279" s="107"/>
      <c r="V279" s="26"/>
      <c r="W279" s="26"/>
      <c r="X279" s="26"/>
      <c r="Y279" s="26"/>
      <c r="Z279" s="26"/>
    </row>
    <row r="280" spans="21:26" ht="15.75" x14ac:dyDescent="0.25">
      <c r="U280" s="107"/>
      <c r="V280" s="26"/>
      <c r="W280" s="26"/>
      <c r="X280" s="26"/>
      <c r="Y280" s="26"/>
      <c r="Z280" s="26"/>
    </row>
    <row r="281" spans="21:26" ht="15.75" x14ac:dyDescent="0.25">
      <c r="U281" s="107"/>
      <c r="V281" s="26"/>
      <c r="W281" s="26"/>
      <c r="X281" s="26"/>
      <c r="Y281" s="26"/>
      <c r="Z281" s="26"/>
    </row>
    <row r="282" spans="21:26" ht="15.75" x14ac:dyDescent="0.25">
      <c r="U282" s="107"/>
      <c r="V282" s="26"/>
      <c r="W282" s="26"/>
      <c r="X282" s="26"/>
      <c r="Y282" s="26"/>
      <c r="Z282" s="26"/>
    </row>
    <row r="283" spans="21:26" ht="15.75" x14ac:dyDescent="0.25">
      <c r="U283" s="107"/>
      <c r="V283" s="26"/>
      <c r="W283" s="26"/>
      <c r="X283" s="26"/>
      <c r="Y283" s="26"/>
      <c r="Z283" s="26"/>
    </row>
    <row r="284" spans="21:26" ht="15.75" x14ac:dyDescent="0.25">
      <c r="U284" s="107"/>
      <c r="V284" s="26"/>
      <c r="W284" s="26"/>
      <c r="X284" s="26"/>
      <c r="Y284" s="26"/>
      <c r="Z284" s="26"/>
    </row>
    <row r="285" spans="21:26" ht="15.75" x14ac:dyDescent="0.25">
      <c r="U285" s="107"/>
      <c r="V285" s="26"/>
      <c r="W285" s="26"/>
      <c r="X285" s="26"/>
      <c r="Y285" s="26"/>
      <c r="Z285" s="26"/>
    </row>
    <row r="286" spans="21:26" ht="15.75" x14ac:dyDescent="0.25">
      <c r="U286" s="107"/>
      <c r="V286" s="26"/>
      <c r="W286" s="26"/>
      <c r="X286" s="26"/>
      <c r="Y286" s="26"/>
      <c r="Z286" s="26"/>
    </row>
    <row r="287" spans="21:26" ht="15.75" x14ac:dyDescent="0.25">
      <c r="U287" s="107"/>
      <c r="V287" s="26"/>
      <c r="W287" s="26"/>
      <c r="X287" s="26"/>
      <c r="Y287" s="26"/>
      <c r="Z287" s="26"/>
    </row>
    <row r="288" spans="21:26" ht="15.75" x14ac:dyDescent="0.25">
      <c r="U288" s="107"/>
      <c r="V288" s="26"/>
      <c r="W288" s="26"/>
      <c r="X288" s="26"/>
      <c r="Y288" s="26"/>
      <c r="Z288" s="26"/>
    </row>
    <row r="289" spans="21:26" ht="15.75" x14ac:dyDescent="0.25">
      <c r="U289" s="107"/>
      <c r="V289" s="26"/>
      <c r="W289" s="26"/>
      <c r="X289" s="26"/>
      <c r="Y289" s="26"/>
      <c r="Z289" s="26"/>
    </row>
    <row r="290" spans="21:26" ht="15.75" x14ac:dyDescent="0.25">
      <c r="U290" s="107"/>
      <c r="V290" s="26"/>
      <c r="W290" s="26"/>
      <c r="X290" s="26"/>
      <c r="Y290" s="26"/>
      <c r="Z290" s="26"/>
    </row>
    <row r="291" spans="21:26" ht="15.75" x14ac:dyDescent="0.25">
      <c r="U291" s="107"/>
      <c r="V291" s="26"/>
      <c r="W291" s="26"/>
      <c r="X291" s="26"/>
      <c r="Y291" s="26"/>
      <c r="Z291" s="26"/>
    </row>
    <row r="292" spans="21:26" ht="15.75" x14ac:dyDescent="0.25">
      <c r="U292" s="107"/>
      <c r="V292" s="26"/>
      <c r="W292" s="26"/>
      <c r="X292" s="26"/>
      <c r="Y292" s="26"/>
      <c r="Z292" s="26"/>
    </row>
    <row r="293" spans="21:26" ht="15.75" x14ac:dyDescent="0.25">
      <c r="U293" s="107"/>
      <c r="V293" s="26"/>
      <c r="W293" s="26"/>
      <c r="X293" s="26"/>
      <c r="Y293" s="26"/>
      <c r="Z293" s="26"/>
    </row>
    <row r="294" spans="21:26" ht="15.75" x14ac:dyDescent="0.25">
      <c r="U294" s="107"/>
      <c r="V294" s="26"/>
      <c r="W294" s="26"/>
      <c r="X294" s="26"/>
      <c r="Y294" s="26"/>
      <c r="Z294" s="26"/>
    </row>
    <row r="295" spans="21:26" ht="15.75" x14ac:dyDescent="0.25">
      <c r="U295" s="107"/>
      <c r="V295" s="26"/>
      <c r="W295" s="26"/>
      <c r="X295" s="26"/>
      <c r="Y295" s="26"/>
      <c r="Z295" s="26"/>
    </row>
    <row r="296" spans="21:26" ht="15.75" x14ac:dyDescent="0.25">
      <c r="U296" s="107"/>
      <c r="V296" s="26"/>
      <c r="W296" s="26"/>
      <c r="X296" s="26"/>
      <c r="Y296" s="26"/>
      <c r="Z296" s="26"/>
    </row>
    <row r="297" spans="21:26" ht="15.75" x14ac:dyDescent="0.25">
      <c r="U297" s="107"/>
      <c r="V297" s="26"/>
      <c r="W297" s="26"/>
      <c r="X297" s="26"/>
      <c r="Y297" s="26"/>
      <c r="Z297" s="26"/>
    </row>
    <row r="298" spans="21:26" ht="15.75" x14ac:dyDescent="0.25">
      <c r="U298" s="107"/>
      <c r="V298" s="26"/>
      <c r="W298" s="26"/>
      <c r="X298" s="26"/>
      <c r="Y298" s="26"/>
      <c r="Z298" s="26"/>
    </row>
    <row r="299" spans="21:26" ht="15.75" x14ac:dyDescent="0.25">
      <c r="U299" s="107"/>
      <c r="V299" s="26"/>
      <c r="W299" s="26"/>
      <c r="X299" s="26"/>
      <c r="Y299" s="26"/>
      <c r="Z299" s="26"/>
    </row>
    <row r="300" spans="21:26" ht="15.75" x14ac:dyDescent="0.25">
      <c r="U300" s="107"/>
      <c r="V300" s="26"/>
      <c r="W300" s="26"/>
      <c r="X300" s="26"/>
      <c r="Y300" s="26"/>
      <c r="Z300" s="26"/>
    </row>
    <row r="301" spans="21:26" ht="15.75" x14ac:dyDescent="0.25">
      <c r="U301" s="107"/>
      <c r="V301" s="26"/>
      <c r="W301" s="26"/>
      <c r="X301" s="26"/>
      <c r="Y301" s="26"/>
      <c r="Z301" s="26"/>
    </row>
    <row r="302" spans="21:26" ht="15.75" x14ac:dyDescent="0.25">
      <c r="U302" s="107"/>
      <c r="V302" s="26"/>
      <c r="W302" s="26"/>
      <c r="X302" s="26"/>
      <c r="Y302" s="26"/>
      <c r="Z302" s="26"/>
    </row>
    <row r="303" spans="21:26" ht="15.75" x14ac:dyDescent="0.25">
      <c r="U303" s="107"/>
      <c r="V303" s="26"/>
      <c r="W303" s="26"/>
      <c r="X303" s="26"/>
      <c r="Y303" s="26"/>
      <c r="Z303" s="26"/>
    </row>
    <row r="304" spans="21:26" ht="15.75" x14ac:dyDescent="0.25">
      <c r="U304" s="107"/>
      <c r="V304" s="26"/>
      <c r="W304" s="26"/>
      <c r="X304" s="26"/>
      <c r="Y304" s="26"/>
      <c r="Z304" s="26"/>
    </row>
    <row r="305" spans="21:26" ht="15.75" x14ac:dyDescent="0.25">
      <c r="U305" s="107"/>
      <c r="V305" s="26"/>
      <c r="W305" s="26"/>
      <c r="X305" s="26"/>
      <c r="Y305" s="26"/>
      <c r="Z305" s="26"/>
    </row>
    <row r="306" spans="21:26" ht="15.75" x14ac:dyDescent="0.25">
      <c r="U306" s="107"/>
      <c r="V306" s="26"/>
      <c r="W306" s="26"/>
      <c r="X306" s="26"/>
      <c r="Y306" s="26"/>
      <c r="Z306" s="26"/>
    </row>
    <row r="307" spans="21:26" ht="15.75" x14ac:dyDescent="0.25">
      <c r="U307" s="107"/>
      <c r="V307" s="26"/>
      <c r="W307" s="26"/>
      <c r="X307" s="26"/>
      <c r="Y307" s="26"/>
      <c r="Z307" s="26"/>
    </row>
    <row r="308" spans="21:26" ht="15.75" x14ac:dyDescent="0.25">
      <c r="U308" s="107"/>
      <c r="V308" s="26"/>
      <c r="W308" s="26"/>
      <c r="X308" s="26"/>
      <c r="Y308" s="26"/>
      <c r="Z308" s="26"/>
    </row>
    <row r="309" spans="21:26" ht="15.75" x14ac:dyDescent="0.25">
      <c r="U309" s="107"/>
      <c r="V309" s="26"/>
      <c r="W309" s="26"/>
      <c r="X309" s="26"/>
      <c r="Y309" s="26"/>
      <c r="Z309" s="26"/>
    </row>
    <row r="310" spans="21:26" ht="15.75" x14ac:dyDescent="0.25">
      <c r="U310" s="107"/>
      <c r="V310" s="26"/>
      <c r="W310" s="26"/>
      <c r="X310" s="26"/>
      <c r="Y310" s="26"/>
      <c r="Z310" s="26"/>
    </row>
    <row r="311" spans="21:26" ht="15.75" x14ac:dyDescent="0.25">
      <c r="U311" s="107"/>
      <c r="V311" s="26"/>
      <c r="W311" s="26"/>
      <c r="X311" s="26"/>
      <c r="Y311" s="26"/>
      <c r="Z311" s="26"/>
    </row>
    <row r="312" spans="21:26" ht="15.75" x14ac:dyDescent="0.25">
      <c r="U312" s="107"/>
      <c r="V312" s="26"/>
      <c r="W312" s="26"/>
      <c r="X312" s="26"/>
      <c r="Y312" s="26"/>
      <c r="Z312" s="26"/>
    </row>
    <row r="313" spans="21:26" ht="15.75" x14ac:dyDescent="0.25">
      <c r="U313" s="107"/>
      <c r="V313" s="26"/>
      <c r="W313" s="26"/>
      <c r="X313" s="26"/>
      <c r="Y313" s="26"/>
      <c r="Z313" s="26"/>
    </row>
    <row r="314" spans="21:26" ht="15.75" x14ac:dyDescent="0.25">
      <c r="U314" s="107"/>
      <c r="V314" s="26"/>
      <c r="W314" s="26"/>
      <c r="X314" s="26"/>
      <c r="Y314" s="26"/>
      <c r="Z314" s="26"/>
    </row>
    <row r="315" spans="21:26" ht="15.75" x14ac:dyDescent="0.25">
      <c r="U315" s="107"/>
      <c r="V315" s="26"/>
      <c r="W315" s="26"/>
      <c r="X315" s="26"/>
      <c r="Y315" s="26"/>
      <c r="Z315" s="26"/>
    </row>
    <row r="316" spans="21:26" ht="15.75" x14ac:dyDescent="0.25">
      <c r="U316" s="107"/>
      <c r="V316" s="26"/>
      <c r="W316" s="26"/>
      <c r="X316" s="26"/>
      <c r="Y316" s="26"/>
      <c r="Z316" s="26"/>
    </row>
    <row r="317" spans="21:26" ht="15.75" x14ac:dyDescent="0.25">
      <c r="U317" s="107"/>
      <c r="V317" s="26"/>
      <c r="W317" s="26"/>
      <c r="X317" s="26"/>
      <c r="Y317" s="26"/>
      <c r="Z317" s="26"/>
    </row>
    <row r="318" spans="21:26" ht="15.75" x14ac:dyDescent="0.25">
      <c r="U318" s="107"/>
      <c r="V318" s="26"/>
      <c r="W318" s="26"/>
      <c r="X318" s="26"/>
      <c r="Y318" s="26"/>
      <c r="Z318" s="26"/>
    </row>
    <row r="319" spans="21:26" ht="15.75" x14ac:dyDescent="0.25">
      <c r="U319" s="107"/>
      <c r="V319" s="26"/>
      <c r="W319" s="26"/>
      <c r="X319" s="26"/>
      <c r="Y319" s="26"/>
      <c r="Z319" s="26"/>
    </row>
    <row r="320" spans="21:26" ht="15.75" x14ac:dyDescent="0.25">
      <c r="U320" s="107"/>
      <c r="V320" s="26"/>
      <c r="W320" s="26"/>
      <c r="X320" s="26"/>
      <c r="Y320" s="26"/>
      <c r="Z320" s="26"/>
    </row>
    <row r="321" spans="21:26" ht="15.75" x14ac:dyDescent="0.25">
      <c r="U321" s="107"/>
      <c r="V321" s="26"/>
      <c r="W321" s="26"/>
      <c r="X321" s="26"/>
      <c r="Y321" s="26"/>
      <c r="Z321" s="26"/>
    </row>
    <row r="322" spans="21:26" ht="15.75" x14ac:dyDescent="0.25">
      <c r="U322" s="107"/>
      <c r="V322" s="26"/>
      <c r="W322" s="26"/>
      <c r="X322" s="26"/>
      <c r="Y322" s="26"/>
      <c r="Z322" s="26"/>
    </row>
    <row r="323" spans="21:26" ht="15.75" x14ac:dyDescent="0.25">
      <c r="U323" s="107"/>
      <c r="V323" s="26"/>
      <c r="W323" s="26"/>
      <c r="X323" s="26"/>
      <c r="Y323" s="26"/>
      <c r="Z323" s="26"/>
    </row>
    <row r="324" spans="21:26" ht="15.75" x14ac:dyDescent="0.25">
      <c r="U324" s="107"/>
      <c r="V324" s="26"/>
      <c r="W324" s="26"/>
      <c r="X324" s="26"/>
      <c r="Y324" s="26"/>
      <c r="Z324" s="26"/>
    </row>
    <row r="325" spans="21:26" ht="15.75" x14ac:dyDescent="0.25">
      <c r="U325" s="107"/>
      <c r="V325" s="26"/>
      <c r="W325" s="26"/>
      <c r="X325" s="26"/>
      <c r="Y325" s="26"/>
      <c r="Z325" s="26"/>
    </row>
    <row r="326" spans="21:26" ht="15.75" x14ac:dyDescent="0.25">
      <c r="U326" s="107"/>
      <c r="V326" s="26"/>
      <c r="W326" s="26"/>
      <c r="X326" s="26"/>
      <c r="Y326" s="26"/>
      <c r="Z326" s="26"/>
    </row>
    <row r="327" spans="21:26" ht="15.75" x14ac:dyDescent="0.25">
      <c r="U327" s="107"/>
      <c r="V327" s="26"/>
      <c r="W327" s="26"/>
      <c r="X327" s="26"/>
      <c r="Y327" s="26"/>
      <c r="Z327" s="26"/>
    </row>
    <row r="328" spans="21:26" ht="15.75" x14ac:dyDescent="0.25">
      <c r="U328" s="107"/>
      <c r="V328" s="26"/>
      <c r="W328" s="26"/>
      <c r="X328" s="26"/>
      <c r="Y328" s="26"/>
      <c r="Z328" s="26"/>
    </row>
    <row r="329" spans="21:26" ht="15.75" x14ac:dyDescent="0.25">
      <c r="U329" s="107"/>
      <c r="V329" s="26"/>
      <c r="W329" s="26"/>
      <c r="X329" s="26"/>
      <c r="Y329" s="26"/>
      <c r="Z329" s="26"/>
    </row>
    <row r="330" spans="21:26" ht="15.75" x14ac:dyDescent="0.25">
      <c r="U330" s="107"/>
      <c r="V330" s="26"/>
      <c r="W330" s="26"/>
      <c r="X330" s="26"/>
      <c r="Y330" s="26"/>
      <c r="Z330" s="26"/>
    </row>
    <row r="331" spans="21:26" ht="15.75" x14ac:dyDescent="0.25">
      <c r="U331" s="107"/>
      <c r="V331" s="26"/>
      <c r="W331" s="26"/>
      <c r="X331" s="26"/>
      <c r="Y331" s="26"/>
      <c r="Z331" s="26"/>
    </row>
    <row r="332" spans="21:26" ht="15.75" x14ac:dyDescent="0.25">
      <c r="U332" s="107"/>
      <c r="V332" s="26"/>
      <c r="W332" s="26"/>
      <c r="X332" s="26"/>
      <c r="Y332" s="26"/>
      <c r="Z332" s="26"/>
    </row>
    <row r="333" spans="21:26" ht="15.75" x14ac:dyDescent="0.25">
      <c r="U333" s="107"/>
      <c r="V333" s="26"/>
      <c r="W333" s="26"/>
      <c r="X333" s="26"/>
      <c r="Y333" s="26"/>
      <c r="Z333" s="26"/>
    </row>
    <row r="334" spans="21:26" ht="15.75" x14ac:dyDescent="0.25">
      <c r="U334" s="107"/>
      <c r="V334" s="26"/>
      <c r="W334" s="26"/>
      <c r="X334" s="26"/>
      <c r="Y334" s="26"/>
      <c r="Z334" s="26"/>
    </row>
    <row r="335" spans="21:26" ht="15.75" x14ac:dyDescent="0.25">
      <c r="U335" s="107"/>
      <c r="V335" s="26"/>
      <c r="W335" s="26"/>
      <c r="X335" s="26"/>
      <c r="Y335" s="26"/>
      <c r="Z335" s="26"/>
    </row>
    <row r="336" spans="21:26" ht="15.75" x14ac:dyDescent="0.25">
      <c r="U336" s="107"/>
      <c r="V336" s="26"/>
      <c r="W336" s="26"/>
      <c r="X336" s="26"/>
      <c r="Y336" s="26"/>
      <c r="Z336" s="26"/>
    </row>
    <row r="337" spans="21:26" ht="15.75" x14ac:dyDescent="0.25">
      <c r="U337" s="107"/>
      <c r="V337" s="26"/>
      <c r="W337" s="26"/>
      <c r="X337" s="26"/>
      <c r="Y337" s="26"/>
      <c r="Z337" s="26"/>
    </row>
    <row r="338" spans="21:26" ht="15.75" x14ac:dyDescent="0.25">
      <c r="U338" s="107"/>
      <c r="V338" s="26"/>
      <c r="W338" s="26"/>
      <c r="X338" s="26"/>
      <c r="Y338" s="26"/>
      <c r="Z338" s="26"/>
    </row>
    <row r="339" spans="21:26" ht="15.75" x14ac:dyDescent="0.25">
      <c r="U339" s="107"/>
      <c r="V339" s="26"/>
      <c r="W339" s="26"/>
      <c r="X339" s="26"/>
      <c r="Y339" s="26"/>
      <c r="Z339" s="26"/>
    </row>
    <row r="340" spans="21:26" ht="15.75" x14ac:dyDescent="0.25">
      <c r="U340" s="107"/>
      <c r="V340" s="26"/>
      <c r="W340" s="26"/>
      <c r="X340" s="26"/>
      <c r="Y340" s="26"/>
      <c r="Z340" s="26"/>
    </row>
    <row r="341" spans="21:26" ht="15.75" x14ac:dyDescent="0.25">
      <c r="U341" s="107"/>
      <c r="V341" s="26"/>
      <c r="W341" s="26"/>
      <c r="X341" s="26"/>
      <c r="Y341" s="26"/>
      <c r="Z341" s="26"/>
    </row>
    <row r="342" spans="21:26" ht="15.75" x14ac:dyDescent="0.25">
      <c r="U342" s="107"/>
      <c r="V342" s="26"/>
      <c r="W342" s="26"/>
      <c r="X342" s="26"/>
      <c r="Y342" s="26"/>
      <c r="Z342" s="26"/>
    </row>
    <row r="343" spans="21:26" ht="15.75" x14ac:dyDescent="0.25">
      <c r="U343" s="107"/>
      <c r="V343" s="26"/>
      <c r="W343" s="26"/>
      <c r="X343" s="26"/>
      <c r="Y343" s="26"/>
      <c r="Z343" s="26"/>
    </row>
    <row r="344" spans="21:26" ht="15.75" x14ac:dyDescent="0.25">
      <c r="U344" s="107"/>
      <c r="V344" s="26"/>
      <c r="W344" s="26"/>
      <c r="X344" s="26"/>
      <c r="Y344" s="26"/>
      <c r="Z344" s="26"/>
    </row>
    <row r="345" spans="21:26" ht="15.75" x14ac:dyDescent="0.25">
      <c r="U345" s="107"/>
      <c r="V345" s="26"/>
      <c r="W345" s="26"/>
      <c r="X345" s="26"/>
      <c r="Y345" s="26"/>
      <c r="Z345" s="26"/>
    </row>
    <row r="346" spans="21:26" ht="15.75" x14ac:dyDescent="0.25">
      <c r="U346" s="107"/>
      <c r="V346" s="26"/>
      <c r="W346" s="26"/>
      <c r="X346" s="26"/>
      <c r="Y346" s="26"/>
      <c r="Z346" s="26"/>
    </row>
    <row r="347" spans="21:26" ht="15.75" x14ac:dyDescent="0.25">
      <c r="U347" s="107"/>
      <c r="V347" s="26"/>
      <c r="W347" s="26"/>
      <c r="X347" s="26"/>
      <c r="Y347" s="26"/>
      <c r="Z347" s="26"/>
    </row>
    <row r="348" spans="21:26" ht="15.75" x14ac:dyDescent="0.25">
      <c r="U348" s="107"/>
      <c r="V348" s="26"/>
      <c r="W348" s="26"/>
      <c r="X348" s="26"/>
      <c r="Y348" s="26"/>
      <c r="Z348" s="26"/>
    </row>
    <row r="349" spans="21:26" ht="15.75" x14ac:dyDescent="0.25">
      <c r="U349" s="107"/>
      <c r="V349" s="26"/>
      <c r="W349" s="26"/>
      <c r="X349" s="26"/>
      <c r="Y349" s="26"/>
      <c r="Z349" s="26"/>
    </row>
    <row r="350" spans="21:26" ht="15.75" x14ac:dyDescent="0.25">
      <c r="U350" s="107"/>
      <c r="V350" s="26"/>
      <c r="W350" s="26"/>
      <c r="X350" s="26"/>
      <c r="Y350" s="26"/>
      <c r="Z350" s="26"/>
    </row>
    <row r="351" spans="21:26" ht="15.75" x14ac:dyDescent="0.25">
      <c r="U351" s="107"/>
      <c r="V351" s="26"/>
      <c r="W351" s="26"/>
      <c r="X351" s="26"/>
      <c r="Y351" s="26"/>
      <c r="Z351" s="26"/>
    </row>
    <row r="352" spans="21:26" ht="15.75" x14ac:dyDescent="0.25">
      <c r="U352" s="107"/>
      <c r="V352" s="26"/>
      <c r="W352" s="26"/>
      <c r="X352" s="26"/>
      <c r="Y352" s="26"/>
      <c r="Z352" s="26"/>
    </row>
    <row r="353" spans="21:26" ht="15.75" x14ac:dyDescent="0.25">
      <c r="U353" s="107"/>
      <c r="V353" s="26"/>
      <c r="W353" s="26"/>
      <c r="X353" s="26"/>
      <c r="Y353" s="26"/>
      <c r="Z353" s="26"/>
    </row>
    <row r="354" spans="21:26" ht="15.75" x14ac:dyDescent="0.25">
      <c r="U354" s="107"/>
      <c r="V354" s="26"/>
      <c r="W354" s="26"/>
      <c r="X354" s="26"/>
      <c r="Y354" s="26"/>
      <c r="Z354" s="26"/>
    </row>
    <row r="355" spans="21:26" ht="15.75" x14ac:dyDescent="0.25">
      <c r="U355" s="107"/>
      <c r="V355" s="26"/>
      <c r="W355" s="26"/>
      <c r="X355" s="26"/>
      <c r="Y355" s="26"/>
      <c r="Z355" s="26"/>
    </row>
    <row r="356" spans="21:26" ht="15.75" x14ac:dyDescent="0.25">
      <c r="U356" s="107"/>
      <c r="V356" s="26"/>
      <c r="W356" s="26"/>
      <c r="X356" s="26"/>
      <c r="Y356" s="26"/>
      <c r="Z356" s="26"/>
    </row>
    <row r="357" spans="21:26" ht="15.75" x14ac:dyDescent="0.25">
      <c r="U357" s="107"/>
      <c r="V357" s="26"/>
      <c r="W357" s="26"/>
      <c r="X357" s="26"/>
      <c r="Y357" s="26"/>
      <c r="Z357" s="26"/>
    </row>
    <row r="358" spans="21:26" ht="15.75" x14ac:dyDescent="0.25">
      <c r="U358" s="107"/>
      <c r="V358" s="26"/>
      <c r="W358" s="26"/>
      <c r="X358" s="26"/>
      <c r="Y358" s="26"/>
      <c r="Z358" s="26"/>
    </row>
    <row r="359" spans="21:26" ht="15.75" x14ac:dyDescent="0.25">
      <c r="U359" s="107"/>
      <c r="V359" s="26"/>
      <c r="W359" s="26"/>
      <c r="X359" s="26"/>
      <c r="Y359" s="26"/>
      <c r="Z359" s="26"/>
    </row>
    <row r="360" spans="21:26" ht="15.75" x14ac:dyDescent="0.25">
      <c r="U360" s="107"/>
      <c r="V360" s="26"/>
      <c r="W360" s="26"/>
      <c r="X360" s="26"/>
      <c r="Y360" s="26"/>
      <c r="Z360" s="26"/>
    </row>
    <row r="361" spans="21:26" ht="15.75" x14ac:dyDescent="0.25">
      <c r="U361" s="107"/>
      <c r="V361" s="26"/>
      <c r="W361" s="26"/>
      <c r="X361" s="26"/>
      <c r="Y361" s="26"/>
      <c r="Z361" s="26"/>
    </row>
    <row r="362" spans="21:26" ht="15.75" x14ac:dyDescent="0.25">
      <c r="U362" s="107"/>
      <c r="V362" s="26"/>
      <c r="W362" s="26"/>
      <c r="X362" s="26"/>
      <c r="Y362" s="26"/>
      <c r="Z362" s="26"/>
    </row>
    <row r="363" spans="21:26" ht="15.75" x14ac:dyDescent="0.25">
      <c r="U363" s="107"/>
      <c r="V363" s="26"/>
      <c r="W363" s="26"/>
      <c r="X363" s="26"/>
      <c r="Y363" s="26"/>
      <c r="Z363" s="26"/>
    </row>
    <row r="364" spans="21:26" ht="15.75" x14ac:dyDescent="0.25">
      <c r="U364" s="107"/>
      <c r="V364" s="26"/>
      <c r="W364" s="26"/>
      <c r="X364" s="26"/>
      <c r="Y364" s="26"/>
      <c r="Z364" s="26"/>
    </row>
    <row r="365" spans="21:26" ht="15.75" x14ac:dyDescent="0.25">
      <c r="U365" s="107"/>
      <c r="V365" s="26"/>
      <c r="W365" s="26"/>
      <c r="X365" s="26"/>
      <c r="Y365" s="26"/>
      <c r="Z365" s="26"/>
    </row>
    <row r="366" spans="21:26" ht="15.75" x14ac:dyDescent="0.25">
      <c r="U366" s="107"/>
      <c r="V366" s="26"/>
      <c r="W366" s="26"/>
      <c r="X366" s="26"/>
      <c r="Y366" s="26"/>
      <c r="Z366" s="26"/>
    </row>
    <row r="367" spans="21:26" ht="15.75" x14ac:dyDescent="0.25">
      <c r="U367" s="107"/>
      <c r="V367" s="26"/>
      <c r="W367" s="26"/>
      <c r="X367" s="26"/>
      <c r="Y367" s="26"/>
      <c r="Z367" s="26"/>
    </row>
    <row r="368" spans="21:26" ht="15.75" x14ac:dyDescent="0.25">
      <c r="U368" s="107"/>
      <c r="V368" s="26"/>
      <c r="W368" s="26"/>
      <c r="X368" s="26"/>
      <c r="Y368" s="26"/>
      <c r="Z368" s="26"/>
    </row>
    <row r="369" spans="21:26" ht="15.75" x14ac:dyDescent="0.25">
      <c r="U369" s="107"/>
      <c r="V369" s="26"/>
      <c r="W369" s="26"/>
      <c r="X369" s="26"/>
      <c r="Y369" s="26"/>
      <c r="Z369" s="26"/>
    </row>
    <row r="370" spans="21:26" ht="15.75" x14ac:dyDescent="0.25">
      <c r="U370" s="107"/>
      <c r="V370" s="26"/>
      <c r="W370" s="26"/>
      <c r="X370" s="26"/>
      <c r="Y370" s="26"/>
      <c r="Z370" s="26"/>
    </row>
    <row r="371" spans="21:26" ht="15.75" x14ac:dyDescent="0.25">
      <c r="U371" s="107"/>
      <c r="V371" s="26"/>
      <c r="W371" s="26"/>
      <c r="X371" s="26"/>
      <c r="Y371" s="26"/>
      <c r="Z371" s="26"/>
    </row>
    <row r="372" spans="21:26" ht="15.75" x14ac:dyDescent="0.25">
      <c r="U372" s="107"/>
      <c r="V372" s="26"/>
      <c r="W372" s="26"/>
      <c r="X372" s="26"/>
      <c r="Y372" s="26"/>
      <c r="Z372" s="26"/>
    </row>
    <row r="373" spans="21:26" ht="15.75" x14ac:dyDescent="0.25">
      <c r="U373" s="107"/>
      <c r="V373" s="26"/>
      <c r="W373" s="26"/>
      <c r="X373" s="26"/>
      <c r="Y373" s="26"/>
      <c r="Z373" s="26"/>
    </row>
    <row r="374" spans="21:26" ht="15.75" x14ac:dyDescent="0.25">
      <c r="U374" s="107"/>
      <c r="V374" s="26"/>
      <c r="W374" s="26"/>
      <c r="X374" s="26"/>
      <c r="Y374" s="26"/>
      <c r="Z374" s="26"/>
    </row>
    <row r="375" spans="21:26" ht="15.75" x14ac:dyDescent="0.25">
      <c r="U375" s="107"/>
      <c r="V375" s="26"/>
      <c r="W375" s="26"/>
      <c r="X375" s="26"/>
      <c r="Y375" s="26"/>
      <c r="Z375" s="26"/>
    </row>
    <row r="376" spans="21:26" ht="15.75" x14ac:dyDescent="0.25">
      <c r="U376" s="107"/>
      <c r="V376" s="26"/>
      <c r="W376" s="26"/>
      <c r="X376" s="26"/>
      <c r="Y376" s="26"/>
      <c r="Z376" s="26"/>
    </row>
    <row r="377" spans="21:26" ht="15.75" x14ac:dyDescent="0.25">
      <c r="U377" s="107"/>
      <c r="V377" s="26"/>
      <c r="W377" s="26"/>
      <c r="X377" s="26"/>
      <c r="Y377" s="26"/>
      <c r="Z377" s="26"/>
    </row>
    <row r="378" spans="21:26" ht="15.75" x14ac:dyDescent="0.25">
      <c r="U378" s="107"/>
      <c r="V378" s="26"/>
      <c r="W378" s="26"/>
      <c r="X378" s="26"/>
      <c r="Y378" s="26"/>
      <c r="Z378" s="26"/>
    </row>
    <row r="379" spans="21:26" ht="15.75" x14ac:dyDescent="0.25">
      <c r="U379" s="107"/>
      <c r="V379" s="26"/>
      <c r="W379" s="26"/>
      <c r="X379" s="26"/>
      <c r="Y379" s="26"/>
      <c r="Z379" s="26"/>
    </row>
    <row r="380" spans="21:26" ht="15.75" x14ac:dyDescent="0.25">
      <c r="U380" s="107"/>
      <c r="V380" s="26"/>
      <c r="W380" s="26"/>
      <c r="X380" s="26"/>
      <c r="Y380" s="26"/>
      <c r="Z380" s="26"/>
    </row>
  </sheetData>
  <sheetProtection algorithmName="SHA-512" hashValue="MXH4woD1J8jnnZG+PaHkQAwNpSAueejcyk/25WKVw9W6bOPt8f3xKzaA9cdMtoHWxfSxggvQ0OCVKxPhCUzWkA==" saltValue="sgm5WRQ5kIjSey1Xs3SlWw==" spinCount="100000" sheet="1" objects="1" scenarios="1"/>
  <mergeCells count="3">
    <mergeCell ref="V1:Z1"/>
    <mergeCell ref="AC1:AH1"/>
    <mergeCell ref="B3:N3"/>
  </mergeCells>
  <phoneticPr fontId="32" type="noConversion"/>
  <pageMargins left="0.70866141732283472" right="0.70866141732283472" top="0.74803149606299213" bottom="0.74803149606299213" header="0.31496062992125984" footer="0.31496062992125984"/>
  <pageSetup scale="4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T87"/>
  <sheetViews>
    <sheetView showGridLines="0" view="pageBreakPreview" zoomScale="85" zoomScaleSheetLayoutView="85" workbookViewId="0">
      <selection activeCell="B15" sqref="B15:C15"/>
    </sheetView>
  </sheetViews>
  <sheetFormatPr defaultColWidth="8.85546875" defaultRowHeight="21" x14ac:dyDescent="0.35"/>
  <cols>
    <col min="1" max="1" width="14" style="357" customWidth="1"/>
    <col min="2" max="2" width="50.42578125" style="357" customWidth="1"/>
    <col min="3" max="3" width="48.42578125" style="380" customWidth="1"/>
    <col min="4" max="4" width="7.85546875" style="357" customWidth="1"/>
    <col min="5" max="6" width="8.85546875" style="357"/>
    <col min="7" max="7" width="27.5703125" style="357" bestFit="1" customWidth="1"/>
    <col min="8" max="16384" width="8.85546875" style="357"/>
  </cols>
  <sheetData>
    <row r="1" spans="1:20" ht="22.5" customHeight="1" x14ac:dyDescent="0.25">
      <c r="A1" s="551"/>
      <c r="B1" s="552"/>
      <c r="C1" s="557" t="s">
        <v>577</v>
      </c>
      <c r="D1" s="558"/>
      <c r="E1" s="355"/>
      <c r="F1" s="356"/>
      <c r="H1" s="356"/>
      <c r="I1" s="356"/>
      <c r="J1" s="356"/>
      <c r="K1" s="356"/>
      <c r="L1" s="356"/>
      <c r="M1" s="356"/>
      <c r="N1" s="356"/>
      <c r="S1" s="358"/>
      <c r="T1" s="358"/>
    </row>
    <row r="2" spans="1:20" ht="15" customHeight="1" x14ac:dyDescent="0.25">
      <c r="A2" s="553"/>
      <c r="B2" s="554"/>
      <c r="C2" s="559"/>
      <c r="D2" s="560"/>
      <c r="E2" s="355"/>
      <c r="J2" s="356"/>
      <c r="K2" s="356"/>
      <c r="L2" s="356"/>
      <c r="M2" s="356"/>
      <c r="N2" s="356"/>
      <c r="S2" s="358"/>
      <c r="T2" s="358"/>
    </row>
    <row r="3" spans="1:20" ht="15" x14ac:dyDescent="0.25">
      <c r="A3" s="553"/>
      <c r="B3" s="554"/>
      <c r="C3" s="559"/>
      <c r="D3" s="560"/>
      <c r="E3" s="355"/>
      <c r="F3" s="356"/>
      <c r="H3" s="356"/>
      <c r="I3" s="356"/>
      <c r="J3" s="356"/>
      <c r="K3" s="356"/>
      <c r="L3" s="356"/>
      <c r="M3" s="356"/>
      <c r="N3" s="356"/>
      <c r="S3" s="358"/>
      <c r="T3" s="358"/>
    </row>
    <row r="4" spans="1:20" ht="23.25" customHeight="1" thickBot="1" x14ac:dyDescent="0.3">
      <c r="A4" s="555"/>
      <c r="B4" s="556"/>
      <c r="C4" s="561"/>
      <c r="D4" s="562"/>
      <c r="E4" s="355"/>
      <c r="F4" s="356"/>
      <c r="H4" s="356"/>
      <c r="I4" s="356"/>
      <c r="J4" s="356"/>
      <c r="K4" s="356"/>
      <c r="L4" s="356"/>
      <c r="M4" s="356"/>
      <c r="N4" s="356"/>
      <c r="S4" s="358"/>
      <c r="T4" s="358"/>
    </row>
    <row r="5" spans="1:20" s="361" customFormat="1" ht="24.95" customHeight="1" thickTop="1" thickBot="1" x14ac:dyDescent="0.35">
      <c r="A5" s="359"/>
      <c r="B5" s="563"/>
      <c r="C5" s="563"/>
      <c r="D5" s="360"/>
    </row>
    <row r="6" spans="1:20" ht="20.100000000000001" customHeight="1" thickTop="1" x14ac:dyDescent="0.25">
      <c r="A6" s="362"/>
      <c r="B6" s="564" t="s">
        <v>104</v>
      </c>
      <c r="C6" s="565"/>
      <c r="D6" s="363"/>
    </row>
    <row r="7" spans="1:20" ht="11.25" customHeight="1" x14ac:dyDescent="0.25">
      <c r="A7" s="364"/>
      <c r="B7" s="543" t="s">
        <v>16</v>
      </c>
      <c r="C7" s="544"/>
      <c r="D7" s="367"/>
    </row>
    <row r="8" spans="1:20" ht="36" customHeight="1" x14ac:dyDescent="0.25">
      <c r="A8" s="364"/>
      <c r="B8" s="539" t="s">
        <v>524</v>
      </c>
      <c r="C8" s="540"/>
      <c r="D8" s="367"/>
    </row>
    <row r="9" spans="1:20" ht="48" customHeight="1" x14ac:dyDescent="0.25">
      <c r="A9" s="364"/>
      <c r="B9" s="539" t="s">
        <v>103</v>
      </c>
      <c r="C9" s="540"/>
      <c r="D9" s="367"/>
    </row>
    <row r="10" spans="1:20" ht="11.25" customHeight="1" x14ac:dyDescent="0.25">
      <c r="A10" s="364"/>
      <c r="B10" s="543"/>
      <c r="C10" s="544"/>
      <c r="D10" s="367"/>
    </row>
    <row r="11" spans="1:20" s="370" customFormat="1" x14ac:dyDescent="0.25">
      <c r="A11" s="368"/>
      <c r="B11" s="547" t="s">
        <v>102</v>
      </c>
      <c r="C11" s="548"/>
      <c r="D11" s="369"/>
    </row>
    <row r="12" spans="1:20" ht="15.75" x14ac:dyDescent="0.25">
      <c r="A12" s="364"/>
      <c r="B12" s="549" t="s">
        <v>101</v>
      </c>
      <c r="C12" s="550"/>
      <c r="D12" s="367"/>
    </row>
    <row r="13" spans="1:20" ht="31.5" customHeight="1" x14ac:dyDescent="0.25">
      <c r="A13" s="364"/>
      <c r="B13" s="539" t="s">
        <v>100</v>
      </c>
      <c r="C13" s="540"/>
      <c r="D13" s="367"/>
    </row>
    <row r="14" spans="1:20" ht="11.25" customHeight="1" x14ac:dyDescent="0.25">
      <c r="A14" s="364"/>
      <c r="B14" s="543"/>
      <c r="C14" s="544"/>
      <c r="D14" s="367"/>
    </row>
    <row r="15" spans="1:20" s="373" customFormat="1" ht="66.75" customHeight="1" x14ac:dyDescent="0.25">
      <c r="A15" s="371" t="s">
        <v>99</v>
      </c>
      <c r="B15" s="543" t="s">
        <v>98</v>
      </c>
      <c r="C15" s="544"/>
      <c r="D15" s="372"/>
    </row>
    <row r="16" spans="1:20" ht="11.25" customHeight="1" x14ac:dyDescent="0.25">
      <c r="A16" s="364"/>
      <c r="B16" s="543"/>
      <c r="C16" s="544"/>
      <c r="D16" s="367"/>
    </row>
    <row r="17" spans="1:4" s="373" customFormat="1" ht="21.75" customHeight="1" x14ac:dyDescent="0.25">
      <c r="A17" s="371" t="s">
        <v>97</v>
      </c>
      <c r="B17" s="543" t="s">
        <v>96</v>
      </c>
      <c r="C17" s="544"/>
      <c r="D17" s="372"/>
    </row>
    <row r="18" spans="1:4" ht="11.25" customHeight="1" x14ac:dyDescent="0.25">
      <c r="A18" s="364"/>
      <c r="B18" s="543"/>
      <c r="C18" s="544"/>
      <c r="D18" s="367"/>
    </row>
    <row r="19" spans="1:4" s="373" customFormat="1" ht="31.35" customHeight="1" x14ac:dyDescent="0.25">
      <c r="A19" s="371" t="s">
        <v>479</v>
      </c>
      <c r="B19" s="543" t="s">
        <v>480</v>
      </c>
      <c r="C19" s="544"/>
      <c r="D19" s="372"/>
    </row>
    <row r="20" spans="1:4" ht="11.25" customHeight="1" x14ac:dyDescent="0.25">
      <c r="A20" s="364"/>
      <c r="B20" s="543"/>
      <c r="C20" s="544"/>
      <c r="D20" s="367"/>
    </row>
    <row r="21" spans="1:4" s="373" customFormat="1" ht="50.25" customHeight="1" x14ac:dyDescent="0.25">
      <c r="A21" s="371" t="s">
        <v>95</v>
      </c>
      <c r="B21" s="543" t="s">
        <v>94</v>
      </c>
      <c r="C21" s="544"/>
      <c r="D21" s="372"/>
    </row>
    <row r="22" spans="1:4" ht="11.25" customHeight="1" x14ac:dyDescent="0.25">
      <c r="A22" s="364"/>
      <c r="B22" s="543"/>
      <c r="C22" s="544"/>
      <c r="D22" s="367"/>
    </row>
    <row r="23" spans="1:4" ht="56.25" customHeight="1" x14ac:dyDescent="0.25">
      <c r="A23" s="371" t="s">
        <v>93</v>
      </c>
      <c r="B23" s="539" t="s">
        <v>92</v>
      </c>
      <c r="C23" s="540"/>
      <c r="D23" s="367"/>
    </row>
    <row r="24" spans="1:4" ht="11.25" customHeight="1" x14ac:dyDescent="0.25">
      <c r="A24" s="364"/>
      <c r="B24" s="543"/>
      <c r="C24" s="544"/>
      <c r="D24" s="367"/>
    </row>
    <row r="25" spans="1:4" ht="47.25" customHeight="1" x14ac:dyDescent="0.25">
      <c r="A25" s="371" t="s">
        <v>91</v>
      </c>
      <c r="B25" s="539" t="s">
        <v>90</v>
      </c>
      <c r="C25" s="540"/>
      <c r="D25" s="367"/>
    </row>
    <row r="26" spans="1:4" ht="11.25" customHeight="1" x14ac:dyDescent="0.25">
      <c r="A26" s="364"/>
      <c r="B26" s="543"/>
      <c r="C26" s="544"/>
      <c r="D26" s="367"/>
    </row>
    <row r="27" spans="1:4" ht="80.25" customHeight="1" x14ac:dyDescent="0.25">
      <c r="A27" s="371" t="s">
        <v>89</v>
      </c>
      <c r="B27" s="539" t="s">
        <v>88</v>
      </c>
      <c r="C27" s="540"/>
      <c r="D27" s="367"/>
    </row>
    <row r="28" spans="1:4" ht="11.25" customHeight="1" x14ac:dyDescent="0.25">
      <c r="A28" s="364"/>
      <c r="B28" s="543"/>
      <c r="C28" s="544"/>
      <c r="D28" s="367"/>
    </row>
    <row r="29" spans="1:4" ht="15.75" x14ac:dyDescent="0.25">
      <c r="A29" s="364"/>
      <c r="B29" s="541" t="s">
        <v>87</v>
      </c>
      <c r="C29" s="542"/>
      <c r="D29" s="367"/>
    </row>
    <row r="30" spans="1:4" ht="68.25" customHeight="1" x14ac:dyDescent="0.25">
      <c r="A30" s="364"/>
      <c r="B30" s="539" t="s">
        <v>525</v>
      </c>
      <c r="C30" s="540"/>
      <c r="D30" s="367"/>
    </row>
    <row r="31" spans="1:4" ht="11.25" customHeight="1" x14ac:dyDescent="0.25">
      <c r="A31" s="364"/>
      <c r="B31" s="543"/>
      <c r="C31" s="544"/>
      <c r="D31" s="367"/>
    </row>
    <row r="32" spans="1:4" ht="15.75" x14ac:dyDescent="0.25">
      <c r="A32" s="364"/>
      <c r="B32" s="541" t="s">
        <v>86</v>
      </c>
      <c r="C32" s="542"/>
      <c r="D32" s="367"/>
    </row>
    <row r="33" spans="1:4" ht="36" customHeight="1" x14ac:dyDescent="0.25">
      <c r="A33" s="364"/>
      <c r="B33" s="539" t="s">
        <v>85</v>
      </c>
      <c r="C33" s="540"/>
      <c r="D33" s="367"/>
    </row>
    <row r="34" spans="1:4" ht="51.75" customHeight="1" x14ac:dyDescent="0.25">
      <c r="A34" s="364"/>
      <c r="B34" s="539" t="s">
        <v>84</v>
      </c>
      <c r="C34" s="540"/>
      <c r="D34" s="367"/>
    </row>
    <row r="35" spans="1:4" ht="66.75" customHeight="1" x14ac:dyDescent="0.25">
      <c r="A35" s="364"/>
      <c r="B35" s="539" t="s">
        <v>83</v>
      </c>
      <c r="C35" s="540"/>
      <c r="D35" s="367"/>
    </row>
    <row r="36" spans="1:4" ht="15.75" x14ac:dyDescent="0.25">
      <c r="A36" s="364"/>
      <c r="B36" s="539" t="s">
        <v>82</v>
      </c>
      <c r="C36" s="540"/>
      <c r="D36" s="367"/>
    </row>
    <row r="37" spans="1:4" ht="48" customHeight="1" x14ac:dyDescent="0.25">
      <c r="A37" s="364"/>
      <c r="B37" s="539" t="s">
        <v>526</v>
      </c>
      <c r="C37" s="540"/>
      <c r="D37" s="367"/>
    </row>
    <row r="38" spans="1:4" ht="11.25" customHeight="1" x14ac:dyDescent="0.25">
      <c r="A38" s="364"/>
      <c r="B38" s="543"/>
      <c r="C38" s="544"/>
      <c r="D38" s="367"/>
    </row>
    <row r="39" spans="1:4" ht="15.75" x14ac:dyDescent="0.25">
      <c r="A39" s="364"/>
      <c r="B39" s="541" t="s">
        <v>81</v>
      </c>
      <c r="C39" s="542"/>
      <c r="D39" s="367"/>
    </row>
    <row r="40" spans="1:4" ht="51" customHeight="1" x14ac:dyDescent="0.25">
      <c r="A40" s="364"/>
      <c r="B40" s="539" t="s">
        <v>527</v>
      </c>
      <c r="C40" s="540"/>
      <c r="D40" s="367"/>
    </row>
    <row r="41" spans="1:4" ht="11.25" customHeight="1" x14ac:dyDescent="0.25">
      <c r="A41" s="364"/>
      <c r="B41" s="543"/>
      <c r="C41" s="544"/>
      <c r="D41" s="367"/>
    </row>
    <row r="42" spans="1:4" ht="11.25" customHeight="1" x14ac:dyDescent="0.25">
      <c r="A42" s="364"/>
      <c r="B42" s="543"/>
      <c r="C42" s="544"/>
      <c r="D42" s="367"/>
    </row>
    <row r="43" spans="1:4" ht="11.25" customHeight="1" x14ac:dyDescent="0.25">
      <c r="A43" s="364"/>
      <c r="B43" s="543"/>
      <c r="C43" s="544"/>
      <c r="D43" s="367"/>
    </row>
    <row r="44" spans="1:4" x14ac:dyDescent="0.25">
      <c r="A44" s="368"/>
      <c r="B44" s="547" t="s">
        <v>80</v>
      </c>
      <c r="C44" s="548"/>
      <c r="D44" s="369"/>
    </row>
    <row r="45" spans="1:4" ht="15.75" x14ac:dyDescent="0.25">
      <c r="A45" s="364" t="s">
        <v>65</v>
      </c>
      <c r="B45" s="539" t="s">
        <v>79</v>
      </c>
      <c r="C45" s="540"/>
      <c r="D45" s="367"/>
    </row>
    <row r="46" spans="1:4" ht="51.75" customHeight="1" x14ac:dyDescent="0.25">
      <c r="A46" s="364" t="s">
        <v>63</v>
      </c>
      <c r="B46" s="539" t="s">
        <v>78</v>
      </c>
      <c r="C46" s="540"/>
      <c r="D46" s="367"/>
    </row>
    <row r="47" spans="1:4" ht="11.25" customHeight="1" x14ac:dyDescent="0.25">
      <c r="A47" s="364"/>
      <c r="B47" s="543"/>
      <c r="C47" s="544"/>
      <c r="D47" s="367"/>
    </row>
    <row r="48" spans="1:4" ht="15.75" x14ac:dyDescent="0.25">
      <c r="A48" s="364" t="s">
        <v>65</v>
      </c>
      <c r="B48" s="539" t="s">
        <v>77</v>
      </c>
      <c r="C48" s="540"/>
      <c r="D48" s="367"/>
    </row>
    <row r="49" spans="1:4" ht="80.25" customHeight="1" x14ac:dyDescent="0.25">
      <c r="A49" s="364" t="s">
        <v>63</v>
      </c>
      <c r="B49" s="539" t="s">
        <v>478</v>
      </c>
      <c r="C49" s="540"/>
      <c r="D49" s="367"/>
    </row>
    <row r="50" spans="1:4" ht="11.25" customHeight="1" x14ac:dyDescent="0.25">
      <c r="A50" s="364"/>
      <c r="B50" s="365"/>
      <c r="C50" s="366"/>
      <c r="D50" s="367"/>
    </row>
    <row r="51" spans="1:4" ht="15.75" x14ac:dyDescent="0.25">
      <c r="A51" s="364" t="s">
        <v>65</v>
      </c>
      <c r="B51" s="539" t="s">
        <v>76</v>
      </c>
      <c r="C51" s="540"/>
      <c r="D51" s="367"/>
    </row>
    <row r="52" spans="1:4" ht="65.25" customHeight="1" x14ac:dyDescent="0.25">
      <c r="A52" s="364" t="s">
        <v>63</v>
      </c>
      <c r="B52" s="539" t="s">
        <v>75</v>
      </c>
      <c r="C52" s="540"/>
      <c r="D52" s="367"/>
    </row>
    <row r="53" spans="1:4" ht="11.25" customHeight="1" x14ac:dyDescent="0.25">
      <c r="A53" s="364"/>
      <c r="B53" s="543"/>
      <c r="C53" s="544"/>
      <c r="D53" s="367"/>
    </row>
    <row r="54" spans="1:4" ht="15.75" x14ac:dyDescent="0.25">
      <c r="A54" s="364" t="s">
        <v>65</v>
      </c>
      <c r="B54" s="539" t="s">
        <v>74</v>
      </c>
      <c r="C54" s="540"/>
      <c r="D54" s="367"/>
    </row>
    <row r="55" spans="1:4" ht="63.75" customHeight="1" x14ac:dyDescent="0.25">
      <c r="A55" s="364" t="s">
        <v>63</v>
      </c>
      <c r="B55" s="539" t="s">
        <v>73</v>
      </c>
      <c r="C55" s="540"/>
      <c r="D55" s="367"/>
    </row>
    <row r="56" spans="1:4" ht="11.25" customHeight="1" x14ac:dyDescent="0.25">
      <c r="A56" s="364"/>
      <c r="B56" s="543"/>
      <c r="C56" s="544"/>
      <c r="D56" s="367"/>
    </row>
    <row r="57" spans="1:4" ht="32.1" customHeight="1" x14ac:dyDescent="0.25">
      <c r="A57" s="364" t="s">
        <v>65</v>
      </c>
      <c r="B57" s="539" t="s">
        <v>477</v>
      </c>
      <c r="C57" s="540"/>
      <c r="D57" s="367"/>
    </row>
    <row r="58" spans="1:4" ht="50.45" customHeight="1" x14ac:dyDescent="0.25">
      <c r="A58" s="364" t="s">
        <v>63</v>
      </c>
      <c r="B58" s="539" t="s">
        <v>528</v>
      </c>
      <c r="C58" s="540"/>
      <c r="D58" s="367"/>
    </row>
    <row r="59" spans="1:4" ht="11.25" customHeight="1" x14ac:dyDescent="0.25">
      <c r="A59" s="364"/>
      <c r="B59" s="543"/>
      <c r="C59" s="544"/>
      <c r="D59" s="367"/>
    </row>
    <row r="60" spans="1:4" ht="15.75" x14ac:dyDescent="0.25">
      <c r="A60" s="364" t="s">
        <v>65</v>
      </c>
      <c r="B60" s="539" t="s">
        <v>996</v>
      </c>
      <c r="C60" s="540"/>
      <c r="D60" s="367"/>
    </row>
    <row r="61" spans="1:4" ht="31.5" customHeight="1" x14ac:dyDescent="0.25">
      <c r="A61" s="364" t="s">
        <v>63</v>
      </c>
      <c r="B61" s="539" t="s">
        <v>72</v>
      </c>
      <c r="C61" s="540"/>
      <c r="D61" s="367"/>
    </row>
    <row r="62" spans="1:4" ht="11.25" customHeight="1" x14ac:dyDescent="0.25">
      <c r="A62" s="364"/>
      <c r="B62" s="543"/>
      <c r="C62" s="544"/>
      <c r="D62" s="367"/>
    </row>
    <row r="63" spans="1:4" ht="15.75" x14ac:dyDescent="0.25">
      <c r="A63" s="364" t="s">
        <v>65</v>
      </c>
      <c r="B63" s="539" t="s">
        <v>71</v>
      </c>
      <c r="C63" s="540"/>
      <c r="D63" s="367"/>
    </row>
    <row r="64" spans="1:4" ht="20.25" customHeight="1" x14ac:dyDescent="0.25">
      <c r="A64" s="364" t="s">
        <v>63</v>
      </c>
      <c r="B64" s="539" t="s">
        <v>529</v>
      </c>
      <c r="C64" s="540"/>
      <c r="D64" s="367"/>
    </row>
    <row r="65" spans="1:4" ht="11.25" customHeight="1" x14ac:dyDescent="0.25">
      <c r="A65" s="364"/>
      <c r="B65" s="543"/>
      <c r="C65" s="544"/>
      <c r="D65" s="367"/>
    </row>
    <row r="66" spans="1:4" ht="15.75" x14ac:dyDescent="0.25">
      <c r="A66" s="364" t="s">
        <v>65</v>
      </c>
      <c r="B66" s="539" t="s">
        <v>70</v>
      </c>
      <c r="C66" s="540"/>
      <c r="D66" s="367"/>
    </row>
    <row r="67" spans="1:4" ht="66.75" customHeight="1" x14ac:dyDescent="0.25">
      <c r="A67" s="364" t="s">
        <v>63</v>
      </c>
      <c r="B67" s="539" t="s">
        <v>69</v>
      </c>
      <c r="C67" s="540"/>
      <c r="D67" s="367"/>
    </row>
    <row r="68" spans="1:4" ht="11.25" customHeight="1" x14ac:dyDescent="0.25">
      <c r="A68" s="364"/>
      <c r="B68" s="543"/>
      <c r="C68" s="544"/>
      <c r="D68" s="367"/>
    </row>
    <row r="69" spans="1:4" ht="15.75" x14ac:dyDescent="0.25">
      <c r="A69" s="364" t="s">
        <v>65</v>
      </c>
      <c r="B69" s="539" t="s">
        <v>68</v>
      </c>
      <c r="C69" s="540"/>
      <c r="D69" s="367"/>
    </row>
    <row r="70" spans="1:4" ht="15.75" x14ac:dyDescent="0.25">
      <c r="A70" s="364" t="s">
        <v>63</v>
      </c>
      <c r="B70" s="539" t="s">
        <v>67</v>
      </c>
      <c r="C70" s="540"/>
      <c r="D70" s="367"/>
    </row>
    <row r="71" spans="1:4" ht="11.25" customHeight="1" x14ac:dyDescent="0.25">
      <c r="A71" s="364"/>
      <c r="B71" s="543"/>
      <c r="C71" s="544"/>
      <c r="D71" s="367"/>
    </row>
    <row r="72" spans="1:4" ht="15.75" x14ac:dyDescent="0.25">
      <c r="A72" s="364" t="s">
        <v>65</v>
      </c>
      <c r="B72" s="539" t="s">
        <v>66</v>
      </c>
      <c r="C72" s="540"/>
      <c r="D72" s="367"/>
    </row>
    <row r="73" spans="1:4" ht="35.450000000000003" customHeight="1" x14ac:dyDescent="0.25">
      <c r="A73" s="364" t="s">
        <v>63</v>
      </c>
      <c r="B73" s="539" t="s">
        <v>530</v>
      </c>
      <c r="C73" s="540"/>
      <c r="D73" s="367"/>
    </row>
    <row r="74" spans="1:4" ht="11.25" customHeight="1" x14ac:dyDescent="0.25">
      <c r="A74" s="364"/>
      <c r="B74" s="543"/>
      <c r="C74" s="544"/>
      <c r="D74" s="367"/>
    </row>
    <row r="75" spans="1:4" ht="15.75" x14ac:dyDescent="0.25">
      <c r="A75" s="364" t="s">
        <v>65</v>
      </c>
      <c r="B75" s="539" t="s">
        <v>64</v>
      </c>
      <c r="C75" s="540"/>
      <c r="D75" s="367"/>
    </row>
    <row r="76" spans="1:4" ht="35.25" customHeight="1" x14ac:dyDescent="0.25">
      <c r="A76" s="364" t="s">
        <v>63</v>
      </c>
      <c r="B76" s="539" t="s">
        <v>62</v>
      </c>
      <c r="C76" s="540"/>
      <c r="D76" s="367"/>
    </row>
    <row r="77" spans="1:4" ht="11.25" customHeight="1" x14ac:dyDescent="0.25">
      <c r="A77" s="364"/>
      <c r="B77" s="543"/>
      <c r="C77" s="544"/>
      <c r="D77" s="367"/>
    </row>
    <row r="78" spans="1:4" ht="11.25" customHeight="1" x14ac:dyDescent="0.25">
      <c r="A78" s="364"/>
      <c r="B78" s="543"/>
      <c r="C78" s="544"/>
      <c r="D78" s="367"/>
    </row>
    <row r="79" spans="1:4" x14ac:dyDescent="0.25">
      <c r="A79" s="374"/>
      <c r="B79" s="375"/>
      <c r="C79" s="376"/>
      <c r="D79" s="377"/>
    </row>
    <row r="80" spans="1:4" ht="21" customHeight="1" x14ac:dyDescent="0.25">
      <c r="B80" s="546"/>
      <c r="C80" s="546"/>
    </row>
    <row r="81" spans="2:3" ht="48" customHeight="1" x14ac:dyDescent="0.25">
      <c r="B81" s="545"/>
      <c r="C81" s="545"/>
    </row>
    <row r="82" spans="2:3" ht="15" x14ac:dyDescent="0.25">
      <c r="B82" s="545"/>
      <c r="C82" s="545"/>
    </row>
    <row r="83" spans="2:3" ht="32.25" customHeight="1" x14ac:dyDescent="0.25">
      <c r="B83" s="545"/>
      <c r="C83" s="545"/>
    </row>
    <row r="84" spans="2:3" ht="25.5" customHeight="1" x14ac:dyDescent="0.25">
      <c r="B84" s="545"/>
      <c r="C84" s="545"/>
    </row>
    <row r="85" spans="2:3" ht="55.5" customHeight="1" x14ac:dyDescent="0.25">
      <c r="B85" s="545"/>
      <c r="C85" s="545"/>
    </row>
    <row r="86" spans="2:3" ht="60" customHeight="1" x14ac:dyDescent="0.25">
      <c r="B86" s="545"/>
      <c r="C86" s="545"/>
    </row>
    <row r="87" spans="2:3" x14ac:dyDescent="0.35">
      <c r="B87" s="378"/>
      <c r="C87" s="379"/>
    </row>
  </sheetData>
  <sheetProtection algorithmName="SHA-512" hashValue="N8YX55JL5CUuaMjlfe3Zu9d07CBQtI8rA2mJdMTG5FqvM7C5bfiQte30Q3L1Jmysj7RB+aRpl1dQpw6/xxbx6g==" saltValue="FJTlA3XmqtghRW5437OTtg==" spinCount="100000" sheet="1" objects="1" scenarios="1"/>
  <mergeCells count="82">
    <mergeCell ref="A1:B4"/>
    <mergeCell ref="C1:D4"/>
    <mergeCell ref="B5:C5"/>
    <mergeCell ref="B6:C6"/>
    <mergeCell ref="B7:C7"/>
    <mergeCell ref="B8:C8"/>
    <mergeCell ref="B9:C9"/>
    <mergeCell ref="B12:C12"/>
    <mergeCell ref="B33:C33"/>
    <mergeCell ref="B34:C34"/>
    <mergeCell ref="B30:C30"/>
    <mergeCell ref="B31:C31"/>
    <mergeCell ref="B32:C32"/>
    <mergeCell ref="B11:C11"/>
    <mergeCell ref="B21:C21"/>
    <mergeCell ref="B23:C23"/>
    <mergeCell ref="B25:C25"/>
    <mergeCell ref="B27:C27"/>
    <mergeCell ref="B10:C10"/>
    <mergeCell ref="B49:C49"/>
    <mergeCell ref="B73:C73"/>
    <mergeCell ref="B60:C60"/>
    <mergeCell ref="B54:C54"/>
    <mergeCell ref="B55:C55"/>
    <mergeCell ref="B51:C51"/>
    <mergeCell ref="B52:C52"/>
    <mergeCell ref="B53:C53"/>
    <mergeCell ref="B56:C56"/>
    <mergeCell ref="B61:C61"/>
    <mergeCell ref="B63:C63"/>
    <mergeCell ref="B64:C64"/>
    <mergeCell ref="B62:C62"/>
    <mergeCell ref="B57:C57"/>
    <mergeCell ref="B58:C58"/>
    <mergeCell ref="B59:C59"/>
    <mergeCell ref="B85:C85"/>
    <mergeCell ref="B83:C83"/>
    <mergeCell ref="B84:C84"/>
    <mergeCell ref="B66:C66"/>
    <mergeCell ref="B67:C67"/>
    <mergeCell ref="B75:C75"/>
    <mergeCell ref="B76:C76"/>
    <mergeCell ref="B69:C69"/>
    <mergeCell ref="B81:C81"/>
    <mergeCell ref="B82:C82"/>
    <mergeCell ref="B78:C78"/>
    <mergeCell ref="B74:C74"/>
    <mergeCell ref="B77:C77"/>
    <mergeCell ref="B70:C70"/>
    <mergeCell ref="B68:C68"/>
    <mergeCell ref="B71:C71"/>
    <mergeCell ref="B86:C86"/>
    <mergeCell ref="B13:C13"/>
    <mergeCell ref="B15:C15"/>
    <mergeCell ref="B17:C17"/>
    <mergeCell ref="B18:C18"/>
    <mergeCell ref="B29:C29"/>
    <mergeCell ref="B80:C80"/>
    <mergeCell ref="B40:C40"/>
    <mergeCell ref="B41:C41"/>
    <mergeCell ref="B72:C72"/>
    <mergeCell ref="B42:C42"/>
    <mergeCell ref="B43:C43"/>
    <mergeCell ref="B44:C44"/>
    <mergeCell ref="B65:C65"/>
    <mergeCell ref="B45:C45"/>
    <mergeCell ref="B46:C46"/>
    <mergeCell ref="B48:C48"/>
    <mergeCell ref="B39:C39"/>
    <mergeCell ref="B14:C14"/>
    <mergeCell ref="B16:C16"/>
    <mergeCell ref="B22:C22"/>
    <mergeCell ref="B24:C24"/>
    <mergeCell ref="B26:C26"/>
    <mergeCell ref="B28:C28"/>
    <mergeCell ref="B35:C35"/>
    <mergeCell ref="B36:C36"/>
    <mergeCell ref="B37:C37"/>
    <mergeCell ref="B38:C38"/>
    <mergeCell ref="B47:C47"/>
    <mergeCell ref="B19:C19"/>
    <mergeCell ref="B20:C20"/>
  </mergeCells>
  <pageMargins left="0.70866141732283472" right="0.70866141732283472" top="0.74803149606299213" bottom="0.74803149606299213" header="0.31496062992125984" footer="0.31496062992125984"/>
  <pageSetup scale="65" orientation="portrait" r:id="rId1"/>
  <rowBreaks count="1" manualBreakCount="1">
    <brk id="3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D10DA-2770-4619-BFBF-1C2956679AC5}">
  <sheetPr codeName="Sheet42">
    <tabColor rgb="FF00B0F0"/>
  </sheetPr>
  <dimension ref="A1:AB239"/>
  <sheetViews>
    <sheetView zoomScale="85" zoomScaleNormal="85" workbookViewId="0">
      <pane ySplit="3" topLeftCell="A239" activePane="bottomLeft" state="frozen"/>
      <selection pane="bottomLeft"/>
    </sheetView>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777</v>
      </c>
      <c r="B1" s="295"/>
      <c r="C1" s="295"/>
      <c r="D1" s="295"/>
      <c r="E1" s="295"/>
      <c r="F1" s="295"/>
      <c r="G1" s="295"/>
      <c r="H1" s="295"/>
      <c r="I1" s="295"/>
      <c r="J1" s="295"/>
      <c r="K1" s="295"/>
      <c r="L1" s="295"/>
      <c r="M1" s="295"/>
      <c r="N1" s="295"/>
      <c r="O1" s="295"/>
      <c r="P1" s="295"/>
      <c r="Q1" s="295"/>
      <c r="R1" s="295"/>
      <c r="S1" s="296" t="s">
        <v>888</v>
      </c>
      <c r="T1" s="301">
        <v>44957</v>
      </c>
      <c r="U1" s="301"/>
      <c r="V1" s="301"/>
      <c r="W1" s="301"/>
      <c r="X1" s="301"/>
      <c r="Y1" s="301"/>
      <c r="Z1" s="301"/>
      <c r="AA1" s="301"/>
      <c r="AB1" s="301"/>
    </row>
    <row r="2" spans="1:28" ht="15.75" x14ac:dyDescent="0.25">
      <c r="I2" s="292">
        <v>65.37</v>
      </c>
      <c r="J2" s="293">
        <v>80.84</v>
      </c>
      <c r="K2" s="291">
        <v>1.1000000000000001</v>
      </c>
      <c r="L2" s="291">
        <v>1</v>
      </c>
      <c r="U2" s="291">
        <f>136/125</f>
        <v>1.0880000000000001</v>
      </c>
      <c r="V2" s="291">
        <f>125/125</f>
        <v>1</v>
      </c>
      <c r="W2" s="291">
        <f>137/125</f>
        <v>1.0960000000000001</v>
      </c>
      <c r="X2" s="291">
        <f>105/125</f>
        <v>0.84</v>
      </c>
      <c r="Y2" s="291">
        <f>140/125</f>
        <v>1.1200000000000001</v>
      </c>
      <c r="Z2" s="291">
        <f>120/125</f>
        <v>0.96</v>
      </c>
      <c r="AA2" s="291">
        <f>115/125</f>
        <v>0.92</v>
      </c>
      <c r="AB2" s="291">
        <f>160/125</f>
        <v>1.28</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746</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1.1000000000000001</v>
      </c>
      <c r="L5" s="291">
        <f>L$2</f>
        <v>1</v>
      </c>
      <c r="M5" s="291"/>
      <c r="N5" s="291"/>
      <c r="O5" s="303"/>
      <c r="P5" s="303"/>
      <c r="Q5" s="303"/>
      <c r="R5" s="291"/>
      <c r="S5" s="291"/>
      <c r="T5" s="291"/>
      <c r="U5" s="291">
        <f>U$2</f>
        <v>1.0880000000000001</v>
      </c>
      <c r="V5" s="291">
        <f>V$2</f>
        <v>1</v>
      </c>
      <c r="W5" s="291">
        <f t="shared" ref="W5:AB5" si="0">W$2</f>
        <v>1.0960000000000001</v>
      </c>
      <c r="X5" s="291">
        <f t="shared" si="0"/>
        <v>0.84</v>
      </c>
      <c r="Y5" s="291">
        <f t="shared" si="0"/>
        <v>1.1200000000000001</v>
      </c>
      <c r="Z5" s="291">
        <f t="shared" si="0"/>
        <v>0.96</v>
      </c>
      <c r="AA5" s="291">
        <f t="shared" si="0"/>
        <v>0.92</v>
      </c>
      <c r="AB5" s="291">
        <f t="shared" si="0"/>
        <v>1.28</v>
      </c>
    </row>
    <row r="6" spans="1:28" s="305" customFormat="1" ht="14.45" hidden="1" customHeight="1" outlineLevel="1" x14ac:dyDescent="0.25">
      <c r="A6" s="278"/>
      <c r="B6" s="279" t="str">
        <f>C6&amp;D6&amp;E6&amp;F6</f>
        <v>class 20-250mm</v>
      </c>
      <c r="C6" s="278" t="s">
        <v>745</v>
      </c>
      <c r="D6" s="278" t="s">
        <v>740</v>
      </c>
      <c r="E6" s="278"/>
      <c r="F6" s="278"/>
      <c r="G6" s="278" t="s">
        <v>15</v>
      </c>
      <c r="H6" s="290">
        <v>0.37</v>
      </c>
      <c r="I6" s="280">
        <f t="shared" ref="I6:I15" si="1">$I$2*H6</f>
        <v>24.186900000000001</v>
      </c>
      <c r="J6" s="281">
        <f>$J$2*H6</f>
        <v>29.910800000000002</v>
      </c>
      <c r="K6" s="282">
        <f>IF(Notes!$B$9="Domestic",I6, IF(Notes!$B$9="Commercial",J6))*$K$5</f>
        <v>32.901880000000006</v>
      </c>
      <c r="L6" s="283">
        <f>(SUM(O6:Q6)+(K6+SUM(M6:Q6))*(INDEX($U$5:$AB$5,MATCH(Notes!$C$16,$U$3:$AB$3,0))-100%))*$L$5</f>
        <v>15.74</v>
      </c>
      <c r="M6" s="286"/>
      <c r="N6" s="286"/>
      <c r="O6" s="285">
        <f>7.87*2</f>
        <v>15.74</v>
      </c>
      <c r="P6" s="285"/>
      <c r="Q6" s="285"/>
      <c r="R6" s="278" t="s">
        <v>745</v>
      </c>
      <c r="S6" s="278" t="s">
        <v>740</v>
      </c>
      <c r="T6" s="278"/>
      <c r="U6" s="304"/>
    </row>
    <row r="7" spans="1:28" s="305" customFormat="1" ht="14.45" hidden="1" customHeight="1" outlineLevel="1" x14ac:dyDescent="0.25">
      <c r="A7" s="278"/>
      <c r="B7" s="279" t="str">
        <f t="shared" ref="B7:B15" si="2">C7&amp;D7&amp;E7&amp;F7</f>
        <v>class 2250-500mm</v>
      </c>
      <c r="C7" s="278" t="s">
        <v>745</v>
      </c>
      <c r="D7" s="278" t="s">
        <v>741</v>
      </c>
      <c r="E7" s="278"/>
      <c r="F7" s="278"/>
      <c r="G7" s="278" t="s">
        <v>15</v>
      </c>
      <c r="H7" s="290">
        <v>0.5</v>
      </c>
      <c r="I7" s="280">
        <f t="shared" si="1"/>
        <v>32.685000000000002</v>
      </c>
      <c r="J7" s="281">
        <f t="shared" ref="J7:J15" si="3">$J$2*H7</f>
        <v>40.42</v>
      </c>
      <c r="K7" s="282">
        <f>IF(Notes!$B$9="Domestic",I7, IF(Notes!$B$9="Commercial",J7))*$K$5</f>
        <v>44.462000000000003</v>
      </c>
      <c r="L7" s="283">
        <f>(SUM(O7:Q7)+(K7+SUM(M7:Q7))*(INDEX($U$5:$AB$5,MATCH(Notes!$C$16,$U$3:$AB$3,0))-100%))*$L$5</f>
        <v>30.35</v>
      </c>
      <c r="M7" s="286">
        <f>50/2*0.5</f>
        <v>12.5</v>
      </c>
      <c r="N7" s="286"/>
      <c r="O7" s="285">
        <f>121.4/2*0.5</f>
        <v>30.35</v>
      </c>
      <c r="P7" s="285"/>
      <c r="Q7" s="285"/>
      <c r="R7" s="278" t="s">
        <v>744</v>
      </c>
      <c r="S7" s="278" t="s">
        <v>741</v>
      </c>
      <c r="T7" s="278"/>
      <c r="U7" s="304"/>
    </row>
    <row r="8" spans="1:28" s="305" customFormat="1" ht="14.45" hidden="1" customHeight="1" outlineLevel="1" x14ac:dyDescent="0.25">
      <c r="A8" s="278"/>
      <c r="B8" s="279" t="str">
        <f t="shared" si="2"/>
        <v>class 2500-750mm</v>
      </c>
      <c r="C8" s="278" t="s">
        <v>745</v>
      </c>
      <c r="D8" s="278" t="s">
        <v>742</v>
      </c>
      <c r="E8" s="278"/>
      <c r="F8" s="278"/>
      <c r="G8" s="278" t="s">
        <v>15</v>
      </c>
      <c r="H8" s="290">
        <v>0.74</v>
      </c>
      <c r="I8" s="280">
        <f t="shared" si="1"/>
        <v>48.373800000000003</v>
      </c>
      <c r="J8" s="281">
        <f t="shared" si="3"/>
        <v>59.821600000000004</v>
      </c>
      <c r="K8" s="282">
        <f>IF(Notes!$B$9="Domestic",I8, IF(Notes!$B$9="Commercial",J8))*$K$5</f>
        <v>65.803760000000011</v>
      </c>
      <c r="L8" s="283">
        <f>(SUM(O8:Q8)+(K8+SUM(M8:Q8))*(INDEX($U$5:$AB$5,MATCH(Notes!$C$16,$U$3:$AB$3,0))-100%))*$L$5</f>
        <v>45.525000000000006</v>
      </c>
      <c r="M8" s="286">
        <f>50/2*0.75</f>
        <v>18.75</v>
      </c>
      <c r="N8" s="286"/>
      <c r="O8" s="285">
        <f>121.4/2*0.75</f>
        <v>45.525000000000006</v>
      </c>
      <c r="P8" s="285"/>
      <c r="Q8" s="285"/>
      <c r="R8" s="278"/>
      <c r="S8" s="278" t="s">
        <v>742</v>
      </c>
      <c r="T8" s="278"/>
      <c r="U8" s="304"/>
    </row>
    <row r="9" spans="1:28" s="305" customFormat="1" ht="14.45" hidden="1" customHeight="1" outlineLevel="1" x14ac:dyDescent="0.25">
      <c r="A9" s="278"/>
      <c r="B9" s="279" t="str">
        <f t="shared" si="2"/>
        <v>class 2750-1000mm</v>
      </c>
      <c r="C9" s="278" t="s">
        <v>745</v>
      </c>
      <c r="D9" s="278" t="s">
        <v>743</v>
      </c>
      <c r="E9" s="278"/>
      <c r="F9" s="278"/>
      <c r="G9" s="278" t="s">
        <v>15</v>
      </c>
      <c r="H9" s="290">
        <v>0.99</v>
      </c>
      <c r="I9" s="280">
        <f t="shared" si="1"/>
        <v>64.716300000000004</v>
      </c>
      <c r="J9" s="281">
        <f t="shared" si="3"/>
        <v>80.031599999999997</v>
      </c>
      <c r="K9" s="282">
        <f>IF(Notes!$B$9="Domestic",I9, IF(Notes!$B$9="Commercial",J9))*$K$5</f>
        <v>88.034760000000006</v>
      </c>
      <c r="L9" s="283">
        <f>(SUM(O9:Q9)+(K9+SUM(M9:Q9))*(INDEX($U$5:$AB$5,MATCH(Notes!$C$16,$U$3:$AB$3,0))-100%))*$L$5</f>
        <v>60.7</v>
      </c>
      <c r="M9" s="286">
        <f>50/2</f>
        <v>25</v>
      </c>
      <c r="N9" s="286"/>
      <c r="O9" s="285">
        <f>121.4/2</f>
        <v>60.7</v>
      </c>
      <c r="P9" s="285"/>
      <c r="Q9" s="285"/>
      <c r="R9" s="278"/>
      <c r="S9" s="278" t="s">
        <v>743</v>
      </c>
      <c r="T9" s="278"/>
    </row>
    <row r="10" spans="1:28" s="305" customFormat="1" ht="14.45" hidden="1" customHeight="1" outlineLevel="1" x14ac:dyDescent="0.25">
      <c r="A10" s="278"/>
      <c r="B10" s="279" t="str">
        <f t="shared" si="2"/>
        <v>class 2over 1000mm</v>
      </c>
      <c r="C10" s="278" t="s">
        <v>745</v>
      </c>
      <c r="D10" s="278" t="s">
        <v>747</v>
      </c>
      <c r="E10" s="278"/>
      <c r="F10" s="278"/>
      <c r="G10" s="278" t="s">
        <v>15</v>
      </c>
      <c r="H10" s="290">
        <v>1.48</v>
      </c>
      <c r="I10" s="280">
        <f t="shared" si="1"/>
        <v>96.747600000000006</v>
      </c>
      <c r="J10" s="281">
        <f t="shared" si="3"/>
        <v>119.64320000000001</v>
      </c>
      <c r="K10" s="282">
        <f>IF(Notes!$B$9="Domestic",I10, IF(Notes!$B$9="Commercial",J10))*$K$5</f>
        <v>131.60752000000002</v>
      </c>
      <c r="L10" s="283">
        <f>(SUM(O10:Q10)+(K10+SUM(M10:Q10))*(INDEX($U$5:$AB$5,MATCH(Notes!$C$16,$U$3:$AB$3,0))-100%))*$L$5</f>
        <v>91.050000000000011</v>
      </c>
      <c r="M10" s="286">
        <f>50/2*1.5</f>
        <v>37.5</v>
      </c>
      <c r="N10" s="286"/>
      <c r="O10" s="285">
        <f>121.4/2*1.5</f>
        <v>91.050000000000011</v>
      </c>
      <c r="P10" s="285"/>
      <c r="Q10" s="285"/>
      <c r="R10" s="278"/>
      <c r="S10" s="278" t="s">
        <v>747</v>
      </c>
      <c r="T10" s="278"/>
    </row>
    <row r="11" spans="1:28" s="305" customFormat="1" hidden="1" outlineLevel="1" x14ac:dyDescent="0.25">
      <c r="A11" s="278"/>
      <c r="B11" s="279" t="str">
        <f t="shared" si="2"/>
        <v>class 30-250mm</v>
      </c>
      <c r="C11" s="278" t="s">
        <v>744</v>
      </c>
      <c r="D11" s="278" t="s">
        <v>740</v>
      </c>
      <c r="E11" s="278"/>
      <c r="F11" s="278"/>
      <c r="G11" s="278" t="s">
        <v>15</v>
      </c>
      <c r="H11" s="308">
        <f>H6</f>
        <v>0.37</v>
      </c>
      <c r="I11" s="280">
        <f t="shared" si="1"/>
        <v>24.186900000000001</v>
      </c>
      <c r="J11" s="281">
        <f t="shared" si="3"/>
        <v>29.910800000000002</v>
      </c>
      <c r="K11" s="282">
        <f>IF(Notes!$B$9="Domestic",I11, IF(Notes!$B$9="Commercial",J11))*$K$5</f>
        <v>32.901880000000006</v>
      </c>
      <c r="L11" s="283">
        <f>(SUM(O11:Q11)+(K11+SUM(M11:Q11))*(INDEX($U$5:$AB$5,MATCH(Notes!$C$16,$U$3:$AB$3,0))-100%))*$L$5</f>
        <v>13.21</v>
      </c>
      <c r="M11" s="286"/>
      <c r="N11" s="286"/>
      <c r="O11" s="285">
        <v>13.21</v>
      </c>
      <c r="P11" s="285"/>
      <c r="Q11" s="285"/>
      <c r="R11" s="278"/>
      <c r="S11" s="278"/>
      <c r="T11" s="278"/>
    </row>
    <row r="12" spans="1:28" s="305" customFormat="1" hidden="1" outlineLevel="1" x14ac:dyDescent="0.25">
      <c r="A12" s="278"/>
      <c r="B12" s="279" t="str">
        <f t="shared" si="2"/>
        <v>class 3250-500mm</v>
      </c>
      <c r="C12" s="278" t="s">
        <v>744</v>
      </c>
      <c r="D12" s="278" t="s">
        <v>741</v>
      </c>
      <c r="E12" s="278"/>
      <c r="F12" s="278"/>
      <c r="G12" s="278" t="s">
        <v>15</v>
      </c>
      <c r="H12" s="308">
        <f t="shared" ref="H12:H15" si="4">H7</f>
        <v>0.5</v>
      </c>
      <c r="I12" s="280">
        <f t="shared" si="1"/>
        <v>32.685000000000002</v>
      </c>
      <c r="J12" s="281">
        <f t="shared" si="3"/>
        <v>40.42</v>
      </c>
      <c r="K12" s="282">
        <f>IF(Notes!$B$9="Domestic",I12, IF(Notes!$B$9="Commercial",J12))*$K$5</f>
        <v>44.462000000000003</v>
      </c>
      <c r="L12" s="283">
        <f>(SUM(O12:Q12)+(K12+SUM(M12:Q12))*(INDEX($U$5:$AB$5,MATCH(Notes!$C$16,$U$3:$AB$3,0))-100%))*$L$5</f>
        <v>27.817499999999999</v>
      </c>
      <c r="M12" s="313">
        <f>M7</f>
        <v>12.5</v>
      </c>
      <c r="N12" s="286"/>
      <c r="O12" s="285">
        <f>111.27/2*0.5</f>
        <v>27.817499999999999</v>
      </c>
      <c r="P12" s="285"/>
      <c r="Q12" s="285"/>
      <c r="R12" s="278"/>
      <c r="S12" s="278"/>
      <c r="T12" s="278"/>
    </row>
    <row r="13" spans="1:28" s="305" customFormat="1" hidden="1" outlineLevel="1" x14ac:dyDescent="0.25">
      <c r="A13" s="278"/>
      <c r="B13" s="279" t="str">
        <f t="shared" si="2"/>
        <v>class 3500-750mm</v>
      </c>
      <c r="C13" s="278" t="s">
        <v>744</v>
      </c>
      <c r="D13" s="278" t="s">
        <v>742</v>
      </c>
      <c r="E13" s="278"/>
      <c r="F13" s="278"/>
      <c r="G13" s="278" t="s">
        <v>15</v>
      </c>
      <c r="H13" s="308">
        <f t="shared" si="4"/>
        <v>0.74</v>
      </c>
      <c r="I13" s="280">
        <f t="shared" si="1"/>
        <v>48.373800000000003</v>
      </c>
      <c r="J13" s="281">
        <f t="shared" si="3"/>
        <v>59.821600000000004</v>
      </c>
      <c r="K13" s="282">
        <f>IF(Notes!$B$9="Domestic",I13, IF(Notes!$B$9="Commercial",J13))*$K$5</f>
        <v>65.803760000000011</v>
      </c>
      <c r="L13" s="283">
        <f>(SUM(O13:Q13)+(K13+SUM(M13:Q13))*(INDEX($U$5:$AB$5,MATCH(Notes!$C$16,$U$3:$AB$3,0))-100%))*$L$5</f>
        <v>41.72625</v>
      </c>
      <c r="M13" s="313">
        <f t="shared" ref="M13:M15" si="5">M8</f>
        <v>18.75</v>
      </c>
      <c r="N13" s="286"/>
      <c r="O13" s="285">
        <f>111.27/2*0.75</f>
        <v>41.72625</v>
      </c>
      <c r="P13" s="285"/>
      <c r="Q13" s="285"/>
      <c r="R13" s="278"/>
      <c r="S13" s="278"/>
      <c r="T13" s="278"/>
    </row>
    <row r="14" spans="1:28" s="305" customFormat="1" hidden="1" outlineLevel="1" x14ac:dyDescent="0.25">
      <c r="A14" s="278"/>
      <c r="B14" s="279" t="str">
        <f t="shared" si="2"/>
        <v>class 3750-1000mm</v>
      </c>
      <c r="C14" s="278" t="s">
        <v>744</v>
      </c>
      <c r="D14" s="278" t="s">
        <v>743</v>
      </c>
      <c r="E14" s="278"/>
      <c r="F14" s="278"/>
      <c r="G14" s="278" t="s">
        <v>15</v>
      </c>
      <c r="H14" s="308">
        <f t="shared" si="4"/>
        <v>0.99</v>
      </c>
      <c r="I14" s="280">
        <f t="shared" si="1"/>
        <v>64.716300000000004</v>
      </c>
      <c r="J14" s="281">
        <f t="shared" si="3"/>
        <v>80.031599999999997</v>
      </c>
      <c r="K14" s="282">
        <f>IF(Notes!$B$9="Domestic",I14, IF(Notes!$B$9="Commercial",J14))*$K$5</f>
        <v>88.034760000000006</v>
      </c>
      <c r="L14" s="283">
        <f>(SUM(O14:Q14)+(K14+SUM(M14:Q14))*(INDEX($U$5:$AB$5,MATCH(Notes!$C$16,$U$3:$AB$3,0))-100%))*$L$5</f>
        <v>55.634999999999998</v>
      </c>
      <c r="M14" s="313">
        <f t="shared" si="5"/>
        <v>25</v>
      </c>
      <c r="N14" s="286"/>
      <c r="O14" s="285">
        <f>111.27/2</f>
        <v>55.634999999999998</v>
      </c>
      <c r="P14" s="285"/>
      <c r="Q14" s="285"/>
      <c r="R14" s="278"/>
      <c r="S14" s="278"/>
      <c r="T14" s="278"/>
    </row>
    <row r="15" spans="1:28" s="305" customFormat="1" hidden="1" outlineLevel="1" x14ac:dyDescent="0.25">
      <c r="A15" s="278"/>
      <c r="B15" s="279" t="str">
        <f t="shared" si="2"/>
        <v>class 3over 1000mm</v>
      </c>
      <c r="C15" s="278" t="s">
        <v>744</v>
      </c>
      <c r="D15" s="278" t="s">
        <v>747</v>
      </c>
      <c r="E15" s="278"/>
      <c r="F15" s="278"/>
      <c r="G15" s="278" t="s">
        <v>15</v>
      </c>
      <c r="H15" s="308">
        <f t="shared" si="4"/>
        <v>1.48</v>
      </c>
      <c r="I15" s="280">
        <f t="shared" si="1"/>
        <v>96.747600000000006</v>
      </c>
      <c r="J15" s="281">
        <f t="shared" si="3"/>
        <v>119.64320000000001</v>
      </c>
      <c r="K15" s="282">
        <f>IF(Notes!$B$9="Domestic",I15, IF(Notes!$B$9="Commercial",J15))*$K$5</f>
        <v>131.60752000000002</v>
      </c>
      <c r="L15" s="283">
        <f>(SUM(O15:Q15)+(K15+SUM(M15:Q15))*(INDEX($U$5:$AB$5,MATCH(Notes!$C$16,$U$3:$AB$3,0))-100%))*$L$5</f>
        <v>83.452500000000001</v>
      </c>
      <c r="M15" s="313">
        <f t="shared" si="5"/>
        <v>37.5</v>
      </c>
      <c r="N15" s="286"/>
      <c r="O15" s="285">
        <f>111.27/2*1.5</f>
        <v>83.452500000000001</v>
      </c>
      <c r="P15" s="285"/>
      <c r="Q15" s="285"/>
      <c r="R15" s="278"/>
      <c r="S15" s="278"/>
      <c r="T15" s="278"/>
    </row>
    <row r="16" spans="1:28" ht="21" hidden="1" outlineLevel="1" x14ac:dyDescent="0.25">
      <c r="A16" s="299" t="s">
        <v>756</v>
      </c>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row>
    <row r="17" spans="1:28" ht="15.75" hidden="1" outlineLevel="1" x14ac:dyDescent="0.25">
      <c r="A17" s="291"/>
      <c r="B17" s="291"/>
      <c r="C17" s="291"/>
      <c r="D17" s="291"/>
      <c r="E17" s="291"/>
      <c r="F17" s="291"/>
      <c r="G17" s="291"/>
      <c r="H17" s="291"/>
      <c r="I17" s="291"/>
      <c r="J17" s="291"/>
      <c r="K17" s="291">
        <f>K$2</f>
        <v>1.1000000000000001</v>
      </c>
      <c r="L17" s="291">
        <f>L$2</f>
        <v>1</v>
      </c>
      <c r="M17" s="291"/>
      <c r="N17" s="291"/>
      <c r="O17" s="303"/>
      <c r="P17" s="303"/>
      <c r="Q17" s="303"/>
      <c r="R17" s="291"/>
      <c r="S17" s="291"/>
      <c r="T17" s="291"/>
      <c r="U17" s="291">
        <f>U$2</f>
        <v>1.0880000000000001</v>
      </c>
      <c r="V17" s="291">
        <f>V$2</f>
        <v>1</v>
      </c>
      <c r="W17" s="291">
        <f t="shared" ref="W17:AB17" si="6">W$2</f>
        <v>1.0960000000000001</v>
      </c>
      <c r="X17" s="291">
        <f t="shared" si="6"/>
        <v>0.84</v>
      </c>
      <c r="Y17" s="291">
        <f t="shared" si="6"/>
        <v>1.1200000000000001</v>
      </c>
      <c r="Z17" s="291">
        <f t="shared" si="6"/>
        <v>0.96</v>
      </c>
      <c r="AA17" s="291">
        <f t="shared" si="6"/>
        <v>0.92</v>
      </c>
      <c r="AB17" s="291">
        <f t="shared" si="6"/>
        <v>1.28</v>
      </c>
    </row>
    <row r="18" spans="1:28" s="305" customFormat="1" ht="14.45" hidden="1" customHeight="1" outlineLevel="1" x14ac:dyDescent="0.25">
      <c r="A18" s="278"/>
      <c r="B18" s="279" t="str">
        <f>C18&amp;D18&amp;E18&amp;F18</f>
        <v>class 10-3.7mflat</v>
      </c>
      <c r="C18" s="278" t="s">
        <v>774</v>
      </c>
      <c r="D18" s="278" t="s">
        <v>748</v>
      </c>
      <c r="E18" s="278" t="s">
        <v>755</v>
      </c>
      <c r="F18" s="278"/>
      <c r="G18" s="278" t="s">
        <v>11</v>
      </c>
      <c r="H18" s="310">
        <v>0.8580000000000001</v>
      </c>
      <c r="I18" s="280">
        <f>$I$2*H18</f>
        <v>56.087460000000007</v>
      </c>
      <c r="J18" s="281">
        <f>$J$2*H18</f>
        <v>69.360720000000015</v>
      </c>
      <c r="K18" s="282">
        <f>IF(Notes!$B$9="Domestic",I18, IF(Notes!$B$9="Commercial",J18))*$K$17</f>
        <v>76.296792000000025</v>
      </c>
      <c r="L18" s="283">
        <f>(SUM(O18:Q18)+(K18+SUM(M18:Q18))*(INDEX($U$17:$AB$17,MATCH(Notes!$C$16,$U$3:$AB$3,0))-100%))*$L$17</f>
        <v>18.5976</v>
      </c>
      <c r="M18" s="286">
        <v>37.729999999999997</v>
      </c>
      <c r="N18" s="286"/>
      <c r="O18" s="285">
        <v>18.5976</v>
      </c>
      <c r="P18" s="285"/>
      <c r="Q18" s="285"/>
      <c r="R18" s="278" t="s">
        <v>774</v>
      </c>
      <c r="S18" s="278" t="s">
        <v>748</v>
      </c>
      <c r="T18" s="278" t="s">
        <v>755</v>
      </c>
      <c r="U18" s="304"/>
    </row>
    <row r="19" spans="1:28" s="305" customFormat="1" ht="14.45" hidden="1" customHeight="1" outlineLevel="1" x14ac:dyDescent="0.25">
      <c r="A19" s="278"/>
      <c r="B19" s="279" t="str">
        <f t="shared" ref="B19" si="7">C19&amp;D19&amp;E19&amp;F19</f>
        <v>class 13.7-5.2mflat</v>
      </c>
      <c r="C19" s="278" t="s">
        <v>774</v>
      </c>
      <c r="D19" s="278" t="s">
        <v>749</v>
      </c>
      <c r="E19" s="278" t="s">
        <v>755</v>
      </c>
      <c r="F19" s="278"/>
      <c r="G19" s="278" t="s">
        <v>11</v>
      </c>
      <c r="H19" s="310">
        <v>0.89699999999999991</v>
      </c>
      <c r="I19" s="280">
        <f>$I$2*H19</f>
        <v>58.636890000000001</v>
      </c>
      <c r="J19" s="281">
        <f t="shared" ref="J19" si="8">$J$2*H19</f>
        <v>72.513480000000001</v>
      </c>
      <c r="K19" s="282">
        <f>IF(Notes!$B$9="Domestic",I19, IF(Notes!$B$9="Commercial",J19))*$K$17</f>
        <v>79.764828000000009</v>
      </c>
      <c r="L19" s="283">
        <f>(SUM(O19:Q19)+(K19+SUM(M19:Q19))*(INDEX($U$17:$AB$17,MATCH(Notes!$C$16,$U$3:$AB$3,0))-100%))*$L$17</f>
        <v>19.527479999999997</v>
      </c>
      <c r="M19" s="286">
        <v>39.616499999999995</v>
      </c>
      <c r="N19" s="286"/>
      <c r="O19" s="285">
        <v>19.527479999999997</v>
      </c>
      <c r="P19" s="285"/>
      <c r="Q19" s="285"/>
      <c r="R19" s="278" t="s">
        <v>745</v>
      </c>
      <c r="S19" s="278" t="s">
        <v>749</v>
      </c>
      <c r="T19" s="278" t="s">
        <v>754</v>
      </c>
      <c r="U19" s="304"/>
    </row>
    <row r="20" spans="1:28" s="305" customFormat="1" ht="14.45" hidden="1" customHeight="1" outlineLevel="1" x14ac:dyDescent="0.25">
      <c r="A20" s="278"/>
      <c r="B20" s="279" t="str">
        <f t="shared" ref="B20:B53" si="9">C20&amp;D20&amp;E20&amp;F20</f>
        <v>class 15.2-7.0mflat</v>
      </c>
      <c r="C20" s="278" t="s">
        <v>774</v>
      </c>
      <c r="D20" s="278" t="s">
        <v>750</v>
      </c>
      <c r="E20" s="278" t="s">
        <v>755</v>
      </c>
      <c r="F20" s="278"/>
      <c r="G20" s="278" t="s">
        <v>11</v>
      </c>
      <c r="H20" s="310">
        <v>0.94899999999999995</v>
      </c>
      <c r="I20" s="280">
        <f t="shared" ref="I20:I53" si="10">$I$2*H20</f>
        <v>62.03613</v>
      </c>
      <c r="J20" s="281">
        <f t="shared" ref="J20:J53" si="11">$J$2*H20</f>
        <v>76.717159999999993</v>
      </c>
      <c r="K20" s="282">
        <f>IF(Notes!$B$9="Domestic",I20, IF(Notes!$B$9="Commercial",J20))*$K$17</f>
        <v>84.388875999999996</v>
      </c>
      <c r="L20" s="283">
        <f>(SUM(O20:Q20)+(K20+SUM(M20:Q20))*(INDEX($U$17:$AB$17,MATCH(Notes!$C$16,$U$3:$AB$3,0))-100%))*$L$17</f>
        <v>20.457360000000001</v>
      </c>
      <c r="M20" s="286">
        <v>41.503</v>
      </c>
      <c r="N20" s="286"/>
      <c r="O20" s="285">
        <v>20.457360000000001</v>
      </c>
      <c r="P20" s="285"/>
      <c r="Q20" s="285"/>
      <c r="R20" s="278" t="s">
        <v>744</v>
      </c>
      <c r="S20" s="278" t="s">
        <v>750</v>
      </c>
      <c r="T20" s="278"/>
      <c r="U20" s="304"/>
    </row>
    <row r="21" spans="1:28" s="305" customFormat="1" ht="14.45" hidden="1" customHeight="1" outlineLevel="1" x14ac:dyDescent="0.25">
      <c r="A21" s="278"/>
      <c r="B21" s="279" t="str">
        <f t="shared" si="9"/>
        <v>class 17.0-8.0mflat</v>
      </c>
      <c r="C21" s="278" t="s">
        <v>774</v>
      </c>
      <c r="D21" s="278" t="s">
        <v>751</v>
      </c>
      <c r="E21" s="278" t="s">
        <v>755</v>
      </c>
      <c r="F21" s="278"/>
      <c r="G21" s="278" t="s">
        <v>11</v>
      </c>
      <c r="H21" s="310">
        <v>0.9880000000000001</v>
      </c>
      <c r="I21" s="280">
        <f t="shared" si="10"/>
        <v>64.585560000000015</v>
      </c>
      <c r="J21" s="281">
        <f t="shared" si="11"/>
        <v>79.869920000000008</v>
      </c>
      <c r="K21" s="282">
        <f>IF(Notes!$B$9="Domestic",I21, IF(Notes!$B$9="Commercial",J21))*$K$17</f>
        <v>87.856912000000008</v>
      </c>
      <c r="L21" s="283">
        <f>(SUM(O21:Q21)+(K21+SUM(M21:Q21))*(INDEX($U$17:$AB$17,MATCH(Notes!$C$16,$U$3:$AB$3,0))-100%))*$L$17</f>
        <v>21.387239999999995</v>
      </c>
      <c r="M21" s="286">
        <v>43.389499999999991</v>
      </c>
      <c r="N21" s="286"/>
      <c r="O21" s="285">
        <v>21.387239999999995</v>
      </c>
      <c r="P21" s="285"/>
      <c r="Q21" s="285"/>
      <c r="R21" s="278"/>
      <c r="S21" s="278" t="s">
        <v>751</v>
      </c>
      <c r="T21" s="278"/>
      <c r="U21" s="304"/>
    </row>
    <row r="22" spans="1:28" s="305" customFormat="1" ht="14.45" hidden="1" customHeight="1" outlineLevel="1" x14ac:dyDescent="0.25">
      <c r="A22" s="278"/>
      <c r="B22" s="279" t="str">
        <f t="shared" si="9"/>
        <v>class 1over 8.0mflat</v>
      </c>
      <c r="C22" s="278" t="s">
        <v>774</v>
      </c>
      <c r="D22" s="278" t="s">
        <v>752</v>
      </c>
      <c r="E22" s="278" t="s">
        <v>755</v>
      </c>
      <c r="F22" s="278"/>
      <c r="G22" s="278" t="s">
        <v>11</v>
      </c>
      <c r="H22" s="310">
        <v>1.0270000000000001</v>
      </c>
      <c r="I22" s="280">
        <f t="shared" si="10"/>
        <v>67.134990000000016</v>
      </c>
      <c r="J22" s="281">
        <f t="shared" si="11"/>
        <v>83.022680000000008</v>
      </c>
      <c r="K22" s="282">
        <f>IF(Notes!$B$9="Domestic",I22, IF(Notes!$B$9="Commercial",J22))*$K$17</f>
        <v>91.32494800000002</v>
      </c>
      <c r="L22" s="283">
        <f>(SUM(O22:Q22)+(K22+SUM(M22:Q22))*(INDEX($U$17:$AB$17,MATCH(Notes!$C$16,$U$3:$AB$3,0))-100%))*$L$17</f>
        <v>22.317119999999999</v>
      </c>
      <c r="M22" s="286">
        <v>45.275999999999996</v>
      </c>
      <c r="N22" s="286"/>
      <c r="O22" s="285">
        <v>22.317119999999999</v>
      </c>
      <c r="P22" s="285"/>
      <c r="Q22" s="285"/>
      <c r="R22" s="278"/>
      <c r="S22" s="278" t="s">
        <v>752</v>
      </c>
      <c r="T22" s="278"/>
      <c r="U22" s="304"/>
    </row>
    <row r="23" spans="1:28" s="305" customFormat="1" ht="14.45" hidden="1" customHeight="1" outlineLevel="1" x14ac:dyDescent="0.25">
      <c r="A23" s="278"/>
      <c r="B23" s="279" t="str">
        <f t="shared" ref="B23:B38" si="12">C23&amp;D23&amp;E23&amp;F23</f>
        <v>class 1Lift Roofflat</v>
      </c>
      <c r="C23" s="278" t="s">
        <v>774</v>
      </c>
      <c r="D23" s="278" t="s">
        <v>753</v>
      </c>
      <c r="E23" s="278" t="s">
        <v>755</v>
      </c>
      <c r="F23" s="278"/>
      <c r="G23" s="278" t="s">
        <v>11</v>
      </c>
      <c r="H23" s="310">
        <v>1.3650000000000002</v>
      </c>
      <c r="I23" s="280">
        <f t="shared" si="10"/>
        <v>89.23005000000002</v>
      </c>
      <c r="J23" s="281">
        <f t="shared" ref="J23:J38" si="13">$J$2*H23</f>
        <v>110.34660000000002</v>
      </c>
      <c r="K23" s="282">
        <f>IF(Notes!$B$9="Domestic",I23, IF(Notes!$B$9="Commercial",J23))*$K$17</f>
        <v>121.38126000000004</v>
      </c>
      <c r="L23" s="283">
        <f>(SUM(O23:Q23)+(K23+SUM(M23:Q23))*(INDEX($U$17:$AB$17,MATCH(Notes!$C$16,$U$3:$AB$3,0))-100%))*$L$17</f>
        <v>64.629599999999982</v>
      </c>
      <c r="M23" s="286">
        <v>47.13</v>
      </c>
      <c r="N23" s="286"/>
      <c r="O23" s="285">
        <v>64.629599999999982</v>
      </c>
      <c r="P23" s="285"/>
      <c r="Q23" s="285"/>
      <c r="R23" s="278"/>
      <c r="S23" s="278" t="s">
        <v>753</v>
      </c>
      <c r="T23" s="278"/>
      <c r="U23" s="304"/>
    </row>
    <row r="24" spans="1:28" s="305" customFormat="1" ht="14.45" hidden="1" customHeight="1" outlineLevel="1" x14ac:dyDescent="0.25">
      <c r="A24" s="278"/>
      <c r="B24" s="279" t="str">
        <f t="shared" si="12"/>
        <v>class 20-3.7mflat</v>
      </c>
      <c r="C24" s="278" t="s">
        <v>745</v>
      </c>
      <c r="D24" s="278" t="s">
        <v>748</v>
      </c>
      <c r="E24" s="278" t="s">
        <v>755</v>
      </c>
      <c r="F24" s="278"/>
      <c r="G24" s="278" t="s">
        <v>11</v>
      </c>
      <c r="H24" s="309">
        <f>H18</f>
        <v>0.8580000000000001</v>
      </c>
      <c r="I24" s="280">
        <f t="shared" si="10"/>
        <v>56.087460000000007</v>
      </c>
      <c r="J24" s="281">
        <f t="shared" si="13"/>
        <v>69.360720000000015</v>
      </c>
      <c r="K24" s="282">
        <f>IF(Notes!$B$9="Domestic",I24, IF(Notes!$B$9="Commercial",J24))*$K$17</f>
        <v>76.296792000000025</v>
      </c>
      <c r="L24" s="283">
        <f>(SUM(O24:Q24)+(K24+SUM(M24:Q24))*(INDEX($U$17:$AB$17,MATCH(Notes!$C$16,$U$3:$AB$3,0))-100%))*$L$17</f>
        <v>13.284000000000001</v>
      </c>
      <c r="M24" s="286">
        <v>37.729999999999997</v>
      </c>
      <c r="N24" s="286"/>
      <c r="O24" s="285">
        <v>13.284000000000001</v>
      </c>
      <c r="P24" s="285"/>
      <c r="Q24" s="285"/>
      <c r="R24" s="278"/>
      <c r="S24" s="278"/>
      <c r="T24" s="278"/>
      <c r="U24" s="304"/>
    </row>
    <row r="25" spans="1:28" s="305" customFormat="1" ht="14.45" hidden="1" customHeight="1" outlineLevel="1" x14ac:dyDescent="0.25">
      <c r="A25" s="278"/>
      <c r="B25" s="279" t="str">
        <f t="shared" si="12"/>
        <v>class 23.7-5.2mflat</v>
      </c>
      <c r="C25" s="278" t="s">
        <v>745</v>
      </c>
      <c r="D25" s="278" t="s">
        <v>749</v>
      </c>
      <c r="E25" s="278" t="s">
        <v>755</v>
      </c>
      <c r="F25" s="278"/>
      <c r="G25" s="278" t="s">
        <v>11</v>
      </c>
      <c r="H25" s="309">
        <f t="shared" ref="H25:H35" si="14">H19</f>
        <v>0.89699999999999991</v>
      </c>
      <c r="I25" s="280">
        <f t="shared" si="10"/>
        <v>58.636890000000001</v>
      </c>
      <c r="J25" s="281">
        <f t="shared" si="13"/>
        <v>72.513480000000001</v>
      </c>
      <c r="K25" s="282">
        <f>IF(Notes!$B$9="Domestic",I25, IF(Notes!$B$9="Commercial",J25))*$K$17</f>
        <v>79.764828000000009</v>
      </c>
      <c r="L25" s="283">
        <f>(SUM(O25:Q25)+(K25+SUM(M25:Q25))*(INDEX($U$17:$AB$17,MATCH(Notes!$C$16,$U$3:$AB$3,0))-100%))*$L$17</f>
        <v>13.9482</v>
      </c>
      <c r="M25" s="286">
        <v>39.616499999999995</v>
      </c>
      <c r="N25" s="286"/>
      <c r="O25" s="285">
        <v>13.9482</v>
      </c>
      <c r="P25" s="285"/>
      <c r="Q25" s="285"/>
      <c r="R25" s="278"/>
      <c r="S25" s="278"/>
      <c r="T25" s="278"/>
      <c r="U25" s="304"/>
    </row>
    <row r="26" spans="1:28" s="305" customFormat="1" ht="14.45" hidden="1" customHeight="1" outlineLevel="1" x14ac:dyDescent="0.25">
      <c r="A26" s="278"/>
      <c r="B26" s="279" t="str">
        <f t="shared" si="12"/>
        <v>class 25.2-7.0mflat</v>
      </c>
      <c r="C26" s="278" t="s">
        <v>745</v>
      </c>
      <c r="D26" s="278" t="s">
        <v>750</v>
      </c>
      <c r="E26" s="278" t="s">
        <v>755</v>
      </c>
      <c r="F26" s="278"/>
      <c r="G26" s="278" t="s">
        <v>11</v>
      </c>
      <c r="H26" s="309">
        <f t="shared" si="14"/>
        <v>0.94899999999999995</v>
      </c>
      <c r="I26" s="280">
        <f t="shared" si="10"/>
        <v>62.03613</v>
      </c>
      <c r="J26" s="281">
        <f t="shared" si="13"/>
        <v>76.717159999999993</v>
      </c>
      <c r="K26" s="282">
        <f>IF(Notes!$B$9="Domestic",I26, IF(Notes!$B$9="Commercial",J26))*$K$17</f>
        <v>84.388875999999996</v>
      </c>
      <c r="L26" s="283">
        <f>(SUM(O26:Q26)+(K26+SUM(M26:Q26))*(INDEX($U$17:$AB$17,MATCH(Notes!$C$16,$U$3:$AB$3,0))-100%))*$L$17</f>
        <v>14.612400000000001</v>
      </c>
      <c r="M26" s="286">
        <v>41.503</v>
      </c>
      <c r="N26" s="286"/>
      <c r="O26" s="285">
        <v>14.612400000000001</v>
      </c>
      <c r="P26" s="285"/>
      <c r="Q26" s="285"/>
      <c r="R26" s="278"/>
      <c r="S26" s="278"/>
      <c r="T26" s="278"/>
      <c r="U26" s="304"/>
    </row>
    <row r="27" spans="1:28" s="305" customFormat="1" ht="14.45" hidden="1" customHeight="1" outlineLevel="1" x14ac:dyDescent="0.25">
      <c r="A27" s="278"/>
      <c r="B27" s="279" t="str">
        <f t="shared" si="12"/>
        <v>class 27.0-8.0mflat</v>
      </c>
      <c r="C27" s="278" t="s">
        <v>745</v>
      </c>
      <c r="D27" s="278" t="s">
        <v>751</v>
      </c>
      <c r="E27" s="278" t="s">
        <v>755</v>
      </c>
      <c r="F27" s="278"/>
      <c r="G27" s="278" t="s">
        <v>11</v>
      </c>
      <c r="H27" s="309">
        <f t="shared" si="14"/>
        <v>0.9880000000000001</v>
      </c>
      <c r="I27" s="280">
        <f t="shared" si="10"/>
        <v>64.585560000000015</v>
      </c>
      <c r="J27" s="281">
        <f t="shared" si="13"/>
        <v>79.869920000000008</v>
      </c>
      <c r="K27" s="282">
        <f>IF(Notes!$B$9="Domestic",I27, IF(Notes!$B$9="Commercial",J27))*$K$17</f>
        <v>87.856912000000008</v>
      </c>
      <c r="L27" s="283">
        <f>(SUM(O27:Q27)+(K27+SUM(M27:Q27))*(INDEX($U$17:$AB$17,MATCH(Notes!$C$16,$U$3:$AB$3,0))-100%))*$L$17</f>
        <v>15.276599999999998</v>
      </c>
      <c r="M27" s="286">
        <v>43.389499999999991</v>
      </c>
      <c r="N27" s="286"/>
      <c r="O27" s="285">
        <v>15.276599999999998</v>
      </c>
      <c r="P27" s="285"/>
      <c r="Q27" s="285"/>
      <c r="R27" s="278"/>
      <c r="S27" s="278"/>
      <c r="T27" s="278"/>
      <c r="U27" s="304"/>
    </row>
    <row r="28" spans="1:28" s="305" customFormat="1" ht="14.45" hidden="1" customHeight="1" outlineLevel="1" x14ac:dyDescent="0.25">
      <c r="A28" s="278"/>
      <c r="B28" s="279" t="str">
        <f t="shared" si="12"/>
        <v>class 2over 8.0mflat</v>
      </c>
      <c r="C28" s="278" t="s">
        <v>745</v>
      </c>
      <c r="D28" s="278" t="s">
        <v>752</v>
      </c>
      <c r="E28" s="278" t="s">
        <v>755</v>
      </c>
      <c r="F28" s="278"/>
      <c r="G28" s="278" t="s">
        <v>11</v>
      </c>
      <c r="H28" s="309">
        <f t="shared" si="14"/>
        <v>1.0270000000000001</v>
      </c>
      <c r="I28" s="280">
        <f t="shared" si="10"/>
        <v>67.134990000000016</v>
      </c>
      <c r="J28" s="281">
        <f t="shared" si="13"/>
        <v>83.022680000000008</v>
      </c>
      <c r="K28" s="282">
        <f>IF(Notes!$B$9="Domestic",I28, IF(Notes!$B$9="Commercial",J28))*$K$17</f>
        <v>91.32494800000002</v>
      </c>
      <c r="L28" s="283">
        <f>(SUM(O28:Q28)+(K28+SUM(M28:Q28))*(INDEX($U$17:$AB$17,MATCH(Notes!$C$16,$U$3:$AB$3,0))-100%))*$L$17</f>
        <v>15.940799999999999</v>
      </c>
      <c r="M28" s="286">
        <v>45.275999999999996</v>
      </c>
      <c r="N28" s="286"/>
      <c r="O28" s="285">
        <v>15.940799999999999</v>
      </c>
      <c r="P28" s="285"/>
      <c r="Q28" s="285"/>
      <c r="R28" s="278"/>
      <c r="S28" s="278"/>
      <c r="T28" s="278"/>
      <c r="U28" s="304"/>
    </row>
    <row r="29" spans="1:28" s="305" customFormat="1" ht="14.45" hidden="1" customHeight="1" outlineLevel="1" x14ac:dyDescent="0.25">
      <c r="A29" s="278"/>
      <c r="B29" s="279" t="str">
        <f t="shared" si="12"/>
        <v>class 2Lift Roofflat</v>
      </c>
      <c r="C29" s="278" t="s">
        <v>745</v>
      </c>
      <c r="D29" s="278" t="s">
        <v>753</v>
      </c>
      <c r="E29" s="278" t="s">
        <v>755</v>
      </c>
      <c r="F29" s="278"/>
      <c r="G29" s="278" t="s">
        <v>11</v>
      </c>
      <c r="H29" s="309">
        <f t="shared" si="14"/>
        <v>1.3650000000000002</v>
      </c>
      <c r="I29" s="280">
        <f t="shared" si="10"/>
        <v>89.23005000000002</v>
      </c>
      <c r="J29" s="281">
        <f t="shared" si="13"/>
        <v>110.34660000000002</v>
      </c>
      <c r="K29" s="282">
        <f>IF(Notes!$B$9="Domestic",I29, IF(Notes!$B$9="Commercial",J29))*$K$17</f>
        <v>121.38126000000004</v>
      </c>
      <c r="L29" s="283">
        <f>(SUM(O29:Q29)+(K29+SUM(M29:Q29))*(INDEX($U$17:$AB$17,MATCH(Notes!$C$16,$U$3:$AB$3,0))-100%))*$L$17</f>
        <v>46.163999999999994</v>
      </c>
      <c r="M29" s="286">
        <v>47.13</v>
      </c>
      <c r="N29" s="286"/>
      <c r="O29" s="285">
        <v>46.163999999999994</v>
      </c>
      <c r="P29" s="285"/>
      <c r="Q29" s="285"/>
      <c r="R29" s="278"/>
      <c r="S29" s="278"/>
      <c r="T29" s="278"/>
      <c r="U29" s="304"/>
    </row>
    <row r="30" spans="1:28" s="305" customFormat="1" ht="14.45" hidden="1" customHeight="1" outlineLevel="1" x14ac:dyDescent="0.25">
      <c r="A30" s="278"/>
      <c r="B30" s="279" t="str">
        <f t="shared" si="12"/>
        <v>class 30-3.7mflat</v>
      </c>
      <c r="C30" s="278" t="s">
        <v>744</v>
      </c>
      <c r="D30" s="278" t="s">
        <v>748</v>
      </c>
      <c r="E30" s="278" t="s">
        <v>755</v>
      </c>
      <c r="F30" s="278"/>
      <c r="G30" s="278" t="s">
        <v>11</v>
      </c>
      <c r="H30" s="309">
        <f t="shared" si="14"/>
        <v>0.8580000000000001</v>
      </c>
      <c r="I30" s="280">
        <f t="shared" si="10"/>
        <v>56.087460000000007</v>
      </c>
      <c r="J30" s="281">
        <f t="shared" si="13"/>
        <v>69.360720000000015</v>
      </c>
      <c r="K30" s="282">
        <f>IF(Notes!$B$9="Domestic",I30, IF(Notes!$B$9="Commercial",J30))*$K$17</f>
        <v>76.296792000000025</v>
      </c>
      <c r="L30" s="283">
        <f>(SUM(O30:Q30)+(K30+SUM(M30:Q30))*(INDEX($U$17:$AB$17,MATCH(Notes!$C$16,$U$3:$AB$3,0))-100%))*$L$17</f>
        <v>11.07</v>
      </c>
      <c r="M30" s="286">
        <v>37.729999999999997</v>
      </c>
      <c r="N30" s="286"/>
      <c r="O30" s="285">
        <v>11.07</v>
      </c>
      <c r="P30" s="285"/>
      <c r="Q30" s="285"/>
      <c r="R30" s="278"/>
      <c r="S30" s="278"/>
      <c r="T30" s="278"/>
      <c r="U30" s="304"/>
    </row>
    <row r="31" spans="1:28" s="305" customFormat="1" ht="14.45" hidden="1" customHeight="1" outlineLevel="1" x14ac:dyDescent="0.25">
      <c r="A31" s="278"/>
      <c r="B31" s="279" t="str">
        <f t="shared" si="12"/>
        <v>class 33.7-5.2mflat</v>
      </c>
      <c r="C31" s="278" t="s">
        <v>744</v>
      </c>
      <c r="D31" s="278" t="s">
        <v>749</v>
      </c>
      <c r="E31" s="278" t="s">
        <v>755</v>
      </c>
      <c r="F31" s="278"/>
      <c r="G31" s="278" t="s">
        <v>11</v>
      </c>
      <c r="H31" s="309">
        <f t="shared" si="14"/>
        <v>0.89699999999999991</v>
      </c>
      <c r="I31" s="280">
        <f t="shared" si="10"/>
        <v>58.636890000000001</v>
      </c>
      <c r="J31" s="281">
        <f t="shared" si="13"/>
        <v>72.513480000000001</v>
      </c>
      <c r="K31" s="282">
        <f>IF(Notes!$B$9="Domestic",I31, IF(Notes!$B$9="Commercial",J31))*$K$17</f>
        <v>79.764828000000009</v>
      </c>
      <c r="L31" s="283">
        <f>(SUM(O31:Q31)+(K31+SUM(M31:Q31))*(INDEX($U$17:$AB$17,MATCH(Notes!$C$16,$U$3:$AB$3,0))-100%))*$L$17</f>
        <v>11.6235</v>
      </c>
      <c r="M31" s="286">
        <v>39.616499999999995</v>
      </c>
      <c r="N31" s="286"/>
      <c r="O31" s="285">
        <v>11.6235</v>
      </c>
      <c r="P31" s="285"/>
      <c r="Q31" s="285"/>
      <c r="R31" s="278"/>
      <c r="S31" s="278"/>
      <c r="T31" s="278"/>
      <c r="U31" s="304"/>
    </row>
    <row r="32" spans="1:28" s="305" customFormat="1" ht="14.45" hidden="1" customHeight="1" outlineLevel="1" x14ac:dyDescent="0.25">
      <c r="A32" s="278"/>
      <c r="B32" s="279" t="str">
        <f t="shared" si="12"/>
        <v>class 35.2-7.0mflat</v>
      </c>
      <c r="C32" s="278" t="s">
        <v>744</v>
      </c>
      <c r="D32" s="278" t="s">
        <v>750</v>
      </c>
      <c r="E32" s="278" t="s">
        <v>755</v>
      </c>
      <c r="F32" s="278"/>
      <c r="G32" s="278" t="s">
        <v>11</v>
      </c>
      <c r="H32" s="309">
        <f t="shared" si="14"/>
        <v>0.94899999999999995</v>
      </c>
      <c r="I32" s="280">
        <f t="shared" si="10"/>
        <v>62.03613</v>
      </c>
      <c r="J32" s="281">
        <f t="shared" si="13"/>
        <v>76.717159999999993</v>
      </c>
      <c r="K32" s="282">
        <f>IF(Notes!$B$9="Domestic",I32, IF(Notes!$B$9="Commercial",J32))*$K$17</f>
        <v>84.388875999999996</v>
      </c>
      <c r="L32" s="283">
        <f>(SUM(O32:Q32)+(K32+SUM(M32:Q32))*(INDEX($U$17:$AB$17,MATCH(Notes!$C$16,$U$3:$AB$3,0))-100%))*$L$17</f>
        <v>12.177000000000001</v>
      </c>
      <c r="M32" s="286">
        <v>41.503</v>
      </c>
      <c r="N32" s="286"/>
      <c r="O32" s="285">
        <v>12.177000000000001</v>
      </c>
      <c r="P32" s="285"/>
      <c r="Q32" s="285"/>
      <c r="R32" s="278"/>
      <c r="S32" s="278"/>
      <c r="T32" s="278"/>
      <c r="U32" s="304"/>
    </row>
    <row r="33" spans="1:21" s="305" customFormat="1" ht="14.45" hidden="1" customHeight="1" outlineLevel="1" x14ac:dyDescent="0.25">
      <c r="A33" s="278"/>
      <c r="B33" s="279" t="str">
        <f t="shared" si="12"/>
        <v>class 37.0-8.0mflat</v>
      </c>
      <c r="C33" s="278" t="s">
        <v>744</v>
      </c>
      <c r="D33" s="278" t="s">
        <v>751</v>
      </c>
      <c r="E33" s="278" t="s">
        <v>755</v>
      </c>
      <c r="F33" s="278"/>
      <c r="G33" s="278" t="s">
        <v>11</v>
      </c>
      <c r="H33" s="309">
        <f t="shared" si="14"/>
        <v>0.9880000000000001</v>
      </c>
      <c r="I33" s="280">
        <f t="shared" si="10"/>
        <v>64.585560000000015</v>
      </c>
      <c r="J33" s="281">
        <f t="shared" si="13"/>
        <v>79.869920000000008</v>
      </c>
      <c r="K33" s="282">
        <f>IF(Notes!$B$9="Domestic",I33, IF(Notes!$B$9="Commercial",J33))*$K$17</f>
        <v>87.856912000000008</v>
      </c>
      <c r="L33" s="283">
        <f>(SUM(O33:Q33)+(K33+SUM(M33:Q33))*(INDEX($U$17:$AB$17,MATCH(Notes!$C$16,$U$3:$AB$3,0))-100%))*$L$17</f>
        <v>12.730499999999999</v>
      </c>
      <c r="M33" s="286">
        <v>43.389499999999991</v>
      </c>
      <c r="N33" s="286"/>
      <c r="O33" s="285">
        <v>12.730499999999999</v>
      </c>
      <c r="P33" s="285"/>
      <c r="Q33" s="285"/>
      <c r="R33" s="278"/>
      <c r="S33" s="278"/>
      <c r="T33" s="278"/>
      <c r="U33" s="304"/>
    </row>
    <row r="34" spans="1:21" s="305" customFormat="1" ht="14.45" hidden="1" customHeight="1" outlineLevel="1" x14ac:dyDescent="0.25">
      <c r="A34" s="278"/>
      <c r="B34" s="279" t="str">
        <f t="shared" si="12"/>
        <v>class 3over 8.0mflat</v>
      </c>
      <c r="C34" s="278" t="s">
        <v>744</v>
      </c>
      <c r="D34" s="278" t="s">
        <v>752</v>
      </c>
      <c r="E34" s="278" t="s">
        <v>755</v>
      </c>
      <c r="F34" s="278"/>
      <c r="G34" s="278" t="s">
        <v>11</v>
      </c>
      <c r="H34" s="309">
        <f t="shared" si="14"/>
        <v>1.0270000000000001</v>
      </c>
      <c r="I34" s="280">
        <f t="shared" si="10"/>
        <v>67.134990000000016</v>
      </c>
      <c r="J34" s="281">
        <f t="shared" si="13"/>
        <v>83.022680000000008</v>
      </c>
      <c r="K34" s="282">
        <f>IF(Notes!$B$9="Domestic",I34, IF(Notes!$B$9="Commercial",J34))*$K$17</f>
        <v>91.32494800000002</v>
      </c>
      <c r="L34" s="283">
        <f>(SUM(O34:Q34)+(K34+SUM(M34:Q34))*(INDEX($U$17:$AB$17,MATCH(Notes!$C$16,$U$3:$AB$3,0))-100%))*$L$17</f>
        <v>13.284000000000001</v>
      </c>
      <c r="M34" s="286">
        <v>45.275999999999996</v>
      </c>
      <c r="N34" s="286"/>
      <c r="O34" s="285">
        <v>13.284000000000001</v>
      </c>
      <c r="P34" s="285"/>
      <c r="Q34" s="285"/>
      <c r="R34" s="278"/>
      <c r="S34" s="278"/>
      <c r="T34" s="278"/>
      <c r="U34" s="304"/>
    </row>
    <row r="35" spans="1:21" s="305" customFormat="1" ht="14.45" hidden="1" customHeight="1" outlineLevel="1" x14ac:dyDescent="0.25">
      <c r="A35" s="278"/>
      <c r="B35" s="279" t="str">
        <f t="shared" si="12"/>
        <v>class 3Lift Roofflat</v>
      </c>
      <c r="C35" s="278" t="s">
        <v>744</v>
      </c>
      <c r="D35" s="278" t="s">
        <v>753</v>
      </c>
      <c r="E35" s="278" t="s">
        <v>755</v>
      </c>
      <c r="F35" s="278"/>
      <c r="G35" s="278" t="s">
        <v>11</v>
      </c>
      <c r="H35" s="309">
        <f t="shared" si="14"/>
        <v>1.3650000000000002</v>
      </c>
      <c r="I35" s="280">
        <f t="shared" si="10"/>
        <v>89.23005000000002</v>
      </c>
      <c r="J35" s="281">
        <f t="shared" si="13"/>
        <v>110.34660000000002</v>
      </c>
      <c r="K35" s="282">
        <f>IF(Notes!$B$9="Domestic",I35, IF(Notes!$B$9="Commercial",J35))*$K$17</f>
        <v>121.38126000000004</v>
      </c>
      <c r="L35" s="283">
        <f>(SUM(O35:Q35)+(K35+SUM(M35:Q35))*(INDEX($U$17:$AB$17,MATCH(Notes!$C$16,$U$3:$AB$3,0))-100%))*$L$17</f>
        <v>38.47</v>
      </c>
      <c r="M35" s="286">
        <v>47.13</v>
      </c>
      <c r="N35" s="286"/>
      <c r="O35" s="285">
        <v>38.47</v>
      </c>
      <c r="P35" s="285"/>
      <c r="Q35" s="285"/>
      <c r="R35" s="278"/>
      <c r="S35" s="278"/>
      <c r="T35" s="278"/>
      <c r="U35" s="304"/>
    </row>
    <row r="36" spans="1:21" s="305" customFormat="1" ht="14.45" hidden="1" customHeight="1" outlineLevel="1" x14ac:dyDescent="0.25">
      <c r="A36" s="278"/>
      <c r="B36" s="279" t="str">
        <f t="shared" si="12"/>
        <v>class 10-3.7mraked</v>
      </c>
      <c r="C36" s="278" t="s">
        <v>774</v>
      </c>
      <c r="D36" s="278" t="s">
        <v>748</v>
      </c>
      <c r="E36" s="278" t="s">
        <v>754</v>
      </c>
      <c r="F36" s="278"/>
      <c r="G36" s="278" t="s">
        <v>11</v>
      </c>
      <c r="H36" s="309">
        <f>H18*1.2</f>
        <v>1.0296000000000001</v>
      </c>
      <c r="I36" s="280">
        <f t="shared" si="10"/>
        <v>67.304952000000014</v>
      </c>
      <c r="J36" s="281">
        <f t="shared" si="13"/>
        <v>83.232864000000006</v>
      </c>
      <c r="K36" s="282">
        <f>IF(Notes!$B$9="Domestic",I36, IF(Notes!$B$9="Commercial",J36))*$K$17</f>
        <v>91.556150400000021</v>
      </c>
      <c r="L36" s="283">
        <f>(SUM(O36:Q36)+(K36+SUM(M36:Q36))*(INDEX($U$17:$AB$17,MATCH(Notes!$C$16,$U$3:$AB$3,0))-100%))*$L$17</f>
        <v>18.5976</v>
      </c>
      <c r="M36" s="313">
        <f>M18</f>
        <v>37.729999999999997</v>
      </c>
      <c r="N36" s="286"/>
      <c r="O36" s="311">
        <f>O18</f>
        <v>18.5976</v>
      </c>
      <c r="P36" s="285"/>
      <c r="Q36" s="285"/>
      <c r="R36" s="278"/>
      <c r="S36" s="278"/>
      <c r="T36" s="278"/>
      <c r="U36" s="304"/>
    </row>
    <row r="37" spans="1:21" s="305" customFormat="1" ht="14.45" hidden="1" customHeight="1" outlineLevel="1" x14ac:dyDescent="0.25">
      <c r="A37" s="278"/>
      <c r="B37" s="279" t="str">
        <f t="shared" si="12"/>
        <v>class 13.7-5.2mraked</v>
      </c>
      <c r="C37" s="278" t="s">
        <v>774</v>
      </c>
      <c r="D37" s="278" t="s">
        <v>749</v>
      </c>
      <c r="E37" s="278" t="s">
        <v>754</v>
      </c>
      <c r="F37" s="278"/>
      <c r="G37" s="278" t="s">
        <v>11</v>
      </c>
      <c r="H37" s="309">
        <f t="shared" ref="H37:H41" si="15">H19*1.2</f>
        <v>1.0763999999999998</v>
      </c>
      <c r="I37" s="280">
        <f t="shared" si="10"/>
        <v>70.364267999999996</v>
      </c>
      <c r="J37" s="281">
        <f t="shared" si="13"/>
        <v>87.016175999999987</v>
      </c>
      <c r="K37" s="282">
        <f>IF(Notes!$B$9="Domestic",I37, IF(Notes!$B$9="Commercial",J37))*$K$17</f>
        <v>95.717793599999993</v>
      </c>
      <c r="L37" s="283">
        <f>(SUM(O37:Q37)+(K37+SUM(M37:Q37))*(INDEX($U$17:$AB$17,MATCH(Notes!$C$16,$U$3:$AB$3,0))-100%))*$L$17</f>
        <v>19.527479999999997</v>
      </c>
      <c r="M37" s="313">
        <f t="shared" ref="M37:M53" si="16">M19</f>
        <v>39.616499999999995</v>
      </c>
      <c r="N37" s="286"/>
      <c r="O37" s="311">
        <f t="shared" ref="O37:O53" si="17">O19</f>
        <v>19.527479999999997</v>
      </c>
      <c r="P37" s="285"/>
      <c r="Q37" s="285"/>
      <c r="R37" s="278"/>
      <c r="S37" s="278"/>
      <c r="T37" s="278"/>
      <c r="U37" s="304"/>
    </row>
    <row r="38" spans="1:21" s="305" customFormat="1" ht="14.45" hidden="1" customHeight="1" outlineLevel="1" x14ac:dyDescent="0.25">
      <c r="A38" s="278"/>
      <c r="B38" s="279" t="str">
        <f t="shared" si="12"/>
        <v>class 15.2-7.0mraked</v>
      </c>
      <c r="C38" s="278" t="s">
        <v>774</v>
      </c>
      <c r="D38" s="278" t="s">
        <v>750</v>
      </c>
      <c r="E38" s="278" t="s">
        <v>754</v>
      </c>
      <c r="F38" s="278"/>
      <c r="G38" s="278" t="s">
        <v>11</v>
      </c>
      <c r="H38" s="309">
        <f t="shared" si="15"/>
        <v>1.1387999999999998</v>
      </c>
      <c r="I38" s="280">
        <f t="shared" si="10"/>
        <v>74.443355999999994</v>
      </c>
      <c r="J38" s="281">
        <f t="shared" si="13"/>
        <v>92.060591999999986</v>
      </c>
      <c r="K38" s="282">
        <f>IF(Notes!$B$9="Domestic",I38, IF(Notes!$B$9="Commercial",J38))*$K$17</f>
        <v>101.2666512</v>
      </c>
      <c r="L38" s="283">
        <f>(SUM(O38:Q38)+(K38+SUM(M38:Q38))*(INDEX($U$17:$AB$17,MATCH(Notes!$C$16,$U$3:$AB$3,0))-100%))*$L$17</f>
        <v>20.457360000000001</v>
      </c>
      <c r="M38" s="313">
        <f t="shared" si="16"/>
        <v>41.503</v>
      </c>
      <c r="N38" s="286"/>
      <c r="O38" s="311">
        <f t="shared" si="17"/>
        <v>20.457360000000001</v>
      </c>
      <c r="P38" s="285"/>
      <c r="Q38" s="285"/>
      <c r="R38" s="278"/>
      <c r="S38" s="278"/>
      <c r="T38" s="278"/>
      <c r="U38" s="304"/>
    </row>
    <row r="39" spans="1:21" s="305" customFormat="1" ht="14.45" hidden="1" customHeight="1" outlineLevel="1" x14ac:dyDescent="0.25">
      <c r="A39" s="278"/>
      <c r="B39" s="279" t="str">
        <f t="shared" si="9"/>
        <v>class 17.0-8.0mraked</v>
      </c>
      <c r="C39" s="278" t="s">
        <v>774</v>
      </c>
      <c r="D39" s="278" t="s">
        <v>751</v>
      </c>
      <c r="E39" s="278" t="s">
        <v>754</v>
      </c>
      <c r="F39" s="278"/>
      <c r="G39" s="278" t="s">
        <v>11</v>
      </c>
      <c r="H39" s="309">
        <f t="shared" si="15"/>
        <v>1.1856</v>
      </c>
      <c r="I39" s="280">
        <f t="shared" si="10"/>
        <v>77.502672000000004</v>
      </c>
      <c r="J39" s="281">
        <f t="shared" si="11"/>
        <v>95.843904000000009</v>
      </c>
      <c r="K39" s="282">
        <f>IF(Notes!$B$9="Domestic",I39, IF(Notes!$B$9="Commercial",J39))*$K$17</f>
        <v>105.42829440000001</v>
      </c>
      <c r="L39" s="283">
        <f>(SUM(O39:Q39)+(K39+SUM(M39:Q39))*(INDEX($U$17:$AB$17,MATCH(Notes!$C$16,$U$3:$AB$3,0))-100%))*$L$17</f>
        <v>21.387239999999995</v>
      </c>
      <c r="M39" s="313">
        <f t="shared" si="16"/>
        <v>43.389499999999991</v>
      </c>
      <c r="N39" s="286"/>
      <c r="O39" s="311">
        <f t="shared" si="17"/>
        <v>21.387239999999995</v>
      </c>
      <c r="P39" s="285"/>
      <c r="Q39" s="285"/>
      <c r="R39" s="278"/>
      <c r="S39" s="278"/>
      <c r="T39" s="278"/>
      <c r="U39" s="304"/>
    </row>
    <row r="40" spans="1:21" s="305" customFormat="1" ht="14.45" hidden="1" customHeight="1" outlineLevel="1" x14ac:dyDescent="0.25">
      <c r="A40" s="278"/>
      <c r="B40" s="279" t="str">
        <f t="shared" si="9"/>
        <v>class 1over 8.0mraked</v>
      </c>
      <c r="C40" s="278" t="s">
        <v>774</v>
      </c>
      <c r="D40" s="278" t="s">
        <v>752</v>
      </c>
      <c r="E40" s="278" t="s">
        <v>754</v>
      </c>
      <c r="F40" s="278"/>
      <c r="G40" s="278" t="s">
        <v>11</v>
      </c>
      <c r="H40" s="309">
        <f t="shared" si="15"/>
        <v>1.2324000000000002</v>
      </c>
      <c r="I40" s="280">
        <f t="shared" si="10"/>
        <v>80.561988000000014</v>
      </c>
      <c r="J40" s="281">
        <f t="shared" si="11"/>
        <v>99.627216000000018</v>
      </c>
      <c r="K40" s="282">
        <f>IF(Notes!$B$9="Domestic",I40, IF(Notes!$B$9="Commercial",J40))*$K$17</f>
        <v>109.58993760000003</v>
      </c>
      <c r="L40" s="283">
        <f>(SUM(O40:Q40)+(K40+SUM(M40:Q40))*(INDEX($U$17:$AB$17,MATCH(Notes!$C$16,$U$3:$AB$3,0))-100%))*$L$17</f>
        <v>22.317119999999999</v>
      </c>
      <c r="M40" s="313">
        <f t="shared" si="16"/>
        <v>45.275999999999996</v>
      </c>
      <c r="N40" s="286"/>
      <c r="O40" s="311">
        <f t="shared" si="17"/>
        <v>22.317119999999999</v>
      </c>
      <c r="P40" s="285"/>
      <c r="Q40" s="285"/>
      <c r="R40" s="278"/>
      <c r="S40" s="278"/>
      <c r="T40" s="278"/>
      <c r="U40" s="304"/>
    </row>
    <row r="41" spans="1:21" s="305" customFormat="1" ht="14.45" hidden="1" customHeight="1" outlineLevel="1" x14ac:dyDescent="0.25">
      <c r="A41" s="278"/>
      <c r="B41" s="279" t="str">
        <f t="shared" si="9"/>
        <v>class 1Lift Roofraked</v>
      </c>
      <c r="C41" s="278" t="s">
        <v>774</v>
      </c>
      <c r="D41" s="278" t="s">
        <v>753</v>
      </c>
      <c r="E41" s="278" t="s">
        <v>754</v>
      </c>
      <c r="F41" s="278"/>
      <c r="G41" s="278" t="s">
        <v>11</v>
      </c>
      <c r="H41" s="309">
        <f t="shared" si="15"/>
        <v>1.6380000000000001</v>
      </c>
      <c r="I41" s="280">
        <f t="shared" si="10"/>
        <v>107.07606000000001</v>
      </c>
      <c r="J41" s="281">
        <f t="shared" si="11"/>
        <v>132.41592000000003</v>
      </c>
      <c r="K41" s="282">
        <f>IF(Notes!$B$9="Domestic",I41, IF(Notes!$B$9="Commercial",J41))*$K$17</f>
        <v>145.65751200000005</v>
      </c>
      <c r="L41" s="283">
        <f>(SUM(O41:Q41)+(K41+SUM(M41:Q41))*(INDEX($U$17:$AB$17,MATCH(Notes!$C$16,$U$3:$AB$3,0))-100%))*$L$17</f>
        <v>64.629599999999982</v>
      </c>
      <c r="M41" s="313">
        <f t="shared" si="16"/>
        <v>47.13</v>
      </c>
      <c r="N41" s="286"/>
      <c r="O41" s="311">
        <f t="shared" si="17"/>
        <v>64.629599999999982</v>
      </c>
      <c r="P41" s="285"/>
      <c r="Q41" s="285"/>
      <c r="R41" s="278"/>
      <c r="S41" s="278"/>
      <c r="T41" s="278"/>
      <c r="U41" s="304"/>
    </row>
    <row r="42" spans="1:21" s="305" customFormat="1" ht="14.45" hidden="1" customHeight="1" outlineLevel="1" x14ac:dyDescent="0.25">
      <c r="A42" s="278"/>
      <c r="B42" s="279" t="str">
        <f t="shared" si="9"/>
        <v>class 20-3.7mraked</v>
      </c>
      <c r="C42" s="278" t="s">
        <v>745</v>
      </c>
      <c r="D42" s="278" t="s">
        <v>748</v>
      </c>
      <c r="E42" s="278" t="s">
        <v>754</v>
      </c>
      <c r="F42" s="278"/>
      <c r="G42" s="278" t="s">
        <v>11</v>
      </c>
      <c r="H42" s="309">
        <f>H36</f>
        <v>1.0296000000000001</v>
      </c>
      <c r="I42" s="280">
        <f t="shared" si="10"/>
        <v>67.304952000000014</v>
      </c>
      <c r="J42" s="281">
        <f t="shared" si="11"/>
        <v>83.232864000000006</v>
      </c>
      <c r="K42" s="282">
        <f>IF(Notes!$B$9="Domestic",I42, IF(Notes!$B$9="Commercial",J42))*$K$17</f>
        <v>91.556150400000021</v>
      </c>
      <c r="L42" s="283">
        <f>(SUM(O42:Q42)+(K42+SUM(M42:Q42))*(INDEX($U$17:$AB$17,MATCH(Notes!$C$16,$U$3:$AB$3,0))-100%))*$L$17</f>
        <v>13.284000000000001</v>
      </c>
      <c r="M42" s="313">
        <f t="shared" si="16"/>
        <v>37.729999999999997</v>
      </c>
      <c r="N42" s="286"/>
      <c r="O42" s="311">
        <f t="shared" si="17"/>
        <v>13.284000000000001</v>
      </c>
      <c r="P42" s="285"/>
      <c r="Q42" s="285"/>
      <c r="R42" s="278"/>
      <c r="S42" s="278"/>
      <c r="T42" s="278"/>
      <c r="U42" s="304"/>
    </row>
    <row r="43" spans="1:21" s="305" customFormat="1" ht="14.45" hidden="1" customHeight="1" outlineLevel="1" x14ac:dyDescent="0.25">
      <c r="A43" s="278"/>
      <c r="B43" s="279" t="str">
        <f t="shared" si="9"/>
        <v>class 23.7-5.2mraked</v>
      </c>
      <c r="C43" s="278" t="s">
        <v>745</v>
      </c>
      <c r="D43" s="278" t="s">
        <v>749</v>
      </c>
      <c r="E43" s="278" t="s">
        <v>754</v>
      </c>
      <c r="F43" s="278"/>
      <c r="G43" s="278" t="s">
        <v>11</v>
      </c>
      <c r="H43" s="309">
        <f t="shared" ref="H43:H53" si="18">H37</f>
        <v>1.0763999999999998</v>
      </c>
      <c r="I43" s="280">
        <f t="shared" si="10"/>
        <v>70.364267999999996</v>
      </c>
      <c r="J43" s="281">
        <f t="shared" si="11"/>
        <v>87.016175999999987</v>
      </c>
      <c r="K43" s="282">
        <f>IF(Notes!$B$9="Domestic",I43, IF(Notes!$B$9="Commercial",J43))*$K$17</f>
        <v>95.717793599999993</v>
      </c>
      <c r="L43" s="283">
        <f>(SUM(O43:Q43)+(K43+SUM(M43:Q43))*(INDEX($U$17:$AB$17,MATCH(Notes!$C$16,$U$3:$AB$3,0))-100%))*$L$17</f>
        <v>13.9482</v>
      </c>
      <c r="M43" s="313">
        <f t="shared" si="16"/>
        <v>39.616499999999995</v>
      </c>
      <c r="N43" s="286"/>
      <c r="O43" s="311">
        <f t="shared" si="17"/>
        <v>13.9482</v>
      </c>
      <c r="P43" s="285"/>
      <c r="Q43" s="285"/>
      <c r="R43" s="278"/>
      <c r="S43" s="278"/>
      <c r="T43" s="278"/>
      <c r="U43" s="304"/>
    </row>
    <row r="44" spans="1:21" s="305" customFormat="1" ht="14.45" hidden="1" customHeight="1" outlineLevel="1" x14ac:dyDescent="0.25">
      <c r="A44" s="278"/>
      <c r="B44" s="279" t="str">
        <f t="shared" si="9"/>
        <v>class 25.2-7.0mraked</v>
      </c>
      <c r="C44" s="278" t="s">
        <v>745</v>
      </c>
      <c r="D44" s="278" t="s">
        <v>750</v>
      </c>
      <c r="E44" s="278" t="s">
        <v>754</v>
      </c>
      <c r="F44" s="278"/>
      <c r="G44" s="278" t="s">
        <v>11</v>
      </c>
      <c r="H44" s="309">
        <f t="shared" si="18"/>
        <v>1.1387999999999998</v>
      </c>
      <c r="I44" s="280">
        <f t="shared" si="10"/>
        <v>74.443355999999994</v>
      </c>
      <c r="J44" s="281">
        <f t="shared" si="11"/>
        <v>92.060591999999986</v>
      </c>
      <c r="K44" s="282">
        <f>IF(Notes!$B$9="Domestic",I44, IF(Notes!$B$9="Commercial",J44))*$K$17</f>
        <v>101.2666512</v>
      </c>
      <c r="L44" s="283">
        <f>(SUM(O44:Q44)+(K44+SUM(M44:Q44))*(INDEX($U$17:$AB$17,MATCH(Notes!$C$16,$U$3:$AB$3,0))-100%))*$L$17</f>
        <v>14.612400000000001</v>
      </c>
      <c r="M44" s="313">
        <f t="shared" si="16"/>
        <v>41.503</v>
      </c>
      <c r="N44" s="286"/>
      <c r="O44" s="311">
        <f t="shared" si="17"/>
        <v>14.612400000000001</v>
      </c>
      <c r="P44" s="285"/>
      <c r="Q44" s="285"/>
      <c r="R44" s="278"/>
      <c r="S44" s="278"/>
      <c r="T44" s="278"/>
      <c r="U44" s="304"/>
    </row>
    <row r="45" spans="1:21" s="305" customFormat="1" ht="14.45" hidden="1" customHeight="1" outlineLevel="1" x14ac:dyDescent="0.25">
      <c r="A45" s="278"/>
      <c r="B45" s="279" t="str">
        <f t="shared" si="9"/>
        <v>class 27.0-8.0mraked</v>
      </c>
      <c r="C45" s="278" t="s">
        <v>745</v>
      </c>
      <c r="D45" s="278" t="s">
        <v>751</v>
      </c>
      <c r="E45" s="278" t="s">
        <v>754</v>
      </c>
      <c r="F45" s="278"/>
      <c r="G45" s="278" t="s">
        <v>11</v>
      </c>
      <c r="H45" s="309">
        <f t="shared" si="18"/>
        <v>1.1856</v>
      </c>
      <c r="I45" s="280">
        <f t="shared" si="10"/>
        <v>77.502672000000004</v>
      </c>
      <c r="J45" s="281">
        <f t="shared" si="11"/>
        <v>95.843904000000009</v>
      </c>
      <c r="K45" s="282">
        <f>IF(Notes!$B$9="Domestic",I45, IF(Notes!$B$9="Commercial",J45))*$K$17</f>
        <v>105.42829440000001</v>
      </c>
      <c r="L45" s="283">
        <f>(SUM(O45:Q45)+(K45+SUM(M45:Q45))*(INDEX($U$17:$AB$17,MATCH(Notes!$C$16,$U$3:$AB$3,0))-100%))*$L$17</f>
        <v>15.276599999999998</v>
      </c>
      <c r="M45" s="313">
        <f t="shared" si="16"/>
        <v>43.389499999999991</v>
      </c>
      <c r="N45" s="286"/>
      <c r="O45" s="311">
        <f t="shared" si="17"/>
        <v>15.276599999999998</v>
      </c>
      <c r="P45" s="285"/>
      <c r="Q45" s="285"/>
      <c r="R45" s="278"/>
      <c r="S45" s="278"/>
      <c r="T45" s="278"/>
      <c r="U45" s="304"/>
    </row>
    <row r="46" spans="1:21" s="305" customFormat="1" ht="14.45" hidden="1" customHeight="1" outlineLevel="1" x14ac:dyDescent="0.25">
      <c r="A46" s="278"/>
      <c r="B46" s="279" t="str">
        <f t="shared" si="9"/>
        <v>class 2over 8.0mraked</v>
      </c>
      <c r="C46" s="278" t="s">
        <v>745</v>
      </c>
      <c r="D46" s="278" t="s">
        <v>752</v>
      </c>
      <c r="E46" s="278" t="s">
        <v>754</v>
      </c>
      <c r="F46" s="278"/>
      <c r="G46" s="278" t="s">
        <v>11</v>
      </c>
      <c r="H46" s="309">
        <f t="shared" si="18"/>
        <v>1.2324000000000002</v>
      </c>
      <c r="I46" s="280">
        <f t="shared" si="10"/>
        <v>80.561988000000014</v>
      </c>
      <c r="J46" s="281">
        <f t="shared" si="11"/>
        <v>99.627216000000018</v>
      </c>
      <c r="K46" s="282">
        <f>IF(Notes!$B$9="Domestic",I46, IF(Notes!$B$9="Commercial",J46))*$K$17</f>
        <v>109.58993760000003</v>
      </c>
      <c r="L46" s="283">
        <f>(SUM(O46:Q46)+(K46+SUM(M46:Q46))*(INDEX($U$17:$AB$17,MATCH(Notes!$C$16,$U$3:$AB$3,0))-100%))*$L$17</f>
        <v>15.940799999999999</v>
      </c>
      <c r="M46" s="313">
        <f t="shared" si="16"/>
        <v>45.275999999999996</v>
      </c>
      <c r="N46" s="286"/>
      <c r="O46" s="311">
        <f t="shared" si="17"/>
        <v>15.940799999999999</v>
      </c>
      <c r="P46" s="285"/>
      <c r="Q46" s="285"/>
      <c r="R46" s="278"/>
      <c r="S46" s="278"/>
      <c r="T46" s="278"/>
      <c r="U46" s="304"/>
    </row>
    <row r="47" spans="1:21" s="305" customFormat="1" ht="14.45" hidden="1" customHeight="1" outlineLevel="1" x14ac:dyDescent="0.25">
      <c r="A47" s="278"/>
      <c r="B47" s="279" t="str">
        <f t="shared" si="9"/>
        <v>class 2Lift Roofraked</v>
      </c>
      <c r="C47" s="278" t="s">
        <v>745</v>
      </c>
      <c r="D47" s="278" t="s">
        <v>753</v>
      </c>
      <c r="E47" s="278" t="s">
        <v>754</v>
      </c>
      <c r="F47" s="278"/>
      <c r="G47" s="278" t="s">
        <v>11</v>
      </c>
      <c r="H47" s="309">
        <f t="shared" si="18"/>
        <v>1.6380000000000001</v>
      </c>
      <c r="I47" s="280">
        <f t="shared" si="10"/>
        <v>107.07606000000001</v>
      </c>
      <c r="J47" s="281">
        <f t="shared" si="11"/>
        <v>132.41592000000003</v>
      </c>
      <c r="K47" s="282">
        <f>IF(Notes!$B$9="Domestic",I47, IF(Notes!$B$9="Commercial",J47))*$K$17</f>
        <v>145.65751200000005</v>
      </c>
      <c r="L47" s="283">
        <f>(SUM(O47:Q47)+(K47+SUM(M47:Q47))*(INDEX($U$17:$AB$17,MATCH(Notes!$C$16,$U$3:$AB$3,0))-100%))*$L$17</f>
        <v>46.163999999999994</v>
      </c>
      <c r="M47" s="313">
        <f t="shared" si="16"/>
        <v>47.13</v>
      </c>
      <c r="N47" s="286"/>
      <c r="O47" s="311">
        <f t="shared" si="17"/>
        <v>46.163999999999994</v>
      </c>
      <c r="P47" s="285"/>
      <c r="Q47" s="285"/>
      <c r="R47" s="278"/>
      <c r="S47" s="278"/>
      <c r="T47" s="278"/>
      <c r="U47" s="304"/>
    </row>
    <row r="48" spans="1:21" s="305" customFormat="1" ht="14.45" hidden="1" customHeight="1" outlineLevel="1" x14ac:dyDescent="0.25">
      <c r="A48" s="278"/>
      <c r="B48" s="279" t="str">
        <f t="shared" si="9"/>
        <v>class 30-3.7mraked</v>
      </c>
      <c r="C48" s="278" t="s">
        <v>744</v>
      </c>
      <c r="D48" s="278" t="s">
        <v>748</v>
      </c>
      <c r="E48" s="278" t="s">
        <v>754</v>
      </c>
      <c r="F48" s="278"/>
      <c r="G48" s="278" t="s">
        <v>11</v>
      </c>
      <c r="H48" s="309">
        <f t="shared" si="18"/>
        <v>1.0296000000000001</v>
      </c>
      <c r="I48" s="280">
        <f t="shared" si="10"/>
        <v>67.304952000000014</v>
      </c>
      <c r="J48" s="281">
        <f t="shared" si="11"/>
        <v>83.232864000000006</v>
      </c>
      <c r="K48" s="282">
        <f>IF(Notes!$B$9="Domestic",I48, IF(Notes!$B$9="Commercial",J48))*$K$17</f>
        <v>91.556150400000021</v>
      </c>
      <c r="L48" s="283">
        <f>(SUM(O48:Q48)+(K48+SUM(M48:Q48))*(INDEX($U$17:$AB$17,MATCH(Notes!$C$16,$U$3:$AB$3,0))-100%))*$L$17</f>
        <v>11.07</v>
      </c>
      <c r="M48" s="313">
        <f t="shared" si="16"/>
        <v>37.729999999999997</v>
      </c>
      <c r="N48" s="286"/>
      <c r="O48" s="311">
        <f t="shared" si="17"/>
        <v>11.07</v>
      </c>
      <c r="P48" s="285"/>
      <c r="Q48" s="285"/>
      <c r="R48" s="278"/>
      <c r="S48" s="278"/>
      <c r="T48" s="278"/>
      <c r="U48" s="304"/>
    </row>
    <row r="49" spans="1:28" s="305" customFormat="1" ht="14.45" hidden="1" customHeight="1" outlineLevel="1" x14ac:dyDescent="0.25">
      <c r="A49" s="278"/>
      <c r="B49" s="279" t="str">
        <f t="shared" si="9"/>
        <v>class 33.7-5.2mraked</v>
      </c>
      <c r="C49" s="278" t="s">
        <v>744</v>
      </c>
      <c r="D49" s="278" t="s">
        <v>749</v>
      </c>
      <c r="E49" s="278" t="s">
        <v>754</v>
      </c>
      <c r="F49" s="278"/>
      <c r="G49" s="278" t="s">
        <v>11</v>
      </c>
      <c r="H49" s="309">
        <f t="shared" si="18"/>
        <v>1.0763999999999998</v>
      </c>
      <c r="I49" s="280">
        <f t="shared" si="10"/>
        <v>70.364267999999996</v>
      </c>
      <c r="J49" s="281">
        <f t="shared" si="11"/>
        <v>87.016175999999987</v>
      </c>
      <c r="K49" s="282">
        <f>IF(Notes!$B$9="Domestic",I49, IF(Notes!$B$9="Commercial",J49))*$K$17</f>
        <v>95.717793599999993</v>
      </c>
      <c r="L49" s="283">
        <f>(SUM(O49:Q49)+(K49+SUM(M49:Q49))*(INDEX($U$17:$AB$17,MATCH(Notes!$C$16,$U$3:$AB$3,0))-100%))*$L$17</f>
        <v>11.6235</v>
      </c>
      <c r="M49" s="313">
        <f t="shared" si="16"/>
        <v>39.616499999999995</v>
      </c>
      <c r="N49" s="286"/>
      <c r="O49" s="311">
        <f t="shared" si="17"/>
        <v>11.6235</v>
      </c>
      <c r="P49" s="285"/>
      <c r="Q49" s="285"/>
      <c r="R49" s="278"/>
      <c r="S49" s="278"/>
      <c r="T49" s="278"/>
      <c r="U49" s="304"/>
    </row>
    <row r="50" spans="1:28" s="305" customFormat="1" ht="14.45" hidden="1" customHeight="1" outlineLevel="1" x14ac:dyDescent="0.25">
      <c r="A50" s="278"/>
      <c r="B50" s="279" t="str">
        <f t="shared" si="9"/>
        <v>class 35.2-7.0mraked</v>
      </c>
      <c r="C50" s="278" t="s">
        <v>744</v>
      </c>
      <c r="D50" s="278" t="s">
        <v>750</v>
      </c>
      <c r="E50" s="278" t="s">
        <v>754</v>
      </c>
      <c r="F50" s="278"/>
      <c r="G50" s="278" t="s">
        <v>11</v>
      </c>
      <c r="H50" s="309">
        <f t="shared" si="18"/>
        <v>1.1387999999999998</v>
      </c>
      <c r="I50" s="280">
        <f t="shared" si="10"/>
        <v>74.443355999999994</v>
      </c>
      <c r="J50" s="281">
        <f t="shared" si="11"/>
        <v>92.060591999999986</v>
      </c>
      <c r="K50" s="282">
        <f>IF(Notes!$B$9="Domestic",I50, IF(Notes!$B$9="Commercial",J50))*$K$17</f>
        <v>101.2666512</v>
      </c>
      <c r="L50" s="283">
        <f>(SUM(O50:Q50)+(K50+SUM(M50:Q50))*(INDEX($U$17:$AB$17,MATCH(Notes!$C$16,$U$3:$AB$3,0))-100%))*$L$17</f>
        <v>12.177000000000001</v>
      </c>
      <c r="M50" s="313">
        <f t="shared" si="16"/>
        <v>41.503</v>
      </c>
      <c r="N50" s="286"/>
      <c r="O50" s="311">
        <f t="shared" si="17"/>
        <v>12.177000000000001</v>
      </c>
      <c r="P50" s="285"/>
      <c r="Q50" s="285"/>
      <c r="R50" s="278"/>
      <c r="S50" s="278"/>
      <c r="T50" s="278"/>
      <c r="U50" s="304"/>
    </row>
    <row r="51" spans="1:28" s="305" customFormat="1" ht="14.45" hidden="1" customHeight="1" outlineLevel="1" x14ac:dyDescent="0.25">
      <c r="A51" s="278"/>
      <c r="B51" s="279" t="str">
        <f t="shared" si="9"/>
        <v>class 37.0-8.0mraked</v>
      </c>
      <c r="C51" s="278" t="s">
        <v>744</v>
      </c>
      <c r="D51" s="278" t="s">
        <v>751</v>
      </c>
      <c r="E51" s="278" t="s">
        <v>754</v>
      </c>
      <c r="F51" s="278"/>
      <c r="G51" s="278" t="s">
        <v>11</v>
      </c>
      <c r="H51" s="309">
        <f t="shared" si="18"/>
        <v>1.1856</v>
      </c>
      <c r="I51" s="280">
        <f t="shared" si="10"/>
        <v>77.502672000000004</v>
      </c>
      <c r="J51" s="281">
        <f t="shared" si="11"/>
        <v>95.843904000000009</v>
      </c>
      <c r="K51" s="282">
        <f>IF(Notes!$B$9="Domestic",I51, IF(Notes!$B$9="Commercial",J51))*$K$17</f>
        <v>105.42829440000001</v>
      </c>
      <c r="L51" s="283">
        <f>(SUM(O51:Q51)+(K51+SUM(M51:Q51))*(INDEX($U$17:$AB$17,MATCH(Notes!$C$16,$U$3:$AB$3,0))-100%))*$L$17</f>
        <v>12.730499999999999</v>
      </c>
      <c r="M51" s="313">
        <f t="shared" si="16"/>
        <v>43.389499999999991</v>
      </c>
      <c r="N51" s="286"/>
      <c r="O51" s="311">
        <f t="shared" si="17"/>
        <v>12.730499999999999</v>
      </c>
      <c r="P51" s="285"/>
      <c r="Q51" s="285"/>
      <c r="R51" s="278"/>
      <c r="S51" s="278"/>
      <c r="T51" s="278"/>
      <c r="U51" s="304"/>
    </row>
    <row r="52" spans="1:28" s="305" customFormat="1" ht="14.45" hidden="1" customHeight="1" outlineLevel="1" x14ac:dyDescent="0.25">
      <c r="A52" s="278"/>
      <c r="B52" s="279" t="str">
        <f t="shared" si="9"/>
        <v>class 3over 8.0mraked</v>
      </c>
      <c r="C52" s="278" t="s">
        <v>744</v>
      </c>
      <c r="D52" s="278" t="s">
        <v>752</v>
      </c>
      <c r="E52" s="278" t="s">
        <v>754</v>
      </c>
      <c r="F52" s="278"/>
      <c r="G52" s="278" t="s">
        <v>11</v>
      </c>
      <c r="H52" s="309">
        <f t="shared" si="18"/>
        <v>1.2324000000000002</v>
      </c>
      <c r="I52" s="280">
        <f t="shared" si="10"/>
        <v>80.561988000000014</v>
      </c>
      <c r="J52" s="281">
        <f t="shared" si="11"/>
        <v>99.627216000000018</v>
      </c>
      <c r="K52" s="282">
        <f>IF(Notes!$B$9="Domestic",I52, IF(Notes!$B$9="Commercial",J52))*$K$17</f>
        <v>109.58993760000003</v>
      </c>
      <c r="L52" s="283">
        <f>(SUM(O52:Q52)+(K52+SUM(M52:Q52))*(INDEX($U$17:$AB$17,MATCH(Notes!$C$16,$U$3:$AB$3,0))-100%))*$L$17</f>
        <v>13.284000000000001</v>
      </c>
      <c r="M52" s="313">
        <f t="shared" si="16"/>
        <v>45.275999999999996</v>
      </c>
      <c r="N52" s="286"/>
      <c r="O52" s="311">
        <f t="shared" si="17"/>
        <v>13.284000000000001</v>
      </c>
      <c r="P52" s="285"/>
      <c r="Q52" s="285"/>
      <c r="R52" s="278"/>
      <c r="S52" s="278"/>
      <c r="T52" s="278"/>
      <c r="U52" s="304"/>
    </row>
    <row r="53" spans="1:28" s="305" customFormat="1" ht="14.45" hidden="1" customHeight="1" outlineLevel="1" x14ac:dyDescent="0.25">
      <c r="A53" s="278"/>
      <c r="B53" s="279" t="str">
        <f t="shared" si="9"/>
        <v>class 3Lift Roofraked</v>
      </c>
      <c r="C53" s="278" t="s">
        <v>744</v>
      </c>
      <c r="D53" s="278" t="s">
        <v>753</v>
      </c>
      <c r="E53" s="278" t="s">
        <v>754</v>
      </c>
      <c r="F53" s="278"/>
      <c r="G53" s="278" t="s">
        <v>11</v>
      </c>
      <c r="H53" s="309">
        <f t="shared" si="18"/>
        <v>1.6380000000000001</v>
      </c>
      <c r="I53" s="280">
        <f t="shared" si="10"/>
        <v>107.07606000000001</v>
      </c>
      <c r="J53" s="281">
        <f t="shared" si="11"/>
        <v>132.41592000000003</v>
      </c>
      <c r="K53" s="282">
        <f>IF(Notes!$B$9="Domestic",I53, IF(Notes!$B$9="Commercial",J53))*$K$17</f>
        <v>145.65751200000005</v>
      </c>
      <c r="L53" s="283">
        <f>(SUM(O53:Q53)+(K53+SUM(M53:Q53))*(INDEX($U$17:$AB$17,MATCH(Notes!$C$16,$U$3:$AB$3,0))-100%))*$L$17</f>
        <v>38.47</v>
      </c>
      <c r="M53" s="313">
        <f t="shared" si="16"/>
        <v>47.13</v>
      </c>
      <c r="N53" s="286"/>
      <c r="O53" s="311">
        <f t="shared" si="17"/>
        <v>38.47</v>
      </c>
      <c r="P53" s="285"/>
      <c r="Q53" s="285"/>
      <c r="R53" s="278"/>
      <c r="S53" s="278"/>
      <c r="T53" s="278"/>
      <c r="U53" s="304"/>
    </row>
    <row r="54" spans="1:28" ht="21" hidden="1" outlineLevel="1" x14ac:dyDescent="0.25">
      <c r="A54" s="299" t="s">
        <v>757</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row>
    <row r="55" spans="1:28" ht="15.75" hidden="1" outlineLevel="1" x14ac:dyDescent="0.25">
      <c r="A55" s="291"/>
      <c r="B55" s="291"/>
      <c r="C55" s="291"/>
      <c r="D55" s="291"/>
      <c r="E55" s="291"/>
      <c r="F55" s="291"/>
      <c r="G55" s="291"/>
      <c r="H55" s="291"/>
      <c r="I55" s="291"/>
      <c r="J55" s="291"/>
      <c r="K55" s="291">
        <f>K$2</f>
        <v>1.1000000000000001</v>
      </c>
      <c r="L55" s="291">
        <f>L$2</f>
        <v>1</v>
      </c>
      <c r="M55" s="291"/>
      <c r="N55" s="291"/>
      <c r="O55" s="303"/>
      <c r="P55" s="303"/>
      <c r="Q55" s="303"/>
      <c r="R55" s="291"/>
      <c r="S55" s="291"/>
      <c r="T55" s="291"/>
      <c r="U55" s="291">
        <f>U$2</f>
        <v>1.0880000000000001</v>
      </c>
      <c r="V55" s="291">
        <f>V$2</f>
        <v>1</v>
      </c>
      <c r="W55" s="291">
        <f t="shared" ref="W55:AB55" si="19">W$2</f>
        <v>1.0960000000000001</v>
      </c>
      <c r="X55" s="291">
        <f t="shared" si="19"/>
        <v>0.84</v>
      </c>
      <c r="Y55" s="291">
        <f t="shared" si="19"/>
        <v>1.1200000000000001</v>
      </c>
      <c r="Z55" s="291">
        <f t="shared" si="19"/>
        <v>0.96</v>
      </c>
      <c r="AA55" s="291">
        <f t="shared" si="19"/>
        <v>0.92</v>
      </c>
      <c r="AB55" s="291">
        <f t="shared" si="19"/>
        <v>1.28</v>
      </c>
    </row>
    <row r="56" spans="1:28" s="305" customFormat="1" ht="14.45" hidden="1" customHeight="1" outlineLevel="1" x14ac:dyDescent="0.25">
      <c r="A56" s="278"/>
      <c r="B56" s="279" t="str">
        <f>C56&amp;D56&amp;E56&amp;F56</f>
        <v>0.60 BMTflat</v>
      </c>
      <c r="C56" s="278" t="s">
        <v>659</v>
      </c>
      <c r="D56" s="278"/>
      <c r="E56" s="278" t="s">
        <v>755</v>
      </c>
      <c r="F56" s="278"/>
      <c r="G56" s="278" t="s">
        <v>11</v>
      </c>
      <c r="H56" s="290">
        <v>0.33</v>
      </c>
      <c r="I56" s="280">
        <f>$I$2*H56</f>
        <v>21.572100000000002</v>
      </c>
      <c r="J56" s="281">
        <f>$J$2*H56</f>
        <v>26.677200000000003</v>
      </c>
      <c r="K56" s="282">
        <f>IF(Notes!$B$9="Domestic",I56, IF(Notes!$B$9="Commercial",J56))*$K$55</f>
        <v>29.344920000000005</v>
      </c>
      <c r="L56" s="283">
        <f>(SUM(O56:Q56)+(K56+SUM(M56:Q56))*(INDEX($U$55:$AB$55,MATCH(Notes!$C$16,$U$3:$AB$3,0))-100%))*$L$55</f>
        <v>36.36</v>
      </c>
      <c r="M56" s="286">
        <v>9.7200000000000006</v>
      </c>
      <c r="N56" s="286"/>
      <c r="O56" s="285">
        <v>36.36</v>
      </c>
      <c r="P56" s="285"/>
      <c r="Q56" s="285"/>
      <c r="R56" s="278" t="s">
        <v>659</v>
      </c>
      <c r="S56" s="278"/>
      <c r="T56" s="278" t="s">
        <v>755</v>
      </c>
      <c r="U56" s="304"/>
    </row>
    <row r="57" spans="1:28" s="305" customFormat="1" ht="14.45" hidden="1" customHeight="1" outlineLevel="1" x14ac:dyDescent="0.25">
      <c r="A57" s="278"/>
      <c r="B57" s="279" t="str">
        <f t="shared" ref="B57:B58" si="20">C57&amp;D57&amp;E57&amp;F57</f>
        <v>0.75 BMTflat</v>
      </c>
      <c r="C57" s="278" t="s">
        <v>758</v>
      </c>
      <c r="D57" s="278"/>
      <c r="E57" s="278" t="s">
        <v>755</v>
      </c>
      <c r="F57" s="278"/>
      <c r="G57" s="278" t="s">
        <v>11</v>
      </c>
      <c r="H57" s="290">
        <v>0.41</v>
      </c>
      <c r="I57" s="280">
        <f t="shared" ref="I57" si="21">$I$2*H57</f>
        <v>26.8017</v>
      </c>
      <c r="J57" s="281">
        <f t="shared" ref="J57:J58" si="22">$J$2*H57</f>
        <v>33.144399999999997</v>
      </c>
      <c r="K57" s="282">
        <f>IF(Notes!$B$9="Domestic",I57, IF(Notes!$B$9="Commercial",J57))*$K$55</f>
        <v>36.458840000000002</v>
      </c>
      <c r="L57" s="283">
        <f>(SUM(O57:Q57)+(K57+SUM(M57:Q57))*(INDEX($U$55:$AB$55,MATCH(Notes!$C$16,$U$3:$AB$3,0))-100%))*$L$55</f>
        <v>55.79</v>
      </c>
      <c r="M57" s="286">
        <v>9.7200000000000006</v>
      </c>
      <c r="N57" s="286"/>
      <c r="O57" s="285">
        <v>55.79</v>
      </c>
      <c r="P57" s="285"/>
      <c r="Q57" s="285"/>
      <c r="R57" s="278" t="s">
        <v>758</v>
      </c>
      <c r="S57" s="278"/>
      <c r="T57" s="278" t="s">
        <v>754</v>
      </c>
      <c r="U57" s="304"/>
    </row>
    <row r="58" spans="1:28" s="305" customFormat="1" ht="14.45" hidden="1" customHeight="1" outlineLevel="1" x14ac:dyDescent="0.25">
      <c r="A58" s="278"/>
      <c r="B58" s="279" t="str">
        <f t="shared" si="20"/>
        <v>1.00 BMTflat</v>
      </c>
      <c r="C58" s="278" t="s">
        <v>759</v>
      </c>
      <c r="D58" s="278"/>
      <c r="E58" s="278" t="s">
        <v>755</v>
      </c>
      <c r="F58" s="278"/>
      <c r="G58" s="278" t="s">
        <v>11</v>
      </c>
      <c r="H58" s="290">
        <v>0.5</v>
      </c>
      <c r="I58" s="280">
        <f>$I$2*H58</f>
        <v>32.685000000000002</v>
      </c>
      <c r="J58" s="281">
        <f t="shared" si="22"/>
        <v>40.42</v>
      </c>
      <c r="K58" s="282">
        <f>IF(Notes!$B$9="Domestic",I58, IF(Notes!$B$9="Commercial",J58))*$K$55</f>
        <v>44.462000000000003</v>
      </c>
      <c r="L58" s="283">
        <f>(SUM(O58:Q58)+(K58+SUM(M58:Q58))*(INDEX($U$55:$AB$55,MATCH(Notes!$C$16,$U$3:$AB$3,0))-100%))*$L$55</f>
        <v>69.12</v>
      </c>
      <c r="M58" s="286">
        <v>9.7200000000000006</v>
      </c>
      <c r="N58" s="286"/>
      <c r="O58" s="285">
        <v>69.12</v>
      </c>
      <c r="P58" s="285"/>
      <c r="Q58" s="285"/>
      <c r="R58" s="278" t="s">
        <v>759</v>
      </c>
      <c r="S58" s="278"/>
      <c r="T58" s="278"/>
      <c r="U58" s="304"/>
    </row>
    <row r="59" spans="1:28" s="305" customFormat="1" ht="14.45" hidden="1" customHeight="1" outlineLevel="1" x14ac:dyDescent="0.25">
      <c r="A59" s="278"/>
      <c r="B59" s="279" t="str">
        <f>C59&amp;D59&amp;E59&amp;F59</f>
        <v>0.60 BMTraked</v>
      </c>
      <c r="C59" s="278" t="s">
        <v>659</v>
      </c>
      <c r="D59" s="278"/>
      <c r="E59" s="278" t="s">
        <v>754</v>
      </c>
      <c r="F59" s="278"/>
      <c r="G59" s="278" t="s">
        <v>11</v>
      </c>
      <c r="H59" s="308">
        <f>H56*1.2</f>
        <v>0.39600000000000002</v>
      </c>
      <c r="I59" s="280">
        <f>$I$2*H59</f>
        <v>25.886520000000004</v>
      </c>
      <c r="J59" s="281">
        <f>$J$2*H59</f>
        <v>32.012640000000005</v>
      </c>
      <c r="K59" s="282">
        <f>IF(Notes!$B$9="Domestic",I59, IF(Notes!$B$9="Commercial",J59))*$K$55</f>
        <v>35.213904000000007</v>
      </c>
      <c r="L59" s="283">
        <f>(SUM(O59:Q59)+(K59+SUM(M59:Q59))*(INDEX($U$55:$AB$55,MATCH(Notes!$C$16,$U$3:$AB$3,0))-100%))*$L$55</f>
        <v>36.36</v>
      </c>
      <c r="M59" s="313">
        <f>M56</f>
        <v>9.7200000000000006</v>
      </c>
      <c r="N59" s="286"/>
      <c r="O59" s="311">
        <f>O56</f>
        <v>36.36</v>
      </c>
      <c r="P59" s="285"/>
      <c r="Q59" s="285"/>
      <c r="R59" s="278"/>
      <c r="S59" s="278"/>
      <c r="T59" s="278"/>
      <c r="U59" s="304"/>
    </row>
    <row r="60" spans="1:28" s="305" customFormat="1" ht="14.45" hidden="1" customHeight="1" outlineLevel="1" x14ac:dyDescent="0.25">
      <c r="A60" s="278"/>
      <c r="B60" s="279" t="str">
        <f t="shared" ref="B60:B61" si="23">C60&amp;D60&amp;E60&amp;F60</f>
        <v>0.75 BMTraked</v>
      </c>
      <c r="C60" s="278" t="s">
        <v>758</v>
      </c>
      <c r="D60" s="278"/>
      <c r="E60" s="278" t="s">
        <v>754</v>
      </c>
      <c r="F60" s="278"/>
      <c r="G60" s="278" t="s">
        <v>11</v>
      </c>
      <c r="H60" s="308">
        <f t="shared" ref="H60:H61" si="24">H57*1.2</f>
        <v>0.49199999999999994</v>
      </c>
      <c r="I60" s="280">
        <f t="shared" ref="I60" si="25">$I$2*H60</f>
        <v>32.162039999999998</v>
      </c>
      <c r="J60" s="281">
        <f t="shared" ref="J60:J61" si="26">$J$2*H60</f>
        <v>39.77328</v>
      </c>
      <c r="K60" s="282">
        <f>IF(Notes!$B$9="Domestic",I60, IF(Notes!$B$9="Commercial",J60))*$K$55</f>
        <v>43.750608</v>
      </c>
      <c r="L60" s="283">
        <f>(SUM(O60:Q60)+(K60+SUM(M60:Q60))*(INDEX($U$55:$AB$55,MATCH(Notes!$C$16,$U$3:$AB$3,0))-100%))*$L$55</f>
        <v>55.79</v>
      </c>
      <c r="M60" s="313">
        <f t="shared" ref="M60:M61" si="27">M57</f>
        <v>9.7200000000000006</v>
      </c>
      <c r="N60" s="286"/>
      <c r="O60" s="311">
        <f t="shared" ref="O60:O61" si="28">O57</f>
        <v>55.79</v>
      </c>
      <c r="P60" s="285"/>
      <c r="Q60" s="285"/>
      <c r="R60" s="278"/>
      <c r="S60" s="278"/>
      <c r="T60" s="278"/>
      <c r="U60" s="304"/>
    </row>
    <row r="61" spans="1:28" s="305" customFormat="1" ht="14.45" hidden="1" customHeight="1" outlineLevel="1" x14ac:dyDescent="0.25">
      <c r="A61" s="278"/>
      <c r="B61" s="279" t="str">
        <f t="shared" si="23"/>
        <v>1.00 BMTraked</v>
      </c>
      <c r="C61" s="278" t="s">
        <v>759</v>
      </c>
      <c r="D61" s="278"/>
      <c r="E61" s="278" t="s">
        <v>754</v>
      </c>
      <c r="F61" s="278"/>
      <c r="G61" s="278" t="s">
        <v>11</v>
      </c>
      <c r="H61" s="308">
        <f t="shared" si="24"/>
        <v>0.6</v>
      </c>
      <c r="I61" s="280">
        <f>$I$2*H61</f>
        <v>39.222000000000001</v>
      </c>
      <c r="J61" s="281">
        <f t="shared" si="26"/>
        <v>48.503999999999998</v>
      </c>
      <c r="K61" s="282">
        <f>IF(Notes!$B$9="Domestic",I61, IF(Notes!$B$9="Commercial",J61))*$K$55</f>
        <v>53.354400000000005</v>
      </c>
      <c r="L61" s="283">
        <f>(SUM(O61:Q61)+(K61+SUM(M61:Q61))*(INDEX($U$55:$AB$55,MATCH(Notes!$C$16,$U$3:$AB$3,0))-100%))*$L$55</f>
        <v>69.12</v>
      </c>
      <c r="M61" s="313">
        <f t="shared" si="27"/>
        <v>9.7200000000000006</v>
      </c>
      <c r="N61" s="286"/>
      <c r="O61" s="311">
        <f t="shared" si="28"/>
        <v>69.12</v>
      </c>
      <c r="P61" s="285"/>
      <c r="Q61" s="285"/>
      <c r="R61" s="278"/>
      <c r="S61" s="278"/>
      <c r="T61" s="278"/>
      <c r="U61" s="304"/>
    </row>
    <row r="62" spans="1:28" ht="21" hidden="1" outlineLevel="1" x14ac:dyDescent="0.25">
      <c r="A62" s="299" t="s">
        <v>760</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row>
    <row r="63" spans="1:28" ht="15.75" hidden="1" outlineLevel="1" x14ac:dyDescent="0.25">
      <c r="A63" s="291"/>
      <c r="B63" s="291"/>
      <c r="C63" s="291"/>
      <c r="D63" s="291"/>
      <c r="E63" s="291"/>
      <c r="F63" s="291"/>
      <c r="G63" s="291"/>
      <c r="H63" s="291"/>
      <c r="I63" s="291"/>
      <c r="J63" s="291"/>
      <c r="K63" s="291">
        <f>K$2</f>
        <v>1.1000000000000001</v>
      </c>
      <c r="L63" s="291">
        <f>L$2</f>
        <v>1</v>
      </c>
      <c r="M63" s="291"/>
      <c r="N63" s="291"/>
      <c r="O63" s="303"/>
      <c r="P63" s="303"/>
      <c r="Q63" s="303"/>
      <c r="R63" s="291"/>
      <c r="S63" s="291"/>
      <c r="T63" s="291"/>
      <c r="U63" s="291">
        <f>U$2</f>
        <v>1.0880000000000001</v>
      </c>
      <c r="V63" s="291">
        <f>V$2</f>
        <v>1</v>
      </c>
      <c r="W63" s="291">
        <f t="shared" ref="W63:AB63" si="29">W$2</f>
        <v>1.0960000000000001</v>
      </c>
      <c r="X63" s="291">
        <f t="shared" si="29"/>
        <v>0.84</v>
      </c>
      <c r="Y63" s="291">
        <f t="shared" si="29"/>
        <v>1.1200000000000001</v>
      </c>
      <c r="Z63" s="291">
        <f t="shared" si="29"/>
        <v>0.96</v>
      </c>
      <c r="AA63" s="291">
        <f t="shared" si="29"/>
        <v>0.92</v>
      </c>
      <c r="AB63" s="291">
        <f t="shared" si="29"/>
        <v>1.28</v>
      </c>
    </row>
    <row r="64" spans="1:28" s="305" customFormat="1" ht="14.45" hidden="1" customHeight="1" outlineLevel="1" x14ac:dyDescent="0.25">
      <c r="A64" s="278"/>
      <c r="B64" s="279" t="str">
        <f>C64&amp;D64&amp;E64&amp;F64</f>
        <v>class 10-3.6mwalls</v>
      </c>
      <c r="C64" s="278" t="s">
        <v>774</v>
      </c>
      <c r="D64" s="278" t="s">
        <v>761</v>
      </c>
      <c r="E64" s="278" t="s">
        <v>928</v>
      </c>
      <c r="F64" s="278"/>
      <c r="G64" s="278" t="s">
        <v>11</v>
      </c>
      <c r="H64" s="290">
        <v>0.99</v>
      </c>
      <c r="I64" s="280">
        <f>$I$2*H64</f>
        <v>64.716300000000004</v>
      </c>
      <c r="J64" s="281">
        <f>$J$2*H64</f>
        <v>80.031599999999997</v>
      </c>
      <c r="K64" s="282">
        <f>IF(Notes!$B$9="Domestic",I64, IF(Notes!$B$9="Commercial",J64))*$K$63</f>
        <v>88.034760000000006</v>
      </c>
      <c r="L64" s="283">
        <f>(SUM(O64:Q64)+(K64+SUM(M64:Q64))*(INDEX($U$63:$AB$63,MATCH(Notes!$C$16,$U$3:$AB$3,0))-100%))*$L$63</f>
        <v>86.01</v>
      </c>
      <c r="M64" s="286">
        <v>25</v>
      </c>
      <c r="N64" s="286"/>
      <c r="O64" s="285">
        <v>86.01</v>
      </c>
      <c r="P64" s="285"/>
      <c r="Q64" s="285"/>
      <c r="R64" s="278" t="s">
        <v>774</v>
      </c>
      <c r="S64" s="278" t="s">
        <v>761</v>
      </c>
      <c r="T64" s="278" t="s">
        <v>928</v>
      </c>
      <c r="U64" s="304"/>
    </row>
    <row r="65" spans="1:21" s="305" customFormat="1" ht="14.45" hidden="1" customHeight="1" outlineLevel="1" x14ac:dyDescent="0.25">
      <c r="A65" s="278"/>
      <c r="B65" s="279" t="str">
        <f t="shared" ref="B65:B67" si="30">C65&amp;D65&amp;E65&amp;F65</f>
        <v>class 13.6-4.8mwalls</v>
      </c>
      <c r="C65" s="278" t="s">
        <v>774</v>
      </c>
      <c r="D65" s="278" t="s">
        <v>762</v>
      </c>
      <c r="E65" s="278" t="s">
        <v>928</v>
      </c>
      <c r="F65" s="278"/>
      <c r="G65" s="278" t="s">
        <v>11</v>
      </c>
      <c r="H65" s="290">
        <v>1.04</v>
      </c>
      <c r="I65" s="280">
        <f t="shared" ref="I65:I67" si="31">$I$2*H65</f>
        <v>67.984800000000007</v>
      </c>
      <c r="J65" s="281">
        <f t="shared" ref="J65:J67" si="32">$J$2*H65</f>
        <v>84.073600000000013</v>
      </c>
      <c r="K65" s="282">
        <f>IF(Notes!$B$9="Domestic",I65, IF(Notes!$B$9="Commercial",J65))*$K$63</f>
        <v>92.480960000000024</v>
      </c>
      <c r="L65" s="283">
        <f>(SUM(O65:Q65)+(K65+SUM(M65:Q65))*(INDEX($U$63:$AB$63,MATCH(Notes!$C$16,$U$3:$AB$3,0))-100%))*$L$63</f>
        <v>90.310500000000005</v>
      </c>
      <c r="M65" s="286">
        <v>26.25</v>
      </c>
      <c r="N65" s="286"/>
      <c r="O65" s="285">
        <v>90.310500000000005</v>
      </c>
      <c r="P65" s="285"/>
      <c r="Q65" s="285"/>
      <c r="R65" s="278" t="s">
        <v>745</v>
      </c>
      <c r="S65" s="278" t="s">
        <v>762</v>
      </c>
      <c r="T65" s="278"/>
      <c r="U65" s="304"/>
    </row>
    <row r="66" spans="1:21" s="305" customFormat="1" ht="14.45" hidden="1" customHeight="1" outlineLevel="1" x14ac:dyDescent="0.25">
      <c r="A66" s="278"/>
      <c r="B66" s="279" t="str">
        <f t="shared" si="30"/>
        <v>class 14.8-6.0mwalls</v>
      </c>
      <c r="C66" s="278" t="s">
        <v>774</v>
      </c>
      <c r="D66" s="278" t="s">
        <v>763</v>
      </c>
      <c r="E66" s="278" t="s">
        <v>928</v>
      </c>
      <c r="F66" s="278"/>
      <c r="G66" s="278" t="s">
        <v>11</v>
      </c>
      <c r="H66" s="290">
        <v>1.08</v>
      </c>
      <c r="I66" s="280">
        <f t="shared" si="31"/>
        <v>70.599600000000009</v>
      </c>
      <c r="J66" s="281">
        <f t="shared" si="32"/>
        <v>87.307200000000009</v>
      </c>
      <c r="K66" s="282">
        <f>IF(Notes!$B$9="Domestic",I66, IF(Notes!$B$9="Commercial",J66))*$K$63</f>
        <v>96.037920000000014</v>
      </c>
      <c r="L66" s="283">
        <f>(SUM(O66:Q66)+(K66+SUM(M66:Q66))*(INDEX($U$63:$AB$63,MATCH(Notes!$C$16,$U$3:$AB$3,0))-100%))*$L$63</f>
        <v>94.611000000000018</v>
      </c>
      <c r="M66" s="286">
        <v>27.500000000000004</v>
      </c>
      <c r="N66" s="286"/>
      <c r="O66" s="285">
        <v>94.611000000000018</v>
      </c>
      <c r="P66" s="285"/>
      <c r="Q66" s="285"/>
      <c r="R66" s="278" t="s">
        <v>744</v>
      </c>
      <c r="S66" s="278" t="s">
        <v>763</v>
      </c>
      <c r="T66" s="278"/>
      <c r="U66" s="304"/>
    </row>
    <row r="67" spans="1:21" s="305" customFormat="1" hidden="1" outlineLevel="1" x14ac:dyDescent="0.25">
      <c r="A67" s="278"/>
      <c r="B67" s="279" t="str">
        <f t="shared" si="30"/>
        <v>class 16.0-7.0mwalls</v>
      </c>
      <c r="C67" s="278" t="s">
        <v>774</v>
      </c>
      <c r="D67" s="278" t="s">
        <v>764</v>
      </c>
      <c r="E67" s="278" t="s">
        <v>928</v>
      </c>
      <c r="F67" s="278"/>
      <c r="G67" s="278" t="s">
        <v>11</v>
      </c>
      <c r="H67" s="290">
        <v>1.1299999999999999</v>
      </c>
      <c r="I67" s="280">
        <f t="shared" si="31"/>
        <v>73.868099999999998</v>
      </c>
      <c r="J67" s="281">
        <f t="shared" si="32"/>
        <v>91.349199999999996</v>
      </c>
      <c r="K67" s="282">
        <f>IF(Notes!$B$9="Domestic",I67, IF(Notes!$B$9="Commercial",J67))*$K$63</f>
        <v>100.48412</v>
      </c>
      <c r="L67" s="283">
        <f>(SUM(O67:Q67)+(K67+SUM(M67:Q67))*(INDEX($U$63:$AB$63,MATCH(Notes!$C$16,$U$3:$AB$3,0))-100%))*$L$63</f>
        <v>98.911500000000004</v>
      </c>
      <c r="M67" s="286">
        <v>28.749999999999996</v>
      </c>
      <c r="N67" s="286"/>
      <c r="O67" s="285">
        <v>98.911500000000004</v>
      </c>
      <c r="P67" s="285"/>
      <c r="Q67" s="285"/>
      <c r="R67" s="278"/>
      <c r="S67" s="278" t="s">
        <v>764</v>
      </c>
      <c r="T67" s="278"/>
    </row>
    <row r="68" spans="1:21" s="305" customFormat="1" hidden="1" outlineLevel="1" x14ac:dyDescent="0.25">
      <c r="A68" s="278"/>
      <c r="B68" s="279" t="str">
        <f t="shared" ref="B68:B81" si="33">C68&amp;D68&amp;E68&amp;F68</f>
        <v>class 17.0-8.0mwalls</v>
      </c>
      <c r="C68" s="278" t="s">
        <v>774</v>
      </c>
      <c r="D68" s="278" t="s">
        <v>751</v>
      </c>
      <c r="E68" s="278" t="s">
        <v>928</v>
      </c>
      <c r="F68" s="278"/>
      <c r="G68" s="278" t="s">
        <v>11</v>
      </c>
      <c r="H68" s="290">
        <v>1.18</v>
      </c>
      <c r="I68" s="280">
        <f t="shared" ref="I68:I81" si="34">$I$2*H68</f>
        <v>77.136600000000001</v>
      </c>
      <c r="J68" s="281">
        <f t="shared" ref="J68:J81" si="35">$J$2*H68</f>
        <v>95.391199999999998</v>
      </c>
      <c r="K68" s="282">
        <f>IF(Notes!$B$9="Domestic",I68, IF(Notes!$B$9="Commercial",J68))*$K$63</f>
        <v>104.93032000000001</v>
      </c>
      <c r="L68" s="283">
        <f>(SUM(O68:Q68)+(K68+SUM(M68:Q68))*(INDEX($U$63:$AB$63,MATCH(Notes!$C$16,$U$3:$AB$3,0))-100%))*$L$63</f>
        <v>103.212</v>
      </c>
      <c r="M68" s="286">
        <v>30</v>
      </c>
      <c r="N68" s="286"/>
      <c r="O68" s="285">
        <v>103.212</v>
      </c>
      <c r="P68" s="285"/>
      <c r="Q68" s="285"/>
      <c r="R68" s="278"/>
      <c r="S68" s="278" t="s">
        <v>751</v>
      </c>
      <c r="T68" s="278"/>
    </row>
    <row r="69" spans="1:21" s="305" customFormat="1" hidden="1" outlineLevel="1" x14ac:dyDescent="0.25">
      <c r="A69" s="278"/>
      <c r="B69" s="279" t="str">
        <f t="shared" si="33"/>
        <v>class 1over 8.0mwalls</v>
      </c>
      <c r="C69" s="278" t="s">
        <v>774</v>
      </c>
      <c r="D69" s="278" t="s">
        <v>752</v>
      </c>
      <c r="E69" s="278" t="s">
        <v>928</v>
      </c>
      <c r="F69" s="278"/>
      <c r="G69" s="278" t="s">
        <v>11</v>
      </c>
      <c r="H69" s="290">
        <v>1.23</v>
      </c>
      <c r="I69" s="280">
        <f t="shared" si="34"/>
        <v>80.405100000000004</v>
      </c>
      <c r="J69" s="281">
        <f t="shared" si="35"/>
        <v>99.433199999999999</v>
      </c>
      <c r="K69" s="282">
        <f>IF(Notes!$B$9="Domestic",I69, IF(Notes!$B$9="Commercial",J69))*$K$63</f>
        <v>109.37652000000001</v>
      </c>
      <c r="L69" s="283">
        <f>(SUM(O69:Q69)+(K69+SUM(M69:Q69))*(INDEX($U$63:$AB$63,MATCH(Notes!$C$16,$U$3:$AB$3,0))-100%))*$L$63</f>
        <v>107.5125</v>
      </c>
      <c r="M69" s="286">
        <v>31.25</v>
      </c>
      <c r="N69" s="286"/>
      <c r="O69" s="285">
        <v>107.5125</v>
      </c>
      <c r="P69" s="285"/>
      <c r="Q69" s="285"/>
      <c r="R69" s="278"/>
      <c r="S69" s="278" t="s">
        <v>752</v>
      </c>
      <c r="T69" s="278"/>
    </row>
    <row r="70" spans="1:21" s="305" customFormat="1" hidden="1" outlineLevel="1" x14ac:dyDescent="0.25">
      <c r="A70" s="278"/>
      <c r="B70" s="279" t="str">
        <f t="shared" si="33"/>
        <v>class 20-3.6mwalls</v>
      </c>
      <c r="C70" s="278" t="s">
        <v>745</v>
      </c>
      <c r="D70" s="278" t="s">
        <v>761</v>
      </c>
      <c r="E70" s="278" t="s">
        <v>928</v>
      </c>
      <c r="F70" s="278"/>
      <c r="G70" s="278" t="s">
        <v>11</v>
      </c>
      <c r="H70" s="308">
        <f>H64</f>
        <v>0.99</v>
      </c>
      <c r="I70" s="280">
        <f t="shared" si="34"/>
        <v>64.716300000000004</v>
      </c>
      <c r="J70" s="281">
        <f t="shared" si="35"/>
        <v>80.031599999999997</v>
      </c>
      <c r="K70" s="282">
        <f>IF(Notes!$B$9="Domestic",I70, IF(Notes!$B$9="Commercial",J70))*$K$63</f>
        <v>88.034760000000006</v>
      </c>
      <c r="L70" s="283">
        <f>(SUM(O70:Q70)+(K70+SUM(M70:Q70))*(INDEX($U$63:$AB$63,MATCH(Notes!$C$16,$U$3:$AB$3,0))-100%))*$L$63</f>
        <v>60.7</v>
      </c>
      <c r="M70" s="313">
        <f>M64</f>
        <v>25</v>
      </c>
      <c r="N70" s="286"/>
      <c r="O70" s="285">
        <v>60.7</v>
      </c>
      <c r="P70" s="285"/>
      <c r="Q70" s="285"/>
      <c r="R70" s="278"/>
      <c r="S70" s="278"/>
      <c r="T70" s="278"/>
    </row>
    <row r="71" spans="1:21" s="305" customFormat="1" hidden="1" outlineLevel="1" x14ac:dyDescent="0.25">
      <c r="A71" s="278"/>
      <c r="B71" s="279" t="str">
        <f t="shared" si="33"/>
        <v>class 23.6-4.8mwalls</v>
      </c>
      <c r="C71" s="278" t="s">
        <v>745</v>
      </c>
      <c r="D71" s="278" t="s">
        <v>762</v>
      </c>
      <c r="E71" s="278" t="s">
        <v>928</v>
      </c>
      <c r="F71" s="278"/>
      <c r="G71" s="278" t="s">
        <v>11</v>
      </c>
      <c r="H71" s="308">
        <f t="shared" ref="H71:H81" si="36">H65</f>
        <v>1.04</v>
      </c>
      <c r="I71" s="280">
        <f t="shared" si="34"/>
        <v>67.984800000000007</v>
      </c>
      <c r="J71" s="281">
        <f t="shared" si="35"/>
        <v>84.073600000000013</v>
      </c>
      <c r="K71" s="282">
        <f>IF(Notes!$B$9="Domestic",I71, IF(Notes!$B$9="Commercial",J71))*$K$63</f>
        <v>92.480960000000024</v>
      </c>
      <c r="L71" s="283">
        <f>(SUM(O71:Q71)+(K71+SUM(M71:Q71))*(INDEX($U$63:$AB$63,MATCH(Notes!$C$16,$U$3:$AB$3,0))-100%))*$L$63</f>
        <v>63.735000000000007</v>
      </c>
      <c r="M71" s="313">
        <f t="shared" ref="M71:M81" si="37">M65</f>
        <v>26.25</v>
      </c>
      <c r="N71" s="286"/>
      <c r="O71" s="285">
        <v>63.735000000000007</v>
      </c>
      <c r="P71" s="285"/>
      <c r="Q71" s="285"/>
      <c r="R71" s="278"/>
      <c r="S71" s="278"/>
      <c r="T71" s="278"/>
    </row>
    <row r="72" spans="1:21" s="305" customFormat="1" hidden="1" outlineLevel="1" x14ac:dyDescent="0.25">
      <c r="A72" s="278"/>
      <c r="B72" s="279" t="str">
        <f t="shared" si="33"/>
        <v>class 24.8-6.0mwalls</v>
      </c>
      <c r="C72" s="278" t="s">
        <v>745</v>
      </c>
      <c r="D72" s="278" t="s">
        <v>763</v>
      </c>
      <c r="E72" s="278" t="s">
        <v>928</v>
      </c>
      <c r="F72" s="278"/>
      <c r="G72" s="278" t="s">
        <v>11</v>
      </c>
      <c r="H72" s="308">
        <f t="shared" si="36"/>
        <v>1.08</v>
      </c>
      <c r="I72" s="280">
        <f t="shared" si="34"/>
        <v>70.599600000000009</v>
      </c>
      <c r="J72" s="281">
        <f t="shared" si="35"/>
        <v>87.307200000000009</v>
      </c>
      <c r="K72" s="282">
        <f>IF(Notes!$B$9="Domestic",I72, IF(Notes!$B$9="Commercial",J72))*$K$63</f>
        <v>96.037920000000014</v>
      </c>
      <c r="L72" s="283">
        <f>(SUM(O72:Q72)+(K72+SUM(M72:Q72))*(INDEX($U$63:$AB$63,MATCH(Notes!$C$16,$U$3:$AB$3,0))-100%))*$L$63</f>
        <v>66.77000000000001</v>
      </c>
      <c r="M72" s="313">
        <f t="shared" si="37"/>
        <v>27.500000000000004</v>
      </c>
      <c r="N72" s="286"/>
      <c r="O72" s="285">
        <v>66.77000000000001</v>
      </c>
      <c r="P72" s="285"/>
      <c r="Q72" s="285"/>
      <c r="R72" s="278"/>
      <c r="S72" s="278"/>
      <c r="T72" s="278"/>
    </row>
    <row r="73" spans="1:21" s="305" customFormat="1" hidden="1" outlineLevel="1" x14ac:dyDescent="0.25">
      <c r="A73" s="278"/>
      <c r="B73" s="279" t="str">
        <f t="shared" si="33"/>
        <v>class 26.0-7.0mwalls</v>
      </c>
      <c r="C73" s="278" t="s">
        <v>745</v>
      </c>
      <c r="D73" s="278" t="s">
        <v>764</v>
      </c>
      <c r="E73" s="278" t="s">
        <v>928</v>
      </c>
      <c r="F73" s="278"/>
      <c r="G73" s="278" t="s">
        <v>11</v>
      </c>
      <c r="H73" s="308">
        <f t="shared" si="36"/>
        <v>1.1299999999999999</v>
      </c>
      <c r="I73" s="280">
        <f t="shared" si="34"/>
        <v>73.868099999999998</v>
      </c>
      <c r="J73" s="281">
        <f t="shared" si="35"/>
        <v>91.349199999999996</v>
      </c>
      <c r="K73" s="282">
        <f>IF(Notes!$B$9="Domestic",I73, IF(Notes!$B$9="Commercial",J73))*$K$63</f>
        <v>100.48412</v>
      </c>
      <c r="L73" s="283">
        <f>(SUM(O73:Q73)+(K73+SUM(M73:Q73))*(INDEX($U$63:$AB$63,MATCH(Notes!$C$16,$U$3:$AB$3,0))-100%))*$L$63</f>
        <v>69.804999999999993</v>
      </c>
      <c r="M73" s="313">
        <f t="shared" si="37"/>
        <v>28.749999999999996</v>
      </c>
      <c r="N73" s="286"/>
      <c r="O73" s="285">
        <v>69.804999999999993</v>
      </c>
      <c r="P73" s="285"/>
      <c r="Q73" s="285"/>
      <c r="R73" s="278"/>
      <c r="S73" s="278"/>
      <c r="T73" s="278"/>
    </row>
    <row r="74" spans="1:21" s="305" customFormat="1" hidden="1" outlineLevel="1" x14ac:dyDescent="0.25">
      <c r="A74" s="278"/>
      <c r="B74" s="279" t="str">
        <f t="shared" si="33"/>
        <v>class 27.0-8.0mwalls</v>
      </c>
      <c r="C74" s="278" t="s">
        <v>745</v>
      </c>
      <c r="D74" s="278" t="s">
        <v>751</v>
      </c>
      <c r="E74" s="278" t="s">
        <v>928</v>
      </c>
      <c r="F74" s="278"/>
      <c r="G74" s="278" t="s">
        <v>11</v>
      </c>
      <c r="H74" s="308">
        <f t="shared" si="36"/>
        <v>1.18</v>
      </c>
      <c r="I74" s="280">
        <f t="shared" si="34"/>
        <v>77.136600000000001</v>
      </c>
      <c r="J74" s="281">
        <f t="shared" si="35"/>
        <v>95.391199999999998</v>
      </c>
      <c r="K74" s="282">
        <f>IF(Notes!$B$9="Domestic",I74, IF(Notes!$B$9="Commercial",J74))*$K$63</f>
        <v>104.93032000000001</v>
      </c>
      <c r="L74" s="283">
        <f>(SUM(O74:Q74)+(K74+SUM(M74:Q74))*(INDEX($U$63:$AB$63,MATCH(Notes!$C$16,$U$3:$AB$3,0))-100%))*$L$63</f>
        <v>72.84</v>
      </c>
      <c r="M74" s="313">
        <f t="shared" si="37"/>
        <v>30</v>
      </c>
      <c r="N74" s="286"/>
      <c r="O74" s="285">
        <v>72.84</v>
      </c>
      <c r="P74" s="285"/>
      <c r="Q74" s="285"/>
      <c r="R74" s="278"/>
      <c r="S74" s="278"/>
      <c r="T74" s="278"/>
    </row>
    <row r="75" spans="1:21" s="305" customFormat="1" hidden="1" outlineLevel="1" x14ac:dyDescent="0.25">
      <c r="A75" s="278"/>
      <c r="B75" s="279" t="str">
        <f t="shared" si="33"/>
        <v>class 2over 8.0mwalls</v>
      </c>
      <c r="C75" s="278" t="s">
        <v>745</v>
      </c>
      <c r="D75" s="278" t="s">
        <v>752</v>
      </c>
      <c r="E75" s="278" t="s">
        <v>928</v>
      </c>
      <c r="F75" s="278"/>
      <c r="G75" s="278" t="s">
        <v>11</v>
      </c>
      <c r="H75" s="308">
        <f t="shared" si="36"/>
        <v>1.23</v>
      </c>
      <c r="I75" s="280">
        <f t="shared" si="34"/>
        <v>80.405100000000004</v>
      </c>
      <c r="J75" s="281">
        <f t="shared" si="35"/>
        <v>99.433199999999999</v>
      </c>
      <c r="K75" s="282">
        <f>IF(Notes!$B$9="Domestic",I75, IF(Notes!$B$9="Commercial",J75))*$K$63</f>
        <v>109.37652000000001</v>
      </c>
      <c r="L75" s="283">
        <f>(SUM(O75:Q75)+(K75+SUM(M75:Q75))*(INDEX($U$63:$AB$63,MATCH(Notes!$C$16,$U$3:$AB$3,0))-100%))*$L$63</f>
        <v>75.875</v>
      </c>
      <c r="M75" s="313">
        <f t="shared" si="37"/>
        <v>31.25</v>
      </c>
      <c r="N75" s="286"/>
      <c r="O75" s="285">
        <v>75.875</v>
      </c>
      <c r="P75" s="285"/>
      <c r="Q75" s="285"/>
      <c r="R75" s="278"/>
      <c r="S75" s="278"/>
      <c r="T75" s="278"/>
    </row>
    <row r="76" spans="1:21" s="305" customFormat="1" hidden="1" outlineLevel="1" x14ac:dyDescent="0.25">
      <c r="A76" s="278"/>
      <c r="B76" s="279" t="str">
        <f t="shared" si="33"/>
        <v>class 30-3.6mwalls</v>
      </c>
      <c r="C76" s="278" t="s">
        <v>744</v>
      </c>
      <c r="D76" s="278" t="s">
        <v>761</v>
      </c>
      <c r="E76" s="278" t="s">
        <v>928</v>
      </c>
      <c r="F76" s="278"/>
      <c r="G76" s="278" t="s">
        <v>11</v>
      </c>
      <c r="H76" s="308">
        <f t="shared" si="36"/>
        <v>0.99</v>
      </c>
      <c r="I76" s="280">
        <f t="shared" si="34"/>
        <v>64.716300000000004</v>
      </c>
      <c r="J76" s="281">
        <f t="shared" si="35"/>
        <v>80.031599999999997</v>
      </c>
      <c r="K76" s="282">
        <f>IF(Notes!$B$9="Domestic",I76, IF(Notes!$B$9="Commercial",J76))*$K$63</f>
        <v>88.034760000000006</v>
      </c>
      <c r="L76" s="283">
        <f>(SUM(O76:Q76)+(K76+SUM(M76:Q76))*(INDEX($U$63:$AB$63,MATCH(Notes!$C$16,$U$3:$AB$3,0))-100%))*$L$63</f>
        <v>55.634999999999998</v>
      </c>
      <c r="M76" s="313">
        <f t="shared" si="37"/>
        <v>25</v>
      </c>
      <c r="N76" s="286"/>
      <c r="O76" s="285">
        <v>55.634999999999998</v>
      </c>
      <c r="P76" s="285"/>
      <c r="Q76" s="285"/>
      <c r="R76" s="278"/>
      <c r="S76" s="278"/>
      <c r="T76" s="278"/>
    </row>
    <row r="77" spans="1:21" s="305" customFormat="1" hidden="1" outlineLevel="1" x14ac:dyDescent="0.25">
      <c r="A77" s="278"/>
      <c r="B77" s="279" t="str">
        <f t="shared" si="33"/>
        <v>class 33.6-4.8mwalls</v>
      </c>
      <c r="C77" s="278" t="s">
        <v>744</v>
      </c>
      <c r="D77" s="278" t="s">
        <v>762</v>
      </c>
      <c r="E77" s="278" t="s">
        <v>928</v>
      </c>
      <c r="F77" s="278"/>
      <c r="G77" s="278" t="s">
        <v>11</v>
      </c>
      <c r="H77" s="308">
        <f t="shared" si="36"/>
        <v>1.04</v>
      </c>
      <c r="I77" s="280">
        <f t="shared" si="34"/>
        <v>67.984800000000007</v>
      </c>
      <c r="J77" s="281">
        <f t="shared" si="35"/>
        <v>84.073600000000013</v>
      </c>
      <c r="K77" s="282">
        <f>IF(Notes!$B$9="Domestic",I77, IF(Notes!$B$9="Commercial",J77))*$K$63</f>
        <v>92.480960000000024</v>
      </c>
      <c r="L77" s="283">
        <f>(SUM(O77:Q77)+(K77+SUM(M77:Q77))*(INDEX($U$63:$AB$63,MATCH(Notes!$C$16,$U$3:$AB$3,0))-100%))*$L$63</f>
        <v>58.41675</v>
      </c>
      <c r="M77" s="313">
        <f t="shared" si="37"/>
        <v>26.25</v>
      </c>
      <c r="N77" s="286"/>
      <c r="O77" s="285">
        <v>58.41675</v>
      </c>
      <c r="P77" s="285"/>
      <c r="Q77" s="285"/>
      <c r="R77" s="278"/>
      <c r="S77" s="278"/>
      <c r="T77" s="278"/>
    </row>
    <row r="78" spans="1:21" s="305" customFormat="1" hidden="1" outlineLevel="1" x14ac:dyDescent="0.25">
      <c r="A78" s="278"/>
      <c r="B78" s="279" t="str">
        <f t="shared" si="33"/>
        <v>class 34.8-6.0mwalls</v>
      </c>
      <c r="C78" s="278" t="s">
        <v>744</v>
      </c>
      <c r="D78" s="278" t="s">
        <v>763</v>
      </c>
      <c r="E78" s="278" t="s">
        <v>928</v>
      </c>
      <c r="F78" s="278"/>
      <c r="G78" s="278" t="s">
        <v>11</v>
      </c>
      <c r="H78" s="308">
        <f t="shared" si="36"/>
        <v>1.08</v>
      </c>
      <c r="I78" s="280">
        <f t="shared" si="34"/>
        <v>70.599600000000009</v>
      </c>
      <c r="J78" s="281">
        <f t="shared" si="35"/>
        <v>87.307200000000009</v>
      </c>
      <c r="K78" s="282">
        <f>IF(Notes!$B$9="Domestic",I78, IF(Notes!$B$9="Commercial",J78))*$K$63</f>
        <v>96.037920000000014</v>
      </c>
      <c r="L78" s="283">
        <f>(SUM(O78:Q78)+(K78+SUM(M78:Q78))*(INDEX($U$63:$AB$63,MATCH(Notes!$C$16,$U$3:$AB$3,0))-100%))*$L$63</f>
        <v>61.198500000000003</v>
      </c>
      <c r="M78" s="313">
        <f t="shared" si="37"/>
        <v>27.500000000000004</v>
      </c>
      <c r="N78" s="286"/>
      <c r="O78" s="285">
        <v>61.198500000000003</v>
      </c>
      <c r="P78" s="285"/>
      <c r="Q78" s="285"/>
      <c r="R78" s="278"/>
      <c r="S78" s="278"/>
      <c r="T78" s="278"/>
    </row>
    <row r="79" spans="1:21" s="305" customFormat="1" hidden="1" outlineLevel="1" x14ac:dyDescent="0.25">
      <c r="A79" s="278"/>
      <c r="B79" s="279" t="str">
        <f t="shared" si="33"/>
        <v>class 36.0-7.0mwalls</v>
      </c>
      <c r="C79" s="278" t="s">
        <v>744</v>
      </c>
      <c r="D79" s="278" t="s">
        <v>764</v>
      </c>
      <c r="E79" s="278" t="s">
        <v>928</v>
      </c>
      <c r="F79" s="278"/>
      <c r="G79" s="278" t="s">
        <v>11</v>
      </c>
      <c r="H79" s="308">
        <f t="shared" si="36"/>
        <v>1.1299999999999999</v>
      </c>
      <c r="I79" s="280">
        <f t="shared" si="34"/>
        <v>73.868099999999998</v>
      </c>
      <c r="J79" s="281">
        <f t="shared" si="35"/>
        <v>91.349199999999996</v>
      </c>
      <c r="K79" s="282">
        <f>IF(Notes!$B$9="Domestic",I79, IF(Notes!$B$9="Commercial",J79))*$K$63</f>
        <v>100.48412</v>
      </c>
      <c r="L79" s="283">
        <f>(SUM(O79:Q79)+(K79+SUM(M79:Q79))*(INDEX($U$63:$AB$63,MATCH(Notes!$C$16,$U$3:$AB$3,0))-100%))*$L$63</f>
        <v>63.980249999999991</v>
      </c>
      <c r="M79" s="313">
        <f t="shared" si="37"/>
        <v>28.749999999999996</v>
      </c>
      <c r="N79" s="286"/>
      <c r="O79" s="285">
        <v>63.980249999999991</v>
      </c>
      <c r="P79" s="285"/>
      <c r="Q79" s="285"/>
      <c r="R79" s="278"/>
      <c r="S79" s="278"/>
      <c r="T79" s="278"/>
    </row>
    <row r="80" spans="1:21" s="305" customFormat="1" hidden="1" outlineLevel="1" x14ac:dyDescent="0.25">
      <c r="A80" s="278"/>
      <c r="B80" s="279" t="str">
        <f t="shared" si="33"/>
        <v>class 37.0-8.0mwalls</v>
      </c>
      <c r="C80" s="278" t="s">
        <v>744</v>
      </c>
      <c r="D80" s="278" t="s">
        <v>751</v>
      </c>
      <c r="E80" s="278" t="s">
        <v>928</v>
      </c>
      <c r="F80" s="278"/>
      <c r="G80" s="278" t="s">
        <v>11</v>
      </c>
      <c r="H80" s="308">
        <f t="shared" si="36"/>
        <v>1.18</v>
      </c>
      <c r="I80" s="280">
        <f t="shared" si="34"/>
        <v>77.136600000000001</v>
      </c>
      <c r="J80" s="281">
        <f t="shared" si="35"/>
        <v>95.391199999999998</v>
      </c>
      <c r="K80" s="282">
        <f>IF(Notes!$B$9="Domestic",I80, IF(Notes!$B$9="Commercial",J80))*$K$63</f>
        <v>104.93032000000001</v>
      </c>
      <c r="L80" s="283">
        <f>(SUM(O80:Q80)+(K80+SUM(M80:Q80))*(INDEX($U$63:$AB$63,MATCH(Notes!$C$16,$U$3:$AB$3,0))-100%))*$L$63</f>
        <v>66.762</v>
      </c>
      <c r="M80" s="313">
        <f t="shared" si="37"/>
        <v>30</v>
      </c>
      <c r="N80" s="286"/>
      <c r="O80" s="285">
        <v>66.762</v>
      </c>
      <c r="P80" s="285"/>
      <c r="Q80" s="285"/>
      <c r="R80" s="278"/>
      <c r="S80" s="278"/>
      <c r="T80" s="278"/>
    </row>
    <row r="81" spans="1:28" s="305" customFormat="1" hidden="1" outlineLevel="1" x14ac:dyDescent="0.25">
      <c r="A81" s="278"/>
      <c r="B81" s="279" t="str">
        <f t="shared" si="33"/>
        <v>class 3over 8.0mwalls</v>
      </c>
      <c r="C81" s="278" t="s">
        <v>744</v>
      </c>
      <c r="D81" s="278" t="s">
        <v>752</v>
      </c>
      <c r="E81" s="278" t="s">
        <v>928</v>
      </c>
      <c r="F81" s="278"/>
      <c r="G81" s="278" t="s">
        <v>11</v>
      </c>
      <c r="H81" s="308">
        <f t="shared" si="36"/>
        <v>1.23</v>
      </c>
      <c r="I81" s="280">
        <f t="shared" si="34"/>
        <v>80.405100000000004</v>
      </c>
      <c r="J81" s="281">
        <f t="shared" si="35"/>
        <v>99.433199999999999</v>
      </c>
      <c r="K81" s="282">
        <f>IF(Notes!$B$9="Domestic",I81, IF(Notes!$B$9="Commercial",J81))*$K$63</f>
        <v>109.37652000000001</v>
      </c>
      <c r="L81" s="283">
        <f>(SUM(O81:Q81)+(K81+SUM(M81:Q81))*(INDEX($U$63:$AB$63,MATCH(Notes!$C$16,$U$3:$AB$3,0))-100%))*$L$63</f>
        <v>69.543750000000003</v>
      </c>
      <c r="M81" s="313">
        <f t="shared" si="37"/>
        <v>31.25</v>
      </c>
      <c r="N81" s="286"/>
      <c r="O81" s="285">
        <v>69.543750000000003</v>
      </c>
      <c r="P81" s="285"/>
      <c r="Q81" s="285"/>
      <c r="R81" s="278"/>
      <c r="S81" s="278"/>
      <c r="T81" s="278"/>
    </row>
    <row r="82" spans="1:28" ht="21" hidden="1" outlineLevel="1" x14ac:dyDescent="0.25">
      <c r="A82" s="299" t="s">
        <v>765</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row>
    <row r="83" spans="1:28" ht="15.75" hidden="1" outlineLevel="1" x14ac:dyDescent="0.25">
      <c r="A83" s="291"/>
      <c r="B83" s="291"/>
      <c r="C83" s="291"/>
      <c r="D83" s="291"/>
      <c r="E83" s="291"/>
      <c r="F83" s="291"/>
      <c r="G83" s="291"/>
      <c r="H83" s="291"/>
      <c r="I83" s="291"/>
      <c r="J83" s="291"/>
      <c r="K83" s="291">
        <f>K$2</f>
        <v>1.1000000000000001</v>
      </c>
      <c r="L83" s="291">
        <f>L$2</f>
        <v>1</v>
      </c>
      <c r="M83" s="291"/>
      <c r="N83" s="291"/>
      <c r="O83" s="303"/>
      <c r="P83" s="303"/>
      <c r="Q83" s="303"/>
      <c r="R83" s="291"/>
      <c r="S83" s="291"/>
      <c r="T83" s="291"/>
      <c r="U83" s="291">
        <f>U$2</f>
        <v>1.0880000000000001</v>
      </c>
      <c r="V83" s="291">
        <f>V$2</f>
        <v>1</v>
      </c>
      <c r="W83" s="291">
        <f t="shared" ref="W83:AB83" si="38">W$2</f>
        <v>1.0960000000000001</v>
      </c>
      <c r="X83" s="291">
        <f t="shared" si="38"/>
        <v>0.84</v>
      </c>
      <c r="Y83" s="291">
        <f t="shared" si="38"/>
        <v>1.1200000000000001</v>
      </c>
      <c r="Z83" s="291">
        <f t="shared" si="38"/>
        <v>0.96</v>
      </c>
      <c r="AA83" s="291">
        <f t="shared" si="38"/>
        <v>0.92</v>
      </c>
      <c r="AB83" s="291">
        <f t="shared" si="38"/>
        <v>1.28</v>
      </c>
    </row>
    <row r="84" spans="1:28" s="305" customFormat="1" ht="14.45" hidden="1" customHeight="1" outlineLevel="1" x14ac:dyDescent="0.25">
      <c r="A84" s="278"/>
      <c r="B84" s="279" t="str">
        <f>C84&amp;D84&amp;E84&amp;F84</f>
        <v>class 10-3.6mcolumns</v>
      </c>
      <c r="C84" s="278" t="s">
        <v>774</v>
      </c>
      <c r="D84" s="278" t="s">
        <v>761</v>
      </c>
      <c r="E84" s="278" t="s">
        <v>929</v>
      </c>
      <c r="F84" s="278"/>
      <c r="G84" s="278" t="s">
        <v>11</v>
      </c>
      <c r="H84" s="290">
        <v>1.8</v>
      </c>
      <c r="I84" s="280">
        <f>$I$2*H84</f>
        <v>117.66600000000001</v>
      </c>
      <c r="J84" s="281">
        <f>$J$2*H84</f>
        <v>145.512</v>
      </c>
      <c r="K84" s="282">
        <f>IF(Notes!$B$9="Domestic",I84, IF(Notes!$B$9="Commercial",J84))*$K$83</f>
        <v>160.06320000000002</v>
      </c>
      <c r="L84" s="283">
        <f>(SUM(O84:Q84)+(K84+SUM(M84:Q84))*(INDEX($U$83:$AB$83,MATCH(Notes!$C$16,$U$3:$AB$3,0))-100%))*$L$83</f>
        <v>60.278400000000005</v>
      </c>
      <c r="M84" s="286">
        <v>5.17</v>
      </c>
      <c r="N84" s="286"/>
      <c r="O84" s="285">
        <v>60.278400000000005</v>
      </c>
      <c r="P84" s="285"/>
      <c r="Q84" s="285"/>
      <c r="R84" s="278" t="s">
        <v>774</v>
      </c>
      <c r="S84" s="278" t="s">
        <v>761</v>
      </c>
      <c r="T84" s="278" t="s">
        <v>929</v>
      </c>
      <c r="U84" s="304"/>
    </row>
    <row r="85" spans="1:28" s="305" customFormat="1" ht="14.45" hidden="1" customHeight="1" outlineLevel="1" x14ac:dyDescent="0.25">
      <c r="A85" s="278"/>
      <c r="B85" s="279" t="str">
        <f t="shared" ref="B85:B86" si="39">C85&amp;D85&amp;E85&amp;F85</f>
        <v>class 13.6-4.8mcolumns</v>
      </c>
      <c r="C85" s="278" t="s">
        <v>774</v>
      </c>
      <c r="D85" s="278" t="s">
        <v>762</v>
      </c>
      <c r="E85" s="278" t="s">
        <v>929</v>
      </c>
      <c r="F85" s="278"/>
      <c r="G85" s="278" t="s">
        <v>11</v>
      </c>
      <c r="H85" s="290">
        <v>1.88</v>
      </c>
      <c r="I85" s="280">
        <f t="shared" ref="I85:I86" si="40">$I$2*H85</f>
        <v>122.8956</v>
      </c>
      <c r="J85" s="281">
        <f t="shared" ref="J85:J86" si="41">$J$2*H85</f>
        <v>151.97919999999999</v>
      </c>
      <c r="K85" s="282">
        <f>IF(Notes!$B$9="Domestic",I85, IF(Notes!$B$9="Commercial",J85))*$K$83</f>
        <v>167.17712</v>
      </c>
      <c r="L85" s="283">
        <f>(SUM(O85:Q85)+(K85+SUM(M85:Q85))*(INDEX($U$83:$AB$83,MATCH(Notes!$C$16,$U$3:$AB$3,0))-100%))*$L$83</f>
        <v>63.292320000000011</v>
      </c>
      <c r="M85" s="286">
        <v>5.4285000000000005</v>
      </c>
      <c r="N85" s="286"/>
      <c r="O85" s="285">
        <v>63.292320000000011</v>
      </c>
      <c r="P85" s="285"/>
      <c r="Q85" s="285"/>
      <c r="R85" s="278" t="s">
        <v>745</v>
      </c>
      <c r="S85" s="278" t="s">
        <v>762</v>
      </c>
      <c r="T85" s="278"/>
      <c r="U85" s="304"/>
    </row>
    <row r="86" spans="1:28" s="305" customFormat="1" ht="14.45" hidden="1" customHeight="1" outlineLevel="1" x14ac:dyDescent="0.25">
      <c r="A86" s="278"/>
      <c r="B86" s="279" t="str">
        <f t="shared" si="39"/>
        <v>class 14.8-6.0mcolumns</v>
      </c>
      <c r="C86" s="278" t="s">
        <v>774</v>
      </c>
      <c r="D86" s="278" t="s">
        <v>763</v>
      </c>
      <c r="E86" s="278" t="s">
        <v>929</v>
      </c>
      <c r="F86" s="278"/>
      <c r="G86" s="278" t="s">
        <v>11</v>
      </c>
      <c r="H86" s="290">
        <v>1.97</v>
      </c>
      <c r="I86" s="280">
        <f t="shared" si="40"/>
        <v>128.77889999999999</v>
      </c>
      <c r="J86" s="281">
        <f t="shared" si="41"/>
        <v>159.25480000000002</v>
      </c>
      <c r="K86" s="282">
        <f>IF(Notes!$B$9="Domestic",I86, IF(Notes!$B$9="Commercial",J86))*$K$83</f>
        <v>175.18028000000004</v>
      </c>
      <c r="L86" s="283">
        <f>(SUM(O86:Q86)+(K86+SUM(M86:Q86))*(INDEX($U$83:$AB$83,MATCH(Notes!$C$16,$U$3:$AB$3,0))-100%))*$L$83</f>
        <v>66.306240000000017</v>
      </c>
      <c r="M86" s="286">
        <v>5.6870000000000003</v>
      </c>
      <c r="N86" s="286"/>
      <c r="O86" s="285">
        <v>66.306240000000017</v>
      </c>
      <c r="P86" s="285"/>
      <c r="Q86" s="285"/>
      <c r="R86" s="278" t="s">
        <v>744</v>
      </c>
      <c r="S86" s="278" t="s">
        <v>763</v>
      </c>
      <c r="T86" s="278"/>
      <c r="U86" s="304"/>
    </row>
    <row r="87" spans="1:28" s="305" customFormat="1" ht="14.45" hidden="1" customHeight="1" outlineLevel="1" x14ac:dyDescent="0.25">
      <c r="A87" s="278"/>
      <c r="B87" s="279" t="str">
        <f t="shared" ref="B87:B101" si="42">C87&amp;D87&amp;E87&amp;F87</f>
        <v>class 16.0-7.0mcolumns</v>
      </c>
      <c r="C87" s="278" t="s">
        <v>774</v>
      </c>
      <c r="D87" s="278" t="s">
        <v>764</v>
      </c>
      <c r="E87" s="278" t="s">
        <v>929</v>
      </c>
      <c r="F87" s="278"/>
      <c r="G87" s="278" t="s">
        <v>11</v>
      </c>
      <c r="H87" s="290">
        <v>2.06</v>
      </c>
      <c r="I87" s="280">
        <f t="shared" ref="I87:I101" si="43">$I$2*H87</f>
        <v>134.66220000000001</v>
      </c>
      <c r="J87" s="281">
        <f t="shared" ref="J87:J101" si="44">$J$2*H87</f>
        <v>166.53040000000001</v>
      </c>
      <c r="K87" s="282">
        <f>IF(Notes!$B$9="Domestic",I87, IF(Notes!$B$9="Commercial",J87))*$K$83</f>
        <v>183.18344000000002</v>
      </c>
      <c r="L87" s="283">
        <f>(SUM(O87:Q87)+(K87+SUM(M87:Q87))*(INDEX($U$83:$AB$83,MATCH(Notes!$C$16,$U$3:$AB$3,0))-100%))*$L$83</f>
        <v>69.320160000000001</v>
      </c>
      <c r="M87" s="286">
        <v>5.9454999999999991</v>
      </c>
      <c r="N87" s="286"/>
      <c r="O87" s="285">
        <v>69.320160000000001</v>
      </c>
      <c r="P87" s="285"/>
      <c r="Q87" s="285"/>
      <c r="R87" s="278"/>
      <c r="S87" s="278" t="s">
        <v>764</v>
      </c>
      <c r="T87" s="278"/>
      <c r="U87" s="304"/>
    </row>
    <row r="88" spans="1:28" s="305" customFormat="1" ht="14.45" hidden="1" customHeight="1" outlineLevel="1" x14ac:dyDescent="0.25">
      <c r="A88" s="278"/>
      <c r="B88" s="279" t="str">
        <f t="shared" si="42"/>
        <v>class 17.0-8.0mcolumns</v>
      </c>
      <c r="C88" s="278" t="s">
        <v>774</v>
      </c>
      <c r="D88" s="278" t="s">
        <v>751</v>
      </c>
      <c r="E88" s="278" t="s">
        <v>929</v>
      </c>
      <c r="F88" s="278"/>
      <c r="G88" s="278" t="s">
        <v>11</v>
      </c>
      <c r="H88" s="290">
        <v>2.15</v>
      </c>
      <c r="I88" s="280">
        <f t="shared" si="43"/>
        <v>140.5455</v>
      </c>
      <c r="J88" s="281">
        <f t="shared" si="44"/>
        <v>173.80600000000001</v>
      </c>
      <c r="K88" s="282">
        <f>IF(Notes!$B$9="Domestic",I88, IF(Notes!$B$9="Commercial",J88))*$K$83</f>
        <v>191.18660000000003</v>
      </c>
      <c r="L88" s="283">
        <f>(SUM(O88:Q88)+(K88+SUM(M88:Q88))*(INDEX($U$83:$AB$83,MATCH(Notes!$C$16,$U$3:$AB$3,0))-100%))*$L$83</f>
        <v>72.33408</v>
      </c>
      <c r="M88" s="286">
        <v>6.2039999999999997</v>
      </c>
      <c r="N88" s="286"/>
      <c r="O88" s="285">
        <v>72.33408</v>
      </c>
      <c r="P88" s="285"/>
      <c r="Q88" s="285"/>
      <c r="R88" s="278"/>
      <c r="S88" s="278" t="s">
        <v>751</v>
      </c>
      <c r="T88" s="278"/>
      <c r="U88" s="304"/>
    </row>
    <row r="89" spans="1:28" s="305" customFormat="1" ht="14.45" hidden="1" customHeight="1" outlineLevel="1" x14ac:dyDescent="0.25">
      <c r="A89" s="278"/>
      <c r="B89" s="279" t="str">
        <f t="shared" si="42"/>
        <v>class 1over 8.0mcolumns</v>
      </c>
      <c r="C89" s="278" t="s">
        <v>774</v>
      </c>
      <c r="D89" s="278" t="s">
        <v>752</v>
      </c>
      <c r="E89" s="278" t="s">
        <v>929</v>
      </c>
      <c r="F89" s="278"/>
      <c r="G89" s="278" t="s">
        <v>11</v>
      </c>
      <c r="H89" s="290">
        <v>2.2400000000000002</v>
      </c>
      <c r="I89" s="280">
        <f t="shared" si="43"/>
        <v>146.42880000000002</v>
      </c>
      <c r="J89" s="281">
        <f t="shared" si="44"/>
        <v>181.08160000000004</v>
      </c>
      <c r="K89" s="282">
        <f>IF(Notes!$B$9="Domestic",I89, IF(Notes!$B$9="Commercial",J89))*$K$83</f>
        <v>199.18976000000006</v>
      </c>
      <c r="L89" s="283">
        <f>(SUM(O89:Q89)+(K89+SUM(M89:Q89))*(INDEX($U$83:$AB$83,MATCH(Notes!$C$16,$U$3:$AB$3,0))-100%))*$L$83</f>
        <v>75.348000000000013</v>
      </c>
      <c r="M89" s="286">
        <v>6.4625000000000004</v>
      </c>
      <c r="N89" s="286"/>
      <c r="O89" s="285">
        <v>75.348000000000013</v>
      </c>
      <c r="P89" s="285"/>
      <c r="Q89" s="285"/>
      <c r="R89" s="278"/>
      <c r="S89" s="278" t="s">
        <v>752</v>
      </c>
      <c r="T89" s="278"/>
      <c r="U89" s="304"/>
    </row>
    <row r="90" spans="1:28" s="305" customFormat="1" ht="14.45" hidden="1" customHeight="1" outlineLevel="1" x14ac:dyDescent="0.25">
      <c r="A90" s="278"/>
      <c r="B90" s="279" t="str">
        <f t="shared" si="42"/>
        <v>class 20-3.6mcolumns</v>
      </c>
      <c r="C90" s="278" t="s">
        <v>745</v>
      </c>
      <c r="D90" s="278" t="s">
        <v>761</v>
      </c>
      <c r="E90" s="278" t="s">
        <v>929</v>
      </c>
      <c r="F90" s="278"/>
      <c r="G90" s="278" t="s">
        <v>11</v>
      </c>
      <c r="H90" s="308">
        <f>H84</f>
        <v>1.8</v>
      </c>
      <c r="I90" s="280">
        <f t="shared" si="43"/>
        <v>117.66600000000001</v>
      </c>
      <c r="J90" s="281">
        <f t="shared" si="44"/>
        <v>145.512</v>
      </c>
      <c r="K90" s="282">
        <f>IF(Notes!$B$9="Domestic",I90, IF(Notes!$B$9="Commercial",J90))*$K$83</f>
        <v>160.06320000000002</v>
      </c>
      <c r="L90" s="283">
        <f>(SUM(O90:Q90)+(K90+SUM(M90:Q90))*(INDEX($U$83:$AB$83,MATCH(Notes!$C$16,$U$3:$AB$3,0))-100%))*$L$83</f>
        <v>43.056000000000004</v>
      </c>
      <c r="M90" s="313">
        <f>M84</f>
        <v>5.17</v>
      </c>
      <c r="N90" s="286"/>
      <c r="O90" s="285">
        <v>43.056000000000004</v>
      </c>
      <c r="P90" s="285"/>
      <c r="Q90" s="285"/>
      <c r="R90" s="278"/>
      <c r="S90" s="278"/>
      <c r="T90" s="278"/>
      <c r="U90" s="304"/>
    </row>
    <row r="91" spans="1:28" s="305" customFormat="1" ht="14.45" hidden="1" customHeight="1" outlineLevel="1" x14ac:dyDescent="0.25">
      <c r="A91" s="278"/>
      <c r="B91" s="279" t="str">
        <f t="shared" si="42"/>
        <v>class 23.6-4.8mcolumns</v>
      </c>
      <c r="C91" s="278" t="s">
        <v>745</v>
      </c>
      <c r="D91" s="278" t="s">
        <v>762</v>
      </c>
      <c r="E91" s="278" t="s">
        <v>929</v>
      </c>
      <c r="F91" s="278"/>
      <c r="G91" s="278" t="s">
        <v>11</v>
      </c>
      <c r="H91" s="308">
        <f t="shared" ref="H91:H101" si="45">H85</f>
        <v>1.88</v>
      </c>
      <c r="I91" s="280">
        <f t="shared" si="43"/>
        <v>122.8956</v>
      </c>
      <c r="J91" s="281">
        <f t="shared" si="44"/>
        <v>151.97919999999999</v>
      </c>
      <c r="K91" s="282">
        <f>IF(Notes!$B$9="Domestic",I91, IF(Notes!$B$9="Commercial",J91))*$K$83</f>
        <v>167.17712</v>
      </c>
      <c r="L91" s="283">
        <f>(SUM(O91:Q91)+(K91+SUM(M91:Q91))*(INDEX($U$83:$AB$83,MATCH(Notes!$C$16,$U$3:$AB$3,0))-100%))*$L$83</f>
        <v>45.208800000000004</v>
      </c>
      <c r="M91" s="313">
        <f t="shared" ref="M91:M101" si="46">M85</f>
        <v>5.4285000000000005</v>
      </c>
      <c r="N91" s="286"/>
      <c r="O91" s="285">
        <v>45.208800000000004</v>
      </c>
      <c r="P91" s="285"/>
      <c r="Q91" s="285"/>
      <c r="R91" s="278"/>
      <c r="S91" s="278"/>
      <c r="T91" s="278"/>
      <c r="U91" s="304"/>
    </row>
    <row r="92" spans="1:28" s="305" customFormat="1" ht="14.45" hidden="1" customHeight="1" outlineLevel="1" x14ac:dyDescent="0.25">
      <c r="A92" s="278"/>
      <c r="B92" s="279" t="str">
        <f t="shared" si="42"/>
        <v>class 24.8-6.0mcolumns</v>
      </c>
      <c r="C92" s="278" t="s">
        <v>745</v>
      </c>
      <c r="D92" s="278" t="s">
        <v>763</v>
      </c>
      <c r="E92" s="278" t="s">
        <v>929</v>
      </c>
      <c r="F92" s="278"/>
      <c r="G92" s="278" t="s">
        <v>11</v>
      </c>
      <c r="H92" s="308">
        <f t="shared" si="45"/>
        <v>1.97</v>
      </c>
      <c r="I92" s="280">
        <f t="shared" si="43"/>
        <v>128.77889999999999</v>
      </c>
      <c r="J92" s="281">
        <f t="shared" si="44"/>
        <v>159.25480000000002</v>
      </c>
      <c r="K92" s="282">
        <f>IF(Notes!$B$9="Domestic",I92, IF(Notes!$B$9="Commercial",J92))*$K$83</f>
        <v>175.18028000000004</v>
      </c>
      <c r="L92" s="283">
        <f>(SUM(O92:Q92)+(K92+SUM(M92:Q92))*(INDEX($U$83:$AB$83,MATCH(Notes!$C$16,$U$3:$AB$3,0))-100%))*$L$83</f>
        <v>47.36160000000001</v>
      </c>
      <c r="M92" s="313">
        <f t="shared" si="46"/>
        <v>5.6870000000000003</v>
      </c>
      <c r="N92" s="286"/>
      <c r="O92" s="285">
        <v>47.36160000000001</v>
      </c>
      <c r="P92" s="285"/>
      <c r="Q92" s="285"/>
      <c r="R92" s="278"/>
      <c r="S92" s="278"/>
      <c r="T92" s="278"/>
      <c r="U92" s="304"/>
    </row>
    <row r="93" spans="1:28" s="305" customFormat="1" ht="14.45" hidden="1" customHeight="1" outlineLevel="1" x14ac:dyDescent="0.25">
      <c r="A93" s="278"/>
      <c r="B93" s="279" t="str">
        <f t="shared" si="42"/>
        <v>class 26.0-7.0mcolumns</v>
      </c>
      <c r="C93" s="278" t="s">
        <v>745</v>
      </c>
      <c r="D93" s="278" t="s">
        <v>764</v>
      </c>
      <c r="E93" s="278" t="s">
        <v>929</v>
      </c>
      <c r="F93" s="278"/>
      <c r="G93" s="278" t="s">
        <v>11</v>
      </c>
      <c r="H93" s="308">
        <f t="shared" si="45"/>
        <v>2.06</v>
      </c>
      <c r="I93" s="280">
        <f t="shared" si="43"/>
        <v>134.66220000000001</v>
      </c>
      <c r="J93" s="281">
        <f t="shared" si="44"/>
        <v>166.53040000000001</v>
      </c>
      <c r="K93" s="282">
        <f>IF(Notes!$B$9="Domestic",I93, IF(Notes!$B$9="Commercial",J93))*$K$83</f>
        <v>183.18344000000002</v>
      </c>
      <c r="L93" s="283">
        <f>(SUM(O93:Q93)+(K93+SUM(M93:Q93))*(INDEX($U$83:$AB$83,MATCH(Notes!$C$16,$U$3:$AB$3,0))-100%))*$L$83</f>
        <v>49.514400000000002</v>
      </c>
      <c r="M93" s="313">
        <f t="shared" si="46"/>
        <v>5.9454999999999991</v>
      </c>
      <c r="N93" s="286"/>
      <c r="O93" s="285">
        <v>49.514400000000002</v>
      </c>
      <c r="P93" s="285"/>
      <c r="Q93" s="285"/>
      <c r="R93" s="278"/>
      <c r="S93" s="278"/>
      <c r="T93" s="278"/>
      <c r="U93" s="304"/>
    </row>
    <row r="94" spans="1:28" s="305" customFormat="1" ht="14.45" hidden="1" customHeight="1" outlineLevel="1" x14ac:dyDescent="0.25">
      <c r="A94" s="278"/>
      <c r="B94" s="279" t="str">
        <f t="shared" si="42"/>
        <v>class 27.0-8.0mcolumns</v>
      </c>
      <c r="C94" s="278" t="s">
        <v>745</v>
      </c>
      <c r="D94" s="278" t="s">
        <v>751</v>
      </c>
      <c r="E94" s="278" t="s">
        <v>929</v>
      </c>
      <c r="F94" s="278"/>
      <c r="G94" s="278" t="s">
        <v>11</v>
      </c>
      <c r="H94" s="308">
        <f t="shared" si="45"/>
        <v>2.15</v>
      </c>
      <c r="I94" s="280">
        <f t="shared" si="43"/>
        <v>140.5455</v>
      </c>
      <c r="J94" s="281">
        <f t="shared" si="44"/>
        <v>173.80600000000001</v>
      </c>
      <c r="K94" s="282">
        <f>IF(Notes!$B$9="Domestic",I94, IF(Notes!$B$9="Commercial",J94))*$K$83</f>
        <v>191.18660000000003</v>
      </c>
      <c r="L94" s="283">
        <f>(SUM(O94:Q94)+(K94+SUM(M94:Q94))*(INDEX($U$83:$AB$83,MATCH(Notes!$C$16,$U$3:$AB$3,0))-100%))*$L$83</f>
        <v>51.667200000000001</v>
      </c>
      <c r="M94" s="313">
        <f t="shared" si="46"/>
        <v>6.2039999999999997</v>
      </c>
      <c r="N94" s="286"/>
      <c r="O94" s="285">
        <v>51.667200000000001</v>
      </c>
      <c r="P94" s="285"/>
      <c r="Q94" s="285"/>
      <c r="R94" s="278"/>
      <c r="S94" s="278"/>
      <c r="T94" s="278"/>
      <c r="U94" s="304"/>
    </row>
    <row r="95" spans="1:28" s="305" customFormat="1" ht="14.45" hidden="1" customHeight="1" outlineLevel="1" x14ac:dyDescent="0.25">
      <c r="A95" s="278"/>
      <c r="B95" s="279" t="str">
        <f t="shared" si="42"/>
        <v>class 2over 8.0mcolumns</v>
      </c>
      <c r="C95" s="278" t="s">
        <v>745</v>
      </c>
      <c r="D95" s="278" t="s">
        <v>752</v>
      </c>
      <c r="E95" s="278" t="s">
        <v>929</v>
      </c>
      <c r="F95" s="278"/>
      <c r="G95" s="278" t="s">
        <v>11</v>
      </c>
      <c r="H95" s="308">
        <f t="shared" si="45"/>
        <v>2.2400000000000002</v>
      </c>
      <c r="I95" s="280">
        <f t="shared" si="43"/>
        <v>146.42880000000002</v>
      </c>
      <c r="J95" s="281">
        <f t="shared" si="44"/>
        <v>181.08160000000004</v>
      </c>
      <c r="K95" s="282">
        <f>IF(Notes!$B$9="Domestic",I95, IF(Notes!$B$9="Commercial",J95))*$K$83</f>
        <v>199.18976000000006</v>
      </c>
      <c r="L95" s="283">
        <f>(SUM(O95:Q95)+(K95+SUM(M95:Q95))*(INDEX($U$83:$AB$83,MATCH(Notes!$C$16,$U$3:$AB$3,0))-100%))*$L$83</f>
        <v>53.820000000000007</v>
      </c>
      <c r="M95" s="313">
        <f t="shared" si="46"/>
        <v>6.4625000000000004</v>
      </c>
      <c r="N95" s="286"/>
      <c r="O95" s="285">
        <v>53.820000000000007</v>
      </c>
      <c r="P95" s="285"/>
      <c r="Q95" s="285"/>
      <c r="R95" s="278"/>
      <c r="S95" s="278"/>
      <c r="T95" s="278"/>
      <c r="U95" s="304"/>
    </row>
    <row r="96" spans="1:28" s="305" customFormat="1" ht="14.45" hidden="1" customHeight="1" outlineLevel="1" x14ac:dyDescent="0.25">
      <c r="A96" s="278"/>
      <c r="B96" s="279" t="str">
        <f t="shared" si="42"/>
        <v>class 30-3.6mcolumns</v>
      </c>
      <c r="C96" s="278" t="s">
        <v>744</v>
      </c>
      <c r="D96" s="278" t="s">
        <v>761</v>
      </c>
      <c r="E96" s="278" t="s">
        <v>929</v>
      </c>
      <c r="F96" s="278"/>
      <c r="G96" s="278" t="s">
        <v>11</v>
      </c>
      <c r="H96" s="308">
        <f t="shared" si="45"/>
        <v>1.8</v>
      </c>
      <c r="I96" s="280">
        <f t="shared" si="43"/>
        <v>117.66600000000001</v>
      </c>
      <c r="J96" s="281">
        <f t="shared" si="44"/>
        <v>145.512</v>
      </c>
      <c r="K96" s="282">
        <f>IF(Notes!$B$9="Domestic",I96, IF(Notes!$B$9="Commercial",J96))*$K$83</f>
        <v>160.06320000000002</v>
      </c>
      <c r="L96" s="283">
        <f>(SUM(O96:Q96)+(K96+SUM(M96:Q96))*(INDEX($U$83:$AB$83,MATCH(Notes!$C$16,$U$3:$AB$3,0))-100%))*$L$83</f>
        <v>35.880000000000003</v>
      </c>
      <c r="M96" s="313">
        <f t="shared" si="46"/>
        <v>5.17</v>
      </c>
      <c r="N96" s="286"/>
      <c r="O96" s="285">
        <v>35.880000000000003</v>
      </c>
      <c r="P96" s="285"/>
      <c r="Q96" s="285"/>
      <c r="R96" s="278"/>
      <c r="S96" s="278"/>
      <c r="T96" s="278"/>
      <c r="U96" s="304"/>
    </row>
    <row r="97" spans="1:28" s="305" customFormat="1" ht="14.45" hidden="1" customHeight="1" outlineLevel="1" x14ac:dyDescent="0.25">
      <c r="A97" s="278"/>
      <c r="B97" s="279" t="str">
        <f t="shared" si="42"/>
        <v>class 33.6-4.8mcolumns</v>
      </c>
      <c r="C97" s="278" t="s">
        <v>744</v>
      </c>
      <c r="D97" s="278" t="s">
        <v>762</v>
      </c>
      <c r="E97" s="278" t="s">
        <v>929</v>
      </c>
      <c r="F97" s="278"/>
      <c r="G97" s="278" t="s">
        <v>11</v>
      </c>
      <c r="H97" s="308">
        <f t="shared" si="45"/>
        <v>1.88</v>
      </c>
      <c r="I97" s="280">
        <f t="shared" si="43"/>
        <v>122.8956</v>
      </c>
      <c r="J97" s="281">
        <f t="shared" si="44"/>
        <v>151.97919999999999</v>
      </c>
      <c r="K97" s="282">
        <f>IF(Notes!$B$9="Domestic",I97, IF(Notes!$B$9="Commercial",J97))*$K$83</f>
        <v>167.17712</v>
      </c>
      <c r="L97" s="283">
        <f>(SUM(O97:Q97)+(K97+SUM(M97:Q97))*(INDEX($U$83:$AB$83,MATCH(Notes!$C$16,$U$3:$AB$3,0))-100%))*$L$83</f>
        <v>37.674000000000007</v>
      </c>
      <c r="M97" s="313">
        <f t="shared" si="46"/>
        <v>5.4285000000000005</v>
      </c>
      <c r="N97" s="286"/>
      <c r="O97" s="285">
        <v>37.674000000000007</v>
      </c>
      <c r="P97" s="285"/>
      <c r="Q97" s="285"/>
      <c r="R97" s="278"/>
      <c r="S97" s="278"/>
      <c r="T97" s="278"/>
      <c r="U97" s="304"/>
    </row>
    <row r="98" spans="1:28" s="305" customFormat="1" ht="14.45" hidden="1" customHeight="1" outlineLevel="1" x14ac:dyDescent="0.25">
      <c r="A98" s="278"/>
      <c r="B98" s="279" t="str">
        <f t="shared" si="42"/>
        <v>class 34.8-6.0mcolumns</v>
      </c>
      <c r="C98" s="278" t="s">
        <v>744</v>
      </c>
      <c r="D98" s="278" t="s">
        <v>763</v>
      </c>
      <c r="E98" s="278" t="s">
        <v>929</v>
      </c>
      <c r="F98" s="278"/>
      <c r="G98" s="278" t="s">
        <v>11</v>
      </c>
      <c r="H98" s="308">
        <f t="shared" si="45"/>
        <v>1.97</v>
      </c>
      <c r="I98" s="280">
        <f t="shared" si="43"/>
        <v>128.77889999999999</v>
      </c>
      <c r="J98" s="281">
        <f t="shared" si="44"/>
        <v>159.25480000000002</v>
      </c>
      <c r="K98" s="282">
        <f>IF(Notes!$B$9="Domestic",I98, IF(Notes!$B$9="Commercial",J98))*$K$83</f>
        <v>175.18028000000004</v>
      </c>
      <c r="L98" s="283">
        <f>(SUM(O98:Q98)+(K98+SUM(M98:Q98))*(INDEX($U$83:$AB$83,MATCH(Notes!$C$16,$U$3:$AB$3,0))-100%))*$L$83</f>
        <v>39.468000000000004</v>
      </c>
      <c r="M98" s="313">
        <f t="shared" si="46"/>
        <v>5.6870000000000003</v>
      </c>
      <c r="N98" s="286"/>
      <c r="O98" s="285">
        <v>39.468000000000004</v>
      </c>
      <c r="P98" s="285"/>
      <c r="Q98" s="285"/>
      <c r="R98" s="278"/>
      <c r="S98" s="278"/>
      <c r="T98" s="278"/>
      <c r="U98" s="304"/>
    </row>
    <row r="99" spans="1:28" s="305" customFormat="1" ht="14.45" hidden="1" customHeight="1" outlineLevel="1" x14ac:dyDescent="0.25">
      <c r="A99" s="278"/>
      <c r="B99" s="279" t="str">
        <f t="shared" si="42"/>
        <v>class 36.0-7.0mcolumns</v>
      </c>
      <c r="C99" s="278" t="s">
        <v>744</v>
      </c>
      <c r="D99" s="278" t="s">
        <v>764</v>
      </c>
      <c r="E99" s="278" t="s">
        <v>929</v>
      </c>
      <c r="F99" s="278"/>
      <c r="G99" s="278" t="s">
        <v>11</v>
      </c>
      <c r="H99" s="308">
        <f t="shared" si="45"/>
        <v>2.06</v>
      </c>
      <c r="I99" s="280">
        <f t="shared" si="43"/>
        <v>134.66220000000001</v>
      </c>
      <c r="J99" s="281">
        <f t="shared" si="44"/>
        <v>166.53040000000001</v>
      </c>
      <c r="K99" s="282">
        <f>IF(Notes!$B$9="Domestic",I99, IF(Notes!$B$9="Commercial",J99))*$K$83</f>
        <v>183.18344000000002</v>
      </c>
      <c r="L99" s="283">
        <f>(SUM(O99:Q99)+(K99+SUM(M99:Q99))*(INDEX($U$83:$AB$83,MATCH(Notes!$C$16,$U$3:$AB$3,0))-100%))*$L$83</f>
        <v>41.262</v>
      </c>
      <c r="M99" s="313">
        <f t="shared" si="46"/>
        <v>5.9454999999999991</v>
      </c>
      <c r="N99" s="286"/>
      <c r="O99" s="285">
        <v>41.262</v>
      </c>
      <c r="P99" s="285"/>
      <c r="Q99" s="285"/>
      <c r="R99" s="278"/>
      <c r="S99" s="278"/>
      <c r="T99" s="278"/>
      <c r="U99" s="304"/>
    </row>
    <row r="100" spans="1:28" s="305" customFormat="1" ht="14.45" hidden="1" customHeight="1" outlineLevel="1" x14ac:dyDescent="0.25">
      <c r="A100" s="278"/>
      <c r="B100" s="279" t="str">
        <f t="shared" si="42"/>
        <v>class 37.0-8.0mcolumns</v>
      </c>
      <c r="C100" s="278" t="s">
        <v>744</v>
      </c>
      <c r="D100" s="278" t="s">
        <v>751</v>
      </c>
      <c r="E100" s="278" t="s">
        <v>929</v>
      </c>
      <c r="F100" s="278"/>
      <c r="G100" s="278" t="s">
        <v>11</v>
      </c>
      <c r="H100" s="308">
        <f t="shared" si="45"/>
        <v>2.15</v>
      </c>
      <c r="I100" s="280">
        <f t="shared" si="43"/>
        <v>140.5455</v>
      </c>
      <c r="J100" s="281">
        <f t="shared" si="44"/>
        <v>173.80600000000001</v>
      </c>
      <c r="K100" s="282">
        <f>IF(Notes!$B$9="Domestic",I100, IF(Notes!$B$9="Commercial",J100))*$K$83</f>
        <v>191.18660000000003</v>
      </c>
      <c r="L100" s="283">
        <f>(SUM(O100:Q100)+(K100+SUM(M100:Q100))*(INDEX($U$83:$AB$83,MATCH(Notes!$C$16,$U$3:$AB$3,0))-100%))*$L$83</f>
        <v>43.056000000000004</v>
      </c>
      <c r="M100" s="313">
        <f t="shared" si="46"/>
        <v>6.2039999999999997</v>
      </c>
      <c r="N100" s="286"/>
      <c r="O100" s="285">
        <v>43.056000000000004</v>
      </c>
      <c r="P100" s="285"/>
      <c r="Q100" s="285"/>
      <c r="R100" s="278"/>
      <c r="S100" s="278"/>
      <c r="T100" s="278"/>
      <c r="U100" s="304"/>
    </row>
    <row r="101" spans="1:28" s="305" customFormat="1" ht="14.45" hidden="1" customHeight="1" outlineLevel="1" x14ac:dyDescent="0.25">
      <c r="A101" s="278"/>
      <c r="B101" s="279" t="str">
        <f t="shared" si="42"/>
        <v>class 3over 8.0mcolumns</v>
      </c>
      <c r="C101" s="278" t="s">
        <v>744</v>
      </c>
      <c r="D101" s="278" t="s">
        <v>752</v>
      </c>
      <c r="E101" s="278" t="s">
        <v>929</v>
      </c>
      <c r="F101" s="278"/>
      <c r="G101" s="278" t="s">
        <v>11</v>
      </c>
      <c r="H101" s="308">
        <f t="shared" si="45"/>
        <v>2.2400000000000002</v>
      </c>
      <c r="I101" s="280">
        <f t="shared" si="43"/>
        <v>146.42880000000002</v>
      </c>
      <c r="J101" s="281">
        <f t="shared" si="44"/>
        <v>181.08160000000004</v>
      </c>
      <c r="K101" s="282">
        <f>IF(Notes!$B$9="Domestic",I101, IF(Notes!$B$9="Commercial",J101))*$K$83</f>
        <v>199.18976000000006</v>
      </c>
      <c r="L101" s="283">
        <f>(SUM(O101:Q101)+(K101+SUM(M101:Q101))*(INDEX($U$83:$AB$83,MATCH(Notes!$C$16,$U$3:$AB$3,0))-100%))*$L$83</f>
        <v>44.85</v>
      </c>
      <c r="M101" s="313">
        <f t="shared" si="46"/>
        <v>6.4625000000000004</v>
      </c>
      <c r="N101" s="286"/>
      <c r="O101" s="285">
        <v>44.85</v>
      </c>
      <c r="P101" s="285"/>
      <c r="Q101" s="285"/>
      <c r="R101" s="278"/>
      <c r="S101" s="278"/>
      <c r="T101" s="278"/>
      <c r="U101" s="304"/>
    </row>
    <row r="102" spans="1:28" ht="21" hidden="1" outlineLevel="1" x14ac:dyDescent="0.25">
      <c r="A102" s="299" t="s">
        <v>766</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row>
    <row r="103" spans="1:28" ht="15.75" hidden="1" outlineLevel="1" x14ac:dyDescent="0.25">
      <c r="A103" s="291"/>
      <c r="B103" s="291"/>
      <c r="C103" s="291"/>
      <c r="D103" s="291"/>
      <c r="E103" s="291"/>
      <c r="F103" s="291"/>
      <c r="G103" s="291"/>
      <c r="H103" s="291"/>
      <c r="I103" s="291"/>
      <c r="J103" s="291"/>
      <c r="K103" s="291">
        <f>K$2</f>
        <v>1.1000000000000001</v>
      </c>
      <c r="L103" s="291">
        <f>L$2</f>
        <v>1</v>
      </c>
      <c r="M103" s="291"/>
      <c r="N103" s="291"/>
      <c r="O103" s="303"/>
      <c r="P103" s="303"/>
      <c r="Q103" s="303"/>
      <c r="R103" s="291"/>
      <c r="S103" s="291"/>
      <c r="T103" s="291"/>
      <c r="U103" s="291">
        <f>U$2</f>
        <v>1.0880000000000001</v>
      </c>
      <c r="V103" s="291">
        <f>V$2</f>
        <v>1</v>
      </c>
      <c r="W103" s="291">
        <f t="shared" ref="W103:AB103" si="47">W$2</f>
        <v>1.0960000000000001</v>
      </c>
      <c r="X103" s="291">
        <f t="shared" si="47"/>
        <v>0.84</v>
      </c>
      <c r="Y103" s="291">
        <f t="shared" si="47"/>
        <v>1.1200000000000001</v>
      </c>
      <c r="Z103" s="291">
        <f t="shared" si="47"/>
        <v>0.96</v>
      </c>
      <c r="AA103" s="291">
        <f t="shared" si="47"/>
        <v>0.92</v>
      </c>
      <c r="AB103" s="291">
        <f t="shared" si="47"/>
        <v>1.28</v>
      </c>
    </row>
    <row r="104" spans="1:28" s="305" customFormat="1" ht="14.45" hidden="1" customHeight="1" outlineLevel="1" x14ac:dyDescent="0.25">
      <c r="A104" s="278"/>
      <c r="B104" s="279" t="str">
        <f>C104&amp;D104&amp;E104&amp;F104</f>
        <v>class 20-3.6m200mm</v>
      </c>
      <c r="C104" s="278" t="s">
        <v>745</v>
      </c>
      <c r="D104" s="278" t="s">
        <v>761</v>
      </c>
      <c r="E104" s="278" t="s">
        <v>668</v>
      </c>
      <c r="F104" s="278"/>
      <c r="G104" s="278" t="s">
        <v>15</v>
      </c>
      <c r="H104" s="310">
        <v>1.03</v>
      </c>
      <c r="I104" s="280">
        <f>$I$2*H104</f>
        <v>67.331100000000006</v>
      </c>
      <c r="J104" s="281">
        <f>$J$2*H104</f>
        <v>83.265200000000007</v>
      </c>
      <c r="K104" s="282">
        <f>IF(Notes!$B$9="Domestic",I104, IF(Notes!$B$9="Commercial",J104))*$K$103</f>
        <v>91.591720000000009</v>
      </c>
      <c r="L104" s="283">
        <f>(SUM(O104:Q104)+(K104+SUM(M104:Q104))*(INDEX($U$103:$AB$103,MATCH(Notes!$C$16,$U$3:$AB$3,0))-100%))*$L$103</f>
        <v>32.268000000000001</v>
      </c>
      <c r="M104" s="283">
        <f>M110</f>
        <v>5.9</v>
      </c>
      <c r="N104" s="286"/>
      <c r="O104" s="311">
        <f>O110*1.2</f>
        <v>32.268000000000001</v>
      </c>
      <c r="P104" s="285"/>
      <c r="Q104" s="285"/>
      <c r="R104" s="278" t="s">
        <v>745</v>
      </c>
      <c r="S104" s="278" t="s">
        <v>761</v>
      </c>
      <c r="T104" s="278" t="s">
        <v>668</v>
      </c>
      <c r="U104" s="304"/>
    </row>
    <row r="105" spans="1:28" s="305" customFormat="1" ht="14.45" hidden="1" customHeight="1" outlineLevel="1" x14ac:dyDescent="0.25">
      <c r="A105" s="278"/>
      <c r="B105" s="279" t="str">
        <f t="shared" ref="B105:B187" si="48">C105&amp;D105&amp;E105&amp;F105</f>
        <v>class 23.6-4.8m200mm</v>
      </c>
      <c r="C105" s="278" t="s">
        <v>745</v>
      </c>
      <c r="D105" s="278" t="s">
        <v>762</v>
      </c>
      <c r="E105" s="278" t="s">
        <v>668</v>
      </c>
      <c r="F105" s="278"/>
      <c r="G105" s="278" t="s">
        <v>15</v>
      </c>
      <c r="H105" s="309">
        <f>H104*1.05</f>
        <v>1.0815000000000001</v>
      </c>
      <c r="I105" s="280">
        <f t="shared" ref="I105:I187" si="49">$I$2*H105</f>
        <v>70.697655000000012</v>
      </c>
      <c r="J105" s="281">
        <f t="shared" ref="J105:J187" si="50">$J$2*H105</f>
        <v>87.428460000000015</v>
      </c>
      <c r="K105" s="282">
        <f>IF(Notes!$B$9="Domestic",I105, IF(Notes!$B$9="Commercial",J105))*$K$103</f>
        <v>96.17130600000003</v>
      </c>
      <c r="L105" s="283">
        <f>(SUM(O105:Q105)+(K105+SUM(M105:Q105))*(INDEX($U$103:$AB$103,MATCH(Notes!$C$16,$U$3:$AB$3,0))-100%))*$L$103</f>
        <v>33.881399999999999</v>
      </c>
      <c r="M105" s="283">
        <f>M104*1.05</f>
        <v>6.1950000000000003</v>
      </c>
      <c r="N105" s="286"/>
      <c r="O105" s="311">
        <f>O104*1.05</f>
        <v>33.881399999999999</v>
      </c>
      <c r="P105" s="285"/>
      <c r="Q105" s="285"/>
      <c r="R105" s="278" t="s">
        <v>744</v>
      </c>
      <c r="S105" s="278" t="s">
        <v>762</v>
      </c>
      <c r="T105" s="278" t="s">
        <v>767</v>
      </c>
      <c r="U105" s="304"/>
    </row>
    <row r="106" spans="1:28" s="305" customFormat="1" ht="14.45" hidden="1" customHeight="1" outlineLevel="1" x14ac:dyDescent="0.25">
      <c r="A106" s="278"/>
      <c r="B106" s="279" t="str">
        <f t="shared" si="48"/>
        <v>class 24.8-6.0m200mm</v>
      </c>
      <c r="C106" s="278" t="s">
        <v>745</v>
      </c>
      <c r="D106" s="278" t="s">
        <v>763</v>
      </c>
      <c r="E106" s="278" t="s">
        <v>668</v>
      </c>
      <c r="F106" s="278"/>
      <c r="G106" s="278" t="s">
        <v>15</v>
      </c>
      <c r="H106" s="309">
        <f>H104*1.1</f>
        <v>1.1330000000000002</v>
      </c>
      <c r="I106" s="280">
        <f t="shared" si="49"/>
        <v>74.064210000000017</v>
      </c>
      <c r="J106" s="281">
        <f t="shared" si="50"/>
        <v>91.591720000000024</v>
      </c>
      <c r="K106" s="282">
        <f>IF(Notes!$B$9="Domestic",I106, IF(Notes!$B$9="Commercial",J106))*$K$103</f>
        <v>100.75089200000004</v>
      </c>
      <c r="L106" s="283">
        <f>(SUM(O106:Q106)+(K106+SUM(M106:Q106))*(INDEX($U$103:$AB$103,MATCH(Notes!$C$16,$U$3:$AB$3,0))-100%))*$L$103</f>
        <v>35.494800000000005</v>
      </c>
      <c r="M106" s="283">
        <f>M104*1.1</f>
        <v>6.4900000000000011</v>
      </c>
      <c r="N106" s="286"/>
      <c r="O106" s="311">
        <f>O104*1.1</f>
        <v>35.494800000000005</v>
      </c>
      <c r="P106" s="285"/>
      <c r="Q106" s="285"/>
      <c r="R106" s="278"/>
      <c r="S106" s="278" t="s">
        <v>763</v>
      </c>
      <c r="T106" s="278" t="s">
        <v>768</v>
      </c>
      <c r="U106" s="304"/>
    </row>
    <row r="107" spans="1:28" s="305" customFormat="1" ht="14.45" hidden="1" customHeight="1" outlineLevel="1" x14ac:dyDescent="0.25">
      <c r="A107" s="278"/>
      <c r="B107" s="279" t="str">
        <f t="shared" ref="B107:B170" si="51">C107&amp;D107&amp;E107&amp;F107</f>
        <v>class 26.0-7.0m200mm</v>
      </c>
      <c r="C107" s="278" t="s">
        <v>745</v>
      </c>
      <c r="D107" s="278" t="s">
        <v>764</v>
      </c>
      <c r="E107" s="278" t="s">
        <v>668</v>
      </c>
      <c r="F107" s="278"/>
      <c r="G107" s="278" t="s">
        <v>15</v>
      </c>
      <c r="H107" s="309">
        <f>H104*1.15</f>
        <v>1.1844999999999999</v>
      </c>
      <c r="I107" s="280">
        <f t="shared" ref="I107:I170" si="52">$I$2*H107</f>
        <v>77.430764999999994</v>
      </c>
      <c r="J107" s="281">
        <f t="shared" ref="J107:J170" si="53">$J$2*H107</f>
        <v>95.754979999999989</v>
      </c>
      <c r="K107" s="282">
        <f>IF(Notes!$B$9="Domestic",I107, IF(Notes!$B$9="Commercial",J107))*$K$103</f>
        <v>105.330478</v>
      </c>
      <c r="L107" s="283">
        <f>(SUM(O107:Q107)+(K107+SUM(M107:Q107))*(INDEX($U$103:$AB$103,MATCH(Notes!$C$16,$U$3:$AB$3,0))-100%))*$L$103</f>
        <v>37.108199999999997</v>
      </c>
      <c r="M107" s="283">
        <f>M104*1.15</f>
        <v>6.7850000000000001</v>
      </c>
      <c r="N107" s="286"/>
      <c r="O107" s="311">
        <f>O104*1.15</f>
        <v>37.108199999999997</v>
      </c>
      <c r="P107" s="285"/>
      <c r="Q107" s="285"/>
      <c r="R107" s="278"/>
      <c r="S107" s="278" t="s">
        <v>764</v>
      </c>
      <c r="T107" s="278" t="s">
        <v>769</v>
      </c>
      <c r="U107" s="304"/>
    </row>
    <row r="108" spans="1:28" s="305" customFormat="1" ht="14.45" hidden="1" customHeight="1" outlineLevel="1" x14ac:dyDescent="0.25">
      <c r="A108" s="278"/>
      <c r="B108" s="279" t="str">
        <f t="shared" si="51"/>
        <v>class 27.0-8.0m200mm</v>
      </c>
      <c r="C108" s="278" t="s">
        <v>745</v>
      </c>
      <c r="D108" s="278" t="s">
        <v>751</v>
      </c>
      <c r="E108" s="278" t="s">
        <v>668</v>
      </c>
      <c r="F108" s="278"/>
      <c r="G108" s="278" t="s">
        <v>15</v>
      </c>
      <c r="H108" s="309">
        <f>H104*1.2</f>
        <v>1.236</v>
      </c>
      <c r="I108" s="280">
        <f t="shared" si="52"/>
        <v>80.797319999999999</v>
      </c>
      <c r="J108" s="281">
        <f t="shared" si="53"/>
        <v>99.918239999999997</v>
      </c>
      <c r="K108" s="282">
        <f>IF(Notes!$B$9="Domestic",I108, IF(Notes!$B$9="Commercial",J108))*$K$103</f>
        <v>109.91006400000001</v>
      </c>
      <c r="L108" s="283">
        <f>(SUM(O108:Q108)+(K108+SUM(M108:Q108))*(INDEX($U$103:$AB$103,MATCH(Notes!$C$16,$U$3:$AB$3,0))-100%))*$L$103</f>
        <v>38.721600000000002</v>
      </c>
      <c r="M108" s="283">
        <f>M104*1.2</f>
        <v>7.08</v>
      </c>
      <c r="N108" s="286"/>
      <c r="O108" s="311">
        <f>O104*1.2</f>
        <v>38.721600000000002</v>
      </c>
      <c r="P108" s="285"/>
      <c r="Q108" s="285"/>
      <c r="R108" s="278"/>
      <c r="S108" s="278" t="s">
        <v>751</v>
      </c>
      <c r="T108" s="278" t="s">
        <v>770</v>
      </c>
      <c r="U108" s="304"/>
    </row>
    <row r="109" spans="1:28" s="305" customFormat="1" ht="14.45" hidden="1" customHeight="1" outlineLevel="1" x14ac:dyDescent="0.25">
      <c r="A109" s="278"/>
      <c r="B109" s="279" t="str">
        <f t="shared" si="51"/>
        <v>class 2over 8.0m200mm</v>
      </c>
      <c r="C109" s="278" t="s">
        <v>745</v>
      </c>
      <c r="D109" s="278" t="s">
        <v>752</v>
      </c>
      <c r="E109" s="278" t="s">
        <v>668</v>
      </c>
      <c r="F109" s="278"/>
      <c r="G109" s="278" t="s">
        <v>15</v>
      </c>
      <c r="H109" s="309">
        <f>H104*1.25</f>
        <v>1.2875000000000001</v>
      </c>
      <c r="I109" s="280">
        <f t="shared" si="52"/>
        <v>84.163875000000019</v>
      </c>
      <c r="J109" s="281">
        <f t="shared" si="53"/>
        <v>104.08150000000001</v>
      </c>
      <c r="K109" s="282">
        <f>IF(Notes!$B$9="Domestic",I109, IF(Notes!$B$9="Commercial",J109))*$K$103</f>
        <v>114.48965000000001</v>
      </c>
      <c r="L109" s="283">
        <f>(SUM(O109:Q109)+(K109+SUM(M109:Q109))*(INDEX($U$103:$AB$103,MATCH(Notes!$C$16,$U$3:$AB$3,0))-100%))*$L$103</f>
        <v>40.335000000000001</v>
      </c>
      <c r="M109" s="283">
        <f>M104*1.25</f>
        <v>7.375</v>
      </c>
      <c r="N109" s="286"/>
      <c r="O109" s="311">
        <f>O104*1.25</f>
        <v>40.335000000000001</v>
      </c>
      <c r="P109" s="285"/>
      <c r="Q109" s="285"/>
      <c r="R109" s="278"/>
      <c r="S109" s="278" t="s">
        <v>752</v>
      </c>
      <c r="T109" s="278" t="s">
        <v>771</v>
      </c>
      <c r="U109" s="304"/>
    </row>
    <row r="110" spans="1:28" s="305" customFormat="1" ht="14.45" hidden="1" customHeight="1" outlineLevel="1" x14ac:dyDescent="0.25">
      <c r="A110" s="278"/>
      <c r="B110" s="279" t="str">
        <f t="shared" si="51"/>
        <v>class 30-3.6m200mm</v>
      </c>
      <c r="C110" s="278" t="s">
        <v>744</v>
      </c>
      <c r="D110" s="278" t="s">
        <v>761</v>
      </c>
      <c r="E110" s="278" t="s">
        <v>668</v>
      </c>
      <c r="F110" s="278"/>
      <c r="G110" s="278" t="s">
        <v>15</v>
      </c>
      <c r="H110" s="309">
        <f>H104</f>
        <v>1.03</v>
      </c>
      <c r="I110" s="280">
        <f t="shared" si="52"/>
        <v>67.331100000000006</v>
      </c>
      <c r="J110" s="281">
        <f t="shared" si="53"/>
        <v>83.265200000000007</v>
      </c>
      <c r="K110" s="282">
        <f>IF(Notes!$B$9="Domestic",I110, IF(Notes!$B$9="Commercial",J110))*$K$103</f>
        <v>91.591720000000009</v>
      </c>
      <c r="L110" s="283">
        <f>(SUM(O110:Q110)+(K110+SUM(M110:Q110))*(INDEX($U$103:$AB$103,MATCH(Notes!$C$16,$U$3:$AB$3,0))-100%))*$L$103</f>
        <v>26.89</v>
      </c>
      <c r="M110" s="312">
        <v>5.9</v>
      </c>
      <c r="N110" s="286"/>
      <c r="O110" s="285">
        <v>26.89</v>
      </c>
      <c r="P110" s="285"/>
      <c r="Q110" s="285"/>
      <c r="R110" s="278"/>
      <c r="S110" s="278"/>
      <c r="T110" s="278" t="s">
        <v>772</v>
      </c>
      <c r="U110" s="304"/>
    </row>
    <row r="111" spans="1:28" s="305" customFormat="1" ht="14.45" hidden="1" customHeight="1" outlineLevel="1" x14ac:dyDescent="0.25">
      <c r="A111" s="278"/>
      <c r="B111" s="279" t="str">
        <f t="shared" si="51"/>
        <v>class 33.6-4.8m200mm</v>
      </c>
      <c r="C111" s="278" t="s">
        <v>744</v>
      </c>
      <c r="D111" s="278" t="s">
        <v>762</v>
      </c>
      <c r="E111" s="278" t="s">
        <v>668</v>
      </c>
      <c r="F111" s="278"/>
      <c r="G111" s="278" t="s">
        <v>15</v>
      </c>
      <c r="H111" s="309">
        <f t="shared" ref="H111:H115" si="54">H105</f>
        <v>1.0815000000000001</v>
      </c>
      <c r="I111" s="280">
        <f t="shared" si="52"/>
        <v>70.697655000000012</v>
      </c>
      <c r="J111" s="281">
        <f t="shared" si="53"/>
        <v>87.428460000000015</v>
      </c>
      <c r="K111" s="282">
        <f>IF(Notes!$B$9="Domestic",I111, IF(Notes!$B$9="Commercial",J111))*$K$103</f>
        <v>96.17130600000003</v>
      </c>
      <c r="L111" s="283">
        <f>(SUM(O111:Q111)+(K111+SUM(M111:Q111))*(INDEX($U$103:$AB$103,MATCH(Notes!$C$16,$U$3:$AB$3,0))-100%))*$L$103</f>
        <v>28.234500000000001</v>
      </c>
      <c r="M111" s="283">
        <f>M110*1.05</f>
        <v>6.1950000000000003</v>
      </c>
      <c r="N111" s="286"/>
      <c r="O111" s="311">
        <f>O110*1.05</f>
        <v>28.234500000000001</v>
      </c>
      <c r="P111" s="285"/>
      <c r="Q111" s="285"/>
      <c r="R111" s="278"/>
      <c r="S111" s="278"/>
      <c r="T111" s="278"/>
      <c r="U111" s="304"/>
    </row>
    <row r="112" spans="1:28" s="305" customFormat="1" ht="14.45" hidden="1" customHeight="1" outlineLevel="1" x14ac:dyDescent="0.25">
      <c r="A112" s="278"/>
      <c r="B112" s="279" t="str">
        <f t="shared" si="51"/>
        <v>class 34.8-6.0m200mm</v>
      </c>
      <c r="C112" s="278" t="s">
        <v>744</v>
      </c>
      <c r="D112" s="278" t="s">
        <v>763</v>
      </c>
      <c r="E112" s="278" t="s">
        <v>668</v>
      </c>
      <c r="F112" s="278"/>
      <c r="G112" s="278" t="s">
        <v>15</v>
      </c>
      <c r="H112" s="309">
        <f t="shared" si="54"/>
        <v>1.1330000000000002</v>
      </c>
      <c r="I112" s="280">
        <f t="shared" si="52"/>
        <v>74.064210000000017</v>
      </c>
      <c r="J112" s="281">
        <f t="shared" si="53"/>
        <v>91.591720000000024</v>
      </c>
      <c r="K112" s="282">
        <f>IF(Notes!$B$9="Domestic",I112, IF(Notes!$B$9="Commercial",J112))*$K$103</f>
        <v>100.75089200000004</v>
      </c>
      <c r="L112" s="283">
        <f>(SUM(O112:Q112)+(K112+SUM(M112:Q112))*(INDEX($U$103:$AB$103,MATCH(Notes!$C$16,$U$3:$AB$3,0))-100%))*$L$103</f>
        <v>29.579000000000004</v>
      </c>
      <c r="M112" s="283">
        <f>M110*1.1</f>
        <v>6.4900000000000011</v>
      </c>
      <c r="N112" s="286"/>
      <c r="O112" s="311">
        <f>O110*1.1</f>
        <v>29.579000000000004</v>
      </c>
      <c r="P112" s="285"/>
      <c r="Q112" s="285"/>
      <c r="R112" s="278"/>
      <c r="S112" s="278"/>
      <c r="T112" s="278"/>
      <c r="U112" s="304"/>
    </row>
    <row r="113" spans="1:21" s="305" customFormat="1" ht="14.45" hidden="1" customHeight="1" outlineLevel="1" x14ac:dyDescent="0.25">
      <c r="A113" s="278"/>
      <c r="B113" s="279" t="str">
        <f t="shared" si="51"/>
        <v>class 36.0-7.0m200mm</v>
      </c>
      <c r="C113" s="278" t="s">
        <v>744</v>
      </c>
      <c r="D113" s="278" t="s">
        <v>764</v>
      </c>
      <c r="E113" s="278" t="s">
        <v>668</v>
      </c>
      <c r="F113" s="278"/>
      <c r="G113" s="278" t="s">
        <v>15</v>
      </c>
      <c r="H113" s="309">
        <f t="shared" si="54"/>
        <v>1.1844999999999999</v>
      </c>
      <c r="I113" s="280">
        <f t="shared" si="52"/>
        <v>77.430764999999994</v>
      </c>
      <c r="J113" s="281">
        <f t="shared" si="53"/>
        <v>95.754979999999989</v>
      </c>
      <c r="K113" s="282">
        <f>IF(Notes!$B$9="Domestic",I113, IF(Notes!$B$9="Commercial",J113))*$K$103</f>
        <v>105.330478</v>
      </c>
      <c r="L113" s="283">
        <f>(SUM(O113:Q113)+(K113+SUM(M113:Q113))*(INDEX($U$103:$AB$103,MATCH(Notes!$C$16,$U$3:$AB$3,0))-100%))*$L$103</f>
        <v>30.923499999999997</v>
      </c>
      <c r="M113" s="283">
        <f>M110*1.15</f>
        <v>6.7850000000000001</v>
      </c>
      <c r="N113" s="286"/>
      <c r="O113" s="311">
        <f>O110*1.15</f>
        <v>30.923499999999997</v>
      </c>
      <c r="P113" s="285"/>
      <c r="Q113" s="285"/>
      <c r="R113" s="278"/>
      <c r="S113" s="278"/>
      <c r="T113" s="278"/>
      <c r="U113" s="304"/>
    </row>
    <row r="114" spans="1:21" s="305" customFormat="1" ht="14.45" hidden="1" customHeight="1" outlineLevel="1" x14ac:dyDescent="0.25">
      <c r="A114" s="278"/>
      <c r="B114" s="279" t="str">
        <f t="shared" si="51"/>
        <v>class 37.0-8.0m200mm</v>
      </c>
      <c r="C114" s="278" t="s">
        <v>744</v>
      </c>
      <c r="D114" s="278" t="s">
        <v>751</v>
      </c>
      <c r="E114" s="278" t="s">
        <v>668</v>
      </c>
      <c r="F114" s="278"/>
      <c r="G114" s="278" t="s">
        <v>15</v>
      </c>
      <c r="H114" s="309">
        <f t="shared" si="54"/>
        <v>1.236</v>
      </c>
      <c r="I114" s="280">
        <f t="shared" si="52"/>
        <v>80.797319999999999</v>
      </c>
      <c r="J114" s="281">
        <f t="shared" si="53"/>
        <v>99.918239999999997</v>
      </c>
      <c r="K114" s="282">
        <f>IF(Notes!$B$9="Domestic",I114, IF(Notes!$B$9="Commercial",J114))*$K$103</f>
        <v>109.91006400000001</v>
      </c>
      <c r="L114" s="283">
        <f>(SUM(O114:Q114)+(K114+SUM(M114:Q114))*(INDEX($U$103:$AB$103,MATCH(Notes!$C$16,$U$3:$AB$3,0))-100%))*$L$103</f>
        <v>32.268000000000001</v>
      </c>
      <c r="M114" s="283">
        <f>M110*1.2</f>
        <v>7.08</v>
      </c>
      <c r="N114" s="286"/>
      <c r="O114" s="311">
        <f>O110*1.2</f>
        <v>32.268000000000001</v>
      </c>
      <c r="P114" s="285"/>
      <c r="Q114" s="285"/>
      <c r="R114" s="278"/>
      <c r="S114" s="278"/>
      <c r="T114" s="278"/>
      <c r="U114" s="304"/>
    </row>
    <row r="115" spans="1:21" s="305" customFormat="1" ht="14.45" hidden="1" customHeight="1" outlineLevel="1" x14ac:dyDescent="0.25">
      <c r="A115" s="278"/>
      <c r="B115" s="279" t="str">
        <f t="shared" si="51"/>
        <v>class 3over 8.0m200mm</v>
      </c>
      <c r="C115" s="278" t="s">
        <v>744</v>
      </c>
      <c r="D115" s="278" t="s">
        <v>752</v>
      </c>
      <c r="E115" s="278" t="s">
        <v>668</v>
      </c>
      <c r="F115" s="278"/>
      <c r="G115" s="278" t="s">
        <v>15</v>
      </c>
      <c r="H115" s="309">
        <f t="shared" si="54"/>
        <v>1.2875000000000001</v>
      </c>
      <c r="I115" s="280">
        <f t="shared" si="52"/>
        <v>84.163875000000019</v>
      </c>
      <c r="J115" s="281">
        <f t="shared" si="53"/>
        <v>104.08150000000001</v>
      </c>
      <c r="K115" s="282">
        <f>IF(Notes!$B$9="Domestic",I115, IF(Notes!$B$9="Commercial",J115))*$K$103</f>
        <v>114.48965000000001</v>
      </c>
      <c r="L115" s="283">
        <f>(SUM(O115:Q115)+(K115+SUM(M115:Q115))*(INDEX($U$103:$AB$103,MATCH(Notes!$C$16,$U$3:$AB$3,0))-100%))*$L$103</f>
        <v>33.612499999999997</v>
      </c>
      <c r="M115" s="283">
        <f>M110*1.25</f>
        <v>7.375</v>
      </c>
      <c r="N115" s="286"/>
      <c r="O115" s="311">
        <f>O110*1.25</f>
        <v>33.612499999999997</v>
      </c>
      <c r="P115" s="285"/>
      <c r="Q115" s="285"/>
      <c r="R115" s="278"/>
      <c r="S115" s="278"/>
      <c r="T115" s="278"/>
      <c r="U115" s="304"/>
    </row>
    <row r="116" spans="1:21" s="305" customFormat="1" ht="14.45" hidden="1" customHeight="1" outlineLevel="1" x14ac:dyDescent="0.25">
      <c r="A116" s="278"/>
      <c r="B116" s="279" t="str">
        <f t="shared" si="51"/>
        <v>class 20-3.6m300mm</v>
      </c>
      <c r="C116" s="278" t="s">
        <v>745</v>
      </c>
      <c r="D116" s="278" t="s">
        <v>761</v>
      </c>
      <c r="E116" s="278" t="s">
        <v>767</v>
      </c>
      <c r="F116" s="278"/>
      <c r="G116" s="278" t="s">
        <v>15</v>
      </c>
      <c r="H116" s="310">
        <v>1.1499999999999999</v>
      </c>
      <c r="I116" s="280">
        <f t="shared" si="52"/>
        <v>75.1755</v>
      </c>
      <c r="J116" s="281">
        <f t="shared" si="53"/>
        <v>92.965999999999994</v>
      </c>
      <c r="K116" s="282">
        <f>IF(Notes!$B$9="Domestic",I116, IF(Notes!$B$9="Commercial",J116))*$K$103</f>
        <v>102.26260000000001</v>
      </c>
      <c r="L116" s="283">
        <f>(SUM(O116:Q116)+(K116+SUM(M116:Q116))*(INDEX($U$103:$AB$103,MATCH(Notes!$C$16,$U$3:$AB$3,0))-100%))*$L$103</f>
        <v>46.835999999999999</v>
      </c>
      <c r="M116" s="283">
        <f>M122</f>
        <v>5.9</v>
      </c>
      <c r="N116" s="286"/>
      <c r="O116" s="311">
        <f>O122*1.2</f>
        <v>46.835999999999999</v>
      </c>
      <c r="P116" s="285"/>
      <c r="Q116" s="285"/>
      <c r="R116" s="278"/>
      <c r="S116" s="278"/>
      <c r="T116" s="278"/>
      <c r="U116" s="304"/>
    </row>
    <row r="117" spans="1:21" s="305" customFormat="1" ht="14.45" hidden="1" customHeight="1" outlineLevel="1" x14ac:dyDescent="0.25">
      <c r="A117" s="278"/>
      <c r="B117" s="279" t="str">
        <f t="shared" si="51"/>
        <v>class 23.6-4.8m300mm</v>
      </c>
      <c r="C117" s="278" t="s">
        <v>745</v>
      </c>
      <c r="D117" s="278" t="s">
        <v>762</v>
      </c>
      <c r="E117" s="278" t="s">
        <v>767</v>
      </c>
      <c r="F117" s="278"/>
      <c r="G117" s="278" t="s">
        <v>15</v>
      </c>
      <c r="H117" s="309">
        <f>H116*1.05</f>
        <v>1.2075</v>
      </c>
      <c r="I117" s="280">
        <f t="shared" si="52"/>
        <v>78.934275000000014</v>
      </c>
      <c r="J117" s="281">
        <f t="shared" si="53"/>
        <v>97.6143</v>
      </c>
      <c r="K117" s="282">
        <f>IF(Notes!$B$9="Domestic",I117, IF(Notes!$B$9="Commercial",J117))*$K$103</f>
        <v>107.37573</v>
      </c>
      <c r="L117" s="283">
        <f>(SUM(O117:Q117)+(K117+SUM(M117:Q117))*(INDEX($U$103:$AB$103,MATCH(Notes!$C$16,$U$3:$AB$3,0))-100%))*$L$103</f>
        <v>49.177799999999998</v>
      </c>
      <c r="M117" s="283">
        <f>M116*1.05</f>
        <v>6.1950000000000003</v>
      </c>
      <c r="N117" s="286"/>
      <c r="O117" s="311">
        <f>O116*1.05</f>
        <v>49.177799999999998</v>
      </c>
      <c r="P117" s="285"/>
      <c r="Q117" s="285"/>
      <c r="R117" s="278"/>
      <c r="S117" s="278"/>
      <c r="T117" s="278"/>
      <c r="U117" s="304"/>
    </row>
    <row r="118" spans="1:21" s="305" customFormat="1" ht="14.45" hidden="1" customHeight="1" outlineLevel="1" x14ac:dyDescent="0.25">
      <c r="A118" s="278"/>
      <c r="B118" s="279" t="str">
        <f t="shared" si="51"/>
        <v>class 24.8-6.0m300mm</v>
      </c>
      <c r="C118" s="278" t="s">
        <v>745</v>
      </c>
      <c r="D118" s="278" t="s">
        <v>763</v>
      </c>
      <c r="E118" s="278" t="s">
        <v>767</v>
      </c>
      <c r="F118" s="278"/>
      <c r="G118" s="278" t="s">
        <v>15</v>
      </c>
      <c r="H118" s="309">
        <f>H116*1.1</f>
        <v>1.2649999999999999</v>
      </c>
      <c r="I118" s="280">
        <f t="shared" si="52"/>
        <v>82.693049999999999</v>
      </c>
      <c r="J118" s="281">
        <f t="shared" si="53"/>
        <v>102.26259999999999</v>
      </c>
      <c r="K118" s="282">
        <f>IF(Notes!$B$9="Domestic",I118, IF(Notes!$B$9="Commercial",J118))*$K$103</f>
        <v>112.48886</v>
      </c>
      <c r="L118" s="283">
        <f>(SUM(O118:Q118)+(K118+SUM(M118:Q118))*(INDEX($U$103:$AB$103,MATCH(Notes!$C$16,$U$3:$AB$3,0))-100%))*$L$103</f>
        <v>51.519600000000004</v>
      </c>
      <c r="M118" s="283">
        <f>M116*1.1</f>
        <v>6.4900000000000011</v>
      </c>
      <c r="N118" s="286"/>
      <c r="O118" s="311">
        <f>O116*1.1</f>
        <v>51.519600000000004</v>
      </c>
      <c r="P118" s="285"/>
      <c r="Q118" s="285"/>
      <c r="R118" s="278"/>
      <c r="S118" s="278"/>
      <c r="T118" s="278"/>
      <c r="U118" s="304"/>
    </row>
    <row r="119" spans="1:21" s="305" customFormat="1" ht="14.45" hidden="1" customHeight="1" outlineLevel="1" x14ac:dyDescent="0.25">
      <c r="A119" s="278"/>
      <c r="B119" s="279" t="str">
        <f t="shared" si="51"/>
        <v>class 26.0-7.0m300mm</v>
      </c>
      <c r="C119" s="278" t="s">
        <v>745</v>
      </c>
      <c r="D119" s="278" t="s">
        <v>764</v>
      </c>
      <c r="E119" s="278" t="s">
        <v>767</v>
      </c>
      <c r="F119" s="278"/>
      <c r="G119" s="278" t="s">
        <v>15</v>
      </c>
      <c r="H119" s="309">
        <f>H116*1.15</f>
        <v>1.3224999999999998</v>
      </c>
      <c r="I119" s="280">
        <f t="shared" si="52"/>
        <v>86.451824999999985</v>
      </c>
      <c r="J119" s="281">
        <f t="shared" si="53"/>
        <v>106.91089999999998</v>
      </c>
      <c r="K119" s="282">
        <f>IF(Notes!$B$9="Domestic",I119, IF(Notes!$B$9="Commercial",J119))*$K$103</f>
        <v>117.60198999999999</v>
      </c>
      <c r="L119" s="283">
        <f>(SUM(O119:Q119)+(K119+SUM(M119:Q119))*(INDEX($U$103:$AB$103,MATCH(Notes!$C$16,$U$3:$AB$3,0))-100%))*$L$103</f>
        <v>53.861399999999996</v>
      </c>
      <c r="M119" s="283">
        <f>M116*1.15</f>
        <v>6.7850000000000001</v>
      </c>
      <c r="N119" s="286"/>
      <c r="O119" s="311">
        <f>O116*1.15</f>
        <v>53.861399999999996</v>
      </c>
      <c r="P119" s="285"/>
      <c r="Q119" s="285"/>
      <c r="R119" s="278"/>
      <c r="S119" s="278"/>
      <c r="T119" s="278"/>
      <c r="U119" s="304"/>
    </row>
    <row r="120" spans="1:21" s="305" customFormat="1" ht="14.45" hidden="1" customHeight="1" outlineLevel="1" x14ac:dyDescent="0.25">
      <c r="A120" s="278"/>
      <c r="B120" s="279" t="str">
        <f t="shared" si="51"/>
        <v>class 27.0-8.0m300mm</v>
      </c>
      <c r="C120" s="278" t="s">
        <v>745</v>
      </c>
      <c r="D120" s="278" t="s">
        <v>751</v>
      </c>
      <c r="E120" s="278" t="s">
        <v>767</v>
      </c>
      <c r="F120" s="278"/>
      <c r="G120" s="278" t="s">
        <v>15</v>
      </c>
      <c r="H120" s="309">
        <f>H116*1.2</f>
        <v>1.38</v>
      </c>
      <c r="I120" s="280">
        <f t="shared" si="52"/>
        <v>90.210599999999999</v>
      </c>
      <c r="J120" s="281">
        <f t="shared" si="53"/>
        <v>111.55919999999999</v>
      </c>
      <c r="K120" s="282">
        <f>IF(Notes!$B$9="Domestic",I120, IF(Notes!$B$9="Commercial",J120))*$K$103</f>
        <v>122.71512</v>
      </c>
      <c r="L120" s="283">
        <f>(SUM(O120:Q120)+(K120+SUM(M120:Q120))*(INDEX($U$103:$AB$103,MATCH(Notes!$C$16,$U$3:$AB$3,0))-100%))*$L$103</f>
        <v>56.203199999999995</v>
      </c>
      <c r="M120" s="283">
        <f>M116*1.2</f>
        <v>7.08</v>
      </c>
      <c r="N120" s="286"/>
      <c r="O120" s="311">
        <f>O116*1.2</f>
        <v>56.203199999999995</v>
      </c>
      <c r="P120" s="285"/>
      <c r="Q120" s="285"/>
      <c r="R120" s="278"/>
      <c r="S120" s="278"/>
      <c r="T120" s="278"/>
      <c r="U120" s="304"/>
    </row>
    <row r="121" spans="1:21" s="305" customFormat="1" ht="14.45" hidden="1" customHeight="1" outlineLevel="1" x14ac:dyDescent="0.25">
      <c r="A121" s="278"/>
      <c r="B121" s="279" t="str">
        <f t="shared" si="51"/>
        <v>class 2over 8.0m300mm</v>
      </c>
      <c r="C121" s="278" t="s">
        <v>745</v>
      </c>
      <c r="D121" s="278" t="s">
        <v>752</v>
      </c>
      <c r="E121" s="278" t="s">
        <v>767</v>
      </c>
      <c r="F121" s="278"/>
      <c r="G121" s="278" t="s">
        <v>15</v>
      </c>
      <c r="H121" s="309">
        <f>H116*1.25</f>
        <v>1.4375</v>
      </c>
      <c r="I121" s="280">
        <f t="shared" si="52"/>
        <v>93.969375000000014</v>
      </c>
      <c r="J121" s="281">
        <f t="shared" si="53"/>
        <v>116.20750000000001</v>
      </c>
      <c r="K121" s="282">
        <f>IF(Notes!$B$9="Domestic",I121, IF(Notes!$B$9="Commercial",J121))*$K$103</f>
        <v>127.82825000000003</v>
      </c>
      <c r="L121" s="283">
        <f>(SUM(O121:Q121)+(K121+SUM(M121:Q121))*(INDEX($U$103:$AB$103,MATCH(Notes!$C$16,$U$3:$AB$3,0))-100%))*$L$103</f>
        <v>58.545000000000002</v>
      </c>
      <c r="M121" s="283">
        <f>M116*1.25</f>
        <v>7.375</v>
      </c>
      <c r="N121" s="286"/>
      <c r="O121" s="311">
        <f>O116*1.25</f>
        <v>58.545000000000002</v>
      </c>
      <c r="P121" s="285"/>
      <c r="Q121" s="285"/>
      <c r="R121" s="278"/>
      <c r="S121" s="278"/>
      <c r="T121" s="278"/>
      <c r="U121" s="304"/>
    </row>
    <row r="122" spans="1:21" s="305" customFormat="1" ht="14.45" hidden="1" customHeight="1" outlineLevel="1" x14ac:dyDescent="0.25">
      <c r="A122" s="278"/>
      <c r="B122" s="279" t="str">
        <f t="shared" si="51"/>
        <v>class 30-3.6m300mm</v>
      </c>
      <c r="C122" s="278" t="s">
        <v>744</v>
      </c>
      <c r="D122" s="278" t="s">
        <v>761</v>
      </c>
      <c r="E122" s="278" t="s">
        <v>767</v>
      </c>
      <c r="F122" s="278"/>
      <c r="G122" s="278" t="s">
        <v>15</v>
      </c>
      <c r="H122" s="309">
        <f>H116</f>
        <v>1.1499999999999999</v>
      </c>
      <c r="I122" s="280">
        <f t="shared" si="52"/>
        <v>75.1755</v>
      </c>
      <c r="J122" s="281">
        <f t="shared" si="53"/>
        <v>92.965999999999994</v>
      </c>
      <c r="K122" s="282">
        <f>IF(Notes!$B$9="Domestic",I122, IF(Notes!$B$9="Commercial",J122))*$K$103</f>
        <v>102.26260000000001</v>
      </c>
      <c r="L122" s="283">
        <f>(SUM(O122:Q122)+(K122+SUM(M122:Q122))*(INDEX($U$103:$AB$103,MATCH(Notes!$C$16,$U$3:$AB$3,0))-100%))*$L$103</f>
        <v>39.03</v>
      </c>
      <c r="M122" s="312">
        <v>5.9</v>
      </c>
      <c r="N122" s="286"/>
      <c r="O122" s="285">
        <v>39.03</v>
      </c>
      <c r="P122" s="285"/>
      <c r="Q122" s="285"/>
      <c r="R122" s="278"/>
      <c r="S122" s="278"/>
      <c r="T122" s="278"/>
      <c r="U122" s="304"/>
    </row>
    <row r="123" spans="1:21" s="305" customFormat="1" ht="14.45" hidden="1" customHeight="1" outlineLevel="1" x14ac:dyDescent="0.25">
      <c r="A123" s="278"/>
      <c r="B123" s="279" t="str">
        <f t="shared" si="51"/>
        <v>class 33.6-4.8m300mm</v>
      </c>
      <c r="C123" s="278" t="s">
        <v>744</v>
      </c>
      <c r="D123" s="278" t="s">
        <v>762</v>
      </c>
      <c r="E123" s="278" t="s">
        <v>767</v>
      </c>
      <c r="F123" s="278"/>
      <c r="G123" s="278" t="s">
        <v>15</v>
      </c>
      <c r="H123" s="309">
        <f t="shared" ref="H123:H127" si="55">H117</f>
        <v>1.2075</v>
      </c>
      <c r="I123" s="280">
        <f t="shared" si="52"/>
        <v>78.934275000000014</v>
      </c>
      <c r="J123" s="281">
        <f t="shared" si="53"/>
        <v>97.6143</v>
      </c>
      <c r="K123" s="282">
        <f>IF(Notes!$B$9="Domestic",I123, IF(Notes!$B$9="Commercial",J123))*$K$103</f>
        <v>107.37573</v>
      </c>
      <c r="L123" s="283">
        <f>(SUM(O123:Q123)+(K123+SUM(M123:Q123))*(INDEX($U$103:$AB$103,MATCH(Notes!$C$16,$U$3:$AB$3,0))-100%))*$L$103</f>
        <v>40.981500000000004</v>
      </c>
      <c r="M123" s="283">
        <f>M122*1.05</f>
        <v>6.1950000000000003</v>
      </c>
      <c r="N123" s="286"/>
      <c r="O123" s="311">
        <f>O122*1.05</f>
        <v>40.981500000000004</v>
      </c>
      <c r="P123" s="285"/>
      <c r="Q123" s="285"/>
      <c r="R123" s="278"/>
      <c r="S123" s="278"/>
      <c r="T123" s="278"/>
      <c r="U123" s="304"/>
    </row>
    <row r="124" spans="1:21" s="305" customFormat="1" ht="14.45" hidden="1" customHeight="1" outlineLevel="1" x14ac:dyDescent="0.25">
      <c r="A124" s="278"/>
      <c r="B124" s="279" t="str">
        <f t="shared" si="51"/>
        <v>class 34.8-6.0m300mm</v>
      </c>
      <c r="C124" s="278" t="s">
        <v>744</v>
      </c>
      <c r="D124" s="278" t="s">
        <v>763</v>
      </c>
      <c r="E124" s="278" t="s">
        <v>767</v>
      </c>
      <c r="F124" s="278"/>
      <c r="G124" s="278" t="s">
        <v>15</v>
      </c>
      <c r="H124" s="309">
        <f t="shared" si="55"/>
        <v>1.2649999999999999</v>
      </c>
      <c r="I124" s="280">
        <f t="shared" si="52"/>
        <v>82.693049999999999</v>
      </c>
      <c r="J124" s="281">
        <f t="shared" si="53"/>
        <v>102.26259999999999</v>
      </c>
      <c r="K124" s="282">
        <f>IF(Notes!$B$9="Domestic",I124, IF(Notes!$B$9="Commercial",J124))*$K$103</f>
        <v>112.48886</v>
      </c>
      <c r="L124" s="283">
        <f>(SUM(O124:Q124)+(K124+SUM(M124:Q124))*(INDEX($U$103:$AB$103,MATCH(Notes!$C$16,$U$3:$AB$3,0))-100%))*$L$103</f>
        <v>42.933000000000007</v>
      </c>
      <c r="M124" s="283">
        <f>M122*1.1</f>
        <v>6.4900000000000011</v>
      </c>
      <c r="N124" s="286"/>
      <c r="O124" s="311">
        <f>O122*1.1</f>
        <v>42.933000000000007</v>
      </c>
      <c r="P124" s="285"/>
      <c r="Q124" s="285"/>
      <c r="R124" s="278"/>
      <c r="S124" s="278"/>
      <c r="T124" s="278"/>
      <c r="U124" s="304"/>
    </row>
    <row r="125" spans="1:21" s="305" customFormat="1" ht="14.45" hidden="1" customHeight="1" outlineLevel="1" x14ac:dyDescent="0.25">
      <c r="A125" s="278"/>
      <c r="B125" s="279" t="str">
        <f t="shared" si="51"/>
        <v>class 36.0-7.0m300mm</v>
      </c>
      <c r="C125" s="278" t="s">
        <v>744</v>
      </c>
      <c r="D125" s="278" t="s">
        <v>764</v>
      </c>
      <c r="E125" s="278" t="s">
        <v>767</v>
      </c>
      <c r="F125" s="278"/>
      <c r="G125" s="278" t="s">
        <v>15</v>
      </c>
      <c r="H125" s="309">
        <f t="shared" si="55"/>
        <v>1.3224999999999998</v>
      </c>
      <c r="I125" s="280">
        <f t="shared" si="52"/>
        <v>86.451824999999985</v>
      </c>
      <c r="J125" s="281">
        <f t="shared" si="53"/>
        <v>106.91089999999998</v>
      </c>
      <c r="K125" s="282">
        <f>IF(Notes!$B$9="Domestic",I125, IF(Notes!$B$9="Commercial",J125))*$K$103</f>
        <v>117.60198999999999</v>
      </c>
      <c r="L125" s="283">
        <f>(SUM(O125:Q125)+(K125+SUM(M125:Q125))*(INDEX($U$103:$AB$103,MATCH(Notes!$C$16,$U$3:$AB$3,0))-100%))*$L$103</f>
        <v>44.884499999999996</v>
      </c>
      <c r="M125" s="283">
        <f>M122*1.15</f>
        <v>6.7850000000000001</v>
      </c>
      <c r="N125" s="286"/>
      <c r="O125" s="311">
        <f>O122*1.15</f>
        <v>44.884499999999996</v>
      </c>
      <c r="P125" s="285"/>
      <c r="Q125" s="285"/>
      <c r="R125" s="278"/>
      <c r="S125" s="278"/>
      <c r="T125" s="278"/>
      <c r="U125" s="304"/>
    </row>
    <row r="126" spans="1:21" s="305" customFormat="1" ht="14.45" hidden="1" customHeight="1" outlineLevel="1" x14ac:dyDescent="0.25">
      <c r="A126" s="278"/>
      <c r="B126" s="279" t="str">
        <f t="shared" si="51"/>
        <v>class 37.0-8.0m300mm</v>
      </c>
      <c r="C126" s="278" t="s">
        <v>744</v>
      </c>
      <c r="D126" s="278" t="s">
        <v>751</v>
      </c>
      <c r="E126" s="278" t="s">
        <v>767</v>
      </c>
      <c r="F126" s="278"/>
      <c r="G126" s="278" t="s">
        <v>15</v>
      </c>
      <c r="H126" s="309">
        <f t="shared" si="55"/>
        <v>1.38</v>
      </c>
      <c r="I126" s="280">
        <f t="shared" si="52"/>
        <v>90.210599999999999</v>
      </c>
      <c r="J126" s="281">
        <f t="shared" si="53"/>
        <v>111.55919999999999</v>
      </c>
      <c r="K126" s="282">
        <f>IF(Notes!$B$9="Domestic",I126, IF(Notes!$B$9="Commercial",J126))*$K$103</f>
        <v>122.71512</v>
      </c>
      <c r="L126" s="283">
        <f>(SUM(O126:Q126)+(K126+SUM(M126:Q126))*(INDEX($U$103:$AB$103,MATCH(Notes!$C$16,$U$3:$AB$3,0))-100%))*$L$103</f>
        <v>46.835999999999999</v>
      </c>
      <c r="M126" s="283">
        <f>M122*1.2</f>
        <v>7.08</v>
      </c>
      <c r="N126" s="286"/>
      <c r="O126" s="311">
        <f>O122*1.2</f>
        <v>46.835999999999999</v>
      </c>
      <c r="P126" s="285"/>
      <c r="Q126" s="285"/>
      <c r="R126" s="278"/>
      <c r="S126" s="278"/>
      <c r="T126" s="278"/>
      <c r="U126" s="304"/>
    </row>
    <row r="127" spans="1:21" s="305" customFormat="1" ht="14.45" hidden="1" customHeight="1" outlineLevel="1" x14ac:dyDescent="0.25">
      <c r="A127" s="278"/>
      <c r="B127" s="279" t="str">
        <f t="shared" si="51"/>
        <v>class 3over 8.0m300mm</v>
      </c>
      <c r="C127" s="278" t="s">
        <v>744</v>
      </c>
      <c r="D127" s="278" t="s">
        <v>752</v>
      </c>
      <c r="E127" s="278" t="s">
        <v>767</v>
      </c>
      <c r="F127" s="278"/>
      <c r="G127" s="278" t="s">
        <v>15</v>
      </c>
      <c r="H127" s="309">
        <f t="shared" si="55"/>
        <v>1.4375</v>
      </c>
      <c r="I127" s="280">
        <f t="shared" si="52"/>
        <v>93.969375000000014</v>
      </c>
      <c r="J127" s="281">
        <f t="shared" si="53"/>
        <v>116.20750000000001</v>
      </c>
      <c r="K127" s="282">
        <f>IF(Notes!$B$9="Domestic",I127, IF(Notes!$B$9="Commercial",J127))*$K$103</f>
        <v>127.82825000000003</v>
      </c>
      <c r="L127" s="283">
        <f>(SUM(O127:Q127)+(K127+SUM(M127:Q127))*(INDEX($U$103:$AB$103,MATCH(Notes!$C$16,$U$3:$AB$3,0))-100%))*$L$103</f>
        <v>48.787500000000001</v>
      </c>
      <c r="M127" s="283">
        <f>M122*1.25</f>
        <v>7.375</v>
      </c>
      <c r="N127" s="286"/>
      <c r="O127" s="311">
        <f>O122*1.25</f>
        <v>48.787500000000001</v>
      </c>
      <c r="P127" s="285"/>
      <c r="Q127" s="285"/>
      <c r="R127" s="278"/>
      <c r="S127" s="278"/>
      <c r="T127" s="278"/>
      <c r="U127" s="304"/>
    </row>
    <row r="128" spans="1:21" s="305" customFormat="1" ht="14.45" hidden="1" customHeight="1" outlineLevel="1" x14ac:dyDescent="0.25">
      <c r="A128" s="278"/>
      <c r="B128" s="279" t="str">
        <f t="shared" si="51"/>
        <v>class 20-3.6m400mm</v>
      </c>
      <c r="C128" s="278" t="s">
        <v>745</v>
      </c>
      <c r="D128" s="278" t="s">
        <v>761</v>
      </c>
      <c r="E128" s="278" t="s">
        <v>768</v>
      </c>
      <c r="F128" s="278"/>
      <c r="G128" s="278" t="s">
        <v>15</v>
      </c>
      <c r="H128" s="310">
        <v>1.26</v>
      </c>
      <c r="I128" s="280">
        <f t="shared" si="52"/>
        <v>82.366200000000006</v>
      </c>
      <c r="J128" s="281">
        <f t="shared" si="53"/>
        <v>101.8584</v>
      </c>
      <c r="K128" s="282">
        <f>IF(Notes!$B$9="Domestic",I128, IF(Notes!$B$9="Commercial",J128))*$K$103</f>
        <v>112.04424000000002</v>
      </c>
      <c r="L128" s="283">
        <f>(SUM(O128:Q128)+(K128+SUM(M128:Q128))*(INDEX($U$103:$AB$103,MATCH(Notes!$C$16,$U$3:$AB$3,0))-100%))*$L$103</f>
        <v>59.447999999999993</v>
      </c>
      <c r="M128" s="283">
        <f>M134</f>
        <v>5.9</v>
      </c>
      <c r="N128" s="286"/>
      <c r="O128" s="311">
        <f>O134*1.2</f>
        <v>59.447999999999993</v>
      </c>
      <c r="P128" s="285"/>
      <c r="Q128" s="285"/>
      <c r="R128" s="278"/>
      <c r="S128" s="278"/>
      <c r="T128" s="278"/>
      <c r="U128" s="304"/>
    </row>
    <row r="129" spans="1:21" s="305" customFormat="1" ht="14.45" hidden="1" customHeight="1" outlineLevel="1" x14ac:dyDescent="0.25">
      <c r="A129" s="278"/>
      <c r="B129" s="279" t="str">
        <f t="shared" si="51"/>
        <v>class 23.6-4.8m400mm</v>
      </c>
      <c r="C129" s="278" t="s">
        <v>745</v>
      </c>
      <c r="D129" s="278" t="s">
        <v>762</v>
      </c>
      <c r="E129" s="278" t="s">
        <v>768</v>
      </c>
      <c r="F129" s="278"/>
      <c r="G129" s="278" t="s">
        <v>15</v>
      </c>
      <c r="H129" s="309">
        <f>H128*1.05</f>
        <v>1.3230000000000002</v>
      </c>
      <c r="I129" s="280">
        <f t="shared" si="52"/>
        <v>86.484510000000014</v>
      </c>
      <c r="J129" s="281">
        <f t="shared" si="53"/>
        <v>106.95132000000002</v>
      </c>
      <c r="K129" s="282">
        <f>IF(Notes!$B$9="Domestic",I129, IF(Notes!$B$9="Commercial",J129))*$K$103</f>
        <v>117.64645200000004</v>
      </c>
      <c r="L129" s="283">
        <f>(SUM(O129:Q129)+(K129+SUM(M129:Q129))*(INDEX($U$103:$AB$103,MATCH(Notes!$C$16,$U$3:$AB$3,0))-100%))*$L$103</f>
        <v>62.420399999999994</v>
      </c>
      <c r="M129" s="283">
        <f>M128*1.05</f>
        <v>6.1950000000000003</v>
      </c>
      <c r="N129" s="286"/>
      <c r="O129" s="311">
        <f>O128*1.05</f>
        <v>62.420399999999994</v>
      </c>
      <c r="P129" s="285"/>
      <c r="Q129" s="285"/>
      <c r="R129" s="278"/>
      <c r="S129" s="278"/>
      <c r="T129" s="278"/>
      <c r="U129" s="304"/>
    </row>
    <row r="130" spans="1:21" s="305" customFormat="1" ht="14.45" hidden="1" customHeight="1" outlineLevel="1" x14ac:dyDescent="0.25">
      <c r="A130" s="278"/>
      <c r="B130" s="279" t="str">
        <f t="shared" si="51"/>
        <v>class 24.8-6.0m400mm</v>
      </c>
      <c r="C130" s="278" t="s">
        <v>745</v>
      </c>
      <c r="D130" s="278" t="s">
        <v>763</v>
      </c>
      <c r="E130" s="278" t="s">
        <v>768</v>
      </c>
      <c r="F130" s="278"/>
      <c r="G130" s="278" t="s">
        <v>15</v>
      </c>
      <c r="H130" s="309">
        <f>H128*1.1</f>
        <v>1.3860000000000001</v>
      </c>
      <c r="I130" s="280">
        <f t="shared" si="52"/>
        <v>90.602820000000008</v>
      </c>
      <c r="J130" s="281">
        <f t="shared" si="53"/>
        <v>112.04424000000002</v>
      </c>
      <c r="K130" s="282">
        <f>IF(Notes!$B$9="Domestic",I130, IF(Notes!$B$9="Commercial",J130))*$K$103</f>
        <v>123.24866400000003</v>
      </c>
      <c r="L130" s="283">
        <f>(SUM(O130:Q130)+(K130+SUM(M130:Q130))*(INDEX($U$103:$AB$103,MATCH(Notes!$C$16,$U$3:$AB$3,0))-100%))*$L$103</f>
        <v>65.392799999999994</v>
      </c>
      <c r="M130" s="283">
        <f>M128*1.1</f>
        <v>6.4900000000000011</v>
      </c>
      <c r="N130" s="286"/>
      <c r="O130" s="311">
        <f>O128*1.1</f>
        <v>65.392799999999994</v>
      </c>
      <c r="P130" s="285"/>
      <c r="Q130" s="285"/>
      <c r="R130" s="278"/>
      <c r="S130" s="278"/>
      <c r="T130" s="278"/>
      <c r="U130" s="304"/>
    </row>
    <row r="131" spans="1:21" s="305" customFormat="1" ht="14.45" hidden="1" customHeight="1" outlineLevel="1" x14ac:dyDescent="0.25">
      <c r="A131" s="278"/>
      <c r="B131" s="279" t="str">
        <f t="shared" si="51"/>
        <v>class 26.0-7.0m400mm</v>
      </c>
      <c r="C131" s="278" t="s">
        <v>745</v>
      </c>
      <c r="D131" s="278" t="s">
        <v>764</v>
      </c>
      <c r="E131" s="278" t="s">
        <v>768</v>
      </c>
      <c r="F131" s="278"/>
      <c r="G131" s="278" t="s">
        <v>15</v>
      </c>
      <c r="H131" s="309">
        <f>H128*1.15</f>
        <v>1.4489999999999998</v>
      </c>
      <c r="I131" s="280">
        <f t="shared" si="52"/>
        <v>94.721130000000002</v>
      </c>
      <c r="J131" s="281">
        <f t="shared" si="53"/>
        <v>117.13715999999999</v>
      </c>
      <c r="K131" s="282">
        <f>IF(Notes!$B$9="Domestic",I131, IF(Notes!$B$9="Commercial",J131))*$K$103</f>
        <v>128.850876</v>
      </c>
      <c r="L131" s="283">
        <f>(SUM(O131:Q131)+(K131+SUM(M131:Q131))*(INDEX($U$103:$AB$103,MATCH(Notes!$C$16,$U$3:$AB$3,0))-100%))*$L$103</f>
        <v>68.365199999999987</v>
      </c>
      <c r="M131" s="283">
        <f>M128*1.15</f>
        <v>6.7850000000000001</v>
      </c>
      <c r="N131" s="286"/>
      <c r="O131" s="311">
        <f>O128*1.15</f>
        <v>68.365199999999987</v>
      </c>
      <c r="P131" s="285"/>
      <c r="Q131" s="285"/>
      <c r="R131" s="278"/>
      <c r="S131" s="278"/>
      <c r="T131" s="278"/>
      <c r="U131" s="304"/>
    </row>
    <row r="132" spans="1:21" s="305" customFormat="1" ht="14.45" hidden="1" customHeight="1" outlineLevel="1" x14ac:dyDescent="0.25">
      <c r="A132" s="278"/>
      <c r="B132" s="279" t="str">
        <f t="shared" si="51"/>
        <v>class 27.0-8.0m400mm</v>
      </c>
      <c r="C132" s="278" t="s">
        <v>745</v>
      </c>
      <c r="D132" s="278" t="s">
        <v>751</v>
      </c>
      <c r="E132" s="278" t="s">
        <v>768</v>
      </c>
      <c r="F132" s="278"/>
      <c r="G132" s="278" t="s">
        <v>15</v>
      </c>
      <c r="H132" s="309">
        <f>H128*1.2</f>
        <v>1.512</v>
      </c>
      <c r="I132" s="280">
        <f t="shared" si="52"/>
        <v>98.83944000000001</v>
      </c>
      <c r="J132" s="281">
        <f t="shared" si="53"/>
        <v>122.23008</v>
      </c>
      <c r="K132" s="282">
        <f>IF(Notes!$B$9="Domestic",I132, IF(Notes!$B$9="Commercial",J132))*$K$103</f>
        <v>134.45308800000001</v>
      </c>
      <c r="L132" s="283">
        <f>(SUM(O132:Q132)+(K132+SUM(M132:Q132))*(INDEX($U$103:$AB$103,MATCH(Notes!$C$16,$U$3:$AB$3,0))-100%))*$L$103</f>
        <v>71.337599999999995</v>
      </c>
      <c r="M132" s="283">
        <f>M128*1.2</f>
        <v>7.08</v>
      </c>
      <c r="N132" s="286"/>
      <c r="O132" s="311">
        <f>O128*1.2</f>
        <v>71.337599999999995</v>
      </c>
      <c r="P132" s="285"/>
      <c r="Q132" s="285"/>
      <c r="R132" s="278"/>
      <c r="S132" s="278"/>
      <c r="T132" s="278"/>
      <c r="U132" s="304"/>
    </row>
    <row r="133" spans="1:21" s="305" customFormat="1" ht="14.45" hidden="1" customHeight="1" outlineLevel="1" x14ac:dyDescent="0.25">
      <c r="A133" s="278"/>
      <c r="B133" s="279" t="str">
        <f t="shared" si="51"/>
        <v>class 2over 8.0m400mm</v>
      </c>
      <c r="C133" s="278" t="s">
        <v>745</v>
      </c>
      <c r="D133" s="278" t="s">
        <v>752</v>
      </c>
      <c r="E133" s="278" t="s">
        <v>768</v>
      </c>
      <c r="F133" s="278"/>
      <c r="G133" s="278" t="s">
        <v>15</v>
      </c>
      <c r="H133" s="309">
        <f>H128*1.25</f>
        <v>1.575</v>
      </c>
      <c r="I133" s="280">
        <f t="shared" si="52"/>
        <v>102.95775</v>
      </c>
      <c r="J133" s="281">
        <f t="shared" si="53"/>
        <v>127.32300000000001</v>
      </c>
      <c r="K133" s="282">
        <f>IF(Notes!$B$9="Domestic",I133, IF(Notes!$B$9="Commercial",J133))*$K$103</f>
        <v>140.05530000000002</v>
      </c>
      <c r="L133" s="283">
        <f>(SUM(O133:Q133)+(K133+SUM(M133:Q133))*(INDEX($U$103:$AB$103,MATCH(Notes!$C$16,$U$3:$AB$3,0))-100%))*$L$103</f>
        <v>74.309999999999988</v>
      </c>
      <c r="M133" s="283">
        <f>M128*1.25</f>
        <v>7.375</v>
      </c>
      <c r="N133" s="286"/>
      <c r="O133" s="311">
        <f>O128*1.25</f>
        <v>74.309999999999988</v>
      </c>
      <c r="P133" s="285"/>
      <c r="Q133" s="285"/>
      <c r="R133" s="278"/>
      <c r="S133" s="278"/>
      <c r="T133" s="278"/>
      <c r="U133" s="304"/>
    </row>
    <row r="134" spans="1:21" s="305" customFormat="1" ht="14.45" hidden="1" customHeight="1" outlineLevel="1" x14ac:dyDescent="0.25">
      <c r="A134" s="278"/>
      <c r="B134" s="279" t="str">
        <f t="shared" si="51"/>
        <v>class 30-3.6m400mm</v>
      </c>
      <c r="C134" s="278" t="s">
        <v>744</v>
      </c>
      <c r="D134" s="278" t="s">
        <v>761</v>
      </c>
      <c r="E134" s="278" t="s">
        <v>768</v>
      </c>
      <c r="F134" s="278"/>
      <c r="G134" s="278" t="s">
        <v>15</v>
      </c>
      <c r="H134" s="309">
        <f>H128</f>
        <v>1.26</v>
      </c>
      <c r="I134" s="280">
        <f t="shared" si="52"/>
        <v>82.366200000000006</v>
      </c>
      <c r="J134" s="281">
        <f t="shared" si="53"/>
        <v>101.8584</v>
      </c>
      <c r="K134" s="282">
        <f>IF(Notes!$B$9="Domestic",I134, IF(Notes!$B$9="Commercial",J134))*$K$103</f>
        <v>112.04424000000002</v>
      </c>
      <c r="L134" s="283">
        <f>(SUM(O134:Q134)+(K134+SUM(M134:Q134))*(INDEX($U$103:$AB$103,MATCH(Notes!$C$16,$U$3:$AB$3,0))-100%))*$L$103</f>
        <v>49.54</v>
      </c>
      <c r="M134" s="312">
        <v>5.9</v>
      </c>
      <c r="N134" s="286"/>
      <c r="O134" s="285">
        <v>49.54</v>
      </c>
      <c r="P134" s="285"/>
      <c r="Q134" s="285"/>
      <c r="R134" s="278"/>
      <c r="S134" s="278"/>
      <c r="T134" s="278"/>
      <c r="U134" s="304"/>
    </row>
    <row r="135" spans="1:21" s="305" customFormat="1" ht="14.45" hidden="1" customHeight="1" outlineLevel="1" x14ac:dyDescent="0.25">
      <c r="A135" s="278"/>
      <c r="B135" s="279" t="str">
        <f t="shared" si="51"/>
        <v>class 33.6-4.8m400mm</v>
      </c>
      <c r="C135" s="278" t="s">
        <v>744</v>
      </c>
      <c r="D135" s="278" t="s">
        <v>762</v>
      </c>
      <c r="E135" s="278" t="s">
        <v>768</v>
      </c>
      <c r="F135" s="278"/>
      <c r="G135" s="278" t="s">
        <v>15</v>
      </c>
      <c r="H135" s="309">
        <f t="shared" ref="H135:H139" si="56">H129</f>
        <v>1.3230000000000002</v>
      </c>
      <c r="I135" s="280">
        <f t="shared" si="52"/>
        <v>86.484510000000014</v>
      </c>
      <c r="J135" s="281">
        <f t="shared" si="53"/>
        <v>106.95132000000002</v>
      </c>
      <c r="K135" s="282">
        <f>IF(Notes!$B$9="Domestic",I135, IF(Notes!$B$9="Commercial",J135))*$K$103</f>
        <v>117.64645200000004</v>
      </c>
      <c r="L135" s="283">
        <f>(SUM(O135:Q135)+(K135+SUM(M135:Q135))*(INDEX($U$103:$AB$103,MATCH(Notes!$C$16,$U$3:$AB$3,0))-100%))*$L$103</f>
        <v>52.017000000000003</v>
      </c>
      <c r="M135" s="283">
        <f>M134*1.05</f>
        <v>6.1950000000000003</v>
      </c>
      <c r="N135" s="286"/>
      <c r="O135" s="311">
        <f>O134*1.05</f>
        <v>52.017000000000003</v>
      </c>
      <c r="P135" s="285"/>
      <c r="Q135" s="285"/>
      <c r="R135" s="278"/>
      <c r="S135" s="278"/>
      <c r="T135" s="278"/>
      <c r="U135" s="304"/>
    </row>
    <row r="136" spans="1:21" s="305" customFormat="1" ht="14.45" hidden="1" customHeight="1" outlineLevel="1" x14ac:dyDescent="0.25">
      <c r="A136" s="278"/>
      <c r="B136" s="279" t="str">
        <f t="shared" si="51"/>
        <v>class 34.8-6.0m400mm</v>
      </c>
      <c r="C136" s="278" t="s">
        <v>744</v>
      </c>
      <c r="D136" s="278" t="s">
        <v>763</v>
      </c>
      <c r="E136" s="278" t="s">
        <v>768</v>
      </c>
      <c r="F136" s="278"/>
      <c r="G136" s="278" t="s">
        <v>15</v>
      </c>
      <c r="H136" s="309">
        <f t="shared" si="56"/>
        <v>1.3860000000000001</v>
      </c>
      <c r="I136" s="280">
        <f t="shared" si="52"/>
        <v>90.602820000000008</v>
      </c>
      <c r="J136" s="281">
        <f t="shared" si="53"/>
        <v>112.04424000000002</v>
      </c>
      <c r="K136" s="282">
        <f>IF(Notes!$B$9="Domestic",I136, IF(Notes!$B$9="Commercial",J136))*$K$103</f>
        <v>123.24866400000003</v>
      </c>
      <c r="L136" s="283">
        <f>(SUM(O136:Q136)+(K136+SUM(M136:Q136))*(INDEX($U$103:$AB$103,MATCH(Notes!$C$16,$U$3:$AB$3,0))-100%))*$L$103</f>
        <v>54.494000000000007</v>
      </c>
      <c r="M136" s="283">
        <f>M134*1.1</f>
        <v>6.4900000000000011</v>
      </c>
      <c r="N136" s="286"/>
      <c r="O136" s="311">
        <f>O134*1.1</f>
        <v>54.494000000000007</v>
      </c>
      <c r="P136" s="285"/>
      <c r="Q136" s="285"/>
      <c r="R136" s="278"/>
      <c r="S136" s="278"/>
      <c r="T136" s="278"/>
      <c r="U136" s="304"/>
    </row>
    <row r="137" spans="1:21" s="305" customFormat="1" ht="14.45" hidden="1" customHeight="1" outlineLevel="1" x14ac:dyDescent="0.25">
      <c r="A137" s="278"/>
      <c r="B137" s="279" t="str">
        <f t="shared" si="51"/>
        <v>class 36.0-7.0m400mm</v>
      </c>
      <c r="C137" s="278" t="s">
        <v>744</v>
      </c>
      <c r="D137" s="278" t="s">
        <v>764</v>
      </c>
      <c r="E137" s="278" t="s">
        <v>768</v>
      </c>
      <c r="F137" s="278"/>
      <c r="G137" s="278" t="s">
        <v>15</v>
      </c>
      <c r="H137" s="309">
        <f t="shared" si="56"/>
        <v>1.4489999999999998</v>
      </c>
      <c r="I137" s="280">
        <f t="shared" si="52"/>
        <v>94.721130000000002</v>
      </c>
      <c r="J137" s="281">
        <f t="shared" si="53"/>
        <v>117.13715999999999</v>
      </c>
      <c r="K137" s="282">
        <f>IF(Notes!$B$9="Domestic",I137, IF(Notes!$B$9="Commercial",J137))*$K$103</f>
        <v>128.850876</v>
      </c>
      <c r="L137" s="283">
        <f>(SUM(O137:Q137)+(K137+SUM(M137:Q137))*(INDEX($U$103:$AB$103,MATCH(Notes!$C$16,$U$3:$AB$3,0))-100%))*$L$103</f>
        <v>56.970999999999997</v>
      </c>
      <c r="M137" s="283">
        <f>M134*1.15</f>
        <v>6.7850000000000001</v>
      </c>
      <c r="N137" s="286"/>
      <c r="O137" s="311">
        <f>O134*1.15</f>
        <v>56.970999999999997</v>
      </c>
      <c r="P137" s="285"/>
      <c r="Q137" s="285"/>
      <c r="R137" s="278"/>
      <c r="S137" s="278"/>
      <c r="T137" s="278"/>
      <c r="U137" s="304"/>
    </row>
    <row r="138" spans="1:21" s="305" customFormat="1" ht="14.45" hidden="1" customHeight="1" outlineLevel="1" x14ac:dyDescent="0.25">
      <c r="A138" s="278"/>
      <c r="B138" s="279" t="str">
        <f t="shared" si="51"/>
        <v>class 37.0-8.0m400mm</v>
      </c>
      <c r="C138" s="278" t="s">
        <v>744</v>
      </c>
      <c r="D138" s="278" t="s">
        <v>751</v>
      </c>
      <c r="E138" s="278" t="s">
        <v>768</v>
      </c>
      <c r="F138" s="278"/>
      <c r="G138" s="278" t="s">
        <v>15</v>
      </c>
      <c r="H138" s="309">
        <f t="shared" si="56"/>
        <v>1.512</v>
      </c>
      <c r="I138" s="280">
        <f t="shared" si="52"/>
        <v>98.83944000000001</v>
      </c>
      <c r="J138" s="281">
        <f t="shared" si="53"/>
        <v>122.23008</v>
      </c>
      <c r="K138" s="282">
        <f>IF(Notes!$B$9="Domestic",I138, IF(Notes!$B$9="Commercial",J138))*$K$103</f>
        <v>134.45308800000001</v>
      </c>
      <c r="L138" s="283">
        <f>(SUM(O138:Q138)+(K138+SUM(M138:Q138))*(INDEX($U$103:$AB$103,MATCH(Notes!$C$16,$U$3:$AB$3,0))-100%))*$L$103</f>
        <v>59.447999999999993</v>
      </c>
      <c r="M138" s="283">
        <f>M134*1.2</f>
        <v>7.08</v>
      </c>
      <c r="N138" s="286"/>
      <c r="O138" s="311">
        <f>O134*1.2</f>
        <v>59.447999999999993</v>
      </c>
      <c r="P138" s="285"/>
      <c r="Q138" s="285"/>
      <c r="R138" s="278"/>
      <c r="S138" s="278"/>
      <c r="T138" s="278"/>
      <c r="U138" s="304"/>
    </row>
    <row r="139" spans="1:21" s="305" customFormat="1" ht="14.45" hidden="1" customHeight="1" outlineLevel="1" x14ac:dyDescent="0.25">
      <c r="A139" s="278"/>
      <c r="B139" s="279" t="str">
        <f t="shared" si="51"/>
        <v>class 3over 8.0m400mm</v>
      </c>
      <c r="C139" s="278" t="s">
        <v>744</v>
      </c>
      <c r="D139" s="278" t="s">
        <v>752</v>
      </c>
      <c r="E139" s="278" t="s">
        <v>768</v>
      </c>
      <c r="F139" s="278"/>
      <c r="G139" s="278" t="s">
        <v>15</v>
      </c>
      <c r="H139" s="309">
        <f t="shared" si="56"/>
        <v>1.575</v>
      </c>
      <c r="I139" s="280">
        <f t="shared" si="52"/>
        <v>102.95775</v>
      </c>
      <c r="J139" s="281">
        <f t="shared" si="53"/>
        <v>127.32300000000001</v>
      </c>
      <c r="K139" s="282">
        <f>IF(Notes!$B$9="Domestic",I139, IF(Notes!$B$9="Commercial",J139))*$K$103</f>
        <v>140.05530000000002</v>
      </c>
      <c r="L139" s="283">
        <f>(SUM(O139:Q139)+(K139+SUM(M139:Q139))*(INDEX($U$103:$AB$103,MATCH(Notes!$C$16,$U$3:$AB$3,0))-100%))*$L$103</f>
        <v>61.924999999999997</v>
      </c>
      <c r="M139" s="283">
        <f>M134*1.25</f>
        <v>7.375</v>
      </c>
      <c r="N139" s="286"/>
      <c r="O139" s="311">
        <f>O134*1.25</f>
        <v>61.924999999999997</v>
      </c>
      <c r="P139" s="285"/>
      <c r="Q139" s="285"/>
      <c r="R139" s="278"/>
      <c r="S139" s="278"/>
      <c r="T139" s="278"/>
      <c r="U139" s="304"/>
    </row>
    <row r="140" spans="1:21" s="305" customFormat="1" ht="14.45" hidden="1" customHeight="1" outlineLevel="1" x14ac:dyDescent="0.25">
      <c r="A140" s="278"/>
      <c r="B140" s="279" t="str">
        <f t="shared" si="51"/>
        <v>class 20-3.6m500mm</v>
      </c>
      <c r="C140" s="278" t="s">
        <v>745</v>
      </c>
      <c r="D140" s="278" t="s">
        <v>761</v>
      </c>
      <c r="E140" s="278" t="s">
        <v>769</v>
      </c>
      <c r="F140" s="278"/>
      <c r="G140" s="278" t="s">
        <v>15</v>
      </c>
      <c r="H140" s="310">
        <v>1.37</v>
      </c>
      <c r="I140" s="280">
        <f t="shared" si="52"/>
        <v>89.556900000000013</v>
      </c>
      <c r="J140" s="281">
        <f t="shared" si="53"/>
        <v>110.75080000000001</v>
      </c>
      <c r="K140" s="282">
        <f>IF(Notes!$B$9="Domestic",I140, IF(Notes!$B$9="Commercial",J140))*$K$103</f>
        <v>121.82588000000003</v>
      </c>
      <c r="L140" s="283">
        <f>(SUM(O140:Q140)+(K140+SUM(M140:Q140))*(INDEX($U$103:$AB$103,MATCH(Notes!$C$16,$U$3:$AB$3,0))-100%))*$L$103</f>
        <v>74.004000000000005</v>
      </c>
      <c r="M140" s="283">
        <f>M146</f>
        <v>5.9</v>
      </c>
      <c r="N140" s="286"/>
      <c r="O140" s="311">
        <f>O146*1.2</f>
        <v>74.004000000000005</v>
      </c>
      <c r="P140" s="285"/>
      <c r="Q140" s="285"/>
      <c r="R140" s="278"/>
      <c r="S140" s="278"/>
      <c r="T140" s="278"/>
      <c r="U140" s="304"/>
    </row>
    <row r="141" spans="1:21" s="305" customFormat="1" ht="14.45" hidden="1" customHeight="1" outlineLevel="1" x14ac:dyDescent="0.25">
      <c r="A141" s="278"/>
      <c r="B141" s="279" t="str">
        <f t="shared" si="51"/>
        <v>class 23.6-4.8m500mm</v>
      </c>
      <c r="C141" s="278" t="s">
        <v>745</v>
      </c>
      <c r="D141" s="278" t="s">
        <v>762</v>
      </c>
      <c r="E141" s="278" t="s">
        <v>769</v>
      </c>
      <c r="F141" s="278"/>
      <c r="G141" s="278" t="s">
        <v>15</v>
      </c>
      <c r="H141" s="309">
        <f>H140*1.05</f>
        <v>1.4385000000000001</v>
      </c>
      <c r="I141" s="280">
        <f t="shared" si="52"/>
        <v>94.034745000000015</v>
      </c>
      <c r="J141" s="281">
        <f t="shared" si="53"/>
        <v>116.28834000000002</v>
      </c>
      <c r="K141" s="282">
        <f>IF(Notes!$B$9="Domestic",I141, IF(Notes!$B$9="Commercial",J141))*$K$103</f>
        <v>127.91717400000003</v>
      </c>
      <c r="L141" s="283">
        <f>(SUM(O141:Q141)+(K141+SUM(M141:Q141))*(INDEX($U$103:$AB$103,MATCH(Notes!$C$16,$U$3:$AB$3,0))-100%))*$L$103</f>
        <v>77.704200000000014</v>
      </c>
      <c r="M141" s="283">
        <f>M140*1.05</f>
        <v>6.1950000000000003</v>
      </c>
      <c r="N141" s="286"/>
      <c r="O141" s="311">
        <f>O140*1.05</f>
        <v>77.704200000000014</v>
      </c>
      <c r="P141" s="285"/>
      <c r="Q141" s="285"/>
      <c r="R141" s="278"/>
      <c r="S141" s="278"/>
      <c r="T141" s="278"/>
      <c r="U141" s="304"/>
    </row>
    <row r="142" spans="1:21" s="305" customFormat="1" ht="14.45" hidden="1" customHeight="1" outlineLevel="1" x14ac:dyDescent="0.25">
      <c r="A142" s="278"/>
      <c r="B142" s="279" t="str">
        <f t="shared" si="51"/>
        <v>class 24.8-6.0m500mm</v>
      </c>
      <c r="C142" s="278" t="s">
        <v>745</v>
      </c>
      <c r="D142" s="278" t="s">
        <v>763</v>
      </c>
      <c r="E142" s="278" t="s">
        <v>769</v>
      </c>
      <c r="F142" s="278"/>
      <c r="G142" s="278" t="s">
        <v>15</v>
      </c>
      <c r="H142" s="309">
        <f>H140*1.1</f>
        <v>1.5070000000000003</v>
      </c>
      <c r="I142" s="280">
        <f t="shared" si="52"/>
        <v>98.512590000000031</v>
      </c>
      <c r="J142" s="281">
        <f t="shared" si="53"/>
        <v>121.82588000000003</v>
      </c>
      <c r="K142" s="282">
        <f>IF(Notes!$B$9="Domestic",I142, IF(Notes!$B$9="Commercial",J142))*$K$103</f>
        <v>134.00846800000005</v>
      </c>
      <c r="L142" s="283">
        <f>(SUM(O142:Q142)+(K142+SUM(M142:Q142))*(INDEX($U$103:$AB$103,MATCH(Notes!$C$16,$U$3:$AB$3,0))-100%))*$L$103</f>
        <v>81.40440000000001</v>
      </c>
      <c r="M142" s="283">
        <f>M140*1.1</f>
        <v>6.4900000000000011</v>
      </c>
      <c r="N142" s="286"/>
      <c r="O142" s="311">
        <f>O140*1.1</f>
        <v>81.40440000000001</v>
      </c>
      <c r="P142" s="285"/>
      <c r="Q142" s="285"/>
      <c r="R142" s="278"/>
      <c r="S142" s="278"/>
      <c r="T142" s="278"/>
      <c r="U142" s="304"/>
    </row>
    <row r="143" spans="1:21" s="305" customFormat="1" ht="14.45" hidden="1" customHeight="1" outlineLevel="1" x14ac:dyDescent="0.25">
      <c r="A143" s="278"/>
      <c r="B143" s="279" t="str">
        <f t="shared" si="51"/>
        <v>class 26.0-7.0m500mm</v>
      </c>
      <c r="C143" s="278" t="s">
        <v>745</v>
      </c>
      <c r="D143" s="278" t="s">
        <v>764</v>
      </c>
      <c r="E143" s="278" t="s">
        <v>769</v>
      </c>
      <c r="F143" s="278"/>
      <c r="G143" s="278" t="s">
        <v>15</v>
      </c>
      <c r="H143" s="309">
        <f>H140*1.15</f>
        <v>1.5754999999999999</v>
      </c>
      <c r="I143" s="280">
        <f t="shared" si="52"/>
        <v>102.99043500000001</v>
      </c>
      <c r="J143" s="281">
        <f t="shared" si="53"/>
        <v>127.36341999999999</v>
      </c>
      <c r="K143" s="282">
        <f>IF(Notes!$B$9="Domestic",I143, IF(Notes!$B$9="Commercial",J143))*$K$103</f>
        <v>140.099762</v>
      </c>
      <c r="L143" s="283">
        <f>(SUM(O143:Q143)+(K143+SUM(M143:Q143))*(INDEX($U$103:$AB$103,MATCH(Notes!$C$16,$U$3:$AB$3,0))-100%))*$L$103</f>
        <v>85.104600000000005</v>
      </c>
      <c r="M143" s="283">
        <f>M140*1.15</f>
        <v>6.7850000000000001</v>
      </c>
      <c r="N143" s="286"/>
      <c r="O143" s="311">
        <f>O140*1.15</f>
        <v>85.104600000000005</v>
      </c>
      <c r="P143" s="285"/>
      <c r="Q143" s="285"/>
      <c r="R143" s="278"/>
      <c r="S143" s="278"/>
      <c r="T143" s="278"/>
      <c r="U143" s="304"/>
    </row>
    <row r="144" spans="1:21" s="305" customFormat="1" ht="14.45" hidden="1" customHeight="1" outlineLevel="1" x14ac:dyDescent="0.25">
      <c r="A144" s="278"/>
      <c r="B144" s="279" t="str">
        <f t="shared" si="51"/>
        <v>class 27.0-8.0m500mm</v>
      </c>
      <c r="C144" s="278" t="s">
        <v>745</v>
      </c>
      <c r="D144" s="278" t="s">
        <v>751</v>
      </c>
      <c r="E144" s="278" t="s">
        <v>769</v>
      </c>
      <c r="F144" s="278"/>
      <c r="G144" s="278" t="s">
        <v>15</v>
      </c>
      <c r="H144" s="309">
        <f>H140*1.2</f>
        <v>1.6440000000000001</v>
      </c>
      <c r="I144" s="280">
        <f t="shared" si="52"/>
        <v>107.46828000000002</v>
      </c>
      <c r="J144" s="281">
        <f t="shared" si="53"/>
        <v>132.90096000000003</v>
      </c>
      <c r="K144" s="282">
        <f>IF(Notes!$B$9="Domestic",I144, IF(Notes!$B$9="Commercial",J144))*$K$103</f>
        <v>146.19105600000003</v>
      </c>
      <c r="L144" s="283">
        <f>(SUM(O144:Q144)+(K144+SUM(M144:Q144))*(INDEX($U$103:$AB$103,MATCH(Notes!$C$16,$U$3:$AB$3,0))-100%))*$L$103</f>
        <v>88.8048</v>
      </c>
      <c r="M144" s="283">
        <f>M140*1.2</f>
        <v>7.08</v>
      </c>
      <c r="N144" s="286"/>
      <c r="O144" s="311">
        <f>O140*1.2</f>
        <v>88.8048</v>
      </c>
      <c r="P144" s="285"/>
      <c r="Q144" s="285"/>
      <c r="R144" s="278"/>
      <c r="S144" s="278"/>
      <c r="T144" s="278"/>
      <c r="U144" s="304"/>
    </row>
    <row r="145" spans="1:21" s="305" customFormat="1" ht="14.45" hidden="1" customHeight="1" outlineLevel="1" x14ac:dyDescent="0.25">
      <c r="A145" s="278"/>
      <c r="B145" s="279" t="str">
        <f t="shared" si="51"/>
        <v>class 2over 8.0m500mm</v>
      </c>
      <c r="C145" s="278" t="s">
        <v>745</v>
      </c>
      <c r="D145" s="278" t="s">
        <v>752</v>
      </c>
      <c r="E145" s="278" t="s">
        <v>769</v>
      </c>
      <c r="F145" s="278"/>
      <c r="G145" s="278" t="s">
        <v>15</v>
      </c>
      <c r="H145" s="309">
        <f>H140*1.25</f>
        <v>1.7125000000000001</v>
      </c>
      <c r="I145" s="280">
        <f t="shared" si="52"/>
        <v>111.94612500000002</v>
      </c>
      <c r="J145" s="281">
        <f t="shared" si="53"/>
        <v>138.4385</v>
      </c>
      <c r="K145" s="282">
        <f>IF(Notes!$B$9="Domestic",I145, IF(Notes!$B$9="Commercial",J145))*$K$103</f>
        <v>152.28235000000001</v>
      </c>
      <c r="L145" s="283">
        <f>(SUM(O145:Q145)+(K145+SUM(M145:Q145))*(INDEX($U$103:$AB$103,MATCH(Notes!$C$16,$U$3:$AB$3,0))-100%))*$L$103</f>
        <v>92.50500000000001</v>
      </c>
      <c r="M145" s="283">
        <f>M140*1.25</f>
        <v>7.375</v>
      </c>
      <c r="N145" s="286"/>
      <c r="O145" s="311">
        <f>O140*1.25</f>
        <v>92.50500000000001</v>
      </c>
      <c r="P145" s="285"/>
      <c r="Q145" s="285"/>
      <c r="R145" s="278"/>
      <c r="S145" s="278"/>
      <c r="T145" s="278"/>
      <c r="U145" s="304"/>
    </row>
    <row r="146" spans="1:21" s="305" customFormat="1" ht="14.45" hidden="1" customHeight="1" outlineLevel="1" x14ac:dyDescent="0.25">
      <c r="A146" s="278"/>
      <c r="B146" s="279" t="str">
        <f t="shared" si="51"/>
        <v>class 30-3.6m500mm</v>
      </c>
      <c r="C146" s="278" t="s">
        <v>744</v>
      </c>
      <c r="D146" s="278" t="s">
        <v>761</v>
      </c>
      <c r="E146" s="278" t="s">
        <v>769</v>
      </c>
      <c r="F146" s="278"/>
      <c r="G146" s="278" t="s">
        <v>15</v>
      </c>
      <c r="H146" s="309">
        <f>H140</f>
        <v>1.37</v>
      </c>
      <c r="I146" s="280">
        <f t="shared" si="52"/>
        <v>89.556900000000013</v>
      </c>
      <c r="J146" s="281">
        <f t="shared" si="53"/>
        <v>110.75080000000001</v>
      </c>
      <c r="K146" s="282">
        <f>IF(Notes!$B$9="Domestic",I146, IF(Notes!$B$9="Commercial",J146))*$K$103</f>
        <v>121.82588000000003</v>
      </c>
      <c r="L146" s="283">
        <f>(SUM(O146:Q146)+(K146+SUM(M146:Q146))*(INDEX($U$103:$AB$103,MATCH(Notes!$C$16,$U$3:$AB$3,0))-100%))*$L$103</f>
        <v>61.67</v>
      </c>
      <c r="M146" s="312">
        <v>5.9</v>
      </c>
      <c r="N146" s="286"/>
      <c r="O146" s="285">
        <v>61.67</v>
      </c>
      <c r="P146" s="285"/>
      <c r="Q146" s="285"/>
      <c r="R146" s="278"/>
      <c r="S146" s="278"/>
      <c r="T146" s="278"/>
      <c r="U146" s="304"/>
    </row>
    <row r="147" spans="1:21" s="305" customFormat="1" ht="14.45" hidden="1" customHeight="1" outlineLevel="1" x14ac:dyDescent="0.25">
      <c r="A147" s="278"/>
      <c r="B147" s="279" t="str">
        <f t="shared" si="51"/>
        <v>class 33.6-4.8m500mm</v>
      </c>
      <c r="C147" s="278" t="s">
        <v>744</v>
      </c>
      <c r="D147" s="278" t="s">
        <v>762</v>
      </c>
      <c r="E147" s="278" t="s">
        <v>769</v>
      </c>
      <c r="F147" s="278"/>
      <c r="G147" s="278" t="s">
        <v>15</v>
      </c>
      <c r="H147" s="309">
        <f t="shared" ref="H147:H151" si="57">H141</f>
        <v>1.4385000000000001</v>
      </c>
      <c r="I147" s="280">
        <f t="shared" si="52"/>
        <v>94.034745000000015</v>
      </c>
      <c r="J147" s="281">
        <f t="shared" si="53"/>
        <v>116.28834000000002</v>
      </c>
      <c r="K147" s="282">
        <f>IF(Notes!$B$9="Domestic",I147, IF(Notes!$B$9="Commercial",J147))*$K$103</f>
        <v>127.91717400000003</v>
      </c>
      <c r="L147" s="283">
        <f>(SUM(O147:Q147)+(K147+SUM(M147:Q147))*(INDEX($U$103:$AB$103,MATCH(Notes!$C$16,$U$3:$AB$3,0))-100%))*$L$103</f>
        <v>64.753500000000003</v>
      </c>
      <c r="M147" s="283">
        <f>M146*1.05</f>
        <v>6.1950000000000003</v>
      </c>
      <c r="N147" s="286"/>
      <c r="O147" s="311">
        <f>O146*1.05</f>
        <v>64.753500000000003</v>
      </c>
      <c r="P147" s="285"/>
      <c r="Q147" s="285"/>
      <c r="R147" s="278"/>
      <c r="S147" s="278"/>
      <c r="T147" s="278"/>
      <c r="U147" s="304"/>
    </row>
    <row r="148" spans="1:21" s="305" customFormat="1" ht="14.45" hidden="1" customHeight="1" outlineLevel="1" x14ac:dyDescent="0.25">
      <c r="A148" s="278"/>
      <c r="B148" s="279" t="str">
        <f t="shared" si="51"/>
        <v>class 34.8-6.0m500mm</v>
      </c>
      <c r="C148" s="278" t="s">
        <v>744</v>
      </c>
      <c r="D148" s="278" t="s">
        <v>763</v>
      </c>
      <c r="E148" s="278" t="s">
        <v>769</v>
      </c>
      <c r="F148" s="278"/>
      <c r="G148" s="278" t="s">
        <v>15</v>
      </c>
      <c r="H148" s="309">
        <f t="shared" si="57"/>
        <v>1.5070000000000003</v>
      </c>
      <c r="I148" s="280">
        <f t="shared" si="52"/>
        <v>98.512590000000031</v>
      </c>
      <c r="J148" s="281">
        <f t="shared" si="53"/>
        <v>121.82588000000003</v>
      </c>
      <c r="K148" s="282">
        <f>IF(Notes!$B$9="Domestic",I148, IF(Notes!$B$9="Commercial",J148))*$K$103</f>
        <v>134.00846800000005</v>
      </c>
      <c r="L148" s="283">
        <f>(SUM(O148:Q148)+(K148+SUM(M148:Q148))*(INDEX($U$103:$AB$103,MATCH(Notes!$C$16,$U$3:$AB$3,0))-100%))*$L$103</f>
        <v>67.837000000000003</v>
      </c>
      <c r="M148" s="283">
        <f>M146*1.1</f>
        <v>6.4900000000000011</v>
      </c>
      <c r="N148" s="286"/>
      <c r="O148" s="311">
        <f>O146*1.1</f>
        <v>67.837000000000003</v>
      </c>
      <c r="P148" s="285"/>
      <c r="Q148" s="285"/>
      <c r="R148" s="278"/>
      <c r="S148" s="278"/>
      <c r="T148" s="278"/>
      <c r="U148" s="304"/>
    </row>
    <row r="149" spans="1:21" s="305" customFormat="1" ht="14.45" hidden="1" customHeight="1" outlineLevel="1" x14ac:dyDescent="0.25">
      <c r="A149" s="278"/>
      <c r="B149" s="279" t="str">
        <f t="shared" si="51"/>
        <v>class 36.0-7.0m500mm</v>
      </c>
      <c r="C149" s="278" t="s">
        <v>744</v>
      </c>
      <c r="D149" s="278" t="s">
        <v>764</v>
      </c>
      <c r="E149" s="278" t="s">
        <v>769</v>
      </c>
      <c r="F149" s="278"/>
      <c r="G149" s="278" t="s">
        <v>15</v>
      </c>
      <c r="H149" s="309">
        <f t="shared" si="57"/>
        <v>1.5754999999999999</v>
      </c>
      <c r="I149" s="280">
        <f t="shared" si="52"/>
        <v>102.99043500000001</v>
      </c>
      <c r="J149" s="281">
        <f t="shared" si="53"/>
        <v>127.36341999999999</v>
      </c>
      <c r="K149" s="282">
        <f>IF(Notes!$B$9="Domestic",I149, IF(Notes!$B$9="Commercial",J149))*$K$103</f>
        <v>140.099762</v>
      </c>
      <c r="L149" s="283">
        <f>(SUM(O149:Q149)+(K149+SUM(M149:Q149))*(INDEX($U$103:$AB$103,MATCH(Notes!$C$16,$U$3:$AB$3,0))-100%))*$L$103</f>
        <v>70.92049999999999</v>
      </c>
      <c r="M149" s="283">
        <f>M146*1.15</f>
        <v>6.7850000000000001</v>
      </c>
      <c r="N149" s="286"/>
      <c r="O149" s="311">
        <f>O146*1.15</f>
        <v>70.92049999999999</v>
      </c>
      <c r="P149" s="285"/>
      <c r="Q149" s="285"/>
      <c r="R149" s="278"/>
      <c r="S149" s="278"/>
      <c r="T149" s="278"/>
      <c r="U149" s="304"/>
    </row>
    <row r="150" spans="1:21" s="305" customFormat="1" ht="14.45" hidden="1" customHeight="1" outlineLevel="1" x14ac:dyDescent="0.25">
      <c r="A150" s="278"/>
      <c r="B150" s="279" t="str">
        <f t="shared" si="51"/>
        <v>class 37.0-8.0m500mm</v>
      </c>
      <c r="C150" s="278" t="s">
        <v>744</v>
      </c>
      <c r="D150" s="278" t="s">
        <v>751</v>
      </c>
      <c r="E150" s="278" t="s">
        <v>769</v>
      </c>
      <c r="F150" s="278"/>
      <c r="G150" s="278" t="s">
        <v>15</v>
      </c>
      <c r="H150" s="309">
        <f t="shared" si="57"/>
        <v>1.6440000000000001</v>
      </c>
      <c r="I150" s="280">
        <f t="shared" si="52"/>
        <v>107.46828000000002</v>
      </c>
      <c r="J150" s="281">
        <f t="shared" si="53"/>
        <v>132.90096000000003</v>
      </c>
      <c r="K150" s="282">
        <f>IF(Notes!$B$9="Domestic",I150, IF(Notes!$B$9="Commercial",J150))*$K$103</f>
        <v>146.19105600000003</v>
      </c>
      <c r="L150" s="283">
        <f>(SUM(O150:Q150)+(K150+SUM(M150:Q150))*(INDEX($U$103:$AB$103,MATCH(Notes!$C$16,$U$3:$AB$3,0))-100%))*$L$103</f>
        <v>74.004000000000005</v>
      </c>
      <c r="M150" s="283">
        <f>M146*1.2</f>
        <v>7.08</v>
      </c>
      <c r="N150" s="286"/>
      <c r="O150" s="311">
        <f>O146*1.2</f>
        <v>74.004000000000005</v>
      </c>
      <c r="P150" s="285"/>
      <c r="Q150" s="285"/>
      <c r="R150" s="278"/>
      <c r="S150" s="278"/>
      <c r="T150" s="278"/>
      <c r="U150" s="304"/>
    </row>
    <row r="151" spans="1:21" s="305" customFormat="1" ht="14.45" hidden="1" customHeight="1" outlineLevel="1" x14ac:dyDescent="0.25">
      <c r="A151" s="278"/>
      <c r="B151" s="279" t="str">
        <f t="shared" si="51"/>
        <v>class 3over 8.0m500mm</v>
      </c>
      <c r="C151" s="278" t="s">
        <v>744</v>
      </c>
      <c r="D151" s="278" t="s">
        <v>752</v>
      </c>
      <c r="E151" s="278" t="s">
        <v>769</v>
      </c>
      <c r="F151" s="278"/>
      <c r="G151" s="278" t="s">
        <v>15</v>
      </c>
      <c r="H151" s="309">
        <f t="shared" si="57"/>
        <v>1.7125000000000001</v>
      </c>
      <c r="I151" s="280">
        <f t="shared" si="52"/>
        <v>111.94612500000002</v>
      </c>
      <c r="J151" s="281">
        <f t="shared" si="53"/>
        <v>138.4385</v>
      </c>
      <c r="K151" s="282">
        <f>IF(Notes!$B$9="Domestic",I151, IF(Notes!$B$9="Commercial",J151))*$K$103</f>
        <v>152.28235000000001</v>
      </c>
      <c r="L151" s="283">
        <f>(SUM(O151:Q151)+(K151+SUM(M151:Q151))*(INDEX($U$103:$AB$103,MATCH(Notes!$C$16,$U$3:$AB$3,0))-100%))*$L$103</f>
        <v>77.087500000000006</v>
      </c>
      <c r="M151" s="283">
        <f>M146*1.25</f>
        <v>7.375</v>
      </c>
      <c r="N151" s="286"/>
      <c r="O151" s="311">
        <f>O146*1.25</f>
        <v>77.087500000000006</v>
      </c>
      <c r="P151" s="285"/>
      <c r="Q151" s="285"/>
      <c r="R151" s="278"/>
      <c r="S151" s="278"/>
      <c r="T151" s="278"/>
      <c r="U151" s="304"/>
    </row>
    <row r="152" spans="1:21" s="305" customFormat="1" ht="14.45" hidden="1" customHeight="1" outlineLevel="1" x14ac:dyDescent="0.25">
      <c r="A152" s="278"/>
      <c r="B152" s="279" t="str">
        <f t="shared" si="51"/>
        <v>class 20-3.6m600mm</v>
      </c>
      <c r="C152" s="278" t="s">
        <v>745</v>
      </c>
      <c r="D152" s="278" t="s">
        <v>761</v>
      </c>
      <c r="E152" s="278" t="s">
        <v>770</v>
      </c>
      <c r="F152" s="278"/>
      <c r="G152" s="278" t="s">
        <v>15</v>
      </c>
      <c r="H152" s="310">
        <v>1.49</v>
      </c>
      <c r="I152" s="280">
        <f t="shared" si="52"/>
        <v>97.401300000000006</v>
      </c>
      <c r="J152" s="281">
        <f t="shared" si="53"/>
        <v>120.4516</v>
      </c>
      <c r="K152" s="282">
        <f>IF(Notes!$B$9="Domestic",I152, IF(Notes!$B$9="Commercial",J152))*$K$103</f>
        <v>132.49676000000002</v>
      </c>
      <c r="L152" s="283">
        <f>(SUM(O152:Q152)+(K152+SUM(M152:Q152))*(INDEX($U$103:$AB$103,MATCH(Notes!$C$16,$U$3:$AB$3,0))-100%))*$L$103</f>
        <v>89.903999999999996</v>
      </c>
      <c r="M152" s="283">
        <f>M158</f>
        <v>5.9</v>
      </c>
      <c r="N152" s="286"/>
      <c r="O152" s="311">
        <f>O158*1.2</f>
        <v>89.903999999999996</v>
      </c>
      <c r="P152" s="285"/>
      <c r="Q152" s="285"/>
      <c r="R152" s="278"/>
      <c r="S152" s="278"/>
      <c r="T152" s="278"/>
      <c r="U152" s="304"/>
    </row>
    <row r="153" spans="1:21" s="305" customFormat="1" ht="14.45" hidden="1" customHeight="1" outlineLevel="1" x14ac:dyDescent="0.25">
      <c r="A153" s="278"/>
      <c r="B153" s="279" t="str">
        <f t="shared" si="51"/>
        <v>class 23.6-4.8m600mm</v>
      </c>
      <c r="C153" s="278" t="s">
        <v>745</v>
      </c>
      <c r="D153" s="278" t="s">
        <v>762</v>
      </c>
      <c r="E153" s="278" t="s">
        <v>770</v>
      </c>
      <c r="F153" s="278"/>
      <c r="G153" s="278" t="s">
        <v>15</v>
      </c>
      <c r="H153" s="309">
        <f>H152*1.05</f>
        <v>1.5645</v>
      </c>
      <c r="I153" s="280">
        <f t="shared" si="52"/>
        <v>102.271365</v>
      </c>
      <c r="J153" s="281">
        <f t="shared" si="53"/>
        <v>126.47418</v>
      </c>
      <c r="K153" s="282">
        <f>IF(Notes!$B$9="Domestic",I153, IF(Notes!$B$9="Commercial",J153))*$K$103</f>
        <v>139.12159800000001</v>
      </c>
      <c r="L153" s="283">
        <f>(SUM(O153:Q153)+(K153+SUM(M153:Q153))*(INDEX($U$103:$AB$103,MATCH(Notes!$C$16,$U$3:$AB$3,0))-100%))*$L$103</f>
        <v>94.399199999999993</v>
      </c>
      <c r="M153" s="283">
        <f>M152*1.05</f>
        <v>6.1950000000000003</v>
      </c>
      <c r="N153" s="286"/>
      <c r="O153" s="311">
        <f>O152*1.05</f>
        <v>94.399199999999993</v>
      </c>
      <c r="P153" s="285"/>
      <c r="Q153" s="285"/>
      <c r="R153" s="278"/>
      <c r="S153" s="278"/>
      <c r="T153" s="278"/>
      <c r="U153" s="304"/>
    </row>
    <row r="154" spans="1:21" s="305" customFormat="1" ht="14.45" hidden="1" customHeight="1" outlineLevel="1" x14ac:dyDescent="0.25">
      <c r="A154" s="278"/>
      <c r="B154" s="279" t="str">
        <f t="shared" si="51"/>
        <v>class 24.8-6.0m600mm</v>
      </c>
      <c r="C154" s="278" t="s">
        <v>745</v>
      </c>
      <c r="D154" s="278" t="s">
        <v>763</v>
      </c>
      <c r="E154" s="278" t="s">
        <v>770</v>
      </c>
      <c r="F154" s="278"/>
      <c r="G154" s="278" t="s">
        <v>15</v>
      </c>
      <c r="H154" s="309">
        <f>H152*1.1</f>
        <v>1.639</v>
      </c>
      <c r="I154" s="280">
        <f t="shared" si="52"/>
        <v>107.14143000000001</v>
      </c>
      <c r="J154" s="281">
        <f t="shared" si="53"/>
        <v>132.49675999999999</v>
      </c>
      <c r="K154" s="282">
        <f>IF(Notes!$B$9="Domestic",I154, IF(Notes!$B$9="Commercial",J154))*$K$103</f>
        <v>145.74643600000002</v>
      </c>
      <c r="L154" s="283">
        <f>(SUM(O154:Q154)+(K154+SUM(M154:Q154))*(INDEX($U$103:$AB$103,MATCH(Notes!$C$16,$U$3:$AB$3,0))-100%))*$L$103</f>
        <v>98.894400000000005</v>
      </c>
      <c r="M154" s="283">
        <f>M152*1.1</f>
        <v>6.4900000000000011</v>
      </c>
      <c r="N154" s="286"/>
      <c r="O154" s="311">
        <f>O152*1.1</f>
        <v>98.894400000000005</v>
      </c>
      <c r="P154" s="285"/>
      <c r="Q154" s="285"/>
      <c r="R154" s="278"/>
      <c r="S154" s="278"/>
      <c r="T154" s="278"/>
      <c r="U154" s="304"/>
    </row>
    <row r="155" spans="1:21" s="305" customFormat="1" ht="14.45" hidden="1" customHeight="1" outlineLevel="1" x14ac:dyDescent="0.25">
      <c r="A155" s="278"/>
      <c r="B155" s="279" t="str">
        <f t="shared" si="51"/>
        <v>class 26.0-7.0m600mm</v>
      </c>
      <c r="C155" s="278" t="s">
        <v>745</v>
      </c>
      <c r="D155" s="278" t="s">
        <v>764</v>
      </c>
      <c r="E155" s="278" t="s">
        <v>770</v>
      </c>
      <c r="F155" s="278"/>
      <c r="G155" s="278" t="s">
        <v>15</v>
      </c>
      <c r="H155" s="309">
        <f>H152*1.15</f>
        <v>1.7134999999999998</v>
      </c>
      <c r="I155" s="280">
        <f t="shared" si="52"/>
        <v>112.011495</v>
      </c>
      <c r="J155" s="281">
        <f t="shared" si="53"/>
        <v>138.51934</v>
      </c>
      <c r="K155" s="282">
        <f>IF(Notes!$B$9="Domestic",I155, IF(Notes!$B$9="Commercial",J155))*$K$103</f>
        <v>152.371274</v>
      </c>
      <c r="L155" s="283">
        <f>(SUM(O155:Q155)+(K155+SUM(M155:Q155))*(INDEX($U$103:$AB$103,MATCH(Notes!$C$16,$U$3:$AB$3,0))-100%))*$L$103</f>
        <v>103.38959999999999</v>
      </c>
      <c r="M155" s="283">
        <f>M152*1.15</f>
        <v>6.7850000000000001</v>
      </c>
      <c r="N155" s="286"/>
      <c r="O155" s="311">
        <f>O152*1.15</f>
        <v>103.38959999999999</v>
      </c>
      <c r="P155" s="285"/>
      <c r="Q155" s="285"/>
      <c r="R155" s="278"/>
      <c r="S155" s="278"/>
      <c r="T155" s="278"/>
      <c r="U155" s="304"/>
    </row>
    <row r="156" spans="1:21" s="305" customFormat="1" ht="14.45" hidden="1" customHeight="1" outlineLevel="1" x14ac:dyDescent="0.25">
      <c r="A156" s="278"/>
      <c r="B156" s="279" t="str">
        <f t="shared" si="51"/>
        <v>class 27.0-8.0m600mm</v>
      </c>
      <c r="C156" s="278" t="s">
        <v>745</v>
      </c>
      <c r="D156" s="278" t="s">
        <v>751</v>
      </c>
      <c r="E156" s="278" t="s">
        <v>770</v>
      </c>
      <c r="F156" s="278"/>
      <c r="G156" s="278" t="s">
        <v>15</v>
      </c>
      <c r="H156" s="309">
        <f>H152*1.2</f>
        <v>1.788</v>
      </c>
      <c r="I156" s="280">
        <f t="shared" si="52"/>
        <v>116.88156000000001</v>
      </c>
      <c r="J156" s="281">
        <f t="shared" si="53"/>
        <v>144.54192</v>
      </c>
      <c r="K156" s="282">
        <f>IF(Notes!$B$9="Domestic",I156, IF(Notes!$B$9="Commercial",J156))*$K$103</f>
        <v>158.99611200000001</v>
      </c>
      <c r="L156" s="283">
        <f>(SUM(O156:Q156)+(K156+SUM(M156:Q156))*(INDEX($U$103:$AB$103,MATCH(Notes!$C$16,$U$3:$AB$3,0))-100%))*$L$103</f>
        <v>107.8848</v>
      </c>
      <c r="M156" s="283">
        <f>M152*1.2</f>
        <v>7.08</v>
      </c>
      <c r="N156" s="286"/>
      <c r="O156" s="311">
        <f>O152*1.2</f>
        <v>107.8848</v>
      </c>
      <c r="P156" s="285"/>
      <c r="Q156" s="285"/>
      <c r="R156" s="278"/>
      <c r="S156" s="278"/>
      <c r="T156" s="278"/>
      <c r="U156" s="304"/>
    </row>
    <row r="157" spans="1:21" s="305" customFormat="1" ht="14.45" hidden="1" customHeight="1" outlineLevel="1" x14ac:dyDescent="0.25">
      <c r="A157" s="278"/>
      <c r="B157" s="279" t="str">
        <f t="shared" si="51"/>
        <v>class 2over 8.0m600mm</v>
      </c>
      <c r="C157" s="278" t="s">
        <v>745</v>
      </c>
      <c r="D157" s="278" t="s">
        <v>752</v>
      </c>
      <c r="E157" s="278" t="s">
        <v>770</v>
      </c>
      <c r="F157" s="278"/>
      <c r="G157" s="278" t="s">
        <v>15</v>
      </c>
      <c r="H157" s="309">
        <f>H152*1.25</f>
        <v>1.8625</v>
      </c>
      <c r="I157" s="280">
        <f t="shared" si="52"/>
        <v>121.75162500000002</v>
      </c>
      <c r="J157" s="281">
        <f t="shared" si="53"/>
        <v>150.56450000000001</v>
      </c>
      <c r="K157" s="282">
        <f>IF(Notes!$B$9="Domestic",I157, IF(Notes!$B$9="Commercial",J157))*$K$103</f>
        <v>165.62095000000002</v>
      </c>
      <c r="L157" s="283">
        <f>(SUM(O157:Q157)+(K157+SUM(M157:Q157))*(INDEX($U$103:$AB$103,MATCH(Notes!$C$16,$U$3:$AB$3,0))-100%))*$L$103</f>
        <v>112.38</v>
      </c>
      <c r="M157" s="283">
        <f>M152*1.25</f>
        <v>7.375</v>
      </c>
      <c r="N157" s="286"/>
      <c r="O157" s="311">
        <f>O152*1.25</f>
        <v>112.38</v>
      </c>
      <c r="P157" s="285"/>
      <c r="Q157" s="285"/>
      <c r="R157" s="278"/>
      <c r="S157" s="278"/>
      <c r="T157" s="278"/>
      <c r="U157" s="304"/>
    </row>
    <row r="158" spans="1:21" s="305" customFormat="1" ht="14.45" hidden="1" customHeight="1" outlineLevel="1" x14ac:dyDescent="0.25">
      <c r="A158" s="278"/>
      <c r="B158" s="279" t="str">
        <f t="shared" si="51"/>
        <v>class 30-3.6m600mm</v>
      </c>
      <c r="C158" s="278" t="s">
        <v>744</v>
      </c>
      <c r="D158" s="278" t="s">
        <v>761</v>
      </c>
      <c r="E158" s="278" t="s">
        <v>770</v>
      </c>
      <c r="F158" s="278"/>
      <c r="G158" s="278" t="s">
        <v>15</v>
      </c>
      <c r="H158" s="309">
        <f>H152</f>
        <v>1.49</v>
      </c>
      <c r="I158" s="280">
        <f t="shared" si="52"/>
        <v>97.401300000000006</v>
      </c>
      <c r="J158" s="281">
        <f t="shared" si="53"/>
        <v>120.4516</v>
      </c>
      <c r="K158" s="282">
        <f>IF(Notes!$B$9="Domestic",I158, IF(Notes!$B$9="Commercial",J158))*$K$103</f>
        <v>132.49676000000002</v>
      </c>
      <c r="L158" s="283">
        <f>(SUM(O158:Q158)+(K158+SUM(M158:Q158))*(INDEX($U$103:$AB$103,MATCH(Notes!$C$16,$U$3:$AB$3,0))-100%))*$L$103</f>
        <v>74.92</v>
      </c>
      <c r="M158" s="312">
        <v>5.9</v>
      </c>
      <c r="N158" s="286"/>
      <c r="O158" s="285">
        <v>74.92</v>
      </c>
      <c r="P158" s="285"/>
      <c r="Q158" s="285"/>
      <c r="R158" s="278"/>
      <c r="S158" s="278"/>
      <c r="T158" s="278"/>
      <c r="U158" s="304"/>
    </row>
    <row r="159" spans="1:21" s="305" customFormat="1" ht="14.45" hidden="1" customHeight="1" outlineLevel="1" x14ac:dyDescent="0.25">
      <c r="A159" s="278"/>
      <c r="B159" s="279" t="str">
        <f t="shared" si="51"/>
        <v>class 33.6-4.8m600mm</v>
      </c>
      <c r="C159" s="278" t="s">
        <v>744</v>
      </c>
      <c r="D159" s="278" t="s">
        <v>762</v>
      </c>
      <c r="E159" s="278" t="s">
        <v>770</v>
      </c>
      <c r="F159" s="278"/>
      <c r="G159" s="278" t="s">
        <v>15</v>
      </c>
      <c r="H159" s="309">
        <f t="shared" ref="H159:H163" si="58">H153</f>
        <v>1.5645</v>
      </c>
      <c r="I159" s="280">
        <f t="shared" si="52"/>
        <v>102.271365</v>
      </c>
      <c r="J159" s="281">
        <f t="shared" si="53"/>
        <v>126.47418</v>
      </c>
      <c r="K159" s="282">
        <f>IF(Notes!$B$9="Domestic",I159, IF(Notes!$B$9="Commercial",J159))*$K$103</f>
        <v>139.12159800000001</v>
      </c>
      <c r="L159" s="283">
        <f>(SUM(O159:Q159)+(K159+SUM(M159:Q159))*(INDEX($U$103:$AB$103,MATCH(Notes!$C$16,$U$3:$AB$3,0))-100%))*$L$103</f>
        <v>78.666000000000011</v>
      </c>
      <c r="M159" s="283">
        <f>M158*1.05</f>
        <v>6.1950000000000003</v>
      </c>
      <c r="N159" s="286"/>
      <c r="O159" s="311">
        <f>O158*1.05</f>
        <v>78.666000000000011</v>
      </c>
      <c r="P159" s="285"/>
      <c r="Q159" s="285"/>
      <c r="R159" s="278"/>
      <c r="S159" s="278"/>
      <c r="T159" s="278"/>
      <c r="U159" s="304"/>
    </row>
    <row r="160" spans="1:21" s="305" customFormat="1" ht="14.45" hidden="1" customHeight="1" outlineLevel="1" x14ac:dyDescent="0.25">
      <c r="A160" s="278"/>
      <c r="B160" s="279" t="str">
        <f t="shared" si="51"/>
        <v>class 34.8-6.0m600mm</v>
      </c>
      <c r="C160" s="278" t="s">
        <v>744</v>
      </c>
      <c r="D160" s="278" t="s">
        <v>763</v>
      </c>
      <c r="E160" s="278" t="s">
        <v>770</v>
      </c>
      <c r="F160" s="278"/>
      <c r="G160" s="278" t="s">
        <v>15</v>
      </c>
      <c r="H160" s="309">
        <f t="shared" si="58"/>
        <v>1.639</v>
      </c>
      <c r="I160" s="280">
        <f t="shared" si="52"/>
        <v>107.14143000000001</v>
      </c>
      <c r="J160" s="281">
        <f t="shared" si="53"/>
        <v>132.49675999999999</v>
      </c>
      <c r="K160" s="282">
        <f>IF(Notes!$B$9="Domestic",I160, IF(Notes!$B$9="Commercial",J160))*$K$103</f>
        <v>145.74643600000002</v>
      </c>
      <c r="L160" s="283">
        <f>(SUM(O160:Q160)+(K160+SUM(M160:Q160))*(INDEX($U$103:$AB$103,MATCH(Notes!$C$16,$U$3:$AB$3,0))-100%))*$L$103</f>
        <v>82.412000000000006</v>
      </c>
      <c r="M160" s="283">
        <f>M158*1.1</f>
        <v>6.4900000000000011</v>
      </c>
      <c r="N160" s="286"/>
      <c r="O160" s="311">
        <f>O158*1.1</f>
        <v>82.412000000000006</v>
      </c>
      <c r="P160" s="285"/>
      <c r="Q160" s="285"/>
      <c r="R160" s="278"/>
      <c r="S160" s="278"/>
      <c r="T160" s="278"/>
      <c r="U160" s="304"/>
    </row>
    <row r="161" spans="1:21" s="305" customFormat="1" ht="14.45" hidden="1" customHeight="1" outlineLevel="1" x14ac:dyDescent="0.25">
      <c r="A161" s="278"/>
      <c r="B161" s="279" t="str">
        <f t="shared" si="51"/>
        <v>class 36.0-7.0m600mm</v>
      </c>
      <c r="C161" s="278" t="s">
        <v>744</v>
      </c>
      <c r="D161" s="278" t="s">
        <v>764</v>
      </c>
      <c r="E161" s="278" t="s">
        <v>770</v>
      </c>
      <c r="F161" s="278"/>
      <c r="G161" s="278" t="s">
        <v>15</v>
      </c>
      <c r="H161" s="309">
        <f t="shared" si="58"/>
        <v>1.7134999999999998</v>
      </c>
      <c r="I161" s="280">
        <f t="shared" si="52"/>
        <v>112.011495</v>
      </c>
      <c r="J161" s="281">
        <f t="shared" si="53"/>
        <v>138.51934</v>
      </c>
      <c r="K161" s="282">
        <f>IF(Notes!$B$9="Domestic",I161, IF(Notes!$B$9="Commercial",J161))*$K$103</f>
        <v>152.371274</v>
      </c>
      <c r="L161" s="283">
        <f>(SUM(O161:Q161)+(K161+SUM(M161:Q161))*(INDEX($U$103:$AB$103,MATCH(Notes!$C$16,$U$3:$AB$3,0))-100%))*$L$103</f>
        <v>86.158000000000001</v>
      </c>
      <c r="M161" s="283">
        <f>M158*1.15</f>
        <v>6.7850000000000001</v>
      </c>
      <c r="N161" s="286"/>
      <c r="O161" s="311">
        <f>O158*1.15</f>
        <v>86.158000000000001</v>
      </c>
      <c r="P161" s="285"/>
      <c r="Q161" s="285"/>
      <c r="R161" s="278"/>
      <c r="S161" s="278"/>
      <c r="T161" s="278"/>
      <c r="U161" s="304"/>
    </row>
    <row r="162" spans="1:21" s="305" customFormat="1" ht="14.45" hidden="1" customHeight="1" outlineLevel="1" x14ac:dyDescent="0.25">
      <c r="A162" s="278"/>
      <c r="B162" s="279" t="str">
        <f t="shared" si="51"/>
        <v>class 37.0-8.0m600mm</v>
      </c>
      <c r="C162" s="278" t="s">
        <v>744</v>
      </c>
      <c r="D162" s="278" t="s">
        <v>751</v>
      </c>
      <c r="E162" s="278" t="s">
        <v>770</v>
      </c>
      <c r="F162" s="278"/>
      <c r="G162" s="278" t="s">
        <v>15</v>
      </c>
      <c r="H162" s="309">
        <f t="shared" si="58"/>
        <v>1.788</v>
      </c>
      <c r="I162" s="280">
        <f t="shared" si="52"/>
        <v>116.88156000000001</v>
      </c>
      <c r="J162" s="281">
        <f t="shared" si="53"/>
        <v>144.54192</v>
      </c>
      <c r="K162" s="282">
        <f>IF(Notes!$B$9="Domestic",I162, IF(Notes!$B$9="Commercial",J162))*$K$103</f>
        <v>158.99611200000001</v>
      </c>
      <c r="L162" s="283">
        <f>(SUM(O162:Q162)+(K162+SUM(M162:Q162))*(INDEX($U$103:$AB$103,MATCH(Notes!$C$16,$U$3:$AB$3,0))-100%))*$L$103</f>
        <v>89.903999999999996</v>
      </c>
      <c r="M162" s="283">
        <f>M158*1.2</f>
        <v>7.08</v>
      </c>
      <c r="N162" s="286"/>
      <c r="O162" s="311">
        <f>O158*1.2</f>
        <v>89.903999999999996</v>
      </c>
      <c r="P162" s="285"/>
      <c r="Q162" s="285"/>
      <c r="R162" s="278"/>
      <c r="S162" s="278"/>
      <c r="T162" s="278"/>
      <c r="U162" s="304"/>
    </row>
    <row r="163" spans="1:21" s="305" customFormat="1" ht="14.45" hidden="1" customHeight="1" outlineLevel="1" x14ac:dyDescent="0.25">
      <c r="A163" s="278"/>
      <c r="B163" s="279" t="str">
        <f t="shared" si="51"/>
        <v>class 3over 8.0m600mm</v>
      </c>
      <c r="C163" s="278" t="s">
        <v>744</v>
      </c>
      <c r="D163" s="278" t="s">
        <v>752</v>
      </c>
      <c r="E163" s="278" t="s">
        <v>770</v>
      </c>
      <c r="F163" s="278"/>
      <c r="G163" s="278" t="s">
        <v>15</v>
      </c>
      <c r="H163" s="309">
        <f t="shared" si="58"/>
        <v>1.8625</v>
      </c>
      <c r="I163" s="280">
        <f t="shared" si="52"/>
        <v>121.75162500000002</v>
      </c>
      <c r="J163" s="281">
        <f t="shared" si="53"/>
        <v>150.56450000000001</v>
      </c>
      <c r="K163" s="282">
        <f>IF(Notes!$B$9="Domestic",I163, IF(Notes!$B$9="Commercial",J163))*$K$103</f>
        <v>165.62095000000002</v>
      </c>
      <c r="L163" s="283">
        <f>(SUM(O163:Q163)+(K163+SUM(M163:Q163))*(INDEX($U$103:$AB$103,MATCH(Notes!$C$16,$U$3:$AB$3,0))-100%))*$L$103</f>
        <v>93.65</v>
      </c>
      <c r="M163" s="283">
        <f>M158*1.25</f>
        <v>7.375</v>
      </c>
      <c r="N163" s="286"/>
      <c r="O163" s="311">
        <f>O158*1.25</f>
        <v>93.65</v>
      </c>
      <c r="P163" s="285"/>
      <c r="Q163" s="285"/>
      <c r="R163" s="278"/>
      <c r="S163" s="278"/>
      <c r="T163" s="278"/>
      <c r="U163" s="304"/>
    </row>
    <row r="164" spans="1:21" s="305" customFormat="1" ht="14.45" hidden="1" customHeight="1" outlineLevel="1" x14ac:dyDescent="0.25">
      <c r="A164" s="278"/>
      <c r="B164" s="279" t="str">
        <f t="shared" si="51"/>
        <v>class 20-3.6m750mm</v>
      </c>
      <c r="C164" s="278" t="s">
        <v>745</v>
      </c>
      <c r="D164" s="278" t="s">
        <v>761</v>
      </c>
      <c r="E164" s="278" t="s">
        <v>771</v>
      </c>
      <c r="F164" s="278"/>
      <c r="G164" s="278" t="s">
        <v>15</v>
      </c>
      <c r="H164" s="310">
        <v>1.72</v>
      </c>
      <c r="I164" s="280">
        <f t="shared" si="52"/>
        <v>112.43640000000001</v>
      </c>
      <c r="J164" s="281">
        <f t="shared" si="53"/>
        <v>139.04480000000001</v>
      </c>
      <c r="K164" s="282">
        <f>IF(Notes!$B$9="Domestic",I164, IF(Notes!$B$9="Commercial",J164))*$K$103</f>
        <v>152.94928000000002</v>
      </c>
      <c r="L164" s="283">
        <f>(SUM(O164:Q164)+(K164+SUM(M164:Q164))*(INDEX($U$103:$AB$103,MATCH(Notes!$C$16,$U$3:$AB$3,0))-100%))*$L$103</f>
        <v>144.25199999999998</v>
      </c>
      <c r="M164" s="283">
        <f>M170</f>
        <v>5.9</v>
      </c>
      <c r="N164" s="286"/>
      <c r="O164" s="311">
        <f>O170*1.2</f>
        <v>144.25199999999998</v>
      </c>
      <c r="P164" s="285"/>
      <c r="Q164" s="285"/>
      <c r="R164" s="278"/>
      <c r="S164" s="278"/>
      <c r="T164" s="278"/>
      <c r="U164" s="304"/>
    </row>
    <row r="165" spans="1:21" s="305" customFormat="1" ht="14.45" hidden="1" customHeight="1" outlineLevel="1" x14ac:dyDescent="0.25">
      <c r="A165" s="278"/>
      <c r="B165" s="279" t="str">
        <f t="shared" si="51"/>
        <v>class 23.6-4.8m750mm</v>
      </c>
      <c r="C165" s="278" t="s">
        <v>745</v>
      </c>
      <c r="D165" s="278" t="s">
        <v>762</v>
      </c>
      <c r="E165" s="278" t="s">
        <v>771</v>
      </c>
      <c r="F165" s="278"/>
      <c r="G165" s="278" t="s">
        <v>15</v>
      </c>
      <c r="H165" s="309">
        <f>H164*1.05</f>
        <v>1.806</v>
      </c>
      <c r="I165" s="280">
        <f t="shared" si="52"/>
        <v>118.05822000000001</v>
      </c>
      <c r="J165" s="281">
        <f t="shared" si="53"/>
        <v>145.99704</v>
      </c>
      <c r="K165" s="282">
        <f>IF(Notes!$B$9="Domestic",I165, IF(Notes!$B$9="Commercial",J165))*$K$103</f>
        <v>160.596744</v>
      </c>
      <c r="L165" s="283">
        <f>(SUM(O165:Q165)+(K165+SUM(M165:Q165))*(INDEX($U$103:$AB$103,MATCH(Notes!$C$16,$U$3:$AB$3,0))-100%))*$L$103</f>
        <v>151.46459999999999</v>
      </c>
      <c r="M165" s="283">
        <f>M164*1.05</f>
        <v>6.1950000000000003</v>
      </c>
      <c r="N165" s="286"/>
      <c r="O165" s="311">
        <f>O164*1.05</f>
        <v>151.46459999999999</v>
      </c>
      <c r="P165" s="285"/>
      <c r="Q165" s="285"/>
      <c r="R165" s="278"/>
      <c r="S165" s="278"/>
      <c r="T165" s="278"/>
      <c r="U165" s="304"/>
    </row>
    <row r="166" spans="1:21" s="305" customFormat="1" ht="14.45" hidden="1" customHeight="1" outlineLevel="1" x14ac:dyDescent="0.25">
      <c r="A166" s="278"/>
      <c r="B166" s="279" t="str">
        <f t="shared" si="51"/>
        <v>class 24.8-6.0m750mm</v>
      </c>
      <c r="C166" s="278" t="s">
        <v>745</v>
      </c>
      <c r="D166" s="278" t="s">
        <v>763</v>
      </c>
      <c r="E166" s="278" t="s">
        <v>771</v>
      </c>
      <c r="F166" s="278"/>
      <c r="G166" s="278" t="s">
        <v>15</v>
      </c>
      <c r="H166" s="309">
        <f>H164*1.1</f>
        <v>1.8920000000000001</v>
      </c>
      <c r="I166" s="280">
        <f t="shared" si="52"/>
        <v>123.68004000000002</v>
      </c>
      <c r="J166" s="281">
        <f t="shared" si="53"/>
        <v>152.94928000000002</v>
      </c>
      <c r="K166" s="282">
        <f>IF(Notes!$B$9="Domestic",I166, IF(Notes!$B$9="Commercial",J166))*$K$103</f>
        <v>168.24420800000004</v>
      </c>
      <c r="L166" s="283">
        <f>(SUM(O166:Q166)+(K166+SUM(M166:Q166))*(INDEX($U$103:$AB$103,MATCH(Notes!$C$16,$U$3:$AB$3,0))-100%))*$L$103</f>
        <v>158.6772</v>
      </c>
      <c r="M166" s="283">
        <f>M164*1.1</f>
        <v>6.4900000000000011</v>
      </c>
      <c r="N166" s="286"/>
      <c r="O166" s="311">
        <f>O164*1.1</f>
        <v>158.6772</v>
      </c>
      <c r="P166" s="285"/>
      <c r="Q166" s="285"/>
      <c r="R166" s="278"/>
      <c r="S166" s="278"/>
      <c r="T166" s="278"/>
      <c r="U166" s="304"/>
    </row>
    <row r="167" spans="1:21" s="305" customFormat="1" ht="14.45" hidden="1" customHeight="1" outlineLevel="1" x14ac:dyDescent="0.25">
      <c r="A167" s="278"/>
      <c r="B167" s="279" t="str">
        <f t="shared" si="51"/>
        <v>class 26.0-7.0m750mm</v>
      </c>
      <c r="C167" s="278" t="s">
        <v>745</v>
      </c>
      <c r="D167" s="278" t="s">
        <v>764</v>
      </c>
      <c r="E167" s="278" t="s">
        <v>771</v>
      </c>
      <c r="F167" s="278"/>
      <c r="G167" s="278" t="s">
        <v>15</v>
      </c>
      <c r="H167" s="309">
        <f>H164*1.15</f>
        <v>1.9779999999999998</v>
      </c>
      <c r="I167" s="280">
        <f t="shared" si="52"/>
        <v>129.30186</v>
      </c>
      <c r="J167" s="281">
        <f t="shared" si="53"/>
        <v>159.90151999999998</v>
      </c>
      <c r="K167" s="282">
        <f>IF(Notes!$B$9="Domestic",I167, IF(Notes!$B$9="Commercial",J167))*$K$103</f>
        <v>175.891672</v>
      </c>
      <c r="L167" s="283">
        <f>(SUM(O167:Q167)+(K167+SUM(M167:Q167))*(INDEX($U$103:$AB$103,MATCH(Notes!$C$16,$U$3:$AB$3,0))-100%))*$L$103</f>
        <v>165.88979999999995</v>
      </c>
      <c r="M167" s="283">
        <f>M164*1.15</f>
        <v>6.7850000000000001</v>
      </c>
      <c r="N167" s="286"/>
      <c r="O167" s="311">
        <f>O164*1.15</f>
        <v>165.88979999999995</v>
      </c>
      <c r="P167" s="285"/>
      <c r="Q167" s="285"/>
      <c r="R167" s="278"/>
      <c r="S167" s="278"/>
      <c r="T167" s="278"/>
      <c r="U167" s="304"/>
    </row>
    <row r="168" spans="1:21" s="305" customFormat="1" ht="14.45" hidden="1" customHeight="1" outlineLevel="1" x14ac:dyDescent="0.25">
      <c r="A168" s="278"/>
      <c r="B168" s="279" t="str">
        <f t="shared" si="51"/>
        <v>class 27.0-8.0m750mm</v>
      </c>
      <c r="C168" s="278" t="s">
        <v>745</v>
      </c>
      <c r="D168" s="278" t="s">
        <v>751</v>
      </c>
      <c r="E168" s="278" t="s">
        <v>771</v>
      </c>
      <c r="F168" s="278"/>
      <c r="G168" s="278" t="s">
        <v>15</v>
      </c>
      <c r="H168" s="309">
        <f>H164*1.2</f>
        <v>2.0640000000000001</v>
      </c>
      <c r="I168" s="280">
        <f t="shared" si="52"/>
        <v>134.92368000000002</v>
      </c>
      <c r="J168" s="281">
        <f t="shared" si="53"/>
        <v>166.85376000000002</v>
      </c>
      <c r="K168" s="282">
        <f>IF(Notes!$B$9="Domestic",I168, IF(Notes!$B$9="Commercial",J168))*$K$103</f>
        <v>183.53913600000004</v>
      </c>
      <c r="L168" s="283">
        <f>(SUM(O168:Q168)+(K168+SUM(M168:Q168))*(INDEX($U$103:$AB$103,MATCH(Notes!$C$16,$U$3:$AB$3,0))-100%))*$L$103</f>
        <v>173.10239999999996</v>
      </c>
      <c r="M168" s="283">
        <f>M164*1.2</f>
        <v>7.08</v>
      </c>
      <c r="N168" s="286"/>
      <c r="O168" s="311">
        <f>O164*1.2</f>
        <v>173.10239999999996</v>
      </c>
      <c r="P168" s="285"/>
      <c r="Q168" s="285"/>
      <c r="R168" s="278"/>
      <c r="S168" s="278"/>
      <c r="T168" s="278"/>
      <c r="U168" s="304"/>
    </row>
    <row r="169" spans="1:21" s="305" customFormat="1" ht="14.45" hidden="1" customHeight="1" outlineLevel="1" x14ac:dyDescent="0.25">
      <c r="A169" s="278"/>
      <c r="B169" s="279" t="str">
        <f t="shared" si="51"/>
        <v>class 2over 8.0m750mm</v>
      </c>
      <c r="C169" s="278" t="s">
        <v>745</v>
      </c>
      <c r="D169" s="278" t="s">
        <v>752</v>
      </c>
      <c r="E169" s="278" t="s">
        <v>771</v>
      </c>
      <c r="F169" s="278"/>
      <c r="G169" s="278" t="s">
        <v>15</v>
      </c>
      <c r="H169" s="309">
        <f>H164*1.25</f>
        <v>2.15</v>
      </c>
      <c r="I169" s="280">
        <f t="shared" si="52"/>
        <v>140.5455</v>
      </c>
      <c r="J169" s="281">
        <f t="shared" si="53"/>
        <v>173.80600000000001</v>
      </c>
      <c r="K169" s="282">
        <f>IF(Notes!$B$9="Domestic",I169, IF(Notes!$B$9="Commercial",J169))*$K$103</f>
        <v>191.18660000000003</v>
      </c>
      <c r="L169" s="283">
        <f>(SUM(O169:Q169)+(K169+SUM(M169:Q169))*(INDEX($U$103:$AB$103,MATCH(Notes!$C$16,$U$3:$AB$3,0))-100%))*$L$103</f>
        <v>180.31499999999997</v>
      </c>
      <c r="M169" s="283">
        <f>M164*1.25</f>
        <v>7.375</v>
      </c>
      <c r="N169" s="286"/>
      <c r="O169" s="311">
        <f>O164*1.25</f>
        <v>180.31499999999997</v>
      </c>
      <c r="P169" s="285"/>
      <c r="Q169" s="285"/>
      <c r="R169" s="278"/>
      <c r="S169" s="278"/>
      <c r="T169" s="278"/>
      <c r="U169" s="304"/>
    </row>
    <row r="170" spans="1:21" s="305" customFormat="1" ht="14.45" hidden="1" customHeight="1" outlineLevel="1" x14ac:dyDescent="0.25">
      <c r="A170" s="278"/>
      <c r="B170" s="279" t="str">
        <f t="shared" si="51"/>
        <v>class 30-3.6m750mm</v>
      </c>
      <c r="C170" s="278" t="s">
        <v>744</v>
      </c>
      <c r="D170" s="278" t="s">
        <v>761</v>
      </c>
      <c r="E170" s="278" t="s">
        <v>771</v>
      </c>
      <c r="F170" s="278"/>
      <c r="G170" s="278" t="s">
        <v>15</v>
      </c>
      <c r="H170" s="309">
        <f>H164</f>
        <v>1.72</v>
      </c>
      <c r="I170" s="280">
        <f t="shared" si="52"/>
        <v>112.43640000000001</v>
      </c>
      <c r="J170" s="281">
        <f t="shared" si="53"/>
        <v>139.04480000000001</v>
      </c>
      <c r="K170" s="282">
        <f>IF(Notes!$B$9="Domestic",I170, IF(Notes!$B$9="Commercial",J170))*$K$103</f>
        <v>152.94928000000002</v>
      </c>
      <c r="L170" s="283">
        <f>(SUM(O170:Q170)+(K170+SUM(M170:Q170))*(INDEX($U$103:$AB$103,MATCH(Notes!$C$16,$U$3:$AB$3,0))-100%))*$L$103</f>
        <v>120.21</v>
      </c>
      <c r="M170" s="312">
        <v>5.9</v>
      </c>
      <c r="N170" s="286"/>
      <c r="O170" s="285">
        <v>120.21</v>
      </c>
      <c r="P170" s="285"/>
      <c r="Q170" s="285"/>
      <c r="R170" s="278"/>
      <c r="S170" s="278"/>
      <c r="T170" s="278"/>
      <c r="U170" s="304"/>
    </row>
    <row r="171" spans="1:21" s="305" customFormat="1" ht="14.45" hidden="1" customHeight="1" outlineLevel="1" x14ac:dyDescent="0.25">
      <c r="A171" s="278"/>
      <c r="B171" s="279" t="str">
        <f t="shared" ref="B171:B182" si="59">C171&amp;D171&amp;E171&amp;F171</f>
        <v>class 33.6-4.8m750mm</v>
      </c>
      <c r="C171" s="278" t="s">
        <v>744</v>
      </c>
      <c r="D171" s="278" t="s">
        <v>762</v>
      </c>
      <c r="E171" s="278" t="s">
        <v>771</v>
      </c>
      <c r="F171" s="278"/>
      <c r="G171" s="278" t="s">
        <v>15</v>
      </c>
      <c r="H171" s="309">
        <f t="shared" ref="H171:H175" si="60">H165</f>
        <v>1.806</v>
      </c>
      <c r="I171" s="280">
        <f t="shared" ref="I171:I182" si="61">$I$2*H171</f>
        <v>118.05822000000001</v>
      </c>
      <c r="J171" s="281">
        <f t="shared" ref="J171:J182" si="62">$J$2*H171</f>
        <v>145.99704</v>
      </c>
      <c r="K171" s="282">
        <f>IF(Notes!$B$9="Domestic",I171, IF(Notes!$B$9="Commercial",J171))*$K$103</f>
        <v>160.596744</v>
      </c>
      <c r="L171" s="283">
        <f>(SUM(O171:Q171)+(K171+SUM(M171:Q171))*(INDEX($U$103:$AB$103,MATCH(Notes!$C$16,$U$3:$AB$3,0))-100%))*$L$103</f>
        <v>126.2205</v>
      </c>
      <c r="M171" s="283">
        <f>M170*1.05</f>
        <v>6.1950000000000003</v>
      </c>
      <c r="N171" s="286"/>
      <c r="O171" s="311">
        <f>O170*1.05</f>
        <v>126.2205</v>
      </c>
      <c r="P171" s="285"/>
      <c r="Q171" s="285"/>
      <c r="R171" s="278"/>
      <c r="S171" s="278"/>
      <c r="T171" s="278"/>
      <c r="U171" s="304"/>
    </row>
    <row r="172" spans="1:21" s="305" customFormat="1" ht="14.45" hidden="1" customHeight="1" outlineLevel="1" x14ac:dyDescent="0.25">
      <c r="A172" s="278"/>
      <c r="B172" s="279" t="str">
        <f t="shared" si="59"/>
        <v>class 34.8-6.0m750mm</v>
      </c>
      <c r="C172" s="278" t="s">
        <v>744</v>
      </c>
      <c r="D172" s="278" t="s">
        <v>763</v>
      </c>
      <c r="E172" s="278" t="s">
        <v>771</v>
      </c>
      <c r="F172" s="278"/>
      <c r="G172" s="278" t="s">
        <v>15</v>
      </c>
      <c r="H172" s="309">
        <f t="shared" si="60"/>
        <v>1.8920000000000001</v>
      </c>
      <c r="I172" s="280">
        <f t="shared" si="61"/>
        <v>123.68004000000002</v>
      </c>
      <c r="J172" s="281">
        <f t="shared" si="62"/>
        <v>152.94928000000002</v>
      </c>
      <c r="K172" s="282">
        <f>IF(Notes!$B$9="Domestic",I172, IF(Notes!$B$9="Commercial",J172))*$K$103</f>
        <v>168.24420800000004</v>
      </c>
      <c r="L172" s="283">
        <f>(SUM(O172:Q172)+(K172+SUM(M172:Q172))*(INDEX($U$103:$AB$103,MATCH(Notes!$C$16,$U$3:$AB$3,0))-100%))*$L$103</f>
        <v>132.23099999999999</v>
      </c>
      <c r="M172" s="283">
        <f>M170*1.1</f>
        <v>6.4900000000000011</v>
      </c>
      <c r="N172" s="286"/>
      <c r="O172" s="311">
        <f>O170*1.1</f>
        <v>132.23099999999999</v>
      </c>
      <c r="P172" s="285"/>
      <c r="Q172" s="285"/>
      <c r="R172" s="278"/>
      <c r="S172" s="278"/>
      <c r="T172" s="278"/>
      <c r="U172" s="304"/>
    </row>
    <row r="173" spans="1:21" s="305" customFormat="1" ht="14.45" hidden="1" customHeight="1" outlineLevel="1" x14ac:dyDescent="0.25">
      <c r="A173" s="278"/>
      <c r="B173" s="279" t="str">
        <f t="shared" si="59"/>
        <v>class 36.0-7.0m750mm</v>
      </c>
      <c r="C173" s="278" t="s">
        <v>744</v>
      </c>
      <c r="D173" s="278" t="s">
        <v>764</v>
      </c>
      <c r="E173" s="278" t="s">
        <v>771</v>
      </c>
      <c r="F173" s="278"/>
      <c r="G173" s="278" t="s">
        <v>15</v>
      </c>
      <c r="H173" s="309">
        <f t="shared" si="60"/>
        <v>1.9779999999999998</v>
      </c>
      <c r="I173" s="280">
        <f t="shared" si="61"/>
        <v>129.30186</v>
      </c>
      <c r="J173" s="281">
        <f t="shared" si="62"/>
        <v>159.90151999999998</v>
      </c>
      <c r="K173" s="282">
        <f>IF(Notes!$B$9="Domestic",I173, IF(Notes!$B$9="Commercial",J173))*$K$103</f>
        <v>175.891672</v>
      </c>
      <c r="L173" s="283">
        <f>(SUM(O173:Q173)+(K173+SUM(M173:Q173))*(INDEX($U$103:$AB$103,MATCH(Notes!$C$16,$U$3:$AB$3,0))-100%))*$L$103</f>
        <v>138.24149999999997</v>
      </c>
      <c r="M173" s="283">
        <f>M170*1.15</f>
        <v>6.7850000000000001</v>
      </c>
      <c r="N173" s="286"/>
      <c r="O173" s="311">
        <f>O170*1.15</f>
        <v>138.24149999999997</v>
      </c>
      <c r="P173" s="285"/>
      <c r="Q173" s="285"/>
      <c r="R173" s="278"/>
      <c r="S173" s="278"/>
      <c r="T173" s="278"/>
      <c r="U173" s="304"/>
    </row>
    <row r="174" spans="1:21" s="305" customFormat="1" ht="14.45" hidden="1" customHeight="1" outlineLevel="1" x14ac:dyDescent="0.25">
      <c r="A174" s="278"/>
      <c r="B174" s="279" t="str">
        <f t="shared" si="59"/>
        <v>class 37.0-8.0m750mm</v>
      </c>
      <c r="C174" s="278" t="s">
        <v>744</v>
      </c>
      <c r="D174" s="278" t="s">
        <v>751</v>
      </c>
      <c r="E174" s="278" t="s">
        <v>771</v>
      </c>
      <c r="F174" s="278"/>
      <c r="G174" s="278" t="s">
        <v>15</v>
      </c>
      <c r="H174" s="309">
        <f t="shared" si="60"/>
        <v>2.0640000000000001</v>
      </c>
      <c r="I174" s="280">
        <f t="shared" si="61"/>
        <v>134.92368000000002</v>
      </c>
      <c r="J174" s="281">
        <f t="shared" si="62"/>
        <v>166.85376000000002</v>
      </c>
      <c r="K174" s="282">
        <f>IF(Notes!$B$9="Domestic",I174, IF(Notes!$B$9="Commercial",J174))*$K$103</f>
        <v>183.53913600000004</v>
      </c>
      <c r="L174" s="283">
        <f>(SUM(O174:Q174)+(K174+SUM(M174:Q174))*(INDEX($U$103:$AB$103,MATCH(Notes!$C$16,$U$3:$AB$3,0))-100%))*$L$103</f>
        <v>144.25199999999998</v>
      </c>
      <c r="M174" s="283">
        <f>M170*1.2</f>
        <v>7.08</v>
      </c>
      <c r="N174" s="286"/>
      <c r="O174" s="311">
        <f>O170*1.2</f>
        <v>144.25199999999998</v>
      </c>
      <c r="P174" s="285"/>
      <c r="Q174" s="285"/>
      <c r="R174" s="278"/>
      <c r="S174" s="278"/>
      <c r="T174" s="278"/>
      <c r="U174" s="304"/>
    </row>
    <row r="175" spans="1:21" s="305" customFormat="1" ht="14.45" hidden="1" customHeight="1" outlineLevel="1" x14ac:dyDescent="0.25">
      <c r="A175" s="278"/>
      <c r="B175" s="279" t="str">
        <f t="shared" si="59"/>
        <v>class 3over 8.0m750mm</v>
      </c>
      <c r="C175" s="278" t="s">
        <v>744</v>
      </c>
      <c r="D175" s="278" t="s">
        <v>752</v>
      </c>
      <c r="E175" s="278" t="s">
        <v>771</v>
      </c>
      <c r="F175" s="278"/>
      <c r="G175" s="278" t="s">
        <v>15</v>
      </c>
      <c r="H175" s="309">
        <f t="shared" si="60"/>
        <v>2.15</v>
      </c>
      <c r="I175" s="280">
        <f t="shared" si="61"/>
        <v>140.5455</v>
      </c>
      <c r="J175" s="281">
        <f t="shared" si="62"/>
        <v>173.80600000000001</v>
      </c>
      <c r="K175" s="282">
        <f>IF(Notes!$B$9="Domestic",I175, IF(Notes!$B$9="Commercial",J175))*$K$103</f>
        <v>191.18660000000003</v>
      </c>
      <c r="L175" s="283">
        <f>(SUM(O175:Q175)+(K175+SUM(M175:Q175))*(INDEX($U$103:$AB$103,MATCH(Notes!$C$16,$U$3:$AB$3,0))-100%))*$L$103</f>
        <v>150.26249999999999</v>
      </c>
      <c r="M175" s="283">
        <f>M170*1.25</f>
        <v>7.375</v>
      </c>
      <c r="N175" s="286"/>
      <c r="O175" s="311">
        <f>O170*1.25</f>
        <v>150.26249999999999</v>
      </c>
      <c r="P175" s="285"/>
      <c r="Q175" s="285"/>
      <c r="R175" s="278"/>
      <c r="S175" s="278"/>
      <c r="T175" s="278"/>
      <c r="U175" s="304"/>
    </row>
    <row r="176" spans="1:21" s="305" customFormat="1" ht="14.45" hidden="1" customHeight="1" outlineLevel="1" x14ac:dyDescent="0.25">
      <c r="A176" s="278"/>
      <c r="B176" s="279" t="str">
        <f t="shared" si="59"/>
        <v>class 20-3.6m900mm</v>
      </c>
      <c r="C176" s="278" t="s">
        <v>745</v>
      </c>
      <c r="D176" s="278" t="s">
        <v>761</v>
      </c>
      <c r="E176" s="278" t="s">
        <v>772</v>
      </c>
      <c r="F176" s="278"/>
      <c r="G176" s="278" t="s">
        <v>15</v>
      </c>
      <c r="H176" s="310">
        <v>1.89</v>
      </c>
      <c r="I176" s="280">
        <f t="shared" si="61"/>
        <v>123.5493</v>
      </c>
      <c r="J176" s="281">
        <f t="shared" si="62"/>
        <v>152.7876</v>
      </c>
      <c r="K176" s="282">
        <f>IF(Notes!$B$9="Domestic",I176, IF(Notes!$B$9="Commercial",J176))*$K$103</f>
        <v>168.06636</v>
      </c>
      <c r="L176" s="283">
        <f>(SUM(O176:Q176)+(K176+SUM(M176:Q176))*(INDEX($U$103:$AB$103,MATCH(Notes!$C$16,$U$3:$AB$3,0))-100%))*$L$103</f>
        <v>203.196</v>
      </c>
      <c r="M176" s="283">
        <f>M182</f>
        <v>5.9</v>
      </c>
      <c r="N176" s="286"/>
      <c r="O176" s="311">
        <f>O182*1.2</f>
        <v>203.196</v>
      </c>
      <c r="P176" s="285"/>
      <c r="Q176" s="285"/>
      <c r="R176" s="278"/>
      <c r="S176" s="278"/>
      <c r="T176" s="278"/>
      <c r="U176" s="304"/>
    </row>
    <row r="177" spans="1:28" s="305" customFormat="1" ht="14.45" hidden="1" customHeight="1" outlineLevel="1" x14ac:dyDescent="0.25">
      <c r="A177" s="278"/>
      <c r="B177" s="279" t="str">
        <f t="shared" si="59"/>
        <v>class 23.6-4.8m900mm</v>
      </c>
      <c r="C177" s="278" t="s">
        <v>745</v>
      </c>
      <c r="D177" s="278" t="s">
        <v>762</v>
      </c>
      <c r="E177" s="278" t="s">
        <v>772</v>
      </c>
      <c r="F177" s="278"/>
      <c r="G177" s="278" t="s">
        <v>15</v>
      </c>
      <c r="H177" s="309">
        <f>H176*1.05</f>
        <v>1.9844999999999999</v>
      </c>
      <c r="I177" s="280">
        <f t="shared" si="61"/>
        <v>129.726765</v>
      </c>
      <c r="J177" s="281">
        <f t="shared" si="62"/>
        <v>160.42698000000001</v>
      </c>
      <c r="K177" s="282">
        <f>IF(Notes!$B$9="Domestic",I177, IF(Notes!$B$9="Commercial",J177))*$K$103</f>
        <v>176.46967800000004</v>
      </c>
      <c r="L177" s="283">
        <f>(SUM(O177:Q177)+(K177+SUM(M177:Q177))*(INDEX($U$103:$AB$103,MATCH(Notes!$C$16,$U$3:$AB$3,0))-100%))*$L$103</f>
        <v>213.35580000000002</v>
      </c>
      <c r="M177" s="283">
        <f>M176*1.05</f>
        <v>6.1950000000000003</v>
      </c>
      <c r="N177" s="286"/>
      <c r="O177" s="311">
        <f>O176*1.05</f>
        <v>213.35580000000002</v>
      </c>
      <c r="P177" s="285"/>
      <c r="Q177" s="285"/>
      <c r="R177" s="278"/>
      <c r="S177" s="278"/>
      <c r="T177" s="278"/>
      <c r="U177" s="304"/>
    </row>
    <row r="178" spans="1:28" s="305" customFormat="1" ht="14.45" hidden="1" customHeight="1" outlineLevel="1" x14ac:dyDescent="0.25">
      <c r="A178" s="278"/>
      <c r="B178" s="279" t="str">
        <f t="shared" si="59"/>
        <v>class 24.8-6.0m900mm</v>
      </c>
      <c r="C178" s="278" t="s">
        <v>745</v>
      </c>
      <c r="D178" s="278" t="s">
        <v>763</v>
      </c>
      <c r="E178" s="278" t="s">
        <v>772</v>
      </c>
      <c r="F178" s="278"/>
      <c r="G178" s="278" t="s">
        <v>15</v>
      </c>
      <c r="H178" s="309">
        <f>H176*1.1</f>
        <v>2.0790000000000002</v>
      </c>
      <c r="I178" s="280">
        <f t="shared" si="61"/>
        <v>135.90423000000001</v>
      </c>
      <c r="J178" s="281">
        <f t="shared" si="62"/>
        <v>168.06636000000003</v>
      </c>
      <c r="K178" s="282">
        <f>IF(Notes!$B$9="Domestic",I178, IF(Notes!$B$9="Commercial",J178))*$K$103</f>
        <v>184.87299600000006</v>
      </c>
      <c r="L178" s="283">
        <f>(SUM(O178:Q178)+(K178+SUM(M178:Q178))*(INDEX($U$103:$AB$103,MATCH(Notes!$C$16,$U$3:$AB$3,0))-100%))*$L$103</f>
        <v>223.51560000000001</v>
      </c>
      <c r="M178" s="283">
        <f>M176*1.1</f>
        <v>6.4900000000000011</v>
      </c>
      <c r="N178" s="286"/>
      <c r="O178" s="311">
        <f>O176*1.1</f>
        <v>223.51560000000001</v>
      </c>
      <c r="P178" s="285"/>
      <c r="Q178" s="285"/>
      <c r="R178" s="278"/>
      <c r="S178" s="278"/>
      <c r="T178" s="278"/>
      <c r="U178" s="304"/>
    </row>
    <row r="179" spans="1:28" s="305" customFormat="1" ht="14.45" hidden="1" customHeight="1" outlineLevel="1" x14ac:dyDescent="0.25">
      <c r="A179" s="278"/>
      <c r="B179" s="279" t="str">
        <f t="shared" si="59"/>
        <v>class 26.0-7.0m900mm</v>
      </c>
      <c r="C179" s="278" t="s">
        <v>745</v>
      </c>
      <c r="D179" s="278" t="s">
        <v>764</v>
      </c>
      <c r="E179" s="278" t="s">
        <v>772</v>
      </c>
      <c r="F179" s="278"/>
      <c r="G179" s="278" t="s">
        <v>15</v>
      </c>
      <c r="H179" s="309">
        <f>H176*1.15</f>
        <v>2.1734999999999998</v>
      </c>
      <c r="I179" s="280">
        <f t="shared" si="61"/>
        <v>142.081695</v>
      </c>
      <c r="J179" s="281">
        <f t="shared" si="62"/>
        <v>175.70573999999999</v>
      </c>
      <c r="K179" s="282">
        <f>IF(Notes!$B$9="Domestic",I179, IF(Notes!$B$9="Commercial",J179))*$K$103</f>
        <v>193.27631400000001</v>
      </c>
      <c r="L179" s="283">
        <f>(SUM(O179:Q179)+(K179+SUM(M179:Q179))*(INDEX($U$103:$AB$103,MATCH(Notes!$C$16,$U$3:$AB$3,0))-100%))*$L$103</f>
        <v>233.67539999999997</v>
      </c>
      <c r="M179" s="283">
        <f>M176*1.15</f>
        <v>6.7850000000000001</v>
      </c>
      <c r="N179" s="286"/>
      <c r="O179" s="311">
        <f>O176*1.15</f>
        <v>233.67539999999997</v>
      </c>
      <c r="P179" s="285"/>
      <c r="Q179" s="285"/>
      <c r="R179" s="278"/>
      <c r="S179" s="278"/>
      <c r="T179" s="278"/>
      <c r="U179" s="304"/>
    </row>
    <row r="180" spans="1:28" s="305" customFormat="1" ht="14.45" hidden="1" customHeight="1" outlineLevel="1" x14ac:dyDescent="0.25">
      <c r="A180" s="278"/>
      <c r="B180" s="279" t="str">
        <f t="shared" si="59"/>
        <v>class 27.0-8.0m900mm</v>
      </c>
      <c r="C180" s="278" t="s">
        <v>745</v>
      </c>
      <c r="D180" s="278" t="s">
        <v>751</v>
      </c>
      <c r="E180" s="278" t="s">
        <v>772</v>
      </c>
      <c r="F180" s="278"/>
      <c r="G180" s="278" t="s">
        <v>15</v>
      </c>
      <c r="H180" s="309">
        <f>H176*1.2</f>
        <v>2.2679999999999998</v>
      </c>
      <c r="I180" s="280">
        <f t="shared" si="61"/>
        <v>148.25916000000001</v>
      </c>
      <c r="J180" s="281">
        <f t="shared" si="62"/>
        <v>183.34511999999998</v>
      </c>
      <c r="K180" s="282">
        <f>IF(Notes!$B$9="Domestic",I180, IF(Notes!$B$9="Commercial",J180))*$K$103</f>
        <v>201.679632</v>
      </c>
      <c r="L180" s="283">
        <f>(SUM(O180:Q180)+(K180+SUM(M180:Q180))*(INDEX($U$103:$AB$103,MATCH(Notes!$C$16,$U$3:$AB$3,0))-100%))*$L$103</f>
        <v>243.83519999999999</v>
      </c>
      <c r="M180" s="283">
        <f>M176*1.2</f>
        <v>7.08</v>
      </c>
      <c r="N180" s="286"/>
      <c r="O180" s="311">
        <f>O176*1.2</f>
        <v>243.83519999999999</v>
      </c>
      <c r="P180" s="285"/>
      <c r="Q180" s="285"/>
      <c r="R180" s="278"/>
      <c r="S180" s="278"/>
      <c r="T180" s="278"/>
      <c r="U180" s="304"/>
    </row>
    <row r="181" spans="1:28" s="305" customFormat="1" ht="14.45" hidden="1" customHeight="1" outlineLevel="1" x14ac:dyDescent="0.25">
      <c r="A181" s="278"/>
      <c r="B181" s="279" t="str">
        <f t="shared" si="59"/>
        <v>class 2over 8.0m900mm</v>
      </c>
      <c r="C181" s="278" t="s">
        <v>745</v>
      </c>
      <c r="D181" s="278" t="s">
        <v>752</v>
      </c>
      <c r="E181" s="278" t="s">
        <v>772</v>
      </c>
      <c r="F181" s="278"/>
      <c r="G181" s="278" t="s">
        <v>15</v>
      </c>
      <c r="H181" s="309">
        <f>H176*1.25</f>
        <v>2.3624999999999998</v>
      </c>
      <c r="I181" s="280">
        <f t="shared" si="61"/>
        <v>154.43662499999999</v>
      </c>
      <c r="J181" s="281">
        <f t="shared" si="62"/>
        <v>190.9845</v>
      </c>
      <c r="K181" s="282">
        <f>IF(Notes!$B$9="Domestic",I181, IF(Notes!$B$9="Commercial",J181))*$K$103</f>
        <v>210.08295000000001</v>
      </c>
      <c r="L181" s="283">
        <f>(SUM(O181:Q181)+(K181+SUM(M181:Q181))*(INDEX($U$103:$AB$103,MATCH(Notes!$C$16,$U$3:$AB$3,0))-100%))*$L$103</f>
        <v>253.995</v>
      </c>
      <c r="M181" s="283">
        <f>M176*1.25</f>
        <v>7.375</v>
      </c>
      <c r="N181" s="286"/>
      <c r="O181" s="311">
        <f>O176*1.25</f>
        <v>253.995</v>
      </c>
      <c r="P181" s="285"/>
      <c r="Q181" s="285"/>
      <c r="R181" s="278"/>
      <c r="S181" s="278"/>
      <c r="T181" s="278"/>
      <c r="U181" s="304"/>
    </row>
    <row r="182" spans="1:28" s="305" customFormat="1" ht="14.45" hidden="1" customHeight="1" outlineLevel="1" x14ac:dyDescent="0.25">
      <c r="A182" s="278"/>
      <c r="B182" s="279" t="str">
        <f t="shared" si="59"/>
        <v>class 30-3.6m900mm</v>
      </c>
      <c r="C182" s="278" t="s">
        <v>744</v>
      </c>
      <c r="D182" s="278" t="s">
        <v>761</v>
      </c>
      <c r="E182" s="278" t="s">
        <v>772</v>
      </c>
      <c r="F182" s="278"/>
      <c r="G182" s="278" t="s">
        <v>15</v>
      </c>
      <c r="H182" s="309">
        <f>H176</f>
        <v>1.89</v>
      </c>
      <c r="I182" s="280">
        <f t="shared" si="61"/>
        <v>123.5493</v>
      </c>
      <c r="J182" s="281">
        <f t="shared" si="62"/>
        <v>152.7876</v>
      </c>
      <c r="K182" s="282">
        <f>IF(Notes!$B$9="Domestic",I182, IF(Notes!$B$9="Commercial",J182))*$K$103</f>
        <v>168.06636</v>
      </c>
      <c r="L182" s="283">
        <f>(SUM(O182:Q182)+(K182+SUM(M182:Q182))*(INDEX($U$103:$AB$103,MATCH(Notes!$C$16,$U$3:$AB$3,0))-100%))*$L$103</f>
        <v>169.33</v>
      </c>
      <c r="M182" s="312">
        <v>5.9</v>
      </c>
      <c r="N182" s="286"/>
      <c r="O182" s="285">
        <v>169.33</v>
      </c>
      <c r="P182" s="285"/>
      <c r="Q182" s="285"/>
      <c r="R182" s="278"/>
      <c r="S182" s="278"/>
      <c r="T182" s="278"/>
      <c r="U182" s="304"/>
    </row>
    <row r="183" spans="1:28" s="305" customFormat="1" ht="14.45" hidden="1" customHeight="1" outlineLevel="1" x14ac:dyDescent="0.25">
      <c r="A183" s="278"/>
      <c r="B183" s="279" t="str">
        <f t="shared" si="48"/>
        <v>class 33.6-4.8m900mm</v>
      </c>
      <c r="C183" s="278" t="s">
        <v>744</v>
      </c>
      <c r="D183" s="278" t="s">
        <v>762</v>
      </c>
      <c r="E183" s="278" t="s">
        <v>772</v>
      </c>
      <c r="F183" s="278"/>
      <c r="G183" s="278" t="s">
        <v>15</v>
      </c>
      <c r="H183" s="309">
        <f t="shared" ref="H183:H187" si="63">H177</f>
        <v>1.9844999999999999</v>
      </c>
      <c r="I183" s="280">
        <f t="shared" si="49"/>
        <v>129.726765</v>
      </c>
      <c r="J183" s="281">
        <f t="shared" si="50"/>
        <v>160.42698000000001</v>
      </c>
      <c r="K183" s="282">
        <f>IF(Notes!$B$9="Domestic",I183, IF(Notes!$B$9="Commercial",J183))*$K$103</f>
        <v>176.46967800000004</v>
      </c>
      <c r="L183" s="283">
        <f>(SUM(O183:Q183)+(K183+SUM(M183:Q183))*(INDEX($U$103:$AB$103,MATCH(Notes!$C$16,$U$3:$AB$3,0))-100%))*$L$103</f>
        <v>177.79650000000001</v>
      </c>
      <c r="M183" s="283">
        <f>M182*1.05</f>
        <v>6.1950000000000003</v>
      </c>
      <c r="N183" s="286"/>
      <c r="O183" s="311">
        <f>O182*1.05</f>
        <v>177.79650000000001</v>
      </c>
      <c r="P183" s="285"/>
      <c r="Q183" s="285"/>
      <c r="R183" s="278"/>
      <c r="S183" s="278"/>
      <c r="T183" s="278"/>
    </row>
    <row r="184" spans="1:28" s="305" customFormat="1" ht="14.45" hidden="1" customHeight="1" outlineLevel="1" x14ac:dyDescent="0.25">
      <c r="A184" s="278"/>
      <c r="B184" s="279" t="str">
        <f t="shared" si="48"/>
        <v>class 34.8-6.0m900mm</v>
      </c>
      <c r="C184" s="278" t="s">
        <v>744</v>
      </c>
      <c r="D184" s="278" t="s">
        <v>763</v>
      </c>
      <c r="E184" s="278" t="s">
        <v>772</v>
      </c>
      <c r="F184" s="278"/>
      <c r="G184" s="278" t="s">
        <v>15</v>
      </c>
      <c r="H184" s="309">
        <f t="shared" si="63"/>
        <v>2.0790000000000002</v>
      </c>
      <c r="I184" s="280">
        <f>$I$2*H184</f>
        <v>135.90423000000001</v>
      </c>
      <c r="J184" s="281">
        <f t="shared" si="50"/>
        <v>168.06636000000003</v>
      </c>
      <c r="K184" s="282">
        <f>IF(Notes!$B$9="Domestic",I184, IF(Notes!$B$9="Commercial",J184))*$K$103</f>
        <v>184.87299600000006</v>
      </c>
      <c r="L184" s="283">
        <f>(SUM(O184:Q184)+(K184+SUM(M184:Q184))*(INDEX($U$103:$AB$103,MATCH(Notes!$C$16,$U$3:$AB$3,0))-100%))*$L$103</f>
        <v>186.26300000000003</v>
      </c>
      <c r="M184" s="283">
        <f>M182*1.1</f>
        <v>6.4900000000000011</v>
      </c>
      <c r="N184" s="286"/>
      <c r="O184" s="311">
        <f>O182*1.1</f>
        <v>186.26300000000003</v>
      </c>
      <c r="P184" s="285"/>
      <c r="Q184" s="285"/>
      <c r="R184" s="278"/>
      <c r="S184" s="278"/>
      <c r="T184" s="278"/>
    </row>
    <row r="185" spans="1:28" s="305" customFormat="1" ht="14.45" hidden="1" customHeight="1" outlineLevel="1" x14ac:dyDescent="0.25">
      <c r="A185" s="278"/>
      <c r="B185" s="279" t="str">
        <f t="shared" si="48"/>
        <v>class 36.0-7.0m900mm</v>
      </c>
      <c r="C185" s="278" t="s">
        <v>744</v>
      </c>
      <c r="D185" s="278" t="s">
        <v>764</v>
      </c>
      <c r="E185" s="278" t="s">
        <v>772</v>
      </c>
      <c r="F185" s="278"/>
      <c r="G185" s="278" t="s">
        <v>15</v>
      </c>
      <c r="H185" s="309">
        <f t="shared" si="63"/>
        <v>2.1734999999999998</v>
      </c>
      <c r="I185" s="280">
        <f t="shared" si="49"/>
        <v>142.081695</v>
      </c>
      <c r="J185" s="281">
        <f t="shared" si="50"/>
        <v>175.70573999999999</v>
      </c>
      <c r="K185" s="282">
        <f>IF(Notes!$B$9="Domestic",I185, IF(Notes!$B$9="Commercial",J185))*$K$103</f>
        <v>193.27631400000001</v>
      </c>
      <c r="L185" s="283">
        <f>(SUM(O185:Q185)+(K185+SUM(M185:Q185))*(INDEX($U$103:$AB$103,MATCH(Notes!$C$16,$U$3:$AB$3,0))-100%))*$L$103</f>
        <v>194.7295</v>
      </c>
      <c r="M185" s="283">
        <f>M182*1.15</f>
        <v>6.7850000000000001</v>
      </c>
      <c r="N185" s="286"/>
      <c r="O185" s="311">
        <f>O182*1.15</f>
        <v>194.7295</v>
      </c>
      <c r="P185" s="285"/>
      <c r="Q185" s="285"/>
      <c r="R185" s="278"/>
      <c r="S185" s="278"/>
      <c r="T185" s="278"/>
    </row>
    <row r="186" spans="1:28" s="305" customFormat="1" hidden="1" outlineLevel="1" x14ac:dyDescent="0.25">
      <c r="A186" s="278"/>
      <c r="B186" s="279" t="str">
        <f t="shared" si="48"/>
        <v>class 37.0-8.0m900mm</v>
      </c>
      <c r="C186" s="278" t="s">
        <v>744</v>
      </c>
      <c r="D186" s="278" t="s">
        <v>751</v>
      </c>
      <c r="E186" s="278" t="s">
        <v>772</v>
      </c>
      <c r="F186" s="278"/>
      <c r="G186" s="278" t="s">
        <v>15</v>
      </c>
      <c r="H186" s="309">
        <f t="shared" si="63"/>
        <v>2.2679999999999998</v>
      </c>
      <c r="I186" s="280">
        <f t="shared" si="49"/>
        <v>148.25916000000001</v>
      </c>
      <c r="J186" s="281">
        <f t="shared" si="50"/>
        <v>183.34511999999998</v>
      </c>
      <c r="K186" s="282">
        <f>IF(Notes!$B$9="Domestic",I186, IF(Notes!$B$9="Commercial",J186))*$K$103</f>
        <v>201.679632</v>
      </c>
      <c r="L186" s="283">
        <f>(SUM(O186:Q186)+(K186+SUM(M186:Q186))*(INDEX($U$103:$AB$103,MATCH(Notes!$C$16,$U$3:$AB$3,0))-100%))*$L$103</f>
        <v>203.196</v>
      </c>
      <c r="M186" s="283">
        <f>M182*1.2</f>
        <v>7.08</v>
      </c>
      <c r="N186" s="286"/>
      <c r="O186" s="311">
        <f>O182*1.2</f>
        <v>203.196</v>
      </c>
      <c r="P186" s="285"/>
      <c r="Q186" s="285"/>
      <c r="R186" s="278"/>
      <c r="S186" s="278"/>
      <c r="T186" s="278"/>
    </row>
    <row r="187" spans="1:28" s="305" customFormat="1" hidden="1" outlineLevel="1" x14ac:dyDescent="0.25">
      <c r="A187" s="278"/>
      <c r="B187" s="279" t="str">
        <f t="shared" si="48"/>
        <v>class 3over 8.0m900mm</v>
      </c>
      <c r="C187" s="278" t="s">
        <v>744</v>
      </c>
      <c r="D187" s="278" t="s">
        <v>752</v>
      </c>
      <c r="E187" s="278" t="s">
        <v>772</v>
      </c>
      <c r="F187" s="278"/>
      <c r="G187" s="278" t="s">
        <v>15</v>
      </c>
      <c r="H187" s="309">
        <f t="shared" si="63"/>
        <v>2.3624999999999998</v>
      </c>
      <c r="I187" s="280">
        <f t="shared" si="49"/>
        <v>154.43662499999999</v>
      </c>
      <c r="J187" s="281">
        <f t="shared" si="50"/>
        <v>190.9845</v>
      </c>
      <c r="K187" s="282">
        <f>IF(Notes!$B$9="Domestic",I187, IF(Notes!$B$9="Commercial",J187))*$K$103</f>
        <v>210.08295000000001</v>
      </c>
      <c r="L187" s="283">
        <f>(SUM(O187:Q187)+(K187+SUM(M187:Q187))*(INDEX($U$103:$AB$103,MATCH(Notes!$C$16,$U$3:$AB$3,0))-100%))*$L$103</f>
        <v>211.66250000000002</v>
      </c>
      <c r="M187" s="283">
        <f>M182*1.25</f>
        <v>7.375</v>
      </c>
      <c r="N187" s="286"/>
      <c r="O187" s="311">
        <f>O182*1.25</f>
        <v>211.66250000000002</v>
      </c>
      <c r="P187" s="285"/>
      <c r="Q187" s="285"/>
      <c r="R187" s="278"/>
      <c r="S187" s="278"/>
      <c r="T187" s="278"/>
    </row>
    <row r="188" spans="1:28" ht="21" hidden="1" outlineLevel="1" x14ac:dyDescent="0.25">
      <c r="A188" s="299"/>
      <c r="B188" s="299"/>
      <c r="C188" s="299"/>
      <c r="D188" s="299"/>
      <c r="E188" s="299"/>
      <c r="F188" s="299"/>
      <c r="G188" s="299"/>
      <c r="H188" s="299"/>
      <c r="I188" s="299"/>
      <c r="J188" s="299"/>
      <c r="K188" s="299"/>
      <c r="L188" s="299"/>
      <c r="M188" s="299"/>
      <c r="N188" s="299"/>
      <c r="O188" s="299"/>
      <c r="P188" s="299"/>
      <c r="Q188" s="299"/>
      <c r="R188" s="299"/>
      <c r="S188" s="299"/>
      <c r="T188" s="299"/>
      <c r="U188" s="299"/>
      <c r="V188" s="299"/>
      <c r="W188" s="299"/>
      <c r="X188" s="299"/>
      <c r="Y188" s="299"/>
      <c r="Z188" s="299"/>
      <c r="AA188" s="299"/>
      <c r="AB188" s="299"/>
    </row>
    <row r="189" spans="1:28" ht="15.75" hidden="1" outlineLevel="1" x14ac:dyDescent="0.25">
      <c r="A189" s="291"/>
      <c r="B189" s="291"/>
      <c r="C189" s="291"/>
      <c r="D189" s="291"/>
      <c r="E189" s="291"/>
      <c r="F189" s="291"/>
      <c r="G189" s="291"/>
      <c r="H189" s="291"/>
      <c r="I189" s="291"/>
      <c r="J189" s="291"/>
      <c r="K189" s="291">
        <f>K$2</f>
        <v>1.1000000000000001</v>
      </c>
      <c r="L189" s="291">
        <f>L$2</f>
        <v>1</v>
      </c>
      <c r="M189" s="291"/>
      <c r="N189" s="291"/>
      <c r="O189" s="303"/>
      <c r="P189" s="303"/>
      <c r="Q189" s="303"/>
      <c r="R189" s="291"/>
      <c r="S189" s="291"/>
      <c r="T189" s="291"/>
      <c r="U189" s="291">
        <f>U$2</f>
        <v>1.0880000000000001</v>
      </c>
      <c r="V189" s="291">
        <f>V$2</f>
        <v>1</v>
      </c>
      <c r="W189" s="291">
        <f t="shared" ref="W189:AB189" si="64">W$2</f>
        <v>1.0960000000000001</v>
      </c>
      <c r="X189" s="291">
        <f t="shared" si="64"/>
        <v>0.84</v>
      </c>
      <c r="Y189" s="291">
        <f t="shared" si="64"/>
        <v>1.1200000000000001</v>
      </c>
      <c r="Z189" s="291">
        <f t="shared" si="64"/>
        <v>0.96</v>
      </c>
      <c r="AA189" s="291">
        <f t="shared" si="64"/>
        <v>0.92</v>
      </c>
      <c r="AB189" s="291">
        <f t="shared" si="64"/>
        <v>1.28</v>
      </c>
    </row>
    <row r="190" spans="1:28" s="305" customFormat="1" hidden="1" outlineLevel="1" x14ac:dyDescent="0.25">
      <c r="A190" s="278"/>
      <c r="B190" s="279" t="str">
        <f>C190&amp;D190&amp;E190&amp;F190</f>
        <v/>
      </c>
      <c r="C190" s="278"/>
      <c r="D190" s="278"/>
      <c r="E190" s="278"/>
      <c r="F190" s="278"/>
      <c r="G190" s="278"/>
      <c r="H190" s="290"/>
      <c r="I190" s="280">
        <f>$I$2*H190</f>
        <v>0</v>
      </c>
      <c r="J190" s="281">
        <f>$J$2*H190</f>
        <v>0</v>
      </c>
      <c r="K190" s="282">
        <f>IF(Notes!$B$9="Domestic",I190, IF(Notes!$B$9="Commercial",J190))*$K$189</f>
        <v>0</v>
      </c>
      <c r="L190" s="283">
        <f>(SUM(O190:Q190)+(K190+SUM(M190:Q190))*(INDEX($U$189:$AB$189,MATCH(Notes!$C$16,$U$3:$AB$3,0))-100%))*$L$189</f>
        <v>0</v>
      </c>
      <c r="M190" s="286"/>
      <c r="N190" s="286"/>
      <c r="O190" s="285"/>
      <c r="P190" s="285"/>
      <c r="Q190" s="285"/>
      <c r="R190" s="278"/>
      <c r="S190" s="278"/>
      <c r="T190" s="278"/>
    </row>
    <row r="191" spans="1:28" s="305" customFormat="1" hidden="1" outlineLevel="1" x14ac:dyDescent="0.25">
      <c r="A191" s="278"/>
      <c r="B191" s="279" t="str">
        <f t="shared" ref="B191:B199" si="65">C191&amp;D191&amp;E191&amp;F191</f>
        <v/>
      </c>
      <c r="C191" s="278"/>
      <c r="D191" s="278"/>
      <c r="E191" s="278"/>
      <c r="F191" s="278"/>
      <c r="G191" s="278"/>
      <c r="H191" s="290"/>
      <c r="I191" s="280">
        <f t="shared" ref="I191:I199" si="66">$I$2*H191</f>
        <v>0</v>
      </c>
      <c r="J191" s="281">
        <f t="shared" ref="J191:J199" si="67">$J$2*H191</f>
        <v>0</v>
      </c>
      <c r="K191" s="282">
        <f>IF(Notes!$B$9="Domestic",I191, IF(Notes!$B$9="Commercial",J191))*$K$189</f>
        <v>0</v>
      </c>
      <c r="L191" s="283">
        <f>(SUM(O191:Q191)+(K191+SUM(M191:Q191))*(INDEX($U$189:$AB$189,MATCH(Notes!$C$16,$U$3:$AB$3,0))-100%))*$L$189</f>
        <v>0</v>
      </c>
      <c r="M191" s="286"/>
      <c r="N191" s="286"/>
      <c r="O191" s="285"/>
      <c r="P191" s="285"/>
      <c r="Q191" s="285"/>
      <c r="R191" s="278"/>
      <c r="S191" s="278"/>
      <c r="T191" s="278"/>
    </row>
    <row r="192" spans="1:28" s="305" customFormat="1" hidden="1" outlineLevel="1" x14ac:dyDescent="0.25">
      <c r="A192" s="278"/>
      <c r="B192" s="279" t="str">
        <f t="shared" si="65"/>
        <v/>
      </c>
      <c r="C192" s="278"/>
      <c r="D192" s="278"/>
      <c r="E192" s="278"/>
      <c r="F192" s="278"/>
      <c r="G192" s="278"/>
      <c r="H192" s="290"/>
      <c r="I192" s="280">
        <f t="shared" si="66"/>
        <v>0</v>
      </c>
      <c r="J192" s="281">
        <f t="shared" si="67"/>
        <v>0</v>
      </c>
      <c r="K192" s="282">
        <f>IF(Notes!$B$9="Domestic",I192, IF(Notes!$B$9="Commercial",J192))*$K$189</f>
        <v>0</v>
      </c>
      <c r="L192" s="283">
        <f>(SUM(O192:Q192)+(K192+SUM(M192:Q192))*(INDEX($U$189:$AB$189,MATCH(Notes!$C$16,$U$3:$AB$3,0))-100%))*$L$189</f>
        <v>0</v>
      </c>
      <c r="M192" s="286"/>
      <c r="N192" s="286"/>
      <c r="O192" s="285"/>
      <c r="P192" s="285"/>
      <c r="Q192" s="285"/>
      <c r="R192" s="278"/>
      <c r="S192" s="278"/>
      <c r="T192" s="278"/>
    </row>
    <row r="193" spans="1:28" s="305" customFormat="1" hidden="1" outlineLevel="1" x14ac:dyDescent="0.25">
      <c r="A193" s="278"/>
      <c r="B193" s="279" t="str">
        <f t="shared" si="65"/>
        <v/>
      </c>
      <c r="C193" s="278"/>
      <c r="D193" s="278"/>
      <c r="E193" s="278"/>
      <c r="F193" s="278"/>
      <c r="G193" s="278"/>
      <c r="H193" s="290"/>
      <c r="I193" s="280">
        <f t="shared" si="66"/>
        <v>0</v>
      </c>
      <c r="J193" s="281">
        <f t="shared" si="67"/>
        <v>0</v>
      </c>
      <c r="K193" s="282">
        <f>IF(Notes!$B$9="Domestic",I193, IF(Notes!$B$9="Commercial",J193))*$K$189</f>
        <v>0</v>
      </c>
      <c r="L193" s="283">
        <f>(SUM(O193:Q193)+(K193+SUM(M193:Q193))*(INDEX($U$189:$AB$189,MATCH(Notes!$C$16,$U$3:$AB$3,0))-100%))*$L$189</f>
        <v>0</v>
      </c>
      <c r="M193" s="286"/>
      <c r="N193" s="286"/>
      <c r="O193" s="285"/>
      <c r="P193" s="285"/>
      <c r="Q193" s="285"/>
      <c r="R193" s="278"/>
      <c r="S193" s="278"/>
      <c r="T193" s="278"/>
    </row>
    <row r="194" spans="1:28" s="305" customFormat="1" hidden="1" outlineLevel="1" x14ac:dyDescent="0.25">
      <c r="A194" s="278"/>
      <c r="B194" s="279" t="str">
        <f t="shared" si="65"/>
        <v/>
      </c>
      <c r="C194" s="278"/>
      <c r="D194" s="278"/>
      <c r="E194" s="278"/>
      <c r="F194" s="278"/>
      <c r="G194" s="278"/>
      <c r="H194" s="290"/>
      <c r="I194" s="280">
        <f>$I$2*H194</f>
        <v>0</v>
      </c>
      <c r="J194" s="281">
        <f t="shared" si="67"/>
        <v>0</v>
      </c>
      <c r="K194" s="282">
        <f>IF(Notes!$B$9="Domestic",I194, IF(Notes!$B$9="Commercial",J194))*$K$189</f>
        <v>0</v>
      </c>
      <c r="L194" s="283">
        <f>(SUM(O194:Q194)+(K194+SUM(M194:Q194))*(INDEX($U$189:$AB$189,MATCH(Notes!$C$16,$U$3:$AB$3,0))-100%))*$L$189</f>
        <v>0</v>
      </c>
      <c r="M194" s="286"/>
      <c r="N194" s="286"/>
      <c r="O194" s="285"/>
      <c r="P194" s="285"/>
      <c r="Q194" s="285"/>
      <c r="R194" s="278"/>
      <c r="S194" s="278"/>
      <c r="T194" s="278"/>
    </row>
    <row r="195" spans="1:28" s="305" customFormat="1" hidden="1" outlineLevel="1" x14ac:dyDescent="0.25">
      <c r="A195" s="278"/>
      <c r="B195" s="279" t="str">
        <f t="shared" si="65"/>
        <v/>
      </c>
      <c r="C195" s="278"/>
      <c r="D195" s="278"/>
      <c r="E195" s="278"/>
      <c r="F195" s="278"/>
      <c r="G195" s="278"/>
      <c r="H195" s="290"/>
      <c r="I195" s="280">
        <f t="shared" si="66"/>
        <v>0</v>
      </c>
      <c r="J195" s="281">
        <f t="shared" si="67"/>
        <v>0</v>
      </c>
      <c r="K195" s="282">
        <f>IF(Notes!$B$9="Domestic",I195, IF(Notes!$B$9="Commercial",J195))*$K$189</f>
        <v>0</v>
      </c>
      <c r="L195" s="283">
        <f>(SUM(O195:Q195)+(K195+SUM(M195:Q195))*(INDEX($U$189:$AB$189,MATCH(Notes!$C$16,$U$3:$AB$3,0))-100%))*$L$189</f>
        <v>0</v>
      </c>
      <c r="M195" s="286"/>
      <c r="N195" s="286"/>
      <c r="O195" s="285"/>
      <c r="P195" s="285"/>
      <c r="Q195" s="285"/>
      <c r="R195" s="278"/>
      <c r="S195" s="278"/>
      <c r="T195" s="278"/>
    </row>
    <row r="196" spans="1:28" s="305" customFormat="1" hidden="1" outlineLevel="1" x14ac:dyDescent="0.25">
      <c r="A196" s="278"/>
      <c r="B196" s="279" t="str">
        <f t="shared" si="65"/>
        <v/>
      </c>
      <c r="C196" s="278"/>
      <c r="D196" s="278"/>
      <c r="E196" s="278"/>
      <c r="F196" s="278"/>
      <c r="G196" s="278"/>
      <c r="H196" s="290"/>
      <c r="I196" s="280">
        <f t="shared" si="66"/>
        <v>0</v>
      </c>
      <c r="J196" s="281">
        <f t="shared" si="67"/>
        <v>0</v>
      </c>
      <c r="K196" s="282">
        <f>IF(Notes!$B$9="Domestic",I196, IF(Notes!$B$9="Commercial",J196))*$K$189</f>
        <v>0</v>
      </c>
      <c r="L196" s="283">
        <f>(SUM(O196:Q196)+(K196+SUM(M196:Q196))*(INDEX($U$189:$AB$189,MATCH(Notes!$C$16,$U$3:$AB$3,0))-100%))*$L$189</f>
        <v>0</v>
      </c>
      <c r="M196" s="286"/>
      <c r="N196" s="286"/>
      <c r="O196" s="285"/>
      <c r="P196" s="285"/>
      <c r="Q196" s="285"/>
      <c r="R196" s="278"/>
      <c r="S196" s="278"/>
      <c r="T196" s="278"/>
    </row>
    <row r="197" spans="1:28" s="305" customFormat="1" hidden="1" outlineLevel="1" x14ac:dyDescent="0.25">
      <c r="A197" s="278"/>
      <c r="B197" s="279" t="str">
        <f t="shared" si="65"/>
        <v/>
      </c>
      <c r="C197" s="278"/>
      <c r="D197" s="278"/>
      <c r="E197" s="278"/>
      <c r="F197" s="278"/>
      <c r="G197" s="278"/>
      <c r="H197" s="290"/>
      <c r="I197" s="280">
        <f t="shared" si="66"/>
        <v>0</v>
      </c>
      <c r="J197" s="281">
        <f t="shared" si="67"/>
        <v>0</v>
      </c>
      <c r="K197" s="282">
        <f>IF(Notes!$B$9="Domestic",I197, IF(Notes!$B$9="Commercial",J197))*$K$189</f>
        <v>0</v>
      </c>
      <c r="L197" s="283">
        <f>(SUM(O197:Q197)+(K197+SUM(M197:Q197))*(INDEX($U$189:$AB$189,MATCH(Notes!$C$16,$U$3:$AB$3,0))-100%))*$L$189</f>
        <v>0</v>
      </c>
      <c r="M197" s="286"/>
      <c r="N197" s="286"/>
      <c r="O197" s="285"/>
      <c r="P197" s="285"/>
      <c r="Q197" s="285"/>
      <c r="R197" s="278"/>
      <c r="S197" s="278"/>
      <c r="T197" s="278"/>
    </row>
    <row r="198" spans="1:28" s="305" customFormat="1" hidden="1" outlineLevel="1" x14ac:dyDescent="0.25">
      <c r="A198" s="278"/>
      <c r="B198" s="279" t="str">
        <f t="shared" si="65"/>
        <v/>
      </c>
      <c r="C198" s="278"/>
      <c r="D198" s="278"/>
      <c r="E198" s="278"/>
      <c r="F198" s="278"/>
      <c r="G198" s="278"/>
      <c r="H198" s="290"/>
      <c r="I198" s="280">
        <f t="shared" si="66"/>
        <v>0</v>
      </c>
      <c r="J198" s="281">
        <f t="shared" si="67"/>
        <v>0</v>
      </c>
      <c r="K198" s="282">
        <f>IF(Notes!$B$9="Domestic",I198, IF(Notes!$B$9="Commercial",J198))*$K$189</f>
        <v>0</v>
      </c>
      <c r="L198" s="283">
        <f>(SUM(O198:Q198)+(K198+SUM(M198:Q198))*(INDEX($U$189:$AB$189,MATCH(Notes!$C$16,$U$3:$AB$3,0))-100%))*$L$189</f>
        <v>0</v>
      </c>
      <c r="M198" s="286"/>
      <c r="N198" s="286"/>
      <c r="O198" s="285"/>
      <c r="P198" s="285"/>
      <c r="Q198" s="285"/>
      <c r="R198" s="278"/>
      <c r="S198" s="278"/>
      <c r="T198" s="278"/>
    </row>
    <row r="199" spans="1:28" s="305" customFormat="1" hidden="1" outlineLevel="1" x14ac:dyDescent="0.25">
      <c r="A199" s="278"/>
      <c r="B199" s="279" t="str">
        <f t="shared" si="65"/>
        <v/>
      </c>
      <c r="C199" s="278"/>
      <c r="D199" s="278"/>
      <c r="E199" s="278"/>
      <c r="F199" s="278"/>
      <c r="G199" s="278"/>
      <c r="H199" s="290"/>
      <c r="I199" s="280">
        <f t="shared" si="66"/>
        <v>0</v>
      </c>
      <c r="J199" s="281">
        <f t="shared" si="67"/>
        <v>0</v>
      </c>
      <c r="K199" s="282">
        <f>IF(Notes!$B$9="Domestic",I199, IF(Notes!$B$9="Commercial",J199))*$K$189</f>
        <v>0</v>
      </c>
      <c r="L199" s="283">
        <f>(SUM(O199:Q199)+(K199+SUM(M199:Q199))*(INDEX($U$189:$AB$189,MATCH(Notes!$C$16,$U$3:$AB$3,0))-100%))*$L$189</f>
        <v>0</v>
      </c>
      <c r="M199" s="286"/>
      <c r="N199" s="286"/>
      <c r="O199" s="285"/>
      <c r="P199" s="285"/>
      <c r="Q199" s="285"/>
      <c r="R199" s="278"/>
      <c r="S199" s="278"/>
      <c r="T199" s="278"/>
    </row>
    <row r="200" spans="1:28" ht="21" hidden="1" outlineLevel="1" x14ac:dyDescent="0.25">
      <c r="A200" s="299"/>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row>
    <row r="201" spans="1:28" ht="15.75" hidden="1" outlineLevel="1" x14ac:dyDescent="0.25">
      <c r="A201" s="291"/>
      <c r="B201" s="291"/>
      <c r="C201" s="291"/>
      <c r="D201" s="291"/>
      <c r="E201" s="291"/>
      <c r="F201" s="291"/>
      <c r="G201" s="291"/>
      <c r="H201" s="291"/>
      <c r="I201" s="291"/>
      <c r="J201" s="291"/>
      <c r="K201" s="291">
        <f>K$2</f>
        <v>1.1000000000000001</v>
      </c>
      <c r="L201" s="291">
        <f>L$2</f>
        <v>1</v>
      </c>
      <c r="M201" s="291"/>
      <c r="N201" s="291"/>
      <c r="O201" s="303"/>
      <c r="P201" s="303"/>
      <c r="Q201" s="303"/>
      <c r="R201" s="291"/>
      <c r="S201" s="291"/>
      <c r="T201" s="291"/>
      <c r="U201" s="291">
        <f>U$2</f>
        <v>1.0880000000000001</v>
      </c>
      <c r="V201" s="291">
        <f>V$2</f>
        <v>1</v>
      </c>
      <c r="W201" s="291">
        <f t="shared" ref="W201:AB201" si="68">W$2</f>
        <v>1.0960000000000001</v>
      </c>
      <c r="X201" s="291">
        <f t="shared" si="68"/>
        <v>0.84</v>
      </c>
      <c r="Y201" s="291">
        <f t="shared" si="68"/>
        <v>1.1200000000000001</v>
      </c>
      <c r="Z201" s="291">
        <f t="shared" si="68"/>
        <v>0.96</v>
      </c>
      <c r="AA201" s="291">
        <f t="shared" si="68"/>
        <v>0.92</v>
      </c>
      <c r="AB201" s="291">
        <f t="shared" si="68"/>
        <v>1.28</v>
      </c>
    </row>
    <row r="202" spans="1:28" s="305" customFormat="1" hidden="1" outlineLevel="1" x14ac:dyDescent="0.25">
      <c r="A202" s="278"/>
      <c r="B202" s="279" t="str">
        <f>C202&amp;D202&amp;E202&amp;F202</f>
        <v/>
      </c>
      <c r="C202" s="278"/>
      <c r="D202" s="278"/>
      <c r="E202" s="278"/>
      <c r="F202" s="278"/>
      <c r="G202" s="278"/>
      <c r="H202" s="290"/>
      <c r="I202" s="280">
        <f>$I$2*H202</f>
        <v>0</v>
      </c>
      <c r="J202" s="281">
        <f>$J$2*H202</f>
        <v>0</v>
      </c>
      <c r="K202" s="282">
        <f>IF(Notes!$B$9="Domestic",I202, IF(Notes!$B$9="Commercial",J202))*$K$201</f>
        <v>0</v>
      </c>
      <c r="L202" s="283">
        <f>(SUM(O202:Q202)+(K202+SUM(M202:Q202))*(INDEX($U$201:$AB$201,MATCH(Notes!$C$16,$U$3:$AB$3,0))-100%))*$L$201</f>
        <v>0</v>
      </c>
      <c r="M202" s="286"/>
      <c r="N202" s="286"/>
      <c r="O202" s="285"/>
      <c r="P202" s="285"/>
      <c r="Q202" s="285"/>
      <c r="R202" s="278"/>
      <c r="S202" s="278"/>
      <c r="T202" s="278"/>
    </row>
    <row r="203" spans="1:28" s="305" customFormat="1" hidden="1" outlineLevel="1" x14ac:dyDescent="0.25">
      <c r="A203" s="278"/>
      <c r="B203" s="279" t="str">
        <f t="shared" ref="B203:B211" si="69">C203&amp;D203&amp;E203&amp;F203</f>
        <v/>
      </c>
      <c r="C203" s="278"/>
      <c r="D203" s="278"/>
      <c r="E203" s="278"/>
      <c r="F203" s="278"/>
      <c r="G203" s="278"/>
      <c r="H203" s="290"/>
      <c r="I203" s="280">
        <f t="shared" ref="I203:I211" si="70">$I$2*H203</f>
        <v>0</v>
      </c>
      <c r="J203" s="281">
        <f t="shared" ref="J203:J211" si="71">$J$2*H203</f>
        <v>0</v>
      </c>
      <c r="K203" s="282">
        <f>IF(Notes!$B$9="Domestic",I203, IF(Notes!$B$9="Commercial",J203))*$K$201</f>
        <v>0</v>
      </c>
      <c r="L203" s="283">
        <f>(SUM(O203:Q203)+(K203+SUM(M203:Q203))*(INDEX($U$201:$AB$201,MATCH(Notes!$C$16,$U$3:$AB$3,0))-100%))*$L$201</f>
        <v>0</v>
      </c>
      <c r="M203" s="286"/>
      <c r="N203" s="286"/>
      <c r="O203" s="285"/>
      <c r="P203" s="285"/>
      <c r="Q203" s="285"/>
      <c r="R203" s="278"/>
      <c r="S203" s="278"/>
      <c r="T203" s="278"/>
    </row>
    <row r="204" spans="1:28" s="305" customFormat="1" hidden="1" outlineLevel="1" x14ac:dyDescent="0.25">
      <c r="A204" s="278"/>
      <c r="B204" s="279" t="str">
        <f t="shared" si="69"/>
        <v/>
      </c>
      <c r="C204" s="278"/>
      <c r="D204" s="278"/>
      <c r="E204" s="278"/>
      <c r="F204" s="278"/>
      <c r="G204" s="278"/>
      <c r="H204" s="290"/>
      <c r="I204" s="280">
        <f t="shared" si="70"/>
        <v>0</v>
      </c>
      <c r="J204" s="281">
        <f t="shared" si="71"/>
        <v>0</v>
      </c>
      <c r="K204" s="282">
        <f>IF(Notes!$B$9="Domestic",I204, IF(Notes!$B$9="Commercial",J204))*$K$201</f>
        <v>0</v>
      </c>
      <c r="L204" s="283">
        <f>(SUM(O204:Q204)+(K204+SUM(M204:Q204))*(INDEX($U$201:$AB$201,MATCH(Notes!$C$16,$U$3:$AB$3,0))-100%))*$L$201</f>
        <v>0</v>
      </c>
      <c r="M204" s="286"/>
      <c r="N204" s="286"/>
      <c r="O204" s="285"/>
      <c r="P204" s="285"/>
      <c r="Q204" s="285"/>
      <c r="R204" s="278"/>
      <c r="S204" s="278"/>
      <c r="T204" s="278"/>
    </row>
    <row r="205" spans="1:28" s="305" customFormat="1" hidden="1" outlineLevel="1" x14ac:dyDescent="0.25">
      <c r="A205" s="278"/>
      <c r="B205" s="279" t="str">
        <f t="shared" si="69"/>
        <v/>
      </c>
      <c r="C205" s="278"/>
      <c r="D205" s="278"/>
      <c r="E205" s="278"/>
      <c r="F205" s="278"/>
      <c r="G205" s="278"/>
      <c r="H205" s="290"/>
      <c r="I205" s="280">
        <f t="shared" si="70"/>
        <v>0</v>
      </c>
      <c r="J205" s="281">
        <f t="shared" si="71"/>
        <v>0</v>
      </c>
      <c r="K205" s="282">
        <f>IF(Notes!$B$9="Domestic",I205, IF(Notes!$B$9="Commercial",J205))*$K$201</f>
        <v>0</v>
      </c>
      <c r="L205" s="283">
        <f>(SUM(O205:Q205)+(K205+SUM(M205:Q205))*(INDEX($U$201:$AB$201,MATCH(Notes!$C$16,$U$3:$AB$3,0))-100%))*$L$201</f>
        <v>0</v>
      </c>
      <c r="M205" s="286"/>
      <c r="N205" s="286"/>
      <c r="O205" s="285"/>
      <c r="P205" s="285"/>
      <c r="Q205" s="285"/>
      <c r="R205" s="278"/>
      <c r="S205" s="278"/>
      <c r="T205" s="278"/>
    </row>
    <row r="206" spans="1:28" s="305" customFormat="1" hidden="1" outlineLevel="1" x14ac:dyDescent="0.25">
      <c r="A206" s="278"/>
      <c r="B206" s="279" t="str">
        <f t="shared" si="69"/>
        <v/>
      </c>
      <c r="C206" s="278"/>
      <c r="D206" s="278"/>
      <c r="E206" s="278"/>
      <c r="F206" s="278"/>
      <c r="G206" s="278"/>
      <c r="H206" s="290"/>
      <c r="I206" s="280">
        <f>$I$2*H206</f>
        <v>0</v>
      </c>
      <c r="J206" s="281">
        <f t="shared" si="71"/>
        <v>0</v>
      </c>
      <c r="K206" s="282">
        <f>IF(Notes!$B$9="Domestic",I206, IF(Notes!$B$9="Commercial",J206))*$K$201</f>
        <v>0</v>
      </c>
      <c r="L206" s="283">
        <f>(SUM(O206:Q206)+(K206+SUM(M206:Q206))*(INDEX($U$201:$AB$201,MATCH(Notes!$C$16,$U$3:$AB$3,0))-100%))*$L$201</f>
        <v>0</v>
      </c>
      <c r="M206" s="286"/>
      <c r="N206" s="286"/>
      <c r="O206" s="285"/>
      <c r="P206" s="285"/>
      <c r="Q206" s="285"/>
      <c r="R206" s="278"/>
      <c r="S206" s="278"/>
      <c r="T206" s="278"/>
    </row>
    <row r="207" spans="1:28" s="305" customFormat="1" hidden="1" outlineLevel="1" x14ac:dyDescent="0.25">
      <c r="A207" s="278"/>
      <c r="B207" s="279" t="str">
        <f t="shared" si="69"/>
        <v/>
      </c>
      <c r="C207" s="278"/>
      <c r="D207" s="278"/>
      <c r="E207" s="278"/>
      <c r="F207" s="278"/>
      <c r="G207" s="278"/>
      <c r="H207" s="290"/>
      <c r="I207" s="280">
        <f t="shared" si="70"/>
        <v>0</v>
      </c>
      <c r="J207" s="281">
        <f t="shared" si="71"/>
        <v>0</v>
      </c>
      <c r="K207" s="282">
        <f>IF(Notes!$B$9="Domestic",I207, IF(Notes!$B$9="Commercial",J207))*$K$201</f>
        <v>0</v>
      </c>
      <c r="L207" s="283">
        <f>(SUM(O207:Q207)+(K207+SUM(M207:Q207))*(INDEX($U$201:$AB$201,MATCH(Notes!$C$16,$U$3:$AB$3,0))-100%))*$L$201</f>
        <v>0</v>
      </c>
      <c r="M207" s="286"/>
      <c r="N207" s="286"/>
      <c r="O207" s="285"/>
      <c r="P207" s="285"/>
      <c r="Q207" s="285"/>
      <c r="R207" s="278"/>
      <c r="S207" s="278"/>
      <c r="T207" s="278"/>
    </row>
    <row r="208" spans="1:28" s="305" customFormat="1" hidden="1" outlineLevel="1" x14ac:dyDescent="0.25">
      <c r="A208" s="278"/>
      <c r="B208" s="279" t="str">
        <f t="shared" si="69"/>
        <v/>
      </c>
      <c r="C208" s="278"/>
      <c r="D208" s="278"/>
      <c r="E208" s="278"/>
      <c r="F208" s="278"/>
      <c r="G208" s="278"/>
      <c r="H208" s="290"/>
      <c r="I208" s="280">
        <f t="shared" si="70"/>
        <v>0</v>
      </c>
      <c r="J208" s="281">
        <f t="shared" si="71"/>
        <v>0</v>
      </c>
      <c r="K208" s="282">
        <f>IF(Notes!$B$9="Domestic",I208, IF(Notes!$B$9="Commercial",J208))*$K$201</f>
        <v>0</v>
      </c>
      <c r="L208" s="283">
        <f>(SUM(O208:Q208)+(K208+SUM(M208:Q208))*(INDEX($U$201:$AB$201,MATCH(Notes!$C$16,$U$3:$AB$3,0))-100%))*$L$201</f>
        <v>0</v>
      </c>
      <c r="M208" s="286"/>
      <c r="N208" s="286"/>
      <c r="O208" s="285"/>
      <c r="P208" s="285"/>
      <c r="Q208" s="285"/>
      <c r="R208" s="278"/>
      <c r="S208" s="278"/>
      <c r="T208" s="278"/>
    </row>
    <row r="209" spans="1:28" s="305" customFormat="1" hidden="1" outlineLevel="1" x14ac:dyDescent="0.25">
      <c r="A209" s="278"/>
      <c r="B209" s="279" t="str">
        <f t="shared" si="69"/>
        <v/>
      </c>
      <c r="C209" s="278"/>
      <c r="D209" s="278"/>
      <c r="E209" s="278"/>
      <c r="F209" s="278"/>
      <c r="G209" s="278"/>
      <c r="H209" s="290"/>
      <c r="I209" s="280">
        <f t="shared" si="70"/>
        <v>0</v>
      </c>
      <c r="J209" s="281">
        <f t="shared" si="71"/>
        <v>0</v>
      </c>
      <c r="K209" s="282">
        <f>IF(Notes!$B$9="Domestic",I209, IF(Notes!$B$9="Commercial",J209))*$K$201</f>
        <v>0</v>
      </c>
      <c r="L209" s="283">
        <f>(SUM(O209:Q209)+(K209+SUM(M209:Q209))*(INDEX($U$201:$AB$201,MATCH(Notes!$C$16,$U$3:$AB$3,0))-100%))*$L$201</f>
        <v>0</v>
      </c>
      <c r="M209" s="286"/>
      <c r="N209" s="286"/>
      <c r="O209" s="285"/>
      <c r="P209" s="285"/>
      <c r="Q209" s="285"/>
      <c r="R209" s="278"/>
      <c r="S209" s="278"/>
      <c r="T209" s="278"/>
    </row>
    <row r="210" spans="1:28" s="305" customFormat="1" hidden="1" outlineLevel="1" x14ac:dyDescent="0.25">
      <c r="A210" s="278"/>
      <c r="B210" s="279" t="str">
        <f t="shared" si="69"/>
        <v/>
      </c>
      <c r="C210" s="278"/>
      <c r="D210" s="278"/>
      <c r="E210" s="278"/>
      <c r="F210" s="278"/>
      <c r="G210" s="278"/>
      <c r="H210" s="290"/>
      <c r="I210" s="280">
        <f t="shared" si="70"/>
        <v>0</v>
      </c>
      <c r="J210" s="281">
        <f t="shared" si="71"/>
        <v>0</v>
      </c>
      <c r="K210" s="282">
        <f>IF(Notes!$B$9="Domestic",I210, IF(Notes!$B$9="Commercial",J210))*$K$201</f>
        <v>0</v>
      </c>
      <c r="L210" s="283">
        <f>(SUM(O210:Q210)+(K210+SUM(M210:Q210))*(INDEX($U$201:$AB$201,MATCH(Notes!$C$16,$U$3:$AB$3,0))-100%))*$L$201</f>
        <v>0</v>
      </c>
      <c r="M210" s="286"/>
      <c r="N210" s="286"/>
      <c r="O210" s="285"/>
      <c r="P210" s="285"/>
      <c r="Q210" s="285"/>
      <c r="R210" s="278"/>
      <c r="S210" s="278"/>
      <c r="T210" s="278"/>
    </row>
    <row r="211" spans="1:28" s="305" customFormat="1" hidden="1" outlineLevel="1" x14ac:dyDescent="0.25">
      <c r="A211" s="278"/>
      <c r="B211" s="279" t="str">
        <f t="shared" si="69"/>
        <v/>
      </c>
      <c r="C211" s="278"/>
      <c r="D211" s="278"/>
      <c r="E211" s="278"/>
      <c r="F211" s="278"/>
      <c r="G211" s="278"/>
      <c r="H211" s="290"/>
      <c r="I211" s="280">
        <f t="shared" si="70"/>
        <v>0</v>
      </c>
      <c r="J211" s="281">
        <f t="shared" si="71"/>
        <v>0</v>
      </c>
      <c r="K211" s="282">
        <f>IF(Notes!$B$9="Domestic",I211, IF(Notes!$B$9="Commercial",J211))*$K$201</f>
        <v>0</v>
      </c>
      <c r="L211" s="283">
        <f>(SUM(O211:Q211)+(K211+SUM(M211:Q211))*(INDEX($U$201:$AB$201,MATCH(Notes!$C$16,$U$3:$AB$3,0))-100%))*$L$201</f>
        <v>0</v>
      </c>
      <c r="M211" s="286"/>
      <c r="N211" s="286"/>
      <c r="O211" s="285"/>
      <c r="P211" s="285"/>
      <c r="Q211" s="285"/>
      <c r="R211" s="278"/>
      <c r="S211" s="278"/>
      <c r="T211" s="278"/>
    </row>
    <row r="212" spans="1:28" ht="21" hidden="1" outlineLevel="1" x14ac:dyDescent="0.25">
      <c r="A212" s="299"/>
      <c r="B212" s="299"/>
      <c r="C212" s="299"/>
      <c r="D212" s="299"/>
      <c r="E212" s="299"/>
      <c r="F212" s="299"/>
      <c r="G212" s="299"/>
      <c r="H212" s="299"/>
      <c r="I212" s="299"/>
      <c r="J212" s="299"/>
      <c r="K212" s="299"/>
      <c r="L212" s="299"/>
      <c r="M212" s="299"/>
      <c r="N212" s="299"/>
      <c r="O212" s="299"/>
      <c r="P212" s="299"/>
      <c r="Q212" s="299"/>
      <c r="R212" s="299"/>
      <c r="S212" s="299"/>
      <c r="T212" s="299"/>
      <c r="U212" s="299"/>
      <c r="V212" s="299"/>
      <c r="W212" s="299"/>
      <c r="X212" s="299"/>
      <c r="Y212" s="299"/>
      <c r="Z212" s="299"/>
      <c r="AA212" s="299"/>
      <c r="AB212" s="299"/>
    </row>
    <row r="213" spans="1:28" ht="15.75" hidden="1" outlineLevel="1" x14ac:dyDescent="0.25">
      <c r="A213" s="291"/>
      <c r="B213" s="291"/>
      <c r="C213" s="291"/>
      <c r="D213" s="291"/>
      <c r="E213" s="291"/>
      <c r="F213" s="291"/>
      <c r="G213" s="291"/>
      <c r="H213" s="291"/>
      <c r="I213" s="291"/>
      <c r="J213" s="291"/>
      <c r="K213" s="291">
        <f>K$2</f>
        <v>1.1000000000000001</v>
      </c>
      <c r="L213" s="291">
        <f>L$2</f>
        <v>1</v>
      </c>
      <c r="M213" s="291"/>
      <c r="N213" s="291"/>
      <c r="O213" s="303"/>
      <c r="P213" s="303"/>
      <c r="Q213" s="303"/>
      <c r="R213" s="291"/>
      <c r="S213" s="291"/>
      <c r="T213" s="291"/>
      <c r="U213" s="291">
        <f>U$2</f>
        <v>1.0880000000000001</v>
      </c>
      <c r="V213" s="291">
        <f>V$2</f>
        <v>1</v>
      </c>
      <c r="W213" s="291">
        <f t="shared" ref="W213:AB213" si="72">W$2</f>
        <v>1.0960000000000001</v>
      </c>
      <c r="X213" s="291">
        <f t="shared" si="72"/>
        <v>0.84</v>
      </c>
      <c r="Y213" s="291">
        <f t="shared" si="72"/>
        <v>1.1200000000000001</v>
      </c>
      <c r="Z213" s="291">
        <f t="shared" si="72"/>
        <v>0.96</v>
      </c>
      <c r="AA213" s="291">
        <f t="shared" si="72"/>
        <v>0.92</v>
      </c>
      <c r="AB213" s="291">
        <f t="shared" si="72"/>
        <v>1.28</v>
      </c>
    </row>
    <row r="214" spans="1:28" s="305" customFormat="1" hidden="1" outlineLevel="1" x14ac:dyDescent="0.25">
      <c r="A214" s="278"/>
      <c r="B214" s="279" t="str">
        <f>C214&amp;D214&amp;E214&amp;F214</f>
        <v/>
      </c>
      <c r="C214" s="278"/>
      <c r="D214" s="278"/>
      <c r="E214" s="278"/>
      <c r="F214" s="278"/>
      <c r="G214" s="278"/>
      <c r="H214" s="290"/>
      <c r="I214" s="280">
        <f>$I$2*H214</f>
        <v>0</v>
      </c>
      <c r="J214" s="281">
        <f>$J$2*H214</f>
        <v>0</v>
      </c>
      <c r="K214" s="282">
        <f>IF(Notes!$B$9="Domestic",I214, IF(Notes!$B$9="Commercial",J214))*$K$213</f>
        <v>0</v>
      </c>
      <c r="L214" s="283">
        <f>(SUM(O214:Q214)+(K214+SUM(M214:Q214))*(INDEX($U$213:$AB$213,MATCH(Notes!$C$16,$U$3:$AB$3,0))-100%))*$L$213</f>
        <v>0</v>
      </c>
      <c r="M214" s="286"/>
      <c r="N214" s="286"/>
      <c r="O214" s="285"/>
      <c r="P214" s="285"/>
      <c r="Q214" s="285"/>
      <c r="R214" s="278"/>
      <c r="S214" s="278"/>
      <c r="T214" s="278"/>
    </row>
    <row r="215" spans="1:28" s="305" customFormat="1" hidden="1" outlineLevel="1" x14ac:dyDescent="0.25">
      <c r="A215" s="278"/>
      <c r="B215" s="279" t="str">
        <f t="shared" ref="B215:B223" si="73">C215&amp;D215&amp;E215&amp;F215</f>
        <v/>
      </c>
      <c r="C215" s="278"/>
      <c r="D215" s="278"/>
      <c r="E215" s="278"/>
      <c r="F215" s="278"/>
      <c r="G215" s="278"/>
      <c r="H215" s="290"/>
      <c r="I215" s="280">
        <f t="shared" ref="I215:I223" si="74">$I$2*H215</f>
        <v>0</v>
      </c>
      <c r="J215" s="281">
        <f t="shared" ref="J215:J223" si="75">$J$2*H215</f>
        <v>0</v>
      </c>
      <c r="K215" s="282">
        <f>IF(Notes!$B$9="Domestic",I215, IF(Notes!$B$9="Commercial",J215))*$K$213</f>
        <v>0</v>
      </c>
      <c r="L215" s="283">
        <f>(SUM(O215:Q215)+(K215+SUM(M215:Q215))*(INDEX($U$213:$AB$213,MATCH(Notes!$C$16,$U$3:$AB$3,0))-100%))*$L$213</f>
        <v>0</v>
      </c>
      <c r="M215" s="286"/>
      <c r="N215" s="286"/>
      <c r="O215" s="285"/>
      <c r="P215" s="285"/>
      <c r="Q215" s="285"/>
      <c r="R215" s="278"/>
      <c r="S215" s="278"/>
      <c r="T215" s="278"/>
    </row>
    <row r="216" spans="1:28" s="305" customFormat="1" hidden="1" outlineLevel="1" x14ac:dyDescent="0.25">
      <c r="A216" s="278"/>
      <c r="B216" s="279" t="str">
        <f t="shared" si="73"/>
        <v/>
      </c>
      <c r="C216" s="278"/>
      <c r="D216" s="278"/>
      <c r="E216" s="278"/>
      <c r="F216" s="278"/>
      <c r="G216" s="278"/>
      <c r="H216" s="290"/>
      <c r="I216" s="280">
        <f t="shared" si="74"/>
        <v>0</v>
      </c>
      <c r="J216" s="281">
        <f t="shared" si="75"/>
        <v>0</v>
      </c>
      <c r="K216" s="282">
        <f>IF(Notes!$B$9="Domestic",I216, IF(Notes!$B$9="Commercial",J216))*$K$213</f>
        <v>0</v>
      </c>
      <c r="L216" s="283">
        <f>(SUM(O216:Q216)+(K216+SUM(M216:Q216))*(INDEX($U$213:$AB$213,MATCH(Notes!$C$16,$U$3:$AB$3,0))-100%))*$L$213</f>
        <v>0</v>
      </c>
      <c r="M216" s="286"/>
      <c r="N216" s="286"/>
      <c r="O216" s="285"/>
      <c r="P216" s="285"/>
      <c r="Q216" s="285"/>
      <c r="R216" s="278"/>
      <c r="S216" s="278"/>
      <c r="T216" s="278"/>
    </row>
    <row r="217" spans="1:28" s="305" customFormat="1" hidden="1" outlineLevel="1" x14ac:dyDescent="0.25">
      <c r="A217" s="278"/>
      <c r="B217" s="279" t="str">
        <f t="shared" si="73"/>
        <v/>
      </c>
      <c r="C217" s="278"/>
      <c r="D217" s="278"/>
      <c r="E217" s="278"/>
      <c r="F217" s="278"/>
      <c r="G217" s="278"/>
      <c r="H217" s="290"/>
      <c r="I217" s="280">
        <f t="shared" si="74"/>
        <v>0</v>
      </c>
      <c r="J217" s="281">
        <f t="shared" si="75"/>
        <v>0</v>
      </c>
      <c r="K217" s="282">
        <f>IF(Notes!$B$9="Domestic",I217, IF(Notes!$B$9="Commercial",J217))*$K$213</f>
        <v>0</v>
      </c>
      <c r="L217" s="283">
        <f>(SUM(O217:Q217)+(K217+SUM(M217:Q217))*(INDEX($U$213:$AB$213,MATCH(Notes!$C$16,$U$3:$AB$3,0))-100%))*$L$213</f>
        <v>0</v>
      </c>
      <c r="M217" s="286"/>
      <c r="N217" s="286"/>
      <c r="O217" s="285"/>
      <c r="P217" s="285"/>
      <c r="Q217" s="285"/>
      <c r="R217" s="278"/>
      <c r="S217" s="278"/>
      <c r="T217" s="278"/>
    </row>
    <row r="218" spans="1:28" s="305" customFormat="1" hidden="1" outlineLevel="1" x14ac:dyDescent="0.25">
      <c r="A218" s="278"/>
      <c r="B218" s="279" t="str">
        <f t="shared" si="73"/>
        <v/>
      </c>
      <c r="C218" s="278"/>
      <c r="D218" s="278"/>
      <c r="E218" s="278"/>
      <c r="F218" s="278"/>
      <c r="G218" s="278"/>
      <c r="H218" s="290"/>
      <c r="I218" s="280">
        <f>$I$2*H218</f>
        <v>0</v>
      </c>
      <c r="J218" s="281">
        <f t="shared" si="75"/>
        <v>0</v>
      </c>
      <c r="K218" s="282">
        <f>IF(Notes!$B$9="Domestic",I218, IF(Notes!$B$9="Commercial",J218))*$K$213</f>
        <v>0</v>
      </c>
      <c r="L218" s="283">
        <f>(SUM(O218:Q218)+(K218+SUM(M218:Q218))*(INDEX($U$213:$AB$213,MATCH(Notes!$C$16,$U$3:$AB$3,0))-100%))*$L$213</f>
        <v>0</v>
      </c>
      <c r="M218" s="286"/>
      <c r="N218" s="286"/>
      <c r="O218" s="285"/>
      <c r="P218" s="285"/>
      <c r="Q218" s="285"/>
      <c r="R218" s="278"/>
      <c r="S218" s="278"/>
      <c r="T218" s="278"/>
    </row>
    <row r="219" spans="1:28" s="305" customFormat="1" hidden="1" outlineLevel="1" x14ac:dyDescent="0.25">
      <c r="A219" s="278"/>
      <c r="B219" s="279" t="str">
        <f t="shared" si="73"/>
        <v/>
      </c>
      <c r="C219" s="278"/>
      <c r="D219" s="278"/>
      <c r="E219" s="278"/>
      <c r="F219" s="278"/>
      <c r="G219" s="278"/>
      <c r="H219" s="290"/>
      <c r="I219" s="280">
        <f t="shared" si="74"/>
        <v>0</v>
      </c>
      <c r="J219" s="281">
        <f t="shared" si="75"/>
        <v>0</v>
      </c>
      <c r="K219" s="282">
        <f>IF(Notes!$B$9="Domestic",I219, IF(Notes!$B$9="Commercial",J219))*$K$213</f>
        <v>0</v>
      </c>
      <c r="L219" s="283">
        <f>(SUM(O219:Q219)+(K219+SUM(M219:Q219))*(INDEX($U$213:$AB$213,MATCH(Notes!$C$16,$U$3:$AB$3,0))-100%))*$L$213</f>
        <v>0</v>
      </c>
      <c r="M219" s="286"/>
      <c r="N219" s="286"/>
      <c r="O219" s="285"/>
      <c r="P219" s="285"/>
      <c r="Q219" s="285"/>
      <c r="R219" s="278"/>
      <c r="S219" s="278"/>
      <c r="T219" s="278"/>
    </row>
    <row r="220" spans="1:28" s="305" customFormat="1" hidden="1" outlineLevel="1" x14ac:dyDescent="0.25">
      <c r="A220" s="278"/>
      <c r="B220" s="279" t="str">
        <f t="shared" si="73"/>
        <v/>
      </c>
      <c r="C220" s="278"/>
      <c r="D220" s="278"/>
      <c r="E220" s="278"/>
      <c r="F220" s="278"/>
      <c r="G220" s="278"/>
      <c r="H220" s="290"/>
      <c r="I220" s="280">
        <f t="shared" si="74"/>
        <v>0</v>
      </c>
      <c r="J220" s="281">
        <f t="shared" si="75"/>
        <v>0</v>
      </c>
      <c r="K220" s="282">
        <f>IF(Notes!$B$9="Domestic",I220, IF(Notes!$B$9="Commercial",J220))*$K$213</f>
        <v>0</v>
      </c>
      <c r="L220" s="283">
        <f>(SUM(O220:Q220)+(K220+SUM(M220:Q220))*(INDEX($U$213:$AB$213,MATCH(Notes!$C$16,$U$3:$AB$3,0))-100%))*$L$213</f>
        <v>0</v>
      </c>
      <c r="M220" s="286"/>
      <c r="N220" s="286"/>
      <c r="O220" s="285"/>
      <c r="P220" s="285"/>
      <c r="Q220" s="285"/>
      <c r="R220" s="278"/>
      <c r="S220" s="278"/>
      <c r="T220" s="278"/>
    </row>
    <row r="221" spans="1:28" s="305" customFormat="1" hidden="1" outlineLevel="1" x14ac:dyDescent="0.25">
      <c r="A221" s="278"/>
      <c r="B221" s="279" t="str">
        <f t="shared" si="73"/>
        <v/>
      </c>
      <c r="C221" s="278"/>
      <c r="D221" s="278"/>
      <c r="E221" s="278"/>
      <c r="F221" s="278"/>
      <c r="G221" s="278"/>
      <c r="H221" s="290"/>
      <c r="I221" s="280">
        <f t="shared" si="74"/>
        <v>0</v>
      </c>
      <c r="J221" s="281">
        <f t="shared" si="75"/>
        <v>0</v>
      </c>
      <c r="K221" s="282">
        <f>IF(Notes!$B$9="Domestic",I221, IF(Notes!$B$9="Commercial",J221))*$K$213</f>
        <v>0</v>
      </c>
      <c r="L221" s="283">
        <f>(SUM(O221:Q221)+(K221+SUM(M221:Q221))*(INDEX($U$213:$AB$213,MATCH(Notes!$C$16,$U$3:$AB$3,0))-100%))*$L$213</f>
        <v>0</v>
      </c>
      <c r="M221" s="286"/>
      <c r="N221" s="286"/>
      <c r="O221" s="285"/>
      <c r="P221" s="285"/>
      <c r="Q221" s="285"/>
      <c r="R221" s="278"/>
      <c r="S221" s="278"/>
      <c r="T221" s="278"/>
    </row>
    <row r="222" spans="1:28" s="305" customFormat="1" hidden="1" outlineLevel="1" x14ac:dyDescent="0.25">
      <c r="A222" s="278"/>
      <c r="B222" s="279" t="str">
        <f t="shared" si="73"/>
        <v/>
      </c>
      <c r="C222" s="278"/>
      <c r="D222" s="278"/>
      <c r="E222" s="278"/>
      <c r="F222" s="278"/>
      <c r="G222" s="278"/>
      <c r="H222" s="290"/>
      <c r="I222" s="280">
        <f t="shared" si="74"/>
        <v>0</v>
      </c>
      <c r="J222" s="281">
        <f t="shared" si="75"/>
        <v>0</v>
      </c>
      <c r="K222" s="282">
        <f>IF(Notes!$B$9="Domestic",I222, IF(Notes!$B$9="Commercial",J222))*$K$213</f>
        <v>0</v>
      </c>
      <c r="L222" s="283">
        <f>(SUM(O222:Q222)+(K222+SUM(M222:Q222))*(INDEX($U$213:$AB$213,MATCH(Notes!$C$16,$U$3:$AB$3,0))-100%))*$L$213</f>
        <v>0</v>
      </c>
      <c r="M222" s="286"/>
      <c r="N222" s="286"/>
      <c r="O222" s="285"/>
      <c r="P222" s="285"/>
      <c r="Q222" s="285"/>
      <c r="R222" s="278"/>
      <c r="S222" s="278"/>
      <c r="T222" s="278"/>
    </row>
    <row r="223" spans="1:28" s="305" customFormat="1" hidden="1" outlineLevel="1" x14ac:dyDescent="0.25">
      <c r="A223" s="278"/>
      <c r="B223" s="279" t="str">
        <f t="shared" si="73"/>
        <v/>
      </c>
      <c r="C223" s="278"/>
      <c r="D223" s="278"/>
      <c r="E223" s="278"/>
      <c r="F223" s="278"/>
      <c r="G223" s="278"/>
      <c r="H223" s="290"/>
      <c r="I223" s="280">
        <f t="shared" si="74"/>
        <v>0</v>
      </c>
      <c r="J223" s="281">
        <f t="shared" si="75"/>
        <v>0</v>
      </c>
      <c r="K223" s="282">
        <f>IF(Notes!$B$9="Domestic",I223, IF(Notes!$B$9="Commercial",J223))*$K$213</f>
        <v>0</v>
      </c>
      <c r="L223" s="283">
        <f>(SUM(O223:Q223)+(K223+SUM(M223:Q223))*(INDEX($U$213:$AB$213,MATCH(Notes!$C$16,$U$3:$AB$3,0))-100%))*$L$213</f>
        <v>0</v>
      </c>
      <c r="M223" s="286"/>
      <c r="N223" s="286"/>
      <c r="O223" s="285"/>
      <c r="P223" s="285"/>
      <c r="Q223" s="285"/>
      <c r="R223" s="278"/>
      <c r="S223" s="278"/>
      <c r="T223" s="278"/>
    </row>
    <row r="224" spans="1:28" ht="21" hidden="1" outlineLevel="1" x14ac:dyDescent="0.25">
      <c r="A224" s="299"/>
      <c r="B224" s="299"/>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row>
    <row r="225" spans="1:28" ht="15.75" hidden="1" outlineLevel="1" x14ac:dyDescent="0.25">
      <c r="A225" s="291"/>
      <c r="B225" s="291"/>
      <c r="C225" s="291"/>
      <c r="D225" s="291"/>
      <c r="E225" s="291"/>
      <c r="F225" s="291"/>
      <c r="G225" s="291"/>
      <c r="H225" s="291"/>
      <c r="I225" s="291"/>
      <c r="J225" s="291"/>
      <c r="K225" s="291">
        <f>K$2</f>
        <v>1.1000000000000001</v>
      </c>
      <c r="L225" s="291">
        <f>L$2</f>
        <v>1</v>
      </c>
      <c r="M225" s="291"/>
      <c r="N225" s="291"/>
      <c r="O225" s="303"/>
      <c r="P225" s="303"/>
      <c r="Q225" s="303"/>
      <c r="R225" s="291"/>
      <c r="S225" s="291"/>
      <c r="T225" s="291"/>
      <c r="U225" s="291">
        <f>U$2</f>
        <v>1.0880000000000001</v>
      </c>
      <c r="V225" s="291">
        <f>V$2</f>
        <v>1</v>
      </c>
      <c r="W225" s="291">
        <f t="shared" ref="W225:AB225" si="76">W$2</f>
        <v>1.0960000000000001</v>
      </c>
      <c r="X225" s="291">
        <f t="shared" si="76"/>
        <v>0.84</v>
      </c>
      <c r="Y225" s="291">
        <f t="shared" si="76"/>
        <v>1.1200000000000001</v>
      </c>
      <c r="Z225" s="291">
        <f t="shared" si="76"/>
        <v>0.96</v>
      </c>
      <c r="AA225" s="291">
        <f t="shared" si="76"/>
        <v>0.92</v>
      </c>
      <c r="AB225" s="291">
        <f t="shared" si="76"/>
        <v>1.28</v>
      </c>
    </row>
    <row r="226" spans="1:28" s="305" customFormat="1" hidden="1" outlineLevel="1" x14ac:dyDescent="0.25">
      <c r="A226" s="278"/>
      <c r="B226" s="279" t="str">
        <f>C226&amp;D226&amp;E226&amp;F226</f>
        <v/>
      </c>
      <c r="C226" s="278"/>
      <c r="D226" s="278"/>
      <c r="E226" s="278"/>
      <c r="F226" s="278"/>
      <c r="G226" s="278"/>
      <c r="H226" s="290"/>
      <c r="I226" s="280">
        <f>$I$2*H226</f>
        <v>0</v>
      </c>
      <c r="J226" s="281">
        <f>$J$2*H226</f>
        <v>0</v>
      </c>
      <c r="K226" s="282">
        <f>IF(Notes!$B$9="Domestic",I226, IF(Notes!$B$9="Commercial",J226))*$K$225</f>
        <v>0</v>
      </c>
      <c r="L226" s="283">
        <f>(SUM(O226:Q226)+(K226+SUM(M226:Q226))*(INDEX($U$225:$AB$225,MATCH(Notes!$C$16,$U$3:$AB$3,0))-100%))*$L$225</f>
        <v>0</v>
      </c>
      <c r="M226" s="286"/>
      <c r="N226" s="286"/>
      <c r="O226" s="285"/>
      <c r="P226" s="285"/>
      <c r="Q226" s="285"/>
      <c r="R226" s="278"/>
      <c r="S226" s="278"/>
      <c r="T226" s="278"/>
    </row>
    <row r="227" spans="1:28" s="305" customFormat="1" hidden="1" outlineLevel="1" x14ac:dyDescent="0.25">
      <c r="A227" s="278"/>
      <c r="B227" s="279" t="str">
        <f t="shared" ref="B227:B235" si="77">C227&amp;D227&amp;E227&amp;F227</f>
        <v/>
      </c>
      <c r="C227" s="278"/>
      <c r="D227" s="278"/>
      <c r="E227" s="278"/>
      <c r="F227" s="278"/>
      <c r="G227" s="278"/>
      <c r="H227" s="290"/>
      <c r="I227" s="280">
        <f t="shared" ref="I227:I235" si="78">$I$2*H227</f>
        <v>0</v>
      </c>
      <c r="J227" s="281">
        <f t="shared" ref="J227:J235" si="79">$J$2*H227</f>
        <v>0</v>
      </c>
      <c r="K227" s="282">
        <f>IF(Notes!$B$9="Domestic",I227, IF(Notes!$B$9="Commercial",J227))*$K$225</f>
        <v>0</v>
      </c>
      <c r="L227" s="283">
        <f>(SUM(O227:Q227)+(K227+SUM(M227:Q227))*(INDEX($U$225:$AB$225,MATCH(Notes!$C$16,$U$3:$AB$3,0))-100%))*$L$225</f>
        <v>0</v>
      </c>
      <c r="M227" s="286"/>
      <c r="N227" s="286"/>
      <c r="O227" s="285"/>
      <c r="P227" s="285"/>
      <c r="Q227" s="285"/>
      <c r="R227" s="278"/>
      <c r="S227" s="278"/>
      <c r="T227" s="278"/>
    </row>
    <row r="228" spans="1:28" s="305" customFormat="1" hidden="1" outlineLevel="1" x14ac:dyDescent="0.25">
      <c r="A228" s="278"/>
      <c r="B228" s="279" t="str">
        <f t="shared" si="77"/>
        <v/>
      </c>
      <c r="C228" s="278"/>
      <c r="D228" s="278"/>
      <c r="E228" s="278"/>
      <c r="F228" s="278"/>
      <c r="G228" s="278"/>
      <c r="H228" s="290"/>
      <c r="I228" s="280">
        <f t="shared" si="78"/>
        <v>0</v>
      </c>
      <c r="J228" s="281">
        <f t="shared" si="79"/>
        <v>0</v>
      </c>
      <c r="K228" s="282">
        <f>IF(Notes!$B$9="Domestic",I228, IF(Notes!$B$9="Commercial",J228))*$K$225</f>
        <v>0</v>
      </c>
      <c r="L228" s="283">
        <f>(SUM(O228:Q228)+(K228+SUM(M228:Q228))*(INDEX($U$225:$AB$225,MATCH(Notes!$C$16,$U$3:$AB$3,0))-100%))*$L$225</f>
        <v>0</v>
      </c>
      <c r="M228" s="286"/>
      <c r="N228" s="286"/>
      <c r="O228" s="285"/>
      <c r="P228" s="285"/>
      <c r="Q228" s="285"/>
      <c r="R228" s="278"/>
      <c r="S228" s="278"/>
      <c r="T228" s="278"/>
    </row>
    <row r="229" spans="1:28" s="305" customFormat="1" hidden="1" outlineLevel="1" x14ac:dyDescent="0.25">
      <c r="A229" s="278"/>
      <c r="B229" s="279" t="str">
        <f t="shared" si="77"/>
        <v/>
      </c>
      <c r="C229" s="278"/>
      <c r="D229" s="278"/>
      <c r="E229" s="278"/>
      <c r="F229" s="278"/>
      <c r="G229" s="278"/>
      <c r="H229" s="290"/>
      <c r="I229" s="280">
        <f t="shared" si="78"/>
        <v>0</v>
      </c>
      <c r="J229" s="281">
        <f t="shared" si="79"/>
        <v>0</v>
      </c>
      <c r="K229" s="282">
        <f>IF(Notes!$B$9="Domestic",I229, IF(Notes!$B$9="Commercial",J229))*$K$225</f>
        <v>0</v>
      </c>
      <c r="L229" s="283">
        <f>(SUM(O229:Q229)+(K229+SUM(M229:Q229))*(INDEX($U$225:$AB$225,MATCH(Notes!$C$16,$U$3:$AB$3,0))-100%))*$L$225</f>
        <v>0</v>
      </c>
      <c r="M229" s="286"/>
      <c r="N229" s="286"/>
      <c r="O229" s="285"/>
      <c r="P229" s="285"/>
      <c r="Q229" s="285"/>
      <c r="R229" s="278"/>
      <c r="S229" s="278"/>
      <c r="T229" s="278"/>
    </row>
    <row r="230" spans="1:28" s="305" customFormat="1" hidden="1" outlineLevel="1" x14ac:dyDescent="0.25">
      <c r="A230" s="278"/>
      <c r="B230" s="279" t="str">
        <f t="shared" si="77"/>
        <v/>
      </c>
      <c r="C230" s="278"/>
      <c r="D230" s="278"/>
      <c r="E230" s="278"/>
      <c r="F230" s="278"/>
      <c r="G230" s="278"/>
      <c r="H230" s="290"/>
      <c r="I230" s="280">
        <f>$I$2*H230</f>
        <v>0</v>
      </c>
      <c r="J230" s="281">
        <f t="shared" si="79"/>
        <v>0</v>
      </c>
      <c r="K230" s="282">
        <f>IF(Notes!$B$9="Domestic",I230, IF(Notes!$B$9="Commercial",J230))*$K$225</f>
        <v>0</v>
      </c>
      <c r="L230" s="283">
        <f>(SUM(O230:Q230)+(K230+SUM(M230:Q230))*(INDEX($U$225:$AB$225,MATCH(Notes!$C$16,$U$3:$AB$3,0))-100%))*$L$225</f>
        <v>0</v>
      </c>
      <c r="M230" s="286"/>
      <c r="N230" s="286"/>
      <c r="O230" s="285"/>
      <c r="P230" s="285"/>
      <c r="Q230" s="285"/>
      <c r="R230" s="278"/>
      <c r="S230" s="278"/>
      <c r="T230" s="278"/>
    </row>
    <row r="231" spans="1:28" s="305" customFormat="1" hidden="1" outlineLevel="1" x14ac:dyDescent="0.25">
      <c r="A231" s="278"/>
      <c r="B231" s="279" t="str">
        <f t="shared" si="77"/>
        <v/>
      </c>
      <c r="C231" s="278"/>
      <c r="D231" s="278"/>
      <c r="E231" s="278"/>
      <c r="F231" s="278"/>
      <c r="G231" s="278"/>
      <c r="H231" s="290"/>
      <c r="I231" s="280">
        <f t="shared" si="78"/>
        <v>0</v>
      </c>
      <c r="J231" s="281">
        <f t="shared" si="79"/>
        <v>0</v>
      </c>
      <c r="K231" s="282">
        <f>IF(Notes!$B$9="Domestic",I231, IF(Notes!$B$9="Commercial",J231))*$K$225</f>
        <v>0</v>
      </c>
      <c r="L231" s="283">
        <f>(SUM(O231:Q231)+(K231+SUM(M231:Q231))*(INDEX($U$225:$AB$225,MATCH(Notes!$C$16,$U$3:$AB$3,0))-100%))*$L$225</f>
        <v>0</v>
      </c>
      <c r="M231" s="286"/>
      <c r="N231" s="286"/>
      <c r="O231" s="285"/>
      <c r="P231" s="285"/>
      <c r="Q231" s="285"/>
      <c r="R231" s="278"/>
      <c r="S231" s="278"/>
      <c r="T231" s="278"/>
    </row>
    <row r="232" spans="1:28" s="305" customFormat="1" hidden="1" outlineLevel="1" x14ac:dyDescent="0.25">
      <c r="A232" s="278"/>
      <c r="B232" s="279" t="str">
        <f t="shared" si="77"/>
        <v/>
      </c>
      <c r="C232" s="278"/>
      <c r="D232" s="278"/>
      <c r="E232" s="278"/>
      <c r="F232" s="278"/>
      <c r="G232" s="278"/>
      <c r="H232" s="290"/>
      <c r="I232" s="280">
        <f t="shared" si="78"/>
        <v>0</v>
      </c>
      <c r="J232" s="281">
        <f t="shared" si="79"/>
        <v>0</v>
      </c>
      <c r="K232" s="282">
        <f>IF(Notes!$B$9="Domestic",I232, IF(Notes!$B$9="Commercial",J232))*$K$225</f>
        <v>0</v>
      </c>
      <c r="L232" s="283">
        <f>(SUM(O232:Q232)+(K232+SUM(M232:Q232))*(INDEX($U$225:$AB$225,MATCH(Notes!$C$16,$U$3:$AB$3,0))-100%))*$L$225</f>
        <v>0</v>
      </c>
      <c r="M232" s="286"/>
      <c r="N232" s="286"/>
      <c r="O232" s="285"/>
      <c r="P232" s="285"/>
      <c r="Q232" s="285"/>
      <c r="R232" s="278"/>
      <c r="S232" s="278"/>
      <c r="T232" s="278"/>
    </row>
    <row r="233" spans="1:28" s="305" customFormat="1" hidden="1" outlineLevel="1" x14ac:dyDescent="0.25">
      <c r="A233" s="278"/>
      <c r="B233" s="279" t="str">
        <f t="shared" si="77"/>
        <v/>
      </c>
      <c r="C233" s="278"/>
      <c r="D233" s="278"/>
      <c r="E233" s="278"/>
      <c r="F233" s="278"/>
      <c r="G233" s="278"/>
      <c r="H233" s="290"/>
      <c r="I233" s="280">
        <f t="shared" si="78"/>
        <v>0</v>
      </c>
      <c r="J233" s="281">
        <f t="shared" si="79"/>
        <v>0</v>
      </c>
      <c r="K233" s="282">
        <f>IF(Notes!$B$9="Domestic",I233, IF(Notes!$B$9="Commercial",J233))*$K$225</f>
        <v>0</v>
      </c>
      <c r="L233" s="283">
        <f>(SUM(O233:Q233)+(K233+SUM(M233:Q233))*(INDEX($U$225:$AB$225,MATCH(Notes!$C$16,$U$3:$AB$3,0))-100%))*$L$225</f>
        <v>0</v>
      </c>
      <c r="M233" s="286"/>
      <c r="N233" s="286"/>
      <c r="O233" s="285"/>
      <c r="P233" s="285"/>
      <c r="Q233" s="285"/>
      <c r="R233" s="278"/>
      <c r="S233" s="278"/>
      <c r="T233" s="278"/>
    </row>
    <row r="234" spans="1:28" s="305" customFormat="1" hidden="1" outlineLevel="1" x14ac:dyDescent="0.25">
      <c r="A234" s="278"/>
      <c r="B234" s="279" t="str">
        <f t="shared" si="77"/>
        <v/>
      </c>
      <c r="C234" s="278"/>
      <c r="D234" s="278"/>
      <c r="E234" s="278"/>
      <c r="F234" s="278"/>
      <c r="G234" s="278"/>
      <c r="H234" s="290"/>
      <c r="I234" s="280">
        <f t="shared" si="78"/>
        <v>0</v>
      </c>
      <c r="J234" s="281">
        <f t="shared" si="79"/>
        <v>0</v>
      </c>
      <c r="K234" s="282">
        <f>IF(Notes!$B$9="Domestic",I234, IF(Notes!$B$9="Commercial",J234))*$K$225</f>
        <v>0</v>
      </c>
      <c r="L234" s="283">
        <f>(SUM(O234:Q234)+(K234+SUM(M234:Q234))*(INDEX($U$225:$AB$225,MATCH(Notes!$C$16,$U$3:$AB$3,0))-100%))*$L$225</f>
        <v>0</v>
      </c>
      <c r="M234" s="286"/>
      <c r="N234" s="286"/>
      <c r="O234" s="285"/>
      <c r="P234" s="285"/>
      <c r="Q234" s="285"/>
      <c r="R234" s="278"/>
      <c r="S234" s="278"/>
      <c r="T234" s="278"/>
    </row>
    <row r="235" spans="1:28" s="305" customFormat="1" hidden="1" outlineLevel="1" x14ac:dyDescent="0.25">
      <c r="A235" s="278"/>
      <c r="B235" s="279" t="str">
        <f t="shared" si="77"/>
        <v/>
      </c>
      <c r="C235" s="278"/>
      <c r="D235" s="278"/>
      <c r="E235" s="278"/>
      <c r="F235" s="278"/>
      <c r="G235" s="278"/>
      <c r="H235" s="290"/>
      <c r="I235" s="280">
        <f t="shared" si="78"/>
        <v>0</v>
      </c>
      <c r="J235" s="281">
        <f t="shared" si="79"/>
        <v>0</v>
      </c>
      <c r="K235" s="282">
        <f>IF(Notes!$B$9="Domestic",I235, IF(Notes!$B$9="Commercial",J235))*$K$225</f>
        <v>0</v>
      </c>
      <c r="L235" s="283">
        <f>(SUM(O235:Q235)+(K235+SUM(M235:Q235))*(INDEX($U$225:$AB$225,MATCH(Notes!$C$16,$U$3:$AB$3,0))-100%))*$L$225</f>
        <v>0</v>
      </c>
      <c r="M235" s="286"/>
      <c r="N235" s="286"/>
      <c r="O235" s="285"/>
      <c r="P235" s="285"/>
      <c r="Q235" s="285"/>
      <c r="R235" s="278"/>
      <c r="S235" s="278"/>
      <c r="T235" s="278"/>
    </row>
    <row r="236" spans="1:28" hidden="1" outlineLevel="1" x14ac:dyDescent="0.25">
      <c r="A236" s="284" t="str">
        <f>C236&amp;D236&amp;E236</f>
        <v/>
      </c>
      <c r="B236" s="284"/>
      <c r="C236" s="284"/>
      <c r="D236" s="284"/>
      <c r="E236" s="284"/>
      <c r="F236" s="284"/>
      <c r="G236" s="284"/>
      <c r="H236" s="284"/>
      <c r="I236" s="284"/>
      <c r="J236" s="284"/>
      <c r="K236" s="284"/>
      <c r="L236" s="284"/>
      <c r="M236" s="284"/>
      <c r="N236" s="284"/>
      <c r="O236" s="284"/>
      <c r="P236" s="284"/>
      <c r="Q236" s="284"/>
      <c r="R236" s="284"/>
      <c r="S236" s="284"/>
      <c r="T236" s="284"/>
    </row>
    <row r="237" spans="1:28" hidden="1" outlineLevel="1" x14ac:dyDescent="0.25"/>
    <row r="238" spans="1:28" hidden="1" outlineLevel="1" x14ac:dyDescent="0.25"/>
    <row r="239" spans="1:28" collapsed="1" x14ac:dyDescent="0.25"/>
  </sheetData>
  <sheetProtection algorithmName="SHA-512" hashValue="lcaxJyT84OJ84rvlqq9Sl8DksOPZg/r+/YREEeueXUR17A8+VkXgjesG3O38ME6RHADb6MI03f6s5tTRi6AD6Q==" saltValue="Feqb55c1avpXvo4YSO5xz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55028-27C2-409C-8A31-6DA5F94C3C59}">
  <sheetPr codeName="Sheet44">
    <tabColor rgb="FF00B050"/>
  </sheetPr>
  <dimension ref="A1:AM380"/>
  <sheetViews>
    <sheetView view="pageBreakPreview" zoomScale="70" zoomScaleNormal="70" zoomScaleSheetLayoutView="70" workbookViewId="0"/>
  </sheetViews>
  <sheetFormatPr defaultColWidth="8.85546875" defaultRowHeight="15" outlineLevelCol="1" x14ac:dyDescent="0.25"/>
  <cols>
    <col min="1" max="1" width="11" style="25" customWidth="1"/>
    <col min="2" max="2" width="58.42578125" style="25" customWidth="1"/>
    <col min="3" max="11" width="10.5703125" style="36" hidden="1" customWidth="1" outlineLevel="1"/>
    <col min="12" max="12" width="11.42578125" style="36" hidden="1" customWidth="1" outlineLevel="1"/>
    <col min="13" max="13" width="15.5703125" style="110" customWidth="1" collapsed="1"/>
    <col min="14" max="14" width="15.5703125" style="36" customWidth="1"/>
    <col min="15" max="18" width="15.5703125" style="25" customWidth="1" outlineLevel="1"/>
    <col min="19" max="19" width="15.5703125" style="25" customWidth="1"/>
    <col min="20" max="20" width="21.42578125" style="108" bestFit="1" customWidth="1"/>
    <col min="21" max="21" width="1.140625" style="212" customWidth="1"/>
    <col min="22" max="25" width="15.5703125" style="25" customWidth="1" outlineLevel="1"/>
    <col min="26" max="26" width="17.5703125" style="25" customWidth="1" outlineLevel="1"/>
    <col min="27" max="28" width="18.5703125" style="88" customWidth="1" outlineLevel="1"/>
    <col min="29" max="34" width="18.5703125" style="25" customWidth="1" outlineLevel="1"/>
    <col min="35" max="36" width="18.5703125" style="25" customWidth="1"/>
    <col min="37" max="16384" width="8.85546875" style="25"/>
  </cols>
  <sheetData>
    <row r="1" spans="1:34" s="69" customFormat="1" ht="39.950000000000003" customHeight="1" thickBot="1" x14ac:dyDescent="0.3">
      <c r="A1" s="23" t="s">
        <v>0</v>
      </c>
      <c r="B1" s="63" t="s">
        <v>14</v>
      </c>
      <c r="C1" s="64" t="s">
        <v>826</v>
      </c>
      <c r="D1" s="64" t="s">
        <v>827</v>
      </c>
      <c r="E1" s="64" t="s">
        <v>828</v>
      </c>
      <c r="F1" s="307" t="s">
        <v>900</v>
      </c>
      <c r="G1" s="64" t="s">
        <v>5</v>
      </c>
      <c r="H1" s="64" t="s">
        <v>6</v>
      </c>
      <c r="I1" s="64" t="s">
        <v>7</v>
      </c>
      <c r="J1" s="64" t="s">
        <v>8</v>
      </c>
      <c r="K1" s="64" t="s">
        <v>9</v>
      </c>
      <c r="L1" s="64" t="s">
        <v>10</v>
      </c>
      <c r="M1" s="65" t="s">
        <v>1</v>
      </c>
      <c r="N1" s="66" t="s">
        <v>2</v>
      </c>
      <c r="O1" s="67" t="s">
        <v>26</v>
      </c>
      <c r="P1" s="67" t="s">
        <v>27</v>
      </c>
      <c r="Q1" s="111" t="s">
        <v>28</v>
      </c>
      <c r="R1" s="67" t="s">
        <v>34</v>
      </c>
      <c r="S1" s="67" t="s">
        <v>3</v>
      </c>
      <c r="T1" s="68" t="s">
        <v>4</v>
      </c>
      <c r="U1" s="215"/>
      <c r="V1" s="610" t="s">
        <v>626</v>
      </c>
      <c r="W1" s="611"/>
      <c r="X1" s="611"/>
      <c r="Y1" s="611"/>
      <c r="Z1" s="611"/>
      <c r="AA1" s="81" t="s">
        <v>22</v>
      </c>
      <c r="AB1" s="71"/>
      <c r="AC1" s="626" t="s">
        <v>155</v>
      </c>
      <c r="AD1" s="627"/>
      <c r="AE1" s="627"/>
      <c r="AF1" s="627"/>
      <c r="AG1" s="627"/>
      <c r="AH1" s="628"/>
    </row>
    <row r="2" spans="1:34" s="79" customFormat="1" ht="20.100000000000001" customHeight="1" thickBot="1" x14ac:dyDescent="0.4">
      <c r="A2" s="72">
        <f>Formwork!A2+1</f>
        <v>8</v>
      </c>
      <c r="B2" s="73" t="str" cm="1">
        <f t="array" aca="1" ref="B2" ca="1">UPPER(MID(CELL("filename",A1),FIND("]",CELL("filename",A1))+1,255))</f>
        <v>REINFORCEMENT</v>
      </c>
      <c r="C2" s="74"/>
      <c r="D2" s="74"/>
      <c r="E2" s="74"/>
      <c r="F2" s="74"/>
      <c r="G2" s="74"/>
      <c r="H2" s="74"/>
      <c r="I2" s="74"/>
      <c r="J2" s="74"/>
      <c r="K2" s="74"/>
      <c r="L2" s="74"/>
      <c r="M2" s="75"/>
      <c r="N2" s="76"/>
      <c r="O2" s="77"/>
      <c r="P2" s="77"/>
      <c r="Q2" s="77"/>
      <c r="R2" s="77"/>
      <c r="S2" s="77"/>
      <c r="T2" s="78"/>
      <c r="U2" s="207"/>
      <c r="V2" s="221" t="s">
        <v>26</v>
      </c>
      <c r="W2" s="222" t="s">
        <v>27</v>
      </c>
      <c r="X2" s="222" t="s">
        <v>28</v>
      </c>
      <c r="Y2" s="222" t="s">
        <v>34</v>
      </c>
      <c r="Z2" s="222" t="s">
        <v>615</v>
      </c>
      <c r="AA2" s="80"/>
      <c r="AB2" s="71"/>
      <c r="AC2" s="81" t="s">
        <v>26</v>
      </c>
      <c r="AD2" s="81" t="s">
        <v>36</v>
      </c>
      <c r="AE2" s="81" t="s">
        <v>28</v>
      </c>
      <c r="AF2" s="81" t="s">
        <v>34</v>
      </c>
      <c r="AG2" s="81" t="s">
        <v>32</v>
      </c>
      <c r="AH2" s="81" t="s">
        <v>4</v>
      </c>
    </row>
    <row r="3" spans="1:34" s="79" customFormat="1" ht="21.75" thickBot="1" x14ac:dyDescent="0.4">
      <c r="A3" s="99"/>
      <c r="B3" s="622" t="str">
        <f>"TOTAL"</f>
        <v>TOTAL</v>
      </c>
      <c r="C3" s="623"/>
      <c r="D3" s="623"/>
      <c r="E3" s="623"/>
      <c r="F3" s="623"/>
      <c r="G3" s="623"/>
      <c r="H3" s="623"/>
      <c r="I3" s="623"/>
      <c r="J3" s="623"/>
      <c r="K3" s="623"/>
      <c r="L3" s="623"/>
      <c r="M3" s="623"/>
      <c r="N3" s="624"/>
      <c r="O3" s="100"/>
      <c r="P3" s="100"/>
      <c r="Q3" s="100"/>
      <c r="R3" s="100"/>
      <c r="S3" s="100"/>
      <c r="T3" s="101">
        <f ca="1">SUM(T$2:OFFSET(T3,-1,0))</f>
        <v>0</v>
      </c>
      <c r="U3" s="208"/>
      <c r="V3" s="100"/>
      <c r="W3" s="100"/>
      <c r="X3" s="100"/>
      <c r="Y3" s="100"/>
      <c r="Z3" s="100"/>
      <c r="AA3" s="102"/>
      <c r="AB3" s="103"/>
      <c r="AC3" s="104">
        <f t="shared" ref="AC3:AH3" si="0">SUM(AC1:AC2)</f>
        <v>0</v>
      </c>
      <c r="AD3" s="104">
        <f t="shared" si="0"/>
        <v>0</v>
      </c>
      <c r="AE3" s="104">
        <f t="shared" si="0"/>
        <v>0</v>
      </c>
      <c r="AF3" s="104">
        <f t="shared" si="0"/>
        <v>0</v>
      </c>
      <c r="AG3" s="104">
        <f t="shared" si="0"/>
        <v>0</v>
      </c>
      <c r="AH3" s="104">
        <f t="shared" si="0"/>
        <v>0</v>
      </c>
    </row>
    <row r="4" spans="1:34" s="94" customFormat="1" ht="21" x14ac:dyDescent="0.25">
      <c r="A4" s="105"/>
      <c r="B4" s="25"/>
      <c r="C4" s="36"/>
      <c r="D4" s="36"/>
      <c r="E4" s="36"/>
      <c r="F4" s="36"/>
      <c r="G4" s="36"/>
      <c r="H4" s="36"/>
      <c r="I4" s="36"/>
      <c r="J4" s="36"/>
      <c r="K4" s="36"/>
      <c r="L4" s="36"/>
      <c r="M4" s="106"/>
      <c r="N4" s="32"/>
      <c r="O4" s="25"/>
      <c r="P4" s="25"/>
      <c r="Q4" s="25"/>
      <c r="R4" s="25"/>
      <c r="S4" s="92"/>
      <c r="T4" s="107"/>
      <c r="U4" s="107"/>
      <c r="V4" s="107"/>
      <c r="W4" s="26"/>
      <c r="X4" s="26"/>
      <c r="Y4" s="26"/>
      <c r="Z4" s="26"/>
      <c r="AA4" s="88"/>
      <c r="AB4" s="88"/>
      <c r="AC4" s="81" t="s">
        <v>26</v>
      </c>
      <c r="AD4" s="81" t="s">
        <v>36</v>
      </c>
      <c r="AE4" s="81" t="s">
        <v>28</v>
      </c>
      <c r="AF4" s="81" t="s">
        <v>34</v>
      </c>
      <c r="AG4" s="81" t="s">
        <v>32</v>
      </c>
      <c r="AH4" s="81" t="s">
        <v>4</v>
      </c>
    </row>
    <row r="5" spans="1:34" ht="15.75" x14ac:dyDescent="0.25">
      <c r="M5" s="106"/>
      <c r="U5" s="107"/>
      <c r="V5" s="107"/>
      <c r="W5" s="26"/>
      <c r="X5" s="26"/>
      <c r="Y5" s="26"/>
      <c r="Z5" s="26"/>
    </row>
    <row r="6" spans="1:34" ht="15.75" x14ac:dyDescent="0.25">
      <c r="U6" s="107"/>
      <c r="V6" s="107"/>
      <c r="W6" s="26"/>
      <c r="X6" s="26"/>
      <c r="Y6" s="26"/>
      <c r="Z6" s="26"/>
    </row>
    <row r="7" spans="1:34" ht="15.75" x14ac:dyDescent="0.25">
      <c r="K7" s="109"/>
      <c r="U7" s="107"/>
      <c r="V7" s="107"/>
      <c r="W7" s="26"/>
      <c r="X7" s="26"/>
      <c r="Y7" s="26"/>
      <c r="Z7" s="26"/>
    </row>
    <row r="8" spans="1:34" ht="15.75" x14ac:dyDescent="0.25">
      <c r="T8" s="108">
        <f ca="1">T3-AH3</f>
        <v>0</v>
      </c>
      <c r="U8" s="107"/>
      <c r="V8" s="107"/>
      <c r="W8" s="26"/>
      <c r="X8" s="26"/>
      <c r="Y8" s="26"/>
      <c r="Z8" s="26"/>
    </row>
    <row r="9" spans="1:34" ht="15.75" x14ac:dyDescent="0.25">
      <c r="U9" s="107"/>
      <c r="V9" s="107"/>
      <c r="W9" s="26"/>
      <c r="X9" s="26"/>
      <c r="Y9" s="26"/>
      <c r="Z9" s="26"/>
    </row>
    <row r="10" spans="1:34" ht="15.75" x14ac:dyDescent="0.25">
      <c r="U10" s="107"/>
      <c r="V10" s="107"/>
      <c r="W10" s="26"/>
      <c r="X10" s="26"/>
      <c r="Y10" s="26"/>
      <c r="Z10" s="26"/>
    </row>
    <row r="11" spans="1:34" ht="15.75" x14ac:dyDescent="0.25">
      <c r="U11" s="107"/>
      <c r="V11" s="107"/>
      <c r="W11" s="26"/>
      <c r="X11" s="26"/>
      <c r="Y11" s="26"/>
      <c r="Z11" s="26"/>
    </row>
    <row r="12" spans="1:34" ht="15.75" x14ac:dyDescent="0.25">
      <c r="U12" s="107"/>
      <c r="V12" s="107"/>
      <c r="W12" s="26"/>
      <c r="X12" s="26"/>
      <c r="Y12" s="26"/>
      <c r="Z12" s="26"/>
    </row>
    <row r="13" spans="1:34" ht="15.75" x14ac:dyDescent="0.25">
      <c r="U13" s="107"/>
      <c r="V13" s="107"/>
      <c r="W13" s="26"/>
      <c r="X13" s="26"/>
      <c r="Y13" s="26"/>
      <c r="Z13" s="26"/>
    </row>
    <row r="14" spans="1:34" ht="15.75" x14ac:dyDescent="0.25">
      <c r="U14" s="107"/>
      <c r="V14" s="107"/>
      <c r="W14" s="26"/>
      <c r="X14" s="26"/>
      <c r="Y14" s="26"/>
      <c r="Z14" s="26"/>
    </row>
    <row r="15" spans="1:34" ht="15.75" x14ac:dyDescent="0.25">
      <c r="U15" s="107"/>
      <c r="V15" s="107"/>
      <c r="W15" s="26"/>
      <c r="X15" s="26"/>
      <c r="Y15" s="26"/>
      <c r="Z15" s="26"/>
    </row>
    <row r="16" spans="1:34" ht="15.75" x14ac:dyDescent="0.25">
      <c r="U16" s="107"/>
      <c r="V16" s="107"/>
      <c r="W16" s="26"/>
      <c r="X16" s="26"/>
      <c r="Y16" s="26"/>
      <c r="Z16" s="26"/>
    </row>
    <row r="17" spans="1:39" ht="15.75" x14ac:dyDescent="0.25">
      <c r="U17" s="107"/>
      <c r="V17" s="107"/>
      <c r="W17" s="26"/>
      <c r="X17" s="26"/>
      <c r="Y17" s="26"/>
      <c r="Z17" s="26"/>
    </row>
    <row r="18" spans="1:39" s="110" customFormat="1" ht="15.75" x14ac:dyDescent="0.25">
      <c r="A18" s="25"/>
      <c r="B18" s="25"/>
      <c r="C18" s="36"/>
      <c r="D18" s="36"/>
      <c r="E18" s="36"/>
      <c r="F18" s="36"/>
      <c r="G18" s="36"/>
      <c r="H18" s="36"/>
      <c r="I18" s="36"/>
      <c r="J18" s="36"/>
      <c r="K18" s="36"/>
      <c r="L18" s="36"/>
      <c r="N18" s="36"/>
      <c r="O18" s="25"/>
      <c r="P18" s="25"/>
      <c r="Q18" s="25"/>
      <c r="R18" s="25"/>
      <c r="S18" s="25"/>
      <c r="T18" s="108"/>
      <c r="U18" s="107"/>
      <c r="V18" s="107"/>
      <c r="W18" s="26"/>
      <c r="X18" s="26"/>
      <c r="Y18" s="26"/>
      <c r="Z18" s="26"/>
      <c r="AA18" s="88"/>
      <c r="AB18" s="88"/>
      <c r="AC18" s="25"/>
      <c r="AD18" s="25"/>
      <c r="AE18" s="25"/>
      <c r="AF18" s="25"/>
      <c r="AG18" s="25"/>
      <c r="AH18" s="25"/>
      <c r="AI18" s="25"/>
      <c r="AJ18" s="25"/>
      <c r="AK18" s="25"/>
      <c r="AL18" s="25"/>
      <c r="AM18" s="25"/>
    </row>
    <row r="19" spans="1:39" s="110" customFormat="1" ht="15.75" x14ac:dyDescent="0.25">
      <c r="A19" s="25"/>
      <c r="B19" s="25"/>
      <c r="C19" s="36"/>
      <c r="D19" s="36"/>
      <c r="E19" s="36"/>
      <c r="F19" s="36"/>
      <c r="G19" s="36"/>
      <c r="H19" s="36"/>
      <c r="I19" s="36"/>
      <c r="J19" s="36"/>
      <c r="K19" s="36"/>
      <c r="L19" s="36"/>
      <c r="N19" s="36"/>
      <c r="O19" s="25"/>
      <c r="P19" s="25"/>
      <c r="Q19" s="25"/>
      <c r="R19" s="25"/>
      <c r="S19" s="25"/>
      <c r="T19" s="108"/>
      <c r="U19" s="107"/>
      <c r="V19" s="107"/>
      <c r="W19" s="26"/>
      <c r="X19" s="26"/>
      <c r="Y19" s="26"/>
      <c r="Z19" s="26"/>
      <c r="AA19" s="88"/>
      <c r="AB19" s="88"/>
      <c r="AC19" s="25"/>
      <c r="AD19" s="25"/>
      <c r="AE19" s="25"/>
      <c r="AF19" s="25"/>
      <c r="AG19" s="25"/>
      <c r="AH19" s="25"/>
      <c r="AI19" s="25"/>
      <c r="AJ19" s="25"/>
      <c r="AK19" s="25"/>
      <c r="AL19" s="25"/>
      <c r="AM19" s="25"/>
    </row>
    <row r="20" spans="1:39" s="110" customFormat="1" ht="15.75" x14ac:dyDescent="0.25">
      <c r="A20" s="25"/>
      <c r="B20" s="25"/>
      <c r="C20" s="36"/>
      <c r="D20" s="36"/>
      <c r="E20" s="36"/>
      <c r="F20" s="36"/>
      <c r="G20" s="36"/>
      <c r="H20" s="36"/>
      <c r="I20" s="36"/>
      <c r="J20" s="36"/>
      <c r="K20" s="36"/>
      <c r="L20" s="36"/>
      <c r="N20" s="36"/>
      <c r="O20" s="25"/>
      <c r="P20" s="25"/>
      <c r="Q20" s="25"/>
      <c r="R20" s="25"/>
      <c r="S20" s="25"/>
      <c r="T20" s="108"/>
      <c r="U20" s="107"/>
      <c r="V20" s="107"/>
      <c r="W20" s="26"/>
      <c r="X20" s="26"/>
      <c r="Y20" s="26"/>
      <c r="Z20" s="26"/>
      <c r="AA20" s="88"/>
      <c r="AB20" s="88"/>
      <c r="AC20" s="25"/>
      <c r="AD20" s="25"/>
      <c r="AE20" s="25"/>
      <c r="AF20" s="25"/>
      <c r="AG20" s="25"/>
      <c r="AH20" s="25"/>
      <c r="AI20" s="25"/>
      <c r="AJ20" s="25"/>
      <c r="AK20" s="25"/>
      <c r="AL20" s="25"/>
      <c r="AM20" s="25"/>
    </row>
    <row r="21" spans="1:39" s="110" customFormat="1" ht="15.75" x14ac:dyDescent="0.25">
      <c r="A21" s="25"/>
      <c r="B21" s="25"/>
      <c r="C21" s="36"/>
      <c r="D21" s="36"/>
      <c r="E21" s="36"/>
      <c r="F21" s="36"/>
      <c r="G21" s="36"/>
      <c r="H21" s="36"/>
      <c r="I21" s="36"/>
      <c r="J21" s="36"/>
      <c r="K21" s="36"/>
      <c r="L21" s="36"/>
      <c r="N21" s="36"/>
      <c r="O21" s="25"/>
      <c r="P21" s="25"/>
      <c r="Q21" s="25"/>
      <c r="R21" s="25"/>
      <c r="S21" s="25"/>
      <c r="T21" s="108"/>
      <c r="U21" s="107"/>
      <c r="V21" s="107"/>
      <c r="W21" s="26"/>
      <c r="X21" s="26"/>
      <c r="Y21" s="26"/>
      <c r="Z21" s="26"/>
      <c r="AA21" s="88"/>
      <c r="AB21" s="88"/>
      <c r="AC21" s="25"/>
      <c r="AD21" s="25"/>
      <c r="AE21" s="25"/>
      <c r="AF21" s="25"/>
      <c r="AG21" s="25"/>
      <c r="AH21" s="25"/>
      <c r="AI21" s="25"/>
      <c r="AJ21" s="25"/>
      <c r="AK21" s="25"/>
      <c r="AL21" s="25"/>
      <c r="AM21" s="25"/>
    </row>
    <row r="22" spans="1:39" s="110" customFormat="1" ht="15.75" x14ac:dyDescent="0.25">
      <c r="A22" s="25"/>
      <c r="B22" s="25"/>
      <c r="C22" s="36"/>
      <c r="D22" s="36"/>
      <c r="E22" s="36"/>
      <c r="F22" s="36"/>
      <c r="G22" s="36"/>
      <c r="H22" s="36"/>
      <c r="I22" s="36"/>
      <c r="J22" s="36"/>
      <c r="K22" s="36"/>
      <c r="L22" s="36"/>
      <c r="N22" s="36"/>
      <c r="O22" s="25"/>
      <c r="P22" s="25"/>
      <c r="Q22" s="25"/>
      <c r="R22" s="25"/>
      <c r="S22" s="25"/>
      <c r="T22" s="108"/>
      <c r="U22" s="107"/>
      <c r="V22" s="107"/>
      <c r="W22" s="26"/>
      <c r="X22" s="26"/>
      <c r="Y22" s="26"/>
      <c r="Z22" s="26"/>
      <c r="AA22" s="88"/>
      <c r="AB22" s="88"/>
      <c r="AC22" s="25"/>
      <c r="AD22" s="25"/>
      <c r="AE22" s="25"/>
      <c r="AF22" s="25"/>
      <c r="AG22" s="25"/>
      <c r="AH22" s="25"/>
      <c r="AI22" s="25"/>
      <c r="AJ22" s="25"/>
      <c r="AK22" s="25"/>
      <c r="AL22" s="25"/>
      <c r="AM22" s="25"/>
    </row>
    <row r="23" spans="1:39" s="110" customFormat="1" ht="15.75" x14ac:dyDescent="0.25">
      <c r="A23" s="25"/>
      <c r="B23" s="25"/>
      <c r="C23" s="36"/>
      <c r="D23" s="36"/>
      <c r="E23" s="36"/>
      <c r="F23" s="36"/>
      <c r="G23" s="36"/>
      <c r="H23" s="36"/>
      <c r="I23" s="36"/>
      <c r="J23" s="36"/>
      <c r="K23" s="36"/>
      <c r="L23" s="36"/>
      <c r="N23" s="36"/>
      <c r="O23" s="25"/>
      <c r="P23" s="25"/>
      <c r="Q23" s="25"/>
      <c r="R23" s="25"/>
      <c r="S23" s="25"/>
      <c r="T23" s="108"/>
      <c r="U23" s="107"/>
      <c r="V23" s="107"/>
      <c r="W23" s="26"/>
      <c r="X23" s="26"/>
      <c r="Y23" s="26"/>
      <c r="Z23" s="26"/>
      <c r="AA23" s="88"/>
      <c r="AB23" s="88"/>
      <c r="AC23" s="25"/>
      <c r="AD23" s="25"/>
      <c r="AE23" s="25"/>
      <c r="AF23" s="25"/>
      <c r="AG23" s="25"/>
      <c r="AH23" s="25"/>
      <c r="AI23" s="25"/>
      <c r="AJ23" s="25"/>
      <c r="AK23" s="25"/>
      <c r="AL23" s="25"/>
      <c r="AM23" s="25"/>
    </row>
    <row r="24" spans="1:39" s="110" customFormat="1" ht="15.75" x14ac:dyDescent="0.25">
      <c r="A24" s="25"/>
      <c r="B24" s="25"/>
      <c r="C24" s="36"/>
      <c r="D24" s="36"/>
      <c r="E24" s="36"/>
      <c r="F24" s="36"/>
      <c r="G24" s="36"/>
      <c r="H24" s="36"/>
      <c r="I24" s="36"/>
      <c r="J24" s="36"/>
      <c r="K24" s="36"/>
      <c r="L24" s="36"/>
      <c r="N24" s="36"/>
      <c r="O24" s="25"/>
      <c r="P24" s="25"/>
      <c r="Q24" s="25"/>
      <c r="R24" s="25"/>
      <c r="S24" s="25"/>
      <c r="T24" s="108"/>
      <c r="U24" s="107"/>
      <c r="V24" s="107"/>
      <c r="W24" s="26"/>
      <c r="X24" s="26"/>
      <c r="Y24" s="26"/>
      <c r="Z24" s="26"/>
      <c r="AA24" s="88"/>
      <c r="AB24" s="88"/>
      <c r="AC24" s="25"/>
      <c r="AD24" s="25"/>
      <c r="AE24" s="25"/>
      <c r="AF24" s="25"/>
      <c r="AG24" s="25"/>
      <c r="AH24" s="25"/>
      <c r="AI24" s="25"/>
      <c r="AJ24" s="25"/>
      <c r="AK24" s="25"/>
      <c r="AL24" s="25"/>
      <c r="AM24" s="25"/>
    </row>
    <row r="25" spans="1:39" s="110" customFormat="1" ht="15.75" x14ac:dyDescent="0.25">
      <c r="A25" s="25"/>
      <c r="B25" s="25"/>
      <c r="C25" s="36"/>
      <c r="D25" s="36"/>
      <c r="E25" s="36"/>
      <c r="F25" s="36"/>
      <c r="G25" s="36"/>
      <c r="H25" s="36"/>
      <c r="I25" s="36"/>
      <c r="J25" s="36"/>
      <c r="K25" s="36"/>
      <c r="L25" s="36"/>
      <c r="N25" s="36"/>
      <c r="O25" s="25"/>
      <c r="P25" s="25"/>
      <c r="Q25" s="25"/>
      <c r="R25" s="25"/>
      <c r="S25" s="25"/>
      <c r="T25" s="108"/>
      <c r="U25" s="107"/>
      <c r="V25" s="107"/>
      <c r="W25" s="26"/>
      <c r="X25" s="26"/>
      <c r="Y25" s="26"/>
      <c r="Z25" s="26"/>
      <c r="AA25" s="88"/>
      <c r="AB25" s="88"/>
      <c r="AC25" s="25"/>
      <c r="AD25" s="25"/>
      <c r="AE25" s="25"/>
      <c r="AF25" s="25"/>
      <c r="AG25" s="25"/>
      <c r="AH25" s="25"/>
      <c r="AI25" s="25"/>
      <c r="AJ25" s="25"/>
      <c r="AK25" s="25"/>
      <c r="AL25" s="25"/>
      <c r="AM25" s="25"/>
    </row>
    <row r="26" spans="1:39" s="110" customFormat="1" ht="15.75" x14ac:dyDescent="0.25">
      <c r="A26" s="25"/>
      <c r="B26" s="25"/>
      <c r="C26" s="36"/>
      <c r="D26" s="36"/>
      <c r="E26" s="36"/>
      <c r="F26" s="36"/>
      <c r="G26" s="36"/>
      <c r="H26" s="36"/>
      <c r="I26" s="36"/>
      <c r="J26" s="36"/>
      <c r="K26" s="36"/>
      <c r="L26" s="36"/>
      <c r="N26" s="36"/>
      <c r="O26" s="25"/>
      <c r="P26" s="25"/>
      <c r="Q26" s="25"/>
      <c r="R26" s="25"/>
      <c r="S26" s="25"/>
      <c r="T26" s="108"/>
      <c r="U26" s="107"/>
      <c r="V26" s="107"/>
      <c r="W26" s="26"/>
      <c r="X26" s="26"/>
      <c r="Y26" s="26"/>
      <c r="Z26" s="26"/>
      <c r="AA26" s="88"/>
      <c r="AB26" s="88"/>
      <c r="AC26" s="25"/>
      <c r="AD26" s="25"/>
      <c r="AE26" s="25"/>
      <c r="AF26" s="25"/>
      <c r="AG26" s="25"/>
      <c r="AH26" s="25"/>
      <c r="AI26" s="25"/>
      <c r="AJ26" s="25"/>
      <c r="AK26" s="25"/>
      <c r="AL26" s="25"/>
      <c r="AM26" s="25"/>
    </row>
    <row r="27" spans="1:39" s="110" customFormat="1" ht="15.75" x14ac:dyDescent="0.25">
      <c r="A27" s="25"/>
      <c r="B27" s="25"/>
      <c r="C27" s="36"/>
      <c r="D27" s="36"/>
      <c r="E27" s="36"/>
      <c r="F27" s="36"/>
      <c r="G27" s="36"/>
      <c r="H27" s="36"/>
      <c r="I27" s="36"/>
      <c r="J27" s="36"/>
      <c r="K27" s="36"/>
      <c r="L27" s="36"/>
      <c r="N27" s="36"/>
      <c r="O27" s="25"/>
      <c r="P27" s="25"/>
      <c r="Q27" s="25"/>
      <c r="R27" s="25"/>
      <c r="S27" s="25"/>
      <c r="T27" s="108"/>
      <c r="U27" s="107"/>
      <c r="V27" s="107"/>
      <c r="W27" s="26"/>
      <c r="X27" s="26"/>
      <c r="Y27" s="26"/>
      <c r="Z27" s="26"/>
      <c r="AA27" s="88"/>
      <c r="AB27" s="88"/>
      <c r="AC27" s="25"/>
      <c r="AD27" s="25"/>
      <c r="AE27" s="25"/>
      <c r="AF27" s="25"/>
      <c r="AG27" s="25"/>
      <c r="AH27" s="25"/>
      <c r="AI27" s="25"/>
      <c r="AJ27" s="25"/>
      <c r="AK27" s="25"/>
      <c r="AL27" s="25"/>
      <c r="AM27" s="25"/>
    </row>
    <row r="28" spans="1:39" s="110" customFormat="1" ht="15.75" x14ac:dyDescent="0.25">
      <c r="A28" s="25"/>
      <c r="B28" s="25"/>
      <c r="C28" s="36"/>
      <c r="D28" s="36"/>
      <c r="E28" s="36"/>
      <c r="F28" s="36"/>
      <c r="G28" s="36"/>
      <c r="H28" s="36"/>
      <c r="I28" s="36"/>
      <c r="J28" s="36"/>
      <c r="K28" s="36"/>
      <c r="L28" s="36"/>
      <c r="N28" s="36"/>
      <c r="O28" s="25"/>
      <c r="P28" s="25"/>
      <c r="Q28" s="25"/>
      <c r="R28" s="25"/>
      <c r="S28" s="25"/>
      <c r="T28" s="108"/>
      <c r="U28" s="107"/>
      <c r="V28" s="107"/>
      <c r="W28" s="26"/>
      <c r="X28" s="26"/>
      <c r="Y28" s="26"/>
      <c r="Z28" s="26"/>
      <c r="AA28" s="88"/>
      <c r="AB28" s="88"/>
      <c r="AC28" s="25"/>
      <c r="AD28" s="25"/>
      <c r="AE28" s="25"/>
      <c r="AF28" s="25"/>
      <c r="AG28" s="25"/>
      <c r="AH28" s="25"/>
      <c r="AI28" s="25"/>
      <c r="AJ28" s="25"/>
      <c r="AK28" s="25"/>
      <c r="AL28" s="25"/>
      <c r="AM28" s="25"/>
    </row>
    <row r="29" spans="1:39" s="110" customFormat="1" ht="15.75" x14ac:dyDescent="0.25">
      <c r="A29" s="25"/>
      <c r="B29" s="25"/>
      <c r="C29" s="36"/>
      <c r="D29" s="36"/>
      <c r="E29" s="36"/>
      <c r="F29" s="36"/>
      <c r="G29" s="36"/>
      <c r="H29" s="36"/>
      <c r="I29" s="36"/>
      <c r="J29" s="36"/>
      <c r="K29" s="36"/>
      <c r="L29" s="36"/>
      <c r="N29" s="36"/>
      <c r="O29" s="25"/>
      <c r="P29" s="25"/>
      <c r="Q29" s="25"/>
      <c r="R29" s="25"/>
      <c r="S29" s="25"/>
      <c r="T29" s="108"/>
      <c r="U29" s="107"/>
      <c r="V29" s="107"/>
      <c r="W29" s="26"/>
      <c r="X29" s="26"/>
      <c r="Y29" s="26"/>
      <c r="Z29" s="26"/>
      <c r="AA29" s="88"/>
      <c r="AB29" s="88"/>
      <c r="AC29" s="25"/>
      <c r="AD29" s="25"/>
      <c r="AE29" s="25"/>
      <c r="AF29" s="25"/>
      <c r="AG29" s="25"/>
      <c r="AH29" s="25"/>
      <c r="AI29" s="25"/>
      <c r="AJ29" s="25"/>
      <c r="AK29" s="25"/>
      <c r="AL29" s="25"/>
      <c r="AM29" s="25"/>
    </row>
    <row r="30" spans="1:39" s="110" customFormat="1" ht="15.75" x14ac:dyDescent="0.25">
      <c r="A30" s="25"/>
      <c r="B30" s="25"/>
      <c r="C30" s="36"/>
      <c r="D30" s="36"/>
      <c r="E30" s="36"/>
      <c r="F30" s="36"/>
      <c r="G30" s="36"/>
      <c r="H30" s="36"/>
      <c r="I30" s="36"/>
      <c r="J30" s="36"/>
      <c r="K30" s="36"/>
      <c r="L30" s="36"/>
      <c r="N30" s="36"/>
      <c r="O30" s="25"/>
      <c r="P30" s="25"/>
      <c r="Q30" s="25"/>
      <c r="R30" s="25"/>
      <c r="S30" s="25"/>
      <c r="T30" s="108"/>
      <c r="U30" s="107"/>
      <c r="V30" s="107"/>
      <c r="W30" s="26"/>
      <c r="X30" s="26"/>
      <c r="Y30" s="26"/>
      <c r="Z30" s="26"/>
      <c r="AA30" s="88"/>
      <c r="AB30" s="88"/>
      <c r="AC30" s="25"/>
      <c r="AD30" s="25"/>
      <c r="AE30" s="25"/>
      <c r="AF30" s="25"/>
      <c r="AG30" s="25"/>
      <c r="AH30" s="25"/>
      <c r="AI30" s="25"/>
      <c r="AJ30" s="25"/>
      <c r="AK30" s="25"/>
      <c r="AL30" s="25"/>
      <c r="AM30" s="25"/>
    </row>
    <row r="31" spans="1:39" ht="15.75" x14ac:dyDescent="0.25">
      <c r="U31" s="107"/>
      <c r="V31" s="107"/>
      <c r="W31" s="26"/>
      <c r="X31" s="26"/>
      <c r="Y31" s="26"/>
      <c r="Z31" s="26"/>
    </row>
    <row r="32" spans="1:39" ht="15.75" x14ac:dyDescent="0.25">
      <c r="U32" s="107"/>
      <c r="V32" s="107"/>
      <c r="W32" s="26"/>
      <c r="X32" s="26"/>
      <c r="Y32" s="26"/>
      <c r="Z32" s="26"/>
    </row>
    <row r="33" spans="21:26" ht="15.75" x14ac:dyDescent="0.25">
      <c r="U33" s="107"/>
      <c r="V33" s="107"/>
      <c r="W33" s="26"/>
      <c r="X33" s="26"/>
      <c r="Y33" s="26"/>
      <c r="Z33" s="26"/>
    </row>
    <row r="34" spans="21:26" ht="15.75" x14ac:dyDescent="0.25">
      <c r="U34" s="107"/>
      <c r="V34" s="107"/>
      <c r="W34" s="26"/>
      <c r="X34" s="26"/>
      <c r="Y34" s="26"/>
      <c r="Z34" s="26"/>
    </row>
    <row r="35" spans="21:26" ht="15.75" x14ac:dyDescent="0.25">
      <c r="U35" s="107"/>
      <c r="V35" s="107"/>
      <c r="W35" s="26"/>
      <c r="X35" s="26"/>
      <c r="Y35" s="26"/>
      <c r="Z35" s="26"/>
    </row>
    <row r="36" spans="21:26" ht="15.75" x14ac:dyDescent="0.25">
      <c r="U36" s="107"/>
      <c r="V36" s="107"/>
      <c r="W36" s="26"/>
      <c r="X36" s="26"/>
      <c r="Y36" s="26"/>
      <c r="Z36" s="26"/>
    </row>
    <row r="37" spans="21:26" ht="15.75" x14ac:dyDescent="0.25">
      <c r="U37" s="107"/>
      <c r="V37" s="107"/>
      <c r="W37" s="26"/>
      <c r="X37" s="26"/>
      <c r="Y37" s="26"/>
      <c r="Z37" s="26"/>
    </row>
    <row r="38" spans="21:26" ht="15.75" x14ac:dyDescent="0.25">
      <c r="U38" s="107"/>
      <c r="V38" s="107"/>
      <c r="W38" s="26"/>
      <c r="X38" s="26"/>
      <c r="Y38" s="26"/>
      <c r="Z38" s="26"/>
    </row>
    <row r="39" spans="21:26" ht="15.75" x14ac:dyDescent="0.25">
      <c r="U39" s="107"/>
      <c r="V39" s="107"/>
      <c r="W39" s="26"/>
      <c r="X39" s="26"/>
      <c r="Y39" s="26"/>
      <c r="Z39" s="26"/>
    </row>
    <row r="40" spans="21:26" ht="15.75" x14ac:dyDescent="0.25">
      <c r="U40" s="107"/>
      <c r="V40" s="107"/>
      <c r="W40" s="26"/>
      <c r="X40" s="26"/>
      <c r="Y40" s="26"/>
      <c r="Z40" s="26"/>
    </row>
    <row r="41" spans="21:26" ht="15.75" x14ac:dyDescent="0.25">
      <c r="U41" s="107"/>
      <c r="V41" s="107"/>
      <c r="W41" s="26"/>
      <c r="X41" s="26"/>
      <c r="Y41" s="26"/>
      <c r="Z41" s="26"/>
    </row>
    <row r="42" spans="21:26" ht="15.75" x14ac:dyDescent="0.25">
      <c r="U42" s="107"/>
      <c r="V42" s="107"/>
      <c r="W42" s="26"/>
      <c r="X42" s="26"/>
      <c r="Y42" s="26"/>
      <c r="Z42" s="26"/>
    </row>
    <row r="43" spans="21:26" ht="15.75" x14ac:dyDescent="0.25">
      <c r="U43" s="107"/>
      <c r="V43" s="107"/>
      <c r="W43" s="26"/>
      <c r="X43" s="26"/>
      <c r="Y43" s="26"/>
      <c r="Z43" s="26"/>
    </row>
    <row r="44" spans="21:26" ht="15.75" x14ac:dyDescent="0.25">
      <c r="U44" s="107"/>
      <c r="V44" s="107"/>
      <c r="W44" s="26"/>
      <c r="X44" s="26"/>
      <c r="Y44" s="26"/>
      <c r="Z44" s="26"/>
    </row>
    <row r="45" spans="21:26" ht="15.75" x14ac:dyDescent="0.25">
      <c r="U45" s="107"/>
      <c r="V45" s="107"/>
      <c r="W45" s="26"/>
      <c r="X45" s="26"/>
      <c r="Y45" s="26"/>
      <c r="Z45" s="26"/>
    </row>
    <row r="46" spans="21:26" ht="15.75" x14ac:dyDescent="0.25">
      <c r="U46" s="107"/>
      <c r="V46" s="107"/>
      <c r="W46" s="26"/>
      <c r="X46" s="26"/>
      <c r="Y46" s="26"/>
      <c r="Z46" s="26"/>
    </row>
    <row r="47" spans="21:26" ht="15.75" x14ac:dyDescent="0.25">
      <c r="U47" s="107"/>
      <c r="V47" s="107"/>
      <c r="W47" s="26"/>
      <c r="X47" s="26"/>
      <c r="Y47" s="26"/>
      <c r="Z47" s="26"/>
    </row>
    <row r="48" spans="21:26" ht="15.75" x14ac:dyDescent="0.25">
      <c r="U48" s="107"/>
      <c r="V48" s="107"/>
      <c r="W48" s="26"/>
      <c r="X48" s="26"/>
      <c r="Y48" s="26"/>
      <c r="Z48" s="26"/>
    </row>
    <row r="49" spans="21:26" ht="15.75" x14ac:dyDescent="0.25">
      <c r="U49" s="107"/>
      <c r="V49" s="107"/>
      <c r="W49" s="26"/>
      <c r="X49" s="26"/>
      <c r="Y49" s="26"/>
      <c r="Z49" s="26"/>
    </row>
    <row r="50" spans="21:26" ht="15.75" x14ac:dyDescent="0.25">
      <c r="U50" s="107"/>
      <c r="V50" s="107"/>
      <c r="W50" s="26"/>
      <c r="X50" s="26"/>
      <c r="Y50" s="26"/>
      <c r="Z50" s="26"/>
    </row>
    <row r="51" spans="21:26" ht="15.75" x14ac:dyDescent="0.25">
      <c r="U51" s="107"/>
      <c r="V51" s="107"/>
      <c r="W51" s="26"/>
      <c r="X51" s="26"/>
      <c r="Y51" s="26"/>
      <c r="Z51" s="26"/>
    </row>
    <row r="52" spans="21:26" ht="15.75" x14ac:dyDescent="0.25">
      <c r="U52" s="107"/>
      <c r="V52" s="107"/>
      <c r="W52" s="26"/>
      <c r="X52" s="26"/>
      <c r="Y52" s="26"/>
      <c r="Z52" s="26"/>
    </row>
    <row r="53" spans="21:26" ht="15.75" x14ac:dyDescent="0.25">
      <c r="U53" s="107"/>
      <c r="V53" s="107"/>
      <c r="W53" s="26"/>
      <c r="X53" s="26"/>
      <c r="Y53" s="26"/>
      <c r="Z53" s="26"/>
    </row>
    <row r="54" spans="21:26" ht="15.75" x14ac:dyDescent="0.25">
      <c r="U54" s="107"/>
      <c r="V54" s="107"/>
      <c r="W54" s="26"/>
      <c r="X54" s="26"/>
      <c r="Y54" s="26"/>
      <c r="Z54" s="26"/>
    </row>
    <row r="55" spans="21:26" ht="15.75" x14ac:dyDescent="0.25">
      <c r="U55" s="107"/>
      <c r="V55" s="107"/>
      <c r="W55" s="26"/>
      <c r="X55" s="26"/>
      <c r="Y55" s="26"/>
      <c r="Z55" s="26"/>
    </row>
    <row r="56" spans="21:26" ht="15.75" x14ac:dyDescent="0.25">
      <c r="U56" s="107"/>
      <c r="V56" s="107"/>
      <c r="W56" s="26"/>
      <c r="X56" s="26"/>
      <c r="Y56" s="26"/>
      <c r="Z56" s="26"/>
    </row>
    <row r="57" spans="21:26" ht="15.75" x14ac:dyDescent="0.25">
      <c r="U57" s="107"/>
      <c r="V57" s="107"/>
      <c r="W57" s="26"/>
      <c r="X57" s="26"/>
      <c r="Y57" s="26"/>
      <c r="Z57" s="26"/>
    </row>
    <row r="58" spans="21:26" ht="15.75" x14ac:dyDescent="0.25">
      <c r="U58" s="107"/>
      <c r="V58" s="107"/>
      <c r="W58" s="26"/>
      <c r="X58" s="26"/>
      <c r="Y58" s="26"/>
      <c r="Z58" s="26"/>
    </row>
    <row r="59" spans="21:26" ht="15.75" x14ac:dyDescent="0.25">
      <c r="U59" s="107"/>
      <c r="V59" s="107"/>
      <c r="W59" s="26"/>
      <c r="X59" s="26"/>
      <c r="Y59" s="26"/>
      <c r="Z59" s="26"/>
    </row>
    <row r="60" spans="21:26" ht="15.75" x14ac:dyDescent="0.25">
      <c r="U60" s="107"/>
      <c r="V60" s="107"/>
      <c r="W60" s="26"/>
      <c r="X60" s="26"/>
      <c r="Y60" s="26"/>
      <c r="Z60" s="26"/>
    </row>
    <row r="61" spans="21:26" ht="15.75" x14ac:dyDescent="0.25">
      <c r="U61" s="107"/>
      <c r="V61" s="107"/>
      <c r="W61" s="26"/>
      <c r="X61" s="26"/>
      <c r="Y61" s="26"/>
      <c r="Z61" s="26"/>
    </row>
    <row r="62" spans="21:26" ht="15.75" x14ac:dyDescent="0.25">
      <c r="U62" s="107"/>
      <c r="V62" s="107"/>
      <c r="W62" s="26"/>
      <c r="X62" s="26"/>
      <c r="Y62" s="26"/>
      <c r="Z62" s="26"/>
    </row>
    <row r="63" spans="21:26" ht="15.75" x14ac:dyDescent="0.25">
      <c r="U63" s="107"/>
      <c r="V63" s="107"/>
      <c r="W63" s="26"/>
      <c r="X63" s="26"/>
      <c r="Y63" s="26"/>
      <c r="Z63" s="26"/>
    </row>
    <row r="64" spans="21:26" ht="15.75" x14ac:dyDescent="0.25">
      <c r="U64" s="107"/>
      <c r="V64" s="107"/>
      <c r="W64" s="26"/>
      <c r="X64" s="26"/>
      <c r="Y64" s="26"/>
      <c r="Z64" s="26"/>
    </row>
    <row r="65" spans="21:26" ht="15.75" x14ac:dyDescent="0.25">
      <c r="U65" s="107"/>
      <c r="V65" s="107"/>
      <c r="W65" s="26"/>
      <c r="X65" s="26"/>
      <c r="Y65" s="26"/>
      <c r="Z65" s="26"/>
    </row>
    <row r="66" spans="21:26" ht="15.75" x14ac:dyDescent="0.25">
      <c r="U66" s="107"/>
      <c r="V66" s="107"/>
      <c r="W66" s="26"/>
      <c r="X66" s="26"/>
      <c r="Y66" s="26"/>
      <c r="Z66" s="26"/>
    </row>
    <row r="67" spans="21:26" ht="15.75" x14ac:dyDescent="0.25">
      <c r="U67" s="107"/>
      <c r="V67" s="107"/>
      <c r="W67" s="26"/>
      <c r="X67" s="26"/>
      <c r="Y67" s="26"/>
      <c r="Z67" s="26"/>
    </row>
    <row r="68" spans="21:26" ht="15.75" x14ac:dyDescent="0.25">
      <c r="U68" s="107"/>
      <c r="V68" s="107"/>
      <c r="W68" s="26"/>
      <c r="X68" s="26"/>
      <c r="Y68" s="26"/>
      <c r="Z68" s="26"/>
    </row>
    <row r="69" spans="21:26" ht="15.75" x14ac:dyDescent="0.25">
      <c r="U69" s="107"/>
      <c r="V69" s="107"/>
      <c r="W69" s="26"/>
      <c r="X69" s="26"/>
      <c r="Y69" s="26"/>
      <c r="Z69" s="26"/>
    </row>
    <row r="70" spans="21:26" ht="15.75" x14ac:dyDescent="0.25">
      <c r="U70" s="107"/>
      <c r="V70" s="107"/>
      <c r="W70" s="26"/>
      <c r="X70" s="26"/>
      <c r="Y70" s="26"/>
      <c r="Z70" s="26"/>
    </row>
    <row r="71" spans="21:26" ht="15.75" x14ac:dyDescent="0.25">
      <c r="U71" s="107"/>
      <c r="V71" s="107"/>
      <c r="W71" s="26"/>
      <c r="X71" s="26"/>
      <c r="Y71" s="26"/>
      <c r="Z71" s="26"/>
    </row>
    <row r="72" spans="21:26" ht="15.75" x14ac:dyDescent="0.25">
      <c r="U72" s="107"/>
      <c r="V72" s="107"/>
      <c r="W72" s="26"/>
      <c r="X72" s="26"/>
      <c r="Y72" s="26"/>
      <c r="Z72" s="26"/>
    </row>
    <row r="73" spans="21:26" ht="15.75" x14ac:dyDescent="0.25">
      <c r="U73" s="107"/>
      <c r="V73" s="107"/>
      <c r="W73" s="26"/>
      <c r="X73" s="26"/>
      <c r="Y73" s="26"/>
      <c r="Z73" s="26"/>
    </row>
    <row r="74" spans="21:26" ht="15.75" x14ac:dyDescent="0.25">
      <c r="U74" s="107"/>
      <c r="V74" s="107"/>
      <c r="W74" s="26"/>
      <c r="X74" s="26"/>
      <c r="Y74" s="26"/>
      <c r="Z74" s="26"/>
    </row>
    <row r="75" spans="21:26" ht="15.75" x14ac:dyDescent="0.25">
      <c r="U75" s="107"/>
      <c r="V75" s="107"/>
      <c r="W75" s="26"/>
      <c r="X75" s="26"/>
      <c r="Y75" s="26"/>
      <c r="Z75" s="26"/>
    </row>
    <row r="76" spans="21:26" ht="15.75" x14ac:dyDescent="0.25">
      <c r="U76" s="107"/>
      <c r="V76" s="107"/>
      <c r="W76" s="26"/>
      <c r="X76" s="26"/>
      <c r="Y76" s="26"/>
      <c r="Z76" s="26"/>
    </row>
    <row r="77" spans="21:26" ht="15.75" x14ac:dyDescent="0.25">
      <c r="U77" s="107"/>
      <c r="V77" s="107"/>
      <c r="W77" s="26"/>
      <c r="X77" s="26"/>
      <c r="Y77" s="26"/>
      <c r="Z77" s="26"/>
    </row>
    <row r="78" spans="21:26" ht="15.75" x14ac:dyDescent="0.25">
      <c r="U78" s="107"/>
      <c r="V78" s="107"/>
      <c r="W78" s="26"/>
      <c r="X78" s="26"/>
      <c r="Y78" s="26"/>
      <c r="Z78" s="26"/>
    </row>
    <row r="79" spans="21:26" ht="15.75" x14ac:dyDescent="0.25">
      <c r="U79" s="107"/>
      <c r="V79" s="107"/>
      <c r="W79" s="26"/>
      <c r="X79" s="26"/>
      <c r="Y79" s="26"/>
      <c r="Z79" s="26"/>
    </row>
    <row r="80" spans="21:26" ht="15.75" x14ac:dyDescent="0.25">
      <c r="U80" s="107"/>
      <c r="V80" s="107"/>
      <c r="W80" s="26"/>
      <c r="X80" s="26"/>
      <c r="Y80" s="26"/>
      <c r="Z80" s="26"/>
    </row>
    <row r="81" spans="21:26" ht="15.75" x14ac:dyDescent="0.25">
      <c r="U81" s="107"/>
      <c r="V81" s="107"/>
      <c r="W81" s="26"/>
      <c r="X81" s="26"/>
      <c r="Y81" s="26"/>
      <c r="Z81" s="26"/>
    </row>
    <row r="82" spans="21:26" ht="15.75" x14ac:dyDescent="0.25">
      <c r="U82" s="107"/>
      <c r="V82" s="107"/>
      <c r="W82" s="26"/>
      <c r="X82" s="26"/>
      <c r="Y82" s="26"/>
      <c r="Z82" s="26"/>
    </row>
    <row r="83" spans="21:26" ht="15.75" x14ac:dyDescent="0.25">
      <c r="U83" s="107"/>
      <c r="V83" s="107"/>
      <c r="W83" s="26"/>
      <c r="X83" s="26"/>
      <c r="Y83" s="26"/>
      <c r="Z83" s="26"/>
    </row>
    <row r="84" spans="21:26" ht="15.75" x14ac:dyDescent="0.25">
      <c r="U84" s="107"/>
      <c r="V84" s="107"/>
      <c r="W84" s="26"/>
      <c r="X84" s="26"/>
      <c r="Y84" s="26"/>
      <c r="Z84" s="26"/>
    </row>
    <row r="85" spans="21:26" ht="15.75" x14ac:dyDescent="0.25">
      <c r="U85" s="107"/>
      <c r="V85" s="107"/>
      <c r="W85" s="26"/>
      <c r="X85" s="26"/>
      <c r="Y85" s="26"/>
      <c r="Z85" s="26"/>
    </row>
    <row r="86" spans="21:26" ht="15.75" x14ac:dyDescent="0.25">
      <c r="U86" s="107"/>
      <c r="V86" s="107"/>
      <c r="W86" s="26"/>
      <c r="X86" s="26"/>
      <c r="Y86" s="26"/>
      <c r="Z86" s="26"/>
    </row>
    <row r="87" spans="21:26" ht="15.75" x14ac:dyDescent="0.25">
      <c r="U87" s="107"/>
      <c r="V87" s="107"/>
      <c r="W87" s="26"/>
      <c r="X87" s="26"/>
      <c r="Y87" s="26"/>
      <c r="Z87" s="26"/>
    </row>
    <row r="88" spans="21:26" ht="15.75" x14ac:dyDescent="0.25">
      <c r="U88" s="107"/>
      <c r="V88" s="107"/>
      <c r="W88" s="26"/>
      <c r="X88" s="26"/>
      <c r="Y88" s="26"/>
      <c r="Z88" s="26"/>
    </row>
    <row r="89" spans="21:26" ht="15.75" x14ac:dyDescent="0.25">
      <c r="U89" s="107"/>
      <c r="V89" s="107"/>
      <c r="W89" s="26"/>
      <c r="X89" s="26"/>
      <c r="Y89" s="26"/>
      <c r="Z89" s="26"/>
    </row>
    <row r="90" spans="21:26" ht="15.75" x14ac:dyDescent="0.25">
      <c r="U90" s="107"/>
      <c r="V90" s="107"/>
      <c r="W90" s="26"/>
      <c r="X90" s="26"/>
      <c r="Y90" s="26"/>
      <c r="Z90" s="26"/>
    </row>
    <row r="91" spans="21:26" ht="15.75" x14ac:dyDescent="0.25">
      <c r="U91" s="107"/>
      <c r="V91" s="107"/>
      <c r="W91" s="26"/>
      <c r="X91" s="26"/>
      <c r="Y91" s="26"/>
      <c r="Z91" s="26"/>
    </row>
    <row r="92" spans="21:26" ht="15.75" x14ac:dyDescent="0.25">
      <c r="U92" s="107"/>
      <c r="V92" s="107"/>
      <c r="W92" s="26"/>
      <c r="X92" s="26"/>
      <c r="Y92" s="26"/>
      <c r="Z92" s="26"/>
    </row>
    <row r="93" spans="21:26" ht="15.75" x14ac:dyDescent="0.25">
      <c r="U93" s="107"/>
      <c r="V93" s="107"/>
      <c r="W93" s="26"/>
      <c r="X93" s="26"/>
      <c r="Y93" s="26"/>
      <c r="Z93" s="26"/>
    </row>
    <row r="94" spans="21:26" ht="15.75" x14ac:dyDescent="0.25">
      <c r="U94" s="107"/>
      <c r="V94" s="107"/>
      <c r="W94" s="26"/>
      <c r="X94" s="26"/>
      <c r="Y94" s="26"/>
      <c r="Z94" s="26"/>
    </row>
    <row r="95" spans="21:26" ht="15.75" x14ac:dyDescent="0.25">
      <c r="U95" s="107"/>
      <c r="V95" s="107"/>
      <c r="W95" s="26"/>
      <c r="X95" s="26"/>
      <c r="Y95" s="26"/>
      <c r="Z95" s="26"/>
    </row>
    <row r="96" spans="21:26" ht="15.75" x14ac:dyDescent="0.25">
      <c r="U96" s="107"/>
      <c r="V96" s="107"/>
      <c r="W96" s="26"/>
      <c r="X96" s="26"/>
      <c r="Y96" s="26"/>
      <c r="Z96" s="26"/>
    </row>
    <row r="97" spans="21:26" ht="15.75" x14ac:dyDescent="0.25">
      <c r="U97" s="107"/>
      <c r="V97" s="107"/>
      <c r="W97" s="26"/>
      <c r="X97" s="26"/>
      <c r="Y97" s="26"/>
      <c r="Z97" s="26"/>
    </row>
    <row r="98" spans="21:26" ht="15.75" x14ac:dyDescent="0.25">
      <c r="U98" s="107"/>
      <c r="V98" s="107"/>
      <c r="W98" s="26"/>
      <c r="X98" s="26"/>
      <c r="Y98" s="26"/>
      <c r="Z98" s="26"/>
    </row>
    <row r="99" spans="21:26" ht="15.75" x14ac:dyDescent="0.25">
      <c r="U99" s="107"/>
      <c r="V99" s="107"/>
      <c r="W99" s="26"/>
      <c r="X99" s="26"/>
      <c r="Y99" s="26"/>
      <c r="Z99" s="26"/>
    </row>
    <row r="100" spans="21:26" ht="15.75" x14ac:dyDescent="0.25">
      <c r="U100" s="107"/>
      <c r="V100" s="107"/>
      <c r="W100" s="26"/>
      <c r="X100" s="26"/>
      <c r="Y100" s="26"/>
      <c r="Z100" s="26"/>
    </row>
    <row r="101" spans="21:26" ht="15.75" x14ac:dyDescent="0.25">
      <c r="U101" s="107"/>
      <c r="V101" s="107"/>
      <c r="W101" s="26"/>
      <c r="X101" s="26"/>
      <c r="Y101" s="26"/>
      <c r="Z101" s="26"/>
    </row>
    <row r="102" spans="21:26" ht="15.75" x14ac:dyDescent="0.25">
      <c r="U102" s="107"/>
      <c r="V102" s="107"/>
      <c r="W102" s="26"/>
      <c r="X102" s="26"/>
      <c r="Y102" s="26"/>
      <c r="Z102" s="26"/>
    </row>
    <row r="103" spans="21:26" ht="15.75" x14ac:dyDescent="0.25">
      <c r="U103" s="107"/>
      <c r="V103" s="107"/>
      <c r="W103" s="26"/>
      <c r="X103" s="26"/>
      <c r="Y103" s="26"/>
      <c r="Z103" s="26"/>
    </row>
    <row r="104" spans="21:26" ht="15.75" x14ac:dyDescent="0.25">
      <c r="U104" s="107"/>
      <c r="V104" s="107"/>
      <c r="W104" s="26"/>
      <c r="X104" s="26"/>
      <c r="Y104" s="26"/>
      <c r="Z104" s="26"/>
    </row>
    <row r="105" spans="21:26" ht="15.75" x14ac:dyDescent="0.25">
      <c r="U105" s="107"/>
      <c r="V105" s="107"/>
      <c r="W105" s="26"/>
      <c r="X105" s="26"/>
      <c r="Y105" s="26"/>
      <c r="Z105" s="26"/>
    </row>
    <row r="106" spans="21:26" ht="15.75" x14ac:dyDescent="0.25">
      <c r="U106" s="107"/>
      <c r="V106" s="107"/>
      <c r="W106" s="26"/>
      <c r="X106" s="26"/>
      <c r="Y106" s="26"/>
      <c r="Z106" s="26"/>
    </row>
    <row r="107" spans="21:26" ht="15.75" x14ac:dyDescent="0.25">
      <c r="U107" s="107"/>
      <c r="V107" s="107"/>
      <c r="W107" s="26"/>
      <c r="X107" s="26"/>
      <c r="Y107" s="26"/>
      <c r="Z107" s="26"/>
    </row>
    <row r="108" spans="21:26" ht="15.75" x14ac:dyDescent="0.25">
      <c r="U108" s="107"/>
      <c r="V108" s="107"/>
      <c r="W108" s="26"/>
      <c r="X108" s="26"/>
      <c r="Y108" s="26"/>
      <c r="Z108" s="26"/>
    </row>
    <row r="109" spans="21:26" ht="15.75" x14ac:dyDescent="0.25">
      <c r="U109" s="107"/>
      <c r="V109" s="107"/>
      <c r="W109" s="26"/>
      <c r="X109" s="26"/>
      <c r="Y109" s="26"/>
      <c r="Z109" s="26"/>
    </row>
    <row r="110" spans="21:26" ht="15.75" x14ac:dyDescent="0.25">
      <c r="U110" s="107"/>
      <c r="V110" s="107"/>
      <c r="W110" s="26"/>
      <c r="X110" s="26"/>
      <c r="Y110" s="26"/>
      <c r="Z110" s="26"/>
    </row>
    <row r="111" spans="21:26" ht="15.75" x14ac:dyDescent="0.25">
      <c r="U111" s="107"/>
      <c r="V111" s="107"/>
      <c r="W111" s="26"/>
      <c r="X111" s="26"/>
      <c r="Y111" s="26"/>
      <c r="Z111" s="26"/>
    </row>
    <row r="112" spans="21:26" ht="15.75" x14ac:dyDescent="0.25">
      <c r="U112" s="92"/>
      <c r="V112" s="92"/>
      <c r="W112" s="92"/>
      <c r="X112" s="92"/>
      <c r="Y112" s="92"/>
      <c r="Z112" s="94"/>
    </row>
    <row r="113" spans="21:26" ht="15.75" x14ac:dyDescent="0.25">
      <c r="U113" s="92"/>
      <c r="V113" s="92"/>
      <c r="W113" s="92"/>
      <c r="X113" s="92"/>
      <c r="Y113" s="92"/>
      <c r="Z113" s="94"/>
    </row>
    <row r="114" spans="21:26" ht="15.75" x14ac:dyDescent="0.25">
      <c r="U114" s="92"/>
      <c r="V114" s="92"/>
      <c r="W114" s="92"/>
      <c r="X114" s="92"/>
      <c r="Y114" s="92"/>
      <c r="Z114" s="94"/>
    </row>
    <row r="115" spans="21:26" ht="15.75" x14ac:dyDescent="0.25">
      <c r="U115" s="92"/>
      <c r="V115" s="92"/>
      <c r="W115" s="92"/>
      <c r="X115" s="92"/>
      <c r="Y115" s="92"/>
      <c r="Z115" s="94"/>
    </row>
    <row r="116" spans="21:26" ht="15.75" x14ac:dyDescent="0.25">
      <c r="U116" s="92"/>
      <c r="V116" s="92"/>
      <c r="W116" s="92"/>
      <c r="X116" s="92"/>
      <c r="Y116" s="92"/>
      <c r="Z116" s="94"/>
    </row>
    <row r="117" spans="21:26" ht="15.75" x14ac:dyDescent="0.25">
      <c r="U117" s="92"/>
      <c r="V117" s="92"/>
      <c r="W117" s="92"/>
      <c r="X117" s="92"/>
      <c r="Y117" s="92"/>
      <c r="Z117" s="94"/>
    </row>
    <row r="118" spans="21:26" ht="15.75" x14ac:dyDescent="0.25">
      <c r="U118" s="92"/>
      <c r="V118" s="92"/>
      <c r="W118" s="92"/>
      <c r="X118" s="92"/>
      <c r="Y118" s="92"/>
      <c r="Z118" s="94"/>
    </row>
    <row r="119" spans="21:26" ht="15.75" x14ac:dyDescent="0.25">
      <c r="U119" s="92"/>
      <c r="V119" s="92"/>
      <c r="W119" s="92"/>
      <c r="X119" s="92"/>
      <c r="Y119" s="92"/>
      <c r="Z119" s="94"/>
    </row>
    <row r="120" spans="21:26" ht="15.75" x14ac:dyDescent="0.25">
      <c r="U120" s="92"/>
      <c r="V120" s="92"/>
      <c r="W120" s="92"/>
      <c r="X120" s="92"/>
      <c r="Y120" s="92"/>
      <c r="Z120" s="94"/>
    </row>
    <row r="121" spans="21:26" ht="15.75" x14ac:dyDescent="0.25">
      <c r="U121" s="92"/>
      <c r="V121" s="92"/>
      <c r="W121" s="92"/>
      <c r="X121" s="92"/>
      <c r="Y121" s="92"/>
      <c r="Z121" s="94"/>
    </row>
    <row r="122" spans="21:26" ht="15.75" x14ac:dyDescent="0.25">
      <c r="U122" s="92"/>
      <c r="V122" s="92"/>
      <c r="W122" s="92"/>
      <c r="X122" s="92"/>
      <c r="Y122" s="92"/>
      <c r="Z122" s="94"/>
    </row>
    <row r="123" spans="21:26" ht="15.75" x14ac:dyDescent="0.25">
      <c r="U123" s="92"/>
      <c r="V123" s="92"/>
      <c r="W123" s="92"/>
      <c r="X123" s="92"/>
      <c r="Y123" s="92"/>
      <c r="Z123" s="94"/>
    </row>
    <row r="124" spans="21:26" ht="15.75" x14ac:dyDescent="0.25">
      <c r="U124" s="92"/>
      <c r="V124" s="92"/>
      <c r="W124" s="92"/>
      <c r="X124" s="92"/>
      <c r="Y124" s="92"/>
      <c r="Z124" s="94"/>
    </row>
    <row r="125" spans="21:26" ht="15.75" x14ac:dyDescent="0.25">
      <c r="U125" s="92"/>
      <c r="V125" s="92"/>
      <c r="W125" s="92"/>
      <c r="X125" s="92"/>
      <c r="Y125" s="92"/>
      <c r="Z125" s="94"/>
    </row>
    <row r="126" spans="21:26" ht="15.75" x14ac:dyDescent="0.25">
      <c r="U126" s="92"/>
      <c r="V126" s="92"/>
      <c r="W126" s="92"/>
      <c r="X126" s="92"/>
      <c r="Y126" s="92"/>
      <c r="Z126" s="94"/>
    </row>
    <row r="127" spans="21:26" ht="15.75" x14ac:dyDescent="0.25">
      <c r="U127" s="92"/>
      <c r="V127" s="92"/>
      <c r="W127" s="92"/>
      <c r="X127" s="92"/>
      <c r="Y127" s="92"/>
      <c r="Z127" s="94"/>
    </row>
    <row r="128" spans="21:26" ht="15.75" x14ac:dyDescent="0.25">
      <c r="U128" s="92"/>
      <c r="V128" s="92"/>
      <c r="W128" s="92"/>
      <c r="X128" s="92"/>
      <c r="Y128" s="92"/>
      <c r="Z128" s="94"/>
    </row>
    <row r="129" spans="21:26" ht="15.75" x14ac:dyDescent="0.25">
      <c r="U129" s="92"/>
      <c r="V129" s="92"/>
      <c r="W129" s="92"/>
      <c r="X129" s="92"/>
      <c r="Y129" s="92"/>
      <c r="Z129" s="94"/>
    </row>
    <row r="130" spans="21:26" ht="15.75" x14ac:dyDescent="0.25">
      <c r="U130" s="92"/>
      <c r="V130" s="92"/>
      <c r="W130" s="92"/>
      <c r="X130" s="92"/>
      <c r="Y130" s="92"/>
      <c r="Z130" s="94"/>
    </row>
    <row r="131" spans="21:26" ht="15.75" x14ac:dyDescent="0.25">
      <c r="U131" s="92"/>
      <c r="V131" s="92"/>
      <c r="W131" s="92"/>
      <c r="X131" s="92"/>
      <c r="Y131" s="92"/>
      <c r="Z131" s="94"/>
    </row>
    <row r="132" spans="21:26" ht="15.75" x14ac:dyDescent="0.25">
      <c r="U132" s="92"/>
      <c r="V132" s="92"/>
      <c r="W132" s="92"/>
      <c r="X132" s="92"/>
      <c r="Y132" s="92"/>
      <c r="Z132" s="94"/>
    </row>
    <row r="133" spans="21:26" ht="15.75" x14ac:dyDescent="0.25">
      <c r="U133" s="92"/>
      <c r="V133" s="92"/>
      <c r="W133" s="92"/>
      <c r="X133" s="92"/>
      <c r="Y133" s="92"/>
      <c r="Z133" s="94"/>
    </row>
    <row r="134" spans="21:26" ht="15.75" x14ac:dyDescent="0.25">
      <c r="U134" s="92"/>
      <c r="V134" s="92"/>
      <c r="W134" s="92"/>
      <c r="X134" s="92"/>
      <c r="Y134" s="92"/>
      <c r="Z134" s="94"/>
    </row>
    <row r="135" spans="21:26" ht="15.75" x14ac:dyDescent="0.25">
      <c r="U135" s="92"/>
      <c r="V135" s="92"/>
      <c r="W135" s="92"/>
      <c r="X135" s="92"/>
      <c r="Y135" s="92"/>
      <c r="Z135" s="94"/>
    </row>
    <row r="136" spans="21:26" ht="15.75" x14ac:dyDescent="0.25">
      <c r="U136" s="92"/>
      <c r="V136" s="92"/>
      <c r="W136" s="92"/>
      <c r="X136" s="92"/>
      <c r="Y136" s="92"/>
      <c r="Z136" s="94"/>
    </row>
    <row r="137" spans="21:26" ht="15.75" x14ac:dyDescent="0.25">
      <c r="U137" s="92"/>
      <c r="V137" s="92"/>
      <c r="W137" s="92"/>
      <c r="X137" s="92"/>
      <c r="Y137" s="92"/>
      <c r="Z137" s="94"/>
    </row>
    <row r="138" spans="21:26" ht="15.75" x14ac:dyDescent="0.25">
      <c r="U138" s="92"/>
      <c r="V138" s="92"/>
      <c r="W138" s="92"/>
      <c r="X138" s="92"/>
      <c r="Y138" s="92"/>
      <c r="Z138" s="94"/>
    </row>
    <row r="139" spans="21:26" ht="15.75" x14ac:dyDescent="0.25">
      <c r="U139" s="92"/>
      <c r="V139" s="92"/>
      <c r="W139" s="92"/>
      <c r="X139" s="92"/>
      <c r="Y139" s="92"/>
      <c r="Z139" s="94"/>
    </row>
    <row r="140" spans="21:26" ht="15.75" x14ac:dyDescent="0.25">
      <c r="U140" s="92"/>
      <c r="V140" s="92"/>
      <c r="W140" s="92"/>
      <c r="X140" s="92"/>
      <c r="Y140" s="92"/>
      <c r="Z140" s="94"/>
    </row>
    <row r="141" spans="21:26" ht="15.75" x14ac:dyDescent="0.25">
      <c r="U141" s="92"/>
      <c r="V141" s="92"/>
      <c r="W141" s="92"/>
      <c r="X141" s="92"/>
      <c r="Y141" s="92"/>
      <c r="Z141" s="94"/>
    </row>
    <row r="142" spans="21:26" ht="15.75" x14ac:dyDescent="0.25">
      <c r="U142" s="92"/>
      <c r="V142" s="92"/>
      <c r="W142" s="92"/>
      <c r="X142" s="92"/>
      <c r="Y142" s="92"/>
      <c r="Z142" s="94"/>
    </row>
    <row r="143" spans="21:26" ht="15.75" x14ac:dyDescent="0.25">
      <c r="U143" s="92"/>
      <c r="V143" s="92"/>
      <c r="W143" s="92"/>
      <c r="X143" s="92"/>
      <c r="Y143" s="92"/>
      <c r="Z143" s="94"/>
    </row>
    <row r="144" spans="21:26" ht="15.75" x14ac:dyDescent="0.25">
      <c r="U144" s="92"/>
      <c r="V144" s="92"/>
      <c r="W144" s="92"/>
      <c r="X144" s="92"/>
      <c r="Y144" s="92"/>
      <c r="Z144" s="94"/>
    </row>
    <row r="145" spans="21:26" ht="15.75" x14ac:dyDescent="0.25">
      <c r="U145" s="92"/>
      <c r="V145" s="92"/>
      <c r="W145" s="92"/>
      <c r="X145" s="92"/>
      <c r="Y145" s="92"/>
      <c r="Z145" s="94"/>
    </row>
    <row r="146" spans="21:26" ht="15.75" x14ac:dyDescent="0.25">
      <c r="U146" s="92"/>
      <c r="V146" s="92"/>
      <c r="W146" s="92"/>
      <c r="X146" s="92"/>
      <c r="Y146" s="92"/>
      <c r="Z146" s="94"/>
    </row>
    <row r="147" spans="21:26" ht="15.75" x14ac:dyDescent="0.25">
      <c r="U147" s="92"/>
      <c r="V147" s="92"/>
      <c r="W147" s="92"/>
      <c r="X147" s="92"/>
      <c r="Y147" s="92"/>
      <c r="Z147" s="94"/>
    </row>
    <row r="148" spans="21:26" ht="15.75" x14ac:dyDescent="0.25">
      <c r="U148" s="92"/>
      <c r="V148" s="92"/>
      <c r="W148" s="92"/>
      <c r="X148" s="92"/>
      <c r="Y148" s="92"/>
      <c r="Z148" s="94"/>
    </row>
    <row r="149" spans="21:26" ht="15.75" x14ac:dyDescent="0.25">
      <c r="U149" s="92"/>
      <c r="V149" s="92"/>
      <c r="W149" s="92"/>
      <c r="X149" s="92"/>
      <c r="Y149" s="92"/>
      <c r="Z149" s="94"/>
    </row>
    <row r="150" spans="21:26" ht="15.75" x14ac:dyDescent="0.25">
      <c r="U150" s="92"/>
      <c r="V150" s="92"/>
      <c r="W150" s="92"/>
      <c r="X150" s="92"/>
      <c r="Y150" s="92"/>
      <c r="Z150" s="94"/>
    </row>
    <row r="151" spans="21:26" ht="15.75" x14ac:dyDescent="0.25">
      <c r="U151" s="92"/>
      <c r="V151" s="92"/>
      <c r="W151" s="92"/>
      <c r="X151" s="92"/>
      <c r="Y151" s="92"/>
      <c r="Z151" s="94"/>
    </row>
    <row r="152" spans="21:26" ht="15.75" x14ac:dyDescent="0.25">
      <c r="U152" s="92"/>
      <c r="V152" s="92"/>
      <c r="W152" s="92"/>
      <c r="X152" s="92"/>
      <c r="Y152" s="92"/>
      <c r="Z152" s="94"/>
    </row>
    <row r="153" spans="21:26" ht="15.75" x14ac:dyDescent="0.25">
      <c r="U153" s="92"/>
      <c r="V153" s="92"/>
      <c r="W153" s="92"/>
      <c r="X153" s="92"/>
      <c r="Y153" s="92"/>
      <c r="Z153" s="94"/>
    </row>
    <row r="154" spans="21:26" ht="15.75" x14ac:dyDescent="0.25">
      <c r="U154" s="92"/>
      <c r="V154" s="92"/>
      <c r="W154" s="92"/>
      <c r="X154" s="92"/>
      <c r="Y154" s="92"/>
      <c r="Z154" s="94"/>
    </row>
    <row r="155" spans="21:26" ht="15.75" x14ac:dyDescent="0.25">
      <c r="U155" s="92"/>
      <c r="V155" s="92"/>
      <c r="W155" s="92"/>
      <c r="X155" s="92"/>
      <c r="Y155" s="92"/>
      <c r="Z155" s="94"/>
    </row>
    <row r="156" spans="21:26" ht="15.75" x14ac:dyDescent="0.25">
      <c r="U156" s="92"/>
      <c r="V156" s="92"/>
      <c r="W156" s="92"/>
      <c r="X156" s="92"/>
      <c r="Y156" s="92"/>
      <c r="Z156" s="94"/>
    </row>
    <row r="157" spans="21:26" ht="15.75" x14ac:dyDescent="0.25">
      <c r="U157" s="92"/>
      <c r="V157" s="92"/>
      <c r="W157" s="92"/>
      <c r="X157" s="92"/>
      <c r="Y157" s="92"/>
      <c r="Z157" s="94"/>
    </row>
    <row r="158" spans="21:26" ht="15.75" x14ac:dyDescent="0.25">
      <c r="U158" s="92"/>
      <c r="V158" s="92"/>
      <c r="W158" s="92"/>
      <c r="X158" s="92"/>
      <c r="Y158" s="92"/>
      <c r="Z158" s="94"/>
    </row>
    <row r="159" spans="21:26" ht="15.75" x14ac:dyDescent="0.25">
      <c r="U159" s="92"/>
      <c r="V159" s="92"/>
      <c r="W159" s="92"/>
      <c r="X159" s="92"/>
      <c r="Y159" s="92"/>
      <c r="Z159" s="94"/>
    </row>
    <row r="160" spans="21:26" ht="15.75" x14ac:dyDescent="0.25">
      <c r="U160" s="92"/>
      <c r="V160" s="92"/>
      <c r="W160" s="92"/>
      <c r="X160" s="92"/>
      <c r="Y160" s="92"/>
      <c r="Z160" s="94"/>
    </row>
    <row r="161" spans="21:26" ht="15.75" x14ac:dyDescent="0.25">
      <c r="U161" s="92"/>
      <c r="V161" s="92"/>
      <c r="W161" s="92"/>
      <c r="X161" s="92"/>
      <c r="Y161" s="92"/>
      <c r="Z161" s="94"/>
    </row>
    <row r="162" spans="21:26" ht="15.75" x14ac:dyDescent="0.25">
      <c r="U162" s="92"/>
      <c r="V162" s="92"/>
      <c r="W162" s="92"/>
      <c r="X162" s="92"/>
      <c r="Y162" s="92"/>
      <c r="Z162" s="94"/>
    </row>
    <row r="163" spans="21:26" ht="15.75" x14ac:dyDescent="0.25">
      <c r="U163" s="92"/>
      <c r="V163" s="92"/>
      <c r="W163" s="92"/>
      <c r="X163" s="92"/>
      <c r="Y163" s="92"/>
      <c r="Z163" s="94"/>
    </row>
    <row r="164" spans="21:26" ht="15.75" x14ac:dyDescent="0.25">
      <c r="U164" s="92"/>
      <c r="V164" s="92"/>
      <c r="W164" s="92"/>
      <c r="X164" s="92"/>
      <c r="Y164" s="92"/>
      <c r="Z164" s="94"/>
    </row>
    <row r="165" spans="21:26" ht="15.75" x14ac:dyDescent="0.25">
      <c r="U165" s="92"/>
      <c r="V165" s="92"/>
      <c r="W165" s="92"/>
      <c r="X165" s="92"/>
      <c r="Y165" s="92"/>
      <c r="Z165" s="94"/>
    </row>
    <row r="166" spans="21:26" ht="15.75" x14ac:dyDescent="0.25">
      <c r="U166" s="92"/>
      <c r="V166" s="92"/>
      <c r="W166" s="92"/>
      <c r="X166" s="92"/>
      <c r="Y166" s="92"/>
      <c r="Z166" s="94"/>
    </row>
    <row r="167" spans="21:26" ht="15.75" x14ac:dyDescent="0.25">
      <c r="U167" s="92"/>
      <c r="V167" s="92"/>
      <c r="W167" s="92"/>
      <c r="X167" s="92"/>
      <c r="Y167" s="92"/>
      <c r="Z167" s="94"/>
    </row>
    <row r="168" spans="21:26" ht="15.75" x14ac:dyDescent="0.25">
      <c r="U168" s="92"/>
      <c r="V168" s="92"/>
      <c r="W168" s="92"/>
      <c r="X168" s="92"/>
      <c r="Y168" s="92"/>
      <c r="Z168" s="94"/>
    </row>
    <row r="169" spans="21:26" ht="15.75" x14ac:dyDescent="0.25">
      <c r="U169" s="92"/>
      <c r="V169" s="92"/>
      <c r="W169" s="92"/>
      <c r="X169" s="92"/>
      <c r="Y169" s="92"/>
      <c r="Z169" s="94"/>
    </row>
    <row r="170" spans="21:26" ht="15.75" x14ac:dyDescent="0.25">
      <c r="U170" s="92"/>
      <c r="V170" s="92"/>
      <c r="W170" s="92"/>
      <c r="X170" s="92"/>
      <c r="Y170" s="92"/>
      <c r="Z170" s="94"/>
    </row>
    <row r="171" spans="21:26" ht="15.75" x14ac:dyDescent="0.25">
      <c r="U171" s="92"/>
      <c r="V171" s="92"/>
      <c r="W171" s="92"/>
      <c r="X171" s="92"/>
      <c r="Y171" s="92"/>
      <c r="Z171" s="94"/>
    </row>
    <row r="172" spans="21:26" ht="15.75" x14ac:dyDescent="0.25">
      <c r="U172" s="92"/>
      <c r="V172" s="92"/>
      <c r="W172" s="92"/>
      <c r="X172" s="92"/>
      <c r="Y172" s="92"/>
      <c r="Z172" s="94"/>
    </row>
    <row r="173" spans="21:26" ht="15.75" x14ac:dyDescent="0.25">
      <c r="U173" s="92"/>
      <c r="V173" s="92"/>
      <c r="W173" s="92"/>
      <c r="X173" s="92"/>
      <c r="Y173" s="92"/>
      <c r="Z173" s="94"/>
    </row>
    <row r="174" spans="21:26" ht="15.75" x14ac:dyDescent="0.25">
      <c r="U174" s="92"/>
      <c r="V174" s="92"/>
      <c r="W174" s="92"/>
      <c r="X174" s="92"/>
      <c r="Y174" s="92"/>
      <c r="Z174" s="94"/>
    </row>
    <row r="175" spans="21:26" ht="15.75" x14ac:dyDescent="0.25">
      <c r="U175" s="92"/>
      <c r="V175" s="92"/>
      <c r="W175" s="92"/>
      <c r="X175" s="92"/>
      <c r="Y175" s="92"/>
      <c r="Z175" s="94"/>
    </row>
    <row r="176" spans="21:26" ht="15.75" x14ac:dyDescent="0.25">
      <c r="U176" s="92"/>
      <c r="V176" s="92"/>
      <c r="W176" s="92"/>
      <c r="X176" s="92"/>
      <c r="Y176" s="92"/>
      <c r="Z176" s="94"/>
    </row>
    <row r="177" spans="21:26" ht="15.75" x14ac:dyDescent="0.25">
      <c r="U177" s="92"/>
      <c r="V177" s="92"/>
      <c r="W177" s="92"/>
      <c r="X177" s="92"/>
      <c r="Y177" s="92"/>
      <c r="Z177" s="94"/>
    </row>
    <row r="178" spans="21:26" ht="15.75" x14ac:dyDescent="0.25">
      <c r="U178" s="92"/>
      <c r="V178" s="92"/>
      <c r="W178" s="92"/>
      <c r="X178" s="92"/>
      <c r="Y178" s="92"/>
      <c r="Z178" s="94"/>
    </row>
    <row r="179" spans="21:26" ht="15.75" x14ac:dyDescent="0.25">
      <c r="U179" s="92"/>
      <c r="V179" s="92"/>
      <c r="W179" s="92"/>
      <c r="X179" s="92"/>
      <c r="Y179" s="92"/>
      <c r="Z179" s="94"/>
    </row>
    <row r="180" spans="21:26" ht="15.75" x14ac:dyDescent="0.25">
      <c r="U180" s="92"/>
      <c r="V180" s="92"/>
      <c r="W180" s="92"/>
      <c r="X180" s="92"/>
      <c r="Y180" s="92"/>
      <c r="Z180" s="94"/>
    </row>
    <row r="181" spans="21:26" ht="15.75" x14ac:dyDescent="0.25">
      <c r="U181" s="92"/>
      <c r="V181" s="92"/>
      <c r="W181" s="92"/>
      <c r="X181" s="92"/>
      <c r="Y181" s="92"/>
      <c r="Z181" s="94"/>
    </row>
    <row r="182" spans="21:26" ht="15.75" x14ac:dyDescent="0.25">
      <c r="U182" s="92"/>
      <c r="V182" s="92"/>
      <c r="W182" s="92"/>
      <c r="X182" s="92"/>
      <c r="Y182" s="92"/>
      <c r="Z182" s="94"/>
    </row>
    <row r="183" spans="21:26" ht="15.75" x14ac:dyDescent="0.25">
      <c r="U183" s="92"/>
      <c r="V183" s="92"/>
      <c r="W183" s="92"/>
      <c r="X183" s="92"/>
      <c r="Y183" s="92"/>
      <c r="Z183" s="94"/>
    </row>
    <row r="184" spans="21:26" ht="15.75" x14ac:dyDescent="0.25">
      <c r="U184" s="92"/>
      <c r="V184" s="92"/>
      <c r="W184" s="92"/>
      <c r="X184" s="92"/>
      <c r="Y184" s="92"/>
      <c r="Z184" s="94"/>
    </row>
    <row r="185" spans="21:26" ht="15.75" x14ac:dyDescent="0.25">
      <c r="U185" s="92"/>
      <c r="V185" s="92"/>
      <c r="W185" s="92"/>
      <c r="X185" s="92"/>
      <c r="Y185" s="92"/>
      <c r="Z185" s="94"/>
    </row>
    <row r="186" spans="21:26" ht="15.75" x14ac:dyDescent="0.25">
      <c r="U186" s="92"/>
      <c r="V186" s="92"/>
      <c r="W186" s="92"/>
      <c r="X186" s="92"/>
      <c r="Y186" s="92"/>
      <c r="Z186" s="94"/>
    </row>
    <row r="187" spans="21:26" ht="15.75" x14ac:dyDescent="0.25">
      <c r="U187" s="92"/>
      <c r="V187" s="92"/>
      <c r="W187" s="92"/>
      <c r="X187" s="92"/>
      <c r="Y187" s="92"/>
      <c r="Z187" s="94"/>
    </row>
    <row r="188" spans="21:26" ht="15.75" x14ac:dyDescent="0.25">
      <c r="U188" s="92"/>
      <c r="V188" s="92"/>
      <c r="W188" s="92"/>
      <c r="X188" s="92"/>
      <c r="Y188" s="92"/>
      <c r="Z188" s="94"/>
    </row>
    <row r="189" spans="21:26" ht="15.75" x14ac:dyDescent="0.25">
      <c r="U189" s="92"/>
      <c r="V189" s="92"/>
      <c r="W189" s="92"/>
      <c r="X189" s="92"/>
      <c r="Y189" s="92"/>
      <c r="Z189" s="94"/>
    </row>
    <row r="190" spans="21:26" ht="15.75" x14ac:dyDescent="0.25">
      <c r="U190" s="92"/>
      <c r="V190" s="92"/>
      <c r="W190" s="92"/>
      <c r="X190" s="92"/>
      <c r="Y190" s="92"/>
      <c r="Z190" s="94"/>
    </row>
    <row r="191" spans="21:26" ht="15.75" x14ac:dyDescent="0.25">
      <c r="U191" s="92"/>
      <c r="V191" s="92"/>
      <c r="W191" s="92"/>
      <c r="X191" s="92"/>
      <c r="Y191" s="92"/>
      <c r="Z191" s="94"/>
    </row>
    <row r="192" spans="21:26" ht="15.75" x14ac:dyDescent="0.25">
      <c r="U192" s="92"/>
      <c r="V192" s="92"/>
      <c r="W192" s="92"/>
      <c r="X192" s="92"/>
      <c r="Y192" s="92"/>
      <c r="Z192" s="94"/>
    </row>
    <row r="193" spans="21:26" ht="15.75" x14ac:dyDescent="0.25">
      <c r="U193" s="92"/>
      <c r="V193" s="92"/>
      <c r="W193" s="92"/>
      <c r="X193" s="92"/>
      <c r="Y193" s="92"/>
      <c r="Z193" s="94"/>
    </row>
    <row r="194" spans="21:26" ht="15.75" x14ac:dyDescent="0.25">
      <c r="U194" s="92"/>
      <c r="V194" s="92"/>
      <c r="W194" s="92"/>
      <c r="X194" s="92"/>
      <c r="Y194" s="92"/>
      <c r="Z194" s="94"/>
    </row>
    <row r="195" spans="21:26" ht="15.75" x14ac:dyDescent="0.25">
      <c r="U195" s="92"/>
      <c r="V195" s="92"/>
      <c r="W195" s="92"/>
      <c r="X195" s="92"/>
      <c r="Y195" s="92"/>
      <c r="Z195" s="94"/>
    </row>
    <row r="196" spans="21:26" ht="15.75" x14ac:dyDescent="0.25">
      <c r="U196" s="92"/>
      <c r="V196" s="92"/>
      <c r="W196" s="92"/>
      <c r="X196" s="92"/>
      <c r="Y196" s="92"/>
      <c r="Z196" s="94"/>
    </row>
    <row r="197" spans="21:26" ht="15.75" x14ac:dyDescent="0.25">
      <c r="U197" s="92"/>
      <c r="V197" s="92"/>
      <c r="W197" s="92"/>
      <c r="X197" s="92"/>
      <c r="Y197" s="92"/>
      <c r="Z197" s="94"/>
    </row>
    <row r="198" spans="21:26" ht="15.75" x14ac:dyDescent="0.25">
      <c r="U198" s="92"/>
      <c r="V198" s="92"/>
      <c r="W198" s="92"/>
      <c r="X198" s="92"/>
      <c r="Y198" s="92"/>
      <c r="Z198" s="94"/>
    </row>
    <row r="199" spans="21:26" ht="15.75" x14ac:dyDescent="0.25">
      <c r="U199" s="92"/>
      <c r="V199" s="92"/>
      <c r="W199" s="92"/>
      <c r="X199" s="92"/>
      <c r="Y199" s="92"/>
      <c r="Z199" s="94"/>
    </row>
    <row r="200" spans="21:26" ht="15.75" x14ac:dyDescent="0.25">
      <c r="U200" s="92"/>
      <c r="V200" s="92"/>
      <c r="W200" s="92"/>
      <c r="X200" s="92"/>
      <c r="Y200" s="92"/>
      <c r="Z200" s="94"/>
    </row>
    <row r="201" spans="21:26" ht="15.75" x14ac:dyDescent="0.25">
      <c r="U201" s="92"/>
      <c r="V201" s="92"/>
      <c r="W201" s="92"/>
      <c r="X201" s="92"/>
      <c r="Y201" s="92"/>
      <c r="Z201" s="94"/>
    </row>
    <row r="202" spans="21:26" ht="15.75" x14ac:dyDescent="0.25">
      <c r="U202" s="92"/>
      <c r="V202" s="92"/>
      <c r="W202" s="92"/>
      <c r="X202" s="92"/>
      <c r="Y202" s="92"/>
      <c r="Z202" s="94"/>
    </row>
    <row r="203" spans="21:26" ht="15.75" x14ac:dyDescent="0.25">
      <c r="U203" s="92"/>
      <c r="V203" s="92"/>
      <c r="W203" s="92"/>
      <c r="X203" s="92"/>
      <c r="Y203" s="92"/>
      <c r="Z203" s="94"/>
    </row>
    <row r="204" spans="21:26" ht="15.75" x14ac:dyDescent="0.25">
      <c r="U204" s="92"/>
      <c r="V204" s="92"/>
      <c r="W204" s="92"/>
      <c r="X204" s="92"/>
      <c r="Y204" s="92"/>
      <c r="Z204" s="94"/>
    </row>
    <row r="205" spans="21:26" ht="15.75" x14ac:dyDescent="0.25">
      <c r="U205" s="92"/>
      <c r="V205" s="92"/>
      <c r="W205" s="92"/>
      <c r="X205" s="92"/>
      <c r="Y205" s="92"/>
      <c r="Z205" s="94"/>
    </row>
    <row r="206" spans="21:26" ht="15.75" x14ac:dyDescent="0.25">
      <c r="U206" s="92"/>
      <c r="V206" s="92"/>
      <c r="W206" s="92"/>
      <c r="X206" s="92"/>
      <c r="Y206" s="92"/>
      <c r="Z206" s="94"/>
    </row>
    <row r="207" spans="21:26" ht="15.75" x14ac:dyDescent="0.25">
      <c r="U207" s="92"/>
      <c r="V207" s="92"/>
      <c r="W207" s="92"/>
      <c r="X207" s="92"/>
      <c r="Y207" s="92"/>
      <c r="Z207" s="94"/>
    </row>
    <row r="208" spans="21:26" ht="15.75" x14ac:dyDescent="0.25">
      <c r="U208" s="92"/>
      <c r="V208" s="92"/>
      <c r="W208" s="92"/>
      <c r="X208" s="92"/>
      <c r="Y208" s="92"/>
      <c r="Z208" s="94"/>
    </row>
    <row r="209" spans="21:26" ht="15.75" x14ac:dyDescent="0.25">
      <c r="U209" s="92"/>
      <c r="V209" s="92"/>
      <c r="W209" s="92"/>
      <c r="X209" s="92"/>
      <c r="Y209" s="92"/>
      <c r="Z209" s="94"/>
    </row>
    <row r="210" spans="21:26" ht="15.75" x14ac:dyDescent="0.25">
      <c r="U210" s="92"/>
      <c r="V210" s="92"/>
      <c r="W210" s="92"/>
      <c r="X210" s="92"/>
      <c r="Y210" s="92"/>
      <c r="Z210" s="94"/>
    </row>
    <row r="211" spans="21:26" ht="15.75" x14ac:dyDescent="0.25">
      <c r="U211" s="92"/>
      <c r="V211" s="92"/>
      <c r="W211" s="92"/>
      <c r="X211" s="92"/>
      <c r="Y211" s="92"/>
      <c r="Z211" s="94"/>
    </row>
    <row r="212" spans="21:26" ht="15.75" x14ac:dyDescent="0.25">
      <c r="U212" s="92"/>
      <c r="V212" s="92"/>
      <c r="W212" s="92"/>
      <c r="X212" s="92"/>
      <c r="Y212" s="92"/>
      <c r="Z212" s="94"/>
    </row>
    <row r="213" spans="21:26" ht="15.75" x14ac:dyDescent="0.25">
      <c r="U213" s="92"/>
      <c r="V213" s="92"/>
      <c r="W213" s="92"/>
      <c r="X213" s="92"/>
      <c r="Y213" s="92"/>
      <c r="Z213" s="94"/>
    </row>
    <row r="214" spans="21:26" ht="15.75" x14ac:dyDescent="0.25">
      <c r="U214" s="92"/>
      <c r="V214" s="92"/>
      <c r="W214" s="92"/>
      <c r="X214" s="92"/>
      <c r="Y214" s="92"/>
      <c r="Z214" s="94"/>
    </row>
    <row r="215" spans="21:26" ht="15.75" x14ac:dyDescent="0.25">
      <c r="U215" s="92"/>
      <c r="V215" s="92"/>
      <c r="W215" s="92"/>
      <c r="X215" s="92"/>
      <c r="Y215" s="92"/>
      <c r="Z215" s="94"/>
    </row>
    <row r="216" spans="21:26" ht="15.75" x14ac:dyDescent="0.25">
      <c r="U216" s="92"/>
      <c r="V216" s="92"/>
      <c r="W216" s="92"/>
      <c r="X216" s="92"/>
      <c r="Y216" s="92"/>
      <c r="Z216" s="94"/>
    </row>
    <row r="217" spans="21:26" ht="15.75" x14ac:dyDescent="0.25">
      <c r="U217" s="92"/>
      <c r="V217" s="92"/>
      <c r="W217" s="92"/>
      <c r="X217" s="92"/>
      <c r="Y217" s="92"/>
      <c r="Z217" s="94"/>
    </row>
    <row r="218" spans="21:26" ht="15.75" x14ac:dyDescent="0.25">
      <c r="U218" s="92"/>
      <c r="V218" s="92"/>
      <c r="W218" s="92"/>
      <c r="X218" s="92"/>
      <c r="Y218" s="92"/>
      <c r="Z218" s="94"/>
    </row>
    <row r="219" spans="21:26" ht="15.75" x14ac:dyDescent="0.25">
      <c r="U219" s="92"/>
      <c r="V219" s="92"/>
      <c r="W219" s="92"/>
      <c r="X219" s="92"/>
      <c r="Y219" s="92"/>
      <c r="Z219" s="94"/>
    </row>
    <row r="220" spans="21:26" ht="15.75" x14ac:dyDescent="0.25">
      <c r="U220" s="92"/>
      <c r="V220" s="92"/>
      <c r="W220" s="92"/>
      <c r="X220" s="92"/>
      <c r="Y220" s="92"/>
      <c r="Z220" s="94"/>
    </row>
    <row r="221" spans="21:26" ht="15.75" x14ac:dyDescent="0.25">
      <c r="U221" s="92"/>
      <c r="V221" s="92"/>
      <c r="W221" s="92"/>
      <c r="X221" s="92"/>
      <c r="Y221" s="92"/>
      <c r="Z221" s="94"/>
    </row>
    <row r="222" spans="21:26" ht="15.75" x14ac:dyDescent="0.25">
      <c r="U222" s="92"/>
      <c r="V222" s="92"/>
      <c r="W222" s="92"/>
      <c r="X222" s="92"/>
      <c r="Y222" s="92"/>
      <c r="Z222" s="94"/>
    </row>
    <row r="223" spans="21:26" ht="15.75" x14ac:dyDescent="0.25">
      <c r="U223" s="92"/>
      <c r="V223" s="92"/>
      <c r="W223" s="92"/>
      <c r="X223" s="92"/>
      <c r="Y223" s="92"/>
      <c r="Z223" s="94"/>
    </row>
    <row r="224" spans="21:26" ht="15.75" x14ac:dyDescent="0.25">
      <c r="U224" s="92"/>
      <c r="V224" s="92"/>
      <c r="W224" s="92"/>
      <c r="X224" s="92"/>
      <c r="Y224" s="92"/>
      <c r="Z224" s="94"/>
    </row>
    <row r="225" spans="21:26" ht="15.75" x14ac:dyDescent="0.25">
      <c r="U225" s="92"/>
      <c r="V225" s="92"/>
      <c r="W225" s="92"/>
      <c r="X225" s="92"/>
      <c r="Y225" s="92"/>
      <c r="Z225" s="94"/>
    </row>
    <row r="226" spans="21:26" ht="15.75" x14ac:dyDescent="0.25">
      <c r="U226" s="92"/>
      <c r="V226" s="92"/>
      <c r="W226" s="92"/>
      <c r="X226" s="92"/>
      <c r="Y226" s="92"/>
      <c r="Z226" s="94"/>
    </row>
    <row r="227" spans="21:26" ht="15.75" x14ac:dyDescent="0.25">
      <c r="U227" s="92"/>
      <c r="V227" s="92"/>
      <c r="W227" s="92"/>
      <c r="X227" s="92"/>
      <c r="Y227" s="92"/>
      <c r="Z227" s="94"/>
    </row>
    <row r="228" spans="21:26" ht="15.75" x14ac:dyDescent="0.25">
      <c r="U228" s="92"/>
      <c r="V228" s="92"/>
      <c r="W228" s="92"/>
      <c r="X228" s="92"/>
      <c r="Y228" s="92"/>
      <c r="Z228" s="94"/>
    </row>
    <row r="229" spans="21:26" ht="15.75" x14ac:dyDescent="0.25">
      <c r="U229" s="92"/>
      <c r="V229" s="92"/>
      <c r="W229" s="92"/>
      <c r="X229" s="92"/>
      <c r="Y229" s="92"/>
      <c r="Z229" s="94"/>
    </row>
    <row r="230" spans="21:26" ht="15.75" x14ac:dyDescent="0.25">
      <c r="U230" s="92"/>
      <c r="V230" s="92"/>
      <c r="W230" s="92"/>
      <c r="X230" s="92"/>
      <c r="Y230" s="92"/>
      <c r="Z230" s="94"/>
    </row>
    <row r="231" spans="21:26" ht="15.75" x14ac:dyDescent="0.25">
      <c r="U231" s="92"/>
      <c r="V231" s="92"/>
      <c r="W231" s="92"/>
      <c r="X231" s="92"/>
      <c r="Y231" s="92"/>
      <c r="Z231" s="94"/>
    </row>
    <row r="232" spans="21:26" ht="15.75" x14ac:dyDescent="0.25">
      <c r="U232" s="92"/>
      <c r="V232" s="92"/>
      <c r="W232" s="92"/>
      <c r="X232" s="92"/>
      <c r="Y232" s="92"/>
      <c r="Z232" s="94"/>
    </row>
    <row r="233" spans="21:26" ht="15.75" x14ac:dyDescent="0.25">
      <c r="U233" s="92"/>
      <c r="V233" s="92"/>
      <c r="W233" s="92"/>
      <c r="X233" s="92"/>
      <c r="Y233" s="92"/>
      <c r="Z233" s="94"/>
    </row>
    <row r="234" spans="21:26" ht="15.75" x14ac:dyDescent="0.25">
      <c r="U234" s="92"/>
      <c r="V234" s="92"/>
      <c r="W234" s="92"/>
      <c r="X234" s="92"/>
      <c r="Y234" s="92"/>
      <c r="Z234" s="94"/>
    </row>
    <row r="235" spans="21:26" ht="15.75" x14ac:dyDescent="0.25">
      <c r="U235" s="92"/>
      <c r="V235" s="92"/>
      <c r="W235" s="92"/>
      <c r="X235" s="92"/>
      <c r="Y235" s="92"/>
      <c r="Z235" s="94"/>
    </row>
    <row r="236" spans="21:26" ht="15.75" x14ac:dyDescent="0.25">
      <c r="U236" s="92"/>
      <c r="V236" s="92"/>
      <c r="W236" s="92"/>
      <c r="X236" s="92"/>
      <c r="Y236" s="92"/>
      <c r="Z236" s="94"/>
    </row>
    <row r="237" spans="21:26" ht="15.75" x14ac:dyDescent="0.25">
      <c r="U237" s="107"/>
      <c r="V237" s="26"/>
      <c r="W237" s="26"/>
      <c r="X237" s="26"/>
      <c r="Y237" s="26"/>
      <c r="Z237" s="26"/>
    </row>
    <row r="238" spans="21:26" ht="15.75" x14ac:dyDescent="0.25">
      <c r="U238" s="107"/>
      <c r="V238" s="26"/>
      <c r="W238" s="26"/>
      <c r="X238" s="26"/>
      <c r="Y238" s="26"/>
      <c r="Z238" s="26"/>
    </row>
    <row r="239" spans="21:26" ht="15.75" x14ac:dyDescent="0.25">
      <c r="U239" s="107"/>
      <c r="V239" s="26"/>
      <c r="W239" s="26"/>
      <c r="X239" s="26"/>
      <c r="Y239" s="26"/>
      <c r="Z239" s="26"/>
    </row>
    <row r="240" spans="21:26" ht="15.75" x14ac:dyDescent="0.25">
      <c r="U240" s="107"/>
      <c r="V240" s="26"/>
      <c r="W240" s="26"/>
      <c r="X240" s="26"/>
      <c r="Y240" s="26"/>
      <c r="Z240" s="26"/>
    </row>
    <row r="241" spans="21:26" ht="15.75" x14ac:dyDescent="0.25">
      <c r="U241" s="107"/>
      <c r="V241" s="26"/>
      <c r="W241" s="26"/>
      <c r="X241" s="26"/>
      <c r="Y241" s="26"/>
      <c r="Z241" s="26"/>
    </row>
    <row r="242" spans="21:26" ht="15.75" x14ac:dyDescent="0.25">
      <c r="U242" s="107"/>
      <c r="V242" s="26"/>
      <c r="W242" s="26"/>
      <c r="X242" s="26"/>
      <c r="Y242" s="26"/>
      <c r="Z242" s="26"/>
    </row>
    <row r="243" spans="21:26" ht="15.75" x14ac:dyDescent="0.25">
      <c r="U243" s="107"/>
      <c r="V243" s="26"/>
      <c r="W243" s="26"/>
      <c r="X243" s="26"/>
      <c r="Y243" s="26"/>
      <c r="Z243" s="26"/>
    </row>
    <row r="244" spans="21:26" ht="15.75" x14ac:dyDescent="0.25">
      <c r="U244" s="107"/>
      <c r="V244" s="26"/>
      <c r="W244" s="26"/>
      <c r="X244" s="26"/>
      <c r="Y244" s="26"/>
      <c r="Z244" s="26"/>
    </row>
    <row r="245" spans="21:26" ht="15.75" x14ac:dyDescent="0.25">
      <c r="U245" s="107"/>
      <c r="V245" s="26"/>
      <c r="W245" s="26"/>
      <c r="X245" s="26"/>
      <c r="Y245" s="26"/>
      <c r="Z245" s="26"/>
    </row>
    <row r="246" spans="21:26" ht="15.75" x14ac:dyDescent="0.25">
      <c r="U246" s="107"/>
      <c r="V246" s="26"/>
      <c r="W246" s="26"/>
      <c r="X246" s="26"/>
      <c r="Y246" s="26"/>
      <c r="Z246" s="26"/>
    </row>
    <row r="247" spans="21:26" ht="15.75" x14ac:dyDescent="0.25">
      <c r="U247" s="107"/>
      <c r="V247" s="26"/>
      <c r="W247" s="26"/>
      <c r="X247" s="26"/>
      <c r="Y247" s="26"/>
      <c r="Z247" s="26"/>
    </row>
    <row r="248" spans="21:26" ht="15.75" x14ac:dyDescent="0.25">
      <c r="U248" s="107"/>
      <c r="V248" s="26"/>
      <c r="W248" s="26"/>
      <c r="X248" s="26"/>
      <c r="Y248" s="26"/>
      <c r="Z248" s="26"/>
    </row>
    <row r="249" spans="21:26" ht="15.75" x14ac:dyDescent="0.25">
      <c r="U249" s="107"/>
      <c r="V249" s="26"/>
      <c r="W249" s="26"/>
      <c r="X249" s="26"/>
      <c r="Y249" s="26"/>
      <c r="Z249" s="26"/>
    </row>
    <row r="250" spans="21:26" ht="15.75" x14ac:dyDescent="0.25">
      <c r="U250" s="107"/>
      <c r="V250" s="26"/>
      <c r="W250" s="26"/>
      <c r="X250" s="26"/>
      <c r="Y250" s="26"/>
      <c r="Z250" s="26"/>
    </row>
    <row r="251" spans="21:26" ht="15.75" x14ac:dyDescent="0.25">
      <c r="U251" s="107"/>
      <c r="V251" s="26"/>
      <c r="W251" s="26"/>
      <c r="X251" s="26"/>
      <c r="Y251" s="26"/>
      <c r="Z251" s="26"/>
    </row>
    <row r="252" spans="21:26" ht="15.75" x14ac:dyDescent="0.25">
      <c r="U252" s="107"/>
      <c r="V252" s="26"/>
      <c r="W252" s="26"/>
      <c r="X252" s="26"/>
      <c r="Y252" s="26"/>
      <c r="Z252" s="26"/>
    </row>
    <row r="253" spans="21:26" ht="15.75" x14ac:dyDescent="0.25">
      <c r="U253" s="107"/>
      <c r="V253" s="26"/>
      <c r="W253" s="26"/>
      <c r="X253" s="26"/>
      <c r="Y253" s="26"/>
      <c r="Z253" s="26"/>
    </row>
    <row r="254" spans="21:26" ht="15.75" x14ac:dyDescent="0.25">
      <c r="U254" s="107"/>
      <c r="V254" s="26"/>
      <c r="W254" s="26"/>
      <c r="X254" s="26"/>
      <c r="Y254" s="26"/>
      <c r="Z254" s="26"/>
    </row>
    <row r="255" spans="21:26" ht="15.75" x14ac:dyDescent="0.25">
      <c r="U255" s="107"/>
      <c r="V255" s="26"/>
      <c r="W255" s="26"/>
      <c r="X255" s="26"/>
      <c r="Y255" s="26"/>
      <c r="Z255" s="26"/>
    </row>
    <row r="256" spans="21:26" ht="15.75" x14ac:dyDescent="0.25">
      <c r="U256" s="107"/>
      <c r="V256" s="26"/>
      <c r="W256" s="26"/>
      <c r="X256" s="26"/>
      <c r="Y256" s="26"/>
      <c r="Z256" s="26"/>
    </row>
    <row r="257" spans="21:26" ht="15.75" x14ac:dyDescent="0.25">
      <c r="U257" s="107"/>
      <c r="V257" s="26"/>
      <c r="W257" s="26"/>
      <c r="X257" s="26"/>
      <c r="Y257" s="26"/>
      <c r="Z257" s="26"/>
    </row>
    <row r="258" spans="21:26" ht="15.75" x14ac:dyDescent="0.25">
      <c r="U258" s="107"/>
      <c r="V258" s="26"/>
      <c r="W258" s="26"/>
      <c r="X258" s="26"/>
      <c r="Y258" s="26"/>
      <c r="Z258" s="26"/>
    </row>
    <row r="259" spans="21:26" ht="15.75" x14ac:dyDescent="0.25">
      <c r="U259" s="107"/>
      <c r="V259" s="26"/>
      <c r="W259" s="26"/>
      <c r="X259" s="26"/>
      <c r="Y259" s="26"/>
      <c r="Z259" s="26"/>
    </row>
    <row r="260" spans="21:26" ht="15.75" x14ac:dyDescent="0.25">
      <c r="U260" s="107"/>
      <c r="V260" s="26"/>
      <c r="W260" s="26"/>
      <c r="X260" s="26"/>
      <c r="Y260" s="26"/>
      <c r="Z260" s="26"/>
    </row>
    <row r="261" spans="21:26" ht="15.75" x14ac:dyDescent="0.25">
      <c r="U261" s="107"/>
      <c r="V261" s="26"/>
      <c r="W261" s="26"/>
      <c r="X261" s="26"/>
      <c r="Y261" s="26"/>
      <c r="Z261" s="26"/>
    </row>
    <row r="262" spans="21:26" ht="15.75" x14ac:dyDescent="0.25">
      <c r="U262" s="107"/>
      <c r="V262" s="26"/>
      <c r="W262" s="26"/>
      <c r="X262" s="26"/>
      <c r="Y262" s="26"/>
      <c r="Z262" s="26"/>
    </row>
    <row r="263" spans="21:26" ht="15.75" x14ac:dyDescent="0.25">
      <c r="U263" s="107"/>
      <c r="V263" s="26"/>
      <c r="W263" s="26"/>
      <c r="X263" s="26"/>
      <c r="Y263" s="26"/>
      <c r="Z263" s="26"/>
    </row>
    <row r="264" spans="21:26" ht="15.75" x14ac:dyDescent="0.25">
      <c r="U264" s="107"/>
      <c r="V264" s="26"/>
      <c r="W264" s="26"/>
      <c r="X264" s="26"/>
      <c r="Y264" s="26"/>
      <c r="Z264" s="26"/>
    </row>
    <row r="265" spans="21:26" ht="15.75" x14ac:dyDescent="0.25">
      <c r="U265" s="107"/>
      <c r="V265" s="26"/>
      <c r="W265" s="26"/>
      <c r="X265" s="26"/>
      <c r="Y265" s="26"/>
      <c r="Z265" s="26"/>
    </row>
    <row r="266" spans="21:26" ht="15.75" x14ac:dyDescent="0.25">
      <c r="U266" s="107"/>
      <c r="V266" s="26"/>
      <c r="W266" s="26"/>
      <c r="X266" s="26"/>
      <c r="Y266" s="26"/>
      <c r="Z266" s="26"/>
    </row>
    <row r="267" spans="21:26" ht="15.75" x14ac:dyDescent="0.25">
      <c r="U267" s="107"/>
      <c r="V267" s="26"/>
      <c r="W267" s="26"/>
      <c r="X267" s="26"/>
      <c r="Y267" s="26"/>
      <c r="Z267" s="26"/>
    </row>
    <row r="268" spans="21:26" ht="15.75" x14ac:dyDescent="0.25">
      <c r="U268" s="107"/>
      <c r="V268" s="26"/>
      <c r="W268" s="26"/>
      <c r="X268" s="26"/>
      <c r="Y268" s="26"/>
      <c r="Z268" s="26"/>
    </row>
    <row r="269" spans="21:26" ht="15.75" x14ac:dyDescent="0.25">
      <c r="U269" s="107"/>
      <c r="V269" s="26"/>
      <c r="W269" s="26"/>
      <c r="X269" s="26"/>
      <c r="Y269" s="26"/>
      <c r="Z269" s="26"/>
    </row>
    <row r="270" spans="21:26" ht="15.75" x14ac:dyDescent="0.25">
      <c r="U270" s="107"/>
      <c r="V270" s="26"/>
      <c r="W270" s="26"/>
      <c r="X270" s="26"/>
      <c r="Y270" s="26"/>
      <c r="Z270" s="26"/>
    </row>
    <row r="271" spans="21:26" ht="15.75" x14ac:dyDescent="0.25">
      <c r="U271" s="107"/>
      <c r="V271" s="26"/>
      <c r="W271" s="26"/>
      <c r="X271" s="26"/>
      <c r="Y271" s="26"/>
      <c r="Z271" s="26"/>
    </row>
    <row r="272" spans="21:26" ht="15.75" x14ac:dyDescent="0.25">
      <c r="U272" s="107"/>
      <c r="V272" s="26"/>
      <c r="W272" s="26"/>
      <c r="X272" s="26"/>
      <c r="Y272" s="26"/>
      <c r="Z272" s="26"/>
    </row>
    <row r="273" spans="21:26" ht="15.75" x14ac:dyDescent="0.25">
      <c r="U273" s="107"/>
      <c r="V273" s="26"/>
      <c r="W273" s="26"/>
      <c r="X273" s="26"/>
      <c r="Y273" s="26"/>
      <c r="Z273" s="26"/>
    </row>
    <row r="274" spans="21:26" ht="15.75" x14ac:dyDescent="0.25">
      <c r="U274" s="107"/>
      <c r="V274" s="26"/>
      <c r="W274" s="26"/>
      <c r="X274" s="26"/>
      <c r="Y274" s="26"/>
      <c r="Z274" s="26"/>
    </row>
    <row r="275" spans="21:26" ht="15.75" x14ac:dyDescent="0.25">
      <c r="U275" s="107"/>
      <c r="V275" s="26"/>
      <c r="W275" s="26"/>
      <c r="X275" s="26"/>
      <c r="Y275" s="26"/>
      <c r="Z275" s="26"/>
    </row>
    <row r="276" spans="21:26" ht="15.75" x14ac:dyDescent="0.25">
      <c r="U276" s="107"/>
      <c r="V276" s="26"/>
      <c r="W276" s="26"/>
      <c r="X276" s="26"/>
      <c r="Y276" s="26"/>
      <c r="Z276" s="26"/>
    </row>
    <row r="277" spans="21:26" ht="15.75" x14ac:dyDescent="0.25">
      <c r="U277" s="107"/>
      <c r="V277" s="26"/>
      <c r="W277" s="26"/>
      <c r="X277" s="26"/>
      <c r="Y277" s="26"/>
      <c r="Z277" s="26"/>
    </row>
    <row r="278" spans="21:26" ht="15.75" x14ac:dyDescent="0.25">
      <c r="U278" s="107"/>
      <c r="V278" s="26"/>
      <c r="W278" s="26"/>
      <c r="X278" s="26"/>
      <c r="Y278" s="26"/>
      <c r="Z278" s="26"/>
    </row>
    <row r="279" spans="21:26" ht="15.75" x14ac:dyDescent="0.25">
      <c r="U279" s="107"/>
      <c r="V279" s="26"/>
      <c r="W279" s="26"/>
      <c r="X279" s="26"/>
      <c r="Y279" s="26"/>
      <c r="Z279" s="26"/>
    </row>
    <row r="280" spans="21:26" ht="15.75" x14ac:dyDescent="0.25">
      <c r="U280" s="107"/>
      <c r="V280" s="26"/>
      <c r="W280" s="26"/>
      <c r="X280" s="26"/>
      <c r="Y280" s="26"/>
      <c r="Z280" s="26"/>
    </row>
    <row r="281" spans="21:26" ht="15.75" x14ac:dyDescent="0.25">
      <c r="U281" s="107"/>
      <c r="V281" s="26"/>
      <c r="W281" s="26"/>
      <c r="X281" s="26"/>
      <c r="Y281" s="26"/>
      <c r="Z281" s="26"/>
    </row>
    <row r="282" spans="21:26" ht="15.75" x14ac:dyDescent="0.25">
      <c r="U282" s="107"/>
      <c r="V282" s="26"/>
      <c r="W282" s="26"/>
      <c r="X282" s="26"/>
      <c r="Y282" s="26"/>
      <c r="Z282" s="26"/>
    </row>
    <row r="283" spans="21:26" ht="15.75" x14ac:dyDescent="0.25">
      <c r="U283" s="107"/>
      <c r="V283" s="26"/>
      <c r="W283" s="26"/>
      <c r="X283" s="26"/>
      <c r="Y283" s="26"/>
      <c r="Z283" s="26"/>
    </row>
    <row r="284" spans="21:26" ht="15.75" x14ac:dyDescent="0.25">
      <c r="U284" s="107"/>
      <c r="V284" s="26"/>
      <c r="W284" s="26"/>
      <c r="X284" s="26"/>
      <c r="Y284" s="26"/>
      <c r="Z284" s="26"/>
    </row>
    <row r="285" spans="21:26" ht="15.75" x14ac:dyDescent="0.25">
      <c r="U285" s="107"/>
      <c r="V285" s="26"/>
      <c r="W285" s="26"/>
      <c r="X285" s="26"/>
      <c r="Y285" s="26"/>
      <c r="Z285" s="26"/>
    </row>
    <row r="286" spans="21:26" ht="15.75" x14ac:dyDescent="0.25">
      <c r="U286" s="107"/>
      <c r="V286" s="26"/>
      <c r="W286" s="26"/>
      <c r="X286" s="26"/>
      <c r="Y286" s="26"/>
      <c r="Z286" s="26"/>
    </row>
    <row r="287" spans="21:26" ht="15.75" x14ac:dyDescent="0.25">
      <c r="U287" s="107"/>
      <c r="V287" s="26"/>
      <c r="W287" s="26"/>
      <c r="X287" s="26"/>
      <c r="Y287" s="26"/>
      <c r="Z287" s="26"/>
    </row>
    <row r="288" spans="21:26" ht="15.75" x14ac:dyDescent="0.25">
      <c r="U288" s="107"/>
      <c r="V288" s="26"/>
      <c r="W288" s="26"/>
      <c r="X288" s="26"/>
      <c r="Y288" s="26"/>
      <c r="Z288" s="26"/>
    </row>
    <row r="289" spans="21:26" ht="15.75" x14ac:dyDescent="0.25">
      <c r="U289" s="107"/>
      <c r="V289" s="26"/>
      <c r="W289" s="26"/>
      <c r="X289" s="26"/>
      <c r="Y289" s="26"/>
      <c r="Z289" s="26"/>
    </row>
    <row r="290" spans="21:26" ht="15.75" x14ac:dyDescent="0.25">
      <c r="U290" s="107"/>
      <c r="V290" s="26"/>
      <c r="W290" s="26"/>
      <c r="X290" s="26"/>
      <c r="Y290" s="26"/>
      <c r="Z290" s="26"/>
    </row>
    <row r="291" spans="21:26" ht="15.75" x14ac:dyDescent="0.25">
      <c r="U291" s="107"/>
      <c r="V291" s="26"/>
      <c r="W291" s="26"/>
      <c r="X291" s="26"/>
      <c r="Y291" s="26"/>
      <c r="Z291" s="26"/>
    </row>
    <row r="292" spans="21:26" ht="15.75" x14ac:dyDescent="0.25">
      <c r="U292" s="107"/>
      <c r="V292" s="26"/>
      <c r="W292" s="26"/>
      <c r="X292" s="26"/>
      <c r="Y292" s="26"/>
      <c r="Z292" s="26"/>
    </row>
    <row r="293" spans="21:26" ht="15.75" x14ac:dyDescent="0.25">
      <c r="U293" s="107"/>
      <c r="V293" s="26"/>
      <c r="W293" s="26"/>
      <c r="X293" s="26"/>
      <c r="Y293" s="26"/>
      <c r="Z293" s="26"/>
    </row>
    <row r="294" spans="21:26" ht="15.75" x14ac:dyDescent="0.25">
      <c r="U294" s="107"/>
      <c r="V294" s="26"/>
      <c r="W294" s="26"/>
      <c r="X294" s="26"/>
      <c r="Y294" s="26"/>
      <c r="Z294" s="26"/>
    </row>
    <row r="295" spans="21:26" ht="15.75" x14ac:dyDescent="0.25">
      <c r="U295" s="107"/>
      <c r="V295" s="26"/>
      <c r="W295" s="26"/>
      <c r="X295" s="26"/>
      <c r="Y295" s="26"/>
      <c r="Z295" s="26"/>
    </row>
    <row r="296" spans="21:26" ht="15.75" x14ac:dyDescent="0.25">
      <c r="U296" s="107"/>
      <c r="V296" s="26"/>
      <c r="W296" s="26"/>
      <c r="X296" s="26"/>
      <c r="Y296" s="26"/>
      <c r="Z296" s="26"/>
    </row>
    <row r="297" spans="21:26" ht="15.75" x14ac:dyDescent="0.25">
      <c r="U297" s="107"/>
      <c r="V297" s="26"/>
      <c r="W297" s="26"/>
      <c r="X297" s="26"/>
      <c r="Y297" s="26"/>
      <c r="Z297" s="26"/>
    </row>
    <row r="298" spans="21:26" ht="15.75" x14ac:dyDescent="0.25">
      <c r="U298" s="107"/>
      <c r="V298" s="26"/>
      <c r="W298" s="26"/>
      <c r="X298" s="26"/>
      <c r="Y298" s="26"/>
      <c r="Z298" s="26"/>
    </row>
    <row r="299" spans="21:26" ht="15.75" x14ac:dyDescent="0.25">
      <c r="U299" s="107"/>
      <c r="V299" s="26"/>
      <c r="W299" s="26"/>
      <c r="X299" s="26"/>
      <c r="Y299" s="26"/>
      <c r="Z299" s="26"/>
    </row>
    <row r="300" spans="21:26" ht="15.75" x14ac:dyDescent="0.25">
      <c r="U300" s="107"/>
      <c r="V300" s="26"/>
      <c r="W300" s="26"/>
      <c r="X300" s="26"/>
      <c r="Y300" s="26"/>
      <c r="Z300" s="26"/>
    </row>
    <row r="301" spans="21:26" ht="15.75" x14ac:dyDescent="0.25">
      <c r="U301" s="107"/>
      <c r="V301" s="26"/>
      <c r="W301" s="26"/>
      <c r="X301" s="26"/>
      <c r="Y301" s="26"/>
      <c r="Z301" s="26"/>
    </row>
    <row r="302" spans="21:26" ht="15.75" x14ac:dyDescent="0.25">
      <c r="U302" s="107"/>
      <c r="V302" s="26"/>
      <c r="W302" s="26"/>
      <c r="X302" s="26"/>
      <c r="Y302" s="26"/>
      <c r="Z302" s="26"/>
    </row>
    <row r="303" spans="21:26" ht="15.75" x14ac:dyDescent="0.25">
      <c r="U303" s="107"/>
      <c r="V303" s="26"/>
      <c r="W303" s="26"/>
      <c r="X303" s="26"/>
      <c r="Y303" s="26"/>
      <c r="Z303" s="26"/>
    </row>
    <row r="304" spans="21:26" ht="15.75" x14ac:dyDescent="0.25">
      <c r="U304" s="107"/>
      <c r="V304" s="26"/>
      <c r="W304" s="26"/>
      <c r="X304" s="26"/>
      <c r="Y304" s="26"/>
      <c r="Z304" s="26"/>
    </row>
    <row r="305" spans="21:26" ht="15.75" x14ac:dyDescent="0.25">
      <c r="U305" s="107"/>
      <c r="V305" s="26"/>
      <c r="W305" s="26"/>
      <c r="X305" s="26"/>
      <c r="Y305" s="26"/>
      <c r="Z305" s="26"/>
    </row>
    <row r="306" spans="21:26" ht="15.75" x14ac:dyDescent="0.25">
      <c r="U306" s="107"/>
      <c r="V306" s="26"/>
      <c r="W306" s="26"/>
      <c r="X306" s="26"/>
      <c r="Y306" s="26"/>
      <c r="Z306" s="26"/>
    </row>
    <row r="307" spans="21:26" ht="15.75" x14ac:dyDescent="0.25">
      <c r="U307" s="107"/>
      <c r="V307" s="26"/>
      <c r="W307" s="26"/>
      <c r="X307" s="26"/>
      <c r="Y307" s="26"/>
      <c r="Z307" s="26"/>
    </row>
    <row r="308" spans="21:26" ht="15.75" x14ac:dyDescent="0.25">
      <c r="U308" s="107"/>
      <c r="V308" s="26"/>
      <c r="W308" s="26"/>
      <c r="X308" s="26"/>
      <c r="Y308" s="26"/>
      <c r="Z308" s="26"/>
    </row>
    <row r="309" spans="21:26" ht="15.75" x14ac:dyDescent="0.25">
      <c r="U309" s="107"/>
      <c r="V309" s="26"/>
      <c r="W309" s="26"/>
      <c r="X309" s="26"/>
      <c r="Y309" s="26"/>
      <c r="Z309" s="26"/>
    </row>
    <row r="310" spans="21:26" ht="15.75" x14ac:dyDescent="0.25">
      <c r="U310" s="107"/>
      <c r="V310" s="26"/>
      <c r="W310" s="26"/>
      <c r="X310" s="26"/>
      <c r="Y310" s="26"/>
      <c r="Z310" s="26"/>
    </row>
    <row r="311" spans="21:26" ht="15.75" x14ac:dyDescent="0.25">
      <c r="U311" s="107"/>
      <c r="V311" s="26"/>
      <c r="W311" s="26"/>
      <c r="X311" s="26"/>
      <c r="Y311" s="26"/>
      <c r="Z311" s="26"/>
    </row>
    <row r="312" spans="21:26" ht="15.75" x14ac:dyDescent="0.25">
      <c r="U312" s="107"/>
      <c r="V312" s="26"/>
      <c r="W312" s="26"/>
      <c r="X312" s="26"/>
      <c r="Y312" s="26"/>
      <c r="Z312" s="26"/>
    </row>
    <row r="313" spans="21:26" ht="15.75" x14ac:dyDescent="0.25">
      <c r="U313" s="107"/>
      <c r="V313" s="26"/>
      <c r="W313" s="26"/>
      <c r="X313" s="26"/>
      <c r="Y313" s="26"/>
      <c r="Z313" s="26"/>
    </row>
    <row r="314" spans="21:26" ht="15.75" x14ac:dyDescent="0.25">
      <c r="U314" s="107"/>
      <c r="V314" s="26"/>
      <c r="W314" s="26"/>
      <c r="X314" s="26"/>
      <c r="Y314" s="26"/>
      <c r="Z314" s="26"/>
    </row>
    <row r="315" spans="21:26" ht="15.75" x14ac:dyDescent="0.25">
      <c r="U315" s="107"/>
      <c r="V315" s="26"/>
      <c r="W315" s="26"/>
      <c r="X315" s="26"/>
      <c r="Y315" s="26"/>
      <c r="Z315" s="26"/>
    </row>
    <row r="316" spans="21:26" ht="15.75" x14ac:dyDescent="0.25">
      <c r="U316" s="107"/>
      <c r="V316" s="26"/>
      <c r="W316" s="26"/>
      <c r="X316" s="26"/>
      <c r="Y316" s="26"/>
      <c r="Z316" s="26"/>
    </row>
    <row r="317" spans="21:26" ht="15.75" x14ac:dyDescent="0.25">
      <c r="U317" s="107"/>
      <c r="V317" s="26"/>
      <c r="W317" s="26"/>
      <c r="X317" s="26"/>
      <c r="Y317" s="26"/>
      <c r="Z317" s="26"/>
    </row>
    <row r="318" spans="21:26" ht="15.75" x14ac:dyDescent="0.25">
      <c r="U318" s="107"/>
      <c r="V318" s="26"/>
      <c r="W318" s="26"/>
      <c r="X318" s="26"/>
      <c r="Y318" s="26"/>
      <c r="Z318" s="26"/>
    </row>
    <row r="319" spans="21:26" ht="15.75" x14ac:dyDescent="0.25">
      <c r="U319" s="107"/>
      <c r="V319" s="26"/>
      <c r="W319" s="26"/>
      <c r="X319" s="26"/>
      <c r="Y319" s="26"/>
      <c r="Z319" s="26"/>
    </row>
    <row r="320" spans="21:26" ht="15.75" x14ac:dyDescent="0.25">
      <c r="U320" s="107"/>
      <c r="V320" s="26"/>
      <c r="W320" s="26"/>
      <c r="X320" s="26"/>
      <c r="Y320" s="26"/>
      <c r="Z320" s="26"/>
    </row>
    <row r="321" spans="21:26" ht="15.75" x14ac:dyDescent="0.25">
      <c r="U321" s="107"/>
      <c r="V321" s="26"/>
      <c r="W321" s="26"/>
      <c r="X321" s="26"/>
      <c r="Y321" s="26"/>
      <c r="Z321" s="26"/>
    </row>
    <row r="322" spans="21:26" ht="15.75" x14ac:dyDescent="0.25">
      <c r="U322" s="107"/>
      <c r="V322" s="26"/>
      <c r="W322" s="26"/>
      <c r="X322" s="26"/>
      <c r="Y322" s="26"/>
      <c r="Z322" s="26"/>
    </row>
    <row r="323" spans="21:26" ht="15.75" x14ac:dyDescent="0.25">
      <c r="U323" s="107"/>
      <c r="V323" s="26"/>
      <c r="W323" s="26"/>
      <c r="X323" s="26"/>
      <c r="Y323" s="26"/>
      <c r="Z323" s="26"/>
    </row>
    <row r="324" spans="21:26" ht="15.75" x14ac:dyDescent="0.25">
      <c r="U324" s="107"/>
      <c r="V324" s="26"/>
      <c r="W324" s="26"/>
      <c r="X324" s="26"/>
      <c r="Y324" s="26"/>
      <c r="Z324" s="26"/>
    </row>
    <row r="325" spans="21:26" ht="15.75" x14ac:dyDescent="0.25">
      <c r="U325" s="107"/>
      <c r="V325" s="26"/>
      <c r="W325" s="26"/>
      <c r="X325" s="26"/>
      <c r="Y325" s="26"/>
      <c r="Z325" s="26"/>
    </row>
    <row r="326" spans="21:26" ht="15.75" x14ac:dyDescent="0.25">
      <c r="U326" s="107"/>
      <c r="V326" s="26"/>
      <c r="W326" s="26"/>
      <c r="X326" s="26"/>
      <c r="Y326" s="26"/>
      <c r="Z326" s="26"/>
    </row>
    <row r="327" spans="21:26" ht="15.75" x14ac:dyDescent="0.25">
      <c r="U327" s="107"/>
      <c r="V327" s="26"/>
      <c r="W327" s="26"/>
      <c r="X327" s="26"/>
      <c r="Y327" s="26"/>
      <c r="Z327" s="26"/>
    </row>
    <row r="328" spans="21:26" ht="15.75" x14ac:dyDescent="0.25">
      <c r="U328" s="107"/>
      <c r="V328" s="26"/>
      <c r="W328" s="26"/>
      <c r="X328" s="26"/>
      <c r="Y328" s="26"/>
      <c r="Z328" s="26"/>
    </row>
    <row r="329" spans="21:26" ht="15.75" x14ac:dyDescent="0.25">
      <c r="U329" s="107"/>
      <c r="V329" s="26"/>
      <c r="W329" s="26"/>
      <c r="X329" s="26"/>
      <c r="Y329" s="26"/>
      <c r="Z329" s="26"/>
    </row>
    <row r="330" spans="21:26" ht="15.75" x14ac:dyDescent="0.25">
      <c r="U330" s="107"/>
      <c r="V330" s="26"/>
      <c r="W330" s="26"/>
      <c r="X330" s="26"/>
      <c r="Y330" s="26"/>
      <c r="Z330" s="26"/>
    </row>
    <row r="331" spans="21:26" ht="15.75" x14ac:dyDescent="0.25">
      <c r="U331" s="107"/>
      <c r="V331" s="26"/>
      <c r="W331" s="26"/>
      <c r="X331" s="26"/>
      <c r="Y331" s="26"/>
      <c r="Z331" s="26"/>
    </row>
    <row r="332" spans="21:26" ht="15.75" x14ac:dyDescent="0.25">
      <c r="U332" s="107"/>
      <c r="V332" s="26"/>
      <c r="W332" s="26"/>
      <c r="X332" s="26"/>
      <c r="Y332" s="26"/>
      <c r="Z332" s="26"/>
    </row>
    <row r="333" spans="21:26" ht="15.75" x14ac:dyDescent="0.25">
      <c r="U333" s="107"/>
      <c r="V333" s="26"/>
      <c r="W333" s="26"/>
      <c r="X333" s="26"/>
      <c r="Y333" s="26"/>
      <c r="Z333" s="26"/>
    </row>
    <row r="334" spans="21:26" ht="15.75" x14ac:dyDescent="0.25">
      <c r="U334" s="107"/>
      <c r="V334" s="26"/>
      <c r="W334" s="26"/>
      <c r="X334" s="26"/>
      <c r="Y334" s="26"/>
      <c r="Z334" s="26"/>
    </row>
    <row r="335" spans="21:26" ht="15.75" x14ac:dyDescent="0.25">
      <c r="U335" s="107"/>
      <c r="V335" s="26"/>
      <c r="W335" s="26"/>
      <c r="X335" s="26"/>
      <c r="Y335" s="26"/>
      <c r="Z335" s="26"/>
    </row>
    <row r="336" spans="21:26" ht="15.75" x14ac:dyDescent="0.25">
      <c r="U336" s="107"/>
      <c r="V336" s="26"/>
      <c r="W336" s="26"/>
      <c r="X336" s="26"/>
      <c r="Y336" s="26"/>
      <c r="Z336" s="26"/>
    </row>
    <row r="337" spans="21:26" ht="15.75" x14ac:dyDescent="0.25">
      <c r="U337" s="107"/>
      <c r="V337" s="26"/>
      <c r="W337" s="26"/>
      <c r="X337" s="26"/>
      <c r="Y337" s="26"/>
      <c r="Z337" s="26"/>
    </row>
    <row r="338" spans="21:26" ht="15.75" x14ac:dyDescent="0.25">
      <c r="U338" s="107"/>
      <c r="V338" s="26"/>
      <c r="W338" s="26"/>
      <c r="X338" s="26"/>
      <c r="Y338" s="26"/>
      <c r="Z338" s="26"/>
    </row>
    <row r="339" spans="21:26" ht="15.75" x14ac:dyDescent="0.25">
      <c r="U339" s="107"/>
      <c r="V339" s="26"/>
      <c r="W339" s="26"/>
      <c r="X339" s="26"/>
      <c r="Y339" s="26"/>
      <c r="Z339" s="26"/>
    </row>
    <row r="340" spans="21:26" ht="15.75" x14ac:dyDescent="0.25">
      <c r="U340" s="107"/>
      <c r="V340" s="26"/>
      <c r="W340" s="26"/>
      <c r="X340" s="26"/>
      <c r="Y340" s="26"/>
      <c r="Z340" s="26"/>
    </row>
    <row r="341" spans="21:26" ht="15.75" x14ac:dyDescent="0.25">
      <c r="U341" s="107"/>
      <c r="V341" s="26"/>
      <c r="W341" s="26"/>
      <c r="X341" s="26"/>
      <c r="Y341" s="26"/>
      <c r="Z341" s="26"/>
    </row>
    <row r="342" spans="21:26" ht="15.75" x14ac:dyDescent="0.25">
      <c r="U342" s="107"/>
      <c r="V342" s="26"/>
      <c r="W342" s="26"/>
      <c r="X342" s="26"/>
      <c r="Y342" s="26"/>
      <c r="Z342" s="26"/>
    </row>
    <row r="343" spans="21:26" ht="15.75" x14ac:dyDescent="0.25">
      <c r="U343" s="107"/>
      <c r="V343" s="26"/>
      <c r="W343" s="26"/>
      <c r="X343" s="26"/>
      <c r="Y343" s="26"/>
      <c r="Z343" s="26"/>
    </row>
    <row r="344" spans="21:26" ht="15.75" x14ac:dyDescent="0.25">
      <c r="U344" s="107"/>
      <c r="V344" s="26"/>
      <c r="W344" s="26"/>
      <c r="X344" s="26"/>
      <c r="Y344" s="26"/>
      <c r="Z344" s="26"/>
    </row>
    <row r="345" spans="21:26" ht="15.75" x14ac:dyDescent="0.25">
      <c r="U345" s="107"/>
      <c r="V345" s="26"/>
      <c r="W345" s="26"/>
      <c r="X345" s="26"/>
      <c r="Y345" s="26"/>
      <c r="Z345" s="26"/>
    </row>
    <row r="346" spans="21:26" ht="15.75" x14ac:dyDescent="0.25">
      <c r="U346" s="107"/>
      <c r="V346" s="26"/>
      <c r="W346" s="26"/>
      <c r="X346" s="26"/>
      <c r="Y346" s="26"/>
      <c r="Z346" s="26"/>
    </row>
    <row r="347" spans="21:26" ht="15.75" x14ac:dyDescent="0.25">
      <c r="U347" s="107"/>
      <c r="V347" s="26"/>
      <c r="W347" s="26"/>
      <c r="X347" s="26"/>
      <c r="Y347" s="26"/>
      <c r="Z347" s="26"/>
    </row>
    <row r="348" spans="21:26" ht="15.75" x14ac:dyDescent="0.25">
      <c r="U348" s="107"/>
      <c r="V348" s="26"/>
      <c r="W348" s="26"/>
      <c r="X348" s="26"/>
      <c r="Y348" s="26"/>
      <c r="Z348" s="26"/>
    </row>
    <row r="349" spans="21:26" ht="15.75" x14ac:dyDescent="0.25">
      <c r="U349" s="107"/>
      <c r="V349" s="26"/>
      <c r="W349" s="26"/>
      <c r="X349" s="26"/>
      <c r="Y349" s="26"/>
      <c r="Z349" s="26"/>
    </row>
    <row r="350" spans="21:26" ht="15.75" x14ac:dyDescent="0.25">
      <c r="U350" s="107"/>
      <c r="V350" s="26"/>
      <c r="W350" s="26"/>
      <c r="X350" s="26"/>
      <c r="Y350" s="26"/>
      <c r="Z350" s="26"/>
    </row>
    <row r="351" spans="21:26" ht="15.75" x14ac:dyDescent="0.25">
      <c r="U351" s="107"/>
      <c r="V351" s="26"/>
      <c r="W351" s="26"/>
      <c r="X351" s="26"/>
      <c r="Y351" s="26"/>
      <c r="Z351" s="26"/>
    </row>
    <row r="352" spans="21:26" ht="15.75" x14ac:dyDescent="0.25">
      <c r="U352" s="107"/>
      <c r="V352" s="26"/>
      <c r="W352" s="26"/>
      <c r="X352" s="26"/>
      <c r="Y352" s="26"/>
      <c r="Z352" s="26"/>
    </row>
    <row r="353" spans="21:26" ht="15.75" x14ac:dyDescent="0.25">
      <c r="U353" s="107"/>
      <c r="V353" s="26"/>
      <c r="W353" s="26"/>
      <c r="X353" s="26"/>
      <c r="Y353" s="26"/>
      <c r="Z353" s="26"/>
    </row>
    <row r="354" spans="21:26" ht="15.75" x14ac:dyDescent="0.25">
      <c r="U354" s="107"/>
      <c r="V354" s="26"/>
      <c r="W354" s="26"/>
      <c r="X354" s="26"/>
      <c r="Y354" s="26"/>
      <c r="Z354" s="26"/>
    </row>
    <row r="355" spans="21:26" ht="15.75" x14ac:dyDescent="0.25">
      <c r="U355" s="107"/>
      <c r="V355" s="26"/>
      <c r="W355" s="26"/>
      <c r="X355" s="26"/>
      <c r="Y355" s="26"/>
      <c r="Z355" s="26"/>
    </row>
    <row r="356" spans="21:26" ht="15.75" x14ac:dyDescent="0.25">
      <c r="U356" s="107"/>
      <c r="V356" s="26"/>
      <c r="W356" s="26"/>
      <c r="X356" s="26"/>
      <c r="Y356" s="26"/>
      <c r="Z356" s="26"/>
    </row>
    <row r="357" spans="21:26" ht="15.75" x14ac:dyDescent="0.25">
      <c r="U357" s="107"/>
      <c r="V357" s="26"/>
      <c r="W357" s="26"/>
      <c r="X357" s="26"/>
      <c r="Y357" s="26"/>
      <c r="Z357" s="26"/>
    </row>
    <row r="358" spans="21:26" ht="15.75" x14ac:dyDescent="0.25">
      <c r="U358" s="107"/>
      <c r="V358" s="26"/>
      <c r="W358" s="26"/>
      <c r="X358" s="26"/>
      <c r="Y358" s="26"/>
      <c r="Z358" s="26"/>
    </row>
    <row r="359" spans="21:26" ht="15.75" x14ac:dyDescent="0.25">
      <c r="U359" s="107"/>
      <c r="V359" s="26"/>
      <c r="W359" s="26"/>
      <c r="X359" s="26"/>
      <c r="Y359" s="26"/>
      <c r="Z359" s="26"/>
    </row>
    <row r="360" spans="21:26" ht="15.75" x14ac:dyDescent="0.25">
      <c r="U360" s="107"/>
      <c r="V360" s="26"/>
      <c r="W360" s="26"/>
      <c r="X360" s="26"/>
      <c r="Y360" s="26"/>
      <c r="Z360" s="26"/>
    </row>
    <row r="361" spans="21:26" ht="15.75" x14ac:dyDescent="0.25">
      <c r="U361" s="107"/>
      <c r="V361" s="26"/>
      <c r="W361" s="26"/>
      <c r="X361" s="26"/>
      <c r="Y361" s="26"/>
      <c r="Z361" s="26"/>
    </row>
    <row r="362" spans="21:26" ht="15.75" x14ac:dyDescent="0.25">
      <c r="U362" s="107"/>
      <c r="V362" s="26"/>
      <c r="W362" s="26"/>
      <c r="X362" s="26"/>
      <c r="Y362" s="26"/>
      <c r="Z362" s="26"/>
    </row>
    <row r="363" spans="21:26" ht="15.75" x14ac:dyDescent="0.25">
      <c r="U363" s="107"/>
      <c r="V363" s="26"/>
      <c r="W363" s="26"/>
      <c r="X363" s="26"/>
      <c r="Y363" s="26"/>
      <c r="Z363" s="26"/>
    </row>
    <row r="364" spans="21:26" ht="15.75" x14ac:dyDescent="0.25">
      <c r="U364" s="107"/>
      <c r="V364" s="26"/>
      <c r="W364" s="26"/>
      <c r="X364" s="26"/>
      <c r="Y364" s="26"/>
      <c r="Z364" s="26"/>
    </row>
    <row r="365" spans="21:26" ht="15.75" x14ac:dyDescent="0.25">
      <c r="U365" s="107"/>
      <c r="V365" s="26"/>
      <c r="W365" s="26"/>
      <c r="X365" s="26"/>
      <c r="Y365" s="26"/>
      <c r="Z365" s="26"/>
    </row>
    <row r="366" spans="21:26" ht="15.75" x14ac:dyDescent="0.25">
      <c r="U366" s="107"/>
      <c r="V366" s="26"/>
      <c r="W366" s="26"/>
      <c r="X366" s="26"/>
      <c r="Y366" s="26"/>
      <c r="Z366" s="26"/>
    </row>
    <row r="367" spans="21:26" ht="15.75" x14ac:dyDescent="0.25">
      <c r="U367" s="107"/>
      <c r="V367" s="26"/>
      <c r="W367" s="26"/>
      <c r="X367" s="26"/>
      <c r="Y367" s="26"/>
      <c r="Z367" s="26"/>
    </row>
    <row r="368" spans="21:26" ht="15.75" x14ac:dyDescent="0.25">
      <c r="U368" s="107"/>
      <c r="V368" s="26"/>
      <c r="W368" s="26"/>
      <c r="X368" s="26"/>
      <c r="Y368" s="26"/>
      <c r="Z368" s="26"/>
    </row>
    <row r="369" spans="21:26" ht="15.75" x14ac:dyDescent="0.25">
      <c r="U369" s="107"/>
      <c r="V369" s="26"/>
      <c r="W369" s="26"/>
      <c r="X369" s="26"/>
      <c r="Y369" s="26"/>
      <c r="Z369" s="26"/>
    </row>
    <row r="370" spans="21:26" ht="15.75" x14ac:dyDescent="0.25">
      <c r="U370" s="107"/>
      <c r="V370" s="26"/>
      <c r="W370" s="26"/>
      <c r="X370" s="26"/>
      <c r="Y370" s="26"/>
      <c r="Z370" s="26"/>
    </row>
    <row r="371" spans="21:26" ht="15.75" x14ac:dyDescent="0.25">
      <c r="U371" s="107"/>
      <c r="V371" s="26"/>
      <c r="W371" s="26"/>
      <c r="X371" s="26"/>
      <c r="Y371" s="26"/>
      <c r="Z371" s="26"/>
    </row>
    <row r="372" spans="21:26" ht="15.75" x14ac:dyDescent="0.25">
      <c r="U372" s="107"/>
      <c r="V372" s="26"/>
      <c r="W372" s="26"/>
      <c r="X372" s="26"/>
      <c r="Y372" s="26"/>
      <c r="Z372" s="26"/>
    </row>
    <row r="373" spans="21:26" ht="15.75" x14ac:dyDescent="0.25">
      <c r="U373" s="107"/>
      <c r="V373" s="26"/>
      <c r="W373" s="26"/>
      <c r="X373" s="26"/>
      <c r="Y373" s="26"/>
      <c r="Z373" s="26"/>
    </row>
    <row r="374" spans="21:26" ht="15.75" x14ac:dyDescent="0.25">
      <c r="U374" s="107"/>
      <c r="V374" s="26"/>
      <c r="W374" s="26"/>
      <c r="X374" s="26"/>
      <c r="Y374" s="26"/>
      <c r="Z374" s="26"/>
    </row>
    <row r="375" spans="21:26" ht="15.75" x14ac:dyDescent="0.25">
      <c r="U375" s="107"/>
      <c r="V375" s="26"/>
      <c r="W375" s="26"/>
      <c r="X375" s="26"/>
      <c r="Y375" s="26"/>
      <c r="Z375" s="26"/>
    </row>
    <row r="376" spans="21:26" ht="15.75" x14ac:dyDescent="0.25">
      <c r="U376" s="107"/>
      <c r="V376" s="26"/>
      <c r="W376" s="26"/>
      <c r="X376" s="26"/>
      <c r="Y376" s="26"/>
      <c r="Z376" s="26"/>
    </row>
    <row r="377" spans="21:26" ht="15.75" x14ac:dyDescent="0.25">
      <c r="U377" s="107"/>
      <c r="V377" s="26"/>
      <c r="W377" s="26"/>
      <c r="X377" s="26"/>
      <c r="Y377" s="26"/>
      <c r="Z377" s="26"/>
    </row>
    <row r="378" spans="21:26" ht="15.75" x14ac:dyDescent="0.25">
      <c r="U378" s="107"/>
      <c r="V378" s="26"/>
      <c r="W378" s="26"/>
      <c r="X378" s="26"/>
      <c r="Y378" s="26"/>
      <c r="Z378" s="26"/>
    </row>
    <row r="379" spans="21:26" ht="15.75" x14ac:dyDescent="0.25">
      <c r="U379" s="107"/>
      <c r="V379" s="26"/>
      <c r="W379" s="26"/>
      <c r="X379" s="26"/>
      <c r="Y379" s="26"/>
      <c r="Z379" s="26"/>
    </row>
    <row r="380" spans="21:26" ht="15.75" x14ac:dyDescent="0.25">
      <c r="U380" s="107"/>
      <c r="V380" s="26"/>
      <c r="W380" s="26"/>
      <c r="X380" s="26"/>
      <c r="Y380" s="26"/>
      <c r="Z380" s="26"/>
    </row>
  </sheetData>
  <sheetProtection algorithmName="SHA-512" hashValue="S87ujuwC003+XfQ8SqcevNWvVTLwv/p9tBFh93NmkbLd3nEZu0y7XkCqC8IWZiqPs2YklA7dADol9rjXnlRG5w==" saltValue="FATPcaEwGrfuA2LJ29JfmQ==" spinCount="100000" sheet="1" objects="1" scenarios="1"/>
  <mergeCells count="3">
    <mergeCell ref="V1:Z1"/>
    <mergeCell ref="AC1:AH1"/>
    <mergeCell ref="B3:N3"/>
  </mergeCells>
  <phoneticPr fontId="32" type="noConversion"/>
  <pageMargins left="0.70866141732283472" right="0.70866141732283472" top="0.74803149606299213" bottom="0.74803149606299213" header="0.31496062992125984" footer="0.31496062992125984"/>
  <pageSetup scale="4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5DB5-E6C1-425B-A4C9-8A06EBCC4788}">
  <sheetPr codeName="Sheet45">
    <tabColor rgb="FF00B0F0"/>
  </sheetPr>
  <dimension ref="A1:AB127"/>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851</v>
      </c>
      <c r="B1" s="295"/>
      <c r="C1" s="295"/>
      <c r="D1" s="295"/>
      <c r="E1" s="295"/>
      <c r="F1" s="295"/>
      <c r="G1" s="295"/>
      <c r="H1" s="295"/>
      <c r="I1" s="295"/>
      <c r="J1" s="295"/>
      <c r="K1" s="295"/>
      <c r="L1" s="295"/>
      <c r="M1" s="295"/>
      <c r="N1" s="295"/>
      <c r="O1" s="295"/>
      <c r="P1" s="295"/>
      <c r="Q1" s="295"/>
      <c r="R1" s="295"/>
      <c r="S1" s="296" t="s">
        <v>888</v>
      </c>
      <c r="T1" s="301">
        <v>44592</v>
      </c>
      <c r="U1" s="301"/>
      <c r="V1" s="301"/>
      <c r="W1" s="301"/>
      <c r="X1" s="301"/>
      <c r="Y1" s="301"/>
      <c r="Z1" s="301"/>
      <c r="AA1" s="301"/>
      <c r="AB1" s="301"/>
    </row>
    <row r="2" spans="1:28" ht="15.75" x14ac:dyDescent="0.25">
      <c r="I2" s="292">
        <v>65.37</v>
      </c>
      <c r="J2" s="293">
        <v>80.84</v>
      </c>
      <c r="K2" s="291">
        <v>1</v>
      </c>
      <c r="L2" s="291">
        <v>1</v>
      </c>
      <c r="U2" s="291">
        <v>1</v>
      </c>
      <c r="V2" s="291">
        <v>1</v>
      </c>
      <c r="W2" s="291">
        <v>1</v>
      </c>
      <c r="X2" s="291">
        <v>1</v>
      </c>
      <c r="Y2" s="291">
        <v>1</v>
      </c>
      <c r="Z2" s="291">
        <v>1</v>
      </c>
      <c r="AA2" s="291">
        <v>1</v>
      </c>
      <c r="AB2" s="291">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932</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3375/3400</f>
        <v>0.99264705882352944</v>
      </c>
      <c r="V5" s="291">
        <f>3400/3400</f>
        <v>1</v>
      </c>
      <c r="W5" s="291">
        <f>3675/3400</f>
        <v>1.0808823529411764</v>
      </c>
      <c r="X5" s="291">
        <f>3590/3400</f>
        <v>1.0558823529411765</v>
      </c>
      <c r="Y5" s="291">
        <f>3310/3400</f>
        <v>0.97352941176470587</v>
      </c>
      <c r="Z5" s="291">
        <f>3300/3400</f>
        <v>0.97058823529411764</v>
      </c>
      <c r="AA5" s="291">
        <f>3545/3400</f>
        <v>1.0426470588235295</v>
      </c>
      <c r="AB5" s="291">
        <f>3670/3400</f>
        <v>1.0794117647058823</v>
      </c>
    </row>
    <row r="6" spans="1:28" s="305" customFormat="1" ht="14.45" hidden="1" customHeight="1" outlineLevel="1" x14ac:dyDescent="0.25">
      <c r="A6" s="278"/>
      <c r="B6" s="279" t="str">
        <f>C6&amp;D6&amp;E6&amp;F6</f>
        <v>bar</v>
      </c>
      <c r="C6" s="278" t="s">
        <v>931</v>
      </c>
      <c r="D6" s="278"/>
      <c r="E6" s="278"/>
      <c r="F6" s="278"/>
      <c r="G6" s="278" t="s">
        <v>930</v>
      </c>
      <c r="H6" s="290">
        <v>12.22</v>
      </c>
      <c r="I6" s="280">
        <f t="shared" ref="I6:I15" si="0">$I$2*H6</f>
        <v>798.82140000000015</v>
      </c>
      <c r="J6" s="281">
        <f>$J$2*H6</f>
        <v>987.86480000000006</v>
      </c>
      <c r="K6" s="282">
        <f>IF(Notes!$B$9="Domestic",I6, IF(Notes!$B$9="Commercial",J6))*$K$5</f>
        <v>987.86480000000006</v>
      </c>
      <c r="L6" s="283">
        <f>(SUM(O6:Q6)+(K6+SUM(M6:Q6))*(INDEX($U$5:$AB$5,MATCH(Notes!$C$16,$U$3:$AB$3,0))-100%))*$L$5</f>
        <v>2605.5300000000002</v>
      </c>
      <c r="M6" s="286"/>
      <c r="N6" s="286"/>
      <c r="O6" s="285">
        <v>2605.5300000000002</v>
      </c>
      <c r="P6" s="285"/>
      <c r="Q6" s="285"/>
      <c r="R6" s="278" t="s">
        <v>931</v>
      </c>
      <c r="S6" s="278"/>
      <c r="T6" s="278"/>
      <c r="U6" s="304"/>
    </row>
    <row r="7" spans="1:28" s="305" customFormat="1" ht="14.45" hidden="1" customHeight="1" outlineLevel="1" x14ac:dyDescent="0.25">
      <c r="A7" s="278"/>
      <c r="B7" s="279" t="str">
        <f t="shared" ref="B7:B15" si="1">C7&amp;D7&amp;E7&amp;F7</f>
        <v/>
      </c>
      <c r="C7" s="278"/>
      <c r="D7" s="278"/>
      <c r="E7" s="278"/>
      <c r="F7" s="278"/>
      <c r="G7" s="278"/>
      <c r="H7" s="290"/>
      <c r="I7" s="280">
        <f t="shared" si="0"/>
        <v>0</v>
      </c>
      <c r="J7" s="281">
        <f t="shared" ref="J7:J15" si="2">$J$2*H7</f>
        <v>0</v>
      </c>
      <c r="K7" s="282">
        <f>IF(Notes!$B$9="Domestic",I7, IF(Notes!$B$9="Commercial",J7))*$K$5</f>
        <v>0</v>
      </c>
      <c r="L7" s="283">
        <f>(SUM(O7:Q7)+(K7+SUM(M7:Q7))*(INDEX($U$5:$AB$5,MATCH(Notes!$C$16,$U$3:$AB$3,0))-100%))*$L$5</f>
        <v>0</v>
      </c>
      <c r="M7" s="286"/>
      <c r="N7" s="286"/>
      <c r="O7" s="285"/>
      <c r="P7" s="285"/>
      <c r="Q7" s="285"/>
      <c r="R7" s="278"/>
      <c r="S7" s="278"/>
      <c r="T7" s="278"/>
      <c r="U7" s="304"/>
    </row>
    <row r="8" spans="1:28" s="305" customFormat="1" ht="14.45" hidden="1" customHeight="1" outlineLevel="1" x14ac:dyDescent="0.25">
      <c r="A8" s="278"/>
      <c r="B8" s="279" t="str">
        <f t="shared" si="1"/>
        <v/>
      </c>
      <c r="C8" s="278"/>
      <c r="D8" s="278"/>
      <c r="E8" s="278"/>
      <c r="F8" s="278"/>
      <c r="G8" s="278"/>
      <c r="H8" s="290"/>
      <c r="I8" s="280">
        <f t="shared" si="0"/>
        <v>0</v>
      </c>
      <c r="J8" s="281">
        <f t="shared" si="2"/>
        <v>0</v>
      </c>
      <c r="K8" s="282">
        <f>IF(Notes!$B$9="Domestic",I8, IF(Notes!$B$9="Commercial",J8))*$K$5</f>
        <v>0</v>
      </c>
      <c r="L8" s="283">
        <f>(SUM(O8:Q8)+(K8+SUM(M8:Q8))*(INDEX($U$5:$AB$5,MATCH(Notes!$C$16,$U$3:$AB$3,0))-100%))*$L$5</f>
        <v>0</v>
      </c>
      <c r="M8" s="286"/>
      <c r="N8" s="286"/>
      <c r="O8" s="285"/>
      <c r="P8" s="285"/>
      <c r="Q8" s="285"/>
      <c r="R8" s="278"/>
      <c r="S8" s="278"/>
      <c r="T8" s="278"/>
      <c r="U8" s="304"/>
    </row>
    <row r="9" spans="1:28" s="305" customFormat="1" ht="14.45" hidden="1" customHeight="1" outlineLevel="1" x14ac:dyDescent="0.25">
      <c r="A9" s="278"/>
      <c r="B9" s="279" t="str">
        <f t="shared" si="1"/>
        <v/>
      </c>
      <c r="C9" s="278"/>
      <c r="D9" s="278"/>
      <c r="E9" s="278"/>
      <c r="F9" s="278"/>
      <c r="G9" s="278"/>
      <c r="H9" s="290"/>
      <c r="I9" s="280">
        <f t="shared" si="0"/>
        <v>0</v>
      </c>
      <c r="J9" s="281">
        <f t="shared" si="2"/>
        <v>0</v>
      </c>
      <c r="K9" s="282">
        <f>IF(Notes!$B$9="Domestic",I9, IF(Notes!$B$9="Commercial",J9))*$K$5</f>
        <v>0</v>
      </c>
      <c r="L9" s="283">
        <f>(SUM(O9:Q9)+(K9+SUM(M9:Q9))*(INDEX($U$5:$AB$5,MATCH(Notes!$C$16,$U$3:$AB$3,0))-100%))*$L$5</f>
        <v>0</v>
      </c>
      <c r="M9" s="286"/>
      <c r="N9" s="286"/>
      <c r="O9" s="285"/>
      <c r="P9" s="285"/>
      <c r="Q9" s="285"/>
      <c r="R9" s="278"/>
      <c r="S9" s="278"/>
      <c r="T9" s="278"/>
    </row>
    <row r="10" spans="1:28" s="305" customFormat="1" ht="14.45" hidden="1" customHeight="1" outlineLevel="1" x14ac:dyDescent="0.25">
      <c r="A10" s="278"/>
      <c r="B10" s="279" t="str">
        <f t="shared" si="1"/>
        <v/>
      </c>
      <c r="C10" s="278"/>
      <c r="D10" s="278"/>
      <c r="E10" s="278"/>
      <c r="F10" s="278"/>
      <c r="G10" s="278"/>
      <c r="H10" s="290"/>
      <c r="I10" s="280">
        <f t="shared" si="0"/>
        <v>0</v>
      </c>
      <c r="J10" s="281">
        <f t="shared" si="2"/>
        <v>0</v>
      </c>
      <c r="K10" s="282">
        <f>IF(Notes!$B$9="Domestic",I10, IF(Notes!$B$9="Commercial",J10))*$K$5</f>
        <v>0</v>
      </c>
      <c r="L10" s="283">
        <f>(SUM(O10:Q10)+(K10+SUM(M10:Q10))*(INDEX($U$5:$AB$5,MATCH(Notes!$C$16,$U$3:$AB$3,0))-100%))*$L$5</f>
        <v>0</v>
      </c>
      <c r="M10" s="286"/>
      <c r="N10" s="286"/>
      <c r="O10" s="285"/>
      <c r="P10" s="285"/>
      <c r="Q10" s="285"/>
      <c r="R10" s="278"/>
      <c r="S10" s="278"/>
      <c r="T10" s="278"/>
    </row>
    <row r="11" spans="1:28" s="305" customFormat="1" hidden="1" outlineLevel="1" x14ac:dyDescent="0.25">
      <c r="A11" s="278"/>
      <c r="B11" s="279" t="str">
        <f t="shared" si="1"/>
        <v/>
      </c>
      <c r="C11" s="278"/>
      <c r="D11" s="278"/>
      <c r="E11" s="278"/>
      <c r="F11" s="278"/>
      <c r="G11" s="278"/>
      <c r="H11" s="290"/>
      <c r="I11" s="280">
        <f t="shared" si="0"/>
        <v>0</v>
      </c>
      <c r="J11" s="281">
        <f t="shared" si="2"/>
        <v>0</v>
      </c>
      <c r="K11" s="282">
        <f>IF(Notes!$B$9="Domestic",I11, IF(Notes!$B$9="Commercial",J11))*$K$5</f>
        <v>0</v>
      </c>
      <c r="L11" s="283">
        <f>(SUM(O11:Q11)+(K11+SUM(M11:Q11))*(INDEX($U$5:$AB$5,MATCH(Notes!$C$16,$U$3:$AB$3,0))-100%))*$L$5</f>
        <v>0</v>
      </c>
      <c r="M11" s="286"/>
      <c r="N11" s="286"/>
      <c r="O11" s="285"/>
      <c r="P11" s="285"/>
      <c r="Q11" s="285"/>
      <c r="R11" s="278"/>
      <c r="S11" s="278"/>
      <c r="T11" s="278"/>
    </row>
    <row r="12" spans="1:28" s="305" customFormat="1" hidden="1" outlineLevel="1" x14ac:dyDescent="0.25">
      <c r="A12" s="278"/>
      <c r="B12" s="279" t="str">
        <f t="shared" si="1"/>
        <v/>
      </c>
      <c r="C12" s="278"/>
      <c r="D12" s="278"/>
      <c r="E12" s="278"/>
      <c r="F12" s="278"/>
      <c r="G12" s="278"/>
      <c r="H12" s="290"/>
      <c r="I12" s="280">
        <f t="shared" si="0"/>
        <v>0</v>
      </c>
      <c r="J12" s="281">
        <f t="shared" si="2"/>
        <v>0</v>
      </c>
      <c r="K12" s="282">
        <f>IF(Notes!$B$9="Domestic",I12, IF(Notes!$B$9="Commercial",J12))*$K$5</f>
        <v>0</v>
      </c>
      <c r="L12" s="283">
        <f>(SUM(O12:Q12)+(K12+SUM(M12:Q12))*(INDEX($U$5:$AB$5,MATCH(Notes!$C$16,$U$3:$AB$3,0))-100%))*$L$5</f>
        <v>0</v>
      </c>
      <c r="M12" s="286"/>
      <c r="N12" s="286"/>
      <c r="O12" s="285"/>
      <c r="P12" s="285"/>
      <c r="Q12" s="285"/>
      <c r="R12" s="278"/>
      <c r="S12" s="278"/>
      <c r="T12" s="278"/>
    </row>
    <row r="13" spans="1:28" s="305" customFormat="1" hidden="1" outlineLevel="1" x14ac:dyDescent="0.25">
      <c r="A13" s="278"/>
      <c r="B13" s="279" t="str">
        <f t="shared" si="1"/>
        <v/>
      </c>
      <c r="C13" s="278"/>
      <c r="D13" s="278"/>
      <c r="E13" s="278"/>
      <c r="F13" s="278"/>
      <c r="G13" s="278"/>
      <c r="H13" s="290"/>
      <c r="I13" s="280">
        <f t="shared" si="0"/>
        <v>0</v>
      </c>
      <c r="J13" s="281">
        <f t="shared" si="2"/>
        <v>0</v>
      </c>
      <c r="K13" s="282">
        <f>IF(Notes!$B$9="Domestic",I13, IF(Notes!$B$9="Commercial",J13))*$K$5</f>
        <v>0</v>
      </c>
      <c r="L13" s="283">
        <f>(SUM(O13:Q13)+(K13+SUM(M13:Q13))*(INDEX($U$5:$AB$5,MATCH(Notes!$C$16,$U$3:$AB$3,0))-100%))*$L$5</f>
        <v>0</v>
      </c>
      <c r="M13" s="286"/>
      <c r="N13" s="286"/>
      <c r="O13" s="285"/>
      <c r="P13" s="285"/>
      <c r="Q13" s="285"/>
      <c r="R13" s="278"/>
      <c r="S13" s="278"/>
      <c r="T13" s="278"/>
    </row>
    <row r="14" spans="1:28" s="305" customFormat="1" hidden="1" outlineLevel="1" x14ac:dyDescent="0.25">
      <c r="A14" s="278"/>
      <c r="B14" s="279" t="str">
        <f t="shared" si="1"/>
        <v/>
      </c>
      <c r="C14" s="278"/>
      <c r="D14" s="278"/>
      <c r="E14" s="278"/>
      <c r="F14" s="278"/>
      <c r="G14" s="278"/>
      <c r="H14" s="290"/>
      <c r="I14" s="280">
        <f t="shared" si="0"/>
        <v>0</v>
      </c>
      <c r="J14" s="281">
        <f t="shared" si="2"/>
        <v>0</v>
      </c>
      <c r="K14" s="282">
        <f>IF(Notes!$B$9="Domestic",I14, IF(Notes!$B$9="Commercial",J14))*$K$5</f>
        <v>0</v>
      </c>
      <c r="L14" s="283">
        <f>(SUM(O14:Q14)+(K14+SUM(M14:Q14))*(INDEX($U$5:$AB$5,MATCH(Notes!$C$16,$U$3:$AB$3,0))-100%))*$L$5</f>
        <v>0</v>
      </c>
      <c r="M14" s="286"/>
      <c r="N14" s="286"/>
      <c r="O14" s="285"/>
      <c r="P14" s="285"/>
      <c r="Q14" s="285"/>
      <c r="R14" s="278"/>
      <c r="S14" s="278"/>
      <c r="T14" s="278"/>
    </row>
    <row r="15" spans="1:28" s="305" customFormat="1" hidden="1" outlineLevel="1" x14ac:dyDescent="0.25">
      <c r="A15" s="278"/>
      <c r="B15" s="279" t="str">
        <f t="shared" si="1"/>
        <v/>
      </c>
      <c r="C15" s="278"/>
      <c r="D15" s="278"/>
      <c r="E15" s="278"/>
      <c r="F15" s="278"/>
      <c r="G15" s="278"/>
      <c r="H15" s="290"/>
      <c r="I15" s="280">
        <f t="shared" si="0"/>
        <v>0</v>
      </c>
      <c r="J15" s="281">
        <f t="shared" si="2"/>
        <v>0</v>
      </c>
      <c r="K15" s="282">
        <f>IF(Notes!$B$9="Domestic",I15, IF(Notes!$B$9="Commercial",J15))*$K$5</f>
        <v>0</v>
      </c>
      <c r="L15" s="283">
        <f>(SUM(O15:Q15)+(K15+SUM(M15:Q15))*(INDEX($U$5:$AB$5,MATCH(Notes!$C$16,$U$3:$AB$3,0))-100%))*$L$5</f>
        <v>0</v>
      </c>
      <c r="M15" s="286"/>
      <c r="N15" s="286"/>
      <c r="O15" s="285"/>
      <c r="P15" s="285"/>
      <c r="Q15" s="285"/>
      <c r="R15" s="278"/>
      <c r="S15" s="278"/>
      <c r="T15" s="278"/>
    </row>
    <row r="16" spans="1:28" ht="21" hidden="1" outlineLevel="1" x14ac:dyDescent="0.25">
      <c r="A16" s="299" t="s">
        <v>842</v>
      </c>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row>
    <row r="17" spans="1:28" ht="15.75" hidden="1" outlineLevel="1" x14ac:dyDescent="0.25">
      <c r="A17" s="291"/>
      <c r="B17" s="291"/>
      <c r="C17" s="291"/>
      <c r="D17" s="291"/>
      <c r="E17" s="291"/>
      <c r="F17" s="291"/>
      <c r="G17" s="291"/>
      <c r="H17" s="291"/>
      <c r="I17" s="291"/>
      <c r="J17" s="291"/>
      <c r="K17" s="291">
        <f>K$2</f>
        <v>1</v>
      </c>
      <c r="L17" s="291">
        <f>L$2</f>
        <v>1</v>
      </c>
      <c r="M17" s="291"/>
      <c r="N17" s="291"/>
      <c r="O17" s="303"/>
      <c r="P17" s="303"/>
      <c r="Q17" s="303"/>
      <c r="R17" s="291"/>
      <c r="S17" s="291"/>
      <c r="T17" s="291"/>
      <c r="U17" s="291">
        <f>15.1/15.45</f>
        <v>0.97734627831715215</v>
      </c>
      <c r="V17" s="291">
        <f>15.45/15.45</f>
        <v>1</v>
      </c>
      <c r="W17" s="291">
        <f>14/15.45</f>
        <v>0.90614886731391586</v>
      </c>
      <c r="X17" s="291">
        <f>17.15/15.45</f>
        <v>1.110032362459547</v>
      </c>
      <c r="Y17" s="291">
        <f>14.05/15.45</f>
        <v>0.90938511326860849</v>
      </c>
      <c r="Z17" s="291">
        <f>22/15.45</f>
        <v>1.4239482200647249</v>
      </c>
      <c r="AA17" s="291">
        <f>22/15.45</f>
        <v>1.4239482200647249</v>
      </c>
      <c r="AB17" s="291">
        <f>16.45/15.45</f>
        <v>1.064724919093851</v>
      </c>
    </row>
    <row r="18" spans="1:28" s="305" customFormat="1" ht="14.45" hidden="1" customHeight="1" outlineLevel="1" x14ac:dyDescent="0.25">
      <c r="A18" s="278"/>
      <c r="B18" s="279" t="str">
        <f>C18&amp;D18&amp;E18&amp;F18</f>
        <v>SL42</v>
      </c>
      <c r="C18" s="278" t="s">
        <v>850</v>
      </c>
      <c r="D18" s="278"/>
      <c r="E18" s="278"/>
      <c r="F18" s="278"/>
      <c r="G18" s="278" t="s">
        <v>11</v>
      </c>
      <c r="H18" s="290">
        <v>0.06</v>
      </c>
      <c r="I18" s="280">
        <f>$I$2*H18</f>
        <v>3.9222000000000001</v>
      </c>
      <c r="J18" s="281">
        <f>$J$2*H18</f>
        <v>4.8503999999999996</v>
      </c>
      <c r="K18" s="282">
        <f>IF(Notes!$B$9="Domestic",I18, IF(Notes!$B$9="Commercial",J18))*$K$17</f>
        <v>4.8503999999999996</v>
      </c>
      <c r="L18" s="283">
        <f>(SUM(O18:Q18)+(K18+SUM(M18:Q18))*(INDEX($U$17:$AB$17,MATCH(Notes!$C$16,$U$3:$AB$3,0))-100%))*$L$17</f>
        <v>5.21</v>
      </c>
      <c r="M18" s="286"/>
      <c r="N18" s="286"/>
      <c r="O18" s="285">
        <v>5.21</v>
      </c>
      <c r="P18" s="285"/>
      <c r="Q18" s="285"/>
      <c r="R18" s="278"/>
      <c r="S18" s="278"/>
      <c r="T18" s="278"/>
      <c r="U18" s="304"/>
    </row>
    <row r="19" spans="1:28" s="305" customFormat="1" ht="14.45" hidden="1" customHeight="1" outlineLevel="1" x14ac:dyDescent="0.25">
      <c r="A19" s="278"/>
      <c r="B19" s="279" t="str">
        <f t="shared" ref="B19:B27" si="3">C19&amp;D19&amp;E19&amp;F19</f>
        <v>SL52</v>
      </c>
      <c r="C19" s="278" t="s">
        <v>849</v>
      </c>
      <c r="D19" s="278"/>
      <c r="E19" s="278"/>
      <c r="F19" s="278"/>
      <c r="G19" s="278" t="s">
        <v>11</v>
      </c>
      <c r="H19" s="290">
        <v>0.06</v>
      </c>
      <c r="I19" s="280">
        <f>$I$2*H19</f>
        <v>3.9222000000000001</v>
      </c>
      <c r="J19" s="281">
        <f t="shared" ref="J19:J27" si="4">$J$2*H19</f>
        <v>4.8503999999999996</v>
      </c>
      <c r="K19" s="282">
        <f>IF(Notes!$B$9="Domestic",I19, IF(Notes!$B$9="Commercial",J19))*$K$17</f>
        <v>4.8503999999999996</v>
      </c>
      <c r="L19" s="283">
        <f>(SUM(O19:Q19)+(K19+SUM(M19:Q19))*(INDEX($U$17:$AB$17,MATCH(Notes!$C$16,$U$3:$AB$3,0))-100%))*$L$17</f>
        <v>5.21</v>
      </c>
      <c r="M19" s="286"/>
      <c r="N19" s="286"/>
      <c r="O19" s="285">
        <v>5.21</v>
      </c>
      <c r="P19" s="285"/>
      <c r="Q19" s="285"/>
      <c r="R19" s="278"/>
      <c r="S19" s="278"/>
      <c r="T19" s="278"/>
      <c r="U19" s="304"/>
    </row>
    <row r="20" spans="1:28" s="305" customFormat="1" ht="14.45" hidden="1" customHeight="1" outlineLevel="1" x14ac:dyDescent="0.25">
      <c r="A20" s="278"/>
      <c r="B20" s="279" t="str">
        <f t="shared" si="3"/>
        <v>SL62</v>
      </c>
      <c r="C20" s="278" t="s">
        <v>848</v>
      </c>
      <c r="D20" s="278"/>
      <c r="E20" s="278"/>
      <c r="F20" s="278"/>
      <c r="G20" s="278" t="s">
        <v>11</v>
      </c>
      <c r="H20" s="290">
        <v>7.0000000000000007E-2</v>
      </c>
      <c r="I20" s="280">
        <f t="shared" ref="I20:I27" si="5">$I$2*H20</f>
        <v>4.5759000000000007</v>
      </c>
      <c r="J20" s="281">
        <f t="shared" si="4"/>
        <v>5.6588000000000012</v>
      </c>
      <c r="K20" s="282">
        <f>IF(Notes!$B$9="Domestic",I20, IF(Notes!$B$9="Commercial",J20))*$K$17</f>
        <v>5.6588000000000012</v>
      </c>
      <c r="L20" s="283">
        <f>(SUM(O20:Q20)+(K20+SUM(M20:Q20))*(INDEX($U$17:$AB$17,MATCH(Notes!$C$16,$U$3:$AB$3,0))-100%))*$L$17</f>
        <v>6.51</v>
      </c>
      <c r="M20" s="286"/>
      <c r="N20" s="286"/>
      <c r="O20" s="285">
        <v>6.51</v>
      </c>
      <c r="P20" s="285"/>
      <c r="Q20" s="285"/>
      <c r="R20" s="278"/>
      <c r="S20" s="278"/>
      <c r="T20" s="278"/>
      <c r="U20" s="304"/>
    </row>
    <row r="21" spans="1:28" s="305" customFormat="1" hidden="1" outlineLevel="1" x14ac:dyDescent="0.25">
      <c r="A21" s="278"/>
      <c r="B21" s="279" t="str">
        <f t="shared" si="3"/>
        <v>SL72</v>
      </c>
      <c r="C21" s="278" t="s">
        <v>847</v>
      </c>
      <c r="D21" s="278"/>
      <c r="E21" s="278"/>
      <c r="F21" s="278"/>
      <c r="G21" s="278" t="s">
        <v>11</v>
      </c>
      <c r="H21" s="290">
        <v>7.0000000000000007E-2</v>
      </c>
      <c r="I21" s="280">
        <f t="shared" si="5"/>
        <v>4.5759000000000007</v>
      </c>
      <c r="J21" s="281">
        <f t="shared" si="4"/>
        <v>5.6588000000000012</v>
      </c>
      <c r="K21" s="282">
        <f>IF(Notes!$B$9="Domestic",I21, IF(Notes!$B$9="Commercial",J21))*$K$17</f>
        <v>5.6588000000000012</v>
      </c>
      <c r="L21" s="283">
        <f>(SUM(O21:Q21)+(K21+SUM(M21:Q21))*(INDEX($U$17:$AB$17,MATCH(Notes!$C$16,$U$3:$AB$3,0))-100%))*$L$17</f>
        <v>7.93</v>
      </c>
      <c r="M21" s="286"/>
      <c r="N21" s="286"/>
      <c r="O21" s="285">
        <v>7.93</v>
      </c>
      <c r="P21" s="285"/>
      <c r="Q21" s="285"/>
      <c r="R21" s="278"/>
      <c r="S21" s="278"/>
      <c r="T21" s="278"/>
    </row>
    <row r="22" spans="1:28" s="305" customFormat="1" hidden="1" outlineLevel="1" x14ac:dyDescent="0.25">
      <c r="A22" s="278"/>
      <c r="B22" s="279" t="str">
        <f t="shared" si="3"/>
        <v>SL82</v>
      </c>
      <c r="C22" s="278" t="s">
        <v>846</v>
      </c>
      <c r="D22" s="278"/>
      <c r="E22" s="278"/>
      <c r="F22" s="278"/>
      <c r="G22" s="278" t="s">
        <v>11</v>
      </c>
      <c r="H22" s="290">
        <v>0.08</v>
      </c>
      <c r="I22" s="280">
        <f>$I$2*H22</f>
        <v>5.2296000000000005</v>
      </c>
      <c r="J22" s="281">
        <f t="shared" si="4"/>
        <v>6.4672000000000001</v>
      </c>
      <c r="K22" s="282">
        <f>IF(Notes!$B$9="Domestic",I22, IF(Notes!$B$9="Commercial",J22))*$K$17</f>
        <v>6.4672000000000001</v>
      </c>
      <c r="L22" s="283">
        <f>(SUM(O22:Q22)+(K22+SUM(M22:Q22))*(INDEX($U$17:$AB$17,MATCH(Notes!$C$16,$U$3:$AB$3,0))-100%))*$L$17</f>
        <v>9.86</v>
      </c>
      <c r="M22" s="286"/>
      <c r="N22" s="286"/>
      <c r="O22" s="285">
        <v>9.86</v>
      </c>
      <c r="P22" s="285"/>
      <c r="Q22" s="285"/>
      <c r="R22" s="278"/>
      <c r="S22" s="278"/>
      <c r="T22" s="278"/>
    </row>
    <row r="23" spans="1:28" s="305" customFormat="1" hidden="1" outlineLevel="1" x14ac:dyDescent="0.25">
      <c r="A23" s="278"/>
      <c r="B23" s="279" t="str">
        <f t="shared" si="3"/>
        <v>SL92</v>
      </c>
      <c r="C23" s="278" t="s">
        <v>845</v>
      </c>
      <c r="D23" s="278"/>
      <c r="E23" s="278"/>
      <c r="F23" s="278"/>
      <c r="G23" s="278" t="s">
        <v>11</v>
      </c>
      <c r="H23" s="290">
        <v>8.3000000000000004E-2</v>
      </c>
      <c r="I23" s="280">
        <f t="shared" si="5"/>
        <v>5.4257100000000005</v>
      </c>
      <c r="J23" s="281">
        <f t="shared" si="4"/>
        <v>6.7097200000000008</v>
      </c>
      <c r="K23" s="282">
        <f>IF(Notes!$B$9="Domestic",I23, IF(Notes!$B$9="Commercial",J23))*$K$17</f>
        <v>6.7097200000000008</v>
      </c>
      <c r="L23" s="283">
        <f>(SUM(O23:Q23)+(K23+SUM(M23:Q23))*(INDEX($U$17:$AB$17,MATCH(Notes!$C$16,$U$3:$AB$3,0))-100%))*$L$17</f>
        <v>12.32</v>
      </c>
      <c r="M23" s="286"/>
      <c r="N23" s="286"/>
      <c r="O23" s="285">
        <v>12.32</v>
      </c>
      <c r="P23" s="285"/>
      <c r="Q23" s="285"/>
      <c r="R23" s="278"/>
      <c r="S23" s="278"/>
      <c r="T23" s="278"/>
    </row>
    <row r="24" spans="1:28" s="305" customFormat="1" hidden="1" outlineLevel="1" x14ac:dyDescent="0.25">
      <c r="A24" s="278"/>
      <c r="B24" s="279" t="str">
        <f t="shared" si="3"/>
        <v>SL102</v>
      </c>
      <c r="C24" s="278" t="s">
        <v>844</v>
      </c>
      <c r="D24" s="278"/>
      <c r="E24" s="278"/>
      <c r="F24" s="278"/>
      <c r="G24" s="278" t="s">
        <v>11</v>
      </c>
      <c r="H24" s="290">
        <v>8.3000000000000004E-2</v>
      </c>
      <c r="I24" s="280">
        <f t="shared" si="5"/>
        <v>5.4257100000000005</v>
      </c>
      <c r="J24" s="281">
        <f t="shared" si="4"/>
        <v>6.7097200000000008</v>
      </c>
      <c r="K24" s="282">
        <f>IF(Notes!$B$9="Domestic",I24, IF(Notes!$B$9="Commercial",J24))*$K$17</f>
        <v>6.7097200000000008</v>
      </c>
      <c r="L24" s="283">
        <f>(SUM(O24:Q24)+(K24+SUM(M24:Q24))*(INDEX($U$17:$AB$17,MATCH(Notes!$C$16,$U$3:$AB$3,0))-100%))*$L$17</f>
        <v>17.21</v>
      </c>
      <c r="M24" s="286"/>
      <c r="N24" s="286"/>
      <c r="O24" s="285">
        <v>17.21</v>
      </c>
      <c r="P24" s="285"/>
      <c r="Q24" s="285"/>
      <c r="R24" s="278"/>
      <c r="S24" s="278"/>
      <c r="T24" s="278"/>
    </row>
    <row r="25" spans="1:28" s="305" customFormat="1" hidden="1" outlineLevel="1" x14ac:dyDescent="0.25">
      <c r="A25" s="278"/>
      <c r="B25" s="279" t="str">
        <f t="shared" si="3"/>
        <v>SL81</v>
      </c>
      <c r="C25" s="278" t="s">
        <v>843</v>
      </c>
      <c r="D25" s="278"/>
      <c r="E25" s="278"/>
      <c r="F25" s="278"/>
      <c r="G25" s="278" t="s">
        <v>11</v>
      </c>
      <c r="H25" s="290">
        <v>0.09</v>
      </c>
      <c r="I25" s="280">
        <f t="shared" si="5"/>
        <v>5.8833000000000002</v>
      </c>
      <c r="J25" s="281">
        <f t="shared" si="4"/>
        <v>7.2755999999999998</v>
      </c>
      <c r="K25" s="282">
        <f>IF(Notes!$B$9="Domestic",I25, IF(Notes!$B$9="Commercial",J25))*$K$17</f>
        <v>7.2755999999999998</v>
      </c>
      <c r="L25" s="283">
        <f>(SUM(O25:Q25)+(K25+SUM(M25:Q25))*(INDEX($U$17:$AB$17,MATCH(Notes!$C$16,$U$3:$AB$3,0))-100%))*$L$17</f>
        <v>25.03</v>
      </c>
      <c r="M25" s="286"/>
      <c r="N25" s="286"/>
      <c r="O25" s="285">
        <v>25.03</v>
      </c>
      <c r="P25" s="285"/>
      <c r="Q25" s="285"/>
      <c r="R25" s="278"/>
      <c r="S25" s="278"/>
      <c r="T25" s="278"/>
    </row>
    <row r="26" spans="1:28" s="305" customFormat="1" hidden="1" outlineLevel="1" x14ac:dyDescent="0.25">
      <c r="A26" s="278"/>
      <c r="B26" s="279" t="str">
        <f t="shared" si="3"/>
        <v/>
      </c>
      <c r="C26" s="278"/>
      <c r="D26" s="278"/>
      <c r="E26" s="278"/>
      <c r="F26" s="278"/>
      <c r="G26" s="278"/>
      <c r="H26" s="290"/>
      <c r="I26" s="280">
        <f>$I$2*H26</f>
        <v>0</v>
      </c>
      <c r="J26" s="281">
        <f t="shared" si="4"/>
        <v>0</v>
      </c>
      <c r="K26" s="282">
        <f>IF(Notes!$B$9="Domestic",I26, IF(Notes!$B$9="Commercial",J26))*$K$17</f>
        <v>0</v>
      </c>
      <c r="L26" s="283">
        <f>(SUM(O26:Q26)+(K26+SUM(M26:Q26))*(INDEX($U$17:$AB$17,MATCH(Notes!$C$16,$U$3:$AB$3,0))-100%))*$L$17</f>
        <v>0</v>
      </c>
      <c r="M26" s="286"/>
      <c r="N26" s="286"/>
      <c r="O26" s="285"/>
      <c r="P26" s="285"/>
      <c r="Q26" s="285"/>
      <c r="R26" s="278"/>
      <c r="S26" s="278"/>
      <c r="T26" s="278"/>
    </row>
    <row r="27" spans="1:28" s="305" customFormat="1" hidden="1" outlineLevel="1" x14ac:dyDescent="0.25">
      <c r="A27" s="278"/>
      <c r="B27" s="279" t="str">
        <f t="shared" si="3"/>
        <v/>
      </c>
      <c r="C27" s="278"/>
      <c r="D27" s="278"/>
      <c r="E27" s="278"/>
      <c r="F27" s="278"/>
      <c r="G27" s="278"/>
      <c r="H27" s="290"/>
      <c r="I27" s="280">
        <f t="shared" si="5"/>
        <v>0</v>
      </c>
      <c r="J27" s="281">
        <f t="shared" si="4"/>
        <v>0</v>
      </c>
      <c r="K27" s="282">
        <f>IF(Notes!$B$9="Domestic",I27, IF(Notes!$B$9="Commercial",J27))*$K$17</f>
        <v>0</v>
      </c>
      <c r="L27" s="283">
        <f>(SUM(O27:Q27)+(K27+SUM(M27:Q27))*(INDEX($U$17:$AB$17,MATCH(Notes!$C$16,$U$3:$AB$3,0))-100%))*$L$17</f>
        <v>0</v>
      </c>
      <c r="M27" s="286"/>
      <c r="N27" s="286"/>
      <c r="O27" s="285"/>
      <c r="P27" s="285"/>
      <c r="Q27" s="285"/>
      <c r="R27" s="278"/>
      <c r="S27" s="278"/>
      <c r="T27" s="278"/>
    </row>
    <row r="28" spans="1:28" ht="21" hidden="1" outlineLevel="1" x14ac:dyDescent="0.25">
      <c r="A28" s="299"/>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row>
    <row r="29" spans="1:28" ht="15.75" hidden="1" outlineLevel="1" x14ac:dyDescent="0.25">
      <c r="A29" s="291"/>
      <c r="B29" s="291"/>
      <c r="C29" s="291"/>
      <c r="D29" s="291"/>
      <c r="E29" s="291"/>
      <c r="F29" s="291"/>
      <c r="G29" s="291"/>
      <c r="H29" s="291"/>
      <c r="I29" s="291"/>
      <c r="J29" s="291"/>
      <c r="K29" s="291">
        <f>K$2</f>
        <v>1</v>
      </c>
      <c r="L29" s="291">
        <f>L$2</f>
        <v>1</v>
      </c>
      <c r="M29" s="291"/>
      <c r="N29" s="291"/>
      <c r="O29" s="303"/>
      <c r="P29" s="303"/>
      <c r="Q29" s="303"/>
      <c r="R29" s="291"/>
      <c r="S29" s="291"/>
      <c r="T29" s="291"/>
      <c r="U29" s="291">
        <f>U$2</f>
        <v>1</v>
      </c>
      <c r="V29" s="291">
        <f>V$2</f>
        <v>1</v>
      </c>
      <c r="W29" s="291">
        <f t="shared" ref="W29:AB29" si="6">W$2</f>
        <v>1</v>
      </c>
      <c r="X29" s="291">
        <f t="shared" si="6"/>
        <v>1</v>
      </c>
      <c r="Y29" s="291">
        <f t="shared" si="6"/>
        <v>1</v>
      </c>
      <c r="Z29" s="291">
        <f t="shared" si="6"/>
        <v>1</v>
      </c>
      <c r="AA29" s="291">
        <f t="shared" si="6"/>
        <v>1</v>
      </c>
      <c r="AB29" s="291">
        <f t="shared" si="6"/>
        <v>1</v>
      </c>
    </row>
    <row r="30" spans="1:28" s="305" customFormat="1" ht="14.45" hidden="1" customHeight="1" outlineLevel="1" x14ac:dyDescent="0.25">
      <c r="A30" s="278"/>
      <c r="B30" s="279" t="str">
        <f>C30&amp;D30&amp;E30&amp;F30</f>
        <v/>
      </c>
      <c r="C30" s="278"/>
      <c r="D30" s="278"/>
      <c r="E30" s="278"/>
      <c r="F30" s="278"/>
      <c r="G30" s="278"/>
      <c r="H30" s="290"/>
      <c r="I30" s="280">
        <f>$I$2*H30</f>
        <v>0</v>
      </c>
      <c r="J30" s="281">
        <f>$J$2*H30</f>
        <v>0</v>
      </c>
      <c r="K30" s="282">
        <f>IF(Notes!$B$9="Domestic",I30, IF(Notes!$B$9="Commercial",J30))*$K$29</f>
        <v>0</v>
      </c>
      <c r="L30" s="283">
        <f>(SUM(O30:Q30)+(K30+SUM(M30:Q30))*(INDEX($U$29:$AB$29,MATCH(Notes!$C$16,$U$3:$AB$3,0))-100%))*$L$29</f>
        <v>0</v>
      </c>
      <c r="M30" s="286"/>
      <c r="N30" s="286"/>
      <c r="O30" s="285"/>
      <c r="P30" s="285"/>
      <c r="Q30" s="285"/>
      <c r="R30" s="278"/>
      <c r="S30" s="278"/>
      <c r="T30" s="278"/>
      <c r="U30" s="304"/>
    </row>
    <row r="31" spans="1:28" s="305" customFormat="1" ht="14.45" hidden="1" customHeight="1" outlineLevel="1" x14ac:dyDescent="0.25">
      <c r="A31" s="278"/>
      <c r="B31" s="279" t="str">
        <f t="shared" ref="B31:B39" si="7">C31&amp;D31&amp;E31&amp;F31</f>
        <v/>
      </c>
      <c r="C31" s="278"/>
      <c r="D31" s="278"/>
      <c r="E31" s="278"/>
      <c r="F31" s="278"/>
      <c r="G31" s="278"/>
      <c r="H31" s="290"/>
      <c r="I31" s="280">
        <f t="shared" ref="I31:I39" si="8">$I$2*H31</f>
        <v>0</v>
      </c>
      <c r="J31" s="281">
        <f t="shared" ref="J31:J39" si="9">$J$2*H31</f>
        <v>0</v>
      </c>
      <c r="K31" s="282">
        <f>IF(Notes!$B$9="Domestic",I31, IF(Notes!$B$9="Commercial",J31))*$K$29</f>
        <v>0</v>
      </c>
      <c r="L31" s="283">
        <f>(SUM(O31:Q31)+(K31+SUM(M31:Q31))*(INDEX($U$29:$AB$29,MATCH(Notes!$C$16,$U$3:$AB$3,0))-100%))*$L$29</f>
        <v>0</v>
      </c>
      <c r="M31" s="286"/>
      <c r="N31" s="286"/>
      <c r="O31" s="285"/>
      <c r="P31" s="285"/>
      <c r="Q31" s="285"/>
      <c r="R31" s="278"/>
      <c r="S31" s="278"/>
      <c r="T31" s="278"/>
      <c r="U31" s="304"/>
    </row>
    <row r="32" spans="1:28" s="305" customFormat="1" ht="14.45" hidden="1" customHeight="1" outlineLevel="1" x14ac:dyDescent="0.25">
      <c r="A32" s="278"/>
      <c r="B32" s="279" t="str">
        <f t="shared" si="7"/>
        <v/>
      </c>
      <c r="C32" s="278"/>
      <c r="D32" s="278"/>
      <c r="E32" s="278"/>
      <c r="F32" s="278"/>
      <c r="G32" s="278"/>
      <c r="H32" s="290"/>
      <c r="I32" s="280">
        <f>$I$2*H32</f>
        <v>0</v>
      </c>
      <c r="J32" s="281">
        <f t="shared" si="9"/>
        <v>0</v>
      </c>
      <c r="K32" s="282">
        <f>IF(Notes!$B$9="Domestic",I32, IF(Notes!$B$9="Commercial",J32))*$K$29</f>
        <v>0</v>
      </c>
      <c r="L32" s="283">
        <f>(SUM(O32:Q32)+(K32+SUM(M32:Q32))*(INDEX($U$29:$AB$29,MATCH(Notes!$C$16,$U$3:$AB$3,0))-100%))*$L$29</f>
        <v>0</v>
      </c>
      <c r="M32" s="286"/>
      <c r="N32" s="286"/>
      <c r="O32" s="285"/>
      <c r="P32" s="285"/>
      <c r="Q32" s="285"/>
      <c r="R32" s="278"/>
      <c r="S32" s="278"/>
      <c r="T32" s="278"/>
      <c r="U32" s="304"/>
    </row>
    <row r="33" spans="1:28" s="305" customFormat="1" ht="14.45" hidden="1" customHeight="1" outlineLevel="1" x14ac:dyDescent="0.25">
      <c r="A33" s="278"/>
      <c r="B33" s="279" t="str">
        <f t="shared" si="7"/>
        <v/>
      </c>
      <c r="C33" s="278"/>
      <c r="D33" s="278"/>
      <c r="E33" s="278"/>
      <c r="F33" s="278"/>
      <c r="G33" s="278"/>
      <c r="H33" s="290"/>
      <c r="I33" s="280">
        <f t="shared" si="8"/>
        <v>0</v>
      </c>
      <c r="J33" s="281">
        <f t="shared" si="9"/>
        <v>0</v>
      </c>
      <c r="K33" s="282">
        <f>IF(Notes!$B$9="Domestic",I33, IF(Notes!$B$9="Commercial",J33))*$K$29</f>
        <v>0</v>
      </c>
      <c r="L33" s="283">
        <f>(SUM(O33:Q33)+(K33+SUM(M33:Q33))*(INDEX($U$29:$AB$29,MATCH(Notes!$C$16,$U$3:$AB$3,0))-100%))*$L$29</f>
        <v>0</v>
      </c>
      <c r="M33" s="286"/>
      <c r="N33" s="286"/>
      <c r="O33" s="285"/>
      <c r="P33" s="285"/>
      <c r="Q33" s="285"/>
      <c r="R33" s="278"/>
      <c r="S33" s="278"/>
      <c r="T33" s="278"/>
    </row>
    <row r="34" spans="1:28" s="305" customFormat="1" ht="14.45" hidden="1" customHeight="1" outlineLevel="1" x14ac:dyDescent="0.25">
      <c r="A34" s="278"/>
      <c r="B34" s="279" t="str">
        <f t="shared" si="7"/>
        <v/>
      </c>
      <c r="C34" s="278"/>
      <c r="D34" s="278"/>
      <c r="E34" s="278"/>
      <c r="F34" s="278"/>
      <c r="G34" s="278"/>
      <c r="H34" s="290"/>
      <c r="I34" s="280">
        <f>$I$2*H34</f>
        <v>0</v>
      </c>
      <c r="J34" s="281">
        <f t="shared" si="9"/>
        <v>0</v>
      </c>
      <c r="K34" s="282">
        <f>IF(Notes!$B$9="Domestic",I34, IF(Notes!$B$9="Commercial",J34))*$K$29</f>
        <v>0</v>
      </c>
      <c r="L34" s="283">
        <f>(SUM(O34:Q34)+(K34+SUM(M34:Q34))*(INDEX($U$29:$AB$29,MATCH(Notes!$C$16,$U$3:$AB$3,0))-100%))*$L$29</f>
        <v>0</v>
      </c>
      <c r="M34" s="286"/>
      <c r="N34" s="286"/>
      <c r="O34" s="285"/>
      <c r="P34" s="285"/>
      <c r="Q34" s="285"/>
      <c r="R34" s="278"/>
      <c r="S34" s="278"/>
      <c r="T34" s="278"/>
    </row>
    <row r="35" spans="1:28" s="305" customFormat="1" ht="14.45" hidden="1" customHeight="1" outlineLevel="1" x14ac:dyDescent="0.25">
      <c r="A35" s="278"/>
      <c r="B35" s="279" t="str">
        <f t="shared" si="7"/>
        <v/>
      </c>
      <c r="C35" s="278"/>
      <c r="D35" s="278"/>
      <c r="E35" s="278"/>
      <c r="F35" s="278"/>
      <c r="G35" s="278"/>
      <c r="H35" s="290"/>
      <c r="I35" s="280">
        <f t="shared" si="8"/>
        <v>0</v>
      </c>
      <c r="J35" s="281">
        <f t="shared" si="9"/>
        <v>0</v>
      </c>
      <c r="K35" s="282">
        <f>IF(Notes!$B$9="Domestic",I35, IF(Notes!$B$9="Commercial",J35))*$K$29</f>
        <v>0</v>
      </c>
      <c r="L35" s="283">
        <f>(SUM(O35:Q35)+(K35+SUM(M35:Q35))*(INDEX($U$29:$AB$29,MATCH(Notes!$C$16,$U$3:$AB$3,0))-100%))*$L$29</f>
        <v>0</v>
      </c>
      <c r="M35" s="286"/>
      <c r="N35" s="286"/>
      <c r="O35" s="285"/>
      <c r="P35" s="285"/>
      <c r="Q35" s="285"/>
      <c r="R35" s="278"/>
      <c r="S35" s="278"/>
      <c r="T35" s="278"/>
    </row>
    <row r="36" spans="1:28" s="305" customFormat="1" ht="14.45" hidden="1" customHeight="1" outlineLevel="1" x14ac:dyDescent="0.25">
      <c r="A36" s="278"/>
      <c r="B36" s="279" t="str">
        <f t="shared" si="7"/>
        <v/>
      </c>
      <c r="C36" s="278"/>
      <c r="D36" s="278"/>
      <c r="E36" s="278"/>
      <c r="F36" s="278"/>
      <c r="G36" s="278"/>
      <c r="H36" s="290"/>
      <c r="I36" s="280">
        <f t="shared" si="8"/>
        <v>0</v>
      </c>
      <c r="J36" s="281">
        <f t="shared" si="9"/>
        <v>0</v>
      </c>
      <c r="K36" s="282">
        <f>IF(Notes!$B$9="Domestic",I36, IF(Notes!$B$9="Commercial",J36))*$K$29</f>
        <v>0</v>
      </c>
      <c r="L36" s="283">
        <f>(SUM(O36:Q36)+(K36+SUM(M36:Q36))*(INDEX($U$29:$AB$29,MATCH(Notes!$C$16,$U$3:$AB$3,0))-100%))*$L$29</f>
        <v>0</v>
      </c>
      <c r="M36" s="286"/>
      <c r="N36" s="286"/>
      <c r="O36" s="285"/>
      <c r="P36" s="285"/>
      <c r="Q36" s="285"/>
      <c r="R36" s="278"/>
      <c r="S36" s="278"/>
      <c r="T36" s="278"/>
    </row>
    <row r="37" spans="1:28" s="305" customFormat="1" ht="14.45" hidden="1" customHeight="1" outlineLevel="1" x14ac:dyDescent="0.25">
      <c r="A37" s="278"/>
      <c r="B37" s="279" t="str">
        <f t="shared" si="7"/>
        <v/>
      </c>
      <c r="C37" s="278"/>
      <c r="D37" s="278"/>
      <c r="E37" s="278"/>
      <c r="F37" s="278"/>
      <c r="G37" s="278"/>
      <c r="H37" s="290"/>
      <c r="I37" s="280">
        <f t="shared" si="8"/>
        <v>0</v>
      </c>
      <c r="J37" s="281">
        <f t="shared" si="9"/>
        <v>0</v>
      </c>
      <c r="K37" s="282">
        <f>IF(Notes!$B$9="Domestic",I37, IF(Notes!$B$9="Commercial",J37))*$K$29</f>
        <v>0</v>
      </c>
      <c r="L37" s="283">
        <f>(SUM(O37:Q37)+(K37+SUM(M37:Q37))*(INDEX($U$29:$AB$29,MATCH(Notes!$C$16,$U$3:$AB$3,0))-100%))*$L$29</f>
        <v>0</v>
      </c>
      <c r="M37" s="286"/>
      <c r="N37" s="286"/>
      <c r="O37" s="285"/>
      <c r="P37" s="285"/>
      <c r="Q37" s="285"/>
      <c r="R37" s="278"/>
      <c r="S37" s="278"/>
      <c r="T37" s="278"/>
    </row>
    <row r="38" spans="1:28" s="305" customFormat="1" ht="14.45" hidden="1" customHeight="1" outlineLevel="1" x14ac:dyDescent="0.25">
      <c r="A38" s="278"/>
      <c r="B38" s="279" t="str">
        <f t="shared" si="7"/>
        <v/>
      </c>
      <c r="C38" s="278"/>
      <c r="D38" s="278"/>
      <c r="E38" s="278"/>
      <c r="F38" s="278"/>
      <c r="G38" s="278"/>
      <c r="H38" s="290"/>
      <c r="I38" s="280">
        <f t="shared" si="8"/>
        <v>0</v>
      </c>
      <c r="J38" s="281">
        <f t="shared" si="9"/>
        <v>0</v>
      </c>
      <c r="K38" s="282">
        <f>IF(Notes!$B$9="Domestic",I38, IF(Notes!$B$9="Commercial",J38))*$K$29</f>
        <v>0</v>
      </c>
      <c r="L38" s="283">
        <f>(SUM(O38:Q38)+(K38+SUM(M38:Q38))*(INDEX($U$29:$AB$29,MATCH(Notes!$C$16,$U$3:$AB$3,0))-100%))*$L$29</f>
        <v>0</v>
      </c>
      <c r="M38" s="286"/>
      <c r="N38" s="286"/>
      <c r="O38" s="285"/>
      <c r="P38" s="285"/>
      <c r="Q38" s="285"/>
      <c r="R38" s="278"/>
      <c r="S38" s="278"/>
      <c r="T38" s="278"/>
    </row>
    <row r="39" spans="1:28" s="305" customFormat="1" ht="14.45" hidden="1" customHeight="1" outlineLevel="1" x14ac:dyDescent="0.25">
      <c r="A39" s="278"/>
      <c r="B39" s="279" t="str">
        <f t="shared" si="7"/>
        <v/>
      </c>
      <c r="C39" s="278"/>
      <c r="D39" s="278"/>
      <c r="E39" s="278"/>
      <c r="F39" s="278"/>
      <c r="G39" s="278"/>
      <c r="H39" s="290"/>
      <c r="I39" s="280">
        <f t="shared" si="8"/>
        <v>0</v>
      </c>
      <c r="J39" s="281">
        <f t="shared" si="9"/>
        <v>0</v>
      </c>
      <c r="K39" s="282">
        <f>IF(Notes!$B$9="Domestic",I39, IF(Notes!$B$9="Commercial",J39))*$K$29</f>
        <v>0</v>
      </c>
      <c r="L39" s="283">
        <f>(SUM(O39:Q39)+(K39+SUM(M39:Q39))*(INDEX($U$29:$AB$29,MATCH(Notes!$C$16,$U$3:$AB$3,0))-100%))*$L$29</f>
        <v>0</v>
      </c>
      <c r="M39" s="286"/>
      <c r="N39" s="286"/>
      <c r="O39" s="285"/>
      <c r="P39" s="285"/>
      <c r="Q39" s="285"/>
      <c r="R39" s="278"/>
      <c r="S39" s="278"/>
      <c r="T39" s="278"/>
    </row>
    <row r="40" spans="1:28" ht="21" hidden="1" outlineLevel="1" x14ac:dyDescent="0.25">
      <c r="A40" s="299"/>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row>
    <row r="41" spans="1:28" ht="15.75" hidden="1" outlineLevel="1" x14ac:dyDescent="0.25">
      <c r="A41" s="291"/>
      <c r="B41" s="291"/>
      <c r="C41" s="291"/>
      <c r="D41" s="291"/>
      <c r="E41" s="291"/>
      <c r="F41" s="291"/>
      <c r="G41" s="291"/>
      <c r="H41" s="291"/>
      <c r="I41" s="291"/>
      <c r="J41" s="291"/>
      <c r="K41" s="291">
        <f>K$2</f>
        <v>1</v>
      </c>
      <c r="L41" s="291">
        <f>L$2</f>
        <v>1</v>
      </c>
      <c r="M41" s="291"/>
      <c r="N41" s="291"/>
      <c r="O41" s="303"/>
      <c r="P41" s="303"/>
      <c r="Q41" s="303"/>
      <c r="R41" s="291"/>
      <c r="S41" s="291"/>
      <c r="T41" s="291"/>
      <c r="U41" s="291">
        <f>U$2</f>
        <v>1</v>
      </c>
      <c r="V41" s="291">
        <f>V$2</f>
        <v>1</v>
      </c>
      <c r="W41" s="291">
        <f t="shared" ref="W41:AB41" si="10">W$2</f>
        <v>1</v>
      </c>
      <c r="X41" s="291">
        <f t="shared" si="10"/>
        <v>1</v>
      </c>
      <c r="Y41" s="291">
        <f t="shared" si="10"/>
        <v>1</v>
      </c>
      <c r="Z41" s="291">
        <f t="shared" si="10"/>
        <v>1</v>
      </c>
      <c r="AA41" s="291">
        <f t="shared" si="10"/>
        <v>1</v>
      </c>
      <c r="AB41" s="291">
        <f t="shared" si="10"/>
        <v>1</v>
      </c>
    </row>
    <row r="42" spans="1:28" s="305" customFormat="1" ht="14.45" hidden="1" customHeight="1" outlineLevel="1" x14ac:dyDescent="0.25">
      <c r="A42" s="278"/>
      <c r="B42" s="279" t="str">
        <f>C42&amp;D42&amp;E42&amp;F42</f>
        <v/>
      </c>
      <c r="C42" s="278"/>
      <c r="D42" s="278"/>
      <c r="E42" s="278"/>
      <c r="F42" s="278"/>
      <c r="G42" s="278"/>
      <c r="H42" s="290"/>
      <c r="I42" s="280">
        <f>$I$2*H42</f>
        <v>0</v>
      </c>
      <c r="J42" s="281">
        <f>$J$2*H42</f>
        <v>0</v>
      </c>
      <c r="K42" s="282">
        <f>IF(Notes!$B$9="Domestic",I42, IF(Notes!$B$9="Commercial",J42))*$K$41</f>
        <v>0</v>
      </c>
      <c r="L42" s="283">
        <f>(SUM(O42:Q42)+(K42+SUM(M42:Q42))*(INDEX($U$41:$AB$41,MATCH(Notes!$C$16,$U$3:$AB$3,0))-100%))*$L$41</f>
        <v>0</v>
      </c>
      <c r="M42" s="286"/>
      <c r="N42" s="286"/>
      <c r="O42" s="285"/>
      <c r="P42" s="285"/>
      <c r="Q42" s="285"/>
      <c r="R42" s="278"/>
      <c r="S42" s="278"/>
      <c r="T42" s="278"/>
      <c r="U42" s="304"/>
    </row>
    <row r="43" spans="1:28" s="305" customFormat="1" ht="14.45" hidden="1" customHeight="1" outlineLevel="1" x14ac:dyDescent="0.25">
      <c r="A43" s="278"/>
      <c r="B43" s="279" t="str">
        <f t="shared" ref="B43:B51" si="11">C43&amp;D43&amp;E43&amp;F43</f>
        <v/>
      </c>
      <c r="C43" s="278"/>
      <c r="D43" s="278"/>
      <c r="E43" s="278"/>
      <c r="F43" s="278"/>
      <c r="G43" s="278"/>
      <c r="H43" s="290"/>
      <c r="I43" s="280">
        <f t="shared" ref="I43:I51" si="12">$I$2*H43</f>
        <v>0</v>
      </c>
      <c r="J43" s="281">
        <f t="shared" ref="J43:J51" si="13">$J$2*H43</f>
        <v>0</v>
      </c>
      <c r="K43" s="282">
        <f>IF(Notes!$B$9="Domestic",I43, IF(Notes!$B$9="Commercial",J43))*$K$41</f>
        <v>0</v>
      </c>
      <c r="L43" s="283">
        <f>(SUM(O43:Q43)+(K43+SUM(M43:Q43))*(INDEX($U$41:$AB$41,MATCH(Notes!$C$16,$U$3:$AB$3,0))-100%))*$L$41</f>
        <v>0</v>
      </c>
      <c r="M43" s="286"/>
      <c r="N43" s="286"/>
      <c r="O43" s="285"/>
      <c r="P43" s="285"/>
      <c r="Q43" s="285"/>
      <c r="R43" s="278"/>
      <c r="S43" s="278"/>
      <c r="T43" s="278"/>
      <c r="U43" s="304"/>
    </row>
    <row r="44" spans="1:28" s="305" customFormat="1" ht="14.45" hidden="1" customHeight="1" outlineLevel="1" x14ac:dyDescent="0.25">
      <c r="A44" s="278"/>
      <c r="B44" s="279" t="str">
        <f t="shared" si="11"/>
        <v/>
      </c>
      <c r="C44" s="278"/>
      <c r="D44" s="278"/>
      <c r="E44" s="278"/>
      <c r="F44" s="278"/>
      <c r="G44" s="278"/>
      <c r="H44" s="290"/>
      <c r="I44" s="280">
        <f t="shared" si="12"/>
        <v>0</v>
      </c>
      <c r="J44" s="281">
        <f t="shared" si="13"/>
        <v>0</v>
      </c>
      <c r="K44" s="282">
        <f>IF(Notes!$B$9="Domestic",I44, IF(Notes!$B$9="Commercial",J44))*$K$41</f>
        <v>0</v>
      </c>
      <c r="L44" s="283">
        <f>(SUM(O44:Q44)+(K44+SUM(M44:Q44))*(INDEX($U$41:$AB$41,MATCH(Notes!$C$16,$U$3:$AB$3,0))-100%))*$L$41</f>
        <v>0</v>
      </c>
      <c r="M44" s="286"/>
      <c r="N44" s="286"/>
      <c r="O44" s="285"/>
      <c r="P44" s="285"/>
      <c r="Q44" s="285"/>
      <c r="R44" s="278"/>
      <c r="S44" s="278"/>
      <c r="T44" s="278"/>
      <c r="U44" s="304"/>
    </row>
    <row r="45" spans="1:28" s="305" customFormat="1" hidden="1" outlineLevel="1" x14ac:dyDescent="0.25">
      <c r="A45" s="278"/>
      <c r="B45" s="279" t="str">
        <f t="shared" si="11"/>
        <v/>
      </c>
      <c r="C45" s="278"/>
      <c r="D45" s="278"/>
      <c r="E45" s="278"/>
      <c r="F45" s="278"/>
      <c r="G45" s="278"/>
      <c r="H45" s="290"/>
      <c r="I45" s="280">
        <f t="shared" si="12"/>
        <v>0</v>
      </c>
      <c r="J45" s="281">
        <f t="shared" si="13"/>
        <v>0</v>
      </c>
      <c r="K45" s="282">
        <f>IF(Notes!$B$9="Domestic",I45, IF(Notes!$B$9="Commercial",J45))*$K$41</f>
        <v>0</v>
      </c>
      <c r="L45" s="283">
        <f>(SUM(O45:Q45)+(K45+SUM(M45:Q45))*(INDEX($U$41:$AB$41,MATCH(Notes!$C$16,$U$3:$AB$3,0))-100%))*$L$41</f>
        <v>0</v>
      </c>
      <c r="M45" s="286"/>
      <c r="N45" s="286"/>
      <c r="O45" s="285"/>
      <c r="P45" s="285"/>
      <c r="Q45" s="285"/>
      <c r="R45" s="278"/>
      <c r="S45" s="278"/>
      <c r="T45" s="278"/>
    </row>
    <row r="46" spans="1:28" s="305" customFormat="1" hidden="1" outlineLevel="1" x14ac:dyDescent="0.25">
      <c r="A46" s="278"/>
      <c r="B46" s="279" t="str">
        <f t="shared" si="11"/>
        <v/>
      </c>
      <c r="C46" s="278"/>
      <c r="D46" s="278"/>
      <c r="E46" s="278"/>
      <c r="F46" s="278"/>
      <c r="G46" s="278"/>
      <c r="H46" s="290"/>
      <c r="I46" s="280">
        <f>$I$2*H46</f>
        <v>0</v>
      </c>
      <c r="J46" s="281">
        <f t="shared" si="13"/>
        <v>0</v>
      </c>
      <c r="K46" s="282">
        <f>IF(Notes!$B$9="Domestic",I46, IF(Notes!$B$9="Commercial",J46))*$K$41</f>
        <v>0</v>
      </c>
      <c r="L46" s="283">
        <f>(SUM(O46:Q46)+(K46+SUM(M46:Q46))*(INDEX($U$41:$AB$41,MATCH(Notes!$C$16,$U$3:$AB$3,0))-100%))*$L$41</f>
        <v>0</v>
      </c>
      <c r="M46" s="286"/>
      <c r="N46" s="286"/>
      <c r="O46" s="285"/>
      <c r="P46" s="285"/>
      <c r="Q46" s="285"/>
      <c r="R46" s="278"/>
      <c r="S46" s="278"/>
      <c r="T46" s="278"/>
    </row>
    <row r="47" spans="1:28" s="305" customFormat="1" hidden="1" outlineLevel="1" x14ac:dyDescent="0.25">
      <c r="A47" s="278"/>
      <c r="B47" s="279" t="str">
        <f t="shared" si="11"/>
        <v/>
      </c>
      <c r="C47" s="278"/>
      <c r="D47" s="278"/>
      <c r="E47" s="278"/>
      <c r="F47" s="278"/>
      <c r="G47" s="278"/>
      <c r="H47" s="290"/>
      <c r="I47" s="280">
        <f t="shared" si="12"/>
        <v>0</v>
      </c>
      <c r="J47" s="281">
        <f t="shared" si="13"/>
        <v>0</v>
      </c>
      <c r="K47" s="282">
        <f>IF(Notes!$B$9="Domestic",I47, IF(Notes!$B$9="Commercial",J47))*$K$41</f>
        <v>0</v>
      </c>
      <c r="L47" s="283">
        <f>(SUM(O47:Q47)+(K47+SUM(M47:Q47))*(INDEX($U$41:$AB$41,MATCH(Notes!$C$16,$U$3:$AB$3,0))-100%))*$L$41</f>
        <v>0</v>
      </c>
      <c r="M47" s="286"/>
      <c r="N47" s="286"/>
      <c r="O47" s="285"/>
      <c r="P47" s="285"/>
      <c r="Q47" s="285"/>
      <c r="R47" s="278"/>
      <c r="S47" s="278"/>
      <c r="T47" s="278"/>
    </row>
    <row r="48" spans="1:28" s="305" customFormat="1" hidden="1" outlineLevel="1" x14ac:dyDescent="0.25">
      <c r="A48" s="278"/>
      <c r="B48" s="279" t="str">
        <f t="shared" si="11"/>
        <v/>
      </c>
      <c r="C48" s="278"/>
      <c r="D48" s="278"/>
      <c r="E48" s="278"/>
      <c r="F48" s="278"/>
      <c r="G48" s="278"/>
      <c r="H48" s="290"/>
      <c r="I48" s="280">
        <f t="shared" si="12"/>
        <v>0</v>
      </c>
      <c r="J48" s="281">
        <f t="shared" si="13"/>
        <v>0</v>
      </c>
      <c r="K48" s="282">
        <f>IF(Notes!$B$9="Domestic",I48, IF(Notes!$B$9="Commercial",J48))*$K$41</f>
        <v>0</v>
      </c>
      <c r="L48" s="283">
        <f>(SUM(O48:Q48)+(K48+SUM(M48:Q48))*(INDEX($U$41:$AB$41,MATCH(Notes!$C$16,$U$3:$AB$3,0))-100%))*$L$41</f>
        <v>0</v>
      </c>
      <c r="M48" s="286"/>
      <c r="N48" s="286"/>
      <c r="O48" s="285"/>
      <c r="P48" s="285"/>
      <c r="Q48" s="285"/>
      <c r="R48" s="278"/>
      <c r="S48" s="278"/>
      <c r="T48" s="278"/>
    </row>
    <row r="49" spans="1:28" s="305" customFormat="1" hidden="1" outlineLevel="1" x14ac:dyDescent="0.25">
      <c r="A49" s="278"/>
      <c r="B49" s="279" t="str">
        <f t="shared" si="11"/>
        <v/>
      </c>
      <c r="C49" s="278"/>
      <c r="D49" s="278"/>
      <c r="E49" s="278"/>
      <c r="F49" s="278"/>
      <c r="G49" s="278"/>
      <c r="H49" s="290"/>
      <c r="I49" s="280">
        <f t="shared" si="12"/>
        <v>0</v>
      </c>
      <c r="J49" s="281">
        <f t="shared" si="13"/>
        <v>0</v>
      </c>
      <c r="K49" s="282">
        <f>IF(Notes!$B$9="Domestic",I49, IF(Notes!$B$9="Commercial",J49))*$K$41</f>
        <v>0</v>
      </c>
      <c r="L49" s="283">
        <f>(SUM(O49:Q49)+(K49+SUM(M49:Q49))*(INDEX($U$41:$AB$41,MATCH(Notes!$C$16,$U$3:$AB$3,0))-100%))*$L$41</f>
        <v>0</v>
      </c>
      <c r="M49" s="286"/>
      <c r="N49" s="286"/>
      <c r="O49" s="285"/>
      <c r="P49" s="285"/>
      <c r="Q49" s="285"/>
      <c r="R49" s="278"/>
      <c r="S49" s="278"/>
      <c r="T49" s="278"/>
    </row>
    <row r="50" spans="1:28" s="305" customFormat="1" hidden="1" outlineLevel="1" x14ac:dyDescent="0.25">
      <c r="A50" s="278"/>
      <c r="B50" s="279" t="str">
        <f t="shared" si="11"/>
        <v/>
      </c>
      <c r="C50" s="278"/>
      <c r="D50" s="278"/>
      <c r="E50" s="278"/>
      <c r="F50" s="278"/>
      <c r="G50" s="278"/>
      <c r="H50" s="290"/>
      <c r="I50" s="280">
        <f t="shared" si="12"/>
        <v>0</v>
      </c>
      <c r="J50" s="281">
        <f t="shared" si="13"/>
        <v>0</v>
      </c>
      <c r="K50" s="282">
        <f>IF(Notes!$B$9="Domestic",I50, IF(Notes!$B$9="Commercial",J50))*$K$41</f>
        <v>0</v>
      </c>
      <c r="L50" s="283">
        <f>(SUM(O50:Q50)+(K50+SUM(M50:Q50))*(INDEX($U$41:$AB$41,MATCH(Notes!$C$16,$U$3:$AB$3,0))-100%))*$L$41</f>
        <v>0</v>
      </c>
      <c r="M50" s="286"/>
      <c r="N50" s="286"/>
      <c r="O50" s="285"/>
      <c r="P50" s="285"/>
      <c r="Q50" s="285"/>
      <c r="R50" s="278"/>
      <c r="S50" s="278"/>
      <c r="T50" s="278"/>
    </row>
    <row r="51" spans="1:28" s="305" customFormat="1" hidden="1" outlineLevel="1" x14ac:dyDescent="0.25">
      <c r="A51" s="278"/>
      <c r="B51" s="279" t="str">
        <f t="shared" si="11"/>
        <v/>
      </c>
      <c r="C51" s="278"/>
      <c r="D51" s="278"/>
      <c r="E51" s="278"/>
      <c r="F51" s="278"/>
      <c r="G51" s="278"/>
      <c r="H51" s="290"/>
      <c r="I51" s="280">
        <f t="shared" si="12"/>
        <v>0</v>
      </c>
      <c r="J51" s="281">
        <f t="shared" si="13"/>
        <v>0</v>
      </c>
      <c r="K51" s="282">
        <f>IF(Notes!$B$9="Domestic",I51, IF(Notes!$B$9="Commercial",J51))*$K$41</f>
        <v>0</v>
      </c>
      <c r="L51" s="283">
        <f>(SUM(O51:Q51)+(K51+SUM(M51:Q51))*(INDEX($U$41:$AB$41,MATCH(Notes!$C$16,$U$3:$AB$3,0))-100%))*$L$41</f>
        <v>0</v>
      </c>
      <c r="M51" s="286"/>
      <c r="N51" s="286"/>
      <c r="O51" s="285"/>
      <c r="P51" s="285"/>
      <c r="Q51" s="285"/>
      <c r="R51" s="278"/>
      <c r="S51" s="278"/>
      <c r="T51" s="278"/>
    </row>
    <row r="52" spans="1:28" ht="21" hidden="1" outlineLevel="1" x14ac:dyDescent="0.25">
      <c r="A52" s="299"/>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row>
    <row r="53" spans="1:28" ht="15.75" hidden="1" outlineLevel="1" x14ac:dyDescent="0.25">
      <c r="A53" s="291"/>
      <c r="B53" s="291"/>
      <c r="C53" s="291"/>
      <c r="D53" s="291"/>
      <c r="E53" s="291"/>
      <c r="F53" s="291"/>
      <c r="G53" s="291"/>
      <c r="H53" s="291"/>
      <c r="I53" s="291"/>
      <c r="J53" s="291"/>
      <c r="K53" s="291">
        <f>K$2</f>
        <v>1</v>
      </c>
      <c r="L53" s="291">
        <f>L$2</f>
        <v>1</v>
      </c>
      <c r="M53" s="291"/>
      <c r="N53" s="291"/>
      <c r="O53" s="303"/>
      <c r="P53" s="303"/>
      <c r="Q53" s="303"/>
      <c r="R53" s="291"/>
      <c r="S53" s="291"/>
      <c r="T53" s="291"/>
      <c r="U53" s="291">
        <f>U$2</f>
        <v>1</v>
      </c>
      <c r="V53" s="291">
        <f>V$2</f>
        <v>1</v>
      </c>
      <c r="W53" s="291">
        <f t="shared" ref="W53:AB53" si="14">W$2</f>
        <v>1</v>
      </c>
      <c r="X53" s="291">
        <f t="shared" si="14"/>
        <v>1</v>
      </c>
      <c r="Y53" s="291">
        <f t="shared" si="14"/>
        <v>1</v>
      </c>
      <c r="Z53" s="291">
        <f t="shared" si="14"/>
        <v>1</v>
      </c>
      <c r="AA53" s="291">
        <f t="shared" si="14"/>
        <v>1</v>
      </c>
      <c r="AB53" s="291">
        <f t="shared" si="14"/>
        <v>1</v>
      </c>
    </row>
    <row r="54" spans="1:28" s="305" customFormat="1" ht="14.45" hidden="1" customHeight="1" outlineLevel="1" x14ac:dyDescent="0.25">
      <c r="A54" s="278"/>
      <c r="B54" s="279" t="str">
        <f>C54&amp;D54&amp;E54&amp;F54</f>
        <v/>
      </c>
      <c r="C54" s="278"/>
      <c r="D54" s="278"/>
      <c r="E54" s="278"/>
      <c r="F54" s="278"/>
      <c r="G54" s="278"/>
      <c r="H54" s="290"/>
      <c r="I54" s="280">
        <f>$I$2*H54</f>
        <v>0</v>
      </c>
      <c r="J54" s="281">
        <f>$J$2*H54</f>
        <v>0</v>
      </c>
      <c r="K54" s="282">
        <f>IF(Notes!$B$9="Domestic",I54, IF(Notes!$B$9="Commercial",J54))*$K$53</f>
        <v>0</v>
      </c>
      <c r="L54" s="283">
        <f>(SUM(O54:Q54)+(K54+SUM(M54:Q54))*(INDEX($U$53:$AB$53,MATCH(Notes!$C$16,$U$3:$AB$3,0))-100%))*$L$53</f>
        <v>0</v>
      </c>
      <c r="M54" s="286"/>
      <c r="N54" s="286"/>
      <c r="O54" s="285"/>
      <c r="P54" s="285"/>
      <c r="Q54" s="285"/>
      <c r="R54" s="278"/>
      <c r="S54" s="278"/>
      <c r="T54" s="278"/>
      <c r="U54" s="304"/>
    </row>
    <row r="55" spans="1:28" s="305" customFormat="1" ht="14.45" hidden="1" customHeight="1" outlineLevel="1" x14ac:dyDescent="0.25">
      <c r="A55" s="278"/>
      <c r="B55" s="279" t="str">
        <f t="shared" ref="B55:B63" si="15">C55&amp;D55&amp;E55&amp;F55</f>
        <v/>
      </c>
      <c r="C55" s="278"/>
      <c r="D55" s="278"/>
      <c r="E55" s="278"/>
      <c r="F55" s="278"/>
      <c r="G55" s="278"/>
      <c r="H55" s="290"/>
      <c r="I55" s="280">
        <f t="shared" ref="I55:I63" si="16">$I$2*H55</f>
        <v>0</v>
      </c>
      <c r="J55" s="281">
        <f t="shared" ref="J55:J63" si="17">$J$2*H55</f>
        <v>0</v>
      </c>
      <c r="K55" s="282">
        <f>IF(Notes!$B$9="Domestic",I55, IF(Notes!$B$9="Commercial",J55))*$K$53</f>
        <v>0</v>
      </c>
      <c r="L55" s="283">
        <f>(SUM(O55:Q55)+(K55+SUM(M55:Q55))*(INDEX($U$53:$AB$53,MATCH(Notes!$C$16,$U$3:$AB$3,0))-100%))*$L$53</f>
        <v>0</v>
      </c>
      <c r="M55" s="286"/>
      <c r="N55" s="286"/>
      <c r="O55" s="285"/>
      <c r="P55" s="285"/>
      <c r="Q55" s="285"/>
      <c r="R55" s="278"/>
      <c r="S55" s="278"/>
      <c r="T55" s="278"/>
      <c r="U55" s="304"/>
    </row>
    <row r="56" spans="1:28" s="305" customFormat="1" ht="14.45" hidden="1" customHeight="1" outlineLevel="1" x14ac:dyDescent="0.25">
      <c r="A56" s="278"/>
      <c r="B56" s="279" t="str">
        <f t="shared" si="15"/>
        <v/>
      </c>
      <c r="C56" s="278"/>
      <c r="D56" s="278"/>
      <c r="E56" s="278"/>
      <c r="F56" s="278"/>
      <c r="G56" s="278"/>
      <c r="H56" s="290"/>
      <c r="I56" s="280">
        <f t="shared" si="16"/>
        <v>0</v>
      </c>
      <c r="J56" s="281">
        <f t="shared" si="17"/>
        <v>0</v>
      </c>
      <c r="K56" s="282">
        <f>IF(Notes!$B$9="Domestic",I56, IF(Notes!$B$9="Commercial",J56))*$K$53</f>
        <v>0</v>
      </c>
      <c r="L56" s="283">
        <f>(SUM(O56:Q56)+(K56+SUM(M56:Q56))*(INDEX($U$53:$AB$53,MATCH(Notes!$C$16,$U$3:$AB$3,0))-100%))*$L$53</f>
        <v>0</v>
      </c>
      <c r="M56" s="286"/>
      <c r="N56" s="286"/>
      <c r="O56" s="285"/>
      <c r="P56" s="285"/>
      <c r="Q56" s="285"/>
      <c r="R56" s="278"/>
      <c r="S56" s="278"/>
      <c r="T56" s="278"/>
      <c r="U56" s="304"/>
    </row>
    <row r="57" spans="1:28" s="305" customFormat="1" ht="14.45" hidden="1" customHeight="1" outlineLevel="1" x14ac:dyDescent="0.25">
      <c r="A57" s="278"/>
      <c r="B57" s="279" t="str">
        <f t="shared" si="15"/>
        <v/>
      </c>
      <c r="C57" s="278"/>
      <c r="D57" s="278"/>
      <c r="E57" s="278"/>
      <c r="F57" s="278"/>
      <c r="G57" s="278"/>
      <c r="H57" s="290"/>
      <c r="I57" s="280">
        <f t="shared" si="16"/>
        <v>0</v>
      </c>
      <c r="J57" s="281">
        <f t="shared" si="17"/>
        <v>0</v>
      </c>
      <c r="K57" s="282">
        <f>IF(Notes!$B$9="Domestic",I57, IF(Notes!$B$9="Commercial",J57))*$K$53</f>
        <v>0</v>
      </c>
      <c r="L57" s="283">
        <f>(SUM(O57:Q57)+(K57+SUM(M57:Q57))*(INDEX($U$53:$AB$53,MATCH(Notes!$C$16,$U$3:$AB$3,0))-100%))*$L$53</f>
        <v>0</v>
      </c>
      <c r="M57" s="286"/>
      <c r="N57" s="286"/>
      <c r="O57" s="285"/>
      <c r="P57" s="285"/>
      <c r="Q57" s="285"/>
      <c r="R57" s="278"/>
      <c r="S57" s="278"/>
      <c r="T57" s="278"/>
    </row>
    <row r="58" spans="1:28" s="305" customFormat="1" hidden="1" outlineLevel="1" x14ac:dyDescent="0.25">
      <c r="A58" s="278"/>
      <c r="B58" s="279" t="str">
        <f t="shared" si="15"/>
        <v/>
      </c>
      <c r="C58" s="278"/>
      <c r="D58" s="278"/>
      <c r="E58" s="278"/>
      <c r="F58" s="278"/>
      <c r="G58" s="278"/>
      <c r="H58" s="290"/>
      <c r="I58" s="280">
        <f>$I$2*H58</f>
        <v>0</v>
      </c>
      <c r="J58" s="281">
        <f t="shared" si="17"/>
        <v>0</v>
      </c>
      <c r="K58" s="282">
        <f>IF(Notes!$B$9="Domestic",I58, IF(Notes!$B$9="Commercial",J58))*$K$53</f>
        <v>0</v>
      </c>
      <c r="L58" s="283">
        <f>(SUM(O58:Q58)+(K58+SUM(M58:Q58))*(INDEX($U$53:$AB$53,MATCH(Notes!$C$16,$U$3:$AB$3,0))-100%))*$L$53</f>
        <v>0</v>
      </c>
      <c r="M58" s="286"/>
      <c r="N58" s="286"/>
      <c r="O58" s="285"/>
      <c r="P58" s="285"/>
      <c r="Q58" s="285"/>
      <c r="R58" s="278"/>
      <c r="S58" s="278"/>
      <c r="T58" s="278"/>
    </row>
    <row r="59" spans="1:28" s="305" customFormat="1" hidden="1" outlineLevel="1" x14ac:dyDescent="0.25">
      <c r="A59" s="278"/>
      <c r="B59" s="279" t="str">
        <f t="shared" si="15"/>
        <v/>
      </c>
      <c r="C59" s="278"/>
      <c r="D59" s="278"/>
      <c r="E59" s="278"/>
      <c r="F59" s="278"/>
      <c r="G59" s="278"/>
      <c r="H59" s="290"/>
      <c r="I59" s="280">
        <f t="shared" si="16"/>
        <v>0</v>
      </c>
      <c r="J59" s="281">
        <f t="shared" si="17"/>
        <v>0</v>
      </c>
      <c r="K59" s="282">
        <f>IF(Notes!$B$9="Domestic",I59, IF(Notes!$B$9="Commercial",J59))*$K$53</f>
        <v>0</v>
      </c>
      <c r="L59" s="283">
        <f>(SUM(O59:Q59)+(K59+SUM(M59:Q59))*(INDEX($U$53:$AB$53,MATCH(Notes!$C$16,$U$3:$AB$3,0))-100%))*$L$53</f>
        <v>0</v>
      </c>
      <c r="M59" s="286"/>
      <c r="N59" s="286"/>
      <c r="O59" s="285"/>
      <c r="P59" s="285"/>
      <c r="Q59" s="285"/>
      <c r="R59" s="278"/>
      <c r="S59" s="278"/>
      <c r="T59" s="278"/>
    </row>
    <row r="60" spans="1:28" s="305" customFormat="1" hidden="1" outlineLevel="1" x14ac:dyDescent="0.25">
      <c r="A60" s="278"/>
      <c r="B60" s="279" t="str">
        <f t="shared" si="15"/>
        <v/>
      </c>
      <c r="C60" s="278"/>
      <c r="D60" s="278"/>
      <c r="E60" s="278"/>
      <c r="F60" s="278"/>
      <c r="G60" s="278"/>
      <c r="H60" s="290"/>
      <c r="I60" s="280">
        <f t="shared" si="16"/>
        <v>0</v>
      </c>
      <c r="J60" s="281">
        <f t="shared" si="17"/>
        <v>0</v>
      </c>
      <c r="K60" s="282">
        <f>IF(Notes!$B$9="Domestic",I60, IF(Notes!$B$9="Commercial",J60))*$K$53</f>
        <v>0</v>
      </c>
      <c r="L60" s="283">
        <f>(SUM(O60:Q60)+(K60+SUM(M60:Q60))*(INDEX($U$53:$AB$53,MATCH(Notes!$C$16,$U$3:$AB$3,0))-100%))*$L$53</f>
        <v>0</v>
      </c>
      <c r="M60" s="286"/>
      <c r="N60" s="286"/>
      <c r="O60" s="285"/>
      <c r="P60" s="285"/>
      <c r="Q60" s="285"/>
      <c r="R60" s="278"/>
      <c r="S60" s="278"/>
      <c r="T60" s="278"/>
    </row>
    <row r="61" spans="1:28" s="305" customFormat="1" hidden="1" outlineLevel="1" x14ac:dyDescent="0.25">
      <c r="A61" s="278"/>
      <c r="B61" s="279" t="str">
        <f t="shared" si="15"/>
        <v/>
      </c>
      <c r="C61" s="278"/>
      <c r="D61" s="278"/>
      <c r="E61" s="278"/>
      <c r="F61" s="278"/>
      <c r="G61" s="278"/>
      <c r="H61" s="290"/>
      <c r="I61" s="280">
        <f t="shared" si="16"/>
        <v>0</v>
      </c>
      <c r="J61" s="281">
        <f t="shared" si="17"/>
        <v>0</v>
      </c>
      <c r="K61" s="282">
        <f>IF(Notes!$B$9="Domestic",I61, IF(Notes!$B$9="Commercial",J61))*$K$53</f>
        <v>0</v>
      </c>
      <c r="L61" s="283">
        <f>(SUM(O61:Q61)+(K61+SUM(M61:Q61))*(INDEX($U$53:$AB$53,MATCH(Notes!$C$16,$U$3:$AB$3,0))-100%))*$L$53</f>
        <v>0</v>
      </c>
      <c r="M61" s="286"/>
      <c r="N61" s="286"/>
      <c r="O61" s="285"/>
      <c r="P61" s="285"/>
      <c r="Q61" s="285"/>
      <c r="R61" s="278"/>
      <c r="S61" s="278"/>
      <c r="T61" s="278"/>
    </row>
    <row r="62" spans="1:28" s="305" customFormat="1" hidden="1" outlineLevel="1" x14ac:dyDescent="0.25">
      <c r="A62" s="278"/>
      <c r="B62" s="279" t="str">
        <f t="shared" si="15"/>
        <v/>
      </c>
      <c r="C62" s="278"/>
      <c r="D62" s="278"/>
      <c r="E62" s="278"/>
      <c r="F62" s="278"/>
      <c r="G62" s="278"/>
      <c r="H62" s="290"/>
      <c r="I62" s="280">
        <f t="shared" si="16"/>
        <v>0</v>
      </c>
      <c r="J62" s="281">
        <f t="shared" si="17"/>
        <v>0</v>
      </c>
      <c r="K62" s="282">
        <f>IF(Notes!$B$9="Domestic",I62, IF(Notes!$B$9="Commercial",J62))*$K$53</f>
        <v>0</v>
      </c>
      <c r="L62" s="283">
        <f>(SUM(O62:Q62)+(K62+SUM(M62:Q62))*(INDEX($U$53:$AB$53,MATCH(Notes!$C$16,$U$3:$AB$3,0))-100%))*$L$53</f>
        <v>0</v>
      </c>
      <c r="M62" s="286"/>
      <c r="N62" s="286"/>
      <c r="O62" s="285"/>
      <c r="P62" s="285"/>
      <c r="Q62" s="285"/>
      <c r="R62" s="278"/>
      <c r="S62" s="278"/>
      <c r="T62" s="278"/>
    </row>
    <row r="63" spans="1:28" s="305" customFormat="1" hidden="1" outlineLevel="1" x14ac:dyDescent="0.25">
      <c r="A63" s="278"/>
      <c r="B63" s="279" t="str">
        <f t="shared" si="15"/>
        <v/>
      </c>
      <c r="C63" s="278"/>
      <c r="D63" s="278"/>
      <c r="E63" s="278"/>
      <c r="F63" s="278"/>
      <c r="G63" s="278"/>
      <c r="H63" s="290"/>
      <c r="I63" s="280">
        <f t="shared" si="16"/>
        <v>0</v>
      </c>
      <c r="J63" s="281">
        <f t="shared" si="17"/>
        <v>0</v>
      </c>
      <c r="K63" s="282">
        <f>IF(Notes!$B$9="Domestic",I63, IF(Notes!$B$9="Commercial",J63))*$K$53</f>
        <v>0</v>
      </c>
      <c r="L63" s="283">
        <f>(SUM(O63:Q63)+(K63+SUM(M63:Q63))*(INDEX($U$53:$AB$53,MATCH(Notes!$C$16,$U$3:$AB$3,0))-100%))*$L$53</f>
        <v>0</v>
      </c>
      <c r="M63" s="286"/>
      <c r="N63" s="286"/>
      <c r="O63" s="285"/>
      <c r="P63" s="285"/>
      <c r="Q63" s="285"/>
      <c r="R63" s="278"/>
      <c r="S63" s="278"/>
      <c r="T63" s="278"/>
    </row>
    <row r="64" spans="1:28" ht="21" hidden="1" outlineLevel="1" x14ac:dyDescent="0.25">
      <c r="A64" s="299"/>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row>
    <row r="65" spans="1:28" ht="15.75" hidden="1" outlineLevel="1" x14ac:dyDescent="0.25">
      <c r="A65" s="291"/>
      <c r="B65" s="291"/>
      <c r="C65" s="291"/>
      <c r="D65" s="291"/>
      <c r="E65" s="291"/>
      <c r="F65" s="291"/>
      <c r="G65" s="291"/>
      <c r="H65" s="291"/>
      <c r="I65" s="291"/>
      <c r="J65" s="291"/>
      <c r="K65" s="291">
        <f>K$2</f>
        <v>1</v>
      </c>
      <c r="L65" s="291">
        <f>L$2</f>
        <v>1</v>
      </c>
      <c r="M65" s="291"/>
      <c r="N65" s="291"/>
      <c r="O65" s="303"/>
      <c r="P65" s="303"/>
      <c r="Q65" s="303"/>
      <c r="R65" s="291"/>
      <c r="S65" s="291"/>
      <c r="T65" s="291"/>
      <c r="U65" s="291">
        <f>U$2</f>
        <v>1</v>
      </c>
      <c r="V65" s="291">
        <f>V$2</f>
        <v>1</v>
      </c>
      <c r="W65" s="291">
        <f t="shared" ref="W65:AB65" si="18">W$2</f>
        <v>1</v>
      </c>
      <c r="X65" s="291">
        <f t="shared" si="18"/>
        <v>1</v>
      </c>
      <c r="Y65" s="291">
        <f t="shared" si="18"/>
        <v>1</v>
      </c>
      <c r="Z65" s="291">
        <f t="shared" si="18"/>
        <v>1</v>
      </c>
      <c r="AA65" s="291">
        <f t="shared" si="18"/>
        <v>1</v>
      </c>
      <c r="AB65" s="291">
        <f t="shared" si="18"/>
        <v>1</v>
      </c>
    </row>
    <row r="66" spans="1:28" s="305" customFormat="1" ht="14.45" hidden="1" customHeight="1" outlineLevel="1" x14ac:dyDescent="0.25">
      <c r="A66" s="278"/>
      <c r="B66" s="279" t="str">
        <f>C66&amp;D66&amp;E66&amp;F66</f>
        <v/>
      </c>
      <c r="C66" s="278"/>
      <c r="D66" s="278"/>
      <c r="E66" s="278"/>
      <c r="F66" s="278"/>
      <c r="G66" s="278"/>
      <c r="H66" s="290"/>
      <c r="I66" s="280">
        <f>$I$2*H66</f>
        <v>0</v>
      </c>
      <c r="J66" s="281">
        <f>$J$2*H66</f>
        <v>0</v>
      </c>
      <c r="K66" s="282">
        <f>IF(Notes!$B$9="Domestic",I66, IF(Notes!$B$9="Commercial",J66))*$K$65</f>
        <v>0</v>
      </c>
      <c r="L66" s="283">
        <f>(SUM(O66:Q66)+(K66+SUM(M66:Q66))*(INDEX($U$65:$AB$65,MATCH(Notes!$C$16,$U$3:$AB$3,0))-100%))*$L$65</f>
        <v>0</v>
      </c>
      <c r="M66" s="286"/>
      <c r="N66" s="286"/>
      <c r="O66" s="285"/>
      <c r="P66" s="285"/>
      <c r="Q66" s="285"/>
      <c r="R66" s="278"/>
      <c r="S66" s="278"/>
      <c r="T66" s="278"/>
      <c r="U66" s="304"/>
    </row>
    <row r="67" spans="1:28" s="305" customFormat="1" ht="14.45" hidden="1" customHeight="1" outlineLevel="1" x14ac:dyDescent="0.25">
      <c r="A67" s="278"/>
      <c r="B67" s="279" t="str">
        <f t="shared" ref="B67:B75" si="19">C67&amp;D67&amp;E67&amp;F67</f>
        <v/>
      </c>
      <c r="C67" s="278"/>
      <c r="D67" s="278"/>
      <c r="E67" s="278"/>
      <c r="F67" s="278"/>
      <c r="G67" s="278"/>
      <c r="H67" s="290"/>
      <c r="I67" s="280">
        <f t="shared" ref="I67:I75" si="20">$I$2*H67</f>
        <v>0</v>
      </c>
      <c r="J67" s="281">
        <f t="shared" ref="J67:J75" si="21">$J$2*H67</f>
        <v>0</v>
      </c>
      <c r="K67" s="282">
        <f>IF(Notes!$B$9="Domestic",I67, IF(Notes!$B$9="Commercial",J67))*$K$65</f>
        <v>0</v>
      </c>
      <c r="L67" s="283">
        <f>(SUM(O67:Q67)+(K67+SUM(M67:Q67))*(INDEX($U$65:$AB$65,MATCH(Notes!$C$16,$U$3:$AB$3,0))-100%))*$L$65</f>
        <v>0</v>
      </c>
      <c r="M67" s="286"/>
      <c r="N67" s="286"/>
      <c r="O67" s="285"/>
      <c r="P67" s="285"/>
      <c r="Q67" s="285"/>
      <c r="R67" s="278"/>
      <c r="S67" s="278"/>
      <c r="T67" s="278"/>
      <c r="U67" s="304"/>
    </row>
    <row r="68" spans="1:28" s="305" customFormat="1" ht="14.45" hidden="1" customHeight="1" outlineLevel="1" x14ac:dyDescent="0.25">
      <c r="A68" s="278"/>
      <c r="B68" s="279" t="str">
        <f t="shared" si="19"/>
        <v/>
      </c>
      <c r="C68" s="278"/>
      <c r="D68" s="278"/>
      <c r="E68" s="278"/>
      <c r="F68" s="278"/>
      <c r="G68" s="278"/>
      <c r="H68" s="290"/>
      <c r="I68" s="280">
        <f t="shared" si="20"/>
        <v>0</v>
      </c>
      <c r="J68" s="281">
        <f t="shared" si="21"/>
        <v>0</v>
      </c>
      <c r="K68" s="282">
        <f>IF(Notes!$B$9="Domestic",I68, IF(Notes!$B$9="Commercial",J68))*$K$65</f>
        <v>0</v>
      </c>
      <c r="L68" s="283">
        <f>(SUM(O68:Q68)+(K68+SUM(M68:Q68))*(INDEX($U$65:$AB$65,MATCH(Notes!$C$16,$U$3:$AB$3,0))-100%))*$L$65</f>
        <v>0</v>
      </c>
      <c r="M68" s="286"/>
      <c r="N68" s="286"/>
      <c r="O68" s="285"/>
      <c r="P68" s="285"/>
      <c r="Q68" s="285"/>
      <c r="R68" s="278"/>
      <c r="S68" s="278"/>
      <c r="T68" s="278"/>
      <c r="U68" s="304"/>
    </row>
    <row r="69" spans="1:28" s="305" customFormat="1" ht="14.45" hidden="1" customHeight="1" outlineLevel="1" x14ac:dyDescent="0.25">
      <c r="A69" s="278"/>
      <c r="B69" s="279" t="str">
        <f t="shared" si="19"/>
        <v/>
      </c>
      <c r="C69" s="278"/>
      <c r="D69" s="278"/>
      <c r="E69" s="278"/>
      <c r="F69" s="278"/>
      <c r="G69" s="278"/>
      <c r="H69" s="290"/>
      <c r="I69" s="280">
        <f t="shared" si="20"/>
        <v>0</v>
      </c>
      <c r="J69" s="281">
        <f t="shared" si="21"/>
        <v>0</v>
      </c>
      <c r="K69" s="282">
        <f>IF(Notes!$B$9="Domestic",I69, IF(Notes!$B$9="Commercial",J69))*$K$65</f>
        <v>0</v>
      </c>
      <c r="L69" s="283">
        <f>(SUM(O69:Q69)+(K69+SUM(M69:Q69))*(INDEX($U$65:$AB$65,MATCH(Notes!$C$16,$U$3:$AB$3,0))-100%))*$L$65</f>
        <v>0</v>
      </c>
      <c r="M69" s="286"/>
      <c r="N69" s="286"/>
      <c r="O69" s="285"/>
      <c r="P69" s="285"/>
      <c r="Q69" s="285"/>
      <c r="R69" s="278"/>
      <c r="S69" s="278"/>
      <c r="T69" s="278"/>
    </row>
    <row r="70" spans="1:28" s="305" customFormat="1" ht="14.45" hidden="1" customHeight="1" outlineLevel="1" x14ac:dyDescent="0.25">
      <c r="A70" s="278"/>
      <c r="B70" s="279" t="str">
        <f t="shared" si="19"/>
        <v/>
      </c>
      <c r="C70" s="278"/>
      <c r="D70" s="278"/>
      <c r="E70" s="278"/>
      <c r="F70" s="278"/>
      <c r="G70" s="278"/>
      <c r="H70" s="290"/>
      <c r="I70" s="280">
        <f>$I$2*H70</f>
        <v>0</v>
      </c>
      <c r="J70" s="281">
        <f t="shared" si="21"/>
        <v>0</v>
      </c>
      <c r="K70" s="282">
        <f>IF(Notes!$B$9="Domestic",I70, IF(Notes!$B$9="Commercial",J70))*$K$65</f>
        <v>0</v>
      </c>
      <c r="L70" s="283">
        <f>(SUM(O70:Q70)+(K70+SUM(M70:Q70))*(INDEX($U$65:$AB$65,MATCH(Notes!$C$16,$U$3:$AB$3,0))-100%))*$L$65</f>
        <v>0</v>
      </c>
      <c r="M70" s="286"/>
      <c r="N70" s="286"/>
      <c r="O70" s="285"/>
      <c r="P70" s="285"/>
      <c r="Q70" s="285"/>
      <c r="R70" s="278"/>
      <c r="S70" s="278"/>
      <c r="T70" s="278"/>
    </row>
    <row r="71" spans="1:28" s="305" customFormat="1" ht="14.45" hidden="1" customHeight="1" outlineLevel="1" x14ac:dyDescent="0.25">
      <c r="A71" s="278"/>
      <c r="B71" s="279" t="str">
        <f t="shared" si="19"/>
        <v/>
      </c>
      <c r="C71" s="278"/>
      <c r="D71" s="278"/>
      <c r="E71" s="278"/>
      <c r="F71" s="278"/>
      <c r="G71" s="278"/>
      <c r="H71" s="290"/>
      <c r="I71" s="280">
        <f t="shared" si="20"/>
        <v>0</v>
      </c>
      <c r="J71" s="281">
        <f t="shared" si="21"/>
        <v>0</v>
      </c>
      <c r="K71" s="282">
        <f>IF(Notes!$B$9="Domestic",I71, IF(Notes!$B$9="Commercial",J71))*$K$65</f>
        <v>0</v>
      </c>
      <c r="L71" s="283">
        <f>(SUM(O71:Q71)+(K71+SUM(M71:Q71))*(INDEX($U$65:$AB$65,MATCH(Notes!$C$16,$U$3:$AB$3,0))-100%))*$L$65</f>
        <v>0</v>
      </c>
      <c r="M71" s="286"/>
      <c r="N71" s="286"/>
      <c r="O71" s="285"/>
      <c r="P71" s="285"/>
      <c r="Q71" s="285"/>
      <c r="R71" s="278"/>
      <c r="S71" s="278"/>
      <c r="T71" s="278"/>
    </row>
    <row r="72" spans="1:28" s="305" customFormat="1" hidden="1" outlineLevel="1" x14ac:dyDescent="0.25">
      <c r="A72" s="278"/>
      <c r="B72" s="279" t="str">
        <f t="shared" si="19"/>
        <v/>
      </c>
      <c r="C72" s="278"/>
      <c r="D72" s="278"/>
      <c r="E72" s="278"/>
      <c r="F72" s="278"/>
      <c r="G72" s="278"/>
      <c r="H72" s="290"/>
      <c r="I72" s="280">
        <f t="shared" si="20"/>
        <v>0</v>
      </c>
      <c r="J72" s="281">
        <f t="shared" si="21"/>
        <v>0</v>
      </c>
      <c r="K72" s="282">
        <f>IF(Notes!$B$9="Domestic",I72, IF(Notes!$B$9="Commercial",J72))*$K$65</f>
        <v>0</v>
      </c>
      <c r="L72" s="283">
        <f>(SUM(O72:Q72)+(K72+SUM(M72:Q72))*(INDEX($U$65:$AB$65,MATCH(Notes!$C$16,$U$3:$AB$3,0))-100%))*$L$65</f>
        <v>0</v>
      </c>
      <c r="M72" s="286"/>
      <c r="N72" s="286"/>
      <c r="O72" s="285"/>
      <c r="P72" s="285"/>
      <c r="Q72" s="285"/>
      <c r="R72" s="278"/>
      <c r="S72" s="278"/>
      <c r="T72" s="278"/>
    </row>
    <row r="73" spans="1:28" s="305" customFormat="1" hidden="1" outlineLevel="1" x14ac:dyDescent="0.25">
      <c r="A73" s="278"/>
      <c r="B73" s="279" t="str">
        <f t="shared" si="19"/>
        <v/>
      </c>
      <c r="C73" s="278"/>
      <c r="D73" s="278"/>
      <c r="E73" s="278"/>
      <c r="F73" s="278"/>
      <c r="G73" s="278"/>
      <c r="H73" s="290"/>
      <c r="I73" s="280">
        <f t="shared" si="20"/>
        <v>0</v>
      </c>
      <c r="J73" s="281">
        <f t="shared" si="21"/>
        <v>0</v>
      </c>
      <c r="K73" s="282">
        <f>IF(Notes!$B$9="Domestic",I73, IF(Notes!$B$9="Commercial",J73))*$K$65</f>
        <v>0</v>
      </c>
      <c r="L73" s="283">
        <f>(SUM(O73:Q73)+(K73+SUM(M73:Q73))*(INDEX($U$65:$AB$65,MATCH(Notes!$C$16,$U$3:$AB$3,0))-100%))*$L$65</f>
        <v>0</v>
      </c>
      <c r="M73" s="286"/>
      <c r="N73" s="286"/>
      <c r="O73" s="285"/>
      <c r="P73" s="285"/>
      <c r="Q73" s="285"/>
      <c r="R73" s="278"/>
      <c r="S73" s="278"/>
      <c r="T73" s="278"/>
    </row>
    <row r="74" spans="1:28" s="305" customFormat="1" hidden="1" outlineLevel="1" x14ac:dyDescent="0.25">
      <c r="A74" s="278"/>
      <c r="B74" s="279" t="str">
        <f t="shared" si="19"/>
        <v/>
      </c>
      <c r="C74" s="278"/>
      <c r="D74" s="278"/>
      <c r="E74" s="278"/>
      <c r="F74" s="278"/>
      <c r="G74" s="278"/>
      <c r="H74" s="290"/>
      <c r="I74" s="280">
        <f t="shared" si="20"/>
        <v>0</v>
      </c>
      <c r="J74" s="281">
        <f t="shared" si="21"/>
        <v>0</v>
      </c>
      <c r="K74" s="282">
        <f>IF(Notes!$B$9="Domestic",I74, IF(Notes!$B$9="Commercial",J74))*$K$65</f>
        <v>0</v>
      </c>
      <c r="L74" s="283">
        <f>(SUM(O74:Q74)+(K74+SUM(M74:Q74))*(INDEX($U$65:$AB$65,MATCH(Notes!$C$16,$U$3:$AB$3,0))-100%))*$L$65</f>
        <v>0</v>
      </c>
      <c r="M74" s="286"/>
      <c r="N74" s="286"/>
      <c r="O74" s="285"/>
      <c r="P74" s="285"/>
      <c r="Q74" s="285"/>
      <c r="R74" s="278"/>
      <c r="S74" s="278"/>
      <c r="T74" s="278"/>
    </row>
    <row r="75" spans="1:28" s="305" customFormat="1" hidden="1" outlineLevel="1" x14ac:dyDescent="0.25">
      <c r="A75" s="278"/>
      <c r="B75" s="279" t="str">
        <f t="shared" si="19"/>
        <v/>
      </c>
      <c r="C75" s="278"/>
      <c r="D75" s="278"/>
      <c r="E75" s="278"/>
      <c r="F75" s="278"/>
      <c r="G75" s="278"/>
      <c r="H75" s="290"/>
      <c r="I75" s="280">
        <f t="shared" si="20"/>
        <v>0</v>
      </c>
      <c r="J75" s="281">
        <f t="shared" si="21"/>
        <v>0</v>
      </c>
      <c r="K75" s="282">
        <f>IF(Notes!$B$9="Domestic",I75, IF(Notes!$B$9="Commercial",J75))*$K$65</f>
        <v>0</v>
      </c>
      <c r="L75" s="283">
        <f>(SUM(O75:Q75)+(K75+SUM(M75:Q75))*(INDEX($U$65:$AB$65,MATCH(Notes!$C$16,$U$3:$AB$3,0))-100%))*$L$65</f>
        <v>0</v>
      </c>
      <c r="M75" s="286"/>
      <c r="N75" s="286"/>
      <c r="O75" s="285"/>
      <c r="P75" s="285"/>
      <c r="Q75" s="285"/>
      <c r="R75" s="278"/>
      <c r="S75" s="278"/>
      <c r="T75" s="278"/>
    </row>
    <row r="76" spans="1:28" ht="21" hidden="1" outlineLevel="1" x14ac:dyDescent="0.25">
      <c r="A76" s="299"/>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row>
    <row r="77" spans="1:28" ht="15.75" hidden="1" outlineLevel="1" x14ac:dyDescent="0.25">
      <c r="A77" s="291"/>
      <c r="B77" s="291"/>
      <c r="C77" s="291"/>
      <c r="D77" s="291"/>
      <c r="E77" s="291"/>
      <c r="F77" s="291"/>
      <c r="G77" s="291"/>
      <c r="H77" s="291"/>
      <c r="I77" s="291"/>
      <c r="J77" s="291"/>
      <c r="K77" s="291">
        <f>K$2</f>
        <v>1</v>
      </c>
      <c r="L77" s="291">
        <f>L$2</f>
        <v>1</v>
      </c>
      <c r="M77" s="291"/>
      <c r="N77" s="291"/>
      <c r="O77" s="303"/>
      <c r="P77" s="303"/>
      <c r="Q77" s="303"/>
      <c r="R77" s="291"/>
      <c r="S77" s="291"/>
      <c r="T77" s="291"/>
      <c r="U77" s="291">
        <f>U$2</f>
        <v>1</v>
      </c>
      <c r="V77" s="291">
        <f>V$2</f>
        <v>1</v>
      </c>
      <c r="W77" s="291">
        <f t="shared" ref="W77:AB77" si="22">W$2</f>
        <v>1</v>
      </c>
      <c r="X77" s="291">
        <f t="shared" si="22"/>
        <v>1</v>
      </c>
      <c r="Y77" s="291">
        <f t="shared" si="22"/>
        <v>1</v>
      </c>
      <c r="Z77" s="291">
        <f t="shared" si="22"/>
        <v>1</v>
      </c>
      <c r="AA77" s="291">
        <f t="shared" si="22"/>
        <v>1</v>
      </c>
      <c r="AB77" s="291">
        <f t="shared" si="22"/>
        <v>1</v>
      </c>
    </row>
    <row r="78" spans="1:28" s="305" customFormat="1" hidden="1" outlineLevel="1" x14ac:dyDescent="0.25">
      <c r="A78" s="278"/>
      <c r="B78" s="279" t="str">
        <f>C78&amp;D78&amp;E78&amp;F78</f>
        <v/>
      </c>
      <c r="C78" s="278"/>
      <c r="D78" s="278"/>
      <c r="E78" s="278"/>
      <c r="F78" s="278"/>
      <c r="G78" s="278"/>
      <c r="H78" s="290"/>
      <c r="I78" s="280">
        <f>$I$2*H78</f>
        <v>0</v>
      </c>
      <c r="J78" s="281">
        <f>$J$2*H78</f>
        <v>0</v>
      </c>
      <c r="K78" s="282">
        <f>IF(Notes!$B$9="Domestic",I78, IF(Notes!$B$9="Commercial",J78))*$K$77</f>
        <v>0</v>
      </c>
      <c r="L78" s="283">
        <f>(SUM(O78:Q78)+(K78+SUM(M78:Q78))*(INDEX($U$77:$AB$77,MATCH(Notes!$C$16,$U$3:$AB$3,0))-100%))*$L$77</f>
        <v>0</v>
      </c>
      <c r="M78" s="286"/>
      <c r="N78" s="286"/>
      <c r="O78" s="285"/>
      <c r="P78" s="285"/>
      <c r="Q78" s="285"/>
      <c r="R78" s="278"/>
      <c r="S78" s="278"/>
      <c r="T78" s="278"/>
    </row>
    <row r="79" spans="1:28" s="305" customFormat="1" hidden="1" outlineLevel="1" x14ac:dyDescent="0.25">
      <c r="A79" s="278"/>
      <c r="B79" s="279" t="str">
        <f t="shared" ref="B79:B87" si="23">C79&amp;D79&amp;E79&amp;F79</f>
        <v/>
      </c>
      <c r="C79" s="278"/>
      <c r="D79" s="278"/>
      <c r="E79" s="278"/>
      <c r="F79" s="278"/>
      <c r="G79" s="278"/>
      <c r="H79" s="290"/>
      <c r="I79" s="280">
        <f t="shared" ref="I79:I87" si="24">$I$2*H79</f>
        <v>0</v>
      </c>
      <c r="J79" s="281">
        <f t="shared" ref="J79:J87" si="25">$J$2*H79</f>
        <v>0</v>
      </c>
      <c r="K79" s="282">
        <f>IF(Notes!$B$9="Domestic",I79, IF(Notes!$B$9="Commercial",J79))*$K$77</f>
        <v>0</v>
      </c>
      <c r="L79" s="283">
        <f>(SUM(O79:Q79)+(K79+SUM(M79:Q79))*(INDEX($U$77:$AB$77,MATCH(Notes!$C$16,$U$3:$AB$3,0))-100%))*$L$77</f>
        <v>0</v>
      </c>
      <c r="M79" s="286"/>
      <c r="N79" s="286"/>
      <c r="O79" s="285"/>
      <c r="P79" s="285"/>
      <c r="Q79" s="285"/>
      <c r="R79" s="278"/>
      <c r="S79" s="278"/>
      <c r="T79" s="278"/>
    </row>
    <row r="80" spans="1:28" s="305" customFormat="1" hidden="1" outlineLevel="1" x14ac:dyDescent="0.25">
      <c r="A80" s="278"/>
      <c r="B80" s="279" t="str">
        <f t="shared" si="23"/>
        <v/>
      </c>
      <c r="C80" s="278"/>
      <c r="D80" s="278"/>
      <c r="E80" s="278"/>
      <c r="F80" s="278"/>
      <c r="G80" s="278"/>
      <c r="H80" s="290"/>
      <c r="I80" s="280">
        <f t="shared" si="24"/>
        <v>0</v>
      </c>
      <c r="J80" s="281">
        <f t="shared" si="25"/>
        <v>0</v>
      </c>
      <c r="K80" s="282">
        <f>IF(Notes!$B$9="Domestic",I80, IF(Notes!$B$9="Commercial",J80))*$K$77</f>
        <v>0</v>
      </c>
      <c r="L80" s="283">
        <f>(SUM(O80:Q80)+(K80+SUM(M80:Q80))*(INDEX($U$77:$AB$77,MATCH(Notes!$C$16,$U$3:$AB$3,0))-100%))*$L$77</f>
        <v>0</v>
      </c>
      <c r="M80" s="286"/>
      <c r="N80" s="286"/>
      <c r="O80" s="285"/>
      <c r="P80" s="285"/>
      <c r="Q80" s="285"/>
      <c r="R80" s="278"/>
      <c r="S80" s="278"/>
      <c r="T80" s="278"/>
    </row>
    <row r="81" spans="1:28" s="305" customFormat="1" hidden="1" outlineLevel="1" x14ac:dyDescent="0.25">
      <c r="A81" s="278"/>
      <c r="B81" s="279" t="str">
        <f t="shared" si="23"/>
        <v/>
      </c>
      <c r="C81" s="278"/>
      <c r="D81" s="278"/>
      <c r="E81" s="278"/>
      <c r="F81" s="278"/>
      <c r="G81" s="278"/>
      <c r="H81" s="290"/>
      <c r="I81" s="280">
        <f t="shared" si="24"/>
        <v>0</v>
      </c>
      <c r="J81" s="281">
        <f t="shared" si="25"/>
        <v>0</v>
      </c>
      <c r="K81" s="282">
        <f>IF(Notes!$B$9="Domestic",I81, IF(Notes!$B$9="Commercial",J81))*$K$77</f>
        <v>0</v>
      </c>
      <c r="L81" s="283">
        <f>(SUM(O81:Q81)+(K81+SUM(M81:Q81))*(INDEX($U$77:$AB$77,MATCH(Notes!$C$16,$U$3:$AB$3,0))-100%))*$L$77</f>
        <v>0</v>
      </c>
      <c r="M81" s="286"/>
      <c r="N81" s="286"/>
      <c r="O81" s="285"/>
      <c r="P81" s="285"/>
      <c r="Q81" s="285"/>
      <c r="R81" s="278"/>
      <c r="S81" s="278"/>
      <c r="T81" s="278"/>
    </row>
    <row r="82" spans="1:28" s="305" customFormat="1" hidden="1" outlineLevel="1" x14ac:dyDescent="0.25">
      <c r="A82" s="278"/>
      <c r="B82" s="279" t="str">
        <f t="shared" si="23"/>
        <v/>
      </c>
      <c r="C82" s="278"/>
      <c r="D82" s="278"/>
      <c r="E82" s="278"/>
      <c r="F82" s="278"/>
      <c r="G82" s="278"/>
      <c r="H82" s="290"/>
      <c r="I82" s="280">
        <f>$I$2*H82</f>
        <v>0</v>
      </c>
      <c r="J82" s="281">
        <f t="shared" si="25"/>
        <v>0</v>
      </c>
      <c r="K82" s="282">
        <f>IF(Notes!$B$9="Domestic",I82, IF(Notes!$B$9="Commercial",J82))*$K$77</f>
        <v>0</v>
      </c>
      <c r="L82" s="283">
        <f>(SUM(O82:Q82)+(K82+SUM(M82:Q82))*(INDEX($U$77:$AB$77,MATCH(Notes!$C$16,$U$3:$AB$3,0))-100%))*$L$77</f>
        <v>0</v>
      </c>
      <c r="M82" s="286"/>
      <c r="N82" s="286"/>
      <c r="O82" s="285"/>
      <c r="P82" s="285"/>
      <c r="Q82" s="285"/>
      <c r="R82" s="278"/>
      <c r="S82" s="278"/>
      <c r="T82" s="278"/>
    </row>
    <row r="83" spans="1:28" s="305" customFormat="1" hidden="1" outlineLevel="1" x14ac:dyDescent="0.25">
      <c r="A83" s="278"/>
      <c r="B83" s="279" t="str">
        <f t="shared" si="23"/>
        <v/>
      </c>
      <c r="C83" s="278"/>
      <c r="D83" s="278"/>
      <c r="E83" s="278"/>
      <c r="F83" s="278"/>
      <c r="G83" s="278"/>
      <c r="H83" s="290"/>
      <c r="I83" s="280">
        <f t="shared" si="24"/>
        <v>0</v>
      </c>
      <c r="J83" s="281">
        <f t="shared" si="25"/>
        <v>0</v>
      </c>
      <c r="K83" s="282">
        <f>IF(Notes!$B$9="Domestic",I83, IF(Notes!$B$9="Commercial",J83))*$K$77</f>
        <v>0</v>
      </c>
      <c r="L83" s="283">
        <f>(SUM(O83:Q83)+(K83+SUM(M83:Q83))*(INDEX($U$77:$AB$77,MATCH(Notes!$C$16,$U$3:$AB$3,0))-100%))*$L$77</f>
        <v>0</v>
      </c>
      <c r="M83" s="286"/>
      <c r="N83" s="286"/>
      <c r="O83" s="285"/>
      <c r="P83" s="285"/>
      <c r="Q83" s="285"/>
      <c r="R83" s="278"/>
      <c r="S83" s="278"/>
      <c r="T83" s="278"/>
    </row>
    <row r="84" spans="1:28" s="305" customFormat="1" hidden="1" outlineLevel="1" x14ac:dyDescent="0.25">
      <c r="A84" s="278"/>
      <c r="B84" s="279" t="str">
        <f t="shared" si="23"/>
        <v/>
      </c>
      <c r="C84" s="278"/>
      <c r="D84" s="278"/>
      <c r="E84" s="278"/>
      <c r="F84" s="278"/>
      <c r="G84" s="278"/>
      <c r="H84" s="290"/>
      <c r="I84" s="280">
        <f t="shared" si="24"/>
        <v>0</v>
      </c>
      <c r="J84" s="281">
        <f t="shared" si="25"/>
        <v>0</v>
      </c>
      <c r="K84" s="282">
        <f>IF(Notes!$B$9="Domestic",I84, IF(Notes!$B$9="Commercial",J84))*$K$77</f>
        <v>0</v>
      </c>
      <c r="L84" s="283">
        <f>(SUM(O84:Q84)+(K84+SUM(M84:Q84))*(INDEX($U$77:$AB$77,MATCH(Notes!$C$16,$U$3:$AB$3,0))-100%))*$L$77</f>
        <v>0</v>
      </c>
      <c r="M84" s="286"/>
      <c r="N84" s="286"/>
      <c r="O84" s="285"/>
      <c r="P84" s="285"/>
      <c r="Q84" s="285"/>
      <c r="R84" s="278"/>
      <c r="S84" s="278"/>
      <c r="T84" s="278"/>
    </row>
    <row r="85" spans="1:28" s="305" customFormat="1" hidden="1" outlineLevel="1" x14ac:dyDescent="0.25">
      <c r="A85" s="278"/>
      <c r="B85" s="279" t="str">
        <f t="shared" si="23"/>
        <v/>
      </c>
      <c r="C85" s="278"/>
      <c r="D85" s="278"/>
      <c r="E85" s="278"/>
      <c r="F85" s="278"/>
      <c r="G85" s="278"/>
      <c r="H85" s="290"/>
      <c r="I85" s="280">
        <f t="shared" si="24"/>
        <v>0</v>
      </c>
      <c r="J85" s="281">
        <f t="shared" si="25"/>
        <v>0</v>
      </c>
      <c r="K85" s="282">
        <f>IF(Notes!$B$9="Domestic",I85, IF(Notes!$B$9="Commercial",J85))*$K$77</f>
        <v>0</v>
      </c>
      <c r="L85" s="283">
        <f>(SUM(O85:Q85)+(K85+SUM(M85:Q85))*(INDEX($U$77:$AB$77,MATCH(Notes!$C$16,$U$3:$AB$3,0))-100%))*$L$77</f>
        <v>0</v>
      </c>
      <c r="M85" s="286"/>
      <c r="N85" s="286"/>
      <c r="O85" s="285"/>
      <c r="P85" s="285"/>
      <c r="Q85" s="285"/>
      <c r="R85" s="278"/>
      <c r="S85" s="278"/>
      <c r="T85" s="278"/>
    </row>
    <row r="86" spans="1:28" s="305" customFormat="1" hidden="1" outlineLevel="1" x14ac:dyDescent="0.25">
      <c r="A86" s="278"/>
      <c r="B86" s="279" t="str">
        <f t="shared" si="23"/>
        <v/>
      </c>
      <c r="C86" s="278"/>
      <c r="D86" s="278"/>
      <c r="E86" s="278"/>
      <c r="F86" s="278"/>
      <c r="G86" s="278"/>
      <c r="H86" s="290"/>
      <c r="I86" s="280">
        <f t="shared" si="24"/>
        <v>0</v>
      </c>
      <c r="J86" s="281">
        <f t="shared" si="25"/>
        <v>0</v>
      </c>
      <c r="K86" s="282">
        <f>IF(Notes!$B$9="Domestic",I86, IF(Notes!$B$9="Commercial",J86))*$K$77</f>
        <v>0</v>
      </c>
      <c r="L86" s="283">
        <f>(SUM(O86:Q86)+(K86+SUM(M86:Q86))*(INDEX($U$77:$AB$77,MATCH(Notes!$C$16,$U$3:$AB$3,0))-100%))*$L$77</f>
        <v>0</v>
      </c>
      <c r="M86" s="286"/>
      <c r="N86" s="286"/>
      <c r="O86" s="285"/>
      <c r="P86" s="285"/>
      <c r="Q86" s="285"/>
      <c r="R86" s="278"/>
      <c r="S86" s="278"/>
      <c r="T86" s="278"/>
    </row>
    <row r="87" spans="1:28" s="305" customFormat="1" hidden="1" outlineLevel="1" x14ac:dyDescent="0.25">
      <c r="A87" s="278"/>
      <c r="B87" s="279" t="str">
        <f t="shared" si="23"/>
        <v/>
      </c>
      <c r="C87" s="278"/>
      <c r="D87" s="278"/>
      <c r="E87" s="278"/>
      <c r="F87" s="278"/>
      <c r="G87" s="278"/>
      <c r="H87" s="290"/>
      <c r="I87" s="280">
        <f t="shared" si="24"/>
        <v>0</v>
      </c>
      <c r="J87" s="281">
        <f t="shared" si="25"/>
        <v>0</v>
      </c>
      <c r="K87" s="282">
        <f>IF(Notes!$B$9="Domestic",I87, IF(Notes!$B$9="Commercial",J87))*$K$77</f>
        <v>0</v>
      </c>
      <c r="L87" s="283">
        <f>(SUM(O87:Q87)+(K87+SUM(M87:Q87))*(INDEX($U$77:$AB$77,MATCH(Notes!$C$16,$U$3:$AB$3,0))-100%))*$L$77</f>
        <v>0</v>
      </c>
      <c r="M87" s="286"/>
      <c r="N87" s="286"/>
      <c r="O87" s="285"/>
      <c r="P87" s="285"/>
      <c r="Q87" s="285"/>
      <c r="R87" s="278"/>
      <c r="S87" s="278"/>
      <c r="T87" s="278"/>
    </row>
    <row r="88" spans="1:28" ht="21" hidden="1" outlineLevel="1" x14ac:dyDescent="0.25">
      <c r="A88" s="299"/>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row>
    <row r="89" spans="1:28" ht="15.75" hidden="1" outlineLevel="1" x14ac:dyDescent="0.25">
      <c r="A89" s="291"/>
      <c r="B89" s="291"/>
      <c r="C89" s="291"/>
      <c r="D89" s="291"/>
      <c r="E89" s="291"/>
      <c r="F89" s="291"/>
      <c r="G89" s="291"/>
      <c r="H89" s="291"/>
      <c r="I89" s="291"/>
      <c r="J89" s="291"/>
      <c r="K89" s="291">
        <f>K$2</f>
        <v>1</v>
      </c>
      <c r="L89" s="291">
        <f>L$2</f>
        <v>1</v>
      </c>
      <c r="M89" s="291"/>
      <c r="N89" s="291"/>
      <c r="O89" s="303"/>
      <c r="P89" s="303"/>
      <c r="Q89" s="303"/>
      <c r="R89" s="291"/>
      <c r="S89" s="291"/>
      <c r="T89" s="291"/>
      <c r="U89" s="291">
        <f>U$2</f>
        <v>1</v>
      </c>
      <c r="V89" s="291">
        <f>V$2</f>
        <v>1</v>
      </c>
      <c r="W89" s="291">
        <f t="shared" ref="W89:AB89" si="26">W$2</f>
        <v>1</v>
      </c>
      <c r="X89" s="291">
        <f t="shared" si="26"/>
        <v>1</v>
      </c>
      <c r="Y89" s="291">
        <f t="shared" si="26"/>
        <v>1</v>
      </c>
      <c r="Z89" s="291">
        <f t="shared" si="26"/>
        <v>1</v>
      </c>
      <c r="AA89" s="291">
        <f t="shared" si="26"/>
        <v>1</v>
      </c>
      <c r="AB89" s="291">
        <f t="shared" si="26"/>
        <v>1</v>
      </c>
    </row>
    <row r="90" spans="1:28" s="305" customFormat="1" hidden="1" outlineLevel="1" x14ac:dyDescent="0.25">
      <c r="A90" s="278"/>
      <c r="B90" s="279" t="str">
        <f>C90&amp;D90&amp;E90&amp;F90</f>
        <v/>
      </c>
      <c r="C90" s="278"/>
      <c r="D90" s="278"/>
      <c r="E90" s="278"/>
      <c r="F90" s="278"/>
      <c r="G90" s="278"/>
      <c r="H90" s="290"/>
      <c r="I90" s="280">
        <f>$I$2*H90</f>
        <v>0</v>
      </c>
      <c r="J90" s="281">
        <f>$J$2*H90</f>
        <v>0</v>
      </c>
      <c r="K90" s="282">
        <f>IF(Notes!$B$9="Domestic",I90, IF(Notes!$B$9="Commercial",J90))*$K$89</f>
        <v>0</v>
      </c>
      <c r="L90" s="283">
        <f>(SUM(O90:Q90)+(K90+SUM(M90:Q90))*(INDEX($U$89:$AB$89,MATCH(Notes!$C$16,$U$3:$AB$3,0))-100%))*$L$89</f>
        <v>0</v>
      </c>
      <c r="M90" s="286"/>
      <c r="N90" s="286"/>
      <c r="O90" s="285"/>
      <c r="P90" s="285"/>
      <c r="Q90" s="285"/>
      <c r="R90" s="278"/>
      <c r="S90" s="278"/>
      <c r="T90" s="278"/>
    </row>
    <row r="91" spans="1:28" s="305" customFormat="1" hidden="1" outlineLevel="1" x14ac:dyDescent="0.25">
      <c r="A91" s="278"/>
      <c r="B91" s="279" t="str">
        <f t="shared" ref="B91:B99" si="27">C91&amp;D91&amp;E91&amp;F91</f>
        <v/>
      </c>
      <c r="C91" s="278"/>
      <c r="D91" s="278"/>
      <c r="E91" s="278"/>
      <c r="F91" s="278"/>
      <c r="G91" s="278"/>
      <c r="H91" s="290"/>
      <c r="I91" s="280">
        <f t="shared" ref="I91:I99" si="28">$I$2*H91</f>
        <v>0</v>
      </c>
      <c r="J91" s="281">
        <f t="shared" ref="J91:J99" si="29">$J$2*H91</f>
        <v>0</v>
      </c>
      <c r="K91" s="282">
        <f>IF(Notes!$B$9="Domestic",I91, IF(Notes!$B$9="Commercial",J91))*$K$89</f>
        <v>0</v>
      </c>
      <c r="L91" s="283">
        <f>(SUM(O91:Q91)+(K91+SUM(M91:Q91))*(INDEX($U$89:$AB$89,MATCH(Notes!$C$16,$U$3:$AB$3,0))-100%))*$L$89</f>
        <v>0</v>
      </c>
      <c r="M91" s="286"/>
      <c r="N91" s="286"/>
      <c r="O91" s="285"/>
      <c r="P91" s="285"/>
      <c r="Q91" s="285"/>
      <c r="R91" s="278"/>
      <c r="S91" s="278"/>
      <c r="T91" s="278"/>
    </row>
    <row r="92" spans="1:28" s="305" customFormat="1" hidden="1" outlineLevel="1" x14ac:dyDescent="0.25">
      <c r="A92" s="278"/>
      <c r="B92" s="279" t="str">
        <f t="shared" si="27"/>
        <v/>
      </c>
      <c r="C92" s="278"/>
      <c r="D92" s="278"/>
      <c r="E92" s="278"/>
      <c r="F92" s="278"/>
      <c r="G92" s="278"/>
      <c r="H92" s="290"/>
      <c r="I92" s="280">
        <f t="shared" si="28"/>
        <v>0</v>
      </c>
      <c r="J92" s="281">
        <f t="shared" si="29"/>
        <v>0</v>
      </c>
      <c r="K92" s="282">
        <f>IF(Notes!$B$9="Domestic",I92, IF(Notes!$B$9="Commercial",J92))*$K$89</f>
        <v>0</v>
      </c>
      <c r="L92" s="283">
        <f>(SUM(O92:Q92)+(K92+SUM(M92:Q92))*(INDEX($U$89:$AB$89,MATCH(Notes!$C$16,$U$3:$AB$3,0))-100%))*$L$89</f>
        <v>0</v>
      </c>
      <c r="M92" s="286"/>
      <c r="N92" s="286"/>
      <c r="O92" s="285"/>
      <c r="P92" s="285"/>
      <c r="Q92" s="285"/>
      <c r="R92" s="278"/>
      <c r="S92" s="278"/>
      <c r="T92" s="278"/>
    </row>
    <row r="93" spans="1:28" s="305" customFormat="1" hidden="1" outlineLevel="1" x14ac:dyDescent="0.25">
      <c r="A93" s="278"/>
      <c r="B93" s="279" t="str">
        <f t="shared" si="27"/>
        <v/>
      </c>
      <c r="C93" s="278"/>
      <c r="D93" s="278"/>
      <c r="E93" s="278"/>
      <c r="F93" s="278"/>
      <c r="G93" s="278"/>
      <c r="H93" s="290"/>
      <c r="I93" s="280">
        <f t="shared" si="28"/>
        <v>0</v>
      </c>
      <c r="J93" s="281">
        <f t="shared" si="29"/>
        <v>0</v>
      </c>
      <c r="K93" s="282">
        <f>IF(Notes!$B$9="Domestic",I93, IF(Notes!$B$9="Commercial",J93))*$K$89</f>
        <v>0</v>
      </c>
      <c r="L93" s="283">
        <f>(SUM(O93:Q93)+(K93+SUM(M93:Q93))*(INDEX($U$89:$AB$89,MATCH(Notes!$C$16,$U$3:$AB$3,0))-100%))*$L$89</f>
        <v>0</v>
      </c>
      <c r="M93" s="286"/>
      <c r="N93" s="286"/>
      <c r="O93" s="285"/>
      <c r="P93" s="285"/>
      <c r="Q93" s="285"/>
      <c r="R93" s="278"/>
      <c r="S93" s="278"/>
      <c r="T93" s="278"/>
    </row>
    <row r="94" spans="1:28" s="305" customFormat="1" hidden="1" outlineLevel="1" x14ac:dyDescent="0.25">
      <c r="A94" s="278"/>
      <c r="B94" s="279" t="str">
        <f t="shared" si="27"/>
        <v/>
      </c>
      <c r="C94" s="278"/>
      <c r="D94" s="278"/>
      <c r="E94" s="278"/>
      <c r="F94" s="278"/>
      <c r="G94" s="278"/>
      <c r="H94" s="290"/>
      <c r="I94" s="280">
        <f>$I$2*H94</f>
        <v>0</v>
      </c>
      <c r="J94" s="281">
        <f t="shared" si="29"/>
        <v>0</v>
      </c>
      <c r="K94" s="282">
        <f>IF(Notes!$B$9="Domestic",I94, IF(Notes!$B$9="Commercial",J94))*$K$89</f>
        <v>0</v>
      </c>
      <c r="L94" s="283">
        <f>(SUM(O94:Q94)+(K94+SUM(M94:Q94))*(INDEX($U$89:$AB$89,MATCH(Notes!$C$16,$U$3:$AB$3,0))-100%))*$L$89</f>
        <v>0</v>
      </c>
      <c r="M94" s="286"/>
      <c r="N94" s="286"/>
      <c r="O94" s="285"/>
      <c r="P94" s="285"/>
      <c r="Q94" s="285"/>
      <c r="R94" s="278"/>
      <c r="S94" s="278"/>
      <c r="T94" s="278"/>
    </row>
    <row r="95" spans="1:28" s="305" customFormat="1" hidden="1" outlineLevel="1" x14ac:dyDescent="0.25">
      <c r="A95" s="278"/>
      <c r="B95" s="279" t="str">
        <f t="shared" si="27"/>
        <v/>
      </c>
      <c r="C95" s="278"/>
      <c r="D95" s="278"/>
      <c r="E95" s="278"/>
      <c r="F95" s="278"/>
      <c r="G95" s="278"/>
      <c r="H95" s="290"/>
      <c r="I95" s="280">
        <f t="shared" si="28"/>
        <v>0</v>
      </c>
      <c r="J95" s="281">
        <f t="shared" si="29"/>
        <v>0</v>
      </c>
      <c r="K95" s="282">
        <f>IF(Notes!$B$9="Domestic",I95, IF(Notes!$B$9="Commercial",J95))*$K$89</f>
        <v>0</v>
      </c>
      <c r="L95" s="283">
        <f>(SUM(O95:Q95)+(K95+SUM(M95:Q95))*(INDEX($U$89:$AB$89,MATCH(Notes!$C$16,$U$3:$AB$3,0))-100%))*$L$89</f>
        <v>0</v>
      </c>
      <c r="M95" s="286"/>
      <c r="N95" s="286"/>
      <c r="O95" s="285"/>
      <c r="P95" s="285"/>
      <c r="Q95" s="285"/>
      <c r="R95" s="278"/>
      <c r="S95" s="278"/>
      <c r="T95" s="278"/>
    </row>
    <row r="96" spans="1:28" s="305" customFormat="1" hidden="1" outlineLevel="1" x14ac:dyDescent="0.25">
      <c r="A96" s="278"/>
      <c r="B96" s="279" t="str">
        <f t="shared" si="27"/>
        <v/>
      </c>
      <c r="C96" s="278"/>
      <c r="D96" s="278"/>
      <c r="E96" s="278"/>
      <c r="F96" s="278"/>
      <c r="G96" s="278"/>
      <c r="H96" s="290"/>
      <c r="I96" s="280">
        <f t="shared" si="28"/>
        <v>0</v>
      </c>
      <c r="J96" s="281">
        <f t="shared" si="29"/>
        <v>0</v>
      </c>
      <c r="K96" s="282">
        <f>IF(Notes!$B$9="Domestic",I96, IF(Notes!$B$9="Commercial",J96))*$K$89</f>
        <v>0</v>
      </c>
      <c r="L96" s="283">
        <f>(SUM(O96:Q96)+(K96+SUM(M96:Q96))*(INDEX($U$89:$AB$89,MATCH(Notes!$C$16,$U$3:$AB$3,0))-100%))*$L$89</f>
        <v>0</v>
      </c>
      <c r="M96" s="286"/>
      <c r="N96" s="286"/>
      <c r="O96" s="285"/>
      <c r="P96" s="285"/>
      <c r="Q96" s="285"/>
      <c r="R96" s="278"/>
      <c r="S96" s="278"/>
      <c r="T96" s="278"/>
    </row>
    <row r="97" spans="1:28" s="305" customFormat="1" hidden="1" outlineLevel="1" x14ac:dyDescent="0.25">
      <c r="A97" s="278"/>
      <c r="B97" s="279" t="str">
        <f t="shared" si="27"/>
        <v/>
      </c>
      <c r="C97" s="278"/>
      <c r="D97" s="278"/>
      <c r="E97" s="278"/>
      <c r="F97" s="278"/>
      <c r="G97" s="278"/>
      <c r="H97" s="290"/>
      <c r="I97" s="280">
        <f t="shared" si="28"/>
        <v>0</v>
      </c>
      <c r="J97" s="281">
        <f t="shared" si="29"/>
        <v>0</v>
      </c>
      <c r="K97" s="282">
        <f>IF(Notes!$B$9="Domestic",I97, IF(Notes!$B$9="Commercial",J97))*$K$89</f>
        <v>0</v>
      </c>
      <c r="L97" s="283">
        <f>(SUM(O97:Q97)+(K97+SUM(M97:Q97))*(INDEX($U$89:$AB$89,MATCH(Notes!$C$16,$U$3:$AB$3,0))-100%))*$L$89</f>
        <v>0</v>
      </c>
      <c r="M97" s="286"/>
      <c r="N97" s="286"/>
      <c r="O97" s="285"/>
      <c r="P97" s="285"/>
      <c r="Q97" s="285"/>
      <c r="R97" s="278"/>
      <c r="S97" s="278"/>
      <c r="T97" s="278"/>
    </row>
    <row r="98" spans="1:28" s="305" customFormat="1" hidden="1" outlineLevel="1" x14ac:dyDescent="0.25">
      <c r="A98" s="278"/>
      <c r="B98" s="279" t="str">
        <f t="shared" si="27"/>
        <v/>
      </c>
      <c r="C98" s="278"/>
      <c r="D98" s="278"/>
      <c r="E98" s="278"/>
      <c r="F98" s="278"/>
      <c r="G98" s="278"/>
      <c r="H98" s="290"/>
      <c r="I98" s="280">
        <f t="shared" si="28"/>
        <v>0</v>
      </c>
      <c r="J98" s="281">
        <f t="shared" si="29"/>
        <v>0</v>
      </c>
      <c r="K98" s="282">
        <f>IF(Notes!$B$9="Domestic",I98, IF(Notes!$B$9="Commercial",J98))*$K$89</f>
        <v>0</v>
      </c>
      <c r="L98" s="283">
        <f>(SUM(O98:Q98)+(K98+SUM(M98:Q98))*(INDEX($U$89:$AB$89,MATCH(Notes!$C$16,$U$3:$AB$3,0))-100%))*$L$89</f>
        <v>0</v>
      </c>
      <c r="M98" s="286"/>
      <c r="N98" s="286"/>
      <c r="O98" s="285"/>
      <c r="P98" s="285"/>
      <c r="Q98" s="285"/>
      <c r="R98" s="278"/>
      <c r="S98" s="278"/>
      <c r="T98" s="278"/>
    </row>
    <row r="99" spans="1:28" s="305" customFormat="1" hidden="1" outlineLevel="1" x14ac:dyDescent="0.25">
      <c r="A99" s="278"/>
      <c r="B99" s="279" t="str">
        <f t="shared" si="27"/>
        <v/>
      </c>
      <c r="C99" s="278"/>
      <c r="D99" s="278"/>
      <c r="E99" s="278"/>
      <c r="F99" s="278"/>
      <c r="G99" s="278"/>
      <c r="H99" s="290"/>
      <c r="I99" s="280">
        <f t="shared" si="28"/>
        <v>0</v>
      </c>
      <c r="J99" s="281">
        <f t="shared" si="29"/>
        <v>0</v>
      </c>
      <c r="K99" s="282">
        <f>IF(Notes!$B$9="Domestic",I99, IF(Notes!$B$9="Commercial",J99))*$K$89</f>
        <v>0</v>
      </c>
      <c r="L99" s="283">
        <f>(SUM(O99:Q99)+(K99+SUM(M99:Q99))*(INDEX($U$89:$AB$89,MATCH(Notes!$C$16,$U$3:$AB$3,0))-100%))*$L$89</f>
        <v>0</v>
      </c>
      <c r="M99" s="286"/>
      <c r="N99" s="286"/>
      <c r="O99" s="285"/>
      <c r="P99" s="285"/>
      <c r="Q99" s="285"/>
      <c r="R99" s="278"/>
      <c r="S99" s="278"/>
      <c r="T99" s="278"/>
    </row>
    <row r="100" spans="1:28" ht="21" hidden="1" outlineLevel="1" x14ac:dyDescent="0.25">
      <c r="A100" s="299"/>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row>
    <row r="101" spans="1:28" ht="15.75" hidden="1" outlineLevel="1" x14ac:dyDescent="0.25">
      <c r="A101" s="291"/>
      <c r="B101" s="291"/>
      <c r="C101" s="291"/>
      <c r="D101" s="291"/>
      <c r="E101" s="291"/>
      <c r="F101" s="291"/>
      <c r="G101" s="291"/>
      <c r="H101" s="291"/>
      <c r="I101" s="291"/>
      <c r="J101" s="291"/>
      <c r="K101" s="291">
        <f>K$2</f>
        <v>1</v>
      </c>
      <c r="L101" s="291">
        <f>L$2</f>
        <v>1</v>
      </c>
      <c r="M101" s="291"/>
      <c r="N101" s="291"/>
      <c r="O101" s="303"/>
      <c r="P101" s="303"/>
      <c r="Q101" s="303"/>
      <c r="R101" s="291"/>
      <c r="S101" s="291"/>
      <c r="T101" s="291"/>
      <c r="U101" s="291">
        <f>U$2</f>
        <v>1</v>
      </c>
      <c r="V101" s="291">
        <f>V$2</f>
        <v>1</v>
      </c>
      <c r="W101" s="291">
        <f t="shared" ref="W101:AB101" si="30">W$2</f>
        <v>1</v>
      </c>
      <c r="X101" s="291">
        <f t="shared" si="30"/>
        <v>1</v>
      </c>
      <c r="Y101" s="291">
        <f t="shared" si="30"/>
        <v>1</v>
      </c>
      <c r="Z101" s="291">
        <f t="shared" si="30"/>
        <v>1</v>
      </c>
      <c r="AA101" s="291">
        <f t="shared" si="30"/>
        <v>1</v>
      </c>
      <c r="AB101" s="291">
        <f t="shared" si="30"/>
        <v>1</v>
      </c>
    </row>
    <row r="102" spans="1:28" s="305" customFormat="1" hidden="1" outlineLevel="1" x14ac:dyDescent="0.25">
      <c r="A102" s="278"/>
      <c r="B102" s="279" t="str">
        <f>C102&amp;D102&amp;E102&amp;F102</f>
        <v/>
      </c>
      <c r="C102" s="278"/>
      <c r="D102" s="278"/>
      <c r="E102" s="278"/>
      <c r="F102" s="278"/>
      <c r="G102" s="278"/>
      <c r="H102" s="290"/>
      <c r="I102" s="280">
        <f>$I$2*H102</f>
        <v>0</v>
      </c>
      <c r="J102" s="281">
        <f>$J$2*H102</f>
        <v>0</v>
      </c>
      <c r="K102" s="282">
        <f>IF(Notes!$B$9="Domestic",I102, IF(Notes!$B$9="Commercial",J102))*$K$101</f>
        <v>0</v>
      </c>
      <c r="L102" s="283">
        <f>(SUM(O102:Q102)+(K102+SUM(M102:Q102))*(INDEX($U$101:$AB$101,MATCH(Notes!$C$16,$U$3:$AB$3,0))-100%))*$L$101</f>
        <v>0</v>
      </c>
      <c r="M102" s="286"/>
      <c r="N102" s="286"/>
      <c r="O102" s="285"/>
      <c r="P102" s="285"/>
      <c r="Q102" s="285"/>
      <c r="R102" s="278"/>
      <c r="S102" s="278"/>
      <c r="T102" s="278"/>
    </row>
    <row r="103" spans="1:28" s="305" customFormat="1" hidden="1" outlineLevel="1" x14ac:dyDescent="0.25">
      <c r="A103" s="278"/>
      <c r="B103" s="279" t="str">
        <f t="shared" ref="B103:B111" si="31">C103&amp;D103&amp;E103&amp;F103</f>
        <v/>
      </c>
      <c r="C103" s="278"/>
      <c r="D103" s="278"/>
      <c r="E103" s="278"/>
      <c r="F103" s="278"/>
      <c r="G103" s="278"/>
      <c r="H103" s="290"/>
      <c r="I103" s="280">
        <f t="shared" ref="I103:I111" si="32">$I$2*H103</f>
        <v>0</v>
      </c>
      <c r="J103" s="281">
        <f t="shared" ref="J103:J111" si="33">$J$2*H103</f>
        <v>0</v>
      </c>
      <c r="K103" s="282">
        <f>IF(Notes!$B$9="Domestic",I103, IF(Notes!$B$9="Commercial",J103))*$K$101</f>
        <v>0</v>
      </c>
      <c r="L103" s="283">
        <f>(SUM(O103:Q103)+(K103+SUM(M103:Q103))*(INDEX($U$101:$AB$101,MATCH(Notes!$C$16,$U$3:$AB$3,0))-100%))*$L$101</f>
        <v>0</v>
      </c>
      <c r="M103" s="286"/>
      <c r="N103" s="286"/>
      <c r="O103" s="285"/>
      <c r="P103" s="285"/>
      <c r="Q103" s="285"/>
      <c r="R103" s="278"/>
      <c r="S103" s="278"/>
      <c r="T103" s="278"/>
    </row>
    <row r="104" spans="1:28" s="305" customFormat="1" hidden="1" outlineLevel="1" x14ac:dyDescent="0.25">
      <c r="A104" s="278"/>
      <c r="B104" s="279" t="str">
        <f t="shared" si="31"/>
        <v/>
      </c>
      <c r="C104" s="278"/>
      <c r="D104" s="278"/>
      <c r="E104" s="278"/>
      <c r="F104" s="278"/>
      <c r="G104" s="278"/>
      <c r="H104" s="290"/>
      <c r="I104" s="280">
        <f t="shared" si="32"/>
        <v>0</v>
      </c>
      <c r="J104" s="281">
        <f t="shared" si="33"/>
        <v>0</v>
      </c>
      <c r="K104" s="282">
        <f>IF(Notes!$B$9="Domestic",I104, IF(Notes!$B$9="Commercial",J104))*$K$101</f>
        <v>0</v>
      </c>
      <c r="L104" s="283">
        <f>(SUM(O104:Q104)+(K104+SUM(M104:Q104))*(INDEX($U$101:$AB$101,MATCH(Notes!$C$16,$U$3:$AB$3,0))-100%))*$L$101</f>
        <v>0</v>
      </c>
      <c r="M104" s="286"/>
      <c r="N104" s="286"/>
      <c r="O104" s="285"/>
      <c r="P104" s="285"/>
      <c r="Q104" s="285"/>
      <c r="R104" s="278"/>
      <c r="S104" s="278"/>
      <c r="T104" s="278"/>
    </row>
    <row r="105" spans="1:28" s="305" customFormat="1" hidden="1" outlineLevel="1" x14ac:dyDescent="0.25">
      <c r="A105" s="278"/>
      <c r="B105" s="279" t="str">
        <f t="shared" si="31"/>
        <v/>
      </c>
      <c r="C105" s="278"/>
      <c r="D105" s="278"/>
      <c r="E105" s="278"/>
      <c r="F105" s="278"/>
      <c r="G105" s="278"/>
      <c r="H105" s="290"/>
      <c r="I105" s="280">
        <f t="shared" si="32"/>
        <v>0</v>
      </c>
      <c r="J105" s="281">
        <f t="shared" si="33"/>
        <v>0</v>
      </c>
      <c r="K105" s="282">
        <f>IF(Notes!$B$9="Domestic",I105, IF(Notes!$B$9="Commercial",J105))*$K$101</f>
        <v>0</v>
      </c>
      <c r="L105" s="283">
        <f>(SUM(O105:Q105)+(K105+SUM(M105:Q105))*(INDEX($U$101:$AB$101,MATCH(Notes!$C$16,$U$3:$AB$3,0))-100%))*$L$101</f>
        <v>0</v>
      </c>
      <c r="M105" s="286"/>
      <c r="N105" s="286"/>
      <c r="O105" s="285"/>
      <c r="P105" s="285"/>
      <c r="Q105" s="285"/>
      <c r="R105" s="278"/>
      <c r="S105" s="278"/>
      <c r="T105" s="278"/>
    </row>
    <row r="106" spans="1:28" s="305" customFormat="1" hidden="1" outlineLevel="1" x14ac:dyDescent="0.25">
      <c r="A106" s="278"/>
      <c r="B106" s="279" t="str">
        <f t="shared" si="31"/>
        <v/>
      </c>
      <c r="C106" s="278"/>
      <c r="D106" s="278"/>
      <c r="E106" s="278"/>
      <c r="F106" s="278"/>
      <c r="G106" s="278"/>
      <c r="H106" s="290"/>
      <c r="I106" s="280">
        <f>$I$2*H106</f>
        <v>0</v>
      </c>
      <c r="J106" s="281">
        <f t="shared" si="33"/>
        <v>0</v>
      </c>
      <c r="K106" s="282">
        <f>IF(Notes!$B$9="Domestic",I106, IF(Notes!$B$9="Commercial",J106))*$K$101</f>
        <v>0</v>
      </c>
      <c r="L106" s="283">
        <f>(SUM(O106:Q106)+(K106+SUM(M106:Q106))*(INDEX($U$101:$AB$101,MATCH(Notes!$C$16,$U$3:$AB$3,0))-100%))*$L$101</f>
        <v>0</v>
      </c>
      <c r="M106" s="286"/>
      <c r="N106" s="286"/>
      <c r="O106" s="285"/>
      <c r="P106" s="285"/>
      <c r="Q106" s="285"/>
      <c r="R106" s="278"/>
      <c r="S106" s="278"/>
      <c r="T106" s="278"/>
    </row>
    <row r="107" spans="1:28" s="305" customFormat="1" hidden="1" outlineLevel="1" x14ac:dyDescent="0.25">
      <c r="A107" s="278"/>
      <c r="B107" s="279" t="str">
        <f t="shared" si="31"/>
        <v/>
      </c>
      <c r="C107" s="278"/>
      <c r="D107" s="278"/>
      <c r="E107" s="278"/>
      <c r="F107" s="278"/>
      <c r="G107" s="278"/>
      <c r="H107" s="290"/>
      <c r="I107" s="280">
        <f t="shared" si="32"/>
        <v>0</v>
      </c>
      <c r="J107" s="281">
        <f t="shared" si="33"/>
        <v>0</v>
      </c>
      <c r="K107" s="282">
        <f>IF(Notes!$B$9="Domestic",I107, IF(Notes!$B$9="Commercial",J107))*$K$101</f>
        <v>0</v>
      </c>
      <c r="L107" s="283">
        <f>(SUM(O107:Q107)+(K107+SUM(M107:Q107))*(INDEX($U$101:$AB$101,MATCH(Notes!$C$16,$U$3:$AB$3,0))-100%))*$L$101</f>
        <v>0</v>
      </c>
      <c r="M107" s="286"/>
      <c r="N107" s="286"/>
      <c r="O107" s="285"/>
      <c r="P107" s="285"/>
      <c r="Q107" s="285"/>
      <c r="R107" s="278"/>
      <c r="S107" s="278"/>
      <c r="T107" s="278"/>
    </row>
    <row r="108" spans="1:28" s="305" customFormat="1" hidden="1" outlineLevel="1" x14ac:dyDescent="0.25">
      <c r="A108" s="278"/>
      <c r="B108" s="279" t="str">
        <f t="shared" si="31"/>
        <v/>
      </c>
      <c r="C108" s="278"/>
      <c r="D108" s="278"/>
      <c r="E108" s="278"/>
      <c r="F108" s="278"/>
      <c r="G108" s="278"/>
      <c r="H108" s="290"/>
      <c r="I108" s="280">
        <f t="shared" si="32"/>
        <v>0</v>
      </c>
      <c r="J108" s="281">
        <f t="shared" si="33"/>
        <v>0</v>
      </c>
      <c r="K108" s="282">
        <f>IF(Notes!$B$9="Domestic",I108, IF(Notes!$B$9="Commercial",J108))*$K$101</f>
        <v>0</v>
      </c>
      <c r="L108" s="283">
        <f>(SUM(O108:Q108)+(K108+SUM(M108:Q108))*(INDEX($U$101:$AB$101,MATCH(Notes!$C$16,$U$3:$AB$3,0))-100%))*$L$101</f>
        <v>0</v>
      </c>
      <c r="M108" s="286"/>
      <c r="N108" s="286"/>
      <c r="O108" s="285"/>
      <c r="P108" s="285"/>
      <c r="Q108" s="285"/>
      <c r="R108" s="278"/>
      <c r="S108" s="278"/>
      <c r="T108" s="278"/>
    </row>
    <row r="109" spans="1:28" s="305" customFormat="1" hidden="1" outlineLevel="1" x14ac:dyDescent="0.25">
      <c r="A109" s="278"/>
      <c r="B109" s="279" t="str">
        <f t="shared" si="31"/>
        <v/>
      </c>
      <c r="C109" s="278"/>
      <c r="D109" s="278"/>
      <c r="E109" s="278"/>
      <c r="F109" s="278"/>
      <c r="G109" s="278"/>
      <c r="H109" s="290"/>
      <c r="I109" s="280">
        <f t="shared" si="32"/>
        <v>0</v>
      </c>
      <c r="J109" s="281">
        <f t="shared" si="33"/>
        <v>0</v>
      </c>
      <c r="K109" s="282">
        <f>IF(Notes!$B$9="Domestic",I109, IF(Notes!$B$9="Commercial",J109))*$K$101</f>
        <v>0</v>
      </c>
      <c r="L109" s="283">
        <f>(SUM(O109:Q109)+(K109+SUM(M109:Q109))*(INDEX($U$101:$AB$101,MATCH(Notes!$C$16,$U$3:$AB$3,0))-100%))*$L$101</f>
        <v>0</v>
      </c>
      <c r="M109" s="286"/>
      <c r="N109" s="286"/>
      <c r="O109" s="285"/>
      <c r="P109" s="285"/>
      <c r="Q109" s="285"/>
      <c r="R109" s="278"/>
      <c r="S109" s="278"/>
      <c r="T109" s="278"/>
    </row>
    <row r="110" spans="1:28" s="305" customFormat="1" hidden="1" outlineLevel="1" x14ac:dyDescent="0.25">
      <c r="A110" s="278"/>
      <c r="B110" s="279" t="str">
        <f t="shared" si="31"/>
        <v/>
      </c>
      <c r="C110" s="278"/>
      <c r="D110" s="278"/>
      <c r="E110" s="278"/>
      <c r="F110" s="278"/>
      <c r="G110" s="278"/>
      <c r="H110" s="290"/>
      <c r="I110" s="280">
        <f t="shared" si="32"/>
        <v>0</v>
      </c>
      <c r="J110" s="281">
        <f t="shared" si="33"/>
        <v>0</v>
      </c>
      <c r="K110" s="282">
        <f>IF(Notes!$B$9="Domestic",I110, IF(Notes!$B$9="Commercial",J110))*$K$101</f>
        <v>0</v>
      </c>
      <c r="L110" s="283">
        <f>(SUM(O110:Q110)+(K110+SUM(M110:Q110))*(INDEX($U$101:$AB$101,MATCH(Notes!$C$16,$U$3:$AB$3,0))-100%))*$L$101</f>
        <v>0</v>
      </c>
      <c r="M110" s="286"/>
      <c r="N110" s="286"/>
      <c r="O110" s="285"/>
      <c r="P110" s="285"/>
      <c r="Q110" s="285"/>
      <c r="R110" s="278"/>
      <c r="S110" s="278"/>
      <c r="T110" s="278"/>
    </row>
    <row r="111" spans="1:28" s="305" customFormat="1" hidden="1" outlineLevel="1" x14ac:dyDescent="0.25">
      <c r="A111" s="278"/>
      <c r="B111" s="279" t="str">
        <f t="shared" si="31"/>
        <v/>
      </c>
      <c r="C111" s="278"/>
      <c r="D111" s="278"/>
      <c r="E111" s="278"/>
      <c r="F111" s="278"/>
      <c r="G111" s="278"/>
      <c r="H111" s="290"/>
      <c r="I111" s="280">
        <f t="shared" si="32"/>
        <v>0</v>
      </c>
      <c r="J111" s="281">
        <f t="shared" si="33"/>
        <v>0</v>
      </c>
      <c r="K111" s="282">
        <f>IF(Notes!$B$9="Domestic",I111, IF(Notes!$B$9="Commercial",J111))*$K$101</f>
        <v>0</v>
      </c>
      <c r="L111" s="283">
        <f>(SUM(O111:Q111)+(K111+SUM(M111:Q111))*(INDEX($U$101:$AB$101,MATCH(Notes!$C$16,$U$3:$AB$3,0))-100%))*$L$101</f>
        <v>0</v>
      </c>
      <c r="M111" s="286"/>
      <c r="N111" s="286"/>
      <c r="O111" s="285"/>
      <c r="P111" s="285"/>
      <c r="Q111" s="285"/>
      <c r="R111" s="278"/>
      <c r="S111" s="278"/>
      <c r="T111" s="278"/>
    </row>
    <row r="112" spans="1:28" ht="21" hidden="1" outlineLevel="1" x14ac:dyDescent="0.25">
      <c r="A112" s="299"/>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row>
    <row r="113" spans="1:28" ht="15.75" hidden="1" outlineLevel="1" x14ac:dyDescent="0.25">
      <c r="A113" s="291"/>
      <c r="B113" s="291"/>
      <c r="C113" s="291"/>
      <c r="D113" s="291"/>
      <c r="E113" s="291"/>
      <c r="F113" s="291"/>
      <c r="G113" s="291"/>
      <c r="H113" s="291"/>
      <c r="I113" s="291"/>
      <c r="J113" s="291"/>
      <c r="K113" s="291">
        <f>K$2</f>
        <v>1</v>
      </c>
      <c r="L113" s="291">
        <f>L$2</f>
        <v>1</v>
      </c>
      <c r="M113" s="291"/>
      <c r="N113" s="291"/>
      <c r="O113" s="303"/>
      <c r="P113" s="303"/>
      <c r="Q113" s="303"/>
      <c r="R113" s="291"/>
      <c r="S113" s="291"/>
      <c r="T113" s="291"/>
      <c r="U113" s="291">
        <f>U$2</f>
        <v>1</v>
      </c>
      <c r="V113" s="291">
        <f>V$2</f>
        <v>1</v>
      </c>
      <c r="W113" s="291">
        <f t="shared" ref="W113:AB113" si="34">W$2</f>
        <v>1</v>
      </c>
      <c r="X113" s="291">
        <f t="shared" si="34"/>
        <v>1</v>
      </c>
      <c r="Y113" s="291">
        <f t="shared" si="34"/>
        <v>1</v>
      </c>
      <c r="Z113" s="291">
        <f t="shared" si="34"/>
        <v>1</v>
      </c>
      <c r="AA113" s="291">
        <f t="shared" si="34"/>
        <v>1</v>
      </c>
      <c r="AB113" s="291">
        <f t="shared" si="34"/>
        <v>1</v>
      </c>
    </row>
    <row r="114" spans="1:28" s="305" customFormat="1" hidden="1" outlineLevel="1" x14ac:dyDescent="0.25">
      <c r="A114" s="278"/>
      <c r="B114" s="279" t="str">
        <f>C114&amp;D114&amp;E114&amp;F114</f>
        <v/>
      </c>
      <c r="C114" s="278"/>
      <c r="D114" s="278"/>
      <c r="E114" s="278"/>
      <c r="F114" s="278"/>
      <c r="G114" s="278"/>
      <c r="H114" s="290"/>
      <c r="I114" s="280">
        <f>$I$2*H114</f>
        <v>0</v>
      </c>
      <c r="J114" s="281">
        <f>$J$2*H114</f>
        <v>0</v>
      </c>
      <c r="K114" s="282">
        <f>IF(Notes!$B$9="Domestic",I114, IF(Notes!$B$9="Commercial",J114))*$K$113</f>
        <v>0</v>
      </c>
      <c r="L114" s="283">
        <f>(SUM(O114:Q114)+(K114+SUM(M114:Q114))*(INDEX($U$113:$AB$113,MATCH(Notes!$C$16,$U$3:$AB$3,0))-100%))*$L$113</f>
        <v>0</v>
      </c>
      <c r="M114" s="286"/>
      <c r="N114" s="286"/>
      <c r="O114" s="285"/>
      <c r="P114" s="285"/>
      <c r="Q114" s="285"/>
      <c r="R114" s="278"/>
      <c r="S114" s="278"/>
      <c r="T114" s="278"/>
    </row>
    <row r="115" spans="1:28" s="305" customFormat="1" hidden="1" outlineLevel="1" x14ac:dyDescent="0.25">
      <c r="A115" s="278"/>
      <c r="B115" s="279" t="str">
        <f t="shared" ref="B115:B123" si="35">C115&amp;D115&amp;E115&amp;F115</f>
        <v/>
      </c>
      <c r="C115" s="278"/>
      <c r="D115" s="278"/>
      <c r="E115" s="278"/>
      <c r="F115" s="278"/>
      <c r="G115" s="278"/>
      <c r="H115" s="290"/>
      <c r="I115" s="280">
        <f t="shared" ref="I115:I123" si="36">$I$2*H115</f>
        <v>0</v>
      </c>
      <c r="J115" s="281">
        <f t="shared" ref="J115:J123" si="37">$J$2*H115</f>
        <v>0</v>
      </c>
      <c r="K115" s="282">
        <f>IF(Notes!$B$9="Domestic",I115, IF(Notes!$B$9="Commercial",J115))*$K$113</f>
        <v>0</v>
      </c>
      <c r="L115" s="283">
        <f>(SUM(O115:Q115)+(K115+SUM(M115:Q115))*(INDEX($U$113:$AB$113,MATCH(Notes!$C$16,$U$3:$AB$3,0))-100%))*$L$113</f>
        <v>0</v>
      </c>
      <c r="M115" s="286"/>
      <c r="N115" s="286"/>
      <c r="O115" s="285"/>
      <c r="P115" s="285"/>
      <c r="Q115" s="285"/>
      <c r="R115" s="278"/>
      <c r="S115" s="278"/>
      <c r="T115" s="278"/>
    </row>
    <row r="116" spans="1:28" s="305" customFormat="1" hidden="1" outlineLevel="1" x14ac:dyDescent="0.25">
      <c r="A116" s="278"/>
      <c r="B116" s="279" t="str">
        <f t="shared" si="35"/>
        <v/>
      </c>
      <c r="C116" s="278"/>
      <c r="D116" s="278"/>
      <c r="E116" s="278"/>
      <c r="F116" s="278"/>
      <c r="G116" s="278"/>
      <c r="H116" s="290"/>
      <c r="I116" s="280">
        <f t="shared" si="36"/>
        <v>0</v>
      </c>
      <c r="J116" s="281">
        <f t="shared" si="37"/>
        <v>0</v>
      </c>
      <c r="K116" s="282">
        <f>IF(Notes!$B$9="Domestic",I116, IF(Notes!$B$9="Commercial",J116))*$K$113</f>
        <v>0</v>
      </c>
      <c r="L116" s="283">
        <f>(SUM(O116:Q116)+(K116+SUM(M116:Q116))*(INDEX($U$113:$AB$113,MATCH(Notes!$C$16,$U$3:$AB$3,0))-100%))*$L$113</f>
        <v>0</v>
      </c>
      <c r="M116" s="286"/>
      <c r="N116" s="286"/>
      <c r="O116" s="285"/>
      <c r="P116" s="285"/>
      <c r="Q116" s="285"/>
      <c r="R116" s="278"/>
      <c r="S116" s="278"/>
      <c r="T116" s="278"/>
    </row>
    <row r="117" spans="1:28" s="305" customFormat="1" hidden="1" outlineLevel="1" x14ac:dyDescent="0.25">
      <c r="A117" s="278"/>
      <c r="B117" s="279" t="str">
        <f t="shared" si="35"/>
        <v/>
      </c>
      <c r="C117" s="278"/>
      <c r="D117" s="278"/>
      <c r="E117" s="278"/>
      <c r="F117" s="278"/>
      <c r="G117" s="278"/>
      <c r="H117" s="290"/>
      <c r="I117" s="280">
        <f t="shared" si="36"/>
        <v>0</v>
      </c>
      <c r="J117" s="281">
        <f t="shared" si="37"/>
        <v>0</v>
      </c>
      <c r="K117" s="282">
        <f>IF(Notes!$B$9="Domestic",I117, IF(Notes!$B$9="Commercial",J117))*$K$113</f>
        <v>0</v>
      </c>
      <c r="L117" s="283">
        <f>(SUM(O117:Q117)+(K117+SUM(M117:Q117))*(INDEX($U$113:$AB$113,MATCH(Notes!$C$16,$U$3:$AB$3,0))-100%))*$L$113</f>
        <v>0</v>
      </c>
      <c r="M117" s="286"/>
      <c r="N117" s="286"/>
      <c r="O117" s="285"/>
      <c r="P117" s="285"/>
      <c r="Q117" s="285"/>
      <c r="R117" s="278"/>
      <c r="S117" s="278"/>
      <c r="T117" s="278"/>
    </row>
    <row r="118" spans="1:28" s="305" customFormat="1" hidden="1" outlineLevel="1" x14ac:dyDescent="0.25">
      <c r="A118" s="278"/>
      <c r="B118" s="279" t="str">
        <f t="shared" si="35"/>
        <v/>
      </c>
      <c r="C118" s="278"/>
      <c r="D118" s="278"/>
      <c r="E118" s="278"/>
      <c r="F118" s="278"/>
      <c r="G118" s="278"/>
      <c r="H118" s="290"/>
      <c r="I118" s="280">
        <f>$I$2*H118</f>
        <v>0</v>
      </c>
      <c r="J118" s="281">
        <f t="shared" si="37"/>
        <v>0</v>
      </c>
      <c r="K118" s="282">
        <f>IF(Notes!$B$9="Domestic",I118, IF(Notes!$B$9="Commercial",J118))*$K$113</f>
        <v>0</v>
      </c>
      <c r="L118" s="283">
        <f>(SUM(O118:Q118)+(K118+SUM(M118:Q118))*(INDEX($U$113:$AB$113,MATCH(Notes!$C$16,$U$3:$AB$3,0))-100%))*$L$113</f>
        <v>0</v>
      </c>
      <c r="M118" s="286"/>
      <c r="N118" s="286"/>
      <c r="O118" s="285"/>
      <c r="P118" s="285"/>
      <c r="Q118" s="285"/>
      <c r="R118" s="278"/>
      <c r="S118" s="278"/>
      <c r="T118" s="278"/>
    </row>
    <row r="119" spans="1:28" s="305" customFormat="1" hidden="1" outlineLevel="1" x14ac:dyDescent="0.25">
      <c r="A119" s="278"/>
      <c r="B119" s="279" t="str">
        <f t="shared" si="35"/>
        <v/>
      </c>
      <c r="C119" s="278"/>
      <c r="D119" s="278"/>
      <c r="E119" s="278"/>
      <c r="F119" s="278"/>
      <c r="G119" s="278"/>
      <c r="H119" s="290"/>
      <c r="I119" s="280">
        <f t="shared" si="36"/>
        <v>0</v>
      </c>
      <c r="J119" s="281">
        <f t="shared" si="37"/>
        <v>0</v>
      </c>
      <c r="K119" s="282">
        <f>IF(Notes!$B$9="Domestic",I119, IF(Notes!$B$9="Commercial",J119))*$K$113</f>
        <v>0</v>
      </c>
      <c r="L119" s="283">
        <f>(SUM(O119:Q119)+(K119+SUM(M119:Q119))*(INDEX($U$113:$AB$113,MATCH(Notes!$C$16,$U$3:$AB$3,0))-100%))*$L$113</f>
        <v>0</v>
      </c>
      <c r="M119" s="286"/>
      <c r="N119" s="286"/>
      <c r="O119" s="285"/>
      <c r="P119" s="285"/>
      <c r="Q119" s="285"/>
      <c r="R119" s="278"/>
      <c r="S119" s="278"/>
      <c r="T119" s="278"/>
    </row>
    <row r="120" spans="1:28" s="305" customFormat="1" hidden="1" outlineLevel="1" x14ac:dyDescent="0.25">
      <c r="A120" s="278"/>
      <c r="B120" s="279" t="str">
        <f t="shared" si="35"/>
        <v/>
      </c>
      <c r="C120" s="278"/>
      <c r="D120" s="278"/>
      <c r="E120" s="278"/>
      <c r="F120" s="278"/>
      <c r="G120" s="278"/>
      <c r="H120" s="290"/>
      <c r="I120" s="280">
        <f t="shared" si="36"/>
        <v>0</v>
      </c>
      <c r="J120" s="281">
        <f t="shared" si="37"/>
        <v>0</v>
      </c>
      <c r="K120" s="282">
        <f>IF(Notes!$B$9="Domestic",I120, IF(Notes!$B$9="Commercial",J120))*$K$113</f>
        <v>0</v>
      </c>
      <c r="L120" s="283">
        <f>(SUM(O120:Q120)+(K120+SUM(M120:Q120))*(INDEX($U$113:$AB$113,MATCH(Notes!$C$16,$U$3:$AB$3,0))-100%))*$L$113</f>
        <v>0</v>
      </c>
      <c r="M120" s="286"/>
      <c r="N120" s="286"/>
      <c r="O120" s="285"/>
      <c r="P120" s="285"/>
      <c r="Q120" s="285"/>
      <c r="R120" s="278"/>
      <c r="S120" s="278"/>
      <c r="T120" s="278"/>
    </row>
    <row r="121" spans="1:28" s="305" customFormat="1" hidden="1" outlineLevel="1" x14ac:dyDescent="0.25">
      <c r="A121" s="278"/>
      <c r="B121" s="279" t="str">
        <f t="shared" si="35"/>
        <v/>
      </c>
      <c r="C121" s="278"/>
      <c r="D121" s="278"/>
      <c r="E121" s="278"/>
      <c r="F121" s="278"/>
      <c r="G121" s="278"/>
      <c r="H121" s="290"/>
      <c r="I121" s="280">
        <f t="shared" si="36"/>
        <v>0</v>
      </c>
      <c r="J121" s="281">
        <f t="shared" si="37"/>
        <v>0</v>
      </c>
      <c r="K121" s="282">
        <f>IF(Notes!$B$9="Domestic",I121, IF(Notes!$B$9="Commercial",J121))*$K$113</f>
        <v>0</v>
      </c>
      <c r="L121" s="283">
        <f>(SUM(O121:Q121)+(K121+SUM(M121:Q121))*(INDEX($U$113:$AB$113,MATCH(Notes!$C$16,$U$3:$AB$3,0))-100%))*$L$113</f>
        <v>0</v>
      </c>
      <c r="M121" s="286"/>
      <c r="N121" s="286"/>
      <c r="O121" s="285"/>
      <c r="P121" s="285"/>
      <c r="Q121" s="285"/>
      <c r="R121" s="278"/>
      <c r="S121" s="278"/>
      <c r="T121" s="278"/>
    </row>
    <row r="122" spans="1:28" s="305" customFormat="1" hidden="1" outlineLevel="1" x14ac:dyDescent="0.25">
      <c r="A122" s="278"/>
      <c r="B122" s="279" t="str">
        <f t="shared" si="35"/>
        <v/>
      </c>
      <c r="C122" s="278"/>
      <c r="D122" s="278"/>
      <c r="E122" s="278"/>
      <c r="F122" s="278"/>
      <c r="G122" s="278"/>
      <c r="H122" s="290"/>
      <c r="I122" s="280">
        <f t="shared" si="36"/>
        <v>0</v>
      </c>
      <c r="J122" s="281">
        <f t="shared" si="37"/>
        <v>0</v>
      </c>
      <c r="K122" s="282">
        <f>IF(Notes!$B$9="Domestic",I122, IF(Notes!$B$9="Commercial",J122))*$K$113</f>
        <v>0</v>
      </c>
      <c r="L122" s="283">
        <f>(SUM(O122:Q122)+(K122+SUM(M122:Q122))*(INDEX($U$113:$AB$113,MATCH(Notes!$C$16,$U$3:$AB$3,0))-100%))*$L$113</f>
        <v>0</v>
      </c>
      <c r="M122" s="286"/>
      <c r="N122" s="286"/>
      <c r="O122" s="285"/>
      <c r="P122" s="285"/>
      <c r="Q122" s="285"/>
      <c r="R122" s="278"/>
      <c r="S122" s="278"/>
      <c r="T122" s="278"/>
    </row>
    <row r="123" spans="1:28" s="305" customFormat="1" hidden="1" outlineLevel="1" x14ac:dyDescent="0.25">
      <c r="A123" s="278"/>
      <c r="B123" s="279" t="str">
        <f t="shared" si="35"/>
        <v/>
      </c>
      <c r="C123" s="278"/>
      <c r="D123" s="278"/>
      <c r="E123" s="278"/>
      <c r="F123" s="278"/>
      <c r="G123" s="278"/>
      <c r="H123" s="290"/>
      <c r="I123" s="280">
        <f t="shared" si="36"/>
        <v>0</v>
      </c>
      <c r="J123" s="281">
        <f t="shared" si="37"/>
        <v>0</v>
      </c>
      <c r="K123" s="282">
        <f>IF(Notes!$B$9="Domestic",I123, IF(Notes!$B$9="Commercial",J123))*$K$113</f>
        <v>0</v>
      </c>
      <c r="L123" s="283">
        <f>(SUM(O123:Q123)+(K123+SUM(M123:Q123))*(INDEX($U$113:$AB$113,MATCH(Notes!$C$16,$U$3:$AB$3,0))-100%))*$L$113</f>
        <v>0</v>
      </c>
      <c r="M123" s="286"/>
      <c r="N123" s="286"/>
      <c r="O123" s="285"/>
      <c r="P123" s="285"/>
      <c r="Q123" s="285"/>
      <c r="R123" s="278"/>
      <c r="S123" s="278"/>
      <c r="T123" s="278"/>
    </row>
    <row r="124" spans="1:28" hidden="1" outlineLevel="1" x14ac:dyDescent="0.25">
      <c r="A124" s="284" t="str">
        <f>C124&amp;D124&amp;E124</f>
        <v/>
      </c>
      <c r="B124" s="284"/>
      <c r="C124" s="284"/>
      <c r="D124" s="284"/>
      <c r="E124" s="284"/>
      <c r="F124" s="284"/>
      <c r="G124" s="284"/>
      <c r="H124" s="284"/>
      <c r="I124" s="284"/>
      <c r="J124" s="284"/>
      <c r="K124" s="284"/>
      <c r="L124" s="284"/>
      <c r="M124" s="284"/>
      <c r="N124" s="284"/>
      <c r="O124" s="284"/>
      <c r="P124" s="284"/>
      <c r="Q124" s="284"/>
      <c r="R124" s="284"/>
      <c r="S124" s="284"/>
      <c r="T124" s="284"/>
    </row>
    <row r="125" spans="1:28" hidden="1" outlineLevel="1" x14ac:dyDescent="0.25"/>
    <row r="126" spans="1:28" hidden="1" outlineLevel="1" x14ac:dyDescent="0.25"/>
    <row r="127" spans="1:28" collapsed="1" x14ac:dyDescent="0.25"/>
  </sheetData>
  <sheetProtection algorithmName="SHA-512" hashValue="ElCpnn0K7By77RRUu7C2RctJebKqX98aLqEi5OJMPnFZilWzFMNoR/HYXcdTetm8tvCb09CaEFrVzChYgctXIA==" saltValue="zvGRFd4Gr2UKOZW6MEX/xA=="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B050"/>
  </sheetPr>
  <dimension ref="A1:AM367"/>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11" width="10.5703125" style="36" hidden="1" customWidth="1" outlineLevel="1"/>
    <col min="12" max="12" width="12" style="36" hidden="1" customWidth="1" outlineLevel="1"/>
    <col min="13" max="13" width="15.5703125" style="110" customWidth="1" collapsed="1"/>
    <col min="14" max="14" width="15.5703125" style="36" customWidth="1"/>
    <col min="15" max="18" width="15.5703125" style="25" customWidth="1" outlineLevel="1"/>
    <col min="19" max="19" width="15.5703125" style="25" customWidth="1"/>
    <col min="20" max="20" width="21.42578125" style="108" bestFit="1" customWidth="1"/>
    <col min="21" max="21" width="1.140625" style="212" customWidth="1"/>
    <col min="22" max="25" width="15.5703125" style="25" customWidth="1" outlineLevel="1"/>
    <col min="26" max="26" width="17.5703125" style="25" customWidth="1" outlineLevel="1"/>
    <col min="27" max="28" width="18.5703125" style="88" customWidth="1" outlineLevel="1"/>
    <col min="29" max="34" width="18.5703125" style="25" customWidth="1" outlineLevel="1"/>
    <col min="35" max="36" width="18.5703125" style="25" customWidth="1"/>
    <col min="37" max="16384" width="8.85546875" style="25"/>
  </cols>
  <sheetData>
    <row r="1" spans="1:34" s="69" customFormat="1" ht="39.950000000000003" customHeight="1" thickBot="1" x14ac:dyDescent="0.3">
      <c r="A1" s="23" t="s">
        <v>0</v>
      </c>
      <c r="B1" s="63" t="s">
        <v>14</v>
      </c>
      <c r="C1" s="64" t="s">
        <v>826</v>
      </c>
      <c r="D1" s="64" t="s">
        <v>827</v>
      </c>
      <c r="E1" s="64" t="s">
        <v>828</v>
      </c>
      <c r="F1" s="307" t="s">
        <v>900</v>
      </c>
      <c r="G1" s="64" t="s">
        <v>5</v>
      </c>
      <c r="H1" s="64" t="s">
        <v>6</v>
      </c>
      <c r="I1" s="64" t="s">
        <v>7</v>
      </c>
      <c r="J1" s="64" t="s">
        <v>8</v>
      </c>
      <c r="K1" s="64" t="s">
        <v>9</v>
      </c>
      <c r="L1" s="64" t="s">
        <v>10</v>
      </c>
      <c r="M1" s="65" t="s">
        <v>1</v>
      </c>
      <c r="N1" s="66" t="s">
        <v>2</v>
      </c>
      <c r="O1" s="67" t="s">
        <v>26</v>
      </c>
      <c r="P1" s="67" t="s">
        <v>27</v>
      </c>
      <c r="Q1" s="111" t="s">
        <v>28</v>
      </c>
      <c r="R1" s="67" t="s">
        <v>34</v>
      </c>
      <c r="S1" s="67" t="s">
        <v>3</v>
      </c>
      <c r="T1" s="68" t="s">
        <v>4</v>
      </c>
      <c r="U1" s="215"/>
      <c r="V1" s="610" t="s">
        <v>626</v>
      </c>
      <c r="W1" s="611"/>
      <c r="X1" s="611"/>
      <c r="Y1" s="611"/>
      <c r="Z1" s="611"/>
      <c r="AA1" s="81" t="s">
        <v>22</v>
      </c>
      <c r="AB1" s="71"/>
      <c r="AC1" s="626" t="s">
        <v>155</v>
      </c>
      <c r="AD1" s="627"/>
      <c r="AE1" s="627"/>
      <c r="AF1" s="627"/>
      <c r="AG1" s="627"/>
      <c r="AH1" s="628"/>
    </row>
    <row r="2" spans="1:34" s="79" customFormat="1" ht="20.100000000000001" customHeight="1" thickBot="1" x14ac:dyDescent="0.4">
      <c r="A2" s="72">
        <f>Reinforcement!A2+1</f>
        <v>9</v>
      </c>
      <c r="B2" s="73" t="str" cm="1">
        <f t="array" aca="1" ref="B2" ca="1">UPPER(MID(CELL("filename",A1),FIND("]",CELL("filename",A1))+1,255))</f>
        <v>TERMITE PROTECTION</v>
      </c>
      <c r="C2" s="74"/>
      <c r="D2" s="74"/>
      <c r="E2" s="74"/>
      <c r="F2" s="74"/>
      <c r="G2" s="74"/>
      <c r="H2" s="74"/>
      <c r="I2" s="74"/>
      <c r="J2" s="74"/>
      <c r="K2" s="74"/>
      <c r="L2" s="74"/>
      <c r="M2" s="75"/>
      <c r="N2" s="76"/>
      <c r="O2" s="77"/>
      <c r="P2" s="77"/>
      <c r="Q2" s="77"/>
      <c r="R2" s="77"/>
      <c r="S2" s="77"/>
      <c r="T2" s="78"/>
      <c r="U2" s="207"/>
      <c r="V2" s="221" t="s">
        <v>26</v>
      </c>
      <c r="W2" s="222" t="s">
        <v>27</v>
      </c>
      <c r="X2" s="222" t="s">
        <v>28</v>
      </c>
      <c r="Y2" s="222" t="s">
        <v>34</v>
      </c>
      <c r="Z2" s="222" t="s">
        <v>615</v>
      </c>
      <c r="AA2" s="80"/>
      <c r="AB2" s="71"/>
      <c r="AC2" s="81" t="s">
        <v>26</v>
      </c>
      <c r="AD2" s="81" t="s">
        <v>36</v>
      </c>
      <c r="AE2" s="81" t="s">
        <v>28</v>
      </c>
      <c r="AF2" s="81" t="s">
        <v>34</v>
      </c>
      <c r="AG2" s="81" t="s">
        <v>32</v>
      </c>
      <c r="AH2" s="81" t="s">
        <v>4</v>
      </c>
    </row>
    <row r="3" spans="1:34" s="79" customFormat="1" ht="21.75" thickBot="1" x14ac:dyDescent="0.4">
      <c r="A3" s="99"/>
      <c r="B3" s="622" t="str">
        <f>"TOTAL"</f>
        <v>TOTAL</v>
      </c>
      <c r="C3" s="623"/>
      <c r="D3" s="623"/>
      <c r="E3" s="623"/>
      <c r="F3" s="623"/>
      <c r="G3" s="623"/>
      <c r="H3" s="623"/>
      <c r="I3" s="623"/>
      <c r="J3" s="623"/>
      <c r="K3" s="623"/>
      <c r="L3" s="623"/>
      <c r="M3" s="623"/>
      <c r="N3" s="624"/>
      <c r="O3" s="100"/>
      <c r="P3" s="100"/>
      <c r="Q3" s="100"/>
      <c r="R3" s="100"/>
      <c r="S3" s="100"/>
      <c r="T3" s="101">
        <f ca="1">SUM(T$2:OFFSET(T3,-1,0))</f>
        <v>0</v>
      </c>
      <c r="U3" s="208"/>
      <c r="V3" s="100"/>
      <c r="W3" s="100"/>
      <c r="X3" s="100"/>
      <c r="Y3" s="100"/>
      <c r="Z3" s="100"/>
      <c r="AA3" s="102"/>
      <c r="AB3" s="103"/>
      <c r="AC3" s="104">
        <f t="shared" ref="AC3:AH3" si="0">SUM(AC1:AC2)</f>
        <v>0</v>
      </c>
      <c r="AD3" s="104">
        <f t="shared" si="0"/>
        <v>0</v>
      </c>
      <c r="AE3" s="104">
        <f t="shared" si="0"/>
        <v>0</v>
      </c>
      <c r="AF3" s="104">
        <f t="shared" si="0"/>
        <v>0</v>
      </c>
      <c r="AG3" s="104">
        <f t="shared" si="0"/>
        <v>0</v>
      </c>
      <c r="AH3" s="104">
        <f t="shared" si="0"/>
        <v>0</v>
      </c>
    </row>
    <row r="4" spans="1:34" s="94" customFormat="1" ht="21" x14ac:dyDescent="0.25">
      <c r="A4" s="105"/>
      <c r="B4" s="25"/>
      <c r="C4" s="36"/>
      <c r="D4" s="36"/>
      <c r="E4" s="36"/>
      <c r="F4" s="36"/>
      <c r="G4" s="36"/>
      <c r="H4" s="36"/>
      <c r="I4" s="36"/>
      <c r="J4" s="36"/>
      <c r="K4" s="36"/>
      <c r="L4" s="36"/>
      <c r="M4" s="106"/>
      <c r="N4" s="32"/>
      <c r="O4" s="25"/>
      <c r="P4" s="25"/>
      <c r="Q4" s="25"/>
      <c r="R4" s="25"/>
      <c r="S4" s="92"/>
      <c r="T4" s="107"/>
      <c r="U4" s="107"/>
      <c r="V4" s="107"/>
      <c r="W4" s="26"/>
      <c r="X4" s="26"/>
      <c r="Y4" s="26"/>
      <c r="Z4" s="26"/>
      <c r="AA4" s="88"/>
      <c r="AB4" s="88"/>
      <c r="AC4" s="81" t="s">
        <v>26</v>
      </c>
      <c r="AD4" s="81" t="s">
        <v>36</v>
      </c>
      <c r="AE4" s="81" t="s">
        <v>28</v>
      </c>
      <c r="AF4" s="81" t="s">
        <v>34</v>
      </c>
      <c r="AG4" s="81" t="s">
        <v>32</v>
      </c>
      <c r="AH4" s="81" t="s">
        <v>4</v>
      </c>
    </row>
    <row r="5" spans="1:34" ht="15.75" x14ac:dyDescent="0.25">
      <c r="M5" s="106"/>
      <c r="U5" s="107"/>
      <c r="V5" s="107"/>
      <c r="W5" s="26"/>
      <c r="X5" s="26"/>
      <c r="Y5" s="26"/>
      <c r="Z5" s="26"/>
    </row>
    <row r="6" spans="1:34" ht="15.75" x14ac:dyDescent="0.25">
      <c r="U6" s="107"/>
      <c r="V6" s="107"/>
      <c r="W6" s="26"/>
      <c r="X6" s="26"/>
      <c r="Y6" s="26"/>
      <c r="Z6" s="26"/>
    </row>
    <row r="7" spans="1:34" ht="15.75" x14ac:dyDescent="0.25">
      <c r="K7" s="109"/>
      <c r="U7" s="107"/>
      <c r="V7" s="107"/>
      <c r="W7" s="26"/>
      <c r="X7" s="26"/>
      <c r="Y7" s="26"/>
      <c r="Z7" s="26"/>
    </row>
    <row r="8" spans="1:34" ht="15.75" x14ac:dyDescent="0.25">
      <c r="T8" s="108">
        <f ca="1">T3-AH3</f>
        <v>0</v>
      </c>
      <c r="U8" s="107"/>
      <c r="V8" s="107"/>
      <c r="W8" s="26"/>
      <c r="X8" s="26"/>
      <c r="Y8" s="26"/>
      <c r="Z8" s="26"/>
    </row>
    <row r="9" spans="1:34" ht="15.75" x14ac:dyDescent="0.25">
      <c r="U9" s="107"/>
      <c r="V9" s="107"/>
      <c r="W9" s="26"/>
      <c r="X9" s="26"/>
      <c r="Y9" s="26"/>
      <c r="Z9" s="26"/>
    </row>
    <row r="10" spans="1:34" ht="15.75" x14ac:dyDescent="0.25">
      <c r="U10" s="107"/>
      <c r="V10" s="107"/>
      <c r="W10" s="26"/>
      <c r="X10" s="26"/>
      <c r="Y10" s="26"/>
      <c r="Z10" s="26"/>
    </row>
    <row r="11" spans="1:34" ht="15.75" x14ac:dyDescent="0.25">
      <c r="U11" s="107"/>
      <c r="V11" s="107"/>
      <c r="W11" s="26"/>
      <c r="X11" s="26"/>
      <c r="Y11" s="26"/>
      <c r="Z11" s="26"/>
    </row>
    <row r="12" spans="1:34" ht="15.75" x14ac:dyDescent="0.25">
      <c r="U12" s="107"/>
      <c r="V12" s="107"/>
      <c r="W12" s="26"/>
      <c r="X12" s="26"/>
      <c r="Y12" s="26"/>
      <c r="Z12" s="26"/>
    </row>
    <row r="13" spans="1:34" ht="18.75" x14ac:dyDescent="0.25">
      <c r="U13" s="107"/>
      <c r="V13" s="107"/>
      <c r="W13" s="30"/>
      <c r="X13" s="30"/>
      <c r="Y13" s="30"/>
      <c r="Z13" s="30"/>
    </row>
    <row r="14" spans="1:34" ht="15.75" x14ac:dyDescent="0.25">
      <c r="U14" s="107"/>
      <c r="V14" s="107"/>
      <c r="W14" s="26"/>
      <c r="X14" s="26"/>
      <c r="Y14" s="26"/>
      <c r="Z14" s="26"/>
    </row>
    <row r="15" spans="1:34" ht="15.75" x14ac:dyDescent="0.25">
      <c r="U15" s="107"/>
      <c r="V15" s="107"/>
      <c r="W15" s="26"/>
      <c r="X15" s="26"/>
      <c r="Y15" s="26"/>
      <c r="Z15" s="26"/>
    </row>
    <row r="16" spans="1:34" ht="15.75" x14ac:dyDescent="0.25">
      <c r="U16" s="107"/>
      <c r="V16" s="107"/>
      <c r="W16" s="26"/>
      <c r="X16" s="26"/>
      <c r="Y16" s="26"/>
      <c r="Z16" s="26"/>
    </row>
    <row r="17" spans="1:39" ht="15.75" x14ac:dyDescent="0.25">
      <c r="U17" s="107"/>
      <c r="V17" s="107"/>
      <c r="W17" s="26"/>
      <c r="X17" s="26"/>
      <c r="Y17" s="26"/>
      <c r="Z17" s="26"/>
    </row>
    <row r="18" spans="1:39" s="110" customFormat="1" ht="15.75" x14ac:dyDescent="0.25">
      <c r="A18" s="25"/>
      <c r="B18" s="25"/>
      <c r="C18" s="36"/>
      <c r="D18" s="36"/>
      <c r="E18" s="36"/>
      <c r="F18" s="36"/>
      <c r="G18" s="36"/>
      <c r="H18" s="36"/>
      <c r="I18" s="36"/>
      <c r="J18" s="36"/>
      <c r="K18" s="36"/>
      <c r="L18" s="36"/>
      <c r="N18" s="36"/>
      <c r="O18" s="25"/>
      <c r="P18" s="25"/>
      <c r="Q18" s="25"/>
      <c r="R18" s="25"/>
      <c r="S18" s="25"/>
      <c r="T18" s="108"/>
      <c r="U18" s="107"/>
      <c r="V18" s="107"/>
      <c r="W18" s="26"/>
      <c r="X18" s="26"/>
      <c r="Y18" s="26"/>
      <c r="Z18" s="26"/>
      <c r="AA18" s="88"/>
      <c r="AB18" s="88"/>
      <c r="AC18" s="25"/>
      <c r="AD18" s="25"/>
      <c r="AE18" s="25"/>
      <c r="AF18" s="25"/>
      <c r="AG18" s="25"/>
      <c r="AH18" s="25"/>
      <c r="AI18" s="25"/>
      <c r="AJ18" s="25"/>
      <c r="AK18" s="25"/>
      <c r="AL18" s="25"/>
      <c r="AM18" s="25"/>
    </row>
    <row r="19" spans="1:39" s="110" customFormat="1" ht="15.75" x14ac:dyDescent="0.25">
      <c r="A19" s="25"/>
      <c r="B19" s="25"/>
      <c r="C19" s="36"/>
      <c r="D19" s="36"/>
      <c r="E19" s="36"/>
      <c r="F19" s="36"/>
      <c r="G19" s="36"/>
      <c r="H19" s="36"/>
      <c r="I19" s="36"/>
      <c r="J19" s="36"/>
      <c r="K19" s="36"/>
      <c r="L19" s="36"/>
      <c r="N19" s="36"/>
      <c r="O19" s="25"/>
      <c r="P19" s="25"/>
      <c r="Q19" s="25"/>
      <c r="R19" s="25"/>
      <c r="S19" s="25"/>
      <c r="T19" s="108"/>
      <c r="U19" s="107"/>
      <c r="V19" s="107"/>
      <c r="W19" s="26"/>
      <c r="X19" s="26"/>
      <c r="Y19" s="26"/>
      <c r="Z19" s="26"/>
      <c r="AA19" s="88"/>
      <c r="AB19" s="88"/>
      <c r="AC19" s="25"/>
      <c r="AD19" s="25"/>
      <c r="AE19" s="25"/>
      <c r="AF19" s="25"/>
      <c r="AG19" s="25"/>
      <c r="AH19" s="25"/>
      <c r="AI19" s="25"/>
      <c r="AJ19" s="25"/>
      <c r="AK19" s="25"/>
      <c r="AL19" s="25"/>
      <c r="AM19" s="25"/>
    </row>
    <row r="20" spans="1:39" s="110" customFormat="1" ht="15.75" x14ac:dyDescent="0.25">
      <c r="A20" s="25"/>
      <c r="B20" s="25"/>
      <c r="C20" s="36"/>
      <c r="D20" s="36"/>
      <c r="E20" s="36"/>
      <c r="F20" s="36"/>
      <c r="G20" s="36"/>
      <c r="H20" s="36"/>
      <c r="I20" s="36"/>
      <c r="J20" s="36"/>
      <c r="K20" s="36"/>
      <c r="L20" s="36"/>
      <c r="N20" s="36"/>
      <c r="O20" s="25"/>
      <c r="P20" s="25"/>
      <c r="Q20" s="25"/>
      <c r="R20" s="25"/>
      <c r="S20" s="25"/>
      <c r="T20" s="108"/>
      <c r="U20" s="107"/>
      <c r="V20" s="107"/>
      <c r="W20" s="26"/>
      <c r="X20" s="26"/>
      <c r="Y20" s="26"/>
      <c r="Z20" s="26"/>
      <c r="AA20" s="88"/>
      <c r="AB20" s="88"/>
      <c r="AC20" s="25"/>
      <c r="AD20" s="25"/>
      <c r="AE20" s="25"/>
      <c r="AF20" s="25"/>
      <c r="AG20" s="25"/>
      <c r="AH20" s="25"/>
      <c r="AI20" s="25"/>
      <c r="AJ20" s="25"/>
      <c r="AK20" s="25"/>
      <c r="AL20" s="25"/>
      <c r="AM20" s="25"/>
    </row>
    <row r="21" spans="1:39" s="110" customFormat="1" ht="15.75" x14ac:dyDescent="0.25">
      <c r="A21" s="25"/>
      <c r="B21" s="25"/>
      <c r="C21" s="36"/>
      <c r="D21" s="36"/>
      <c r="E21" s="36"/>
      <c r="F21" s="36"/>
      <c r="G21" s="36"/>
      <c r="H21" s="36"/>
      <c r="I21" s="36"/>
      <c r="J21" s="36"/>
      <c r="K21" s="36"/>
      <c r="L21" s="36"/>
      <c r="N21" s="36"/>
      <c r="O21" s="25"/>
      <c r="P21" s="25"/>
      <c r="Q21" s="25"/>
      <c r="R21" s="25"/>
      <c r="S21" s="25"/>
      <c r="T21" s="108"/>
      <c r="U21" s="107"/>
      <c r="V21" s="107"/>
      <c r="W21" s="26"/>
      <c r="X21" s="26"/>
      <c r="Y21" s="26"/>
      <c r="Z21" s="26"/>
      <c r="AA21" s="88"/>
      <c r="AB21" s="88"/>
      <c r="AC21" s="25"/>
      <c r="AD21" s="25"/>
      <c r="AE21" s="25"/>
      <c r="AF21" s="25"/>
      <c r="AG21" s="25"/>
      <c r="AH21" s="25"/>
      <c r="AI21" s="25"/>
      <c r="AJ21" s="25"/>
      <c r="AK21" s="25"/>
      <c r="AL21" s="25"/>
      <c r="AM21" s="25"/>
    </row>
    <row r="22" spans="1:39" s="110" customFormat="1" ht="15.75" x14ac:dyDescent="0.25">
      <c r="A22" s="25"/>
      <c r="B22" s="25"/>
      <c r="C22" s="36"/>
      <c r="D22" s="36"/>
      <c r="E22" s="36"/>
      <c r="F22" s="36"/>
      <c r="G22" s="36"/>
      <c r="H22" s="36"/>
      <c r="I22" s="36"/>
      <c r="J22" s="36"/>
      <c r="K22" s="36"/>
      <c r="L22" s="36"/>
      <c r="N22" s="36"/>
      <c r="O22" s="25"/>
      <c r="P22" s="25"/>
      <c r="Q22" s="25"/>
      <c r="R22" s="25"/>
      <c r="S22" s="25"/>
      <c r="T22" s="108"/>
      <c r="U22" s="107"/>
      <c r="V22" s="107"/>
      <c r="W22" s="26"/>
      <c r="X22" s="26"/>
      <c r="Y22" s="26"/>
      <c r="Z22" s="26"/>
      <c r="AA22" s="88"/>
      <c r="AB22" s="88"/>
      <c r="AC22" s="25"/>
      <c r="AD22" s="25"/>
      <c r="AE22" s="25"/>
      <c r="AF22" s="25"/>
      <c r="AG22" s="25"/>
      <c r="AH22" s="25"/>
      <c r="AI22" s="25"/>
      <c r="AJ22" s="25"/>
      <c r="AK22" s="25"/>
      <c r="AL22" s="25"/>
      <c r="AM22" s="25"/>
    </row>
    <row r="23" spans="1:39" s="110" customFormat="1" ht="15.75" x14ac:dyDescent="0.25">
      <c r="A23" s="25"/>
      <c r="B23" s="25"/>
      <c r="C23" s="36"/>
      <c r="D23" s="36"/>
      <c r="E23" s="36"/>
      <c r="F23" s="36"/>
      <c r="G23" s="36"/>
      <c r="H23" s="36"/>
      <c r="I23" s="36"/>
      <c r="J23" s="36"/>
      <c r="K23" s="36"/>
      <c r="L23" s="36"/>
      <c r="N23" s="36"/>
      <c r="O23" s="25"/>
      <c r="P23" s="25"/>
      <c r="Q23" s="25"/>
      <c r="R23" s="25"/>
      <c r="S23" s="25"/>
      <c r="T23" s="108"/>
      <c r="U23" s="107"/>
      <c r="V23" s="107"/>
      <c r="W23" s="26"/>
      <c r="X23" s="26"/>
      <c r="Y23" s="26"/>
      <c r="Z23" s="26"/>
      <c r="AA23" s="88"/>
      <c r="AB23" s="88"/>
      <c r="AC23" s="25"/>
      <c r="AD23" s="25"/>
      <c r="AE23" s="25"/>
      <c r="AF23" s="25"/>
      <c r="AG23" s="25"/>
      <c r="AH23" s="25"/>
      <c r="AI23" s="25"/>
      <c r="AJ23" s="25"/>
      <c r="AK23" s="25"/>
      <c r="AL23" s="25"/>
      <c r="AM23" s="25"/>
    </row>
    <row r="24" spans="1:39" s="110" customFormat="1" ht="18.75" x14ac:dyDescent="0.25">
      <c r="A24" s="25"/>
      <c r="B24" s="25"/>
      <c r="C24" s="36"/>
      <c r="D24" s="36"/>
      <c r="E24" s="36"/>
      <c r="F24" s="36"/>
      <c r="G24" s="36"/>
      <c r="H24" s="36"/>
      <c r="I24" s="36"/>
      <c r="J24" s="36"/>
      <c r="K24" s="36"/>
      <c r="L24" s="36"/>
      <c r="N24" s="36"/>
      <c r="O24" s="25"/>
      <c r="P24" s="25"/>
      <c r="Q24" s="25"/>
      <c r="R24" s="25"/>
      <c r="S24" s="25"/>
      <c r="T24" s="108"/>
      <c r="U24" s="107"/>
      <c r="V24" s="107"/>
      <c r="W24" s="30"/>
      <c r="X24" s="30"/>
      <c r="Y24" s="30"/>
      <c r="Z24" s="30"/>
      <c r="AA24" s="88"/>
      <c r="AB24" s="88"/>
      <c r="AC24" s="25"/>
      <c r="AD24" s="25"/>
      <c r="AE24" s="25"/>
      <c r="AF24" s="25"/>
      <c r="AG24" s="25"/>
      <c r="AH24" s="25"/>
      <c r="AI24" s="25"/>
      <c r="AJ24" s="25"/>
      <c r="AK24" s="25"/>
      <c r="AL24" s="25"/>
      <c r="AM24" s="25"/>
    </row>
    <row r="25" spans="1:39" s="110" customFormat="1" ht="15.75" x14ac:dyDescent="0.25">
      <c r="A25" s="25"/>
      <c r="B25" s="25"/>
      <c r="C25" s="36"/>
      <c r="D25" s="36"/>
      <c r="E25" s="36"/>
      <c r="F25" s="36"/>
      <c r="G25" s="36"/>
      <c r="H25" s="36"/>
      <c r="I25" s="36"/>
      <c r="J25" s="36"/>
      <c r="K25" s="36"/>
      <c r="L25" s="36"/>
      <c r="N25" s="36"/>
      <c r="O25" s="25"/>
      <c r="P25" s="25"/>
      <c r="Q25" s="25"/>
      <c r="R25" s="25"/>
      <c r="S25" s="25"/>
      <c r="T25" s="108"/>
      <c r="U25" s="107"/>
      <c r="V25" s="107"/>
      <c r="W25" s="26"/>
      <c r="X25" s="26"/>
      <c r="Y25" s="26"/>
      <c r="Z25" s="26"/>
      <c r="AA25" s="88"/>
      <c r="AB25" s="88"/>
      <c r="AC25" s="25"/>
      <c r="AD25" s="25"/>
      <c r="AE25" s="25"/>
      <c r="AF25" s="25"/>
      <c r="AG25" s="25"/>
      <c r="AH25" s="25"/>
      <c r="AI25" s="25"/>
      <c r="AJ25" s="25"/>
      <c r="AK25" s="25"/>
      <c r="AL25" s="25"/>
      <c r="AM25" s="25"/>
    </row>
    <row r="26" spans="1:39" s="110" customFormat="1" ht="15.75" x14ac:dyDescent="0.25">
      <c r="A26" s="25"/>
      <c r="B26" s="25"/>
      <c r="C26" s="36"/>
      <c r="D26" s="36"/>
      <c r="E26" s="36"/>
      <c r="F26" s="36"/>
      <c r="G26" s="36"/>
      <c r="H26" s="36"/>
      <c r="I26" s="36"/>
      <c r="J26" s="36"/>
      <c r="K26" s="36"/>
      <c r="L26" s="36"/>
      <c r="N26" s="36"/>
      <c r="O26" s="25"/>
      <c r="P26" s="25"/>
      <c r="Q26" s="25"/>
      <c r="R26" s="25"/>
      <c r="S26" s="25"/>
      <c r="T26" s="108"/>
      <c r="U26" s="107"/>
      <c r="V26" s="107"/>
      <c r="W26" s="26"/>
      <c r="X26" s="26"/>
      <c r="Y26" s="26"/>
      <c r="Z26" s="26"/>
      <c r="AA26" s="88"/>
      <c r="AB26" s="88"/>
      <c r="AC26" s="25"/>
      <c r="AD26" s="25"/>
      <c r="AE26" s="25"/>
      <c r="AF26" s="25"/>
      <c r="AG26" s="25"/>
      <c r="AH26" s="25"/>
      <c r="AI26" s="25"/>
      <c r="AJ26" s="25"/>
      <c r="AK26" s="25"/>
      <c r="AL26" s="25"/>
      <c r="AM26" s="25"/>
    </row>
    <row r="27" spans="1:39" s="110" customFormat="1" ht="15.75" x14ac:dyDescent="0.25">
      <c r="A27" s="25"/>
      <c r="B27" s="25"/>
      <c r="C27" s="36"/>
      <c r="D27" s="36"/>
      <c r="E27" s="36"/>
      <c r="F27" s="36"/>
      <c r="G27" s="36"/>
      <c r="H27" s="36"/>
      <c r="I27" s="36"/>
      <c r="J27" s="36"/>
      <c r="K27" s="36"/>
      <c r="L27" s="36"/>
      <c r="N27" s="36"/>
      <c r="O27" s="25"/>
      <c r="P27" s="25"/>
      <c r="Q27" s="25"/>
      <c r="R27" s="25"/>
      <c r="S27" s="25"/>
      <c r="T27" s="108"/>
      <c r="U27" s="107"/>
      <c r="V27" s="107"/>
      <c r="W27" s="26"/>
      <c r="X27" s="26"/>
      <c r="Y27" s="26"/>
      <c r="Z27" s="26"/>
      <c r="AA27" s="88"/>
      <c r="AB27" s="88"/>
      <c r="AC27" s="25"/>
      <c r="AD27" s="25"/>
      <c r="AE27" s="25"/>
      <c r="AF27" s="25"/>
      <c r="AG27" s="25"/>
      <c r="AH27" s="25"/>
      <c r="AI27" s="25"/>
      <c r="AJ27" s="25"/>
      <c r="AK27" s="25"/>
      <c r="AL27" s="25"/>
      <c r="AM27" s="25"/>
    </row>
    <row r="28" spans="1:39" s="110" customFormat="1" ht="15.75" x14ac:dyDescent="0.25">
      <c r="A28" s="25"/>
      <c r="B28" s="25"/>
      <c r="C28" s="36"/>
      <c r="D28" s="36"/>
      <c r="E28" s="36"/>
      <c r="F28" s="36"/>
      <c r="G28" s="36"/>
      <c r="H28" s="36"/>
      <c r="I28" s="36"/>
      <c r="J28" s="36"/>
      <c r="K28" s="36"/>
      <c r="L28" s="36"/>
      <c r="N28" s="36"/>
      <c r="O28" s="25"/>
      <c r="P28" s="25"/>
      <c r="Q28" s="25"/>
      <c r="R28" s="25"/>
      <c r="S28" s="25"/>
      <c r="T28" s="108"/>
      <c r="U28" s="107"/>
      <c r="V28" s="107"/>
      <c r="W28" s="26"/>
      <c r="X28" s="26"/>
      <c r="Y28" s="26"/>
      <c r="Z28" s="26"/>
      <c r="AA28" s="88"/>
      <c r="AB28" s="88"/>
      <c r="AC28" s="25"/>
      <c r="AD28" s="25"/>
      <c r="AE28" s="25"/>
      <c r="AF28" s="25"/>
      <c r="AG28" s="25"/>
      <c r="AH28" s="25"/>
      <c r="AI28" s="25"/>
      <c r="AJ28" s="25"/>
      <c r="AK28" s="25"/>
      <c r="AL28" s="25"/>
      <c r="AM28" s="25"/>
    </row>
    <row r="29" spans="1:39" s="110" customFormat="1" ht="15.75" x14ac:dyDescent="0.25">
      <c r="A29" s="25"/>
      <c r="B29" s="25"/>
      <c r="C29" s="36"/>
      <c r="D29" s="36"/>
      <c r="E29" s="36"/>
      <c r="F29" s="36"/>
      <c r="G29" s="36"/>
      <c r="H29" s="36"/>
      <c r="I29" s="36"/>
      <c r="J29" s="36"/>
      <c r="K29" s="36"/>
      <c r="L29" s="36"/>
      <c r="N29" s="36"/>
      <c r="O29" s="25"/>
      <c r="P29" s="25"/>
      <c r="Q29" s="25"/>
      <c r="R29" s="25"/>
      <c r="S29" s="25"/>
      <c r="T29" s="108"/>
      <c r="U29" s="107"/>
      <c r="V29" s="107"/>
      <c r="W29" s="26"/>
      <c r="X29" s="26"/>
      <c r="Y29" s="26"/>
      <c r="Z29" s="26"/>
      <c r="AA29" s="88"/>
      <c r="AB29" s="88"/>
      <c r="AC29" s="25"/>
      <c r="AD29" s="25"/>
      <c r="AE29" s="25"/>
      <c r="AF29" s="25"/>
      <c r="AG29" s="25"/>
      <c r="AH29" s="25"/>
      <c r="AI29" s="25"/>
      <c r="AJ29" s="25"/>
      <c r="AK29" s="25"/>
      <c r="AL29" s="25"/>
      <c r="AM29" s="25"/>
    </row>
    <row r="30" spans="1:39" s="110" customFormat="1" ht="15.75" x14ac:dyDescent="0.25">
      <c r="A30" s="25"/>
      <c r="B30" s="25"/>
      <c r="C30" s="36"/>
      <c r="D30" s="36"/>
      <c r="E30" s="36"/>
      <c r="F30" s="36"/>
      <c r="G30" s="36"/>
      <c r="H30" s="36"/>
      <c r="I30" s="36"/>
      <c r="J30" s="36"/>
      <c r="K30" s="36"/>
      <c r="L30" s="36"/>
      <c r="N30" s="36"/>
      <c r="O30" s="25"/>
      <c r="P30" s="25"/>
      <c r="Q30" s="25"/>
      <c r="R30" s="25"/>
      <c r="S30" s="25"/>
      <c r="T30" s="108"/>
      <c r="U30" s="107"/>
      <c r="V30" s="107"/>
      <c r="W30" s="26"/>
      <c r="X30" s="26"/>
      <c r="Y30" s="26"/>
      <c r="Z30" s="26"/>
      <c r="AA30" s="88"/>
      <c r="AB30" s="88"/>
      <c r="AC30" s="25"/>
      <c r="AD30" s="25"/>
      <c r="AE30" s="25"/>
      <c r="AF30" s="25"/>
      <c r="AG30" s="25"/>
      <c r="AH30" s="25"/>
      <c r="AI30" s="25"/>
      <c r="AJ30" s="25"/>
      <c r="AK30" s="25"/>
      <c r="AL30" s="25"/>
      <c r="AM30" s="25"/>
    </row>
    <row r="31" spans="1:39" ht="15.75" x14ac:dyDescent="0.25">
      <c r="U31" s="107"/>
      <c r="V31" s="107"/>
      <c r="W31" s="26"/>
      <c r="X31" s="26"/>
      <c r="Y31" s="26"/>
      <c r="Z31" s="26"/>
    </row>
    <row r="32" spans="1:39" ht="15.75" x14ac:dyDescent="0.25">
      <c r="U32" s="107"/>
      <c r="V32" s="107"/>
      <c r="W32" s="26"/>
      <c r="X32" s="26"/>
      <c r="Y32" s="26"/>
      <c r="Z32" s="26"/>
    </row>
    <row r="33" spans="21:26" ht="15.75" x14ac:dyDescent="0.25">
      <c r="U33" s="107"/>
      <c r="V33" s="107"/>
      <c r="W33" s="26"/>
      <c r="X33" s="26"/>
      <c r="Y33" s="26"/>
      <c r="Z33" s="26"/>
    </row>
    <row r="34" spans="21:26" ht="15.75" x14ac:dyDescent="0.25">
      <c r="U34" s="107"/>
      <c r="V34" s="107"/>
      <c r="W34" s="26"/>
      <c r="X34" s="26"/>
      <c r="Y34" s="26"/>
      <c r="Z34" s="26"/>
    </row>
    <row r="35" spans="21:26" ht="18.75" x14ac:dyDescent="0.25">
      <c r="U35" s="107"/>
      <c r="V35" s="107"/>
      <c r="W35" s="30"/>
      <c r="X35" s="30"/>
      <c r="Y35" s="30"/>
      <c r="Z35" s="30"/>
    </row>
    <row r="36" spans="21:26" ht="15.75" x14ac:dyDescent="0.25">
      <c r="U36" s="107"/>
      <c r="V36" s="107"/>
      <c r="W36" s="26"/>
      <c r="X36" s="26"/>
      <c r="Y36" s="26"/>
      <c r="Z36" s="26"/>
    </row>
    <row r="37" spans="21:26" ht="15.75" x14ac:dyDescent="0.25">
      <c r="U37" s="107"/>
      <c r="V37" s="107"/>
      <c r="W37" s="26"/>
      <c r="X37" s="26"/>
      <c r="Y37" s="26"/>
      <c r="Z37" s="26"/>
    </row>
    <row r="38" spans="21:26" ht="15.75" x14ac:dyDescent="0.25">
      <c r="U38" s="107"/>
      <c r="V38" s="107"/>
      <c r="W38" s="26"/>
      <c r="X38" s="26"/>
      <c r="Y38" s="26"/>
      <c r="Z38" s="26"/>
    </row>
    <row r="39" spans="21:26" ht="15.75" x14ac:dyDescent="0.25">
      <c r="U39" s="107"/>
      <c r="V39" s="107"/>
      <c r="W39" s="26"/>
      <c r="X39" s="26"/>
      <c r="Y39" s="26"/>
      <c r="Z39" s="26"/>
    </row>
    <row r="40" spans="21:26" ht="15.75" x14ac:dyDescent="0.25">
      <c r="U40" s="107"/>
      <c r="V40" s="107"/>
      <c r="W40" s="26"/>
      <c r="X40" s="26"/>
      <c r="Y40" s="26"/>
      <c r="Z40" s="26"/>
    </row>
    <row r="41" spans="21:26" ht="15.75" x14ac:dyDescent="0.25">
      <c r="U41" s="107"/>
      <c r="V41" s="107"/>
      <c r="W41" s="26"/>
      <c r="X41" s="26"/>
      <c r="Y41" s="26"/>
      <c r="Z41" s="26"/>
    </row>
    <row r="42" spans="21:26" ht="15.75" x14ac:dyDescent="0.25">
      <c r="U42" s="107"/>
      <c r="V42" s="107"/>
      <c r="W42" s="26"/>
      <c r="X42" s="26"/>
      <c r="Y42" s="26"/>
      <c r="Z42" s="26"/>
    </row>
    <row r="43" spans="21:26" ht="15.75" x14ac:dyDescent="0.25">
      <c r="U43" s="107"/>
      <c r="V43" s="107"/>
      <c r="W43" s="26"/>
      <c r="X43" s="26"/>
      <c r="Y43" s="26"/>
      <c r="Z43" s="26"/>
    </row>
    <row r="44" spans="21:26" ht="15.75" x14ac:dyDescent="0.25">
      <c r="U44" s="107"/>
      <c r="V44" s="107"/>
      <c r="W44" s="26"/>
      <c r="X44" s="26"/>
      <c r="Y44" s="26"/>
      <c r="Z44" s="26"/>
    </row>
    <row r="45" spans="21:26" ht="15.75" x14ac:dyDescent="0.25">
      <c r="U45" s="107"/>
      <c r="V45" s="107"/>
      <c r="W45" s="26"/>
      <c r="X45" s="26"/>
      <c r="Y45" s="26"/>
      <c r="Z45" s="26"/>
    </row>
    <row r="46" spans="21:26" ht="18.75" x14ac:dyDescent="0.25">
      <c r="U46" s="107"/>
      <c r="V46" s="107"/>
      <c r="W46" s="30"/>
      <c r="X46" s="30"/>
      <c r="Y46" s="30"/>
      <c r="Z46" s="30"/>
    </row>
    <row r="47" spans="21:26" ht="15.75" x14ac:dyDescent="0.25">
      <c r="U47" s="107"/>
      <c r="V47" s="107"/>
      <c r="W47" s="26"/>
      <c r="X47" s="26"/>
      <c r="Y47" s="26"/>
      <c r="Z47" s="26"/>
    </row>
    <row r="48" spans="21:26" ht="15.75" x14ac:dyDescent="0.25">
      <c r="U48" s="107"/>
      <c r="V48" s="107"/>
      <c r="W48" s="26"/>
      <c r="X48" s="26"/>
      <c r="Y48" s="26"/>
      <c r="Z48" s="26"/>
    </row>
    <row r="49" spans="21:26" ht="15.75" x14ac:dyDescent="0.25">
      <c r="U49" s="107"/>
      <c r="V49" s="107"/>
      <c r="W49" s="26"/>
      <c r="X49" s="26"/>
      <c r="Y49" s="26"/>
      <c r="Z49" s="26"/>
    </row>
    <row r="50" spans="21:26" ht="15.75" x14ac:dyDescent="0.25">
      <c r="U50" s="107"/>
      <c r="V50" s="107"/>
      <c r="W50" s="26"/>
      <c r="X50" s="26"/>
      <c r="Y50" s="26"/>
      <c r="Z50" s="26"/>
    </row>
    <row r="51" spans="21:26" ht="15.75" x14ac:dyDescent="0.25">
      <c r="U51" s="107"/>
      <c r="V51" s="107"/>
      <c r="W51" s="26"/>
      <c r="X51" s="26"/>
      <c r="Y51" s="26"/>
      <c r="Z51" s="26"/>
    </row>
    <row r="52" spans="21:26" ht="15.75" x14ac:dyDescent="0.25">
      <c r="U52" s="107"/>
      <c r="V52" s="107"/>
      <c r="W52" s="26"/>
      <c r="X52" s="26"/>
      <c r="Y52" s="26"/>
      <c r="Z52" s="26"/>
    </row>
    <row r="53" spans="21:26" ht="15.75" x14ac:dyDescent="0.25">
      <c r="U53" s="107"/>
      <c r="V53" s="107"/>
      <c r="W53" s="26"/>
      <c r="X53" s="26"/>
      <c r="Y53" s="26"/>
      <c r="Z53" s="26"/>
    </row>
    <row r="54" spans="21:26" ht="15.75" x14ac:dyDescent="0.25">
      <c r="U54" s="107"/>
      <c r="V54" s="107"/>
      <c r="W54" s="26"/>
      <c r="X54" s="26"/>
      <c r="Y54" s="26"/>
      <c r="Z54" s="26"/>
    </row>
    <row r="55" spans="21:26" ht="15.75" x14ac:dyDescent="0.25">
      <c r="U55" s="107"/>
      <c r="V55" s="107"/>
      <c r="W55" s="26"/>
      <c r="X55" s="26"/>
      <c r="Y55" s="26"/>
      <c r="Z55" s="26"/>
    </row>
    <row r="56" spans="21:26" ht="15.75" x14ac:dyDescent="0.25">
      <c r="U56" s="107"/>
      <c r="V56" s="107"/>
      <c r="W56" s="26"/>
      <c r="X56" s="26"/>
      <c r="Y56" s="26"/>
      <c r="Z56" s="26"/>
    </row>
    <row r="57" spans="21:26" ht="18.75" x14ac:dyDescent="0.25">
      <c r="U57" s="107"/>
      <c r="V57" s="107"/>
      <c r="W57" s="30"/>
      <c r="X57" s="30"/>
      <c r="Y57" s="30"/>
      <c r="Z57" s="30"/>
    </row>
    <row r="58" spans="21:26" ht="15.75" x14ac:dyDescent="0.25">
      <c r="U58" s="107"/>
      <c r="V58" s="107"/>
      <c r="W58" s="26"/>
      <c r="X58" s="26"/>
      <c r="Y58" s="26"/>
      <c r="Z58" s="26"/>
    </row>
    <row r="59" spans="21:26" ht="15.75" x14ac:dyDescent="0.25">
      <c r="U59" s="107"/>
      <c r="V59" s="107"/>
      <c r="W59" s="26"/>
      <c r="X59" s="26"/>
      <c r="Y59" s="26"/>
      <c r="Z59" s="26"/>
    </row>
    <row r="60" spans="21:26" ht="15.75" x14ac:dyDescent="0.25">
      <c r="U60" s="107"/>
      <c r="V60" s="107"/>
      <c r="W60" s="26"/>
      <c r="X60" s="26"/>
      <c r="Y60" s="26"/>
      <c r="Z60" s="26"/>
    </row>
    <row r="61" spans="21:26" ht="15.75" x14ac:dyDescent="0.25">
      <c r="U61" s="107"/>
      <c r="V61" s="107"/>
      <c r="W61" s="26"/>
      <c r="X61" s="26"/>
      <c r="Y61" s="26"/>
      <c r="Z61" s="26"/>
    </row>
    <row r="62" spans="21:26" ht="15.75" x14ac:dyDescent="0.25">
      <c r="U62" s="107"/>
      <c r="V62" s="107"/>
      <c r="W62" s="26"/>
      <c r="X62" s="26"/>
      <c r="Y62" s="26"/>
      <c r="Z62" s="26"/>
    </row>
    <row r="63" spans="21:26" ht="15.75" x14ac:dyDescent="0.25">
      <c r="U63" s="107"/>
      <c r="V63" s="107"/>
      <c r="W63" s="26"/>
      <c r="X63" s="26"/>
      <c r="Y63" s="26"/>
      <c r="Z63" s="26"/>
    </row>
    <row r="64" spans="21:26" ht="15.75" x14ac:dyDescent="0.25">
      <c r="U64" s="107"/>
      <c r="V64" s="107"/>
      <c r="W64" s="26"/>
      <c r="X64" s="26"/>
      <c r="Y64" s="26"/>
      <c r="Z64" s="26"/>
    </row>
    <row r="65" spans="21:26" ht="15.75" x14ac:dyDescent="0.25">
      <c r="U65" s="107"/>
      <c r="V65" s="107"/>
      <c r="W65" s="26"/>
      <c r="X65" s="26"/>
      <c r="Y65" s="26"/>
      <c r="Z65" s="26"/>
    </row>
    <row r="66" spans="21:26" ht="15.75" x14ac:dyDescent="0.25">
      <c r="U66" s="107"/>
      <c r="V66" s="107"/>
      <c r="W66" s="26"/>
      <c r="X66" s="26"/>
      <c r="Y66" s="26"/>
      <c r="Z66" s="26"/>
    </row>
    <row r="67" spans="21:26" ht="15.75" x14ac:dyDescent="0.25">
      <c r="U67" s="107"/>
      <c r="V67" s="107"/>
      <c r="W67" s="26"/>
      <c r="X67" s="26"/>
      <c r="Y67" s="26"/>
      <c r="Z67" s="26"/>
    </row>
    <row r="68" spans="21:26" ht="18.75" x14ac:dyDescent="0.25">
      <c r="U68" s="107"/>
      <c r="V68" s="107"/>
      <c r="W68" s="30"/>
      <c r="X68" s="30"/>
      <c r="Y68" s="30"/>
      <c r="Z68" s="30"/>
    </row>
    <row r="69" spans="21:26" ht="15.75" x14ac:dyDescent="0.25">
      <c r="U69" s="107"/>
      <c r="V69" s="107"/>
      <c r="W69" s="26"/>
      <c r="X69" s="26"/>
      <c r="Y69" s="26"/>
      <c r="Z69" s="26"/>
    </row>
    <row r="70" spans="21:26" ht="15.75" x14ac:dyDescent="0.25">
      <c r="U70" s="107"/>
      <c r="V70" s="107"/>
      <c r="W70" s="26"/>
      <c r="X70" s="26"/>
      <c r="Y70" s="26"/>
      <c r="Z70" s="26"/>
    </row>
    <row r="71" spans="21:26" ht="15.75" x14ac:dyDescent="0.25">
      <c r="U71" s="107"/>
      <c r="V71" s="107"/>
      <c r="W71" s="26"/>
      <c r="X71" s="26"/>
      <c r="Y71" s="26"/>
      <c r="Z71" s="26"/>
    </row>
    <row r="72" spans="21:26" ht="15.75" x14ac:dyDescent="0.25">
      <c r="U72" s="107"/>
      <c r="V72" s="107"/>
      <c r="W72" s="26"/>
      <c r="X72" s="26"/>
      <c r="Y72" s="26"/>
      <c r="Z72" s="26"/>
    </row>
    <row r="73" spans="21:26" ht="15.75" x14ac:dyDescent="0.25">
      <c r="U73" s="107"/>
      <c r="V73" s="107"/>
      <c r="W73" s="26"/>
      <c r="X73" s="26"/>
      <c r="Y73" s="26"/>
      <c r="Z73" s="26"/>
    </row>
    <row r="74" spans="21:26" ht="15.75" x14ac:dyDescent="0.25">
      <c r="U74" s="107"/>
      <c r="V74" s="107"/>
      <c r="W74" s="26"/>
      <c r="X74" s="26"/>
      <c r="Y74" s="26"/>
      <c r="Z74" s="26"/>
    </row>
    <row r="75" spans="21:26" ht="15.75" x14ac:dyDescent="0.25">
      <c r="U75" s="107"/>
      <c r="V75" s="107"/>
      <c r="W75" s="26"/>
      <c r="X75" s="26"/>
      <c r="Y75" s="26"/>
      <c r="Z75" s="26"/>
    </row>
    <row r="76" spans="21:26" ht="15.75" x14ac:dyDescent="0.25">
      <c r="U76" s="107"/>
      <c r="V76" s="107"/>
      <c r="W76" s="26"/>
      <c r="X76" s="26"/>
      <c r="Y76" s="26"/>
      <c r="Z76" s="26"/>
    </row>
    <row r="77" spans="21:26" ht="15.75" x14ac:dyDescent="0.25">
      <c r="U77" s="107"/>
      <c r="V77" s="107"/>
      <c r="W77" s="26"/>
      <c r="X77" s="26"/>
      <c r="Y77" s="26"/>
      <c r="Z77" s="26"/>
    </row>
    <row r="78" spans="21:26" ht="15.75" x14ac:dyDescent="0.25">
      <c r="U78" s="107"/>
      <c r="V78" s="107"/>
      <c r="W78" s="26"/>
      <c r="X78" s="26"/>
      <c r="Y78" s="26"/>
      <c r="Z78" s="26"/>
    </row>
    <row r="79" spans="21:26" ht="18.75" x14ac:dyDescent="0.25">
      <c r="U79" s="107"/>
      <c r="V79" s="107"/>
      <c r="W79" s="30"/>
      <c r="X79" s="30"/>
      <c r="Y79" s="30"/>
      <c r="Z79" s="30"/>
    </row>
    <row r="80" spans="21:26" ht="15.75" x14ac:dyDescent="0.25">
      <c r="U80" s="107"/>
      <c r="V80" s="107"/>
      <c r="W80" s="26"/>
      <c r="X80" s="26"/>
      <c r="Y80" s="26"/>
      <c r="Z80" s="26"/>
    </row>
    <row r="81" spans="21:26" ht="15.75" x14ac:dyDescent="0.25">
      <c r="U81" s="107"/>
      <c r="V81" s="107"/>
      <c r="W81" s="26"/>
      <c r="X81" s="26"/>
      <c r="Y81" s="26"/>
      <c r="Z81" s="26"/>
    </row>
    <row r="82" spans="21:26" ht="15.75" x14ac:dyDescent="0.25">
      <c r="U82" s="107"/>
      <c r="V82" s="107"/>
      <c r="W82" s="26"/>
      <c r="X82" s="26"/>
      <c r="Y82" s="26"/>
      <c r="Z82" s="26"/>
    </row>
    <row r="83" spans="21:26" ht="15.75" x14ac:dyDescent="0.25">
      <c r="U83" s="107"/>
      <c r="V83" s="107"/>
      <c r="W83" s="26"/>
      <c r="X83" s="26"/>
      <c r="Y83" s="26"/>
      <c r="Z83" s="26"/>
    </row>
    <row r="84" spans="21:26" ht="15.75" x14ac:dyDescent="0.25">
      <c r="U84" s="107"/>
      <c r="V84" s="107"/>
      <c r="W84" s="26"/>
      <c r="X84" s="26"/>
      <c r="Y84" s="26"/>
      <c r="Z84" s="26"/>
    </row>
    <row r="85" spans="21:26" ht="15.75" x14ac:dyDescent="0.25">
      <c r="U85" s="107"/>
      <c r="V85" s="107"/>
      <c r="W85" s="26"/>
      <c r="X85" s="26"/>
      <c r="Y85" s="26"/>
      <c r="Z85" s="26"/>
    </row>
    <row r="86" spans="21:26" ht="15.75" x14ac:dyDescent="0.25">
      <c r="U86" s="107"/>
      <c r="V86" s="107"/>
      <c r="W86" s="26"/>
      <c r="X86" s="26"/>
      <c r="Y86" s="26"/>
      <c r="Z86" s="26"/>
    </row>
    <row r="87" spans="21:26" ht="15.75" x14ac:dyDescent="0.25">
      <c r="U87" s="107"/>
      <c r="V87" s="107"/>
      <c r="W87" s="26"/>
      <c r="X87" s="26"/>
      <c r="Y87" s="26"/>
      <c r="Z87" s="26"/>
    </row>
    <row r="88" spans="21:26" ht="15.75" x14ac:dyDescent="0.25">
      <c r="U88" s="107"/>
      <c r="V88" s="107"/>
      <c r="W88" s="26"/>
      <c r="X88" s="26"/>
      <c r="Y88" s="26"/>
      <c r="Z88" s="26"/>
    </row>
    <row r="89" spans="21:26" ht="15.75" x14ac:dyDescent="0.25">
      <c r="U89" s="107"/>
      <c r="V89" s="107"/>
      <c r="W89" s="26"/>
      <c r="X89" s="26"/>
      <c r="Y89" s="26"/>
      <c r="Z89" s="26"/>
    </row>
    <row r="90" spans="21:26" ht="18.75" x14ac:dyDescent="0.25">
      <c r="U90" s="107"/>
      <c r="V90" s="107"/>
      <c r="W90" s="30"/>
      <c r="X90" s="30"/>
      <c r="Y90" s="30"/>
      <c r="Z90" s="30"/>
    </row>
    <row r="91" spans="21:26" ht="15.75" x14ac:dyDescent="0.25">
      <c r="U91" s="107"/>
      <c r="V91" s="107"/>
      <c r="W91" s="26"/>
      <c r="X91" s="26"/>
      <c r="Y91" s="26"/>
      <c r="Z91" s="26"/>
    </row>
    <row r="92" spans="21:26" ht="15.75" x14ac:dyDescent="0.25">
      <c r="U92" s="107"/>
      <c r="V92" s="107"/>
      <c r="W92" s="26"/>
      <c r="X92" s="26"/>
      <c r="Y92" s="26"/>
      <c r="Z92" s="26"/>
    </row>
    <row r="93" spans="21:26" ht="15.75" x14ac:dyDescent="0.25">
      <c r="U93" s="107"/>
      <c r="V93" s="107"/>
      <c r="W93" s="26"/>
      <c r="X93" s="26"/>
      <c r="Y93" s="26"/>
      <c r="Z93" s="26"/>
    </row>
    <row r="94" spans="21:26" ht="15.75" x14ac:dyDescent="0.25">
      <c r="U94" s="107"/>
      <c r="V94" s="107"/>
      <c r="W94" s="26"/>
      <c r="X94" s="26"/>
      <c r="Y94" s="26"/>
      <c r="Z94" s="26"/>
    </row>
    <row r="95" spans="21:26" ht="15.75" x14ac:dyDescent="0.25">
      <c r="U95" s="107"/>
      <c r="V95" s="107"/>
      <c r="W95" s="26"/>
      <c r="X95" s="26"/>
      <c r="Y95" s="26"/>
      <c r="Z95" s="26"/>
    </row>
    <row r="96" spans="21:26" ht="15.75" x14ac:dyDescent="0.25">
      <c r="U96" s="107"/>
      <c r="V96" s="107"/>
      <c r="W96" s="26"/>
      <c r="X96" s="26"/>
      <c r="Y96" s="26"/>
      <c r="Z96" s="26"/>
    </row>
    <row r="97" spans="21:26" ht="15.75" x14ac:dyDescent="0.25">
      <c r="U97" s="107"/>
      <c r="V97" s="107"/>
      <c r="W97" s="26"/>
      <c r="X97" s="26"/>
      <c r="Y97" s="26"/>
      <c r="Z97" s="26"/>
    </row>
    <row r="98" spans="21:26" ht="15.75" x14ac:dyDescent="0.25">
      <c r="U98" s="107"/>
      <c r="V98" s="107"/>
      <c r="W98" s="26"/>
      <c r="X98" s="26"/>
      <c r="Y98" s="26"/>
      <c r="Z98" s="26"/>
    </row>
    <row r="99" spans="21:26" ht="15.75" x14ac:dyDescent="0.25">
      <c r="U99" s="107"/>
      <c r="V99" s="107"/>
      <c r="W99" s="26"/>
      <c r="X99" s="26"/>
      <c r="Y99" s="26"/>
      <c r="Z99" s="26"/>
    </row>
    <row r="100" spans="21:26" ht="15.75" x14ac:dyDescent="0.25">
      <c r="U100" s="107"/>
      <c r="V100" s="107"/>
      <c r="W100" s="26"/>
      <c r="X100" s="26"/>
      <c r="Y100" s="26"/>
      <c r="Z100" s="26"/>
    </row>
    <row r="101" spans="21:26" ht="18.75" x14ac:dyDescent="0.25">
      <c r="U101" s="107"/>
      <c r="V101" s="107"/>
      <c r="W101" s="30"/>
      <c r="X101" s="30"/>
      <c r="Y101" s="30"/>
      <c r="Z101" s="30"/>
    </row>
    <row r="102" spans="21:26" ht="15.75" x14ac:dyDescent="0.25">
      <c r="U102" s="107"/>
      <c r="V102" s="107"/>
      <c r="W102" s="26"/>
      <c r="X102" s="26"/>
      <c r="Y102" s="26"/>
      <c r="Z102" s="26"/>
    </row>
    <row r="103" spans="21:26" ht="15.75" x14ac:dyDescent="0.25">
      <c r="U103" s="107"/>
      <c r="V103" s="107"/>
      <c r="W103" s="26"/>
      <c r="X103" s="26"/>
      <c r="Y103" s="26"/>
      <c r="Z103" s="26"/>
    </row>
    <row r="104" spans="21:26" ht="15.75" x14ac:dyDescent="0.25">
      <c r="U104" s="107"/>
      <c r="V104" s="107"/>
      <c r="W104" s="26"/>
      <c r="X104" s="26"/>
      <c r="Y104" s="26"/>
      <c r="Z104" s="26"/>
    </row>
    <row r="105" spans="21:26" ht="15.75" x14ac:dyDescent="0.25">
      <c r="U105" s="107"/>
      <c r="V105" s="107"/>
      <c r="W105" s="26"/>
      <c r="X105" s="26"/>
      <c r="Y105" s="26"/>
      <c r="Z105" s="26"/>
    </row>
    <row r="106" spans="21:26" ht="15.75" x14ac:dyDescent="0.25">
      <c r="U106" s="107"/>
      <c r="V106" s="107"/>
      <c r="W106" s="26"/>
      <c r="X106" s="26"/>
      <c r="Y106" s="26"/>
      <c r="Z106" s="26"/>
    </row>
    <row r="107" spans="21:26" ht="15.75" x14ac:dyDescent="0.25">
      <c r="U107" s="107"/>
      <c r="V107" s="107"/>
      <c r="W107" s="26"/>
      <c r="X107" s="26"/>
      <c r="Y107" s="26"/>
      <c r="Z107" s="26"/>
    </row>
    <row r="108" spans="21:26" ht="15.75" x14ac:dyDescent="0.25">
      <c r="U108" s="107"/>
      <c r="V108" s="107"/>
      <c r="W108" s="26"/>
      <c r="X108" s="26"/>
      <c r="Y108" s="26"/>
      <c r="Z108" s="26"/>
    </row>
    <row r="109" spans="21:26" ht="15.75" x14ac:dyDescent="0.25">
      <c r="U109" s="107"/>
      <c r="V109" s="107"/>
      <c r="W109" s="26"/>
      <c r="X109" s="26"/>
      <c r="Y109" s="26"/>
      <c r="Z109" s="26"/>
    </row>
    <row r="110" spans="21:26" ht="15.75" x14ac:dyDescent="0.25">
      <c r="U110" s="107"/>
      <c r="V110" s="107"/>
      <c r="W110" s="26"/>
      <c r="X110" s="26"/>
      <c r="Y110" s="26"/>
      <c r="Z110" s="26"/>
    </row>
    <row r="111" spans="21:26" ht="15.75" x14ac:dyDescent="0.25">
      <c r="U111" s="107"/>
      <c r="V111" s="107"/>
      <c r="W111" s="26"/>
      <c r="X111" s="26"/>
      <c r="Y111" s="26"/>
      <c r="Z111" s="26"/>
    </row>
    <row r="112" spans="21:26" ht="18.75" x14ac:dyDescent="0.25">
      <c r="U112" s="107"/>
      <c r="V112" s="107"/>
      <c r="W112" s="30"/>
      <c r="X112" s="30"/>
      <c r="Y112" s="30"/>
      <c r="Z112" s="30"/>
    </row>
    <row r="113" spans="21:26" ht="15.75" x14ac:dyDescent="0.25">
      <c r="U113" s="107"/>
      <c r="V113" s="107"/>
      <c r="W113" s="26"/>
      <c r="X113" s="26"/>
      <c r="Y113" s="26"/>
      <c r="Z113" s="26"/>
    </row>
    <row r="114" spans="21:26" ht="15.75" x14ac:dyDescent="0.25">
      <c r="U114" s="107"/>
      <c r="V114" s="107"/>
      <c r="W114" s="26"/>
      <c r="X114" s="26"/>
      <c r="Y114" s="26"/>
      <c r="Z114" s="26"/>
    </row>
    <row r="115" spans="21:26" ht="15.75" x14ac:dyDescent="0.25">
      <c r="U115" s="107"/>
      <c r="V115" s="107"/>
      <c r="W115" s="26"/>
      <c r="X115" s="26"/>
      <c r="Y115" s="26"/>
      <c r="Z115" s="26"/>
    </row>
    <row r="116" spans="21:26" ht="15.75" x14ac:dyDescent="0.25">
      <c r="U116" s="107"/>
      <c r="V116" s="107"/>
      <c r="W116" s="26"/>
      <c r="X116" s="26"/>
      <c r="Y116" s="26"/>
      <c r="Z116" s="26"/>
    </row>
    <row r="117" spans="21:26" ht="15.75" x14ac:dyDescent="0.25">
      <c r="U117" s="107"/>
      <c r="V117" s="107"/>
      <c r="W117" s="26"/>
      <c r="X117" s="26"/>
      <c r="Y117" s="26"/>
      <c r="Z117" s="26"/>
    </row>
    <row r="118" spans="21:26" ht="15.75" x14ac:dyDescent="0.25">
      <c r="U118" s="107"/>
      <c r="V118" s="107"/>
      <c r="W118" s="26"/>
      <c r="X118" s="26"/>
      <c r="Y118" s="26"/>
      <c r="Z118" s="26"/>
    </row>
    <row r="119" spans="21:26" ht="15.75" x14ac:dyDescent="0.25">
      <c r="U119" s="107"/>
      <c r="V119" s="107"/>
      <c r="W119" s="26"/>
      <c r="X119" s="26"/>
      <c r="Y119" s="26"/>
      <c r="Z119" s="26"/>
    </row>
    <row r="120" spans="21:26" ht="15.75" x14ac:dyDescent="0.25">
      <c r="U120" s="107"/>
      <c r="V120" s="107"/>
      <c r="W120" s="26"/>
      <c r="X120" s="26"/>
      <c r="Y120" s="26"/>
      <c r="Z120" s="26"/>
    </row>
    <row r="121" spans="21:26" ht="15.75" x14ac:dyDescent="0.25">
      <c r="U121" s="107"/>
      <c r="V121" s="107"/>
      <c r="W121" s="26"/>
      <c r="X121" s="26"/>
      <c r="Y121" s="26"/>
      <c r="Z121" s="26"/>
    </row>
    <row r="122" spans="21:26" ht="15.75" x14ac:dyDescent="0.25">
      <c r="U122" s="107"/>
      <c r="V122" s="107"/>
      <c r="W122" s="26"/>
      <c r="X122" s="26"/>
      <c r="Y122" s="26"/>
      <c r="Z122" s="26"/>
    </row>
    <row r="123" spans="21:26" ht="18.75" x14ac:dyDescent="0.25">
      <c r="U123" s="107"/>
      <c r="V123" s="107"/>
      <c r="W123" s="30"/>
      <c r="X123" s="30"/>
      <c r="Y123" s="30"/>
      <c r="Z123" s="30"/>
    </row>
    <row r="124" spans="21:26" ht="15.75" x14ac:dyDescent="0.25">
      <c r="U124" s="107"/>
      <c r="V124" s="107"/>
      <c r="W124" s="26"/>
      <c r="X124" s="26"/>
      <c r="Y124" s="26"/>
      <c r="Z124" s="26"/>
    </row>
    <row r="125" spans="21:26" ht="15.75" x14ac:dyDescent="0.25">
      <c r="U125" s="107"/>
      <c r="V125" s="107"/>
      <c r="W125" s="26"/>
      <c r="X125" s="26"/>
      <c r="Y125" s="26"/>
      <c r="Z125" s="26"/>
    </row>
    <row r="126" spans="21:26" ht="15.75" x14ac:dyDescent="0.25">
      <c r="U126" s="107"/>
      <c r="V126" s="107"/>
      <c r="W126" s="26"/>
      <c r="X126" s="26"/>
      <c r="Y126" s="26"/>
      <c r="Z126" s="26"/>
    </row>
    <row r="127" spans="21:26" ht="15.75" x14ac:dyDescent="0.25">
      <c r="U127" s="107"/>
      <c r="V127" s="107"/>
      <c r="W127" s="26"/>
      <c r="X127" s="26"/>
      <c r="Y127" s="26"/>
      <c r="Z127" s="26"/>
    </row>
    <row r="128" spans="21:26" ht="15.75" x14ac:dyDescent="0.25">
      <c r="U128" s="107"/>
      <c r="V128" s="107"/>
      <c r="W128" s="26"/>
      <c r="X128" s="26"/>
      <c r="Y128" s="26"/>
      <c r="Z128" s="26"/>
    </row>
    <row r="129" spans="21:26" ht="15.75" x14ac:dyDescent="0.25">
      <c r="U129" s="107"/>
      <c r="V129" s="107"/>
      <c r="W129" s="26"/>
      <c r="X129" s="26"/>
      <c r="Y129" s="26"/>
      <c r="Z129" s="26"/>
    </row>
    <row r="130" spans="21:26" ht="15.75" x14ac:dyDescent="0.25">
      <c r="U130" s="107"/>
      <c r="V130" s="107"/>
      <c r="W130" s="26"/>
      <c r="X130" s="26"/>
      <c r="Y130" s="26"/>
      <c r="Z130" s="26"/>
    </row>
    <row r="131" spans="21:26" ht="15.75" x14ac:dyDescent="0.25">
      <c r="U131" s="107"/>
      <c r="V131" s="107"/>
      <c r="W131" s="26"/>
      <c r="X131" s="26"/>
      <c r="Y131" s="26"/>
      <c r="Z131" s="26"/>
    </row>
    <row r="132" spans="21:26" ht="15.75" x14ac:dyDescent="0.25">
      <c r="U132" s="107"/>
      <c r="V132" s="107"/>
      <c r="W132" s="26"/>
      <c r="X132" s="26"/>
      <c r="Y132" s="26"/>
      <c r="Z132" s="26"/>
    </row>
    <row r="133" spans="21:26" ht="15.75" x14ac:dyDescent="0.25">
      <c r="U133" s="107"/>
      <c r="V133" s="107"/>
      <c r="W133" s="26"/>
      <c r="X133" s="26"/>
      <c r="Y133" s="26"/>
      <c r="Z133" s="26"/>
    </row>
    <row r="134" spans="21:26" ht="18.75" x14ac:dyDescent="0.25">
      <c r="U134" s="107"/>
      <c r="V134" s="107"/>
      <c r="W134" s="30"/>
      <c r="X134" s="30"/>
      <c r="Y134" s="30"/>
      <c r="Z134" s="30"/>
    </row>
    <row r="135" spans="21:26" ht="15.75" x14ac:dyDescent="0.25">
      <c r="U135" s="107"/>
      <c r="V135" s="107"/>
      <c r="W135" s="26"/>
      <c r="X135" s="26"/>
      <c r="Y135" s="26"/>
      <c r="Z135" s="26"/>
    </row>
    <row r="136" spans="21:26" ht="15.75" x14ac:dyDescent="0.25">
      <c r="U136" s="107"/>
      <c r="V136" s="107"/>
      <c r="W136" s="26"/>
      <c r="X136" s="26"/>
      <c r="Y136" s="26"/>
      <c r="Z136" s="26"/>
    </row>
    <row r="137" spans="21:26" ht="15.75" x14ac:dyDescent="0.25">
      <c r="U137" s="107"/>
      <c r="V137" s="107"/>
      <c r="W137" s="26"/>
      <c r="X137" s="26"/>
      <c r="Y137" s="26"/>
      <c r="Z137" s="26"/>
    </row>
    <row r="138" spans="21:26" ht="15.75" x14ac:dyDescent="0.25">
      <c r="U138" s="107"/>
      <c r="V138" s="107"/>
      <c r="W138" s="26"/>
      <c r="X138" s="26"/>
      <c r="Y138" s="26"/>
      <c r="Z138" s="26"/>
    </row>
    <row r="139" spans="21:26" ht="15.75" x14ac:dyDescent="0.25">
      <c r="U139" s="107"/>
      <c r="V139" s="107"/>
      <c r="W139" s="26"/>
      <c r="X139" s="26"/>
      <c r="Y139" s="26"/>
      <c r="Z139" s="26"/>
    </row>
    <row r="140" spans="21:26" ht="15.75" x14ac:dyDescent="0.25">
      <c r="U140" s="107"/>
      <c r="V140" s="107"/>
      <c r="W140" s="26"/>
      <c r="X140" s="26"/>
      <c r="Y140" s="26"/>
      <c r="Z140" s="26"/>
    </row>
    <row r="141" spans="21:26" ht="15.75" x14ac:dyDescent="0.25">
      <c r="U141" s="107"/>
      <c r="V141" s="107"/>
      <c r="W141" s="26"/>
      <c r="X141" s="26"/>
      <c r="Y141" s="26"/>
      <c r="Z141" s="26"/>
    </row>
    <row r="142" spans="21:26" ht="15.75" x14ac:dyDescent="0.25">
      <c r="U142" s="107"/>
      <c r="V142" s="107"/>
      <c r="W142" s="26"/>
      <c r="X142" s="26"/>
      <c r="Y142" s="26"/>
      <c r="Z142" s="26"/>
    </row>
    <row r="143" spans="21:26" ht="15.75" x14ac:dyDescent="0.25">
      <c r="U143" s="107"/>
      <c r="V143" s="107"/>
      <c r="W143" s="26"/>
      <c r="X143" s="26"/>
      <c r="Y143" s="26"/>
      <c r="Z143" s="26"/>
    </row>
    <row r="144" spans="21:26" ht="15.75" x14ac:dyDescent="0.25">
      <c r="U144" s="107"/>
      <c r="V144" s="107"/>
      <c r="W144" s="26"/>
      <c r="X144" s="26"/>
      <c r="Y144" s="26"/>
      <c r="Z144" s="26"/>
    </row>
    <row r="145" spans="21:26" ht="18.75" x14ac:dyDescent="0.25">
      <c r="U145" s="107"/>
      <c r="V145" s="107"/>
      <c r="W145" s="30"/>
      <c r="X145" s="30"/>
      <c r="Y145" s="30"/>
      <c r="Z145" s="30"/>
    </row>
    <row r="146" spans="21:26" ht="15.75" x14ac:dyDescent="0.25">
      <c r="U146" s="107"/>
      <c r="V146" s="107"/>
      <c r="W146" s="26"/>
      <c r="X146" s="26"/>
      <c r="Y146" s="26"/>
      <c r="Z146" s="26"/>
    </row>
    <row r="147" spans="21:26" ht="15.75" x14ac:dyDescent="0.25">
      <c r="U147" s="107"/>
      <c r="V147" s="107"/>
      <c r="W147" s="26"/>
      <c r="X147" s="26"/>
      <c r="Y147" s="26"/>
      <c r="Z147" s="26"/>
    </row>
    <row r="148" spans="21:26" ht="15.75" x14ac:dyDescent="0.25">
      <c r="U148" s="107"/>
      <c r="V148" s="107"/>
      <c r="W148" s="26"/>
      <c r="X148" s="26"/>
      <c r="Y148" s="26"/>
      <c r="Z148" s="26"/>
    </row>
    <row r="149" spans="21:26" ht="15.75" x14ac:dyDescent="0.25">
      <c r="U149" s="107"/>
      <c r="V149" s="107"/>
      <c r="W149" s="26"/>
      <c r="X149" s="26"/>
      <c r="Y149" s="26"/>
      <c r="Z149" s="26"/>
    </row>
    <row r="150" spans="21:26" ht="15.75" x14ac:dyDescent="0.25">
      <c r="U150" s="107"/>
      <c r="V150" s="107"/>
      <c r="W150" s="26"/>
      <c r="X150" s="26"/>
      <c r="Y150" s="26"/>
      <c r="Z150" s="26"/>
    </row>
    <row r="151" spans="21:26" ht="15.75" x14ac:dyDescent="0.25">
      <c r="U151" s="107"/>
      <c r="V151" s="107"/>
      <c r="W151" s="26"/>
      <c r="X151" s="26"/>
      <c r="Y151" s="26"/>
      <c r="Z151" s="26"/>
    </row>
    <row r="152" spans="21:26" ht="15.75" x14ac:dyDescent="0.25">
      <c r="U152" s="107"/>
      <c r="V152" s="107"/>
      <c r="W152" s="26"/>
      <c r="X152" s="26"/>
      <c r="Y152" s="26"/>
      <c r="Z152" s="26"/>
    </row>
    <row r="153" spans="21:26" ht="15.75" x14ac:dyDescent="0.25">
      <c r="U153" s="107"/>
      <c r="V153" s="107"/>
      <c r="W153" s="26"/>
      <c r="X153" s="26"/>
      <c r="Y153" s="26"/>
      <c r="Z153" s="26"/>
    </row>
    <row r="154" spans="21:26" ht="15.75" x14ac:dyDescent="0.25">
      <c r="U154" s="107"/>
      <c r="V154" s="107"/>
      <c r="W154" s="26"/>
      <c r="X154" s="26"/>
      <c r="Y154" s="26"/>
      <c r="Z154" s="26"/>
    </row>
    <row r="155" spans="21:26" ht="15.75" x14ac:dyDescent="0.25">
      <c r="U155" s="107"/>
      <c r="V155" s="107"/>
      <c r="W155" s="26"/>
      <c r="X155" s="26"/>
      <c r="Y155" s="26"/>
      <c r="Z155" s="26"/>
    </row>
    <row r="156" spans="21:26" ht="18.75" x14ac:dyDescent="0.25">
      <c r="U156" s="107"/>
      <c r="V156" s="107"/>
      <c r="W156" s="30"/>
      <c r="X156" s="30"/>
      <c r="Y156" s="30"/>
      <c r="Z156" s="30"/>
    </row>
    <row r="157" spans="21:26" ht="15.75" x14ac:dyDescent="0.25">
      <c r="U157" s="107"/>
      <c r="V157" s="107"/>
      <c r="W157" s="26"/>
      <c r="X157" s="26"/>
      <c r="Y157" s="26"/>
      <c r="Z157" s="26"/>
    </row>
    <row r="158" spans="21:26" ht="15.75" x14ac:dyDescent="0.25">
      <c r="U158" s="107"/>
      <c r="V158" s="107"/>
      <c r="W158" s="26"/>
      <c r="X158" s="26"/>
      <c r="Y158" s="26"/>
      <c r="Z158" s="26"/>
    </row>
    <row r="159" spans="21:26" ht="15.75" x14ac:dyDescent="0.25">
      <c r="U159" s="107"/>
      <c r="V159" s="107"/>
      <c r="W159" s="26"/>
      <c r="X159" s="26"/>
      <c r="Y159" s="26"/>
      <c r="Z159" s="26"/>
    </row>
    <row r="160" spans="21:26" ht="15.75" x14ac:dyDescent="0.25">
      <c r="U160" s="107"/>
      <c r="V160" s="107"/>
      <c r="W160" s="26"/>
      <c r="X160" s="26"/>
      <c r="Y160" s="26"/>
      <c r="Z160" s="26"/>
    </row>
    <row r="161" spans="21:26" ht="15.75" x14ac:dyDescent="0.25">
      <c r="U161" s="107"/>
      <c r="V161" s="107"/>
      <c r="W161" s="26"/>
      <c r="X161" s="26"/>
      <c r="Y161" s="26"/>
      <c r="Z161" s="26"/>
    </row>
    <row r="162" spans="21:26" ht="15.75" x14ac:dyDescent="0.25">
      <c r="U162" s="107"/>
      <c r="V162" s="107"/>
      <c r="W162" s="26"/>
      <c r="X162" s="26"/>
      <c r="Y162" s="26"/>
      <c r="Z162" s="26"/>
    </row>
    <row r="163" spans="21:26" ht="15.75" x14ac:dyDescent="0.25">
      <c r="U163" s="107"/>
      <c r="V163" s="107"/>
      <c r="W163" s="26"/>
      <c r="X163" s="26"/>
      <c r="Y163" s="26"/>
      <c r="Z163" s="26"/>
    </row>
    <row r="164" spans="21:26" ht="15.75" x14ac:dyDescent="0.25">
      <c r="U164" s="107"/>
      <c r="V164" s="107"/>
      <c r="W164" s="26"/>
      <c r="X164" s="26"/>
      <c r="Y164" s="26"/>
      <c r="Z164" s="26"/>
    </row>
    <row r="165" spans="21:26" ht="15.75" x14ac:dyDescent="0.25">
      <c r="U165" s="107"/>
      <c r="V165" s="107"/>
      <c r="W165" s="26"/>
      <c r="X165" s="26"/>
      <c r="Y165" s="26"/>
      <c r="Z165" s="26"/>
    </row>
    <row r="166" spans="21:26" ht="15.75" x14ac:dyDescent="0.25">
      <c r="U166" s="107"/>
      <c r="V166" s="107"/>
      <c r="W166" s="26"/>
      <c r="X166" s="26"/>
      <c r="Y166" s="26"/>
      <c r="Z166" s="26"/>
    </row>
    <row r="167" spans="21:26" ht="18.75" x14ac:dyDescent="0.25">
      <c r="U167" s="107"/>
      <c r="V167" s="107"/>
      <c r="W167" s="30"/>
      <c r="X167" s="30"/>
      <c r="Y167" s="30"/>
      <c r="Z167" s="30"/>
    </row>
    <row r="168" spans="21:26" ht="15.75" x14ac:dyDescent="0.25">
      <c r="U168" s="107"/>
      <c r="V168" s="107"/>
      <c r="W168" s="26"/>
      <c r="X168" s="26"/>
      <c r="Y168" s="26"/>
      <c r="Z168" s="26"/>
    </row>
    <row r="169" spans="21:26" ht="15.75" x14ac:dyDescent="0.25">
      <c r="U169" s="107"/>
      <c r="V169" s="107"/>
      <c r="W169" s="26"/>
      <c r="X169" s="26"/>
      <c r="Y169" s="26"/>
      <c r="Z169" s="26"/>
    </row>
    <row r="170" spans="21:26" ht="15.75" x14ac:dyDescent="0.25">
      <c r="U170" s="107"/>
      <c r="V170" s="107"/>
      <c r="W170" s="26"/>
      <c r="X170" s="26"/>
      <c r="Y170" s="26"/>
      <c r="Z170" s="26"/>
    </row>
    <row r="171" spans="21:26" ht="15.75" x14ac:dyDescent="0.25">
      <c r="U171" s="107"/>
      <c r="V171" s="107"/>
      <c r="W171" s="26"/>
      <c r="X171" s="26"/>
      <c r="Y171" s="26"/>
      <c r="Z171" s="26"/>
    </row>
    <row r="172" spans="21:26" ht="15.75" x14ac:dyDescent="0.25">
      <c r="U172" s="107"/>
      <c r="V172" s="107"/>
      <c r="W172" s="26"/>
      <c r="X172" s="26"/>
      <c r="Y172" s="26"/>
      <c r="Z172" s="26"/>
    </row>
    <row r="173" spans="21:26" ht="15.75" x14ac:dyDescent="0.25">
      <c r="U173" s="107"/>
      <c r="V173" s="107"/>
      <c r="W173" s="26"/>
      <c r="X173" s="26"/>
      <c r="Y173" s="26"/>
      <c r="Z173" s="26"/>
    </row>
    <row r="174" spans="21:26" ht="15.75" x14ac:dyDescent="0.25">
      <c r="U174" s="107"/>
      <c r="V174" s="107"/>
      <c r="W174" s="26"/>
      <c r="X174" s="26"/>
      <c r="Y174" s="26"/>
      <c r="Z174" s="26"/>
    </row>
    <row r="175" spans="21:26" ht="15.75" x14ac:dyDescent="0.25">
      <c r="U175" s="107"/>
      <c r="V175" s="107"/>
      <c r="W175" s="26"/>
      <c r="X175" s="26"/>
      <c r="Y175" s="26"/>
      <c r="Z175" s="26"/>
    </row>
    <row r="176" spans="21:26" ht="15.75" x14ac:dyDescent="0.25">
      <c r="U176" s="107"/>
      <c r="V176" s="107"/>
      <c r="W176" s="26"/>
      <c r="X176" s="26"/>
      <c r="Y176" s="26"/>
      <c r="Z176" s="26"/>
    </row>
    <row r="177" spans="21:26" ht="15.75" x14ac:dyDescent="0.25">
      <c r="U177" s="107"/>
      <c r="V177" s="107"/>
      <c r="W177" s="26"/>
      <c r="X177" s="26"/>
      <c r="Y177" s="26"/>
      <c r="Z177" s="26"/>
    </row>
    <row r="178" spans="21:26" ht="18.75" x14ac:dyDescent="0.25">
      <c r="U178" s="107"/>
      <c r="V178" s="107"/>
      <c r="W178" s="30"/>
      <c r="X178" s="30"/>
      <c r="Y178" s="30"/>
      <c r="Z178" s="30"/>
    </row>
    <row r="179" spans="21:26" ht="15.75" x14ac:dyDescent="0.25">
      <c r="U179" s="107"/>
      <c r="V179" s="107"/>
      <c r="W179" s="26"/>
      <c r="X179" s="26"/>
      <c r="Y179" s="26"/>
      <c r="Z179" s="26"/>
    </row>
    <row r="180" spans="21:26" ht="15.75" x14ac:dyDescent="0.25">
      <c r="U180" s="107"/>
      <c r="V180" s="107"/>
      <c r="W180" s="26"/>
      <c r="X180" s="26"/>
      <c r="Y180" s="26"/>
      <c r="Z180" s="26"/>
    </row>
    <row r="181" spans="21:26" ht="15.75" x14ac:dyDescent="0.25">
      <c r="U181" s="107"/>
      <c r="V181" s="107"/>
      <c r="W181" s="26"/>
      <c r="X181" s="26"/>
      <c r="Y181" s="26"/>
      <c r="Z181" s="26"/>
    </row>
    <row r="182" spans="21:26" ht="15.75" x14ac:dyDescent="0.25">
      <c r="U182" s="107"/>
      <c r="V182" s="107"/>
      <c r="W182" s="26"/>
      <c r="X182" s="26"/>
      <c r="Y182" s="26"/>
      <c r="Z182" s="26"/>
    </row>
    <row r="183" spans="21:26" ht="15.75" x14ac:dyDescent="0.25">
      <c r="U183" s="107"/>
      <c r="V183" s="107"/>
      <c r="W183" s="26"/>
      <c r="X183" s="26"/>
      <c r="Y183" s="26"/>
      <c r="Z183" s="26"/>
    </row>
    <row r="184" spans="21:26" ht="15.75" x14ac:dyDescent="0.25">
      <c r="U184" s="107"/>
      <c r="V184" s="107"/>
      <c r="W184" s="26"/>
      <c r="X184" s="26"/>
      <c r="Y184" s="26"/>
      <c r="Z184" s="26"/>
    </row>
    <row r="185" spans="21:26" ht="15.75" x14ac:dyDescent="0.25">
      <c r="U185" s="107"/>
      <c r="V185" s="107"/>
      <c r="W185" s="26"/>
      <c r="X185" s="26"/>
      <c r="Y185" s="26"/>
      <c r="Z185" s="26"/>
    </row>
    <row r="186" spans="21:26" ht="15.75" x14ac:dyDescent="0.25">
      <c r="U186" s="107"/>
      <c r="V186" s="107"/>
      <c r="W186" s="26"/>
      <c r="X186" s="26"/>
      <c r="Y186" s="26"/>
      <c r="Z186" s="26"/>
    </row>
    <row r="187" spans="21:26" ht="15.75" x14ac:dyDescent="0.25">
      <c r="U187" s="107"/>
      <c r="V187" s="107"/>
      <c r="W187" s="26"/>
      <c r="X187" s="26"/>
      <c r="Y187" s="26"/>
      <c r="Z187" s="26"/>
    </row>
    <row r="188" spans="21:26" ht="15.75" x14ac:dyDescent="0.25">
      <c r="U188" s="107"/>
      <c r="V188" s="107"/>
      <c r="W188" s="26"/>
      <c r="X188" s="26"/>
      <c r="Y188" s="26"/>
      <c r="Z188" s="26"/>
    </row>
    <row r="189" spans="21:26" ht="18.75" x14ac:dyDescent="0.25">
      <c r="U189" s="107"/>
      <c r="V189" s="107"/>
      <c r="W189" s="30"/>
      <c r="X189" s="30"/>
      <c r="Y189" s="30"/>
      <c r="Z189" s="30"/>
    </row>
    <row r="190" spans="21:26" ht="15.75" x14ac:dyDescent="0.25">
      <c r="U190" s="107"/>
      <c r="V190" s="107"/>
      <c r="W190" s="26"/>
      <c r="X190" s="26"/>
      <c r="Y190" s="26"/>
      <c r="Z190" s="26"/>
    </row>
    <row r="191" spans="21:26" ht="15.75" x14ac:dyDescent="0.25">
      <c r="U191" s="107"/>
      <c r="V191" s="107"/>
      <c r="W191" s="26"/>
      <c r="X191" s="26"/>
      <c r="Y191" s="26"/>
      <c r="Z191" s="26"/>
    </row>
    <row r="192" spans="21:26" ht="15.75" x14ac:dyDescent="0.25">
      <c r="U192" s="107"/>
      <c r="V192" s="107"/>
      <c r="W192" s="26"/>
      <c r="X192" s="26"/>
      <c r="Y192" s="26"/>
      <c r="Z192" s="26"/>
    </row>
    <row r="193" spans="21:26" ht="15.75" x14ac:dyDescent="0.25">
      <c r="U193" s="107"/>
      <c r="V193" s="107"/>
      <c r="W193" s="26"/>
      <c r="X193" s="26"/>
      <c r="Y193" s="26"/>
      <c r="Z193" s="26"/>
    </row>
    <row r="194" spans="21:26" ht="15.75" x14ac:dyDescent="0.25">
      <c r="U194" s="107"/>
      <c r="V194" s="107"/>
      <c r="W194" s="26"/>
      <c r="X194" s="26"/>
      <c r="Y194" s="26"/>
      <c r="Z194" s="26"/>
    </row>
    <row r="195" spans="21:26" ht="15.75" x14ac:dyDescent="0.25">
      <c r="U195" s="107"/>
      <c r="V195" s="107"/>
      <c r="W195" s="26"/>
      <c r="X195" s="26"/>
      <c r="Y195" s="26"/>
      <c r="Z195" s="26"/>
    </row>
    <row r="196" spans="21:26" ht="15.75" x14ac:dyDescent="0.25">
      <c r="U196" s="107"/>
      <c r="V196" s="107"/>
      <c r="W196" s="26"/>
      <c r="X196" s="26"/>
      <c r="Y196" s="26"/>
      <c r="Z196" s="26"/>
    </row>
    <row r="197" spans="21:26" ht="15.75" x14ac:dyDescent="0.25">
      <c r="U197" s="107"/>
      <c r="V197" s="107"/>
      <c r="W197" s="26"/>
      <c r="X197" s="26"/>
      <c r="Y197" s="26"/>
      <c r="Z197" s="26"/>
    </row>
    <row r="198" spans="21:26" ht="15.75" x14ac:dyDescent="0.25">
      <c r="U198" s="107"/>
      <c r="V198" s="107"/>
      <c r="W198" s="26"/>
      <c r="X198" s="26"/>
      <c r="Y198" s="26"/>
      <c r="Z198" s="26"/>
    </row>
    <row r="199" spans="21:26" ht="15.75" x14ac:dyDescent="0.25">
      <c r="U199" s="107"/>
      <c r="V199" s="107"/>
      <c r="W199" s="26"/>
      <c r="X199" s="26"/>
      <c r="Y199" s="26"/>
      <c r="Z199" s="26"/>
    </row>
    <row r="200" spans="21:26" ht="18.75" x14ac:dyDescent="0.25">
      <c r="U200" s="107"/>
      <c r="V200" s="107"/>
      <c r="W200" s="30"/>
      <c r="X200" s="30"/>
      <c r="Y200" s="30"/>
      <c r="Z200" s="30"/>
    </row>
    <row r="201" spans="21:26" ht="15.75" x14ac:dyDescent="0.25">
      <c r="U201" s="107"/>
      <c r="V201" s="107"/>
      <c r="W201" s="26"/>
      <c r="X201" s="26"/>
      <c r="Y201" s="26"/>
      <c r="Z201" s="26"/>
    </row>
    <row r="202" spans="21:26" ht="15.75" x14ac:dyDescent="0.25">
      <c r="U202" s="107"/>
      <c r="V202" s="107"/>
      <c r="W202" s="26"/>
      <c r="X202" s="26"/>
      <c r="Y202" s="26"/>
      <c r="Z202" s="26"/>
    </row>
    <row r="203" spans="21:26" ht="15.75" x14ac:dyDescent="0.25">
      <c r="U203" s="107"/>
      <c r="V203" s="107"/>
      <c r="W203" s="26"/>
      <c r="X203" s="26"/>
      <c r="Y203" s="26"/>
      <c r="Z203" s="26"/>
    </row>
    <row r="204" spans="21:26" ht="15.75" x14ac:dyDescent="0.25">
      <c r="U204" s="107"/>
      <c r="V204" s="107"/>
      <c r="W204" s="26"/>
      <c r="X204" s="26"/>
      <c r="Y204" s="26"/>
      <c r="Z204" s="26"/>
    </row>
    <row r="205" spans="21:26" ht="15.75" x14ac:dyDescent="0.25">
      <c r="U205" s="107"/>
      <c r="V205" s="107"/>
      <c r="W205" s="26"/>
      <c r="X205" s="26"/>
      <c r="Y205" s="26"/>
      <c r="Z205" s="26"/>
    </row>
    <row r="206" spans="21:26" ht="15.75" x14ac:dyDescent="0.25">
      <c r="U206" s="107"/>
      <c r="V206" s="107"/>
      <c r="W206" s="26"/>
      <c r="X206" s="26"/>
      <c r="Y206" s="26"/>
      <c r="Z206" s="26"/>
    </row>
    <row r="207" spans="21:26" ht="15.75" x14ac:dyDescent="0.25">
      <c r="U207" s="107"/>
      <c r="V207" s="107"/>
      <c r="W207" s="26"/>
      <c r="X207" s="26"/>
      <c r="Y207" s="26"/>
      <c r="Z207" s="26"/>
    </row>
    <row r="208" spans="21:26" ht="15.75" x14ac:dyDescent="0.25">
      <c r="U208" s="107"/>
      <c r="V208" s="107"/>
      <c r="W208" s="26"/>
      <c r="X208" s="26"/>
      <c r="Y208" s="26"/>
      <c r="Z208" s="26"/>
    </row>
    <row r="209" spans="21:26" ht="15.75" x14ac:dyDescent="0.25">
      <c r="U209" s="107"/>
      <c r="V209" s="107"/>
      <c r="W209" s="26"/>
      <c r="X209" s="26"/>
      <c r="Y209" s="26"/>
      <c r="Z209" s="26"/>
    </row>
    <row r="210" spans="21:26" ht="15.75" x14ac:dyDescent="0.25">
      <c r="U210" s="107"/>
      <c r="V210" s="107"/>
      <c r="W210" s="26"/>
      <c r="X210" s="26"/>
      <c r="Y210" s="26"/>
      <c r="Z210" s="26"/>
    </row>
    <row r="211" spans="21:26" ht="18.75" x14ac:dyDescent="0.25">
      <c r="U211" s="107"/>
      <c r="V211" s="107"/>
      <c r="W211" s="30"/>
      <c r="X211" s="30"/>
      <c r="Y211" s="30"/>
      <c r="Z211" s="30"/>
    </row>
    <row r="212" spans="21:26" ht="15.75" x14ac:dyDescent="0.25">
      <c r="U212" s="107"/>
      <c r="V212" s="107"/>
      <c r="W212" s="26"/>
      <c r="X212" s="26"/>
      <c r="Y212" s="26"/>
      <c r="Z212" s="26"/>
    </row>
    <row r="213" spans="21:26" ht="15.75" x14ac:dyDescent="0.25">
      <c r="U213" s="107"/>
      <c r="V213" s="107"/>
      <c r="W213" s="26"/>
      <c r="X213" s="26"/>
      <c r="Y213" s="26"/>
      <c r="Z213" s="26"/>
    </row>
    <row r="214" spans="21:26" ht="15.75" x14ac:dyDescent="0.25">
      <c r="U214" s="107"/>
      <c r="V214" s="107"/>
      <c r="W214" s="26"/>
      <c r="X214" s="26"/>
      <c r="Y214" s="26"/>
      <c r="Z214" s="26"/>
    </row>
    <row r="215" spans="21:26" ht="15.75" x14ac:dyDescent="0.25">
      <c r="U215" s="107"/>
      <c r="V215" s="107"/>
      <c r="W215" s="26"/>
      <c r="X215" s="26"/>
      <c r="Y215" s="26"/>
      <c r="Z215" s="26"/>
    </row>
    <row r="216" spans="21:26" ht="15.75" x14ac:dyDescent="0.25">
      <c r="U216" s="107"/>
      <c r="V216" s="107"/>
      <c r="W216" s="26"/>
      <c r="X216" s="26"/>
      <c r="Y216" s="26"/>
      <c r="Z216" s="26"/>
    </row>
    <row r="217" spans="21:26" ht="15.75" x14ac:dyDescent="0.25">
      <c r="U217" s="107"/>
      <c r="V217" s="107"/>
      <c r="W217" s="26"/>
      <c r="X217" s="26"/>
      <c r="Y217" s="26"/>
      <c r="Z217" s="26"/>
    </row>
    <row r="218" spans="21:26" ht="15.75" x14ac:dyDescent="0.25">
      <c r="U218" s="107"/>
      <c r="V218" s="107"/>
      <c r="W218" s="26"/>
      <c r="X218" s="26"/>
      <c r="Y218" s="26"/>
      <c r="Z218" s="26"/>
    </row>
    <row r="219" spans="21:26" ht="15.75" x14ac:dyDescent="0.25">
      <c r="U219" s="107"/>
      <c r="V219" s="107"/>
      <c r="W219" s="26"/>
      <c r="X219" s="26"/>
      <c r="Y219" s="26"/>
      <c r="Z219" s="26"/>
    </row>
    <row r="220" spans="21:26" ht="15.75" x14ac:dyDescent="0.25">
      <c r="U220" s="107"/>
      <c r="V220" s="107"/>
      <c r="W220" s="26"/>
      <c r="X220" s="26"/>
      <c r="Y220" s="26"/>
      <c r="Z220" s="26"/>
    </row>
    <row r="221" spans="21:26" ht="15.75" x14ac:dyDescent="0.25">
      <c r="U221" s="107"/>
      <c r="V221" s="107"/>
      <c r="W221" s="26"/>
      <c r="X221" s="26"/>
      <c r="Y221" s="26"/>
      <c r="Z221" s="26"/>
    </row>
    <row r="222" spans="21:26" ht="18.75" x14ac:dyDescent="0.25">
      <c r="U222" s="107"/>
      <c r="V222" s="107"/>
      <c r="W222" s="30"/>
      <c r="X222" s="30"/>
      <c r="Y222" s="30"/>
      <c r="Z222" s="30"/>
    </row>
    <row r="223" spans="21:26" ht="15.75" x14ac:dyDescent="0.25">
      <c r="U223" s="107"/>
      <c r="V223" s="107"/>
      <c r="W223" s="26"/>
      <c r="X223" s="26"/>
      <c r="Y223" s="26"/>
      <c r="Z223" s="26"/>
    </row>
    <row r="224" spans="21:26" ht="15.75" x14ac:dyDescent="0.25">
      <c r="U224" s="107"/>
      <c r="V224" s="107"/>
      <c r="W224" s="26"/>
      <c r="X224" s="26"/>
      <c r="Y224" s="26"/>
      <c r="Z224" s="26"/>
    </row>
    <row r="225" spans="21:26" ht="15.75" x14ac:dyDescent="0.25">
      <c r="U225" s="107"/>
      <c r="V225" s="107"/>
      <c r="W225" s="26"/>
      <c r="X225" s="26"/>
      <c r="Y225" s="26"/>
      <c r="Z225" s="26"/>
    </row>
    <row r="226" spans="21:26" ht="15.75" x14ac:dyDescent="0.25">
      <c r="U226" s="107"/>
      <c r="V226" s="107"/>
      <c r="W226" s="26"/>
      <c r="X226" s="26"/>
      <c r="Y226" s="26"/>
      <c r="Z226" s="26"/>
    </row>
    <row r="227" spans="21:26" ht="15.75" x14ac:dyDescent="0.25">
      <c r="U227" s="107"/>
      <c r="V227" s="107"/>
      <c r="W227" s="26"/>
      <c r="X227" s="26"/>
      <c r="Y227" s="26"/>
      <c r="Z227" s="26"/>
    </row>
    <row r="228" spans="21:26" ht="15.75" x14ac:dyDescent="0.25">
      <c r="U228" s="107"/>
      <c r="V228" s="107"/>
      <c r="W228" s="26"/>
      <c r="X228" s="26"/>
      <c r="Y228" s="26"/>
      <c r="Z228" s="26"/>
    </row>
    <row r="229" spans="21:26" ht="15.75" x14ac:dyDescent="0.25">
      <c r="U229" s="107"/>
      <c r="V229" s="107"/>
      <c r="W229" s="26"/>
      <c r="X229" s="26"/>
      <c r="Y229" s="26"/>
      <c r="Z229" s="26"/>
    </row>
    <row r="230" spans="21:26" ht="15.75" x14ac:dyDescent="0.25">
      <c r="U230" s="107"/>
      <c r="V230" s="107"/>
      <c r="W230" s="26"/>
      <c r="X230" s="26"/>
      <c r="Y230" s="26"/>
      <c r="Z230" s="26"/>
    </row>
    <row r="231" spans="21:26" ht="15.75" x14ac:dyDescent="0.25">
      <c r="U231" s="107"/>
      <c r="V231" s="107"/>
      <c r="W231" s="26"/>
      <c r="X231" s="26"/>
      <c r="Y231" s="26"/>
      <c r="Z231" s="26"/>
    </row>
    <row r="232" spans="21:26" ht="15.75" x14ac:dyDescent="0.25">
      <c r="U232" s="107"/>
      <c r="V232" s="107"/>
      <c r="W232" s="26"/>
      <c r="X232" s="26"/>
      <c r="Y232" s="26"/>
      <c r="Z232" s="26"/>
    </row>
    <row r="233" spans="21:26" ht="18.75" x14ac:dyDescent="0.25">
      <c r="U233" s="107"/>
      <c r="V233" s="107"/>
      <c r="W233" s="30"/>
      <c r="X233" s="30"/>
      <c r="Y233" s="30"/>
      <c r="Z233" s="30"/>
    </row>
    <row r="234" spans="21:26" ht="15.75" x14ac:dyDescent="0.25">
      <c r="U234" s="107"/>
      <c r="V234" s="107"/>
      <c r="W234" s="26"/>
      <c r="X234" s="26"/>
      <c r="Y234" s="26"/>
      <c r="Z234" s="26"/>
    </row>
    <row r="235" spans="21:26" ht="15.75" x14ac:dyDescent="0.25">
      <c r="U235" s="107"/>
      <c r="V235" s="107"/>
      <c r="W235" s="26"/>
      <c r="X235" s="26"/>
      <c r="Y235" s="26"/>
      <c r="Z235" s="26"/>
    </row>
    <row r="236" spans="21:26" ht="15.75" x14ac:dyDescent="0.25">
      <c r="U236" s="107"/>
      <c r="V236" s="107"/>
      <c r="W236" s="26"/>
      <c r="X236" s="26"/>
      <c r="Y236" s="26"/>
      <c r="Z236" s="26"/>
    </row>
    <row r="237" spans="21:26" ht="15.75" x14ac:dyDescent="0.25">
      <c r="U237" s="107"/>
      <c r="V237" s="107"/>
      <c r="W237" s="26"/>
      <c r="X237" s="26"/>
      <c r="Y237" s="26"/>
      <c r="Z237" s="26"/>
    </row>
    <row r="238" spans="21:26" ht="15.75" x14ac:dyDescent="0.25">
      <c r="U238" s="107"/>
      <c r="V238" s="107"/>
      <c r="W238" s="26"/>
      <c r="X238" s="26"/>
      <c r="Y238" s="26"/>
      <c r="Z238" s="26"/>
    </row>
    <row r="239" spans="21:26" ht="15.75" x14ac:dyDescent="0.25">
      <c r="U239" s="107"/>
      <c r="V239" s="107"/>
      <c r="W239" s="26"/>
      <c r="X239" s="26"/>
      <c r="Y239" s="26"/>
      <c r="Z239" s="26"/>
    </row>
    <row r="240" spans="21:26" ht="15.75" x14ac:dyDescent="0.25">
      <c r="U240" s="107"/>
      <c r="V240" s="107"/>
      <c r="W240" s="26"/>
      <c r="X240" s="26"/>
      <c r="Y240" s="26"/>
      <c r="Z240" s="26"/>
    </row>
    <row r="241" spans="21:26" ht="15.75" x14ac:dyDescent="0.25">
      <c r="U241" s="107"/>
      <c r="V241" s="107"/>
      <c r="W241" s="26"/>
      <c r="X241" s="26"/>
      <c r="Y241" s="26"/>
      <c r="Z241" s="26"/>
    </row>
    <row r="242" spans="21:26" ht="15.75" x14ac:dyDescent="0.25">
      <c r="U242" s="107"/>
      <c r="V242" s="107"/>
      <c r="W242" s="26"/>
      <c r="X242" s="26"/>
      <c r="Y242" s="26"/>
      <c r="Z242" s="26"/>
    </row>
    <row r="243" spans="21:26" ht="15.75" x14ac:dyDescent="0.25">
      <c r="U243" s="107"/>
      <c r="V243" s="107"/>
      <c r="W243" s="26"/>
      <c r="X243" s="26"/>
      <c r="Y243" s="26"/>
      <c r="Z243" s="26"/>
    </row>
    <row r="244" spans="21:26" ht="18.75" x14ac:dyDescent="0.25">
      <c r="U244" s="107"/>
      <c r="V244" s="107"/>
      <c r="W244" s="30"/>
      <c r="X244" s="30"/>
      <c r="Y244" s="30"/>
      <c r="Z244" s="30"/>
    </row>
    <row r="245" spans="21:26" ht="15.75" x14ac:dyDescent="0.25">
      <c r="U245" s="107"/>
      <c r="V245" s="107"/>
      <c r="W245" s="26"/>
      <c r="X245" s="26"/>
      <c r="Y245" s="26"/>
      <c r="Z245" s="26"/>
    </row>
    <row r="246" spans="21:26" ht="15.75" x14ac:dyDescent="0.25">
      <c r="U246" s="107"/>
      <c r="V246" s="107"/>
      <c r="W246" s="26"/>
      <c r="X246" s="26"/>
      <c r="Y246" s="26"/>
      <c r="Z246" s="26"/>
    </row>
    <row r="247" spans="21:26" ht="15.75" x14ac:dyDescent="0.25">
      <c r="U247" s="107"/>
      <c r="V247" s="107"/>
      <c r="W247" s="26"/>
      <c r="X247" s="26"/>
      <c r="Y247" s="26"/>
      <c r="Z247" s="26"/>
    </row>
    <row r="248" spans="21:26" ht="15.75" x14ac:dyDescent="0.25">
      <c r="U248" s="107"/>
      <c r="V248" s="107"/>
      <c r="W248" s="26"/>
      <c r="X248" s="26"/>
      <c r="Y248" s="26"/>
      <c r="Z248" s="26"/>
    </row>
    <row r="249" spans="21:26" ht="15.75" x14ac:dyDescent="0.25">
      <c r="U249" s="107"/>
      <c r="V249" s="107"/>
      <c r="W249" s="26"/>
      <c r="X249" s="26"/>
      <c r="Y249" s="26"/>
      <c r="Z249" s="26"/>
    </row>
    <row r="250" spans="21:26" ht="15.75" x14ac:dyDescent="0.25">
      <c r="U250" s="107"/>
      <c r="V250" s="107"/>
      <c r="W250" s="26"/>
      <c r="X250" s="26"/>
      <c r="Y250" s="26"/>
      <c r="Z250" s="26"/>
    </row>
    <row r="251" spans="21:26" ht="15.75" x14ac:dyDescent="0.25">
      <c r="U251" s="107"/>
      <c r="V251" s="107"/>
      <c r="W251" s="26"/>
      <c r="X251" s="26"/>
      <c r="Y251" s="26"/>
      <c r="Z251" s="26"/>
    </row>
    <row r="252" spans="21:26" ht="15.75" x14ac:dyDescent="0.25">
      <c r="U252" s="107"/>
      <c r="V252" s="107"/>
      <c r="W252" s="26"/>
      <c r="X252" s="26"/>
      <c r="Y252" s="26"/>
      <c r="Z252" s="26"/>
    </row>
    <row r="253" spans="21:26" ht="15.75" x14ac:dyDescent="0.25">
      <c r="U253" s="107"/>
      <c r="V253" s="107"/>
      <c r="W253" s="26"/>
      <c r="X253" s="26"/>
      <c r="Y253" s="26"/>
      <c r="Z253" s="26"/>
    </row>
    <row r="254" spans="21:26" ht="15.75" x14ac:dyDescent="0.25">
      <c r="U254" s="107"/>
      <c r="V254" s="107"/>
      <c r="W254" s="26"/>
      <c r="X254" s="26"/>
      <c r="Y254" s="26"/>
      <c r="Z254" s="26"/>
    </row>
    <row r="255" spans="21:26" ht="18.75" x14ac:dyDescent="0.25">
      <c r="U255" s="107"/>
      <c r="V255" s="107"/>
      <c r="W255" s="30"/>
      <c r="X255" s="30"/>
      <c r="Y255" s="30"/>
      <c r="Z255" s="30"/>
    </row>
    <row r="256" spans="21:26" ht="15.75" x14ac:dyDescent="0.25">
      <c r="U256" s="107"/>
      <c r="V256" s="107"/>
      <c r="W256" s="26"/>
      <c r="X256" s="26"/>
      <c r="Y256" s="26"/>
      <c r="Z256" s="26"/>
    </row>
    <row r="257" spans="21:26" ht="15.75" x14ac:dyDescent="0.25">
      <c r="U257" s="107"/>
      <c r="V257" s="107"/>
      <c r="W257" s="26"/>
      <c r="X257" s="26"/>
      <c r="Y257" s="26"/>
      <c r="Z257" s="26"/>
    </row>
    <row r="258" spans="21:26" ht="15.75" x14ac:dyDescent="0.25">
      <c r="U258" s="107"/>
      <c r="V258" s="107"/>
      <c r="W258" s="26"/>
      <c r="X258" s="26"/>
      <c r="Y258" s="26"/>
      <c r="Z258" s="26"/>
    </row>
    <row r="259" spans="21:26" ht="15.75" x14ac:dyDescent="0.25">
      <c r="U259" s="107"/>
      <c r="V259" s="107"/>
      <c r="W259" s="26"/>
      <c r="X259" s="26"/>
      <c r="Y259" s="26"/>
      <c r="Z259" s="26"/>
    </row>
    <row r="260" spans="21:26" ht="15.75" x14ac:dyDescent="0.25">
      <c r="U260" s="107"/>
      <c r="V260" s="107"/>
      <c r="W260" s="26"/>
      <c r="X260" s="26"/>
      <c r="Y260" s="26"/>
      <c r="Z260" s="26"/>
    </row>
    <row r="261" spans="21:26" ht="15.75" x14ac:dyDescent="0.25">
      <c r="U261" s="107"/>
      <c r="V261" s="107"/>
      <c r="W261" s="26"/>
      <c r="X261" s="26"/>
      <c r="Y261" s="26"/>
      <c r="Z261" s="26"/>
    </row>
    <row r="262" spans="21:26" ht="15.75" x14ac:dyDescent="0.25">
      <c r="U262" s="107"/>
      <c r="V262" s="107"/>
      <c r="W262" s="26"/>
      <c r="X262" s="26"/>
      <c r="Y262" s="26"/>
      <c r="Z262" s="26"/>
    </row>
    <row r="263" spans="21:26" ht="15.75" x14ac:dyDescent="0.25">
      <c r="U263" s="107"/>
      <c r="V263" s="107"/>
      <c r="W263" s="26"/>
      <c r="X263" s="26"/>
      <c r="Y263" s="26"/>
      <c r="Z263" s="26"/>
    </row>
    <row r="264" spans="21:26" ht="15.75" x14ac:dyDescent="0.25">
      <c r="U264" s="107"/>
      <c r="V264" s="107"/>
      <c r="W264" s="26"/>
      <c r="X264" s="26"/>
      <c r="Y264" s="26"/>
      <c r="Z264" s="26"/>
    </row>
    <row r="265" spans="21:26" ht="15.75" x14ac:dyDescent="0.25">
      <c r="U265" s="107"/>
      <c r="V265" s="107"/>
      <c r="W265" s="26"/>
      <c r="X265" s="26"/>
      <c r="Y265" s="26"/>
      <c r="Z265" s="26"/>
    </row>
    <row r="266" spans="21:26" ht="18.75" x14ac:dyDescent="0.25">
      <c r="U266" s="107"/>
      <c r="V266" s="107"/>
      <c r="W266" s="30"/>
      <c r="X266" s="30"/>
      <c r="Y266" s="30"/>
      <c r="Z266" s="30"/>
    </row>
    <row r="267" spans="21:26" ht="15.75" x14ac:dyDescent="0.25">
      <c r="U267" s="107"/>
      <c r="V267" s="107"/>
      <c r="W267" s="26"/>
      <c r="X267" s="26"/>
      <c r="Y267" s="26"/>
      <c r="Z267" s="26"/>
    </row>
    <row r="268" spans="21:26" ht="15.75" x14ac:dyDescent="0.25">
      <c r="U268" s="107"/>
      <c r="V268" s="107"/>
      <c r="W268" s="26"/>
      <c r="X268" s="26"/>
      <c r="Y268" s="26"/>
      <c r="Z268" s="26"/>
    </row>
    <row r="269" spans="21:26" ht="15.75" x14ac:dyDescent="0.25">
      <c r="U269" s="107"/>
      <c r="V269" s="107"/>
      <c r="W269" s="26"/>
      <c r="X269" s="26"/>
      <c r="Y269" s="26"/>
      <c r="Z269" s="26"/>
    </row>
    <row r="270" spans="21:26" ht="15.75" x14ac:dyDescent="0.25">
      <c r="U270" s="107"/>
      <c r="V270" s="107"/>
      <c r="W270" s="26"/>
      <c r="X270" s="26"/>
      <c r="Y270" s="26"/>
      <c r="Z270" s="26"/>
    </row>
    <row r="271" spans="21:26" ht="15.75" x14ac:dyDescent="0.25">
      <c r="U271" s="107"/>
      <c r="V271" s="107"/>
      <c r="W271" s="26"/>
      <c r="X271" s="26"/>
      <c r="Y271" s="26"/>
      <c r="Z271" s="26"/>
    </row>
    <row r="272" spans="21:26" ht="15.75" x14ac:dyDescent="0.25">
      <c r="U272" s="107"/>
      <c r="V272" s="107"/>
      <c r="W272" s="26"/>
      <c r="X272" s="26"/>
      <c r="Y272" s="26"/>
      <c r="Z272" s="26"/>
    </row>
    <row r="273" spans="21:26" ht="15.75" x14ac:dyDescent="0.25">
      <c r="U273" s="107"/>
      <c r="V273" s="107"/>
      <c r="W273" s="26"/>
      <c r="X273" s="26"/>
      <c r="Y273" s="26"/>
      <c r="Z273" s="26"/>
    </row>
    <row r="274" spans="21:26" ht="15.75" x14ac:dyDescent="0.25">
      <c r="U274" s="107"/>
      <c r="V274" s="107"/>
      <c r="W274" s="26"/>
      <c r="X274" s="26"/>
      <c r="Y274" s="26"/>
      <c r="Z274" s="26"/>
    </row>
    <row r="275" spans="21:26" ht="15.75" x14ac:dyDescent="0.25">
      <c r="U275" s="107"/>
      <c r="V275" s="107"/>
      <c r="W275" s="26"/>
      <c r="X275" s="26"/>
      <c r="Y275" s="26"/>
      <c r="Z275" s="26"/>
    </row>
    <row r="276" spans="21:26" ht="15.75" x14ac:dyDescent="0.25">
      <c r="U276" s="107"/>
      <c r="V276" s="107"/>
      <c r="W276" s="26"/>
      <c r="X276" s="26"/>
      <c r="Y276" s="26"/>
      <c r="Z276" s="26"/>
    </row>
    <row r="277" spans="21:26" ht="18.75" x14ac:dyDescent="0.25">
      <c r="U277" s="107"/>
      <c r="V277" s="107"/>
      <c r="W277" s="30"/>
      <c r="X277" s="30"/>
      <c r="Y277" s="30"/>
      <c r="Z277" s="30"/>
    </row>
    <row r="278" spans="21:26" ht="15.75" x14ac:dyDescent="0.25">
      <c r="U278" s="107"/>
      <c r="V278" s="107"/>
    </row>
    <row r="279" spans="21:26" ht="15.75" x14ac:dyDescent="0.25">
      <c r="U279" s="107"/>
      <c r="V279" s="107"/>
    </row>
    <row r="280" spans="21:26" ht="15.75" x14ac:dyDescent="0.25">
      <c r="U280" s="107"/>
      <c r="V280" s="107"/>
    </row>
    <row r="281" spans="21:26" ht="15.75" x14ac:dyDescent="0.25">
      <c r="U281" s="107"/>
      <c r="V281" s="107"/>
    </row>
    <row r="282" spans="21:26" ht="15.75" x14ac:dyDescent="0.25">
      <c r="U282" s="107"/>
      <c r="V282" s="107"/>
    </row>
    <row r="283" spans="21:26" ht="15.75" x14ac:dyDescent="0.25">
      <c r="U283" s="107"/>
      <c r="V283" s="107"/>
    </row>
    <row r="284" spans="21:26" ht="15.75" x14ac:dyDescent="0.25">
      <c r="U284" s="107"/>
      <c r="V284" s="107"/>
    </row>
    <row r="285" spans="21:26" ht="15.75" x14ac:dyDescent="0.25">
      <c r="U285" s="107"/>
      <c r="V285" s="107"/>
    </row>
    <row r="286" spans="21:26" ht="15.75" x14ac:dyDescent="0.25">
      <c r="U286" s="107"/>
      <c r="V286" s="107"/>
    </row>
    <row r="287" spans="21:26" ht="15.75" x14ac:dyDescent="0.25">
      <c r="U287" s="107"/>
      <c r="V287" s="107"/>
    </row>
    <row r="288" spans="21:26" ht="18.75" x14ac:dyDescent="0.25">
      <c r="U288" s="107"/>
      <c r="V288" s="107"/>
      <c r="W288" s="30"/>
      <c r="X288" s="30"/>
      <c r="Y288" s="30"/>
      <c r="Z288" s="30"/>
    </row>
    <row r="289" spans="21:26" ht="15.75" x14ac:dyDescent="0.25">
      <c r="U289" s="107"/>
      <c r="V289" s="107"/>
    </row>
    <row r="290" spans="21:26" ht="15.75" x14ac:dyDescent="0.25">
      <c r="U290" s="107"/>
      <c r="V290" s="107"/>
    </row>
    <row r="291" spans="21:26" ht="15.75" x14ac:dyDescent="0.25">
      <c r="U291" s="107"/>
      <c r="V291" s="107"/>
    </row>
    <row r="292" spans="21:26" ht="15.75" x14ac:dyDescent="0.25">
      <c r="U292" s="107"/>
      <c r="V292" s="107"/>
    </row>
    <row r="293" spans="21:26" ht="15.75" x14ac:dyDescent="0.25">
      <c r="U293" s="107"/>
      <c r="V293" s="107"/>
    </row>
    <row r="294" spans="21:26" ht="15.75" x14ac:dyDescent="0.25">
      <c r="U294" s="107"/>
      <c r="V294" s="107"/>
    </row>
    <row r="295" spans="21:26" ht="15.75" x14ac:dyDescent="0.25">
      <c r="U295" s="107"/>
      <c r="V295" s="107"/>
    </row>
    <row r="296" spans="21:26" ht="15.75" x14ac:dyDescent="0.25">
      <c r="U296" s="107"/>
      <c r="V296" s="107"/>
    </row>
    <row r="297" spans="21:26" ht="15.75" x14ac:dyDescent="0.25">
      <c r="U297" s="107"/>
      <c r="V297" s="107"/>
    </row>
    <row r="298" spans="21:26" ht="15.75" x14ac:dyDescent="0.25">
      <c r="U298" s="107"/>
      <c r="V298" s="107"/>
    </row>
    <row r="299" spans="21:26" ht="18.75" x14ac:dyDescent="0.25">
      <c r="U299" s="107"/>
      <c r="V299" s="107"/>
      <c r="W299" s="30"/>
      <c r="X299" s="30"/>
      <c r="Y299" s="30"/>
      <c r="Z299" s="30"/>
    </row>
    <row r="300" spans="21:26" ht="15.75" x14ac:dyDescent="0.25">
      <c r="U300" s="107"/>
      <c r="V300" s="107"/>
    </row>
    <row r="301" spans="21:26" ht="15.75" x14ac:dyDescent="0.25">
      <c r="U301" s="107"/>
      <c r="V301" s="107"/>
    </row>
    <row r="302" spans="21:26" ht="15.75" x14ac:dyDescent="0.25">
      <c r="U302" s="107"/>
      <c r="V302" s="107"/>
    </row>
    <row r="303" spans="21:26" ht="15.75" x14ac:dyDescent="0.25">
      <c r="U303" s="107"/>
      <c r="V303" s="107"/>
    </row>
    <row r="304" spans="21:26" ht="15.75" x14ac:dyDescent="0.25">
      <c r="U304" s="107"/>
      <c r="V304" s="107"/>
    </row>
    <row r="305" spans="21:26" ht="15.75" x14ac:dyDescent="0.25">
      <c r="U305" s="107"/>
      <c r="V305" s="107"/>
    </row>
    <row r="306" spans="21:26" ht="15.75" x14ac:dyDescent="0.25">
      <c r="U306" s="107"/>
      <c r="V306" s="107"/>
    </row>
    <row r="307" spans="21:26" ht="15.75" x14ac:dyDescent="0.25">
      <c r="U307" s="107"/>
      <c r="V307" s="107"/>
    </row>
    <row r="308" spans="21:26" ht="15.75" x14ac:dyDescent="0.25">
      <c r="U308" s="107"/>
      <c r="V308" s="107"/>
    </row>
    <row r="309" spans="21:26" ht="15.75" x14ac:dyDescent="0.25">
      <c r="U309" s="107"/>
      <c r="V309" s="107"/>
    </row>
    <row r="310" spans="21:26" ht="18.75" x14ac:dyDescent="0.25">
      <c r="U310" s="107"/>
      <c r="V310" s="107"/>
      <c r="W310" s="30"/>
      <c r="X310" s="30"/>
      <c r="Y310" s="30"/>
      <c r="Z310" s="30"/>
    </row>
    <row r="311" spans="21:26" ht="15.75" x14ac:dyDescent="0.25">
      <c r="U311" s="107"/>
      <c r="V311" s="107"/>
    </row>
    <row r="312" spans="21:26" ht="15.75" x14ac:dyDescent="0.25">
      <c r="U312" s="107"/>
      <c r="V312" s="107"/>
    </row>
    <row r="313" spans="21:26" ht="15.75" x14ac:dyDescent="0.25">
      <c r="U313" s="107"/>
      <c r="V313" s="107"/>
    </row>
    <row r="314" spans="21:26" ht="15.75" x14ac:dyDescent="0.25">
      <c r="U314" s="107"/>
      <c r="V314" s="107"/>
    </row>
    <row r="315" spans="21:26" ht="15.75" x14ac:dyDescent="0.25">
      <c r="U315" s="107"/>
      <c r="V315" s="107"/>
    </row>
    <row r="316" spans="21:26" ht="15.75" x14ac:dyDescent="0.25">
      <c r="U316" s="107"/>
      <c r="V316" s="107"/>
    </row>
    <row r="317" spans="21:26" ht="15.75" x14ac:dyDescent="0.25">
      <c r="U317" s="107"/>
      <c r="V317" s="107"/>
    </row>
    <row r="318" spans="21:26" ht="15.75" x14ac:dyDescent="0.25">
      <c r="U318" s="107"/>
      <c r="V318" s="107"/>
    </row>
    <row r="319" spans="21:26" ht="15.75" x14ac:dyDescent="0.25">
      <c r="U319" s="107"/>
      <c r="V319" s="107"/>
    </row>
    <row r="320" spans="21:26" ht="15.75" x14ac:dyDescent="0.25">
      <c r="U320" s="107"/>
      <c r="V320" s="107"/>
    </row>
    <row r="321" spans="21:26" ht="18.75" x14ac:dyDescent="0.25">
      <c r="U321" s="107"/>
      <c r="V321" s="107"/>
      <c r="W321" s="30"/>
      <c r="X321" s="30"/>
      <c r="Y321" s="30"/>
      <c r="Z321" s="30"/>
    </row>
    <row r="322" spans="21:26" ht="15.75" x14ac:dyDescent="0.25">
      <c r="U322" s="107"/>
      <c r="V322" s="107"/>
    </row>
    <row r="323" spans="21:26" ht="15.75" x14ac:dyDescent="0.25">
      <c r="U323" s="107"/>
      <c r="V323" s="107"/>
    </row>
    <row r="324" spans="21:26" ht="15.75" x14ac:dyDescent="0.25">
      <c r="U324" s="107"/>
      <c r="V324" s="107"/>
    </row>
    <row r="325" spans="21:26" ht="15.75" x14ac:dyDescent="0.25">
      <c r="U325" s="107"/>
      <c r="V325" s="107"/>
    </row>
    <row r="326" spans="21:26" ht="15.75" x14ac:dyDescent="0.25">
      <c r="U326" s="107"/>
      <c r="V326" s="107"/>
    </row>
    <row r="327" spans="21:26" ht="15.75" x14ac:dyDescent="0.25">
      <c r="U327" s="107"/>
      <c r="V327" s="107"/>
    </row>
    <row r="328" spans="21:26" ht="15.75" x14ac:dyDescent="0.25">
      <c r="U328" s="107"/>
      <c r="V328" s="107"/>
    </row>
    <row r="329" spans="21:26" ht="15.75" x14ac:dyDescent="0.25">
      <c r="U329" s="107"/>
      <c r="V329" s="107"/>
    </row>
    <row r="330" spans="21:26" ht="15.75" x14ac:dyDescent="0.25">
      <c r="U330" s="107"/>
      <c r="V330" s="107"/>
    </row>
    <row r="331" spans="21:26" ht="15.75" x14ac:dyDescent="0.25">
      <c r="U331" s="107"/>
      <c r="V331" s="107"/>
    </row>
    <row r="332" spans="21:26" ht="18.75" x14ac:dyDescent="0.25">
      <c r="U332" s="107"/>
      <c r="V332" s="107"/>
      <c r="W332" s="30"/>
      <c r="X332" s="30"/>
      <c r="Y332" s="30"/>
      <c r="Z332" s="30"/>
    </row>
    <row r="333" spans="21:26" ht="15.75" x14ac:dyDescent="0.25">
      <c r="U333" s="107"/>
      <c r="V333" s="107"/>
    </row>
    <row r="334" spans="21:26" ht="15.75" x14ac:dyDescent="0.25">
      <c r="U334" s="107"/>
      <c r="V334" s="107"/>
    </row>
    <row r="335" spans="21:26" ht="15.75" x14ac:dyDescent="0.25">
      <c r="U335" s="107"/>
      <c r="V335" s="107"/>
    </row>
    <row r="336" spans="21:26" ht="15.75" x14ac:dyDescent="0.25">
      <c r="U336" s="107"/>
      <c r="V336" s="107"/>
    </row>
    <row r="337" spans="21:26" ht="15.75" x14ac:dyDescent="0.25">
      <c r="U337" s="107"/>
      <c r="V337" s="107"/>
    </row>
    <row r="338" spans="21:26" ht="15.75" x14ac:dyDescent="0.25">
      <c r="U338" s="107"/>
      <c r="V338" s="107"/>
    </row>
    <row r="339" spans="21:26" ht="15.75" x14ac:dyDescent="0.25">
      <c r="U339" s="107"/>
      <c r="V339" s="107"/>
    </row>
    <row r="340" spans="21:26" ht="15.75" x14ac:dyDescent="0.25">
      <c r="U340" s="107"/>
      <c r="V340" s="107"/>
    </row>
    <row r="341" spans="21:26" ht="15.75" x14ac:dyDescent="0.25">
      <c r="U341" s="107"/>
      <c r="V341" s="107"/>
    </row>
    <row r="342" spans="21:26" ht="15.75" x14ac:dyDescent="0.25">
      <c r="U342" s="107"/>
      <c r="V342" s="107"/>
    </row>
    <row r="343" spans="21:26" ht="18.75" x14ac:dyDescent="0.25">
      <c r="U343" s="107"/>
      <c r="V343" s="107"/>
      <c r="W343" s="30"/>
      <c r="X343" s="30"/>
      <c r="Y343" s="30"/>
      <c r="Z343" s="30"/>
    </row>
    <row r="344" spans="21:26" ht="15.75" x14ac:dyDescent="0.25">
      <c r="U344" s="107"/>
      <c r="V344" s="107"/>
    </row>
    <row r="345" spans="21:26" ht="15.75" x14ac:dyDescent="0.25">
      <c r="U345" s="107"/>
      <c r="V345" s="107"/>
    </row>
    <row r="346" spans="21:26" ht="15.75" x14ac:dyDescent="0.25">
      <c r="U346" s="107"/>
      <c r="V346" s="107"/>
    </row>
    <row r="347" spans="21:26" ht="15.75" x14ac:dyDescent="0.25">
      <c r="U347" s="107"/>
      <c r="V347" s="107"/>
    </row>
    <row r="348" spans="21:26" ht="15.75" x14ac:dyDescent="0.25">
      <c r="U348" s="107"/>
      <c r="V348" s="107"/>
    </row>
    <row r="349" spans="21:26" ht="15.75" x14ac:dyDescent="0.25">
      <c r="U349" s="107"/>
      <c r="V349" s="107"/>
    </row>
    <row r="350" spans="21:26" ht="15.75" x14ac:dyDescent="0.25">
      <c r="U350" s="107"/>
      <c r="V350" s="107"/>
    </row>
    <row r="351" spans="21:26" ht="15.75" x14ac:dyDescent="0.25">
      <c r="U351" s="107"/>
      <c r="V351" s="107"/>
    </row>
    <row r="352" spans="21:26" ht="15.75" x14ac:dyDescent="0.25">
      <c r="U352" s="107"/>
      <c r="V352" s="107"/>
    </row>
    <row r="353" spans="21:22" ht="15.75" x14ac:dyDescent="0.25">
      <c r="U353" s="107"/>
      <c r="V353" s="107"/>
    </row>
    <row r="354" spans="21:22" ht="15.75" x14ac:dyDescent="0.25">
      <c r="U354" s="107"/>
      <c r="V354" s="107"/>
    </row>
    <row r="355" spans="21:22" ht="15.75" x14ac:dyDescent="0.25">
      <c r="U355" s="107"/>
      <c r="V355" s="107"/>
    </row>
    <row r="356" spans="21:22" ht="15.75" x14ac:dyDescent="0.25">
      <c r="U356" s="107"/>
      <c r="V356" s="107"/>
    </row>
    <row r="357" spans="21:22" ht="15.75" x14ac:dyDescent="0.25">
      <c r="U357" s="107"/>
      <c r="V357" s="107"/>
    </row>
    <row r="358" spans="21:22" ht="15.75" x14ac:dyDescent="0.25">
      <c r="U358" s="107"/>
      <c r="V358" s="107"/>
    </row>
    <row r="359" spans="21:22" ht="15.75" x14ac:dyDescent="0.25">
      <c r="U359" s="107"/>
      <c r="V359" s="107"/>
    </row>
    <row r="360" spans="21:22" ht="15.75" x14ac:dyDescent="0.25">
      <c r="U360" s="107"/>
      <c r="V360" s="107"/>
    </row>
    <row r="361" spans="21:22" ht="15.75" x14ac:dyDescent="0.25">
      <c r="U361" s="107"/>
      <c r="V361" s="107"/>
    </row>
    <row r="362" spans="21:22" ht="15.75" x14ac:dyDescent="0.25">
      <c r="U362" s="107"/>
      <c r="V362" s="107"/>
    </row>
    <row r="363" spans="21:22" ht="15.75" x14ac:dyDescent="0.25">
      <c r="U363" s="107"/>
      <c r="V363" s="107"/>
    </row>
    <row r="364" spans="21:22" ht="15.75" x14ac:dyDescent="0.25">
      <c r="U364" s="107"/>
      <c r="V364" s="107"/>
    </row>
    <row r="365" spans="21:22" ht="15.75" x14ac:dyDescent="0.25">
      <c r="U365" s="107"/>
      <c r="V365" s="107"/>
    </row>
    <row r="366" spans="21:22" ht="15.75" x14ac:dyDescent="0.25">
      <c r="U366" s="107"/>
      <c r="V366" s="107"/>
    </row>
    <row r="367" spans="21:22" ht="15.75" x14ac:dyDescent="0.25">
      <c r="U367" s="107"/>
      <c r="V367" s="107"/>
    </row>
  </sheetData>
  <sheetProtection algorithmName="SHA-512" hashValue="Z6WyNMgCloVBPeQu9yt8zvObSMWOkMftul9gmt010MJ7O7DTCvcJAjctkVXwJWyCYgQQEgeRH8c62MhMcDlJFw==" saltValue="0fuWKZhVbgTRux6kTqlXig==" spinCount="100000" sheet="1" objects="1" scenarios="1"/>
  <mergeCells count="3">
    <mergeCell ref="B3:N3"/>
    <mergeCell ref="AC1:AH1"/>
    <mergeCell ref="V1:Z1"/>
  </mergeCell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xr:uid="{00000000-0002-0000-1000-000001000000}">
          <x14:formula1>
            <xm:f>Unit!#REF!</xm:f>
          </x14:formula1>
          <xm:sqref>W255:Z255 W156:Z156 W145:Z145 W134:Z134 W123:Z123 W79:Z79 W211:Z211 W200:Z200 W178:Z178 W299:Z299 W288:Z288 W277:Z277 W266:Z266 W343:Z343 W310:Z310 W321:Z321 W332:Z332 W244:Z244 W233:Z233 W222:Z222 W112:Z112 W101:Z101 W90:Z90 W68:Z68 W57:Z57 W46:Z46 W35:Z35 W24:Z24 W189:Z189 W167:Z167 W13:Z13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B050"/>
  </sheetPr>
  <dimension ref="A1:S252"/>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60.1406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'Termite Protection'!A2+1</f>
        <v>10</v>
      </c>
      <c r="B2" s="73" t="s" cm="1">
        <v>2439</v>
      </c>
      <c r="C2" s="75"/>
      <c r="D2" s="76"/>
      <c r="E2" s="77"/>
      <c r="F2" s="78"/>
      <c r="G2" s="207"/>
      <c r="H2" s="221" t="s">
        <v>26</v>
      </c>
      <c r="I2" s="222" t="s">
        <v>27</v>
      </c>
      <c r="J2" s="222" t="s">
        <v>28</v>
      </c>
      <c r="K2" s="222" t="s">
        <v>34</v>
      </c>
      <c r="L2" s="222" t="s">
        <v>615</v>
      </c>
      <c r="M2" s="80"/>
      <c r="N2" s="71"/>
    </row>
    <row r="3" spans="1:19" s="90" customFormat="1" ht="37.5" x14ac:dyDescent="0.25">
      <c r="A3" s="82">
        <f ca="1">IF(C3&gt;0,MAX($A$1:OFFSET(A3,-1,0))+0.01,"")</f>
        <v>10.01</v>
      </c>
      <c r="B3" s="27" t="s">
        <v>2351</v>
      </c>
      <c r="C3" s="83">
        <v>121.13</v>
      </c>
      <c r="D3" s="29" t="s">
        <v>11</v>
      </c>
      <c r="E3" s="85"/>
      <c r="F3" s="86">
        <f>IF(E3="inc",0,IF(C3="",0,C3*E3))</f>
        <v>0</v>
      </c>
      <c r="G3" s="208"/>
      <c r="H3" s="30"/>
      <c r="I3" s="30"/>
      <c r="J3" s="30"/>
      <c r="K3" s="30"/>
      <c r="L3" s="30"/>
      <c r="M3" s="87"/>
      <c r="N3" s="88"/>
      <c r="O3" s="25"/>
      <c r="P3" s="25"/>
      <c r="Q3" s="25"/>
      <c r="R3" s="25"/>
      <c r="S3" s="25"/>
    </row>
    <row r="4" spans="1:19" s="94" customFormat="1" ht="15.6" customHeight="1" x14ac:dyDescent="0.25">
      <c r="A4" s="24"/>
      <c r="B4" s="113" t="s">
        <v>2440</v>
      </c>
      <c r="C4" s="32">
        <v>121.13</v>
      </c>
      <c r="D4" s="32" t="s">
        <v>11</v>
      </c>
      <c r="E4" s="26"/>
      <c r="F4" s="33"/>
      <c r="G4" s="209"/>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90" customFormat="1" ht="18.75" x14ac:dyDescent="0.25">
      <c r="A6" s="82">
        <f ca="1">IF(C6&gt;0,MAX($A$1:OFFSET(A6,-1,0))+0.01,"")</f>
        <v>10.02</v>
      </c>
      <c r="B6" s="27" t="s">
        <v>895</v>
      </c>
      <c r="C6" s="98">
        <v>121.13</v>
      </c>
      <c r="D6" s="29" t="s">
        <v>11</v>
      </c>
      <c r="E6" s="85"/>
      <c r="F6" s="86">
        <f>IF(E6="inc",0,IF(C6="",0,C6*E6))</f>
        <v>0</v>
      </c>
      <c r="G6" s="208"/>
      <c r="H6" s="30"/>
      <c r="I6" s="30"/>
      <c r="J6" s="30"/>
      <c r="K6" s="30"/>
      <c r="L6" s="30"/>
      <c r="M6" s="87"/>
      <c r="N6" s="88"/>
      <c r="O6" s="25"/>
      <c r="P6" s="25"/>
      <c r="Q6" s="25"/>
      <c r="R6" s="25"/>
      <c r="S6" s="25"/>
    </row>
    <row r="7" spans="1:19" s="94" customFormat="1" ht="15.75" x14ac:dyDescent="0.25">
      <c r="A7" s="24"/>
      <c r="B7" s="24"/>
      <c r="C7" s="32">
        <v>121.13</v>
      </c>
      <c r="D7" s="32" t="s">
        <v>11</v>
      </c>
      <c r="E7" s="26"/>
      <c r="F7" s="33"/>
      <c r="G7" s="210"/>
      <c r="H7" s="26"/>
      <c r="I7" s="26"/>
      <c r="J7" s="26"/>
      <c r="K7" s="26"/>
      <c r="L7" s="26"/>
      <c r="M7" s="34"/>
      <c r="N7" s="32"/>
      <c r="O7" s="44"/>
    </row>
    <row r="8" spans="1:19" s="94" customFormat="1" ht="15.75" x14ac:dyDescent="0.25">
      <c r="A8" s="24"/>
      <c r="B8" s="24"/>
      <c r="C8" s="32" t="s">
        <v>2346</v>
      </c>
      <c r="D8" s="32" t="s">
        <v>2346</v>
      </c>
      <c r="E8" s="26"/>
      <c r="F8" s="33"/>
      <c r="G8" s="210"/>
      <c r="H8" s="26"/>
      <c r="I8" s="26"/>
      <c r="J8" s="26"/>
      <c r="K8" s="26"/>
      <c r="L8" s="26"/>
      <c r="M8" s="34"/>
      <c r="N8" s="32"/>
      <c r="O8" s="44"/>
    </row>
    <row r="9" spans="1:19" s="90" customFormat="1" ht="18.75" x14ac:dyDescent="0.25">
      <c r="A9" s="82">
        <f ca="1">IF(C9&gt;0,MAX($A$1:OFFSET(A9,-1,0))+0.01,"")</f>
        <v>10.029999999999999</v>
      </c>
      <c r="B9" s="27" t="s">
        <v>894</v>
      </c>
      <c r="C9" s="98">
        <v>121.13</v>
      </c>
      <c r="D9" s="29" t="s">
        <v>11</v>
      </c>
      <c r="E9" s="85"/>
      <c r="F9" s="86">
        <f>IF(E9="inc",0,IF(C9="",0,C9*E9))</f>
        <v>0</v>
      </c>
      <c r="G9" s="208"/>
      <c r="H9" s="30"/>
      <c r="I9" s="30"/>
      <c r="J9" s="30"/>
      <c r="K9" s="30"/>
      <c r="L9" s="30"/>
      <c r="M9" s="87"/>
      <c r="N9" s="88"/>
      <c r="O9" s="25"/>
      <c r="P9" s="25"/>
      <c r="Q9" s="25"/>
      <c r="R9" s="25"/>
      <c r="S9" s="25"/>
    </row>
    <row r="10" spans="1:19" s="94" customFormat="1" ht="15.75" x14ac:dyDescent="0.25">
      <c r="A10" s="24"/>
      <c r="B10" s="24"/>
      <c r="C10" s="32">
        <v>121.13</v>
      </c>
      <c r="D10" s="32" t="s">
        <v>11</v>
      </c>
      <c r="E10" s="26"/>
      <c r="F10" s="33"/>
      <c r="G10" s="210"/>
      <c r="H10" s="26"/>
      <c r="I10" s="26"/>
      <c r="J10" s="26"/>
      <c r="K10" s="26"/>
      <c r="L10" s="26"/>
      <c r="M10" s="34"/>
      <c r="N10" s="32"/>
      <c r="O10" s="44"/>
    </row>
    <row r="11" spans="1:19" s="94" customFormat="1" ht="15.75" x14ac:dyDescent="0.25">
      <c r="A11" s="24"/>
      <c r="B11" s="24"/>
      <c r="C11" s="32" t="s">
        <v>2346</v>
      </c>
      <c r="D11" s="32" t="s">
        <v>2346</v>
      </c>
      <c r="E11" s="26"/>
      <c r="F11" s="33"/>
      <c r="G11" s="210"/>
      <c r="H11" s="26"/>
      <c r="I11" s="26"/>
      <c r="J11" s="26"/>
      <c r="K11" s="26"/>
      <c r="L11" s="26"/>
      <c r="M11" s="34"/>
      <c r="N11" s="32"/>
      <c r="O11" s="44"/>
    </row>
    <row r="12" spans="1:19" s="90" customFormat="1" ht="18.75" x14ac:dyDescent="0.25">
      <c r="A12" s="82">
        <f ca="1">IF(C12&gt;0,MAX($A$1:OFFSET(A12,-1,0))+0.01,"")</f>
        <v>10.039999999999999</v>
      </c>
      <c r="B12" s="27" t="s">
        <v>129</v>
      </c>
      <c r="C12" s="83">
        <v>121.13</v>
      </c>
      <c r="D12" s="29" t="s">
        <v>11</v>
      </c>
      <c r="E12" s="85"/>
      <c r="F12" s="86">
        <f>IF(E12="inc",0,IF(C12="",0,C12*E12))</f>
        <v>0</v>
      </c>
      <c r="G12" s="208"/>
      <c r="H12" s="30"/>
      <c r="I12" s="30"/>
      <c r="J12" s="30"/>
      <c r="K12" s="30"/>
      <c r="L12" s="30"/>
      <c r="M12" s="87"/>
      <c r="N12" s="88"/>
      <c r="O12" s="25"/>
      <c r="P12" s="25"/>
      <c r="Q12" s="25"/>
      <c r="R12" s="25"/>
      <c r="S12" s="25"/>
    </row>
    <row r="13" spans="1:19" s="94" customFormat="1" ht="15.75" x14ac:dyDescent="0.25">
      <c r="A13" s="112" t="str">
        <f>IF(C13="","d","")</f>
        <v/>
      </c>
      <c r="B13" s="24" t="s">
        <v>173</v>
      </c>
      <c r="C13" s="32">
        <v>121.13</v>
      </c>
      <c r="D13" s="32" t="s">
        <v>11</v>
      </c>
      <c r="E13" s="26"/>
      <c r="F13" s="33"/>
      <c r="G13" s="210"/>
      <c r="H13" s="26"/>
      <c r="I13" s="26"/>
      <c r="J13" s="26"/>
      <c r="K13" s="26"/>
      <c r="L13" s="26"/>
      <c r="M13" s="34"/>
      <c r="N13" s="32"/>
      <c r="O13" s="44"/>
    </row>
    <row r="14" spans="1:19" s="94" customFormat="1" ht="15.75" x14ac:dyDescent="0.25">
      <c r="A14" s="24"/>
      <c r="B14" s="24"/>
      <c r="C14" s="32" t="s">
        <v>2346</v>
      </c>
      <c r="D14" s="32">
        <v>0</v>
      </c>
      <c r="E14" s="26"/>
      <c r="F14" s="33"/>
      <c r="G14" s="210"/>
      <c r="H14" s="26"/>
      <c r="I14" s="26"/>
      <c r="J14" s="26"/>
      <c r="K14" s="26"/>
      <c r="L14" s="26"/>
      <c r="M14" s="34"/>
      <c r="N14" s="32"/>
      <c r="O14" s="44"/>
    </row>
    <row r="15" spans="1:19" s="90" customFormat="1" ht="18.75" x14ac:dyDescent="0.25">
      <c r="A15" s="82">
        <f ca="1">IF(C15&gt;0,MAX($A$1:OFFSET(A15,-1,0))+0.01,"")</f>
        <v>10.049999999999999</v>
      </c>
      <c r="B15" s="27" t="s">
        <v>886</v>
      </c>
      <c r="C15" s="97">
        <v>32.96</v>
      </c>
      <c r="D15" s="29" t="s">
        <v>15</v>
      </c>
      <c r="E15" s="85"/>
      <c r="F15" s="86">
        <f>IF(E15="inc",0,IF(C15="",0,C15*E15))</f>
        <v>0</v>
      </c>
      <c r="G15" s="208"/>
      <c r="H15" s="30"/>
      <c r="I15" s="30"/>
      <c r="J15" s="30"/>
      <c r="K15" s="30"/>
      <c r="L15" s="30"/>
      <c r="M15" s="87"/>
      <c r="N15" s="88"/>
      <c r="O15" s="25"/>
      <c r="P15" s="25"/>
      <c r="Q15" s="25"/>
      <c r="R15" s="25"/>
      <c r="S15" s="25"/>
    </row>
    <row r="16" spans="1:19" s="94" customFormat="1" ht="15.75" x14ac:dyDescent="0.25">
      <c r="A16" s="24"/>
      <c r="B16" s="24"/>
      <c r="C16" s="32">
        <v>32.96</v>
      </c>
      <c r="D16" s="32" t="s">
        <v>15</v>
      </c>
      <c r="E16" s="26"/>
      <c r="F16" s="33"/>
      <c r="G16" s="210"/>
      <c r="H16" s="26"/>
      <c r="I16" s="26"/>
      <c r="J16" s="26"/>
      <c r="K16" s="26"/>
      <c r="L16" s="26"/>
      <c r="M16" s="34"/>
      <c r="N16" s="32"/>
      <c r="O16" s="44"/>
    </row>
    <row r="17" spans="1:19" s="94" customFormat="1" ht="15.75" x14ac:dyDescent="0.25">
      <c r="A17" s="24"/>
      <c r="B17" s="24"/>
      <c r="C17" s="32" t="s">
        <v>2346</v>
      </c>
      <c r="D17" s="32">
        <v>0</v>
      </c>
      <c r="E17" s="26"/>
      <c r="F17" s="33"/>
      <c r="G17" s="210"/>
      <c r="H17" s="26"/>
      <c r="I17" s="26"/>
      <c r="J17" s="26"/>
      <c r="K17" s="26"/>
      <c r="L17" s="26"/>
      <c r="M17" s="34"/>
      <c r="N17" s="32"/>
      <c r="O17" s="44"/>
    </row>
    <row r="18" spans="1:19" s="90" customFormat="1" ht="18.75" x14ac:dyDescent="0.25">
      <c r="A18" s="82">
        <f ca="1">IF(C18&gt;0,MAX($A$1:OFFSET(A18,-1,0))+0.01,"")</f>
        <v>10.059999999999999</v>
      </c>
      <c r="B18" s="27" t="s">
        <v>130</v>
      </c>
      <c r="C18" s="97">
        <v>60.177999999999997</v>
      </c>
      <c r="D18" s="29" t="s">
        <v>15</v>
      </c>
      <c r="E18" s="85"/>
      <c r="F18" s="86">
        <f>IF(E18="inc",0,IF(C18="",0,C18*E18))</f>
        <v>0</v>
      </c>
      <c r="G18" s="208"/>
      <c r="H18" s="30"/>
      <c r="I18" s="30"/>
      <c r="J18" s="30"/>
      <c r="K18" s="30"/>
      <c r="L18" s="30"/>
      <c r="M18" s="87"/>
      <c r="N18" s="88"/>
      <c r="O18" s="25"/>
      <c r="P18" s="25"/>
      <c r="Q18" s="25"/>
      <c r="R18" s="25"/>
      <c r="S18" s="25"/>
    </row>
    <row r="19" spans="1:19" s="94" customFormat="1" ht="15.75" x14ac:dyDescent="0.25">
      <c r="A19" s="24"/>
      <c r="B19" s="387" t="s">
        <v>2311</v>
      </c>
      <c r="C19" s="32">
        <v>60.177999999999997</v>
      </c>
      <c r="D19" s="32" t="s">
        <v>15</v>
      </c>
      <c r="E19" s="26"/>
      <c r="F19" s="33"/>
      <c r="G19" s="210"/>
      <c r="H19" s="26"/>
      <c r="I19" s="26"/>
      <c r="J19" s="26"/>
      <c r="K19" s="26"/>
      <c r="L19" s="26"/>
      <c r="M19" s="34"/>
      <c r="N19" s="32"/>
      <c r="O19" s="44"/>
    </row>
    <row r="20" spans="1:19" s="94" customFormat="1" ht="15.75" x14ac:dyDescent="0.25">
      <c r="A20" s="24"/>
      <c r="B20" s="24"/>
      <c r="C20" s="32" t="s">
        <v>2346</v>
      </c>
      <c r="D20" s="32">
        <v>0</v>
      </c>
      <c r="E20" s="26"/>
      <c r="F20" s="33"/>
      <c r="G20" s="210"/>
      <c r="H20" s="26"/>
      <c r="I20" s="26"/>
      <c r="J20" s="26"/>
      <c r="K20" s="26"/>
      <c r="L20" s="26"/>
      <c r="M20" s="34"/>
      <c r="N20" s="32"/>
      <c r="O20" s="44"/>
    </row>
    <row r="21" spans="1:19" s="90" customFormat="1" ht="18.75" x14ac:dyDescent="0.25">
      <c r="A21" s="82">
        <f ca="1">IF(C21&gt;0,MAX($A$1:OFFSET(A21,-1,0))+0.01,"")</f>
        <v>10.069999999999999</v>
      </c>
      <c r="B21" s="27" t="s">
        <v>838</v>
      </c>
      <c r="C21" s="97">
        <v>11.92</v>
      </c>
      <c r="D21" s="29" t="s">
        <v>15</v>
      </c>
      <c r="E21" s="85"/>
      <c r="F21" s="86">
        <f>IF(E21="inc",0,IF(C21="",0,C21*E21))</f>
        <v>0</v>
      </c>
      <c r="G21" s="208"/>
      <c r="H21" s="30"/>
      <c r="I21" s="30"/>
      <c r="J21" s="30"/>
      <c r="K21" s="30"/>
      <c r="L21" s="30"/>
      <c r="M21" s="87"/>
      <c r="N21" s="88"/>
      <c r="O21" s="25"/>
      <c r="P21" s="25"/>
      <c r="Q21" s="25"/>
      <c r="R21" s="25"/>
      <c r="S21" s="25"/>
    </row>
    <row r="22" spans="1:19" s="94" customFormat="1" ht="15.75" x14ac:dyDescent="0.25">
      <c r="A22" s="24"/>
      <c r="B22" s="24" t="s">
        <v>2352</v>
      </c>
      <c r="C22" s="32">
        <v>11.92</v>
      </c>
      <c r="D22" s="32" t="s">
        <v>15</v>
      </c>
      <c r="E22" s="26"/>
      <c r="F22" s="33"/>
      <c r="G22" s="210"/>
      <c r="H22" s="26"/>
      <c r="I22" s="26"/>
      <c r="J22" s="26"/>
      <c r="K22" s="26"/>
      <c r="L22" s="26"/>
      <c r="M22" s="34"/>
      <c r="N22" s="32"/>
      <c r="O22" s="44"/>
    </row>
    <row r="23" spans="1:19" s="94" customFormat="1" ht="15.75" x14ac:dyDescent="0.25">
      <c r="A23" s="24"/>
      <c r="B23" s="386"/>
      <c r="C23" s="32" t="s">
        <v>2346</v>
      </c>
      <c r="D23" s="32">
        <v>0</v>
      </c>
      <c r="E23" s="26"/>
      <c r="F23" s="33"/>
      <c r="G23" s="210"/>
      <c r="H23" s="26"/>
      <c r="I23" s="26"/>
      <c r="J23" s="26"/>
      <c r="K23" s="26"/>
      <c r="L23" s="26"/>
      <c r="M23" s="34"/>
      <c r="N23" s="32"/>
      <c r="O23" s="44"/>
    </row>
    <row r="24" spans="1:19" s="90" customFormat="1" ht="18.75" x14ac:dyDescent="0.25">
      <c r="A24" s="82">
        <f ca="1">IF(C24&gt;0,MAX($A$1:OFFSET(A24,-1,0))+0.01,"")</f>
        <v>10.079999999999998</v>
      </c>
      <c r="B24" s="27" t="s">
        <v>885</v>
      </c>
      <c r="C24" s="98">
        <v>82.29</v>
      </c>
      <c r="D24" s="29" t="s">
        <v>15</v>
      </c>
      <c r="E24" s="85"/>
      <c r="F24" s="86">
        <f>IF(E24="inc",0,IF(C24="",0,C24*E24))</f>
        <v>0</v>
      </c>
      <c r="G24" s="208"/>
      <c r="H24" s="30"/>
      <c r="I24" s="30"/>
      <c r="J24" s="30"/>
      <c r="K24" s="30"/>
      <c r="L24" s="30"/>
      <c r="M24" s="87"/>
      <c r="N24" s="88"/>
      <c r="O24" s="25"/>
      <c r="P24" s="25"/>
      <c r="Q24" s="25"/>
      <c r="R24" s="25"/>
      <c r="S24" s="25"/>
    </row>
    <row r="25" spans="1:19" s="94" customFormat="1" ht="15.75" x14ac:dyDescent="0.25">
      <c r="A25" s="24"/>
      <c r="B25" s="24" t="s">
        <v>625</v>
      </c>
      <c r="C25" s="32">
        <v>82.29</v>
      </c>
      <c r="D25" s="32" t="s">
        <v>15</v>
      </c>
      <c r="E25" s="26"/>
      <c r="F25" s="33"/>
      <c r="G25" s="210"/>
      <c r="H25" s="26"/>
      <c r="I25" s="26"/>
      <c r="J25" s="26"/>
      <c r="K25" s="26"/>
      <c r="L25" s="26"/>
      <c r="M25" s="34"/>
      <c r="N25" s="32"/>
      <c r="O25" s="44"/>
    </row>
    <row r="26" spans="1:19" s="94" customFormat="1" ht="15.75" x14ac:dyDescent="0.25">
      <c r="A26" s="24"/>
      <c r="B26" s="24"/>
      <c r="C26" s="32" t="s">
        <v>2346</v>
      </c>
      <c r="D26" s="32">
        <v>0</v>
      </c>
      <c r="E26" s="26"/>
      <c r="F26" s="33"/>
      <c r="G26" s="210"/>
      <c r="H26" s="26"/>
      <c r="I26" s="26"/>
      <c r="J26" s="26"/>
      <c r="K26" s="26"/>
      <c r="L26" s="26"/>
      <c r="M26" s="34"/>
      <c r="N26" s="32"/>
      <c r="O26" s="44"/>
    </row>
    <row r="27" spans="1:19" s="90" customFormat="1" ht="18.75" x14ac:dyDescent="0.25">
      <c r="A27" s="82">
        <f ca="1">IF(C27&gt;0,MAX($A$1:OFFSET(A27,-1,0))+0.01,"")</f>
        <v>10.089999999999998</v>
      </c>
      <c r="B27" s="27" t="s">
        <v>230</v>
      </c>
      <c r="C27" s="98">
        <v>121.13</v>
      </c>
      <c r="D27" s="29" t="s">
        <v>11</v>
      </c>
      <c r="E27" s="85"/>
      <c r="F27" s="86">
        <f>IF(E27="inc",0,IF(C27="",0,C27*E27))</f>
        <v>0</v>
      </c>
      <c r="G27" s="208"/>
      <c r="H27" s="30"/>
      <c r="I27" s="30"/>
      <c r="J27" s="30"/>
      <c r="K27" s="30"/>
      <c r="L27" s="30"/>
      <c r="M27" s="87"/>
      <c r="N27" s="88"/>
      <c r="O27" s="25"/>
      <c r="P27" s="25"/>
      <c r="Q27" s="25"/>
      <c r="R27" s="25"/>
      <c r="S27" s="25"/>
    </row>
    <row r="28" spans="1:19" s="94" customFormat="1" ht="15.75" x14ac:dyDescent="0.25">
      <c r="A28" s="24"/>
      <c r="B28" s="24" t="s">
        <v>174</v>
      </c>
      <c r="C28" s="32">
        <v>121.13</v>
      </c>
      <c r="D28" s="32" t="s">
        <v>11</v>
      </c>
      <c r="E28" s="26"/>
      <c r="F28" s="33"/>
      <c r="G28" s="210"/>
      <c r="H28" s="26"/>
      <c r="I28" s="26"/>
      <c r="J28" s="26"/>
      <c r="K28" s="26"/>
      <c r="L28" s="26"/>
      <c r="M28" s="34"/>
      <c r="N28" s="32"/>
      <c r="O28" s="44"/>
    </row>
    <row r="29" spans="1:19" s="94" customFormat="1" ht="15.75" x14ac:dyDescent="0.25">
      <c r="A29" s="24"/>
      <c r="B29" s="24"/>
      <c r="C29" s="32" t="s">
        <v>2346</v>
      </c>
      <c r="D29" s="32">
        <v>0</v>
      </c>
      <c r="E29" s="26"/>
      <c r="F29" s="33"/>
      <c r="G29" s="210"/>
      <c r="H29" s="26"/>
      <c r="I29" s="26"/>
      <c r="J29" s="26"/>
      <c r="K29" s="26"/>
      <c r="L29" s="26"/>
      <c r="M29" s="34"/>
      <c r="N29" s="32"/>
      <c r="O29" s="44"/>
    </row>
    <row r="30" spans="1:19" s="90" customFormat="1" ht="18.75" x14ac:dyDescent="0.25">
      <c r="A30" s="82">
        <f ca="1">IF(C30&gt;0,MAX($A$1:OFFSET(A30,-1,0))+0.01,"")</f>
        <v>10.099999999999998</v>
      </c>
      <c r="B30" s="27" t="s">
        <v>2354</v>
      </c>
      <c r="C30" s="98">
        <v>101.02</v>
      </c>
      <c r="D30" s="29" t="s">
        <v>11</v>
      </c>
      <c r="E30" s="85"/>
      <c r="F30" s="86">
        <f>IF(E30="inc",0,IF(C30="",0,C30*E30))</f>
        <v>0</v>
      </c>
      <c r="G30" s="208"/>
      <c r="H30" s="30"/>
      <c r="I30" s="30"/>
      <c r="J30" s="30"/>
      <c r="K30" s="30"/>
      <c r="L30" s="30"/>
      <c r="M30" s="87"/>
      <c r="N30" s="88"/>
      <c r="O30" s="25"/>
      <c r="P30" s="25"/>
      <c r="Q30" s="25"/>
      <c r="R30" s="25"/>
      <c r="S30" s="25"/>
    </row>
    <row r="31" spans="1:19" s="94" customFormat="1" ht="15.75" x14ac:dyDescent="0.25">
      <c r="A31" s="112" t="str">
        <f>IF(C31="","d","")</f>
        <v/>
      </c>
      <c r="B31" s="24" t="s">
        <v>171</v>
      </c>
      <c r="C31" s="32">
        <v>101.02</v>
      </c>
      <c r="D31" s="32" t="s">
        <v>11</v>
      </c>
      <c r="E31" s="26"/>
      <c r="F31" s="33"/>
      <c r="G31" s="210"/>
      <c r="H31" s="26"/>
      <c r="I31" s="26"/>
      <c r="J31" s="26"/>
      <c r="K31" s="26"/>
      <c r="L31" s="26"/>
      <c r="M31" s="34"/>
      <c r="N31" s="32"/>
      <c r="O31" s="44"/>
    </row>
    <row r="32" spans="1:19" s="94" customFormat="1" ht="15.75" x14ac:dyDescent="0.25">
      <c r="A32" s="24"/>
      <c r="B32" s="24"/>
      <c r="C32" s="32" t="s">
        <v>2346</v>
      </c>
      <c r="D32" s="32">
        <v>0</v>
      </c>
      <c r="E32" s="26"/>
      <c r="F32" s="33"/>
      <c r="G32" s="210"/>
      <c r="H32" s="26"/>
      <c r="I32" s="26"/>
      <c r="J32" s="26"/>
      <c r="K32" s="26"/>
      <c r="L32" s="26"/>
      <c r="M32" s="34"/>
      <c r="N32" s="32"/>
      <c r="O32" s="44"/>
    </row>
    <row r="33" spans="1:19" s="90" customFormat="1" ht="18.75" x14ac:dyDescent="0.25">
      <c r="A33" s="82">
        <f ca="1">IF(C33&gt;0,MAX($A$1:OFFSET(A33,-1,0))+0.01,"")</f>
        <v>10.109999999999998</v>
      </c>
      <c r="B33" s="27" t="s">
        <v>2353</v>
      </c>
      <c r="C33" s="98">
        <v>4</v>
      </c>
      <c r="D33" s="29" t="s">
        <v>5</v>
      </c>
      <c r="E33" s="85"/>
      <c r="F33" s="86">
        <f>IF(E33="inc",0,IF(C33="",0,C33*E33))</f>
        <v>0</v>
      </c>
      <c r="G33" s="208"/>
      <c r="H33" s="30"/>
      <c r="I33" s="30"/>
      <c r="J33" s="30"/>
      <c r="K33" s="30"/>
      <c r="L33" s="30"/>
      <c r="M33" s="87"/>
      <c r="N33" s="88"/>
      <c r="O33" s="25"/>
      <c r="P33" s="25"/>
      <c r="Q33" s="25"/>
      <c r="R33" s="25"/>
      <c r="S33" s="25"/>
    </row>
    <row r="34" spans="1:19" s="94" customFormat="1" ht="15.75" x14ac:dyDescent="0.25">
      <c r="A34" s="24"/>
      <c r="B34" s="24"/>
      <c r="C34" s="32">
        <v>4</v>
      </c>
      <c r="D34" s="32" t="s">
        <v>5</v>
      </c>
      <c r="E34" s="26"/>
      <c r="F34" s="33"/>
      <c r="G34" s="210"/>
      <c r="H34" s="26"/>
      <c r="I34" s="26"/>
      <c r="J34" s="26"/>
      <c r="K34" s="26"/>
      <c r="L34" s="26"/>
      <c r="M34" s="34"/>
      <c r="N34" s="32"/>
      <c r="O34" s="44"/>
    </row>
    <row r="35" spans="1:19" s="94" customFormat="1" ht="15.75" x14ac:dyDescent="0.25">
      <c r="A35" s="24"/>
      <c r="B35" s="24"/>
      <c r="C35" s="32" t="s">
        <v>2346</v>
      </c>
      <c r="D35" s="32">
        <v>0</v>
      </c>
      <c r="E35" s="26"/>
      <c r="F35" s="33"/>
      <c r="G35" s="210"/>
      <c r="H35" s="26"/>
      <c r="I35" s="26"/>
      <c r="J35" s="26"/>
      <c r="K35" s="26"/>
      <c r="L35" s="26"/>
      <c r="M35" s="34"/>
      <c r="N35" s="32"/>
      <c r="O35" s="44"/>
    </row>
    <row r="36" spans="1:19" s="79" customFormat="1" ht="21.75" thickBot="1" x14ac:dyDescent="0.4">
      <c r="A36" s="99"/>
      <c r="B36" s="394" t="s">
        <v>4</v>
      </c>
      <c r="C36" s="395"/>
      <c r="D36" s="396"/>
      <c r="E36" s="100"/>
      <c r="F36" s="101">
        <f ca="1">SUM(F$2:OFFSET(F36,-1,0))</f>
        <v>0</v>
      </c>
      <c r="G36" s="210"/>
      <c r="H36" s="100"/>
      <c r="I36" s="100"/>
      <c r="J36" s="100"/>
      <c r="K36" s="100"/>
      <c r="L36" s="100"/>
      <c r="M36" s="102"/>
      <c r="N36" s="103"/>
    </row>
    <row r="37" spans="1:19" s="94" customFormat="1" ht="15.75" x14ac:dyDescent="0.25">
      <c r="A37" s="105"/>
      <c r="B37" s="25"/>
      <c r="C37" s="106"/>
      <c r="D37" s="32"/>
      <c r="E37" s="92"/>
      <c r="F37" s="26"/>
      <c r="G37" s="26"/>
      <c r="H37" s="26"/>
      <c r="I37" s="26"/>
      <c r="J37" s="26"/>
      <c r="K37" s="26"/>
      <c r="L37" s="26"/>
      <c r="M37" s="88"/>
      <c r="N37" s="88"/>
    </row>
    <row r="38" spans="1:19" ht="15.75" x14ac:dyDescent="0.25">
      <c r="C38" s="106"/>
      <c r="G38" s="26"/>
      <c r="H38" s="26"/>
      <c r="I38" s="26"/>
      <c r="J38" s="26"/>
      <c r="K38" s="26"/>
      <c r="L38" s="26"/>
    </row>
    <row r="39" spans="1:19" ht="15.75" x14ac:dyDescent="0.25">
      <c r="G39" s="26"/>
      <c r="H39" s="26"/>
      <c r="I39" s="26"/>
      <c r="J39" s="26"/>
      <c r="K39" s="26"/>
      <c r="L39" s="26"/>
    </row>
    <row r="40" spans="1:19" ht="15.75" x14ac:dyDescent="0.25">
      <c r="G40" s="26"/>
      <c r="H40" s="26"/>
      <c r="I40" s="26"/>
      <c r="J40" s="26"/>
      <c r="K40" s="26"/>
      <c r="L40" s="26"/>
    </row>
    <row r="41" spans="1:19" ht="15.75" x14ac:dyDescent="0.25">
      <c r="F41" s="108" t="e">
        <f ca="1">F36-#REF!</f>
        <v>#REF!</v>
      </c>
      <c r="G41" s="26"/>
      <c r="H41" s="26"/>
      <c r="I41" s="26"/>
      <c r="J41" s="26"/>
      <c r="K41" s="26"/>
      <c r="L41" s="26"/>
    </row>
    <row r="42" spans="1:19" ht="15.75" x14ac:dyDescent="0.25">
      <c r="G42" s="26"/>
      <c r="H42" s="26"/>
      <c r="I42" s="26"/>
      <c r="J42" s="26"/>
      <c r="K42" s="26"/>
      <c r="L42" s="26"/>
    </row>
    <row r="43" spans="1:19" ht="15.75" x14ac:dyDescent="0.25">
      <c r="G43" s="26"/>
      <c r="H43" s="26"/>
      <c r="I43" s="26"/>
      <c r="J43" s="26"/>
      <c r="K43" s="26"/>
      <c r="L43" s="26"/>
    </row>
    <row r="44" spans="1:19" ht="15.75" x14ac:dyDescent="0.25">
      <c r="G44" s="26"/>
      <c r="H44" s="26"/>
      <c r="I44" s="26"/>
      <c r="J44" s="26"/>
      <c r="K44" s="26"/>
      <c r="L44" s="26"/>
    </row>
    <row r="45" spans="1:19" ht="15.75" x14ac:dyDescent="0.25">
      <c r="G45" s="26"/>
      <c r="H45" s="26"/>
      <c r="I45" s="26"/>
      <c r="J45" s="26"/>
      <c r="K45" s="26"/>
      <c r="L45" s="26"/>
    </row>
    <row r="46" spans="1:19" ht="15.75" x14ac:dyDescent="0.25">
      <c r="G46" s="26"/>
      <c r="H46" s="26"/>
      <c r="I46" s="26"/>
      <c r="J46" s="26"/>
      <c r="K46" s="26"/>
      <c r="L46" s="26"/>
    </row>
    <row r="47" spans="1:19" ht="15.75" x14ac:dyDescent="0.25">
      <c r="G47" s="26"/>
      <c r="H47" s="26"/>
      <c r="I47" s="26"/>
      <c r="J47" s="26"/>
      <c r="K47" s="26"/>
      <c r="L47" s="26"/>
    </row>
    <row r="48" spans="1:19" ht="15.75" x14ac:dyDescent="0.25">
      <c r="G48" s="26"/>
      <c r="H48" s="26"/>
      <c r="I48" s="26"/>
      <c r="J48" s="26"/>
      <c r="K48" s="26"/>
      <c r="L48" s="26"/>
    </row>
    <row r="49" spans="1:19" ht="15.75" x14ac:dyDescent="0.25">
      <c r="G49" s="26"/>
      <c r="H49" s="26"/>
      <c r="I49" s="26"/>
      <c r="J49" s="26"/>
      <c r="K49" s="26"/>
      <c r="L49" s="26"/>
    </row>
    <row r="50" spans="1:19" ht="15.75" x14ac:dyDescent="0.25">
      <c r="G50" s="26"/>
      <c r="H50" s="26"/>
      <c r="I50" s="26"/>
      <c r="J50" s="26"/>
      <c r="K50" s="26"/>
      <c r="L50" s="26"/>
    </row>
    <row r="51" spans="1:19" s="110" customFormat="1" ht="15.75" x14ac:dyDescent="0.25">
      <c r="A51" s="25"/>
      <c r="B51" s="25"/>
      <c r="D51" s="36"/>
      <c r="E51" s="25"/>
      <c r="F51" s="108"/>
      <c r="G51" s="26"/>
      <c r="H51" s="26"/>
      <c r="I51" s="26"/>
      <c r="J51" s="26"/>
      <c r="K51" s="26"/>
      <c r="L51" s="26"/>
      <c r="M51" s="88"/>
      <c r="N51" s="88"/>
      <c r="O51" s="25"/>
      <c r="P51" s="25"/>
      <c r="Q51" s="25"/>
      <c r="R51" s="25"/>
      <c r="S51" s="25"/>
    </row>
    <row r="52" spans="1:19" s="110" customFormat="1" ht="15.75" x14ac:dyDescent="0.25">
      <c r="A52" s="25"/>
      <c r="B52" s="25"/>
      <c r="D52" s="36"/>
      <c r="E52" s="25"/>
      <c r="F52" s="108"/>
      <c r="G52" s="26"/>
      <c r="H52" s="26"/>
      <c r="I52" s="26"/>
      <c r="J52" s="26"/>
      <c r="K52" s="26"/>
      <c r="L52" s="26"/>
      <c r="M52" s="88"/>
      <c r="N52" s="88"/>
      <c r="O52" s="25"/>
      <c r="P52" s="25"/>
      <c r="Q52" s="25"/>
      <c r="R52" s="25"/>
      <c r="S52" s="25"/>
    </row>
    <row r="53" spans="1:19" s="110" customFormat="1" ht="15.75" x14ac:dyDescent="0.25">
      <c r="A53" s="25"/>
      <c r="B53" s="25"/>
      <c r="D53" s="36"/>
      <c r="E53" s="25"/>
      <c r="F53" s="108"/>
      <c r="G53" s="26"/>
      <c r="H53" s="26"/>
      <c r="I53" s="26"/>
      <c r="J53" s="26"/>
      <c r="K53" s="26"/>
      <c r="L53" s="26"/>
      <c r="M53" s="88"/>
      <c r="N53" s="88"/>
      <c r="O53" s="25"/>
      <c r="P53" s="25"/>
      <c r="Q53" s="25"/>
      <c r="R53" s="25"/>
      <c r="S53" s="25"/>
    </row>
    <row r="54" spans="1:19" s="110" customFormat="1" ht="15.75" x14ac:dyDescent="0.25">
      <c r="A54" s="25"/>
      <c r="B54" s="25"/>
      <c r="D54" s="36"/>
      <c r="E54" s="25"/>
      <c r="F54" s="108"/>
      <c r="G54" s="26"/>
      <c r="H54" s="26"/>
      <c r="I54" s="26"/>
      <c r="J54" s="26"/>
      <c r="K54" s="26"/>
      <c r="L54" s="26"/>
      <c r="M54" s="88"/>
      <c r="N54" s="88"/>
      <c r="O54" s="25"/>
      <c r="P54" s="25"/>
      <c r="Q54" s="25"/>
      <c r="R54" s="25"/>
      <c r="S54" s="25"/>
    </row>
    <row r="55" spans="1:19" s="110" customFormat="1" ht="15.75" x14ac:dyDescent="0.25">
      <c r="A55" s="25"/>
      <c r="B55" s="25"/>
      <c r="D55" s="36"/>
      <c r="E55" s="25"/>
      <c r="F55" s="108"/>
      <c r="G55" s="26"/>
      <c r="H55" s="26"/>
      <c r="I55" s="26"/>
      <c r="J55" s="26"/>
      <c r="K55" s="26"/>
      <c r="L55" s="26"/>
      <c r="M55" s="88"/>
      <c r="N55" s="88"/>
      <c r="O55" s="25"/>
      <c r="P55" s="25"/>
      <c r="Q55" s="25"/>
      <c r="R55" s="25"/>
      <c r="S55" s="25"/>
    </row>
    <row r="56" spans="1:19" s="110" customFormat="1" ht="15.75" x14ac:dyDescent="0.25">
      <c r="A56" s="25"/>
      <c r="B56" s="25"/>
      <c r="D56" s="36"/>
      <c r="E56" s="25"/>
      <c r="F56" s="108"/>
      <c r="G56" s="26"/>
      <c r="H56" s="26"/>
      <c r="I56" s="26"/>
      <c r="J56" s="26"/>
      <c r="K56" s="26"/>
      <c r="L56" s="26"/>
      <c r="M56" s="88"/>
      <c r="N56" s="88"/>
      <c r="O56" s="25"/>
      <c r="P56" s="25"/>
      <c r="Q56" s="25"/>
      <c r="R56" s="25"/>
      <c r="S56" s="25"/>
    </row>
    <row r="57" spans="1:19" s="110" customFormat="1" ht="15.75" x14ac:dyDescent="0.25">
      <c r="A57" s="25"/>
      <c r="B57" s="25"/>
      <c r="D57" s="36"/>
      <c r="E57" s="25"/>
      <c r="F57" s="108"/>
      <c r="G57" s="26"/>
      <c r="H57" s="26"/>
      <c r="I57" s="26"/>
      <c r="J57" s="26"/>
      <c r="K57" s="26"/>
      <c r="L57" s="26"/>
      <c r="M57" s="88"/>
      <c r="N57" s="88"/>
      <c r="O57" s="25"/>
      <c r="P57" s="25"/>
      <c r="Q57" s="25"/>
      <c r="R57" s="25"/>
      <c r="S57" s="25"/>
    </row>
    <row r="58" spans="1:19" s="110" customFormat="1" ht="15.75" x14ac:dyDescent="0.25">
      <c r="A58" s="25"/>
      <c r="B58" s="25"/>
      <c r="D58" s="36"/>
      <c r="E58" s="25"/>
      <c r="F58" s="108"/>
      <c r="G58" s="26"/>
      <c r="H58" s="26"/>
      <c r="I58" s="26"/>
      <c r="J58" s="26"/>
      <c r="K58" s="26"/>
      <c r="L58" s="26"/>
      <c r="M58" s="88"/>
      <c r="N58" s="88"/>
      <c r="O58" s="25"/>
      <c r="P58" s="25"/>
      <c r="Q58" s="25"/>
      <c r="R58" s="25"/>
      <c r="S58" s="25"/>
    </row>
    <row r="59" spans="1:19" s="110" customFormat="1" ht="15.75" x14ac:dyDescent="0.25">
      <c r="A59" s="25"/>
      <c r="B59" s="25"/>
      <c r="D59" s="36"/>
      <c r="E59" s="25"/>
      <c r="F59" s="108"/>
      <c r="G59" s="26"/>
      <c r="H59" s="26"/>
      <c r="I59" s="26"/>
      <c r="J59" s="26"/>
      <c r="K59" s="26"/>
      <c r="L59" s="26"/>
      <c r="M59" s="88"/>
      <c r="N59" s="88"/>
      <c r="O59" s="25"/>
      <c r="P59" s="25"/>
      <c r="Q59" s="25"/>
      <c r="R59" s="25"/>
      <c r="S59" s="25"/>
    </row>
    <row r="60" spans="1:19" s="110" customFormat="1" ht="15.75" x14ac:dyDescent="0.25">
      <c r="A60" s="25"/>
      <c r="B60" s="25"/>
      <c r="D60" s="36"/>
      <c r="E60" s="25"/>
      <c r="F60" s="108"/>
      <c r="G60" s="26"/>
      <c r="H60" s="26"/>
      <c r="I60" s="26"/>
      <c r="J60" s="26"/>
      <c r="K60" s="26"/>
      <c r="L60" s="26"/>
      <c r="M60" s="88"/>
      <c r="N60" s="88"/>
      <c r="O60" s="25"/>
      <c r="P60" s="25"/>
      <c r="Q60" s="25"/>
      <c r="R60" s="25"/>
      <c r="S60" s="25"/>
    </row>
    <row r="61" spans="1:19" s="110" customFormat="1" ht="15.75" x14ac:dyDescent="0.25">
      <c r="A61" s="25"/>
      <c r="B61" s="25"/>
      <c r="D61" s="36"/>
      <c r="E61" s="25"/>
      <c r="F61" s="108"/>
      <c r="G61" s="26"/>
      <c r="H61" s="26"/>
      <c r="I61" s="26"/>
      <c r="J61" s="26"/>
      <c r="K61" s="26"/>
      <c r="L61" s="26"/>
      <c r="M61" s="88"/>
      <c r="N61" s="88"/>
      <c r="O61" s="25"/>
      <c r="P61" s="25"/>
      <c r="Q61" s="25"/>
      <c r="R61" s="25"/>
      <c r="S61" s="25"/>
    </row>
    <row r="62" spans="1:19" s="110" customFormat="1" ht="15.75" x14ac:dyDescent="0.25">
      <c r="A62" s="25"/>
      <c r="B62" s="25"/>
      <c r="D62" s="36"/>
      <c r="E62" s="25"/>
      <c r="F62" s="108"/>
      <c r="G62" s="26"/>
      <c r="H62" s="26"/>
      <c r="I62" s="26"/>
      <c r="J62" s="26"/>
      <c r="K62" s="26"/>
      <c r="L62" s="26"/>
      <c r="M62" s="88"/>
      <c r="N62" s="88"/>
      <c r="O62" s="25"/>
      <c r="P62" s="25"/>
      <c r="Q62" s="25"/>
      <c r="R62" s="25"/>
      <c r="S62" s="25"/>
    </row>
    <row r="63" spans="1:19" s="110" customFormat="1" ht="15.75" x14ac:dyDescent="0.25">
      <c r="A63" s="25"/>
      <c r="B63" s="25"/>
      <c r="D63" s="36"/>
      <c r="E63" s="25"/>
      <c r="F63" s="108"/>
      <c r="G63" s="26"/>
      <c r="H63" s="26"/>
      <c r="I63" s="26"/>
      <c r="J63" s="26"/>
      <c r="K63" s="26"/>
      <c r="L63" s="26"/>
      <c r="M63" s="88"/>
      <c r="N63" s="88"/>
      <c r="O63" s="25"/>
      <c r="P63" s="25"/>
      <c r="Q63" s="25"/>
      <c r="R63" s="25"/>
      <c r="S63" s="25"/>
    </row>
    <row r="64" spans="1:19" ht="15.75" x14ac:dyDescent="0.25">
      <c r="G64" s="26"/>
      <c r="H64" s="26"/>
      <c r="I64" s="26"/>
      <c r="J64" s="26"/>
      <c r="K64" s="26"/>
      <c r="L64" s="26"/>
    </row>
    <row r="65" spans="7:12" ht="15.75" x14ac:dyDescent="0.25">
      <c r="G65" s="26"/>
      <c r="H65" s="26"/>
      <c r="I65" s="26"/>
      <c r="J65" s="26"/>
      <c r="K65" s="26"/>
      <c r="L65" s="26"/>
    </row>
    <row r="66" spans="7:12" ht="15.75" x14ac:dyDescent="0.25">
      <c r="G66" s="26"/>
      <c r="H66" s="26"/>
      <c r="I66" s="26"/>
      <c r="J66" s="26"/>
      <c r="K66" s="26"/>
      <c r="L66" s="26"/>
    </row>
    <row r="67" spans="7:12" ht="15.75" x14ac:dyDescent="0.25">
      <c r="G67" s="26"/>
      <c r="H67" s="26"/>
      <c r="I67" s="26"/>
      <c r="J67" s="26"/>
      <c r="K67" s="26"/>
      <c r="L67" s="26"/>
    </row>
    <row r="68" spans="7:12" ht="15.75" x14ac:dyDescent="0.25">
      <c r="G68" s="26"/>
      <c r="H68" s="26"/>
      <c r="I68" s="26"/>
      <c r="J68" s="26"/>
      <c r="K68" s="26"/>
      <c r="L68" s="26"/>
    </row>
    <row r="69" spans="7:12" ht="15.75" x14ac:dyDescent="0.25">
      <c r="G69" s="26"/>
      <c r="H69" s="26"/>
      <c r="I69" s="26"/>
      <c r="J69" s="26"/>
      <c r="K69" s="26"/>
      <c r="L69" s="26"/>
    </row>
    <row r="70" spans="7:12" ht="15.75" x14ac:dyDescent="0.25">
      <c r="G70" s="26"/>
      <c r="H70" s="26"/>
      <c r="I70" s="26"/>
      <c r="J70" s="26"/>
      <c r="K70" s="26"/>
      <c r="L70" s="26"/>
    </row>
    <row r="71" spans="7:12" ht="15.75" x14ac:dyDescent="0.25">
      <c r="G71" s="26"/>
      <c r="H71" s="26"/>
      <c r="I71" s="26"/>
      <c r="J71" s="26"/>
      <c r="K71" s="26"/>
      <c r="L71" s="26"/>
    </row>
    <row r="72" spans="7:12" ht="15.75" x14ac:dyDescent="0.25">
      <c r="G72" s="26"/>
      <c r="H72" s="26"/>
      <c r="I72" s="26"/>
      <c r="J72" s="26"/>
      <c r="K72" s="26"/>
      <c r="L72" s="26"/>
    </row>
    <row r="73" spans="7:12" ht="15.75" x14ac:dyDescent="0.25">
      <c r="G73" s="26"/>
      <c r="H73" s="26"/>
      <c r="I73" s="26"/>
      <c r="J73" s="26"/>
      <c r="K73" s="26"/>
      <c r="L73" s="26"/>
    </row>
    <row r="74" spans="7:12" ht="15.75" x14ac:dyDescent="0.25">
      <c r="G74" s="26"/>
      <c r="H74" s="26"/>
      <c r="I74" s="26"/>
      <c r="J74" s="26"/>
      <c r="K74" s="26"/>
      <c r="L74" s="26"/>
    </row>
    <row r="75" spans="7:12" ht="15.75" x14ac:dyDescent="0.25">
      <c r="G75" s="26"/>
      <c r="H75" s="26"/>
      <c r="I75" s="26"/>
      <c r="J75" s="26"/>
      <c r="K75" s="26"/>
      <c r="L75" s="26"/>
    </row>
    <row r="76" spans="7:12" ht="15.75" x14ac:dyDescent="0.25">
      <c r="G76" s="26"/>
      <c r="H76" s="26"/>
      <c r="I76" s="26"/>
      <c r="J76" s="26"/>
      <c r="K76" s="26"/>
      <c r="L76" s="26"/>
    </row>
    <row r="77" spans="7:12" ht="15.75" x14ac:dyDescent="0.25">
      <c r="G77" s="26"/>
      <c r="H77" s="26"/>
      <c r="I77" s="26"/>
      <c r="J77" s="26"/>
      <c r="K77" s="26"/>
      <c r="L77" s="26"/>
    </row>
    <row r="78" spans="7:12" ht="15.75" x14ac:dyDescent="0.25">
      <c r="G78" s="26"/>
      <c r="H78" s="26"/>
      <c r="I78" s="26"/>
      <c r="J78" s="26"/>
      <c r="K78" s="26"/>
      <c r="L78" s="26"/>
    </row>
    <row r="79" spans="7:12" ht="15.75" x14ac:dyDescent="0.25">
      <c r="G79" s="26"/>
      <c r="H79" s="26"/>
      <c r="I79" s="26"/>
      <c r="J79" s="26"/>
      <c r="K79" s="26"/>
      <c r="L79" s="26"/>
    </row>
    <row r="80" spans="7:12" ht="15.75" x14ac:dyDescent="0.25">
      <c r="G80" s="26"/>
      <c r="H80" s="26"/>
      <c r="I80" s="26"/>
      <c r="J80" s="26"/>
      <c r="K80" s="26"/>
      <c r="L80" s="26"/>
    </row>
    <row r="81" spans="7:12" ht="15.75" x14ac:dyDescent="0.25">
      <c r="G81" s="26"/>
      <c r="H81" s="26"/>
      <c r="I81" s="26"/>
      <c r="J81" s="26"/>
      <c r="K81" s="26"/>
      <c r="L81" s="26"/>
    </row>
    <row r="82" spans="7:12" ht="15.75" x14ac:dyDescent="0.25">
      <c r="G82" s="26"/>
      <c r="H82" s="26"/>
      <c r="I82" s="26"/>
      <c r="J82" s="26"/>
      <c r="K82" s="26"/>
      <c r="L82" s="26"/>
    </row>
    <row r="83" spans="7:12" ht="15.75" x14ac:dyDescent="0.25">
      <c r="G83" s="26"/>
      <c r="H83" s="26"/>
      <c r="I83" s="26"/>
      <c r="J83" s="26"/>
      <c r="K83" s="26"/>
      <c r="L83" s="26"/>
    </row>
    <row r="84" spans="7:12" ht="15.75" x14ac:dyDescent="0.25">
      <c r="G84" s="26"/>
      <c r="H84" s="26"/>
      <c r="I84" s="26"/>
      <c r="J84" s="26"/>
      <c r="K84" s="26"/>
      <c r="L84" s="26"/>
    </row>
    <row r="85" spans="7:12" ht="15.75" x14ac:dyDescent="0.25">
      <c r="G85" s="26"/>
      <c r="H85" s="26"/>
      <c r="I85" s="26"/>
      <c r="J85" s="26"/>
      <c r="K85" s="26"/>
      <c r="L85" s="26"/>
    </row>
    <row r="86" spans="7:12" ht="15.75" x14ac:dyDescent="0.25">
      <c r="G86" s="26"/>
      <c r="H86" s="26"/>
      <c r="I86" s="26"/>
      <c r="J86" s="26"/>
      <c r="K86" s="26"/>
      <c r="L86" s="26"/>
    </row>
    <row r="87" spans="7:12" ht="15.75" x14ac:dyDescent="0.25">
      <c r="G87" s="26"/>
      <c r="H87" s="26"/>
      <c r="I87" s="26"/>
      <c r="J87" s="26"/>
      <c r="K87" s="26"/>
      <c r="L87" s="26"/>
    </row>
    <row r="88" spans="7:12" ht="15.75" x14ac:dyDescent="0.25">
      <c r="G88" s="26"/>
      <c r="H88" s="26"/>
      <c r="I88" s="26"/>
      <c r="J88" s="26"/>
      <c r="K88" s="26"/>
      <c r="L88" s="26"/>
    </row>
    <row r="89" spans="7:12" ht="15.75" x14ac:dyDescent="0.25">
      <c r="G89" s="26"/>
      <c r="H89" s="26"/>
      <c r="I89" s="26"/>
      <c r="J89" s="26"/>
      <c r="K89" s="26"/>
      <c r="L89" s="26"/>
    </row>
    <row r="90" spans="7:12" ht="15.75" x14ac:dyDescent="0.25">
      <c r="G90" s="26"/>
      <c r="H90" s="26"/>
      <c r="I90" s="26"/>
      <c r="J90" s="26"/>
      <c r="K90" s="26"/>
      <c r="L90" s="26"/>
    </row>
    <row r="91" spans="7:12" ht="15.75" x14ac:dyDescent="0.25">
      <c r="G91" s="26"/>
      <c r="H91" s="26"/>
      <c r="I91" s="26"/>
      <c r="J91" s="26"/>
      <c r="K91" s="26"/>
      <c r="L91" s="26"/>
    </row>
    <row r="92" spans="7:12" ht="15.75" x14ac:dyDescent="0.25">
      <c r="G92" s="26"/>
      <c r="H92" s="26"/>
      <c r="I92" s="26"/>
      <c r="J92" s="26"/>
      <c r="K92" s="26"/>
      <c r="L92" s="26"/>
    </row>
    <row r="93" spans="7:12" ht="15.75" x14ac:dyDescent="0.25">
      <c r="G93" s="26"/>
      <c r="H93" s="26"/>
      <c r="I93" s="26"/>
      <c r="J93" s="26"/>
      <c r="K93" s="26"/>
      <c r="L93" s="26"/>
    </row>
    <row r="94" spans="7:12" ht="15.75" x14ac:dyDescent="0.25">
      <c r="G94" s="26"/>
      <c r="H94" s="26"/>
      <c r="I94" s="26"/>
      <c r="J94" s="26"/>
      <c r="K94" s="26"/>
      <c r="L94" s="26"/>
    </row>
    <row r="95" spans="7:12" ht="15.75" x14ac:dyDescent="0.25">
      <c r="G95" s="26"/>
      <c r="H95" s="26"/>
      <c r="I95" s="26"/>
      <c r="J95" s="26"/>
      <c r="K95" s="26"/>
      <c r="L95" s="26"/>
    </row>
    <row r="96" spans="7:12" ht="15.75" x14ac:dyDescent="0.25">
      <c r="G96" s="26"/>
      <c r="H96" s="26"/>
      <c r="I96" s="26"/>
      <c r="J96" s="26"/>
      <c r="K96" s="26"/>
      <c r="L96" s="26"/>
    </row>
    <row r="97" spans="7:12" ht="15.75" x14ac:dyDescent="0.25">
      <c r="G97" s="26"/>
      <c r="H97" s="26"/>
      <c r="I97" s="26"/>
      <c r="J97" s="26"/>
      <c r="K97" s="26"/>
      <c r="L97" s="26"/>
    </row>
    <row r="98" spans="7:12" ht="15.75" x14ac:dyDescent="0.25">
      <c r="G98" s="26"/>
      <c r="H98" s="26"/>
      <c r="I98" s="26"/>
      <c r="J98" s="26"/>
      <c r="K98" s="26"/>
      <c r="L98" s="26"/>
    </row>
    <row r="99" spans="7:12" ht="15.75" x14ac:dyDescent="0.25">
      <c r="G99" s="26"/>
      <c r="H99" s="26"/>
      <c r="I99" s="26"/>
      <c r="J99" s="26"/>
      <c r="K99" s="26"/>
      <c r="L99" s="26"/>
    </row>
    <row r="100" spans="7:12" ht="15.75" x14ac:dyDescent="0.25">
      <c r="G100" s="26"/>
      <c r="H100" s="26"/>
      <c r="I100" s="26"/>
      <c r="J100" s="26"/>
      <c r="K100" s="26"/>
      <c r="L100" s="26"/>
    </row>
    <row r="101" spans="7:12" ht="15.75" x14ac:dyDescent="0.25">
      <c r="G101" s="26"/>
      <c r="H101" s="26"/>
      <c r="I101" s="26"/>
      <c r="J101" s="26"/>
      <c r="K101" s="26"/>
      <c r="L101" s="26"/>
    </row>
    <row r="102" spans="7:12" ht="15.75" x14ac:dyDescent="0.25">
      <c r="G102" s="26"/>
      <c r="H102" s="26"/>
      <c r="I102" s="26"/>
      <c r="J102" s="26"/>
      <c r="K102" s="26"/>
      <c r="L102" s="26"/>
    </row>
    <row r="103" spans="7:12" ht="15.75" x14ac:dyDescent="0.25">
      <c r="G103" s="26"/>
      <c r="H103" s="26"/>
      <c r="I103" s="26"/>
      <c r="J103" s="26"/>
      <c r="K103" s="26"/>
      <c r="L103" s="26"/>
    </row>
    <row r="104" spans="7:12" ht="15.75" x14ac:dyDescent="0.25">
      <c r="G104" s="26"/>
      <c r="H104" s="26"/>
      <c r="I104" s="26"/>
      <c r="J104" s="26"/>
      <c r="K104" s="26"/>
      <c r="L104" s="26"/>
    </row>
    <row r="105" spans="7:12" ht="15.75" x14ac:dyDescent="0.25">
      <c r="G105" s="26"/>
      <c r="H105" s="26"/>
      <c r="I105" s="26"/>
      <c r="J105" s="26"/>
      <c r="K105" s="26"/>
      <c r="L105" s="26"/>
    </row>
    <row r="106" spans="7:12" ht="15.75" x14ac:dyDescent="0.25">
      <c r="G106" s="26"/>
      <c r="H106" s="26"/>
      <c r="I106" s="26"/>
      <c r="J106" s="26"/>
      <c r="K106" s="26"/>
      <c r="L106" s="26"/>
    </row>
    <row r="107" spans="7:12" ht="15.75" x14ac:dyDescent="0.25">
      <c r="G107" s="26"/>
      <c r="H107" s="26"/>
      <c r="I107" s="26"/>
      <c r="J107" s="26"/>
      <c r="K107" s="26"/>
      <c r="L107" s="26"/>
    </row>
    <row r="108" spans="7:12" ht="15.75" x14ac:dyDescent="0.25">
      <c r="G108" s="26"/>
      <c r="H108" s="26"/>
      <c r="I108" s="26"/>
      <c r="J108" s="26"/>
      <c r="K108" s="26"/>
      <c r="L108" s="26"/>
    </row>
    <row r="109" spans="7:12" ht="15.75" x14ac:dyDescent="0.25">
      <c r="G109" s="26"/>
      <c r="H109" s="26"/>
      <c r="I109" s="26"/>
      <c r="J109" s="26"/>
      <c r="K109" s="26"/>
      <c r="L109" s="26"/>
    </row>
    <row r="110" spans="7:12" ht="15.75" x14ac:dyDescent="0.25">
      <c r="G110" s="26"/>
      <c r="H110" s="26"/>
      <c r="I110" s="26"/>
      <c r="J110" s="26"/>
      <c r="K110" s="26"/>
      <c r="L110" s="26"/>
    </row>
    <row r="111" spans="7:12" ht="15.75" x14ac:dyDescent="0.25">
      <c r="G111" s="26"/>
      <c r="H111" s="26"/>
      <c r="I111" s="26"/>
      <c r="J111" s="26"/>
      <c r="K111" s="26"/>
      <c r="L111" s="26"/>
    </row>
    <row r="112" spans="7:12" ht="15.75" x14ac:dyDescent="0.25">
      <c r="G112" s="26"/>
      <c r="H112" s="26"/>
      <c r="I112" s="26"/>
      <c r="J112" s="26"/>
      <c r="K112" s="26"/>
      <c r="L112" s="26"/>
    </row>
    <row r="113" spans="7:12" ht="15.75" x14ac:dyDescent="0.25">
      <c r="G113" s="26"/>
      <c r="H113" s="26"/>
      <c r="I113" s="26"/>
      <c r="J113" s="26"/>
      <c r="K113" s="26"/>
      <c r="L113" s="26"/>
    </row>
    <row r="114" spans="7:12" ht="15.75" x14ac:dyDescent="0.25">
      <c r="G114" s="26"/>
      <c r="H114" s="26"/>
      <c r="I114" s="26"/>
      <c r="J114" s="26"/>
      <c r="K114" s="26"/>
      <c r="L114" s="26"/>
    </row>
    <row r="115" spans="7:12" ht="15.75" x14ac:dyDescent="0.25">
      <c r="G115" s="26"/>
      <c r="H115" s="26"/>
      <c r="I115" s="26"/>
      <c r="J115" s="26"/>
      <c r="K115" s="26"/>
      <c r="L115" s="26"/>
    </row>
    <row r="116" spans="7:12" ht="15.75" x14ac:dyDescent="0.25">
      <c r="G116" s="26"/>
      <c r="H116" s="26"/>
      <c r="I116" s="26"/>
      <c r="J116" s="26"/>
      <c r="K116" s="26"/>
      <c r="L116" s="26"/>
    </row>
    <row r="117" spans="7:12" ht="15.75" x14ac:dyDescent="0.25">
      <c r="G117" s="26"/>
      <c r="H117" s="26"/>
      <c r="I117" s="26"/>
      <c r="J117" s="26"/>
      <c r="K117" s="26"/>
      <c r="L117" s="26"/>
    </row>
    <row r="118" spans="7:12" ht="15.75" x14ac:dyDescent="0.25">
      <c r="G118" s="26"/>
      <c r="H118" s="26"/>
      <c r="I118" s="26"/>
      <c r="J118" s="26"/>
      <c r="K118" s="26"/>
      <c r="L118" s="26"/>
    </row>
    <row r="119" spans="7:12" ht="15.75" x14ac:dyDescent="0.25">
      <c r="G119" s="26"/>
      <c r="H119" s="26"/>
      <c r="I119" s="26"/>
      <c r="J119" s="26"/>
      <c r="K119" s="26"/>
      <c r="L119" s="26"/>
    </row>
    <row r="120" spans="7:12" ht="15.75" x14ac:dyDescent="0.25">
      <c r="G120" s="26"/>
      <c r="H120" s="26"/>
      <c r="I120" s="26"/>
      <c r="J120" s="26"/>
      <c r="K120" s="26"/>
      <c r="L120" s="26"/>
    </row>
    <row r="121" spans="7:12" ht="15.75" x14ac:dyDescent="0.25">
      <c r="G121" s="26"/>
      <c r="H121" s="26"/>
      <c r="I121" s="26"/>
      <c r="J121" s="26"/>
      <c r="K121" s="26"/>
      <c r="L121" s="26"/>
    </row>
    <row r="122" spans="7:12" ht="15.75" x14ac:dyDescent="0.25">
      <c r="G122" s="26"/>
      <c r="H122" s="26"/>
      <c r="I122" s="26"/>
      <c r="J122" s="26"/>
      <c r="K122" s="26"/>
      <c r="L122" s="26"/>
    </row>
    <row r="123" spans="7:12" ht="15.75" x14ac:dyDescent="0.25">
      <c r="G123" s="26"/>
      <c r="H123" s="26"/>
      <c r="I123" s="26"/>
      <c r="J123" s="26"/>
      <c r="K123" s="26"/>
      <c r="L123" s="26"/>
    </row>
    <row r="124" spans="7:12" ht="15.75" x14ac:dyDescent="0.25">
      <c r="G124" s="26"/>
      <c r="H124" s="26"/>
      <c r="I124" s="26"/>
      <c r="J124" s="26"/>
      <c r="K124" s="26"/>
      <c r="L124" s="26"/>
    </row>
    <row r="125" spans="7:12" ht="15.75" x14ac:dyDescent="0.25">
      <c r="G125" s="26"/>
      <c r="H125" s="26"/>
      <c r="I125" s="26"/>
      <c r="J125" s="26"/>
      <c r="K125" s="26"/>
      <c r="L125" s="26"/>
    </row>
    <row r="126" spans="7:12" ht="15.75" x14ac:dyDescent="0.25">
      <c r="G126" s="26"/>
      <c r="H126" s="26"/>
      <c r="I126" s="26"/>
      <c r="J126" s="26"/>
      <c r="K126" s="26"/>
      <c r="L126" s="26"/>
    </row>
    <row r="127" spans="7:12" ht="15.75" x14ac:dyDescent="0.25">
      <c r="G127" s="26"/>
      <c r="H127" s="26"/>
      <c r="I127" s="26"/>
      <c r="J127" s="26"/>
      <c r="K127" s="26"/>
      <c r="L127" s="26"/>
    </row>
    <row r="128" spans="7:12" ht="15.75" x14ac:dyDescent="0.25">
      <c r="G128" s="26"/>
      <c r="H128" s="26"/>
      <c r="I128" s="26"/>
      <c r="J128" s="26"/>
      <c r="K128" s="26"/>
      <c r="L128" s="26"/>
    </row>
    <row r="129" spans="7:12" ht="15.75" x14ac:dyDescent="0.25">
      <c r="G129" s="26"/>
      <c r="H129" s="26"/>
      <c r="I129" s="26"/>
      <c r="J129" s="26"/>
      <c r="K129" s="26"/>
      <c r="L129" s="26"/>
    </row>
    <row r="130" spans="7:12" ht="15.75" x14ac:dyDescent="0.25">
      <c r="G130" s="26"/>
      <c r="H130" s="26"/>
      <c r="I130" s="26"/>
      <c r="J130" s="26"/>
      <c r="K130" s="26"/>
      <c r="L130" s="26"/>
    </row>
    <row r="131" spans="7:12" ht="15.75" x14ac:dyDescent="0.25">
      <c r="G131" s="26"/>
      <c r="H131" s="26"/>
      <c r="I131" s="26"/>
      <c r="J131" s="26"/>
      <c r="K131" s="26"/>
      <c r="L131" s="26"/>
    </row>
    <row r="132" spans="7:12" ht="15.75" x14ac:dyDescent="0.25">
      <c r="G132" s="26"/>
      <c r="H132" s="26"/>
      <c r="I132" s="26"/>
      <c r="J132" s="26"/>
      <c r="K132" s="26"/>
      <c r="L132" s="26"/>
    </row>
    <row r="133" spans="7:12" ht="15.75" x14ac:dyDescent="0.25">
      <c r="G133" s="26"/>
      <c r="H133" s="26"/>
      <c r="I133" s="26"/>
      <c r="J133" s="26"/>
      <c r="K133" s="26"/>
      <c r="L133" s="26"/>
    </row>
    <row r="134" spans="7:12" ht="15.75" x14ac:dyDescent="0.25">
      <c r="G134" s="26"/>
      <c r="H134" s="26"/>
      <c r="I134" s="26"/>
      <c r="J134" s="26"/>
      <c r="K134" s="26"/>
      <c r="L134" s="26"/>
    </row>
    <row r="135" spans="7:12" ht="15.75" x14ac:dyDescent="0.25">
      <c r="G135" s="26"/>
      <c r="H135" s="26"/>
      <c r="I135" s="26"/>
      <c r="J135" s="26"/>
      <c r="K135" s="26"/>
      <c r="L135" s="26"/>
    </row>
    <row r="136" spans="7:12" ht="15.75" x14ac:dyDescent="0.25">
      <c r="G136" s="26"/>
      <c r="H136" s="26"/>
      <c r="I136" s="26"/>
      <c r="J136" s="26"/>
      <c r="K136" s="26"/>
      <c r="L136" s="26"/>
    </row>
    <row r="137" spans="7:12" ht="15.75" x14ac:dyDescent="0.25">
      <c r="G137" s="26"/>
      <c r="H137" s="26"/>
      <c r="I137" s="26"/>
      <c r="J137" s="26"/>
      <c r="K137" s="26"/>
      <c r="L137" s="26"/>
    </row>
    <row r="138" spans="7:12" ht="15.75" x14ac:dyDescent="0.25">
      <c r="G138" s="26"/>
      <c r="H138" s="26"/>
      <c r="I138" s="26"/>
      <c r="J138" s="26"/>
      <c r="K138" s="26"/>
      <c r="L138" s="26"/>
    </row>
    <row r="139" spans="7:12" ht="15.75" x14ac:dyDescent="0.25">
      <c r="G139" s="26"/>
      <c r="H139" s="26"/>
      <c r="I139" s="26"/>
      <c r="J139" s="26"/>
      <c r="K139" s="26"/>
      <c r="L139" s="26"/>
    </row>
    <row r="140" spans="7:12" ht="15.75" x14ac:dyDescent="0.25">
      <c r="G140" s="26"/>
      <c r="H140" s="26"/>
      <c r="I140" s="26"/>
      <c r="J140" s="26"/>
      <c r="K140" s="26"/>
      <c r="L140" s="26"/>
    </row>
    <row r="141" spans="7:12" ht="15.75" x14ac:dyDescent="0.25">
      <c r="G141" s="26"/>
      <c r="H141" s="26"/>
      <c r="I141" s="26"/>
      <c r="J141" s="26"/>
      <c r="K141" s="26"/>
      <c r="L141" s="26"/>
    </row>
    <row r="142" spans="7:12" ht="15.75" x14ac:dyDescent="0.25">
      <c r="G142" s="26"/>
      <c r="H142" s="26"/>
      <c r="I142" s="26"/>
      <c r="J142" s="26"/>
      <c r="K142" s="26"/>
      <c r="L142" s="26"/>
    </row>
    <row r="143" spans="7:12" ht="15.75" x14ac:dyDescent="0.25">
      <c r="G143" s="26"/>
      <c r="H143" s="26"/>
      <c r="I143" s="26"/>
      <c r="J143" s="26"/>
      <c r="K143" s="26"/>
      <c r="L143" s="26"/>
    </row>
    <row r="144" spans="7:12" ht="15.75" x14ac:dyDescent="0.25">
      <c r="G144" s="26"/>
      <c r="H144" s="26"/>
      <c r="I144" s="26"/>
      <c r="J144" s="26"/>
      <c r="K144" s="26"/>
      <c r="L144" s="26"/>
    </row>
    <row r="145" spans="7:12" ht="15.75" x14ac:dyDescent="0.25">
      <c r="G145" s="26"/>
      <c r="H145" s="26"/>
      <c r="I145" s="26"/>
      <c r="J145" s="26"/>
      <c r="K145" s="26"/>
      <c r="L145" s="26"/>
    </row>
    <row r="146" spans="7:12" ht="15.75" x14ac:dyDescent="0.25">
      <c r="G146" s="26"/>
      <c r="H146" s="26"/>
      <c r="I146" s="26"/>
      <c r="J146" s="26"/>
      <c r="K146" s="26"/>
      <c r="L146" s="26"/>
    </row>
    <row r="147" spans="7:12" ht="15.75" x14ac:dyDescent="0.25">
      <c r="G147" s="26"/>
      <c r="H147" s="26"/>
      <c r="I147" s="26"/>
      <c r="J147" s="26"/>
      <c r="K147" s="26"/>
      <c r="L147" s="26"/>
    </row>
    <row r="148" spans="7:12" ht="15.75" x14ac:dyDescent="0.25">
      <c r="G148" s="26"/>
      <c r="H148" s="26"/>
      <c r="I148" s="26"/>
      <c r="J148" s="26"/>
      <c r="K148" s="26"/>
      <c r="L148" s="26"/>
    </row>
    <row r="149" spans="7:12" ht="15.75" x14ac:dyDescent="0.25">
      <c r="G149" s="26"/>
      <c r="H149" s="26"/>
      <c r="I149" s="26"/>
      <c r="J149" s="26"/>
      <c r="K149" s="26"/>
      <c r="L149" s="26"/>
    </row>
    <row r="150" spans="7:12" ht="15.75" x14ac:dyDescent="0.25">
      <c r="G150" s="26"/>
      <c r="H150" s="26"/>
      <c r="I150" s="26"/>
      <c r="J150" s="26"/>
      <c r="K150" s="26"/>
      <c r="L150" s="26"/>
    </row>
    <row r="151" spans="7:12" ht="15.75" x14ac:dyDescent="0.25">
      <c r="G151" s="26"/>
      <c r="H151" s="26"/>
      <c r="I151" s="26"/>
      <c r="J151" s="26"/>
      <c r="K151" s="26"/>
      <c r="L151" s="26"/>
    </row>
    <row r="152" spans="7:12" ht="15.75" x14ac:dyDescent="0.25">
      <c r="G152" s="26"/>
      <c r="H152" s="26"/>
      <c r="I152" s="26"/>
      <c r="J152" s="26"/>
      <c r="K152" s="26"/>
      <c r="L152" s="26"/>
    </row>
    <row r="153" spans="7:12" ht="15.75" x14ac:dyDescent="0.25">
      <c r="G153" s="26"/>
      <c r="H153" s="26"/>
      <c r="I153" s="26"/>
      <c r="J153" s="26"/>
      <c r="K153" s="26"/>
      <c r="L153" s="26"/>
    </row>
    <row r="154" spans="7:12" ht="15.75" x14ac:dyDescent="0.25">
      <c r="G154" s="26"/>
      <c r="H154" s="26"/>
      <c r="I154" s="26"/>
      <c r="J154" s="26"/>
      <c r="K154" s="26"/>
      <c r="L154" s="26"/>
    </row>
    <row r="155" spans="7:12" ht="15.75" x14ac:dyDescent="0.25">
      <c r="G155" s="26"/>
      <c r="H155" s="26"/>
      <c r="I155" s="26"/>
      <c r="J155" s="26"/>
      <c r="K155" s="26"/>
      <c r="L155" s="26"/>
    </row>
    <row r="156" spans="7:12" ht="15.75" x14ac:dyDescent="0.25">
      <c r="G156" s="26"/>
      <c r="H156" s="26"/>
      <c r="I156" s="26"/>
      <c r="J156" s="26"/>
      <c r="K156" s="26"/>
      <c r="L156" s="26"/>
    </row>
    <row r="157" spans="7:12" ht="15.75" x14ac:dyDescent="0.25">
      <c r="G157" s="26"/>
      <c r="H157" s="26"/>
      <c r="I157" s="26"/>
      <c r="J157" s="26"/>
      <c r="K157" s="26"/>
      <c r="L157" s="26"/>
    </row>
    <row r="158" spans="7:12" ht="15.75" x14ac:dyDescent="0.25">
      <c r="G158" s="26"/>
      <c r="H158" s="26"/>
      <c r="I158" s="26"/>
      <c r="J158" s="26"/>
      <c r="K158" s="26"/>
      <c r="L158" s="26"/>
    </row>
    <row r="159" spans="7:12" ht="15.75" x14ac:dyDescent="0.25">
      <c r="G159" s="26"/>
      <c r="H159" s="26"/>
      <c r="I159" s="26"/>
      <c r="J159" s="26"/>
      <c r="K159" s="26"/>
      <c r="L159" s="26"/>
    </row>
    <row r="160" spans="7:12" ht="15.75" x14ac:dyDescent="0.25">
      <c r="G160" s="26"/>
      <c r="H160" s="26"/>
      <c r="I160" s="26"/>
      <c r="J160" s="26"/>
      <c r="K160" s="26"/>
      <c r="L160" s="26"/>
    </row>
    <row r="161" spans="7:12" ht="15.75" x14ac:dyDescent="0.25">
      <c r="G161" s="26"/>
      <c r="H161" s="26"/>
      <c r="I161" s="26"/>
      <c r="J161" s="26"/>
      <c r="K161" s="26"/>
      <c r="L161" s="26"/>
    </row>
    <row r="162" spans="7:12" ht="15.75" x14ac:dyDescent="0.25">
      <c r="G162" s="26"/>
      <c r="H162" s="26"/>
      <c r="I162" s="26"/>
      <c r="J162" s="26"/>
      <c r="K162" s="26"/>
      <c r="L162" s="26"/>
    </row>
    <row r="163" spans="7:12" ht="15.75" x14ac:dyDescent="0.25">
      <c r="G163" s="26"/>
      <c r="H163" s="26"/>
      <c r="I163" s="26"/>
      <c r="J163" s="26"/>
      <c r="K163" s="26"/>
      <c r="L163" s="26"/>
    </row>
    <row r="164" spans="7:12" ht="15.75" x14ac:dyDescent="0.25">
      <c r="G164" s="26"/>
      <c r="H164" s="26"/>
      <c r="I164" s="26"/>
      <c r="J164" s="26"/>
      <c r="K164" s="26"/>
      <c r="L164" s="26"/>
    </row>
    <row r="165" spans="7:12" ht="15.75" x14ac:dyDescent="0.25">
      <c r="G165" s="26"/>
      <c r="H165" s="26"/>
      <c r="I165" s="26"/>
      <c r="J165" s="26"/>
      <c r="K165" s="26"/>
      <c r="L165" s="26"/>
    </row>
    <row r="166" spans="7:12" ht="15.75" x14ac:dyDescent="0.25">
      <c r="G166" s="26"/>
      <c r="H166" s="26"/>
      <c r="I166" s="26"/>
      <c r="J166" s="26"/>
      <c r="K166" s="26"/>
      <c r="L166" s="26"/>
    </row>
    <row r="167" spans="7:12" ht="15.75" x14ac:dyDescent="0.25">
      <c r="G167" s="26"/>
      <c r="H167" s="26"/>
      <c r="I167" s="26"/>
      <c r="J167" s="26"/>
      <c r="K167" s="26"/>
      <c r="L167" s="26"/>
    </row>
    <row r="168" spans="7:12" ht="15.75" x14ac:dyDescent="0.25">
      <c r="G168" s="26"/>
      <c r="H168" s="26"/>
      <c r="I168" s="26"/>
      <c r="J168" s="26"/>
      <c r="K168" s="26"/>
      <c r="L168" s="26"/>
    </row>
    <row r="169" spans="7:12" ht="15.75" x14ac:dyDescent="0.25">
      <c r="G169" s="26"/>
      <c r="H169" s="26"/>
      <c r="I169" s="26"/>
      <c r="J169" s="26"/>
      <c r="K169" s="26"/>
      <c r="L169" s="26"/>
    </row>
    <row r="170" spans="7:12" ht="15.75" x14ac:dyDescent="0.25">
      <c r="G170" s="26"/>
      <c r="H170" s="26"/>
      <c r="I170" s="26"/>
      <c r="J170" s="26"/>
      <c r="K170" s="26"/>
      <c r="L170" s="26"/>
    </row>
    <row r="171" spans="7:12" ht="15.75" x14ac:dyDescent="0.25">
      <c r="G171" s="26"/>
      <c r="H171" s="26"/>
      <c r="I171" s="26"/>
      <c r="J171" s="26"/>
      <c r="K171" s="26"/>
      <c r="L171" s="26"/>
    </row>
    <row r="172" spans="7:12" ht="15.75" x14ac:dyDescent="0.25">
      <c r="G172" s="26"/>
      <c r="H172" s="26"/>
      <c r="I172" s="26"/>
      <c r="J172" s="26"/>
      <c r="K172" s="26"/>
      <c r="L172" s="26"/>
    </row>
    <row r="173" spans="7:12" ht="15.75" x14ac:dyDescent="0.25">
      <c r="G173" s="26"/>
      <c r="H173" s="26"/>
      <c r="I173" s="26"/>
      <c r="J173" s="26"/>
      <c r="K173" s="26"/>
      <c r="L173" s="26"/>
    </row>
    <row r="174" spans="7:12" ht="15.75" x14ac:dyDescent="0.25">
      <c r="G174" s="26"/>
      <c r="H174" s="26"/>
      <c r="I174" s="26"/>
      <c r="J174" s="26"/>
      <c r="K174" s="26"/>
      <c r="L174" s="26"/>
    </row>
    <row r="175" spans="7:12" ht="15.75" x14ac:dyDescent="0.25">
      <c r="G175" s="26"/>
      <c r="H175" s="26"/>
      <c r="I175" s="26"/>
      <c r="J175" s="26"/>
      <c r="K175" s="26"/>
      <c r="L175" s="26"/>
    </row>
    <row r="176" spans="7:12" ht="15.75" x14ac:dyDescent="0.25">
      <c r="G176" s="26"/>
      <c r="H176" s="26"/>
      <c r="I176" s="26"/>
      <c r="J176" s="26"/>
      <c r="K176" s="26"/>
      <c r="L176" s="26"/>
    </row>
    <row r="177" spans="7:12" ht="15.75" x14ac:dyDescent="0.25">
      <c r="G177" s="26"/>
      <c r="H177" s="26"/>
      <c r="I177" s="26"/>
      <c r="J177" s="26"/>
      <c r="K177" s="26"/>
      <c r="L177" s="26"/>
    </row>
    <row r="178" spans="7:12" ht="15.75" x14ac:dyDescent="0.25">
      <c r="G178" s="26"/>
      <c r="H178" s="26"/>
      <c r="I178" s="26"/>
      <c r="J178" s="26"/>
      <c r="K178" s="26"/>
      <c r="L178" s="26"/>
    </row>
    <row r="179" spans="7:12" ht="15.75" x14ac:dyDescent="0.25">
      <c r="G179" s="26"/>
      <c r="H179" s="26"/>
      <c r="I179" s="26"/>
      <c r="J179" s="26"/>
      <c r="K179" s="26"/>
      <c r="L179" s="26"/>
    </row>
    <row r="180" spans="7:12" ht="15.75" x14ac:dyDescent="0.25">
      <c r="G180" s="26"/>
      <c r="H180" s="26"/>
      <c r="I180" s="26"/>
      <c r="J180" s="26"/>
      <c r="K180" s="26"/>
      <c r="L180" s="26"/>
    </row>
    <row r="181" spans="7:12" ht="15.75" x14ac:dyDescent="0.25">
      <c r="G181" s="26"/>
      <c r="H181" s="26"/>
      <c r="I181" s="26"/>
      <c r="J181" s="26"/>
      <c r="K181" s="26"/>
      <c r="L181" s="26"/>
    </row>
    <row r="182" spans="7:12" ht="15.75" x14ac:dyDescent="0.25">
      <c r="G182" s="26"/>
      <c r="H182" s="26"/>
      <c r="I182" s="26"/>
      <c r="J182" s="26"/>
      <c r="K182" s="26"/>
      <c r="L182" s="26"/>
    </row>
    <row r="183" spans="7:12" ht="15.75" x14ac:dyDescent="0.25">
      <c r="G183" s="26"/>
      <c r="H183" s="26"/>
      <c r="I183" s="26"/>
      <c r="J183" s="26"/>
      <c r="K183" s="26"/>
      <c r="L183" s="26"/>
    </row>
    <row r="184" spans="7:12" ht="15.75" x14ac:dyDescent="0.25">
      <c r="G184" s="26"/>
      <c r="H184" s="26"/>
      <c r="I184" s="26"/>
      <c r="J184" s="26"/>
      <c r="K184" s="26"/>
      <c r="L184" s="26"/>
    </row>
    <row r="185" spans="7:12" ht="15.75" x14ac:dyDescent="0.25">
      <c r="G185" s="26"/>
      <c r="H185" s="26"/>
      <c r="I185" s="26"/>
      <c r="J185" s="26"/>
      <c r="K185" s="26"/>
      <c r="L185" s="26"/>
    </row>
    <row r="186" spans="7:12" ht="15.75" x14ac:dyDescent="0.25">
      <c r="G186" s="26"/>
      <c r="H186" s="26"/>
      <c r="I186" s="26"/>
      <c r="J186" s="26"/>
      <c r="K186" s="26"/>
      <c r="L186" s="26"/>
    </row>
    <row r="187" spans="7:12" ht="15.75" x14ac:dyDescent="0.25">
      <c r="G187" s="26"/>
      <c r="H187" s="26"/>
      <c r="I187" s="26"/>
      <c r="J187" s="26"/>
      <c r="K187" s="26"/>
      <c r="L187" s="26"/>
    </row>
    <row r="188" spans="7:12" ht="15.75" x14ac:dyDescent="0.25">
      <c r="G188" s="26"/>
      <c r="H188" s="26"/>
      <c r="I188" s="26"/>
      <c r="J188" s="26"/>
      <c r="K188" s="26"/>
      <c r="L188" s="26"/>
    </row>
    <row r="189" spans="7:12" ht="15.75" x14ac:dyDescent="0.25">
      <c r="G189" s="26"/>
      <c r="H189" s="26"/>
      <c r="I189" s="26"/>
      <c r="J189" s="26"/>
      <c r="K189" s="26"/>
      <c r="L189" s="26"/>
    </row>
    <row r="190" spans="7:12" ht="15.75" x14ac:dyDescent="0.25">
      <c r="G190" s="26"/>
      <c r="H190" s="26"/>
      <c r="I190" s="26"/>
      <c r="J190" s="26"/>
      <c r="K190" s="26"/>
      <c r="L190" s="26"/>
    </row>
    <row r="191" spans="7:12" ht="15.75" x14ac:dyDescent="0.25">
      <c r="G191" s="26"/>
      <c r="H191" s="26"/>
      <c r="I191" s="26"/>
      <c r="J191" s="26"/>
      <c r="K191" s="26"/>
      <c r="L191" s="26"/>
    </row>
    <row r="192" spans="7:12" ht="15.75" x14ac:dyDescent="0.25">
      <c r="G192" s="26"/>
      <c r="H192" s="26"/>
      <c r="I192" s="26"/>
      <c r="J192" s="26"/>
      <c r="K192" s="26"/>
      <c r="L192" s="26"/>
    </row>
    <row r="193" spans="7:12" ht="15.75" x14ac:dyDescent="0.25">
      <c r="G193" s="26"/>
      <c r="H193" s="26"/>
      <c r="I193" s="26"/>
      <c r="J193" s="26"/>
      <c r="K193" s="26"/>
      <c r="L193" s="26"/>
    </row>
    <row r="194" spans="7:12" ht="15.75" x14ac:dyDescent="0.25">
      <c r="G194" s="26"/>
      <c r="H194" s="26"/>
      <c r="I194" s="26"/>
      <c r="J194" s="26"/>
      <c r="K194" s="26"/>
      <c r="L194" s="26"/>
    </row>
    <row r="195" spans="7:12" ht="15.75" x14ac:dyDescent="0.25">
      <c r="G195" s="26"/>
      <c r="H195" s="26"/>
      <c r="I195" s="26"/>
      <c r="J195" s="26"/>
      <c r="K195" s="26"/>
      <c r="L195" s="26"/>
    </row>
    <row r="196" spans="7:12" ht="15.75" x14ac:dyDescent="0.25">
      <c r="G196" s="26"/>
      <c r="H196" s="26"/>
      <c r="I196" s="26"/>
      <c r="J196" s="26"/>
      <c r="K196" s="26"/>
      <c r="L196" s="26"/>
    </row>
    <row r="197" spans="7:12" ht="15.75" x14ac:dyDescent="0.25">
      <c r="G197" s="26"/>
      <c r="H197" s="26"/>
      <c r="I197" s="26"/>
      <c r="J197" s="26"/>
      <c r="K197" s="26"/>
      <c r="L197" s="26"/>
    </row>
    <row r="198" spans="7:12" ht="15.75" x14ac:dyDescent="0.25">
      <c r="G198" s="26"/>
      <c r="H198" s="26"/>
      <c r="I198" s="26"/>
      <c r="J198" s="26"/>
      <c r="K198" s="26"/>
      <c r="L198" s="26"/>
    </row>
    <row r="199" spans="7:12" ht="15.75" x14ac:dyDescent="0.25">
      <c r="G199" s="26"/>
      <c r="H199" s="26"/>
      <c r="I199" s="26"/>
      <c r="J199" s="26"/>
      <c r="K199" s="26"/>
      <c r="L199" s="26"/>
    </row>
    <row r="200" spans="7:12" ht="15.75" x14ac:dyDescent="0.25">
      <c r="G200" s="26"/>
      <c r="H200" s="26"/>
      <c r="I200" s="26"/>
      <c r="J200" s="26"/>
      <c r="K200" s="26"/>
      <c r="L200" s="26"/>
    </row>
    <row r="201" spans="7:12" ht="15.75" x14ac:dyDescent="0.25">
      <c r="G201" s="26"/>
      <c r="H201" s="26"/>
      <c r="I201" s="26"/>
      <c r="J201" s="26"/>
      <c r="K201" s="26"/>
      <c r="L201" s="26"/>
    </row>
    <row r="202" spans="7:12" ht="15.75" x14ac:dyDescent="0.25">
      <c r="G202" s="26"/>
      <c r="H202" s="26"/>
      <c r="I202" s="26"/>
      <c r="J202" s="26"/>
      <c r="K202" s="26"/>
      <c r="L202" s="26"/>
    </row>
    <row r="203" spans="7:12" ht="15.75" x14ac:dyDescent="0.25">
      <c r="G203" s="26"/>
      <c r="H203" s="26"/>
      <c r="I203" s="26"/>
      <c r="J203" s="26"/>
      <c r="K203" s="26"/>
      <c r="L203" s="26"/>
    </row>
    <row r="204" spans="7:12" ht="15.75" x14ac:dyDescent="0.25">
      <c r="G204" s="26"/>
      <c r="H204" s="26"/>
      <c r="I204" s="26"/>
      <c r="J204" s="26"/>
      <c r="K204" s="26"/>
      <c r="L204" s="26"/>
    </row>
    <row r="205" spans="7:12" ht="15.75" x14ac:dyDescent="0.25">
      <c r="G205" s="26"/>
      <c r="H205" s="26"/>
      <c r="I205" s="26"/>
      <c r="J205" s="26"/>
      <c r="K205" s="26"/>
      <c r="L205" s="26"/>
    </row>
    <row r="206" spans="7:12" ht="15.75" x14ac:dyDescent="0.25">
      <c r="G206" s="26"/>
      <c r="H206" s="26"/>
      <c r="I206" s="26"/>
      <c r="J206" s="26"/>
      <c r="K206" s="26"/>
      <c r="L206" s="26"/>
    </row>
    <row r="207" spans="7:12" ht="15.75" x14ac:dyDescent="0.25">
      <c r="G207" s="26"/>
      <c r="H207" s="26"/>
      <c r="I207" s="26"/>
      <c r="J207" s="26"/>
      <c r="K207" s="26"/>
      <c r="L207" s="26"/>
    </row>
    <row r="208" spans="7:12" ht="15.75" x14ac:dyDescent="0.25">
      <c r="G208" s="26"/>
      <c r="H208" s="26"/>
      <c r="I208" s="26"/>
      <c r="J208" s="26"/>
      <c r="K208" s="26"/>
      <c r="L208" s="26"/>
    </row>
    <row r="209" spans="7:12" ht="15.75" x14ac:dyDescent="0.25">
      <c r="G209" s="26"/>
      <c r="H209" s="26"/>
      <c r="I209" s="26"/>
      <c r="J209" s="26"/>
      <c r="K209" s="26"/>
      <c r="L209" s="26"/>
    </row>
    <row r="210" spans="7:12" ht="15.75" x14ac:dyDescent="0.25">
      <c r="G210" s="26"/>
      <c r="H210" s="26"/>
      <c r="I210" s="26"/>
      <c r="J210" s="26"/>
      <c r="K210" s="26"/>
      <c r="L210" s="26"/>
    </row>
    <row r="211" spans="7:12" ht="15.75" x14ac:dyDescent="0.25">
      <c r="G211" s="26"/>
      <c r="H211" s="26"/>
      <c r="I211" s="26"/>
      <c r="J211" s="26"/>
      <c r="K211" s="26"/>
      <c r="L211" s="26"/>
    </row>
    <row r="212" spans="7:12" ht="15.75" x14ac:dyDescent="0.25">
      <c r="G212" s="26"/>
      <c r="H212" s="26"/>
      <c r="I212" s="26"/>
      <c r="J212" s="26"/>
      <c r="K212" s="26"/>
      <c r="L212" s="26"/>
    </row>
    <row r="213" spans="7:12" ht="15.75" x14ac:dyDescent="0.25">
      <c r="G213" s="26"/>
      <c r="H213" s="26"/>
      <c r="I213" s="26"/>
      <c r="J213" s="26"/>
      <c r="K213" s="26"/>
      <c r="L213" s="26"/>
    </row>
    <row r="214" spans="7:12" ht="15.75" x14ac:dyDescent="0.25">
      <c r="G214" s="26"/>
      <c r="H214" s="26"/>
      <c r="I214" s="26"/>
      <c r="J214" s="26"/>
      <c r="K214" s="26"/>
      <c r="L214" s="26"/>
    </row>
    <row r="215" spans="7:12" ht="15.75" x14ac:dyDescent="0.25">
      <c r="G215" s="26"/>
      <c r="H215" s="26"/>
      <c r="I215" s="26"/>
      <c r="J215" s="26"/>
      <c r="K215" s="26"/>
      <c r="L215" s="26"/>
    </row>
    <row r="216" spans="7:12" ht="15.75" x14ac:dyDescent="0.25">
      <c r="G216" s="26"/>
      <c r="H216" s="26"/>
      <c r="I216" s="26"/>
      <c r="J216" s="26"/>
      <c r="K216" s="26"/>
      <c r="L216" s="26"/>
    </row>
    <row r="217" spans="7:12" ht="15.75" x14ac:dyDescent="0.25">
      <c r="G217" s="26"/>
      <c r="H217" s="26"/>
      <c r="I217" s="26"/>
      <c r="J217" s="26"/>
      <c r="K217" s="26"/>
      <c r="L217" s="26"/>
    </row>
    <row r="218" spans="7:12" ht="15.75" x14ac:dyDescent="0.25">
      <c r="G218" s="26"/>
      <c r="H218" s="26"/>
      <c r="I218" s="26"/>
      <c r="J218" s="26"/>
      <c r="K218" s="26"/>
      <c r="L218" s="26"/>
    </row>
    <row r="219" spans="7:12" ht="15.75" x14ac:dyDescent="0.25">
      <c r="G219" s="26"/>
      <c r="H219" s="26"/>
      <c r="I219" s="26"/>
      <c r="J219" s="26"/>
      <c r="K219" s="26"/>
      <c r="L219" s="26"/>
    </row>
    <row r="220" spans="7:12" ht="15.75" x14ac:dyDescent="0.25">
      <c r="G220" s="26"/>
      <c r="H220" s="26"/>
      <c r="I220" s="26"/>
      <c r="J220" s="26"/>
      <c r="K220" s="26"/>
      <c r="L220" s="26"/>
    </row>
    <row r="221" spans="7:12" ht="15.75" x14ac:dyDescent="0.25">
      <c r="G221" s="26"/>
      <c r="H221" s="26"/>
      <c r="I221" s="26"/>
      <c r="J221" s="26"/>
      <c r="K221" s="26"/>
      <c r="L221" s="26"/>
    </row>
    <row r="222" spans="7:12" ht="15.75" x14ac:dyDescent="0.25">
      <c r="G222" s="26"/>
      <c r="H222" s="26"/>
      <c r="I222" s="26"/>
      <c r="J222" s="26"/>
      <c r="K222" s="26"/>
      <c r="L222" s="26"/>
    </row>
    <row r="223" spans="7:12" ht="15.75" x14ac:dyDescent="0.25">
      <c r="G223" s="26"/>
      <c r="H223" s="26"/>
      <c r="I223" s="26"/>
      <c r="J223" s="26"/>
      <c r="K223" s="26"/>
      <c r="L223" s="26"/>
    </row>
    <row r="224" spans="7:12" ht="15.75" x14ac:dyDescent="0.25">
      <c r="G224" s="26"/>
      <c r="H224" s="26"/>
      <c r="I224" s="26"/>
      <c r="J224" s="26"/>
      <c r="K224" s="26"/>
      <c r="L224" s="26"/>
    </row>
    <row r="225" spans="7:12" ht="15.75" x14ac:dyDescent="0.25">
      <c r="G225" s="26"/>
      <c r="H225" s="26"/>
      <c r="I225" s="26"/>
      <c r="J225" s="26"/>
      <c r="K225" s="26"/>
      <c r="L225" s="26"/>
    </row>
    <row r="226" spans="7:12" ht="15.75" x14ac:dyDescent="0.25">
      <c r="G226" s="26"/>
      <c r="H226" s="26"/>
      <c r="I226" s="26"/>
      <c r="J226" s="26"/>
      <c r="K226" s="26"/>
      <c r="L226" s="26"/>
    </row>
    <row r="227" spans="7:12" ht="15.75" x14ac:dyDescent="0.25">
      <c r="G227" s="26"/>
      <c r="H227" s="26"/>
      <c r="I227" s="26"/>
      <c r="J227" s="26"/>
      <c r="K227" s="26"/>
      <c r="L227" s="26"/>
    </row>
    <row r="228" spans="7:12" ht="15.75" x14ac:dyDescent="0.25">
      <c r="G228" s="26"/>
      <c r="H228" s="26"/>
      <c r="I228" s="26"/>
      <c r="J228" s="26"/>
      <c r="K228" s="26"/>
      <c r="L228" s="26"/>
    </row>
    <row r="229" spans="7:12" ht="15.75" x14ac:dyDescent="0.25">
      <c r="G229" s="26"/>
      <c r="H229" s="26"/>
      <c r="I229" s="26"/>
      <c r="J229" s="26"/>
      <c r="K229" s="26"/>
      <c r="L229" s="26"/>
    </row>
    <row r="230" spans="7:12" ht="15.75" x14ac:dyDescent="0.25">
      <c r="G230" s="26"/>
      <c r="H230" s="26"/>
      <c r="I230" s="26"/>
      <c r="J230" s="26"/>
      <c r="K230" s="26"/>
      <c r="L230" s="26"/>
    </row>
    <row r="231" spans="7:12" ht="15.75" x14ac:dyDescent="0.25">
      <c r="G231" s="26"/>
      <c r="H231" s="26"/>
      <c r="I231" s="26"/>
      <c r="J231" s="26"/>
      <c r="K231" s="26"/>
      <c r="L231" s="26"/>
    </row>
    <row r="232" spans="7:12" ht="15.75" x14ac:dyDescent="0.25">
      <c r="G232" s="26"/>
      <c r="H232" s="26"/>
      <c r="I232" s="26"/>
      <c r="J232" s="26"/>
      <c r="K232" s="26"/>
      <c r="L232" s="26"/>
    </row>
    <row r="233" spans="7:12" ht="15.75" x14ac:dyDescent="0.25">
      <c r="G233" s="26"/>
      <c r="H233" s="26"/>
      <c r="I233" s="26"/>
      <c r="J233" s="26"/>
      <c r="K233" s="26"/>
      <c r="L233" s="26"/>
    </row>
    <row r="234" spans="7:12" ht="15.75" x14ac:dyDescent="0.25">
      <c r="G234" s="26"/>
      <c r="H234" s="26"/>
      <c r="I234" s="26"/>
      <c r="J234" s="26"/>
      <c r="K234" s="26"/>
      <c r="L234" s="26"/>
    </row>
    <row r="235" spans="7:12" ht="15.75" x14ac:dyDescent="0.25">
      <c r="G235" s="26"/>
      <c r="H235" s="26"/>
      <c r="I235" s="26"/>
      <c r="J235" s="26"/>
      <c r="K235" s="26"/>
      <c r="L235" s="26"/>
    </row>
    <row r="236" spans="7:12" ht="15.75" x14ac:dyDescent="0.25">
      <c r="G236" s="26"/>
      <c r="H236" s="26"/>
      <c r="I236" s="26"/>
      <c r="J236" s="26"/>
      <c r="K236" s="26"/>
      <c r="L236" s="26"/>
    </row>
    <row r="237" spans="7:12" ht="15.75" x14ac:dyDescent="0.25">
      <c r="G237" s="26"/>
      <c r="H237" s="26"/>
      <c r="I237" s="26"/>
      <c r="J237" s="26"/>
      <c r="K237" s="26"/>
      <c r="L237" s="26"/>
    </row>
    <row r="238" spans="7:12" ht="15.75" x14ac:dyDescent="0.25">
      <c r="G238" s="26"/>
      <c r="H238" s="26"/>
      <c r="I238" s="26"/>
      <c r="J238" s="26"/>
      <c r="K238" s="26"/>
      <c r="L238" s="26"/>
    </row>
    <row r="239" spans="7:12" ht="15.75" x14ac:dyDescent="0.25">
      <c r="G239" s="26"/>
      <c r="H239" s="26"/>
      <c r="I239" s="26"/>
      <c r="J239" s="26"/>
      <c r="K239" s="26"/>
      <c r="L239" s="26"/>
    </row>
    <row r="240" spans="7:12" ht="15.75" x14ac:dyDescent="0.25">
      <c r="G240" s="26"/>
      <c r="H240" s="26"/>
      <c r="I240" s="26"/>
      <c r="J240" s="26"/>
      <c r="K240" s="26"/>
      <c r="L240" s="26"/>
    </row>
    <row r="241" spans="7:12" ht="15.75" x14ac:dyDescent="0.25">
      <c r="G241" s="26"/>
      <c r="H241" s="26"/>
      <c r="I241" s="26"/>
      <c r="J241" s="26"/>
      <c r="K241" s="26"/>
      <c r="L241" s="26"/>
    </row>
    <row r="242" spans="7:12" ht="15.75" x14ac:dyDescent="0.25">
      <c r="G242" s="26"/>
      <c r="H242" s="26"/>
      <c r="I242" s="26"/>
      <c r="J242" s="26"/>
      <c r="K242" s="26"/>
      <c r="L242" s="26"/>
    </row>
    <row r="243" spans="7:12" ht="15.75" x14ac:dyDescent="0.25">
      <c r="G243" s="26"/>
      <c r="H243" s="26"/>
      <c r="I243" s="26"/>
      <c r="J243" s="26"/>
      <c r="K243" s="26"/>
      <c r="L243" s="26"/>
    </row>
    <row r="244" spans="7:12" ht="15.75" x14ac:dyDescent="0.25">
      <c r="G244" s="26"/>
      <c r="H244" s="26"/>
      <c r="I244" s="26"/>
      <c r="J244" s="26"/>
      <c r="K244" s="26"/>
      <c r="L244" s="26"/>
    </row>
    <row r="245" spans="7:12" ht="15.75" x14ac:dyDescent="0.25">
      <c r="G245" s="26"/>
      <c r="H245" s="26"/>
      <c r="I245" s="26"/>
      <c r="J245" s="26"/>
      <c r="K245" s="26"/>
      <c r="L245" s="26"/>
    </row>
    <row r="246" spans="7:12" ht="15.75" x14ac:dyDescent="0.25">
      <c r="G246" s="26"/>
      <c r="H246" s="26"/>
      <c r="I246" s="26"/>
      <c r="J246" s="26"/>
      <c r="K246" s="26"/>
      <c r="L246" s="26"/>
    </row>
    <row r="247" spans="7:12" ht="15.75" x14ac:dyDescent="0.25">
      <c r="G247" s="26"/>
      <c r="H247" s="26"/>
      <c r="I247" s="26"/>
      <c r="J247" s="26"/>
      <c r="K247" s="26"/>
      <c r="L247" s="26"/>
    </row>
    <row r="248" spans="7:12" ht="15.75" x14ac:dyDescent="0.25">
      <c r="G248" s="26"/>
      <c r="H248" s="26"/>
      <c r="I248" s="26"/>
      <c r="J248" s="26"/>
      <c r="K248" s="26"/>
      <c r="L248" s="26"/>
    </row>
    <row r="249" spans="7:12" ht="15.75" x14ac:dyDescent="0.25">
      <c r="G249" s="26"/>
      <c r="H249" s="26"/>
    </row>
    <row r="250" spans="7:12" ht="15.75" x14ac:dyDescent="0.25">
      <c r="G250" s="26"/>
      <c r="H250" s="26"/>
    </row>
    <row r="251" spans="7:12" ht="15.75" x14ac:dyDescent="0.25">
      <c r="G251" s="26"/>
      <c r="H251" s="26"/>
    </row>
    <row r="252" spans="7:12" ht="15.75" x14ac:dyDescent="0.25">
      <c r="G252" s="26"/>
      <c r="H252" s="26"/>
    </row>
  </sheetData>
  <mergeCells count="1">
    <mergeCell ref="H1:L1"/>
  </mergeCells>
  <conditionalFormatting sqref="D4:D5 D7:D8 D10:D11 D13:D14 D16:D17 D19:D20 D22:D23 D25:D26 D28:D29 D31:D32 D34:D35">
    <cfRule type="cellIs" dxfId="91" priority="179" operator="equal">
      <formula>0</formula>
    </cfRule>
  </conditionalFormatting>
  <dataValidations disablePrompts="1" count="1">
    <dataValidation type="list" allowBlank="1" showInputMessage="1" sqref="H3:L3 H6:L6 H9:L9 H12:L12 H15:L15 H18:L18 H21:L21 H24:L24 H27:L27 H30:L30 H33:L33" xr:uid="{3981A9D8-A99D-4892-A553-360EDE67E1F6}">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Please select units from the dropdown box" xr:uid="{00000000-0002-0000-1100-000000000000}">
          <x14:formula1>
            <xm:f>Unit!$A$4:$A$11</xm:f>
          </x14:formula1>
          <xm:sqref>D3 D6 D33 D30 D27 D24 D21 D18 D12 D15 D9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1910-BE3D-4B14-A939-14AB9CA94B5A}">
  <sheetPr codeName="Sheet46">
    <tabColor rgb="FF00B0F0"/>
  </sheetPr>
  <dimension ref="A1:AB171"/>
  <sheetViews>
    <sheetView zoomScale="85" zoomScaleNormal="85" workbookViewId="0">
      <pane ySplit="3" topLeftCell="A4" activePane="bottomLeft" state="frozen"/>
      <selection pane="bottomLeft"/>
    </sheetView>
  </sheetViews>
  <sheetFormatPr defaultColWidth="8.5703125" defaultRowHeight="15" outlineLevelRow="1" x14ac:dyDescent="0.25"/>
  <cols>
    <col min="1" max="1" width="15.5703125" style="273" customWidth="1"/>
    <col min="2" max="2" width="17.85546875" style="273" bestFit="1" customWidth="1"/>
    <col min="3" max="6" width="13.425781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19" width="16.140625" style="273" customWidth="1"/>
    <col min="20" max="20" width="20.5703125" style="273" bestFit="1" customWidth="1"/>
    <col min="21" max="28" width="7.5703125" style="273" customWidth="1"/>
    <col min="29" max="16384" width="8.5703125" style="273"/>
  </cols>
  <sheetData>
    <row r="1" spans="1:28" ht="35.450000000000003" customHeight="1" x14ac:dyDescent="0.25">
      <c r="A1" s="294" t="s">
        <v>905</v>
      </c>
      <c r="B1" s="295"/>
      <c r="C1" s="295"/>
      <c r="D1" s="295"/>
      <c r="E1" s="295"/>
      <c r="F1" s="295"/>
      <c r="G1" s="295"/>
      <c r="H1" s="295"/>
      <c r="I1" s="295"/>
      <c r="J1" s="295"/>
      <c r="K1" s="295"/>
      <c r="L1" s="295"/>
      <c r="M1" s="295"/>
      <c r="N1" s="295"/>
      <c r="O1" s="295"/>
      <c r="P1" s="295"/>
      <c r="Q1" s="295"/>
      <c r="R1" s="295"/>
      <c r="S1" s="296" t="s">
        <v>888</v>
      </c>
      <c r="T1" s="301">
        <v>44769</v>
      </c>
      <c r="U1" s="301"/>
      <c r="V1" s="301"/>
      <c r="W1" s="301"/>
      <c r="X1" s="301"/>
      <c r="Y1" s="301"/>
      <c r="Z1" s="301"/>
      <c r="AA1" s="301"/>
      <c r="AB1" s="301"/>
    </row>
    <row r="2" spans="1:28" ht="15.75" x14ac:dyDescent="0.25">
      <c r="I2" s="292">
        <v>73.66</v>
      </c>
      <c r="J2" s="293">
        <v>83.7</v>
      </c>
      <c r="K2" s="291">
        <v>1</v>
      </c>
      <c r="L2" s="291">
        <v>1</v>
      </c>
      <c r="U2" s="291">
        <f>52.5/54.3</f>
        <v>0.96685082872928185</v>
      </c>
      <c r="V2" s="291">
        <f>54.3/54.3</f>
        <v>1</v>
      </c>
      <c r="W2" s="291">
        <f>56.6/54.3</f>
        <v>1.0423572744014733</v>
      </c>
      <c r="X2" s="291">
        <f>53/54.3</f>
        <v>0.97605893186003689</v>
      </c>
      <c r="Y2" s="291">
        <f>62.4/54.3</f>
        <v>1.149171270718232</v>
      </c>
      <c r="Z2" s="291">
        <f>52/54.3</f>
        <v>0.9576427255985267</v>
      </c>
      <c r="AA2" s="291">
        <f>52/54.3</f>
        <v>0.9576427255985267</v>
      </c>
      <c r="AB2" s="291">
        <f>53.9/54.3</f>
        <v>0.99263351749539597</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890</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 t="shared" ref="L5" si="0">L$2</f>
        <v>1</v>
      </c>
      <c r="M5" s="291"/>
      <c r="N5" s="291"/>
      <c r="O5" s="303" t="s">
        <v>906</v>
      </c>
      <c r="P5" s="303" t="s">
        <v>907</v>
      </c>
      <c r="Q5" s="303"/>
      <c r="R5" s="291"/>
      <c r="S5" s="291"/>
      <c r="T5" s="291"/>
      <c r="U5" s="291">
        <f>U$2</f>
        <v>0.96685082872928185</v>
      </c>
      <c r="V5" s="291">
        <f>V$2</f>
        <v>1</v>
      </c>
      <c r="W5" s="291">
        <f t="shared" ref="W5:AB5" si="1">W$2</f>
        <v>1.0423572744014733</v>
      </c>
      <c r="X5" s="291">
        <f t="shared" si="1"/>
        <v>0.97605893186003689</v>
      </c>
      <c r="Y5" s="291">
        <f t="shared" si="1"/>
        <v>1.149171270718232</v>
      </c>
      <c r="Z5" s="291">
        <f t="shared" si="1"/>
        <v>0.9576427255985267</v>
      </c>
      <c r="AA5" s="291">
        <f t="shared" si="1"/>
        <v>0.9576427255985267</v>
      </c>
      <c r="AB5" s="291">
        <f t="shared" si="1"/>
        <v>0.99263351749539597</v>
      </c>
    </row>
    <row r="6" spans="1:28" ht="14.45" hidden="1" customHeight="1" outlineLevel="1" x14ac:dyDescent="0.25">
      <c r="A6" s="278"/>
      <c r="B6" s="279" t="str">
        <f>C6&amp;D6&amp;E6&amp;F6</f>
        <v>colorbond0.42 BMT</v>
      </c>
      <c r="C6" s="226" t="s">
        <v>654</v>
      </c>
      <c r="D6" s="226" t="s">
        <v>655</v>
      </c>
      <c r="E6" s="278"/>
      <c r="F6" s="278"/>
      <c r="G6" s="278" t="s">
        <v>11</v>
      </c>
      <c r="H6" s="290">
        <v>0.25</v>
      </c>
      <c r="I6" s="280">
        <f>$I$2*H6</f>
        <v>18.414999999999999</v>
      </c>
      <c r="J6" s="281">
        <f>$J$2*H6</f>
        <v>20.925000000000001</v>
      </c>
      <c r="K6" s="282">
        <f>IF(Notes!$B$9="Domestic",I6, IF(Notes!$B$9="Commercial",J6))*$K$5</f>
        <v>20.925000000000001</v>
      </c>
      <c r="L6" s="283">
        <f>(SUM(O6:Q6)+(K6+SUM(M6:Q6))*(INDEX($U$5:$AB$5,MATCH(Notes!$C$16,$U$3:$AB$3,0))-100%))*$L$5</f>
        <v>43.311999999999998</v>
      </c>
      <c r="M6" s="284"/>
      <c r="N6" s="284"/>
      <c r="O6" s="285">
        <v>27.07</v>
      </c>
      <c r="P6" s="285">
        <v>16.242000000000001</v>
      </c>
      <c r="Q6" s="285"/>
      <c r="R6" s="278" t="s">
        <v>654</v>
      </c>
      <c r="S6" s="278" t="s">
        <v>655</v>
      </c>
      <c r="T6" s="278"/>
      <c r="U6" s="277"/>
      <c r="Z6" s="277"/>
    </row>
    <row r="7" spans="1:28" ht="14.45" hidden="1" customHeight="1" outlineLevel="1" x14ac:dyDescent="0.25">
      <c r="A7" s="278"/>
      <c r="B7" s="279" t="str">
        <f t="shared" ref="B7:B17" si="2">C7&amp;D7&amp;E7&amp;F7</f>
        <v>ultra colorbond0.42 BMT</v>
      </c>
      <c r="C7" s="226" t="s">
        <v>656</v>
      </c>
      <c r="D7" s="226" t="s">
        <v>655</v>
      </c>
      <c r="E7" s="278"/>
      <c r="F7" s="278"/>
      <c r="G7" s="278" t="s">
        <v>11</v>
      </c>
      <c r="H7" s="290">
        <v>0.25</v>
      </c>
      <c r="I7" s="280">
        <f>$I$2*H7</f>
        <v>18.414999999999999</v>
      </c>
      <c r="J7" s="281">
        <f t="shared" ref="J7:J17" si="3">$J$2*H7</f>
        <v>20.925000000000001</v>
      </c>
      <c r="K7" s="282">
        <f>IF(Notes!$B$9="Domestic",I7, IF(Notes!$B$9="Commercial",J7))*$K$5</f>
        <v>20.925000000000001</v>
      </c>
      <c r="L7" s="283">
        <f>(SUM(O7:Q7)+(K7+SUM(M7:Q7))*(INDEX($U$5:$AB$5,MATCH(Notes!$C$16,$U$3:$AB$3,0))-100%))*$L$5</f>
        <v>65.039999999999992</v>
      </c>
      <c r="M7" s="284"/>
      <c r="N7" s="284"/>
      <c r="O7" s="285">
        <v>40.65</v>
      </c>
      <c r="P7" s="285">
        <v>24.389999999999997</v>
      </c>
      <c r="Q7" s="285"/>
      <c r="R7" s="278" t="s">
        <v>656</v>
      </c>
      <c r="S7" s="278" t="s">
        <v>658</v>
      </c>
      <c r="T7" s="278"/>
      <c r="U7" s="277"/>
      <c r="Z7" s="277"/>
    </row>
    <row r="8" spans="1:28" ht="14.45" hidden="1" customHeight="1" outlineLevel="1" x14ac:dyDescent="0.25">
      <c r="A8" s="278"/>
      <c r="B8" s="279" t="str">
        <f t="shared" si="2"/>
        <v>zincalum0.42 BMT</v>
      </c>
      <c r="C8" s="226" t="s">
        <v>660</v>
      </c>
      <c r="D8" s="226" t="s">
        <v>655</v>
      </c>
      <c r="E8" s="278"/>
      <c r="F8" s="278"/>
      <c r="G8" s="278" t="s">
        <v>11</v>
      </c>
      <c r="H8" s="290">
        <v>0.25</v>
      </c>
      <c r="I8" s="280">
        <f>$I$2*H8</f>
        <v>18.414999999999999</v>
      </c>
      <c r="J8" s="281">
        <f t="shared" si="3"/>
        <v>20.925000000000001</v>
      </c>
      <c r="K8" s="282">
        <f>IF(Notes!$B$9="Domestic",I8, IF(Notes!$B$9="Commercial",J8))*$K$5</f>
        <v>20.925000000000001</v>
      </c>
      <c r="L8" s="283">
        <f>(SUM(O8:Q8)+(K8+SUM(M8:Q8))*(INDEX($U$5:$AB$5,MATCH(Notes!$C$16,$U$3:$AB$3,0))-100%))*$L$5</f>
        <v>38.304000000000002</v>
      </c>
      <c r="M8" s="284"/>
      <c r="N8" s="284"/>
      <c r="O8" s="285">
        <v>23.94</v>
      </c>
      <c r="P8" s="285">
        <v>14.364000000000001</v>
      </c>
      <c r="Q8" s="285"/>
      <c r="R8" s="278" t="s">
        <v>660</v>
      </c>
      <c r="S8" s="278" t="s">
        <v>659</v>
      </c>
      <c r="T8" s="278"/>
      <c r="U8" s="277"/>
      <c r="Z8" s="277"/>
    </row>
    <row r="9" spans="1:28" ht="14.45" hidden="1" customHeight="1" outlineLevel="1" x14ac:dyDescent="0.25">
      <c r="A9" s="278"/>
      <c r="B9" s="279" t="str">
        <f t="shared" si="2"/>
        <v>galvanised steel0.42 BMT</v>
      </c>
      <c r="C9" s="226" t="s">
        <v>657</v>
      </c>
      <c r="D9" s="226" t="s">
        <v>655</v>
      </c>
      <c r="E9" s="278"/>
      <c r="F9" s="278"/>
      <c r="G9" s="278" t="s">
        <v>11</v>
      </c>
      <c r="H9" s="290">
        <v>0.25</v>
      </c>
      <c r="I9" s="280">
        <f>$I$2*H9</f>
        <v>18.414999999999999</v>
      </c>
      <c r="J9" s="281">
        <f t="shared" si="3"/>
        <v>20.925000000000001</v>
      </c>
      <c r="K9" s="282">
        <f>IF(Notes!$B$9="Domestic",I9, IF(Notes!$B$9="Commercial",J9))*$K$5</f>
        <v>20.925000000000001</v>
      </c>
      <c r="L9" s="283">
        <f>(SUM(O9:Q9)+(K9+SUM(M9:Q9))*(INDEX($U$5:$AB$5,MATCH(Notes!$C$16,$U$3:$AB$3,0))-100%))*$L$5</f>
        <v>52.16</v>
      </c>
      <c r="M9" s="284"/>
      <c r="N9" s="284"/>
      <c r="O9" s="285">
        <v>32.6</v>
      </c>
      <c r="P9" s="285">
        <v>19.559999999999999</v>
      </c>
      <c r="Q9" s="285"/>
      <c r="R9" s="278" t="s">
        <v>657</v>
      </c>
      <c r="S9" s="278"/>
      <c r="T9" s="278"/>
    </row>
    <row r="10" spans="1:28" ht="14.45" hidden="1" customHeight="1" outlineLevel="1" x14ac:dyDescent="0.25">
      <c r="A10" s="278"/>
      <c r="B10" s="279" t="str">
        <f t="shared" si="2"/>
        <v>colorbond0.48 BMT</v>
      </c>
      <c r="C10" s="226" t="s">
        <v>654</v>
      </c>
      <c r="D10" s="226" t="s">
        <v>658</v>
      </c>
      <c r="E10" s="278"/>
      <c r="F10" s="278"/>
      <c r="G10" s="278" t="s">
        <v>11</v>
      </c>
      <c r="H10" s="290">
        <v>0.25</v>
      </c>
      <c r="I10" s="280">
        <f>$I$2*H10</f>
        <v>18.414999999999999</v>
      </c>
      <c r="J10" s="281">
        <f t="shared" si="3"/>
        <v>20.925000000000001</v>
      </c>
      <c r="K10" s="282">
        <f>IF(Notes!$B$9="Domestic",I10, IF(Notes!$B$9="Commercial",J10))*$K$5</f>
        <v>20.925000000000001</v>
      </c>
      <c r="L10" s="283">
        <f>(SUM(O10:Q10)+(K10+SUM(M10:Q10))*(INDEX($U$5:$AB$5,MATCH(Notes!$C$16,$U$3:$AB$3,0))-100%))*$L$5</f>
        <v>44.495999999999995</v>
      </c>
      <c r="M10" s="284"/>
      <c r="N10" s="284"/>
      <c r="O10" s="285">
        <v>27.81</v>
      </c>
      <c r="P10" s="285">
        <v>16.686</v>
      </c>
      <c r="Q10" s="285"/>
      <c r="R10" s="278"/>
      <c r="S10" s="278"/>
      <c r="T10" s="278"/>
    </row>
    <row r="11" spans="1:28" hidden="1" outlineLevel="1" x14ac:dyDescent="0.25">
      <c r="A11" s="278"/>
      <c r="B11" s="279" t="str">
        <f t="shared" si="2"/>
        <v>ultra colorbond0.48 BMT</v>
      </c>
      <c r="C11" s="226" t="s">
        <v>656</v>
      </c>
      <c r="D11" s="226" t="s">
        <v>658</v>
      </c>
      <c r="E11" s="278"/>
      <c r="F11" s="278"/>
      <c r="G11" s="278" t="s">
        <v>11</v>
      </c>
      <c r="H11" s="290">
        <v>0.25</v>
      </c>
      <c r="I11" s="280">
        <f t="shared" ref="I11:I12" si="4">$I$2*H11</f>
        <v>18.414999999999999</v>
      </c>
      <c r="J11" s="281">
        <f t="shared" ref="J11:J12" si="5">$J$2*H11</f>
        <v>20.925000000000001</v>
      </c>
      <c r="K11" s="282">
        <f>IF(Notes!$B$9="Domestic",I11, IF(Notes!$B$9="Commercial",J11))*$K$5</f>
        <v>20.925000000000001</v>
      </c>
      <c r="L11" s="283">
        <f>(SUM(O11:Q11)+(K11+SUM(M11:Q11))*(INDEX($U$5:$AB$5,MATCH(Notes!$C$16,$U$3:$AB$3,0))-100%))*$L$5</f>
        <v>69.52000000000001</v>
      </c>
      <c r="M11" s="284"/>
      <c r="N11" s="284"/>
      <c r="O11" s="285">
        <v>43.45</v>
      </c>
      <c r="P11" s="285">
        <v>26.07</v>
      </c>
      <c r="Q11" s="285"/>
      <c r="R11" s="278"/>
      <c r="S11" s="278"/>
      <c r="T11" s="278"/>
    </row>
    <row r="12" spans="1:28" hidden="1" outlineLevel="1" x14ac:dyDescent="0.25">
      <c r="A12" s="278"/>
      <c r="B12" s="279" t="str">
        <f t="shared" si="2"/>
        <v>zincalum0.48 BMT</v>
      </c>
      <c r="C12" s="226" t="s">
        <v>660</v>
      </c>
      <c r="D12" s="226" t="s">
        <v>658</v>
      </c>
      <c r="E12" s="278"/>
      <c r="F12" s="278"/>
      <c r="G12" s="278" t="s">
        <v>11</v>
      </c>
      <c r="H12" s="290">
        <v>0.25</v>
      </c>
      <c r="I12" s="280">
        <f t="shared" si="4"/>
        <v>18.414999999999999</v>
      </c>
      <c r="J12" s="281">
        <f t="shared" si="5"/>
        <v>20.925000000000001</v>
      </c>
      <c r="K12" s="282">
        <f>IF(Notes!$B$9="Domestic",I12, IF(Notes!$B$9="Commercial",J12))*$K$5</f>
        <v>20.925000000000001</v>
      </c>
      <c r="L12" s="283">
        <f>(SUM(O12:Q12)+(K12+SUM(M12:Q12))*(INDEX($U$5:$AB$5,MATCH(Notes!$C$16,$U$3:$AB$3,0))-100%))*$L$5</f>
        <v>39.823999999999998</v>
      </c>
      <c r="M12" s="284"/>
      <c r="N12" s="284"/>
      <c r="O12" s="285">
        <v>24.89</v>
      </c>
      <c r="P12" s="285">
        <v>14.933999999999999</v>
      </c>
      <c r="Q12" s="285"/>
      <c r="R12" s="278"/>
      <c r="S12" s="278"/>
      <c r="T12" s="278"/>
    </row>
    <row r="13" spans="1:28" hidden="1" outlineLevel="1" x14ac:dyDescent="0.25">
      <c r="A13" s="278"/>
      <c r="B13" s="279" t="str">
        <f t="shared" si="2"/>
        <v>galvanised steel0.48 BMT</v>
      </c>
      <c r="C13" s="226" t="s">
        <v>657</v>
      </c>
      <c r="D13" s="226" t="s">
        <v>658</v>
      </c>
      <c r="E13" s="278"/>
      <c r="F13" s="278"/>
      <c r="G13" s="278" t="s">
        <v>11</v>
      </c>
      <c r="H13" s="290">
        <v>0.25</v>
      </c>
      <c r="I13" s="280">
        <f>$I$2*H13</f>
        <v>18.414999999999999</v>
      </c>
      <c r="J13" s="281">
        <f t="shared" si="3"/>
        <v>20.925000000000001</v>
      </c>
      <c r="K13" s="282">
        <f>IF(Notes!$B$9="Domestic",I13, IF(Notes!$B$9="Commercial",J13))*$K$5</f>
        <v>20.925000000000001</v>
      </c>
      <c r="L13" s="283">
        <f>(SUM(O13:Q13)+(K13+SUM(M13:Q13))*(INDEX($U$5:$AB$5,MATCH(Notes!$C$16,$U$3:$AB$3,0))-100%))*$L$5</f>
        <v>54.224000000000004</v>
      </c>
      <c r="M13" s="284"/>
      <c r="N13" s="284"/>
      <c r="O13" s="285">
        <v>33.89</v>
      </c>
      <c r="P13" s="285">
        <v>20.334</v>
      </c>
      <c r="Q13" s="285"/>
      <c r="R13" s="278"/>
      <c r="S13" s="278"/>
      <c r="T13" s="278"/>
    </row>
    <row r="14" spans="1:28" hidden="1" outlineLevel="1" x14ac:dyDescent="0.25">
      <c r="A14" s="278"/>
      <c r="B14" s="279" t="str">
        <f t="shared" si="2"/>
        <v>colorbond0.60 BMT</v>
      </c>
      <c r="C14" s="226" t="s">
        <v>654</v>
      </c>
      <c r="D14" s="226" t="s">
        <v>659</v>
      </c>
      <c r="E14" s="278"/>
      <c r="F14" s="278"/>
      <c r="G14" s="278" t="s">
        <v>11</v>
      </c>
      <c r="H14" s="290">
        <v>0.28000000000000003</v>
      </c>
      <c r="I14" s="280">
        <f>$I$2*H14</f>
        <v>20.6248</v>
      </c>
      <c r="J14" s="281">
        <f t="shared" si="3"/>
        <v>23.436000000000003</v>
      </c>
      <c r="K14" s="282">
        <f>IF(Notes!$B$9="Domestic",I14, IF(Notes!$B$9="Commercial",J14))*$K$5</f>
        <v>23.436000000000003</v>
      </c>
      <c r="L14" s="283">
        <f>(SUM(O14:Q14)+(K14+SUM(M14:Q14))*(INDEX($U$5:$AB$5,MATCH(Notes!$C$16,$U$3:$AB$3,0))-100%))*$L$5</f>
        <v>54.448</v>
      </c>
      <c r="M14" s="284"/>
      <c r="N14" s="284"/>
      <c r="O14" s="285">
        <v>34.03</v>
      </c>
      <c r="P14" s="285">
        <v>20.417999999999999</v>
      </c>
      <c r="Q14" s="285"/>
      <c r="R14" s="278"/>
      <c r="S14" s="278"/>
      <c r="T14" s="278"/>
    </row>
    <row r="15" spans="1:28" hidden="1" outlineLevel="1" x14ac:dyDescent="0.25">
      <c r="A15" s="278"/>
      <c r="B15" s="279" t="str">
        <f t="shared" si="2"/>
        <v>ultra colorbond0.60 BMT</v>
      </c>
      <c r="C15" s="226" t="s">
        <v>656</v>
      </c>
      <c r="D15" s="226" t="s">
        <v>659</v>
      </c>
      <c r="E15" s="278"/>
      <c r="F15" s="278"/>
      <c r="G15" s="278" t="s">
        <v>11</v>
      </c>
      <c r="H15" s="290">
        <v>0.28000000000000003</v>
      </c>
      <c r="I15" s="280">
        <f>$I$2*H15</f>
        <v>20.6248</v>
      </c>
      <c r="J15" s="281">
        <f t="shared" si="3"/>
        <v>23.436000000000003</v>
      </c>
      <c r="K15" s="282">
        <f>IF(Notes!$B$9="Domestic",I15, IF(Notes!$B$9="Commercial",J15))*$K$5</f>
        <v>23.436000000000003</v>
      </c>
      <c r="L15" s="283">
        <f>(SUM(O15:Q15)+(K15+SUM(M15:Q15))*(INDEX($U$5:$AB$5,MATCH(Notes!$C$16,$U$3:$AB$3,0))-100%))*$L$5</f>
        <v>75.92</v>
      </c>
      <c r="M15" s="284"/>
      <c r="N15" s="284"/>
      <c r="O15" s="285">
        <v>47.45</v>
      </c>
      <c r="P15" s="285">
        <v>28.470000000000002</v>
      </c>
      <c r="Q15" s="285"/>
      <c r="R15" s="278"/>
      <c r="S15" s="278"/>
      <c r="T15" s="278"/>
    </row>
    <row r="16" spans="1:28" hidden="1" outlineLevel="1" x14ac:dyDescent="0.25">
      <c r="A16" s="278"/>
      <c r="B16" s="279" t="str">
        <f t="shared" si="2"/>
        <v>zincalum0.60 BMT</v>
      </c>
      <c r="C16" s="226" t="s">
        <v>660</v>
      </c>
      <c r="D16" s="226" t="s">
        <v>659</v>
      </c>
      <c r="E16" s="278"/>
      <c r="F16" s="278"/>
      <c r="G16" s="278" t="s">
        <v>11</v>
      </c>
      <c r="H16" s="290">
        <v>0.28000000000000003</v>
      </c>
      <c r="I16" s="280">
        <f>$I$2*H16</f>
        <v>20.6248</v>
      </c>
      <c r="J16" s="281">
        <f t="shared" si="3"/>
        <v>23.436000000000003</v>
      </c>
      <c r="K16" s="282">
        <f>IF(Notes!$B$9="Domestic",I16, IF(Notes!$B$9="Commercial",J16))*$K$5</f>
        <v>23.436000000000003</v>
      </c>
      <c r="L16" s="283">
        <f>(SUM(O16:Q16)+(K16+SUM(M16:Q16))*(INDEX($U$5:$AB$5,MATCH(Notes!$C$16,$U$3:$AB$3,0))-100%))*$L$5</f>
        <v>51.744</v>
      </c>
      <c r="M16" s="284"/>
      <c r="N16" s="284"/>
      <c r="O16" s="285">
        <v>32.340000000000003</v>
      </c>
      <c r="P16" s="285">
        <v>19.404</v>
      </c>
      <c r="Q16" s="285"/>
      <c r="R16" s="278"/>
      <c r="S16" s="278"/>
      <c r="T16" s="278"/>
    </row>
    <row r="17" spans="1:28" hidden="1" outlineLevel="1" x14ac:dyDescent="0.25">
      <c r="A17" s="278"/>
      <c r="B17" s="279" t="str">
        <f t="shared" si="2"/>
        <v>galvanised steel0.60 BMT</v>
      </c>
      <c r="C17" s="226" t="s">
        <v>657</v>
      </c>
      <c r="D17" s="226" t="s">
        <v>659</v>
      </c>
      <c r="E17" s="278"/>
      <c r="F17" s="278"/>
      <c r="G17" s="278" t="s">
        <v>11</v>
      </c>
      <c r="H17" s="290">
        <v>0.28000000000000003</v>
      </c>
      <c r="I17" s="280">
        <f>$I$2*H17</f>
        <v>20.6248</v>
      </c>
      <c r="J17" s="281">
        <f t="shared" si="3"/>
        <v>23.436000000000003</v>
      </c>
      <c r="K17" s="282">
        <f>IF(Notes!$B$9="Domestic",I17, IF(Notes!$B$9="Commercial",J17))*$K$5</f>
        <v>23.436000000000003</v>
      </c>
      <c r="L17" s="283">
        <f>(SUM(O17:Q17)+(K17+SUM(M17:Q17))*(INDEX($U$5:$AB$5,MATCH(Notes!$C$16,$U$3:$AB$3,0))-100%))*$L$5</f>
        <v>65.344000000000008</v>
      </c>
      <c r="M17" s="284"/>
      <c r="N17" s="284"/>
      <c r="O17" s="285">
        <v>40.840000000000003</v>
      </c>
      <c r="P17" s="285">
        <v>24.504000000000001</v>
      </c>
      <c r="Q17" s="285"/>
      <c r="R17" s="278"/>
      <c r="S17" s="278"/>
      <c r="T17" s="278"/>
    </row>
    <row r="18" spans="1:28" ht="21" hidden="1" outlineLevel="1" x14ac:dyDescent="0.25">
      <c r="A18" s="299" t="s">
        <v>895</v>
      </c>
      <c r="B18" s="299"/>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row>
    <row r="19" spans="1:28" ht="15.75" hidden="1" outlineLevel="1" x14ac:dyDescent="0.25">
      <c r="A19" s="291"/>
      <c r="B19" s="291"/>
      <c r="C19" s="291"/>
      <c r="D19" s="291"/>
      <c r="E19" s="291"/>
      <c r="F19" s="291"/>
      <c r="G19" s="291"/>
      <c r="H19" s="291"/>
      <c r="I19" s="291"/>
      <c r="J19" s="291"/>
      <c r="K19" s="291">
        <f>K$2</f>
        <v>1</v>
      </c>
      <c r="L19" s="291">
        <f t="shared" ref="L19" si="6">L$2</f>
        <v>1</v>
      </c>
      <c r="M19" s="291"/>
      <c r="N19" s="291"/>
      <c r="O19" s="303"/>
      <c r="P19" s="303"/>
      <c r="Q19" s="303"/>
      <c r="R19" s="291"/>
      <c r="S19" s="291"/>
      <c r="T19" s="291"/>
      <c r="U19" s="291">
        <f>U$2</f>
        <v>0.96685082872928185</v>
      </c>
      <c r="V19" s="291">
        <f>V$2</f>
        <v>1</v>
      </c>
      <c r="W19" s="291">
        <f t="shared" ref="W19:AB19" si="7">W$2</f>
        <v>1.0423572744014733</v>
      </c>
      <c r="X19" s="291">
        <f t="shared" si="7"/>
        <v>0.97605893186003689</v>
      </c>
      <c r="Y19" s="291">
        <f t="shared" si="7"/>
        <v>1.149171270718232</v>
      </c>
      <c r="Z19" s="291">
        <f t="shared" si="7"/>
        <v>0.9576427255985267</v>
      </c>
      <c r="AA19" s="291">
        <f t="shared" si="7"/>
        <v>0.9576427255985267</v>
      </c>
      <c r="AB19" s="291">
        <f t="shared" si="7"/>
        <v>0.99263351749539597</v>
      </c>
    </row>
    <row r="20" spans="1:28" hidden="1" outlineLevel="1" x14ac:dyDescent="0.25">
      <c r="A20" s="278"/>
      <c r="B20" s="279" t="str">
        <f t="shared" ref="B20:B23" si="8">C20&amp;D20&amp;E20&amp;F20</f>
        <v>pine900mm</v>
      </c>
      <c r="C20" s="278" t="s">
        <v>569</v>
      </c>
      <c r="D20" s="278" t="s">
        <v>772</v>
      </c>
      <c r="E20" s="278"/>
      <c r="F20" s="278"/>
      <c r="G20" s="278" t="s">
        <v>11</v>
      </c>
      <c r="H20" s="290">
        <v>3.4000000000000002E-2</v>
      </c>
      <c r="I20" s="280">
        <f>$I$2*H20</f>
        <v>2.5044400000000002</v>
      </c>
      <c r="J20" s="281">
        <f>$J$2*H20</f>
        <v>2.8458000000000001</v>
      </c>
      <c r="K20" s="282">
        <f>IF(Notes!$B$9="Domestic",I20, IF(Notes!$B$9="Commercial",J20))*$K$19</f>
        <v>2.8458000000000001</v>
      </c>
      <c r="L20" s="283">
        <f>(SUM(O20:Q20)+(K20+SUM(M20:Q20))*(INDEX($U$19:$AB$19,MATCH(Notes!$C$16,$U$3:$AB$3,0))-100%))*$L$19</f>
        <v>3.91</v>
      </c>
      <c r="M20" s="286"/>
      <c r="N20" s="286"/>
      <c r="O20" s="285">
        <v>3.91</v>
      </c>
      <c r="P20" s="285"/>
      <c r="Q20" s="285"/>
      <c r="R20" s="278" t="s">
        <v>569</v>
      </c>
      <c r="S20" s="278" t="s">
        <v>772</v>
      </c>
      <c r="T20" s="278"/>
    </row>
    <row r="21" spans="1:28" hidden="1" outlineLevel="1" x14ac:dyDescent="0.25">
      <c r="A21" s="278"/>
      <c r="B21" s="279" t="str">
        <f t="shared" si="8"/>
        <v>metal900mm</v>
      </c>
      <c r="C21" s="278" t="s">
        <v>891</v>
      </c>
      <c r="D21" s="278" t="s">
        <v>772</v>
      </c>
      <c r="E21" s="278"/>
      <c r="F21" s="278"/>
      <c r="G21" s="278" t="s">
        <v>11</v>
      </c>
      <c r="H21" s="290">
        <v>3.4000000000000002E-2</v>
      </c>
      <c r="I21" s="280">
        <f>$I$2*H21</f>
        <v>2.5044400000000002</v>
      </c>
      <c r="J21" s="281">
        <f>$J$2*H21</f>
        <v>2.8458000000000001</v>
      </c>
      <c r="K21" s="282">
        <f>IF(Notes!$B$9="Domestic",I21, IF(Notes!$B$9="Commercial",J21))*$K$19</f>
        <v>2.8458000000000001</v>
      </c>
      <c r="L21" s="283">
        <f>(SUM(O21:Q21)+(K21+SUM(M21:Q21))*(INDEX($U$19:$AB$19,MATCH(Notes!$C$16,$U$3:$AB$3,0))-100%))*$L$19</f>
        <v>6.33</v>
      </c>
      <c r="M21" s="286"/>
      <c r="N21" s="286"/>
      <c r="O21" s="285">
        <v>6.33</v>
      </c>
      <c r="P21" s="285"/>
      <c r="Q21" s="285"/>
      <c r="R21" s="278" t="s">
        <v>891</v>
      </c>
      <c r="S21" s="278" t="s">
        <v>896</v>
      </c>
      <c r="T21" s="278"/>
    </row>
    <row r="22" spans="1:28" hidden="1" outlineLevel="1" x14ac:dyDescent="0.25">
      <c r="A22" s="278"/>
      <c r="B22" s="279" t="str">
        <f t="shared" si="8"/>
        <v>pine1200mm</v>
      </c>
      <c r="C22" s="278" t="s">
        <v>569</v>
      </c>
      <c r="D22" s="278" t="s">
        <v>896</v>
      </c>
      <c r="E22" s="278"/>
      <c r="F22" s="278"/>
      <c r="G22" s="278" t="s">
        <v>11</v>
      </c>
      <c r="H22" s="290">
        <v>2.5000000000000001E-2</v>
      </c>
      <c r="I22" s="280">
        <f>$I$2*H22</f>
        <v>1.8414999999999999</v>
      </c>
      <c r="J22" s="281">
        <f>$J$2*H22</f>
        <v>2.0925000000000002</v>
      </c>
      <c r="K22" s="282">
        <f>IF(Notes!$B$9="Domestic",I22, IF(Notes!$B$9="Commercial",J22))*$K$19</f>
        <v>2.0925000000000002</v>
      </c>
      <c r="L22" s="283">
        <f>(SUM(O22:Q22)+(K22+SUM(M22:Q22))*(INDEX($U$19:$AB$19,MATCH(Notes!$C$16,$U$3:$AB$3,0))-100%))*$L$19</f>
        <v>3.19</v>
      </c>
      <c r="M22" s="286"/>
      <c r="N22" s="286"/>
      <c r="O22" s="285">
        <v>3.19</v>
      </c>
      <c r="P22" s="285"/>
      <c r="Q22" s="285"/>
      <c r="R22" s="278"/>
      <c r="S22" s="278"/>
      <c r="T22" s="278"/>
    </row>
    <row r="23" spans="1:28" hidden="1" outlineLevel="1" x14ac:dyDescent="0.25">
      <c r="A23" s="278"/>
      <c r="B23" s="279" t="str">
        <f t="shared" si="8"/>
        <v>metal1200mm</v>
      </c>
      <c r="C23" s="278" t="s">
        <v>891</v>
      </c>
      <c r="D23" s="278" t="s">
        <v>896</v>
      </c>
      <c r="E23" s="278"/>
      <c r="F23" s="278"/>
      <c r="G23" s="278" t="s">
        <v>11</v>
      </c>
      <c r="H23" s="290">
        <v>2.5000000000000001E-2</v>
      </c>
      <c r="I23" s="280">
        <f>$I$2*H23</f>
        <v>1.8414999999999999</v>
      </c>
      <c r="J23" s="281">
        <f>$J$2*H23</f>
        <v>2.0925000000000002</v>
      </c>
      <c r="K23" s="282">
        <f>IF(Notes!$B$9="Domestic",I23, IF(Notes!$B$9="Commercial",J23))*$K$19</f>
        <v>2.0925000000000002</v>
      </c>
      <c r="L23" s="283">
        <f>(SUM(O23:Q23)+(K23+SUM(M23:Q23))*(INDEX($U$19:$AB$19,MATCH(Notes!$C$16,$U$3:$AB$3,0))-100%))*$L$19</f>
        <v>4.75</v>
      </c>
      <c r="M23" s="286"/>
      <c r="N23" s="286"/>
      <c r="O23" s="285">
        <v>4.75</v>
      </c>
      <c r="P23" s="285"/>
      <c r="Q23" s="285"/>
      <c r="R23" s="278"/>
      <c r="S23" s="278"/>
      <c r="T23" s="278"/>
    </row>
    <row r="24" spans="1:28" ht="21" hidden="1" outlineLevel="1" x14ac:dyDescent="0.25">
      <c r="A24" s="299" t="s">
        <v>894</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row>
    <row r="25" spans="1:28" ht="15.75" hidden="1" outlineLevel="1" x14ac:dyDescent="0.25">
      <c r="A25" s="291"/>
      <c r="B25" s="291"/>
      <c r="C25" s="291"/>
      <c r="D25" s="291"/>
      <c r="E25" s="291"/>
      <c r="F25" s="291"/>
      <c r="G25" s="291"/>
      <c r="H25" s="291"/>
      <c r="I25" s="291"/>
      <c r="J25" s="291"/>
      <c r="K25" s="291">
        <f>K$2</f>
        <v>1</v>
      </c>
      <c r="L25" s="291">
        <f t="shared" ref="L25" si="9">L$2</f>
        <v>1</v>
      </c>
      <c r="M25" s="291"/>
      <c r="N25" s="291"/>
      <c r="O25" s="303"/>
      <c r="P25" s="303"/>
      <c r="Q25" s="303"/>
      <c r="R25" s="291"/>
      <c r="S25" s="291"/>
      <c r="T25" s="291"/>
      <c r="U25" s="291">
        <f>U$2</f>
        <v>0.96685082872928185</v>
      </c>
      <c r="V25" s="291">
        <f>V$2</f>
        <v>1</v>
      </c>
      <c r="W25" s="291">
        <f t="shared" ref="W25:AB25" si="10">W$2</f>
        <v>1.0423572744014733</v>
      </c>
      <c r="X25" s="291">
        <f t="shared" si="10"/>
        <v>0.97605893186003689</v>
      </c>
      <c r="Y25" s="291">
        <f t="shared" si="10"/>
        <v>1.149171270718232</v>
      </c>
      <c r="Z25" s="291">
        <f t="shared" si="10"/>
        <v>0.9576427255985267</v>
      </c>
      <c r="AA25" s="291">
        <f t="shared" si="10"/>
        <v>0.9576427255985267</v>
      </c>
      <c r="AB25" s="291">
        <f t="shared" si="10"/>
        <v>0.99263351749539597</v>
      </c>
    </row>
    <row r="26" spans="1:28" hidden="1" outlineLevel="1" x14ac:dyDescent="0.25">
      <c r="A26" s="278"/>
      <c r="B26" s="279" t="str">
        <f t="shared" ref="B26:B29" si="11">C26&amp;D26&amp;E26&amp;F26</f>
        <v>metal roofsarking</v>
      </c>
      <c r="C26" s="278" t="s">
        <v>933</v>
      </c>
      <c r="D26" s="278" t="s">
        <v>901</v>
      </c>
      <c r="E26" s="278"/>
      <c r="F26" s="278"/>
      <c r="G26" s="278" t="s">
        <v>11</v>
      </c>
      <c r="H26" s="290">
        <v>1.6E-2</v>
      </c>
      <c r="I26" s="280">
        <f>$I$2*H26</f>
        <v>1.1785600000000001</v>
      </c>
      <c r="J26" s="281">
        <f>$J$2*H26</f>
        <v>1.3392000000000002</v>
      </c>
      <c r="K26" s="282">
        <f>IF(Notes!$B$9="Domestic",I26, IF(Notes!$B$9="Commercial",J26))*$K$25</f>
        <v>1.3392000000000002</v>
      </c>
      <c r="L26" s="283">
        <f>(SUM(O26:Q26)+(K26+SUM(M26:Q26))*(INDEX($U$25:$AB$25,MATCH(Notes!$C$16,$U$3:$AB$3,0))-100%))*$L$25</f>
        <v>4.88</v>
      </c>
      <c r="M26" s="286"/>
      <c r="N26" s="286"/>
      <c r="O26" s="285">
        <v>4.88</v>
      </c>
      <c r="P26" s="285"/>
      <c r="Q26" s="285"/>
      <c r="R26" s="278" t="s">
        <v>933</v>
      </c>
      <c r="S26" s="278" t="s">
        <v>901</v>
      </c>
      <c r="T26" s="278"/>
    </row>
    <row r="27" spans="1:28" hidden="1" outlineLevel="1" x14ac:dyDescent="0.25">
      <c r="A27" s="278"/>
      <c r="B27" s="279" t="str">
        <f t="shared" si="11"/>
        <v>tiled roofsarking</v>
      </c>
      <c r="C27" s="278" t="s">
        <v>934</v>
      </c>
      <c r="D27" s="278" t="s">
        <v>901</v>
      </c>
      <c r="E27" s="278"/>
      <c r="F27" s="278"/>
      <c r="G27" s="278" t="s">
        <v>11</v>
      </c>
      <c r="H27" s="290">
        <v>1.6E-2</v>
      </c>
      <c r="I27" s="280">
        <f>$I$2*H27</f>
        <v>1.1785600000000001</v>
      </c>
      <c r="J27" s="281">
        <f>$J$2*H27</f>
        <v>1.3392000000000002</v>
      </c>
      <c r="K27" s="282">
        <f>IF(Notes!$B$9="Domestic",I27, IF(Notes!$B$9="Commercial",J27))*$K$25</f>
        <v>1.3392000000000002</v>
      </c>
      <c r="L27" s="283">
        <f>(SUM(O27:Q27)+(K27+SUM(M27:Q27))*(INDEX($U$25:$AB$25,MATCH(Notes!$C$16,$U$3:$AB$3,0))-100%))*$L$25</f>
        <v>5.15</v>
      </c>
      <c r="M27" s="286"/>
      <c r="N27" s="286"/>
      <c r="O27" s="285">
        <v>5.15</v>
      </c>
      <c r="P27" s="285"/>
      <c r="Q27" s="285"/>
      <c r="R27" s="278" t="s">
        <v>934</v>
      </c>
      <c r="S27" s="278"/>
      <c r="T27" s="278"/>
    </row>
    <row r="28" spans="1:28" hidden="1" outlineLevel="1" x14ac:dyDescent="0.25">
      <c r="A28" s="278"/>
      <c r="B28" s="279" t="str">
        <f t="shared" si="11"/>
        <v>heavy dutysarking</v>
      </c>
      <c r="C28" s="278" t="s">
        <v>892</v>
      </c>
      <c r="D28" s="278" t="s">
        <v>901</v>
      </c>
      <c r="E28" s="278"/>
      <c r="F28" s="278"/>
      <c r="G28" s="278" t="s">
        <v>11</v>
      </c>
      <c r="H28" s="290">
        <v>1.6E-2</v>
      </c>
      <c r="I28" s="280">
        <f>$I$2*H28</f>
        <v>1.1785600000000001</v>
      </c>
      <c r="J28" s="281">
        <f>$J$2*H28</f>
        <v>1.3392000000000002</v>
      </c>
      <c r="K28" s="282">
        <f>IF(Notes!$B$9="Domestic",I28, IF(Notes!$B$9="Commercial",J28))*$K$25</f>
        <v>1.3392000000000002</v>
      </c>
      <c r="L28" s="283">
        <f>(SUM(O28:Q28)+(K28+SUM(M28:Q28))*(INDEX($U$25:$AB$25,MATCH(Notes!$C$16,$U$3:$AB$3,0))-100%))*$L$25</f>
        <v>6.17</v>
      </c>
      <c r="M28" s="286"/>
      <c r="N28" s="286"/>
      <c r="O28" s="285">
        <v>6.17</v>
      </c>
      <c r="P28" s="285"/>
      <c r="Q28" s="285"/>
      <c r="R28" s="278" t="s">
        <v>892</v>
      </c>
      <c r="S28" s="278"/>
      <c r="T28" s="278"/>
    </row>
    <row r="29" spans="1:28" hidden="1" outlineLevel="1" x14ac:dyDescent="0.25">
      <c r="A29" s="278"/>
      <c r="B29" s="279" t="str">
        <f t="shared" si="11"/>
        <v>extra heavy dutysarking</v>
      </c>
      <c r="C29" s="278" t="s">
        <v>893</v>
      </c>
      <c r="D29" s="278" t="s">
        <v>901</v>
      </c>
      <c r="E29" s="278"/>
      <c r="F29" s="278"/>
      <c r="G29" s="278" t="s">
        <v>11</v>
      </c>
      <c r="H29" s="290">
        <v>1.6E-2</v>
      </c>
      <c r="I29" s="280">
        <f>$I$2*H29</f>
        <v>1.1785600000000001</v>
      </c>
      <c r="J29" s="281">
        <f>$J$2*H29</f>
        <v>1.3392000000000002</v>
      </c>
      <c r="K29" s="282">
        <f>IF(Notes!$B$9="Domestic",I29, IF(Notes!$B$9="Commercial",J29))*$K$25</f>
        <v>1.3392000000000002</v>
      </c>
      <c r="L29" s="283">
        <f>(SUM(O29:Q29)+(K29+SUM(M29:Q29))*(INDEX($U$25:$AB$25,MATCH(Notes!$C$16,$U$3:$AB$3,0))-100%))*$L$25</f>
        <v>7.36</v>
      </c>
      <c r="M29" s="286"/>
      <c r="N29" s="286"/>
      <c r="O29" s="285">
        <v>7.36</v>
      </c>
      <c r="P29" s="285"/>
      <c r="Q29" s="285"/>
      <c r="R29" s="278" t="s">
        <v>893</v>
      </c>
      <c r="S29" s="278"/>
      <c r="T29" s="278"/>
    </row>
    <row r="30" spans="1:28" ht="21" hidden="1" outlineLevel="1" x14ac:dyDescent="0.25">
      <c r="A30" s="299"/>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row>
    <row r="31" spans="1:28" ht="15.75" hidden="1" outlineLevel="1" x14ac:dyDescent="0.25">
      <c r="A31" s="291"/>
      <c r="B31" s="291"/>
      <c r="C31" s="291"/>
      <c r="D31" s="291"/>
      <c r="E31" s="291"/>
      <c r="F31" s="291"/>
      <c r="G31" s="291"/>
      <c r="H31" s="291"/>
      <c r="I31" s="291"/>
      <c r="J31" s="291"/>
      <c r="K31" s="291">
        <f>K$2</f>
        <v>1</v>
      </c>
      <c r="L31" s="291">
        <f t="shared" ref="L31" si="12">L$2</f>
        <v>1</v>
      </c>
      <c r="M31" s="291"/>
      <c r="N31" s="291"/>
      <c r="O31" s="303"/>
      <c r="P31" s="303"/>
      <c r="Q31" s="303"/>
      <c r="R31" s="291"/>
      <c r="S31" s="291"/>
      <c r="T31" s="291"/>
      <c r="U31" s="291">
        <f>U$2</f>
        <v>0.96685082872928185</v>
      </c>
      <c r="V31" s="291">
        <f>V$2</f>
        <v>1</v>
      </c>
      <c r="W31" s="291">
        <f t="shared" ref="W31:AB31" si="13">W$2</f>
        <v>1.0423572744014733</v>
      </c>
      <c r="X31" s="291">
        <f t="shared" si="13"/>
        <v>0.97605893186003689</v>
      </c>
      <c r="Y31" s="291">
        <f t="shared" si="13"/>
        <v>1.149171270718232</v>
      </c>
      <c r="Z31" s="291">
        <f t="shared" si="13"/>
        <v>0.9576427255985267</v>
      </c>
      <c r="AA31" s="291">
        <f t="shared" si="13"/>
        <v>0.9576427255985267</v>
      </c>
      <c r="AB31" s="291">
        <f t="shared" si="13"/>
        <v>0.99263351749539597</v>
      </c>
    </row>
    <row r="32" spans="1:28" hidden="1" outlineLevel="1" x14ac:dyDescent="0.25">
      <c r="A32" s="278"/>
      <c r="B32" s="279" t="str">
        <f t="shared" ref="B32:B41" si="14">C32&amp;D32&amp;E32&amp;F32</f>
        <v/>
      </c>
      <c r="C32" s="278"/>
      <c r="D32" s="278"/>
      <c r="E32" s="278"/>
      <c r="F32" s="278"/>
      <c r="G32" s="278"/>
      <c r="H32" s="290"/>
      <c r="I32" s="280">
        <f>$I$2*H32</f>
        <v>0</v>
      </c>
      <c r="J32" s="281">
        <f>$J$2*H32</f>
        <v>0</v>
      </c>
      <c r="K32" s="282">
        <f>IF(Notes!$B$9="Domestic",I32, IF(Notes!$B$9="Commercial",J32))*$K$31</f>
        <v>0</v>
      </c>
      <c r="L32" s="283">
        <f>(SUM(O32:Q32)+(K32+SUM(M32:Q32))*(INDEX($U$31:$AB$31,MATCH(Notes!$C$16,$U$3:$AB$3,0))-100%))*$L$31</f>
        <v>0</v>
      </c>
      <c r="M32" s="286"/>
      <c r="N32" s="286"/>
      <c r="O32" s="285"/>
      <c r="P32" s="285"/>
      <c r="Q32" s="285"/>
      <c r="R32" s="278"/>
      <c r="S32" s="278"/>
      <c r="T32" s="278"/>
    </row>
    <row r="33" spans="1:28" hidden="1" outlineLevel="1" x14ac:dyDescent="0.25">
      <c r="A33" s="278"/>
      <c r="B33" s="279" t="str">
        <f t="shared" si="14"/>
        <v/>
      </c>
      <c r="C33" s="278"/>
      <c r="D33" s="278"/>
      <c r="E33" s="278"/>
      <c r="F33" s="278"/>
      <c r="G33" s="278"/>
      <c r="H33" s="290"/>
      <c r="I33" s="280">
        <f t="shared" ref="I33:I41" si="15">$I$2*H33</f>
        <v>0</v>
      </c>
      <c r="J33" s="281">
        <f t="shared" ref="J33:J41" si="16">$J$2*H33</f>
        <v>0</v>
      </c>
      <c r="K33" s="282">
        <f>IF(Notes!$B$9="Domestic",I33, IF(Notes!$B$9="Commercial",J33))*$K$31</f>
        <v>0</v>
      </c>
      <c r="L33" s="283">
        <f>(SUM(O33:Q33)+(K33+SUM(M33:Q33))*(INDEX($U$31:$AB$31,MATCH(Notes!$C$16,$U$3:$AB$3,0))-100%))*$L$31</f>
        <v>0</v>
      </c>
      <c r="M33" s="286"/>
      <c r="N33" s="286"/>
      <c r="O33" s="285"/>
      <c r="P33" s="285"/>
      <c r="Q33" s="285"/>
      <c r="R33" s="278"/>
      <c r="S33" s="278"/>
      <c r="T33" s="278"/>
    </row>
    <row r="34" spans="1:28" hidden="1" outlineLevel="1" x14ac:dyDescent="0.25">
      <c r="A34" s="278"/>
      <c r="B34" s="279" t="str">
        <f t="shared" si="14"/>
        <v/>
      </c>
      <c r="C34" s="278"/>
      <c r="D34" s="278"/>
      <c r="E34" s="278"/>
      <c r="F34" s="278"/>
      <c r="G34" s="278"/>
      <c r="H34" s="290"/>
      <c r="I34" s="280">
        <f t="shared" si="15"/>
        <v>0</v>
      </c>
      <c r="J34" s="281">
        <f t="shared" si="16"/>
        <v>0</v>
      </c>
      <c r="K34" s="282">
        <f>IF(Notes!$B$9="Domestic",I34, IF(Notes!$B$9="Commercial",J34))*$K$31</f>
        <v>0</v>
      </c>
      <c r="L34" s="283">
        <f>(SUM(O34:Q34)+(K34+SUM(M34:Q34))*(INDEX($U$31:$AB$31,MATCH(Notes!$C$16,$U$3:$AB$3,0))-100%))*$L$31</f>
        <v>0</v>
      </c>
      <c r="M34" s="286"/>
      <c r="N34" s="286"/>
      <c r="O34" s="285"/>
      <c r="P34" s="285"/>
      <c r="Q34" s="285"/>
      <c r="R34" s="278"/>
      <c r="S34" s="278"/>
      <c r="T34" s="278"/>
    </row>
    <row r="35" spans="1:28" hidden="1" outlineLevel="1" x14ac:dyDescent="0.25">
      <c r="A35" s="278"/>
      <c r="B35" s="279" t="str">
        <f t="shared" si="14"/>
        <v/>
      </c>
      <c r="C35" s="278"/>
      <c r="D35" s="278"/>
      <c r="E35" s="278"/>
      <c r="F35" s="278"/>
      <c r="G35" s="278"/>
      <c r="H35" s="290"/>
      <c r="I35" s="280">
        <f t="shared" si="15"/>
        <v>0</v>
      </c>
      <c r="J35" s="281">
        <f t="shared" si="16"/>
        <v>0</v>
      </c>
      <c r="K35" s="282">
        <f>IF(Notes!$B$9="Domestic",I35, IF(Notes!$B$9="Commercial",J35))*$K$31</f>
        <v>0</v>
      </c>
      <c r="L35" s="283">
        <f>(SUM(O35:Q35)+(K35+SUM(M35:Q35))*(INDEX($U$31:$AB$31,MATCH(Notes!$C$16,$U$3:$AB$3,0))-100%))*$L$31</f>
        <v>0</v>
      </c>
      <c r="M35" s="286"/>
      <c r="N35" s="286"/>
      <c r="O35" s="285"/>
      <c r="P35" s="285"/>
      <c r="Q35" s="285"/>
      <c r="R35" s="278"/>
      <c r="S35" s="278"/>
      <c r="T35" s="278"/>
    </row>
    <row r="36" spans="1:28" hidden="1" outlineLevel="1" x14ac:dyDescent="0.25">
      <c r="A36" s="278"/>
      <c r="B36" s="279" t="str">
        <f t="shared" si="14"/>
        <v/>
      </c>
      <c r="C36" s="278"/>
      <c r="D36" s="278"/>
      <c r="E36" s="278"/>
      <c r="F36" s="278"/>
      <c r="G36" s="278"/>
      <c r="H36" s="290"/>
      <c r="I36" s="280">
        <f>$I$2*H36</f>
        <v>0</v>
      </c>
      <c r="J36" s="281">
        <f t="shared" si="16"/>
        <v>0</v>
      </c>
      <c r="K36" s="282">
        <f>IF(Notes!$B$9="Domestic",I36, IF(Notes!$B$9="Commercial",J36))*$K$31</f>
        <v>0</v>
      </c>
      <c r="L36" s="283">
        <f>(SUM(O36:Q36)+(K36+SUM(M36:Q36))*(INDEX($U$31:$AB$31,MATCH(Notes!$C$16,$U$3:$AB$3,0))-100%))*$L$31</f>
        <v>0</v>
      </c>
      <c r="M36" s="286"/>
      <c r="N36" s="286"/>
      <c r="O36" s="285"/>
      <c r="P36" s="285"/>
      <c r="Q36" s="285"/>
      <c r="R36" s="278"/>
      <c r="S36" s="278"/>
      <c r="T36" s="278"/>
    </row>
    <row r="37" spans="1:28" hidden="1" outlineLevel="1" x14ac:dyDescent="0.25">
      <c r="A37" s="278"/>
      <c r="B37" s="279" t="str">
        <f t="shared" si="14"/>
        <v/>
      </c>
      <c r="C37" s="278"/>
      <c r="D37" s="278"/>
      <c r="E37" s="278"/>
      <c r="F37" s="278"/>
      <c r="G37" s="278"/>
      <c r="H37" s="290"/>
      <c r="I37" s="280">
        <f t="shared" si="15"/>
        <v>0</v>
      </c>
      <c r="J37" s="281">
        <f t="shared" si="16"/>
        <v>0</v>
      </c>
      <c r="K37" s="282">
        <f>IF(Notes!$B$9="Domestic",I37, IF(Notes!$B$9="Commercial",J37))*$K$31</f>
        <v>0</v>
      </c>
      <c r="L37" s="283">
        <f>(SUM(O37:Q37)+(K37+SUM(M37:Q37))*(INDEX($U$31:$AB$31,MATCH(Notes!$C$16,$U$3:$AB$3,0))-100%))*$L$31</f>
        <v>0</v>
      </c>
      <c r="M37" s="286"/>
      <c r="N37" s="286"/>
      <c r="O37" s="285"/>
      <c r="P37" s="285"/>
      <c r="Q37" s="285"/>
      <c r="R37" s="278"/>
      <c r="S37" s="278"/>
      <c r="T37" s="278"/>
    </row>
    <row r="38" spans="1:28" hidden="1" outlineLevel="1" x14ac:dyDescent="0.25">
      <c r="A38" s="278"/>
      <c r="B38" s="279" t="str">
        <f t="shared" si="14"/>
        <v/>
      </c>
      <c r="C38" s="278"/>
      <c r="D38" s="278"/>
      <c r="E38" s="278"/>
      <c r="F38" s="278"/>
      <c r="G38" s="278"/>
      <c r="H38" s="290"/>
      <c r="I38" s="280">
        <f t="shared" si="15"/>
        <v>0</v>
      </c>
      <c r="J38" s="281">
        <f t="shared" si="16"/>
        <v>0</v>
      </c>
      <c r="K38" s="282">
        <f>IF(Notes!$B$9="Domestic",I38, IF(Notes!$B$9="Commercial",J38))*$K$31</f>
        <v>0</v>
      </c>
      <c r="L38" s="283">
        <f>(SUM(O38:Q38)+(K38+SUM(M38:Q38))*(INDEX($U$31:$AB$31,MATCH(Notes!$C$16,$U$3:$AB$3,0))-100%))*$L$31</f>
        <v>0</v>
      </c>
      <c r="M38" s="286"/>
      <c r="N38" s="286"/>
      <c r="O38" s="285"/>
      <c r="P38" s="285"/>
      <c r="Q38" s="285"/>
      <c r="R38" s="278"/>
      <c r="S38" s="278"/>
      <c r="T38" s="278"/>
    </row>
    <row r="39" spans="1:28" hidden="1" outlineLevel="1" x14ac:dyDescent="0.25">
      <c r="A39" s="278"/>
      <c r="B39" s="279" t="str">
        <f t="shared" si="14"/>
        <v/>
      </c>
      <c r="C39" s="278"/>
      <c r="D39" s="278"/>
      <c r="E39" s="278"/>
      <c r="F39" s="278"/>
      <c r="G39" s="278"/>
      <c r="H39" s="290"/>
      <c r="I39" s="280">
        <f t="shared" si="15"/>
        <v>0</v>
      </c>
      <c r="J39" s="281">
        <f t="shared" si="16"/>
        <v>0</v>
      </c>
      <c r="K39" s="282">
        <f>IF(Notes!$B$9="Domestic",I39, IF(Notes!$B$9="Commercial",J39))*$K$31</f>
        <v>0</v>
      </c>
      <c r="L39" s="283">
        <f>(SUM(O39:Q39)+(K39+SUM(M39:Q39))*(INDEX($U$31:$AB$31,MATCH(Notes!$C$16,$U$3:$AB$3,0))-100%))*$L$31</f>
        <v>0</v>
      </c>
      <c r="M39" s="286"/>
      <c r="N39" s="286"/>
      <c r="O39" s="285"/>
      <c r="P39" s="285"/>
      <c r="Q39" s="285"/>
      <c r="R39" s="278"/>
      <c r="S39" s="278"/>
      <c r="T39" s="278"/>
    </row>
    <row r="40" spans="1:28" hidden="1" outlineLevel="1" x14ac:dyDescent="0.25">
      <c r="A40" s="278"/>
      <c r="B40" s="279" t="str">
        <f t="shared" si="14"/>
        <v/>
      </c>
      <c r="C40" s="278"/>
      <c r="D40" s="278"/>
      <c r="E40" s="278"/>
      <c r="F40" s="278"/>
      <c r="G40" s="278"/>
      <c r="H40" s="290"/>
      <c r="I40" s="280">
        <f t="shared" si="15"/>
        <v>0</v>
      </c>
      <c r="J40" s="281">
        <f t="shared" si="16"/>
        <v>0</v>
      </c>
      <c r="K40" s="282">
        <f>IF(Notes!$B$9="Domestic",I40, IF(Notes!$B$9="Commercial",J40))*$K$31</f>
        <v>0</v>
      </c>
      <c r="L40" s="283">
        <f>(SUM(O40:Q40)+(K40+SUM(M40:Q40))*(INDEX($U$31:$AB$31,MATCH(Notes!$C$16,$U$3:$AB$3,0))-100%))*$L$31</f>
        <v>0</v>
      </c>
      <c r="M40" s="286"/>
      <c r="N40" s="286"/>
      <c r="O40" s="285"/>
      <c r="P40" s="285"/>
      <c r="Q40" s="285"/>
      <c r="R40" s="278"/>
      <c r="S40" s="278"/>
      <c r="T40" s="278"/>
    </row>
    <row r="41" spans="1:28" hidden="1" outlineLevel="1" x14ac:dyDescent="0.25">
      <c r="A41" s="278"/>
      <c r="B41" s="279" t="str">
        <f t="shared" si="14"/>
        <v/>
      </c>
      <c r="C41" s="278"/>
      <c r="D41" s="278"/>
      <c r="E41" s="278"/>
      <c r="F41" s="278"/>
      <c r="G41" s="278"/>
      <c r="H41" s="290"/>
      <c r="I41" s="280">
        <f t="shared" si="15"/>
        <v>0</v>
      </c>
      <c r="J41" s="281">
        <f t="shared" si="16"/>
        <v>0</v>
      </c>
      <c r="K41" s="282">
        <f>IF(Notes!$B$9="Domestic",I41, IF(Notes!$B$9="Commercial",J41))*$K$31</f>
        <v>0</v>
      </c>
      <c r="L41" s="283">
        <f>(SUM(O41:Q41)+(K41+SUM(M41:Q41))*(INDEX($U$31:$AB$31,MATCH(Notes!$C$16,$U$3:$AB$3,0))-100%))*$L$31</f>
        <v>0</v>
      </c>
      <c r="M41" s="286"/>
      <c r="N41" s="286"/>
      <c r="O41" s="285"/>
      <c r="P41" s="285"/>
      <c r="Q41" s="285"/>
      <c r="R41" s="278"/>
      <c r="S41" s="278"/>
      <c r="T41" s="278"/>
    </row>
    <row r="42" spans="1:28" ht="21" hidden="1" outlineLevel="1" x14ac:dyDescent="0.25">
      <c r="A42" s="299" t="s">
        <v>172</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row>
    <row r="43" spans="1:28" ht="15.75" hidden="1" outlineLevel="1" x14ac:dyDescent="0.25">
      <c r="A43" s="291"/>
      <c r="B43" s="291"/>
      <c r="C43" s="291"/>
      <c r="D43" s="291"/>
      <c r="E43" s="291"/>
      <c r="F43" s="291"/>
      <c r="G43" s="291"/>
      <c r="H43" s="291"/>
      <c r="I43" s="291"/>
      <c r="J43" s="291"/>
      <c r="K43" s="291">
        <f>K$2</f>
        <v>1</v>
      </c>
      <c r="L43" s="291">
        <f t="shared" ref="L43" si="17">L$2</f>
        <v>1</v>
      </c>
      <c r="M43" s="291"/>
      <c r="N43" s="291"/>
      <c r="O43" s="303"/>
      <c r="P43" s="303"/>
      <c r="Q43" s="303"/>
      <c r="R43" s="291"/>
      <c r="S43" s="291"/>
      <c r="T43" s="291"/>
      <c r="U43" s="291">
        <f>U$2</f>
        <v>0.96685082872928185</v>
      </c>
      <c r="V43" s="291">
        <f>V$2</f>
        <v>1</v>
      </c>
      <c r="W43" s="291">
        <f t="shared" ref="W43:AB43" si="18">W$2</f>
        <v>1.0423572744014733</v>
      </c>
      <c r="X43" s="291">
        <f t="shared" si="18"/>
        <v>0.97605893186003689</v>
      </c>
      <c r="Y43" s="291">
        <f t="shared" si="18"/>
        <v>1.149171270718232</v>
      </c>
      <c r="Z43" s="291">
        <f t="shared" si="18"/>
        <v>0.9576427255985267</v>
      </c>
      <c r="AA43" s="291">
        <f t="shared" si="18"/>
        <v>0.9576427255985267</v>
      </c>
      <c r="AB43" s="291">
        <f t="shared" si="18"/>
        <v>0.99263351749539597</v>
      </c>
    </row>
    <row r="44" spans="1:28" hidden="1" outlineLevel="1" x14ac:dyDescent="0.25">
      <c r="A44" s="278"/>
      <c r="B44" s="279" t="str">
        <f t="shared" ref="B44:B107" si="19">C44&amp;D44&amp;E44&amp;F44</f>
        <v>600600</v>
      </c>
      <c r="C44" s="278">
        <v>600</v>
      </c>
      <c r="D44" s="278">
        <v>600</v>
      </c>
      <c r="E44" s="278"/>
      <c r="F44" s="278"/>
      <c r="G44" s="278" t="s">
        <v>5</v>
      </c>
      <c r="H44" s="300">
        <v>6.4056475699158302</v>
      </c>
      <c r="I44" s="280">
        <f>$I$2*H44</f>
        <v>471.84000000000003</v>
      </c>
      <c r="J44" s="281">
        <f>$J$2*H44</f>
        <v>536.15270160195496</v>
      </c>
      <c r="K44" s="282">
        <f>IF(Notes!$B$9="Domestic",I44, IF(Notes!$B$9="Commercial",J44))*$K$43</f>
        <v>536.15270160195496</v>
      </c>
      <c r="L44" s="283">
        <f>(SUM(O44:Q44)+(K44+SUM(M44:Q44))*(INDEX($U$43:$AB$43,MATCH(Notes!$C$16,$U$3:$AB$3,0))-100%))*$L$43</f>
        <v>467.26620000000003</v>
      </c>
      <c r="M44" s="286"/>
      <c r="N44" s="286"/>
      <c r="O44" s="285">
        <v>467.26620000000003</v>
      </c>
      <c r="P44" s="285"/>
      <c r="Q44" s="285"/>
      <c r="R44" s="278">
        <v>600</v>
      </c>
      <c r="S44" s="278">
        <v>600</v>
      </c>
      <c r="T44" s="278"/>
    </row>
    <row r="45" spans="1:28" hidden="1" outlineLevel="1" x14ac:dyDescent="0.25">
      <c r="A45" s="278"/>
      <c r="B45" s="279" t="str">
        <f t="shared" si="19"/>
        <v>600900</v>
      </c>
      <c r="C45" s="278">
        <v>600</v>
      </c>
      <c r="D45" s="278">
        <v>900</v>
      </c>
      <c r="E45" s="278"/>
      <c r="F45" s="278"/>
      <c r="G45" s="278" t="s">
        <v>5</v>
      </c>
      <c r="H45" s="300">
        <v>6.4056475699158302</v>
      </c>
      <c r="I45" s="280">
        <f t="shared" ref="I45" si="20">$I$2*H45</f>
        <v>471.84000000000003</v>
      </c>
      <c r="J45" s="281">
        <f t="shared" ref="J45" si="21">$J$2*H45</f>
        <v>536.15270160195496</v>
      </c>
      <c r="K45" s="282">
        <f>IF(Notes!$B$9="Domestic",I45, IF(Notes!$B$9="Commercial",J45))*$K$43</f>
        <v>536.15270160195496</v>
      </c>
      <c r="L45" s="283">
        <f>(SUM(O45:Q45)+(K45+SUM(M45:Q45))*(INDEX($U$43:$AB$43,MATCH(Notes!$C$16,$U$3:$AB$3,0))-100%))*$L$43</f>
        <v>607.16280000000006</v>
      </c>
      <c r="M45" s="286"/>
      <c r="N45" s="286"/>
      <c r="O45" s="285">
        <v>607.16280000000006</v>
      </c>
      <c r="P45" s="285"/>
      <c r="Q45" s="285"/>
      <c r="R45" s="278">
        <v>900</v>
      </c>
      <c r="S45" s="278">
        <v>900</v>
      </c>
      <c r="T45" s="278"/>
    </row>
    <row r="46" spans="1:28" hidden="1" outlineLevel="1" x14ac:dyDescent="0.25">
      <c r="A46" s="278"/>
      <c r="B46" s="279" t="str">
        <f t="shared" si="19"/>
        <v>6001200</v>
      </c>
      <c r="C46" s="278">
        <v>600</v>
      </c>
      <c r="D46" s="278">
        <v>1200</v>
      </c>
      <c r="E46" s="278"/>
      <c r="F46" s="278"/>
      <c r="G46" s="278" t="s">
        <v>5</v>
      </c>
      <c r="H46" s="300">
        <v>6.4056475699158302</v>
      </c>
      <c r="I46" s="280">
        <f t="shared" ref="I46:I107" si="22">$I$2*H46</f>
        <v>471.84000000000003</v>
      </c>
      <c r="J46" s="281">
        <f t="shared" ref="J46:J107" si="23">$J$2*H46</f>
        <v>536.15270160195496</v>
      </c>
      <c r="K46" s="282">
        <f>IF(Notes!$B$9="Domestic",I46, IF(Notes!$B$9="Commercial",J46))*$K$43</f>
        <v>536.15270160195496</v>
      </c>
      <c r="L46" s="283">
        <f>(SUM(O46:Q46)+(K46+SUM(M46:Q46))*(INDEX($U$43:$AB$43,MATCH(Notes!$C$16,$U$3:$AB$3,0))-100%))*$L$43</f>
        <v>795.80039999999997</v>
      </c>
      <c r="M46" s="286"/>
      <c r="N46" s="286"/>
      <c r="O46" s="285">
        <v>795.80039999999997</v>
      </c>
      <c r="P46" s="285"/>
      <c r="Q46" s="285"/>
      <c r="R46" s="278">
        <v>1200</v>
      </c>
      <c r="S46" s="278">
        <v>1200</v>
      </c>
      <c r="T46" s="278"/>
    </row>
    <row r="47" spans="1:28" hidden="1" outlineLevel="1" x14ac:dyDescent="0.25">
      <c r="A47" s="278"/>
      <c r="B47" s="279" t="str">
        <f t="shared" si="19"/>
        <v>6001500</v>
      </c>
      <c r="C47" s="278">
        <v>600</v>
      </c>
      <c r="D47" s="278">
        <v>1500</v>
      </c>
      <c r="E47" s="278"/>
      <c r="F47" s="278"/>
      <c r="G47" s="278" t="s">
        <v>5</v>
      </c>
      <c r="H47" s="300">
        <v>6.4056475699158302</v>
      </c>
      <c r="I47" s="280">
        <f t="shared" si="22"/>
        <v>471.84000000000003</v>
      </c>
      <c r="J47" s="281">
        <f t="shared" si="23"/>
        <v>536.15270160195496</v>
      </c>
      <c r="K47" s="282">
        <f>IF(Notes!$B$9="Domestic",I47, IF(Notes!$B$9="Commercial",J47))*$K$43</f>
        <v>536.15270160195496</v>
      </c>
      <c r="L47" s="283">
        <f>(SUM(O47:Q47)+(K47+SUM(M47:Q47))*(INDEX($U$43:$AB$43,MATCH(Notes!$C$16,$U$3:$AB$3,0))-100%))*$L$43</f>
        <v>1054.596</v>
      </c>
      <c r="M47" s="286"/>
      <c r="N47" s="286"/>
      <c r="O47" s="285">
        <v>1054.596</v>
      </c>
      <c r="P47" s="285"/>
      <c r="Q47" s="285"/>
      <c r="R47" s="278">
        <v>1500</v>
      </c>
      <c r="S47" s="278">
        <v>1500</v>
      </c>
      <c r="T47" s="278"/>
    </row>
    <row r="48" spans="1:28" hidden="1" outlineLevel="1" x14ac:dyDescent="0.25">
      <c r="A48" s="278"/>
      <c r="B48" s="279" t="str">
        <f t="shared" si="19"/>
        <v>6001800</v>
      </c>
      <c r="C48" s="278">
        <v>600</v>
      </c>
      <c r="D48" s="278">
        <v>1800</v>
      </c>
      <c r="E48" s="278"/>
      <c r="F48" s="278"/>
      <c r="G48" s="278" t="s">
        <v>5</v>
      </c>
      <c r="H48" s="300">
        <v>6.4056475699158302</v>
      </c>
      <c r="I48" s="280">
        <f t="shared" si="22"/>
        <v>471.84000000000003</v>
      </c>
      <c r="J48" s="281">
        <f t="shared" si="23"/>
        <v>536.15270160195496</v>
      </c>
      <c r="K48" s="282">
        <f>IF(Notes!$B$9="Domestic",I48, IF(Notes!$B$9="Commercial",J48))*$K$43</f>
        <v>536.15270160195496</v>
      </c>
      <c r="L48" s="283">
        <f>(SUM(O48:Q48)+(K48+SUM(M48:Q48))*(INDEX($U$43:$AB$43,MATCH(Notes!$C$16,$U$3:$AB$3,0))-100%))*$L$43</f>
        <v>1240.3625999999999</v>
      </c>
      <c r="M48" s="286"/>
      <c r="N48" s="286"/>
      <c r="O48" s="285">
        <v>1240.3625999999999</v>
      </c>
      <c r="P48" s="285"/>
      <c r="Q48" s="285"/>
      <c r="R48" s="278">
        <v>1800</v>
      </c>
      <c r="S48" s="278">
        <v>1800</v>
      </c>
      <c r="T48" s="278"/>
    </row>
    <row r="49" spans="1:20" hidden="1" outlineLevel="1" x14ac:dyDescent="0.25">
      <c r="A49" s="278"/>
      <c r="B49" s="279" t="str">
        <f t="shared" si="19"/>
        <v>6002100</v>
      </c>
      <c r="C49" s="278">
        <v>600</v>
      </c>
      <c r="D49" s="278">
        <v>2100</v>
      </c>
      <c r="E49" s="278"/>
      <c r="F49" s="278"/>
      <c r="G49" s="278" t="s">
        <v>5</v>
      </c>
      <c r="H49" s="300">
        <v>7.3809394515340765</v>
      </c>
      <c r="I49" s="280">
        <f t="shared" ref="I49:I99" si="24">$I$2*H49</f>
        <v>543.68000000000006</v>
      </c>
      <c r="J49" s="281">
        <f t="shared" ref="J49:J99" si="25">$J$2*H49</f>
        <v>617.78463209340225</v>
      </c>
      <c r="K49" s="282">
        <f>IF(Notes!$B$9="Domestic",I49, IF(Notes!$B$9="Commercial",J49))*$K$43</f>
        <v>617.78463209340225</v>
      </c>
      <c r="L49" s="283">
        <f>(SUM(O49:Q49)+(K49+SUM(M49:Q49))*(INDEX($U$43:$AB$43,MATCH(Notes!$C$16,$U$3:$AB$3,0))-100%))*$L$43</f>
        <v>1327.9872</v>
      </c>
      <c r="M49" s="286"/>
      <c r="N49" s="286"/>
      <c r="O49" s="285">
        <v>1327.9872</v>
      </c>
      <c r="P49" s="285"/>
      <c r="Q49" s="285"/>
      <c r="R49" s="278">
        <v>2100</v>
      </c>
      <c r="S49" s="278">
        <v>2100</v>
      </c>
      <c r="T49" s="278"/>
    </row>
    <row r="50" spans="1:20" hidden="1" outlineLevel="1" x14ac:dyDescent="0.25">
      <c r="A50" s="278"/>
      <c r="B50" s="279" t="str">
        <f t="shared" si="19"/>
        <v>6002400</v>
      </c>
      <c r="C50" s="278">
        <v>600</v>
      </c>
      <c r="D50" s="278">
        <v>2400</v>
      </c>
      <c r="E50" s="278"/>
      <c r="F50" s="278"/>
      <c r="G50" s="278" t="s">
        <v>5</v>
      </c>
      <c r="H50" s="300">
        <v>7.3809394515340765</v>
      </c>
      <c r="I50" s="280">
        <f t="shared" si="24"/>
        <v>543.68000000000006</v>
      </c>
      <c r="J50" s="281">
        <f t="shared" si="25"/>
        <v>617.78463209340225</v>
      </c>
      <c r="K50" s="282">
        <f>IF(Notes!$B$9="Domestic",I50, IF(Notes!$B$9="Commercial",J50))*$K$43</f>
        <v>617.78463209340225</v>
      </c>
      <c r="L50" s="283">
        <f>(SUM(O50:Q50)+(K50+SUM(M50:Q50))*(INDEX($U$43:$AB$43,MATCH(Notes!$C$16,$U$3:$AB$3,0))-100%))*$L$43</f>
        <v>1511.8398000000002</v>
      </c>
      <c r="M50" s="286"/>
      <c r="N50" s="286"/>
      <c r="O50" s="285">
        <v>1511.8398000000002</v>
      </c>
      <c r="P50" s="285"/>
      <c r="Q50" s="285"/>
      <c r="R50" s="278">
        <v>2400</v>
      </c>
      <c r="S50" s="278">
        <v>2400</v>
      </c>
      <c r="T50" s="278"/>
    </row>
    <row r="51" spans="1:20" hidden="1" outlineLevel="1" x14ac:dyDescent="0.25">
      <c r="A51" s="278"/>
      <c r="B51" s="279" t="str">
        <f t="shared" si="19"/>
        <v>6002700</v>
      </c>
      <c r="C51" s="278">
        <v>600</v>
      </c>
      <c r="D51" s="278">
        <v>2700</v>
      </c>
      <c r="E51" s="278"/>
      <c r="F51" s="278"/>
      <c r="G51" s="278" t="s">
        <v>5</v>
      </c>
      <c r="H51" s="300">
        <v>7.3809394515340765</v>
      </c>
      <c r="I51" s="280">
        <f t="shared" si="24"/>
        <v>543.68000000000006</v>
      </c>
      <c r="J51" s="281">
        <f t="shared" si="25"/>
        <v>617.78463209340225</v>
      </c>
      <c r="K51" s="282">
        <f>IF(Notes!$B$9="Domestic",I51, IF(Notes!$B$9="Commercial",J51))*$K$43</f>
        <v>617.78463209340225</v>
      </c>
      <c r="L51" s="283">
        <f>(SUM(O51:Q51)+(K51+SUM(M51:Q51))*(INDEX($U$43:$AB$43,MATCH(Notes!$C$16,$U$3:$AB$3,0))-100%))*$L$43</f>
        <v>3143.5673999999999</v>
      </c>
      <c r="M51" s="286"/>
      <c r="N51" s="286"/>
      <c r="O51" s="285">
        <v>3143.5673999999999</v>
      </c>
      <c r="P51" s="285"/>
      <c r="Q51" s="285"/>
      <c r="R51" s="278">
        <v>2700</v>
      </c>
      <c r="S51" s="278">
        <v>2700</v>
      </c>
      <c r="T51" s="278"/>
    </row>
    <row r="52" spans="1:20" hidden="1" outlineLevel="1" x14ac:dyDescent="0.25">
      <c r="A52" s="278"/>
      <c r="B52" s="279" t="str">
        <f t="shared" si="19"/>
        <v>900600</v>
      </c>
      <c r="C52" s="278">
        <v>900</v>
      </c>
      <c r="D52" s="278">
        <v>600</v>
      </c>
      <c r="E52" s="278"/>
      <c r="F52" s="278"/>
      <c r="G52" s="278" t="s">
        <v>5</v>
      </c>
      <c r="H52" s="300">
        <v>6.4056475699158302</v>
      </c>
      <c r="I52" s="280">
        <f t="shared" si="24"/>
        <v>471.84000000000003</v>
      </c>
      <c r="J52" s="281">
        <f t="shared" si="25"/>
        <v>536.15270160195496</v>
      </c>
      <c r="K52" s="282">
        <f>IF(Notes!$B$9="Domestic",I52, IF(Notes!$B$9="Commercial",J52))*$K$43</f>
        <v>536.15270160195496</v>
      </c>
      <c r="L52" s="283">
        <f>(SUM(O52:Q52)+(K52+SUM(M52:Q52))*(INDEX($U$43:$AB$43,MATCH(Notes!$C$16,$U$3:$AB$3,0))-100%))*$L$43</f>
        <v>608.61480000000006</v>
      </c>
      <c r="M52" s="286"/>
      <c r="N52" s="286"/>
      <c r="O52" s="285">
        <v>608.61480000000006</v>
      </c>
      <c r="P52" s="285"/>
      <c r="Q52" s="285"/>
      <c r="R52" s="278"/>
      <c r="S52" s="278"/>
      <c r="T52" s="278"/>
    </row>
    <row r="53" spans="1:20" hidden="1" outlineLevel="1" x14ac:dyDescent="0.25">
      <c r="A53" s="278"/>
      <c r="B53" s="279" t="str">
        <f t="shared" si="19"/>
        <v>900900</v>
      </c>
      <c r="C53" s="278">
        <v>900</v>
      </c>
      <c r="D53" s="278">
        <v>900</v>
      </c>
      <c r="E53" s="278"/>
      <c r="F53" s="278"/>
      <c r="G53" s="278" t="s">
        <v>5</v>
      </c>
      <c r="H53" s="300">
        <v>6.4056475699158302</v>
      </c>
      <c r="I53" s="280">
        <f t="shared" si="24"/>
        <v>471.84000000000003</v>
      </c>
      <c r="J53" s="281">
        <f t="shared" si="25"/>
        <v>536.15270160195496</v>
      </c>
      <c r="K53" s="282">
        <f>IF(Notes!$B$9="Domestic",I53, IF(Notes!$B$9="Commercial",J53))*$K$43</f>
        <v>536.15270160195496</v>
      </c>
      <c r="L53" s="283">
        <f>(SUM(O53:Q53)+(K53+SUM(M53:Q53))*(INDEX($U$43:$AB$43,MATCH(Notes!$C$16,$U$3:$AB$3,0))-100%))*$L$43</f>
        <v>891.57120000000009</v>
      </c>
      <c r="M53" s="286"/>
      <c r="N53" s="286"/>
      <c r="O53" s="285">
        <v>891.57120000000009</v>
      </c>
      <c r="P53" s="285"/>
      <c r="Q53" s="285"/>
      <c r="R53" s="278"/>
      <c r="S53" s="278"/>
      <c r="T53" s="278"/>
    </row>
    <row r="54" spans="1:20" hidden="1" outlineLevel="1" x14ac:dyDescent="0.25">
      <c r="A54" s="278"/>
      <c r="B54" s="279" t="str">
        <f t="shared" si="19"/>
        <v>9001200</v>
      </c>
      <c r="C54" s="278">
        <v>900</v>
      </c>
      <c r="D54" s="278">
        <v>1200</v>
      </c>
      <c r="E54" s="278"/>
      <c r="F54" s="278"/>
      <c r="G54" s="278" t="s">
        <v>5</v>
      </c>
      <c r="H54" s="300">
        <v>6.4056475699158302</v>
      </c>
      <c r="I54" s="280">
        <f t="shared" si="24"/>
        <v>471.84000000000003</v>
      </c>
      <c r="J54" s="281">
        <f t="shared" si="25"/>
        <v>536.15270160195496</v>
      </c>
      <c r="K54" s="282">
        <f>IF(Notes!$B$9="Domestic",I54, IF(Notes!$B$9="Commercial",J54))*$K$43</f>
        <v>536.15270160195496</v>
      </c>
      <c r="L54" s="283">
        <f>(SUM(O54:Q54)+(K54+SUM(M54:Q54))*(INDEX($U$43:$AB$43,MATCH(Notes!$C$16,$U$3:$AB$3,0))-100%))*$L$43</f>
        <v>1151.1306000000002</v>
      </c>
      <c r="M54" s="286"/>
      <c r="N54" s="286"/>
      <c r="O54" s="285">
        <v>1151.1306000000002</v>
      </c>
      <c r="P54" s="285"/>
      <c r="Q54" s="285"/>
      <c r="R54" s="278"/>
      <c r="S54" s="278"/>
      <c r="T54" s="278"/>
    </row>
    <row r="55" spans="1:20" hidden="1" outlineLevel="1" x14ac:dyDescent="0.25">
      <c r="A55" s="278"/>
      <c r="B55" s="279" t="str">
        <f t="shared" si="19"/>
        <v>9001500</v>
      </c>
      <c r="C55" s="278">
        <v>900</v>
      </c>
      <c r="D55" s="278">
        <v>1500</v>
      </c>
      <c r="E55" s="278"/>
      <c r="F55" s="278"/>
      <c r="G55" s="278" t="s">
        <v>5</v>
      </c>
      <c r="H55" s="300">
        <v>7.3809394515340765</v>
      </c>
      <c r="I55" s="280">
        <f t="shared" si="24"/>
        <v>543.68000000000006</v>
      </c>
      <c r="J55" s="281">
        <f t="shared" si="25"/>
        <v>617.78463209340225</v>
      </c>
      <c r="K55" s="282">
        <f>IF(Notes!$B$9="Domestic",I55, IF(Notes!$B$9="Commercial",J55))*$K$43</f>
        <v>617.78463209340225</v>
      </c>
      <c r="L55" s="283">
        <f>(SUM(O55:Q55)+(K55+SUM(M55:Q55))*(INDEX($U$43:$AB$43,MATCH(Notes!$C$16,$U$3:$AB$3,0))-100%))*$L$43</f>
        <v>1394.9160000000002</v>
      </c>
      <c r="M55" s="286"/>
      <c r="N55" s="286"/>
      <c r="O55" s="285">
        <v>1394.9160000000002</v>
      </c>
      <c r="P55" s="285"/>
      <c r="Q55" s="285"/>
      <c r="R55" s="278"/>
      <c r="S55" s="278"/>
      <c r="T55" s="278"/>
    </row>
    <row r="56" spans="1:20" hidden="1" outlineLevel="1" x14ac:dyDescent="0.25">
      <c r="A56" s="278"/>
      <c r="B56" s="279" t="str">
        <f t="shared" si="19"/>
        <v>9001800</v>
      </c>
      <c r="C56" s="278">
        <v>900</v>
      </c>
      <c r="D56" s="278">
        <v>1800</v>
      </c>
      <c r="E56" s="278"/>
      <c r="F56" s="278"/>
      <c r="G56" s="278" t="s">
        <v>5</v>
      </c>
      <c r="H56" s="300">
        <v>7.3809394515340765</v>
      </c>
      <c r="I56" s="280">
        <f t="shared" ref="I56:I85" si="26">$I$2*H56</f>
        <v>543.68000000000006</v>
      </c>
      <c r="J56" s="281">
        <f t="shared" ref="J56:J85" si="27">$J$2*H56</f>
        <v>617.78463209340225</v>
      </c>
      <c r="K56" s="282">
        <f>IF(Notes!$B$9="Domestic",I56, IF(Notes!$B$9="Commercial",J56))*$K$43</f>
        <v>617.78463209340225</v>
      </c>
      <c r="L56" s="283">
        <f>(SUM(O56:Q56)+(K56+SUM(M56:Q56))*(INDEX($U$43:$AB$43,MATCH(Notes!$C$16,$U$3:$AB$3,0))-100%))*$L$43</f>
        <v>1697.1444000000001</v>
      </c>
      <c r="M56" s="286"/>
      <c r="N56" s="286"/>
      <c r="O56" s="285">
        <v>1697.1444000000001</v>
      </c>
      <c r="P56" s="285"/>
      <c r="Q56" s="285"/>
      <c r="R56" s="278"/>
      <c r="S56" s="278"/>
      <c r="T56" s="278"/>
    </row>
    <row r="57" spans="1:20" hidden="1" outlineLevel="1" x14ac:dyDescent="0.25">
      <c r="A57" s="278"/>
      <c r="B57" s="279" t="str">
        <f t="shared" si="19"/>
        <v>9002100</v>
      </c>
      <c r="C57" s="278">
        <v>900</v>
      </c>
      <c r="D57" s="278">
        <v>2100</v>
      </c>
      <c r="E57" s="278"/>
      <c r="F57" s="278"/>
      <c r="G57" s="278" t="s">
        <v>5</v>
      </c>
      <c r="H57" s="300">
        <v>7.3809394515340765</v>
      </c>
      <c r="I57" s="280">
        <f t="shared" si="26"/>
        <v>543.68000000000006</v>
      </c>
      <c r="J57" s="281">
        <f t="shared" si="27"/>
        <v>617.78463209340225</v>
      </c>
      <c r="K57" s="282">
        <f>IF(Notes!$B$9="Domestic",I57, IF(Notes!$B$9="Commercial",J57))*$K$43</f>
        <v>617.78463209340225</v>
      </c>
      <c r="L57" s="283">
        <f>(SUM(O57:Q57)+(K57+SUM(M57:Q57))*(INDEX($U$43:$AB$43,MATCH(Notes!$C$16,$U$3:$AB$3,0))-100%))*$L$43</f>
        <v>1950.3018</v>
      </c>
      <c r="M57" s="286"/>
      <c r="N57" s="286"/>
      <c r="O57" s="285">
        <v>1950.3018</v>
      </c>
      <c r="P57" s="285"/>
      <c r="Q57" s="285"/>
      <c r="R57" s="278"/>
      <c r="S57" s="278"/>
      <c r="T57" s="278"/>
    </row>
    <row r="58" spans="1:20" hidden="1" outlineLevel="1" x14ac:dyDescent="0.25">
      <c r="A58" s="278"/>
      <c r="B58" s="279" t="str">
        <f t="shared" si="19"/>
        <v>9002400</v>
      </c>
      <c r="C58" s="278">
        <v>900</v>
      </c>
      <c r="D58" s="278">
        <v>2400</v>
      </c>
      <c r="E58" s="278"/>
      <c r="F58" s="278"/>
      <c r="G58" s="278" t="s">
        <v>5</v>
      </c>
      <c r="H58" s="300">
        <v>8.356231333152321</v>
      </c>
      <c r="I58" s="280">
        <f t="shared" si="26"/>
        <v>615.52</v>
      </c>
      <c r="J58" s="281">
        <f t="shared" si="27"/>
        <v>699.41656258484932</v>
      </c>
      <c r="K58" s="282">
        <f>IF(Notes!$B$9="Domestic",I58, IF(Notes!$B$9="Commercial",J58))*$K$43</f>
        <v>699.41656258484932</v>
      </c>
      <c r="L58" s="283">
        <f>(SUM(O58:Q58)+(K58+SUM(M58:Q58))*(INDEX($U$43:$AB$43,MATCH(Notes!$C$16,$U$3:$AB$3,0))-100%))*$L$43</f>
        <v>2152.4742000000006</v>
      </c>
      <c r="M58" s="286"/>
      <c r="N58" s="286"/>
      <c r="O58" s="285">
        <v>2152.4742000000006</v>
      </c>
      <c r="P58" s="285"/>
      <c r="Q58" s="285"/>
      <c r="R58" s="278"/>
      <c r="S58" s="278"/>
      <c r="T58" s="278"/>
    </row>
    <row r="59" spans="1:20" hidden="1" outlineLevel="1" x14ac:dyDescent="0.25">
      <c r="A59" s="278"/>
      <c r="B59" s="279" t="str">
        <f t="shared" si="19"/>
        <v>9002700</v>
      </c>
      <c r="C59" s="278">
        <v>900</v>
      </c>
      <c r="D59" s="278">
        <v>2700</v>
      </c>
      <c r="E59" s="278"/>
      <c r="F59" s="278"/>
      <c r="G59" s="278" t="s">
        <v>5</v>
      </c>
      <c r="H59" s="300">
        <v>8.356231333152321</v>
      </c>
      <c r="I59" s="280">
        <f t="shared" si="26"/>
        <v>615.52</v>
      </c>
      <c r="J59" s="281">
        <f t="shared" si="27"/>
        <v>699.41656258484932</v>
      </c>
      <c r="K59" s="282">
        <f>IF(Notes!$B$9="Domestic",I59, IF(Notes!$B$9="Commercial",J59))*$K$43</f>
        <v>699.41656258484932</v>
      </c>
      <c r="L59" s="283">
        <f>(SUM(O59:Q59)+(K59+SUM(M59:Q59))*(INDEX($U$43:$AB$43,MATCH(Notes!$C$16,$U$3:$AB$3,0))-100%))*$L$43</f>
        <v>3393.9486000000006</v>
      </c>
      <c r="M59" s="286"/>
      <c r="N59" s="286"/>
      <c r="O59" s="285">
        <v>3393.9486000000006</v>
      </c>
      <c r="P59" s="285"/>
      <c r="Q59" s="285"/>
      <c r="R59" s="278"/>
      <c r="S59" s="278"/>
      <c r="T59" s="278"/>
    </row>
    <row r="60" spans="1:20" hidden="1" outlineLevel="1" x14ac:dyDescent="0.25">
      <c r="A60" s="278"/>
      <c r="B60" s="279" t="str">
        <f t="shared" si="19"/>
        <v>1200600</v>
      </c>
      <c r="C60" s="278">
        <v>1200</v>
      </c>
      <c r="D60" s="278">
        <v>600</v>
      </c>
      <c r="E60" s="278"/>
      <c r="F60" s="278"/>
      <c r="G60" s="278" t="s">
        <v>5</v>
      </c>
      <c r="H60" s="300">
        <v>6.4056475699158302</v>
      </c>
      <c r="I60" s="280">
        <f t="shared" si="26"/>
        <v>471.84000000000003</v>
      </c>
      <c r="J60" s="281">
        <f t="shared" si="27"/>
        <v>536.15270160195496</v>
      </c>
      <c r="K60" s="282">
        <f>IF(Notes!$B$9="Domestic",I60, IF(Notes!$B$9="Commercial",J60))*$K$43</f>
        <v>536.15270160195496</v>
      </c>
      <c r="L60" s="283">
        <f>(SUM(O60:Q60)+(K60+SUM(M60:Q60))*(INDEX($U$43:$AB$43,MATCH(Notes!$C$16,$U$3:$AB$3,0))-100%))*$L$43</f>
        <v>797.25240000000008</v>
      </c>
      <c r="M60" s="286"/>
      <c r="N60" s="286"/>
      <c r="O60" s="285">
        <v>797.25240000000008</v>
      </c>
      <c r="P60" s="285"/>
      <c r="Q60" s="285"/>
      <c r="R60" s="278"/>
      <c r="S60" s="278"/>
      <c r="T60" s="278"/>
    </row>
    <row r="61" spans="1:20" hidden="1" outlineLevel="1" x14ac:dyDescent="0.25">
      <c r="A61" s="278"/>
      <c r="B61" s="279" t="str">
        <f t="shared" si="19"/>
        <v>1200900</v>
      </c>
      <c r="C61" s="278">
        <v>1200</v>
      </c>
      <c r="D61" s="278">
        <v>900</v>
      </c>
      <c r="E61" s="278"/>
      <c r="F61" s="278"/>
      <c r="G61" s="278" t="s">
        <v>5</v>
      </c>
      <c r="H61" s="300">
        <v>6.4056475699158302</v>
      </c>
      <c r="I61" s="280">
        <f t="shared" si="26"/>
        <v>471.84000000000003</v>
      </c>
      <c r="J61" s="281">
        <f t="shared" si="27"/>
        <v>536.15270160195496</v>
      </c>
      <c r="K61" s="282">
        <f>IF(Notes!$B$9="Domestic",I61, IF(Notes!$B$9="Commercial",J61))*$K$43</f>
        <v>536.15270160195496</v>
      </c>
      <c r="L61" s="283">
        <f>(SUM(O61:Q61)+(K61+SUM(M61:Q61))*(INDEX($U$43:$AB$43,MATCH(Notes!$C$16,$U$3:$AB$3,0))-100%))*$L$43</f>
        <v>1151.1306000000002</v>
      </c>
      <c r="M61" s="286"/>
      <c r="N61" s="286"/>
      <c r="O61" s="285">
        <v>1151.1306000000002</v>
      </c>
      <c r="P61" s="285"/>
      <c r="Q61" s="285"/>
      <c r="R61" s="278"/>
      <c r="S61" s="278"/>
      <c r="T61" s="278"/>
    </row>
    <row r="62" spans="1:20" hidden="1" outlineLevel="1" x14ac:dyDescent="0.25">
      <c r="A62" s="278"/>
      <c r="B62" s="279" t="str">
        <f t="shared" si="19"/>
        <v>12001200</v>
      </c>
      <c r="C62" s="278">
        <v>1200</v>
      </c>
      <c r="D62" s="278">
        <v>1200</v>
      </c>
      <c r="E62" s="278"/>
      <c r="F62" s="278"/>
      <c r="G62" s="278" t="s">
        <v>5</v>
      </c>
      <c r="H62" s="300">
        <v>7.3809394515340765</v>
      </c>
      <c r="I62" s="280">
        <f t="shared" si="26"/>
        <v>543.68000000000006</v>
      </c>
      <c r="J62" s="281">
        <f t="shared" si="27"/>
        <v>617.78463209340225</v>
      </c>
      <c r="K62" s="282">
        <f>IF(Notes!$B$9="Domestic",I62, IF(Notes!$B$9="Commercial",J62))*$K$43</f>
        <v>617.78463209340225</v>
      </c>
      <c r="L62" s="283">
        <f>(SUM(O62:Q62)+(K62+SUM(M62:Q62))*(INDEX($U$43:$AB$43,MATCH(Notes!$C$16,$U$3:$AB$3,0))-100%))*$L$43</f>
        <v>1376.3748000000001</v>
      </c>
      <c r="M62" s="286"/>
      <c r="N62" s="286"/>
      <c r="O62" s="285">
        <v>1376.3748000000001</v>
      </c>
      <c r="P62" s="285"/>
      <c r="Q62" s="285"/>
      <c r="R62" s="278"/>
      <c r="S62" s="278"/>
      <c r="T62" s="278"/>
    </row>
    <row r="63" spans="1:20" hidden="1" outlineLevel="1" x14ac:dyDescent="0.25">
      <c r="A63" s="278"/>
      <c r="B63" s="279" t="str">
        <f t="shared" si="19"/>
        <v>12001500</v>
      </c>
      <c r="C63" s="278">
        <v>1200</v>
      </c>
      <c r="D63" s="278">
        <v>1500</v>
      </c>
      <c r="E63" s="278"/>
      <c r="F63" s="278"/>
      <c r="G63" s="278" t="s">
        <v>5</v>
      </c>
      <c r="H63" s="300">
        <v>7.3809394515340765</v>
      </c>
      <c r="I63" s="280">
        <f t="shared" si="26"/>
        <v>543.68000000000006</v>
      </c>
      <c r="J63" s="281">
        <f t="shared" si="27"/>
        <v>617.78463209340225</v>
      </c>
      <c r="K63" s="282">
        <f>IF(Notes!$B$9="Domestic",I63, IF(Notes!$B$9="Commercial",J63))*$K$43</f>
        <v>617.78463209340225</v>
      </c>
      <c r="L63" s="283">
        <f>(SUM(O63:Q63)+(K63+SUM(M63:Q63))*(INDEX($U$43:$AB$43,MATCH(Notes!$C$16,$U$3:$AB$3,0))-100%))*$L$43</f>
        <v>1830.0120000000002</v>
      </c>
      <c r="M63" s="286"/>
      <c r="N63" s="286"/>
      <c r="O63" s="285">
        <v>1830.0120000000002</v>
      </c>
      <c r="P63" s="285"/>
      <c r="Q63" s="285"/>
      <c r="R63" s="278"/>
      <c r="S63" s="278"/>
      <c r="T63" s="278"/>
    </row>
    <row r="64" spans="1:20" hidden="1" outlineLevel="1" x14ac:dyDescent="0.25">
      <c r="A64" s="278"/>
      <c r="B64" s="279" t="str">
        <f t="shared" si="19"/>
        <v>12001800</v>
      </c>
      <c r="C64" s="278">
        <v>1200</v>
      </c>
      <c r="D64" s="278">
        <v>1800</v>
      </c>
      <c r="E64" s="278"/>
      <c r="F64" s="278"/>
      <c r="G64" s="278" t="s">
        <v>5</v>
      </c>
      <c r="H64" s="300">
        <v>8.356231333152321</v>
      </c>
      <c r="I64" s="280">
        <f t="shared" si="26"/>
        <v>615.52</v>
      </c>
      <c r="J64" s="281">
        <f t="shared" si="27"/>
        <v>699.41656258484932</v>
      </c>
      <c r="K64" s="282">
        <f>IF(Notes!$B$9="Domestic",I64, IF(Notes!$B$9="Commercial",J64))*$K$43</f>
        <v>699.41656258484932</v>
      </c>
      <c r="L64" s="283">
        <f>(SUM(O64:Q64)+(K64+SUM(M64:Q64))*(INDEX($U$43:$AB$43,MATCH(Notes!$C$16,$U$3:$AB$3,0))-100%))*$L$43</f>
        <v>2150.5602000000003</v>
      </c>
      <c r="M64" s="286"/>
      <c r="N64" s="286"/>
      <c r="O64" s="285">
        <v>2150.5602000000003</v>
      </c>
      <c r="P64" s="285"/>
      <c r="Q64" s="285"/>
      <c r="R64" s="278"/>
      <c r="S64" s="278"/>
      <c r="T64" s="278"/>
    </row>
    <row r="65" spans="1:20" hidden="1" outlineLevel="1" x14ac:dyDescent="0.25">
      <c r="A65" s="278"/>
      <c r="B65" s="279" t="str">
        <f t="shared" si="19"/>
        <v>12002100</v>
      </c>
      <c r="C65" s="278">
        <v>1200</v>
      </c>
      <c r="D65" s="278">
        <v>2100</v>
      </c>
      <c r="E65" s="278"/>
      <c r="F65" s="278"/>
      <c r="G65" s="278" t="s">
        <v>5</v>
      </c>
      <c r="H65" s="300">
        <v>8.356231333152321</v>
      </c>
      <c r="I65" s="280">
        <f t="shared" si="26"/>
        <v>615.52</v>
      </c>
      <c r="J65" s="281">
        <f t="shared" si="27"/>
        <v>699.41656258484932</v>
      </c>
      <c r="K65" s="282">
        <f>IF(Notes!$B$9="Domestic",I65, IF(Notes!$B$9="Commercial",J65))*$K$43</f>
        <v>699.41656258484932</v>
      </c>
      <c r="L65" s="283">
        <f>(SUM(O65:Q65)+(K65+SUM(M65:Q65))*(INDEX($U$43:$AB$43,MATCH(Notes!$C$16,$U$3:$AB$3,0))-100%))*$L$43</f>
        <v>2422.0374000000002</v>
      </c>
      <c r="M65" s="286"/>
      <c r="N65" s="286"/>
      <c r="O65" s="285">
        <v>2422.0374000000002</v>
      </c>
      <c r="P65" s="285"/>
      <c r="Q65" s="285"/>
      <c r="R65" s="278"/>
      <c r="S65" s="278"/>
      <c r="T65" s="278"/>
    </row>
    <row r="66" spans="1:20" hidden="1" outlineLevel="1" x14ac:dyDescent="0.25">
      <c r="A66" s="278"/>
      <c r="B66" s="279" t="str">
        <f t="shared" si="19"/>
        <v>12002400</v>
      </c>
      <c r="C66" s="278">
        <v>1200</v>
      </c>
      <c r="D66" s="278">
        <v>2400</v>
      </c>
      <c r="E66" s="278"/>
      <c r="F66" s="278"/>
      <c r="G66" s="278" t="s">
        <v>5</v>
      </c>
      <c r="H66" s="300">
        <v>8.356231333152321</v>
      </c>
      <c r="I66" s="280">
        <f t="shared" si="26"/>
        <v>615.52</v>
      </c>
      <c r="J66" s="281">
        <f t="shared" si="27"/>
        <v>699.41656258484932</v>
      </c>
      <c r="K66" s="282">
        <f>IF(Notes!$B$9="Domestic",I66, IF(Notes!$B$9="Commercial",J66))*$K$43</f>
        <v>699.41656258484932</v>
      </c>
      <c r="L66" s="283">
        <f>(SUM(O66:Q66)+(K66+SUM(M66:Q66))*(INDEX($U$43:$AB$43,MATCH(Notes!$C$16,$U$3:$AB$3,0))-100%))*$L$43</f>
        <v>2691.5676000000003</v>
      </c>
      <c r="M66" s="286"/>
      <c r="N66" s="286"/>
      <c r="O66" s="285">
        <v>2691.5676000000003</v>
      </c>
      <c r="P66" s="285"/>
      <c r="Q66" s="285"/>
      <c r="R66" s="278"/>
      <c r="S66" s="278"/>
      <c r="T66" s="278"/>
    </row>
    <row r="67" spans="1:20" hidden="1" outlineLevel="1" x14ac:dyDescent="0.25">
      <c r="A67" s="278"/>
      <c r="B67" s="279" t="str">
        <f t="shared" si="19"/>
        <v>12002700</v>
      </c>
      <c r="C67" s="278">
        <v>1200</v>
      </c>
      <c r="D67" s="278">
        <v>2700</v>
      </c>
      <c r="E67" s="278"/>
      <c r="F67" s="278"/>
      <c r="G67" s="278" t="s">
        <v>5</v>
      </c>
      <c r="H67" s="300">
        <v>9.3315232147705682</v>
      </c>
      <c r="I67" s="280">
        <f t="shared" si="26"/>
        <v>687.36</v>
      </c>
      <c r="J67" s="281">
        <f t="shared" si="27"/>
        <v>781.04849307629661</v>
      </c>
      <c r="K67" s="282">
        <f>IF(Notes!$B$9="Domestic",I67, IF(Notes!$B$9="Commercial",J67))*$K$43</f>
        <v>781.04849307629661</v>
      </c>
      <c r="L67" s="283">
        <f>(SUM(O67:Q67)+(K67+SUM(M67:Q67))*(INDEX($U$43:$AB$43,MATCH(Notes!$C$16,$U$3:$AB$3,0))-100%))*$L$43</f>
        <v>3640.9308000000001</v>
      </c>
      <c r="M67" s="286"/>
      <c r="N67" s="286"/>
      <c r="O67" s="285">
        <v>3640.9308000000001</v>
      </c>
      <c r="P67" s="285"/>
      <c r="Q67" s="285"/>
      <c r="R67" s="278"/>
      <c r="S67" s="278"/>
      <c r="T67" s="278"/>
    </row>
    <row r="68" spans="1:20" hidden="1" outlineLevel="1" x14ac:dyDescent="0.25">
      <c r="A68" s="278"/>
      <c r="B68" s="279" t="str">
        <f t="shared" si="19"/>
        <v>1500600</v>
      </c>
      <c r="C68" s="278">
        <v>1500</v>
      </c>
      <c r="D68" s="278">
        <v>600</v>
      </c>
      <c r="E68" s="278"/>
      <c r="F68" s="278"/>
      <c r="G68" s="278" t="s">
        <v>5</v>
      </c>
      <c r="H68" s="300">
        <v>6.4056475699158302</v>
      </c>
      <c r="I68" s="280">
        <f t="shared" si="26"/>
        <v>471.84000000000003</v>
      </c>
      <c r="J68" s="281">
        <f t="shared" si="27"/>
        <v>536.15270160195496</v>
      </c>
      <c r="K68" s="282">
        <f>IF(Notes!$B$9="Domestic",I68, IF(Notes!$B$9="Commercial",J68))*$K$43</f>
        <v>536.15270160195496</v>
      </c>
      <c r="L68" s="283">
        <f>(SUM(O68:Q68)+(K68+SUM(M68:Q68))*(INDEX($U$43:$AB$43,MATCH(Notes!$C$16,$U$3:$AB$3,0))-100%))*$L$43</f>
        <v>963.91200000000003</v>
      </c>
      <c r="M68" s="286"/>
      <c r="N68" s="286"/>
      <c r="O68" s="285">
        <v>963.91200000000003</v>
      </c>
      <c r="P68" s="285"/>
      <c r="Q68" s="285"/>
      <c r="R68" s="278"/>
      <c r="S68" s="278"/>
      <c r="T68" s="278"/>
    </row>
    <row r="69" spans="1:20" hidden="1" outlineLevel="1" x14ac:dyDescent="0.25">
      <c r="A69" s="278"/>
      <c r="B69" s="279" t="str">
        <f t="shared" si="19"/>
        <v>1500900</v>
      </c>
      <c r="C69" s="278">
        <v>1500</v>
      </c>
      <c r="D69" s="278">
        <v>900</v>
      </c>
      <c r="E69" s="278"/>
      <c r="F69" s="278"/>
      <c r="G69" s="278" t="s">
        <v>5</v>
      </c>
      <c r="H69" s="300">
        <v>7.3809394515340765</v>
      </c>
      <c r="I69" s="280">
        <f t="shared" si="26"/>
        <v>543.68000000000006</v>
      </c>
      <c r="J69" s="281">
        <f t="shared" si="27"/>
        <v>617.78463209340225</v>
      </c>
      <c r="K69" s="282">
        <f>IF(Notes!$B$9="Domestic",I69, IF(Notes!$B$9="Commercial",J69))*$K$43</f>
        <v>617.78463209340225</v>
      </c>
      <c r="L69" s="283">
        <f>(SUM(O69:Q69)+(K69+SUM(M69:Q69))*(INDEX($U$43:$AB$43,MATCH(Notes!$C$16,$U$3:$AB$3,0))-100%))*$L$43</f>
        <v>1310.7660000000003</v>
      </c>
      <c r="M69" s="286"/>
      <c r="N69" s="286"/>
      <c r="O69" s="285">
        <v>1310.7660000000003</v>
      </c>
      <c r="P69" s="285"/>
      <c r="Q69" s="285"/>
      <c r="R69" s="278"/>
      <c r="S69" s="278"/>
      <c r="T69" s="278"/>
    </row>
    <row r="70" spans="1:20" hidden="1" outlineLevel="1" x14ac:dyDescent="0.25">
      <c r="A70" s="278"/>
      <c r="B70" s="279" t="str">
        <f t="shared" si="19"/>
        <v>15001200</v>
      </c>
      <c r="C70" s="278">
        <v>1500</v>
      </c>
      <c r="D70" s="278">
        <v>1200</v>
      </c>
      <c r="E70" s="278"/>
      <c r="F70" s="278"/>
      <c r="G70" s="278" t="s">
        <v>5</v>
      </c>
      <c r="H70" s="300">
        <v>7.3809394515340765</v>
      </c>
      <c r="I70" s="280">
        <f t="shared" si="26"/>
        <v>543.68000000000006</v>
      </c>
      <c r="J70" s="281">
        <f t="shared" si="27"/>
        <v>617.78463209340225</v>
      </c>
      <c r="K70" s="282">
        <f>IF(Notes!$B$9="Domestic",I70, IF(Notes!$B$9="Commercial",J70))*$K$43</f>
        <v>617.78463209340225</v>
      </c>
      <c r="L70" s="283">
        <f>(SUM(O70:Q70)+(K70+SUM(M70:Q70))*(INDEX($U$43:$AB$43,MATCH(Notes!$C$16,$U$3:$AB$3,0))-100%))*$L$43</f>
        <v>1630.395</v>
      </c>
      <c r="M70" s="286"/>
      <c r="N70" s="286"/>
      <c r="O70" s="285">
        <v>1630.395</v>
      </c>
      <c r="P70" s="285"/>
      <c r="Q70" s="285"/>
      <c r="R70" s="278"/>
      <c r="S70" s="278"/>
      <c r="T70" s="278"/>
    </row>
    <row r="71" spans="1:20" hidden="1" outlineLevel="1" x14ac:dyDescent="0.25">
      <c r="A71" s="278"/>
      <c r="B71" s="279" t="str">
        <f t="shared" si="19"/>
        <v>15001500</v>
      </c>
      <c r="C71" s="278">
        <v>1500</v>
      </c>
      <c r="D71" s="278">
        <v>1500</v>
      </c>
      <c r="E71" s="278"/>
      <c r="F71" s="278"/>
      <c r="G71" s="278" t="s">
        <v>5</v>
      </c>
      <c r="H71" s="300">
        <v>8.356231333152321</v>
      </c>
      <c r="I71" s="280">
        <f t="shared" si="26"/>
        <v>615.52</v>
      </c>
      <c r="J71" s="281">
        <f t="shared" si="27"/>
        <v>699.41656258484932</v>
      </c>
      <c r="K71" s="282">
        <f>IF(Notes!$B$9="Domestic",I71, IF(Notes!$B$9="Commercial",J71))*$K$43</f>
        <v>699.41656258484932</v>
      </c>
      <c r="L71" s="283">
        <f>(SUM(O71:Q71)+(K71+SUM(M71:Q71))*(INDEX($U$43:$AB$43,MATCH(Notes!$C$16,$U$3:$AB$3,0))-100%))*$L$43</f>
        <v>2219.4030000000002</v>
      </c>
      <c r="M71" s="286"/>
      <c r="N71" s="286"/>
      <c r="O71" s="285">
        <v>2219.4030000000002</v>
      </c>
      <c r="P71" s="285"/>
      <c r="Q71" s="285"/>
      <c r="R71" s="278"/>
      <c r="S71" s="278"/>
      <c r="T71" s="278"/>
    </row>
    <row r="72" spans="1:20" hidden="1" outlineLevel="1" x14ac:dyDescent="0.25">
      <c r="A72" s="278"/>
      <c r="B72" s="279" t="str">
        <f t="shared" si="19"/>
        <v>15001800</v>
      </c>
      <c r="C72" s="278">
        <v>1500</v>
      </c>
      <c r="D72" s="278">
        <v>1800</v>
      </c>
      <c r="E72" s="278"/>
      <c r="F72" s="278"/>
      <c r="G72" s="278" t="s">
        <v>5</v>
      </c>
      <c r="H72" s="300">
        <v>8.356231333152321</v>
      </c>
      <c r="I72" s="280">
        <f t="shared" si="26"/>
        <v>615.52</v>
      </c>
      <c r="J72" s="281">
        <f t="shared" si="27"/>
        <v>699.41656258484932</v>
      </c>
      <c r="K72" s="282">
        <f>IF(Notes!$B$9="Domestic",I72, IF(Notes!$B$9="Commercial",J72))*$K$43</f>
        <v>699.41656258484932</v>
      </c>
      <c r="L72" s="283">
        <f>(SUM(O72:Q72)+(K72+SUM(M72:Q72))*(INDEX($U$43:$AB$43,MATCH(Notes!$C$16,$U$3:$AB$3,0))-100%))*$L$43</f>
        <v>2509.1669999999999</v>
      </c>
      <c r="M72" s="286"/>
      <c r="N72" s="286"/>
      <c r="O72" s="285">
        <v>2509.1669999999999</v>
      </c>
      <c r="P72" s="285"/>
      <c r="Q72" s="285"/>
      <c r="R72" s="278"/>
      <c r="S72" s="278"/>
      <c r="T72" s="278"/>
    </row>
    <row r="73" spans="1:20" hidden="1" outlineLevel="1" x14ac:dyDescent="0.25">
      <c r="A73" s="278"/>
      <c r="B73" s="279" t="str">
        <f t="shared" si="19"/>
        <v>15002100</v>
      </c>
      <c r="C73" s="278">
        <v>1500</v>
      </c>
      <c r="D73" s="278">
        <v>2100</v>
      </c>
      <c r="E73" s="278"/>
      <c r="F73" s="278"/>
      <c r="G73" s="278" t="s">
        <v>5</v>
      </c>
      <c r="H73" s="300">
        <v>9.3315232147705682</v>
      </c>
      <c r="I73" s="280">
        <f t="shared" si="26"/>
        <v>687.36</v>
      </c>
      <c r="J73" s="281">
        <f t="shared" si="27"/>
        <v>781.04849307629661</v>
      </c>
      <c r="K73" s="282">
        <f>IF(Notes!$B$9="Domestic",I73, IF(Notes!$B$9="Commercial",J73))*$K$43</f>
        <v>781.04849307629661</v>
      </c>
      <c r="L73" s="283">
        <f>(SUM(O73:Q73)+(K73+SUM(M73:Q73))*(INDEX($U$43:$AB$43,MATCH(Notes!$C$16,$U$3:$AB$3,0))-100%))*$L$43</f>
        <v>2946.2100000000005</v>
      </c>
      <c r="M73" s="286"/>
      <c r="N73" s="286"/>
      <c r="O73" s="285">
        <v>2946.2100000000005</v>
      </c>
      <c r="P73" s="285"/>
      <c r="Q73" s="285"/>
      <c r="R73" s="278"/>
      <c r="S73" s="278"/>
      <c r="T73" s="278"/>
    </row>
    <row r="74" spans="1:20" hidden="1" outlineLevel="1" x14ac:dyDescent="0.25">
      <c r="A74" s="278"/>
      <c r="B74" s="279" t="str">
        <f t="shared" si="19"/>
        <v>15002400</v>
      </c>
      <c r="C74" s="278">
        <v>1500</v>
      </c>
      <c r="D74" s="278">
        <v>2400</v>
      </c>
      <c r="E74" s="278"/>
      <c r="F74" s="278"/>
      <c r="G74" s="278" t="s">
        <v>5</v>
      </c>
      <c r="H74" s="300">
        <v>9.3315232147705682</v>
      </c>
      <c r="I74" s="280">
        <f t="shared" si="26"/>
        <v>687.36</v>
      </c>
      <c r="J74" s="281">
        <f t="shared" si="27"/>
        <v>781.04849307629661</v>
      </c>
      <c r="K74" s="282">
        <f>IF(Notes!$B$9="Domestic",I74, IF(Notes!$B$9="Commercial",J74))*$K$43</f>
        <v>781.04849307629661</v>
      </c>
      <c r="L74" s="283">
        <f>(SUM(O74:Q74)+(K74+SUM(M74:Q74))*(INDEX($U$43:$AB$43,MATCH(Notes!$C$16,$U$3:$AB$3,0))-100%))*$L$43</f>
        <v>3135.9180000000001</v>
      </c>
      <c r="M74" s="286"/>
      <c r="N74" s="286"/>
      <c r="O74" s="285">
        <v>3135.9180000000001</v>
      </c>
      <c r="P74" s="285"/>
      <c r="Q74" s="285"/>
      <c r="R74" s="278"/>
      <c r="S74" s="278"/>
      <c r="T74" s="278"/>
    </row>
    <row r="75" spans="1:20" hidden="1" outlineLevel="1" x14ac:dyDescent="0.25">
      <c r="A75" s="278"/>
      <c r="B75" s="279" t="str">
        <f t="shared" si="19"/>
        <v>15002700</v>
      </c>
      <c r="C75" s="278">
        <v>1500</v>
      </c>
      <c r="D75" s="278">
        <v>2700</v>
      </c>
      <c r="E75" s="278"/>
      <c r="F75" s="278"/>
      <c r="G75" s="278" t="s">
        <v>5</v>
      </c>
      <c r="H75" s="300">
        <v>9.3315232147705682</v>
      </c>
      <c r="I75" s="280">
        <f t="shared" si="26"/>
        <v>687.36</v>
      </c>
      <c r="J75" s="281">
        <f t="shared" si="27"/>
        <v>781.04849307629661</v>
      </c>
      <c r="K75" s="282">
        <f>IF(Notes!$B$9="Domestic",I75, IF(Notes!$B$9="Commercial",J75))*$K$43</f>
        <v>781.04849307629661</v>
      </c>
      <c r="L75" s="283">
        <f>(SUM(O75:Q75)+(K75+SUM(M75:Q75))*(INDEX($U$43:$AB$43,MATCH(Notes!$C$16,$U$3:$AB$3,0))-100%))*$L$43</f>
        <v>3891.3120000000008</v>
      </c>
      <c r="M75" s="286"/>
      <c r="N75" s="286"/>
      <c r="O75" s="285">
        <v>3891.3120000000008</v>
      </c>
      <c r="P75" s="285"/>
      <c r="Q75" s="285"/>
      <c r="R75" s="278"/>
      <c r="S75" s="278"/>
      <c r="T75" s="278"/>
    </row>
    <row r="76" spans="1:20" hidden="1" outlineLevel="1" x14ac:dyDescent="0.25">
      <c r="A76" s="278"/>
      <c r="B76" s="279" t="str">
        <f t="shared" si="19"/>
        <v>1800600</v>
      </c>
      <c r="C76" s="278">
        <v>1800</v>
      </c>
      <c r="D76" s="278">
        <v>600</v>
      </c>
      <c r="E76" s="278"/>
      <c r="F76" s="278"/>
      <c r="G76" s="278" t="s">
        <v>5</v>
      </c>
      <c r="H76" s="300">
        <v>6.4056475699158302</v>
      </c>
      <c r="I76" s="280">
        <f t="shared" si="26"/>
        <v>471.84000000000003</v>
      </c>
      <c r="J76" s="281">
        <f t="shared" si="27"/>
        <v>536.15270160195496</v>
      </c>
      <c r="K76" s="282">
        <f>IF(Notes!$B$9="Domestic",I76, IF(Notes!$B$9="Commercial",J76))*$K$43</f>
        <v>536.15270160195496</v>
      </c>
      <c r="L76" s="283">
        <f>(SUM(O76:Q76)+(K76+SUM(M76:Q76))*(INDEX($U$43:$AB$43,MATCH(Notes!$C$16,$U$3:$AB$3,0))-100%))*$L$43</f>
        <v>1155.9486000000002</v>
      </c>
      <c r="M76" s="286"/>
      <c r="N76" s="286"/>
      <c r="O76" s="285">
        <v>1155.9486000000002</v>
      </c>
      <c r="P76" s="285"/>
      <c r="Q76" s="285"/>
      <c r="R76" s="278"/>
      <c r="S76" s="278"/>
      <c r="T76" s="278"/>
    </row>
    <row r="77" spans="1:20" hidden="1" outlineLevel="1" x14ac:dyDescent="0.25">
      <c r="A77" s="278"/>
      <c r="B77" s="279" t="str">
        <f t="shared" si="19"/>
        <v>1800900</v>
      </c>
      <c r="C77" s="278">
        <v>1800</v>
      </c>
      <c r="D77" s="278">
        <v>900</v>
      </c>
      <c r="E77" s="278"/>
      <c r="F77" s="278"/>
      <c r="G77" s="278" t="s">
        <v>5</v>
      </c>
      <c r="H77" s="300">
        <v>7.3809394515340765</v>
      </c>
      <c r="I77" s="280">
        <f t="shared" si="26"/>
        <v>543.68000000000006</v>
      </c>
      <c r="J77" s="281">
        <f t="shared" si="27"/>
        <v>617.78463209340225</v>
      </c>
      <c r="K77" s="282">
        <f>IF(Notes!$B$9="Domestic",I77, IF(Notes!$B$9="Commercial",J77))*$K$43</f>
        <v>617.78463209340225</v>
      </c>
      <c r="L77" s="283">
        <f>(SUM(O77:Q77)+(K77+SUM(M77:Q77))*(INDEX($U$43:$AB$43,MATCH(Notes!$C$16,$U$3:$AB$3,0))-100%))*$L$43</f>
        <v>1546.4333999999999</v>
      </c>
      <c r="M77" s="286"/>
      <c r="N77" s="286"/>
      <c r="O77" s="285">
        <v>1546.4333999999999</v>
      </c>
      <c r="P77" s="285"/>
      <c r="Q77" s="285"/>
      <c r="R77" s="278"/>
      <c r="S77" s="278"/>
      <c r="T77" s="278"/>
    </row>
    <row r="78" spans="1:20" hidden="1" outlineLevel="1" x14ac:dyDescent="0.25">
      <c r="A78" s="278"/>
      <c r="B78" s="279" t="str">
        <f t="shared" si="19"/>
        <v>18001200</v>
      </c>
      <c r="C78" s="278">
        <v>1800</v>
      </c>
      <c r="D78" s="278">
        <v>1200</v>
      </c>
      <c r="E78" s="278"/>
      <c r="F78" s="278"/>
      <c r="G78" s="278" t="s">
        <v>5</v>
      </c>
      <c r="H78" s="300">
        <v>8.356231333152321</v>
      </c>
      <c r="I78" s="280">
        <f t="shared" si="26"/>
        <v>615.52</v>
      </c>
      <c r="J78" s="281">
        <f t="shared" si="27"/>
        <v>699.41656258484932</v>
      </c>
      <c r="K78" s="282">
        <f>IF(Notes!$B$9="Domestic",I78, IF(Notes!$B$9="Commercial",J78))*$K$43</f>
        <v>699.41656258484932</v>
      </c>
      <c r="L78" s="283">
        <f>(SUM(O78:Q78)+(K78+SUM(M78:Q78))*(INDEX($U$43:$AB$43,MATCH(Notes!$C$16,$U$3:$AB$3,0))-100%))*$L$43</f>
        <v>1808.3502000000001</v>
      </c>
      <c r="M78" s="286"/>
      <c r="N78" s="286"/>
      <c r="O78" s="285">
        <v>1808.3502000000001</v>
      </c>
      <c r="P78" s="285"/>
      <c r="Q78" s="285"/>
      <c r="R78" s="278"/>
      <c r="S78" s="278"/>
      <c r="T78" s="278"/>
    </row>
    <row r="79" spans="1:20" hidden="1" outlineLevel="1" x14ac:dyDescent="0.25">
      <c r="A79" s="278"/>
      <c r="B79" s="279" t="str">
        <f t="shared" si="19"/>
        <v>18001500</v>
      </c>
      <c r="C79" s="278">
        <v>1800</v>
      </c>
      <c r="D79" s="278">
        <v>1500</v>
      </c>
      <c r="E79" s="278"/>
      <c r="F79" s="278"/>
      <c r="G79" s="278" t="s">
        <v>5</v>
      </c>
      <c r="H79" s="300">
        <v>8.356231333152321</v>
      </c>
      <c r="I79" s="280">
        <f t="shared" si="26"/>
        <v>615.52</v>
      </c>
      <c r="J79" s="281">
        <f t="shared" si="27"/>
        <v>699.41656258484932</v>
      </c>
      <c r="K79" s="282">
        <f>IF(Notes!$B$9="Domestic",I79, IF(Notes!$B$9="Commercial",J79))*$K$43</f>
        <v>699.41656258484932</v>
      </c>
      <c r="L79" s="283">
        <f>(SUM(O79:Q79)+(K79+SUM(M79:Q79))*(INDEX($U$43:$AB$43,MATCH(Notes!$C$16,$U$3:$AB$3,0))-100%))*$L$43</f>
        <v>2510.6190000000006</v>
      </c>
      <c r="M79" s="286"/>
      <c r="N79" s="286"/>
      <c r="O79" s="285">
        <v>2510.6190000000006</v>
      </c>
      <c r="P79" s="285"/>
      <c r="Q79" s="285"/>
      <c r="R79" s="278"/>
      <c r="S79" s="278"/>
      <c r="T79" s="278"/>
    </row>
    <row r="80" spans="1:20" hidden="1" outlineLevel="1" x14ac:dyDescent="0.25">
      <c r="A80" s="278"/>
      <c r="B80" s="279" t="str">
        <f t="shared" si="19"/>
        <v>18001800</v>
      </c>
      <c r="C80" s="278">
        <v>1800</v>
      </c>
      <c r="D80" s="278">
        <v>1800</v>
      </c>
      <c r="E80" s="278"/>
      <c r="F80" s="278"/>
      <c r="G80" s="278" t="s">
        <v>5</v>
      </c>
      <c r="H80" s="300">
        <v>9.3315232147705682</v>
      </c>
      <c r="I80" s="280">
        <f t="shared" si="26"/>
        <v>687.36</v>
      </c>
      <c r="J80" s="281">
        <f t="shared" si="27"/>
        <v>781.04849307629661</v>
      </c>
      <c r="K80" s="282">
        <f>IF(Notes!$B$9="Domestic",I80, IF(Notes!$B$9="Commercial",J80))*$K$43</f>
        <v>781.04849307629661</v>
      </c>
      <c r="L80" s="283">
        <f>(SUM(O80:Q80)+(K80+SUM(M80:Q80))*(INDEX($U$43:$AB$43,MATCH(Notes!$C$16,$U$3:$AB$3,0))-100%))*$L$43</f>
        <v>3015.0198</v>
      </c>
      <c r="M80" s="286"/>
      <c r="N80" s="286"/>
      <c r="O80" s="285">
        <v>3015.0198</v>
      </c>
      <c r="P80" s="285"/>
      <c r="Q80" s="285"/>
      <c r="R80" s="278"/>
      <c r="S80" s="278"/>
      <c r="T80" s="278"/>
    </row>
    <row r="81" spans="1:20" hidden="1" outlineLevel="1" x14ac:dyDescent="0.25">
      <c r="A81" s="278"/>
      <c r="B81" s="279" t="str">
        <f t="shared" si="19"/>
        <v>18002100</v>
      </c>
      <c r="C81" s="278">
        <v>1800</v>
      </c>
      <c r="D81" s="278">
        <v>2100</v>
      </c>
      <c r="E81" s="278"/>
      <c r="F81" s="278"/>
      <c r="G81" s="278" t="s">
        <v>5</v>
      </c>
      <c r="H81" s="300">
        <v>9.3315232147705682</v>
      </c>
      <c r="I81" s="280">
        <f t="shared" si="26"/>
        <v>687.36</v>
      </c>
      <c r="J81" s="281">
        <f t="shared" si="27"/>
        <v>781.04849307629661</v>
      </c>
      <c r="K81" s="282">
        <f>IF(Notes!$B$9="Domestic",I81, IF(Notes!$B$9="Commercial",J81))*$K$43</f>
        <v>781.04849307629661</v>
      </c>
      <c r="L81" s="283">
        <f>(SUM(O81:Q81)+(K81+SUM(M81:Q81))*(INDEX($U$43:$AB$43,MATCH(Notes!$C$16,$U$3:$AB$3,0))-100%))*$L$43</f>
        <v>3224.9946</v>
      </c>
      <c r="M81" s="286"/>
      <c r="N81" s="286"/>
      <c r="O81" s="285">
        <v>3224.9946</v>
      </c>
      <c r="P81" s="285"/>
      <c r="Q81" s="285"/>
      <c r="R81" s="278"/>
      <c r="S81" s="278"/>
      <c r="T81" s="278"/>
    </row>
    <row r="82" spans="1:20" hidden="1" outlineLevel="1" x14ac:dyDescent="0.25">
      <c r="A82" s="278"/>
      <c r="B82" s="279" t="str">
        <f t="shared" si="19"/>
        <v>18002400</v>
      </c>
      <c r="C82" s="278">
        <v>1800</v>
      </c>
      <c r="D82" s="278">
        <v>2400</v>
      </c>
      <c r="E82" s="278"/>
      <c r="F82" s="278"/>
      <c r="G82" s="278" t="s">
        <v>5</v>
      </c>
      <c r="H82" s="300">
        <v>10.306815096388815</v>
      </c>
      <c r="I82" s="280">
        <f t="shared" si="26"/>
        <v>759.20000000000016</v>
      </c>
      <c r="J82" s="281">
        <f t="shared" si="27"/>
        <v>862.6804235677439</v>
      </c>
      <c r="K82" s="282">
        <f>IF(Notes!$B$9="Domestic",I82, IF(Notes!$B$9="Commercial",J82))*$K$43</f>
        <v>862.6804235677439</v>
      </c>
      <c r="L82" s="283">
        <f>(SUM(O82:Q82)+(K82+SUM(M82:Q82))*(INDEX($U$43:$AB$43,MATCH(Notes!$C$16,$U$3:$AB$3,0))-100%))*$L$43</f>
        <v>3433.0224000000007</v>
      </c>
      <c r="M82" s="286"/>
      <c r="N82" s="286"/>
      <c r="O82" s="285">
        <v>3433.0224000000007</v>
      </c>
      <c r="P82" s="285"/>
      <c r="Q82" s="285"/>
      <c r="R82" s="278"/>
      <c r="S82" s="278"/>
      <c r="T82" s="278"/>
    </row>
    <row r="83" spans="1:20" hidden="1" outlineLevel="1" x14ac:dyDescent="0.25">
      <c r="A83" s="278"/>
      <c r="B83" s="279" t="str">
        <f t="shared" si="19"/>
        <v>18002700</v>
      </c>
      <c r="C83" s="278">
        <v>1800</v>
      </c>
      <c r="D83" s="278">
        <v>2700</v>
      </c>
      <c r="E83" s="278"/>
      <c r="F83" s="278"/>
      <c r="G83" s="278" t="s">
        <v>5</v>
      </c>
      <c r="H83" s="300">
        <v>10.306815096388815</v>
      </c>
      <c r="I83" s="280">
        <f t="shared" si="26"/>
        <v>759.20000000000016</v>
      </c>
      <c r="J83" s="281">
        <f t="shared" si="27"/>
        <v>862.6804235677439</v>
      </c>
      <c r="K83" s="282">
        <f>IF(Notes!$B$9="Domestic",I83, IF(Notes!$B$9="Commercial",J83))*$K$43</f>
        <v>862.6804235677439</v>
      </c>
      <c r="L83" s="283">
        <f>(SUM(O83:Q83)+(K83+SUM(M83:Q83))*(INDEX($U$43:$AB$43,MATCH(Notes!$C$16,$U$3:$AB$3,0))-100%))*$L$43</f>
        <v>4100.6082000000006</v>
      </c>
      <c r="M83" s="286"/>
      <c r="N83" s="286"/>
      <c r="O83" s="285">
        <v>4100.6082000000006</v>
      </c>
      <c r="P83" s="285"/>
      <c r="Q83" s="285"/>
      <c r="R83" s="278"/>
      <c r="S83" s="278"/>
      <c r="T83" s="278"/>
    </row>
    <row r="84" spans="1:20" hidden="1" outlineLevel="1" x14ac:dyDescent="0.25">
      <c r="A84" s="278"/>
      <c r="B84" s="279" t="str">
        <f t="shared" si="19"/>
        <v>2100600</v>
      </c>
      <c r="C84" s="278">
        <v>2100</v>
      </c>
      <c r="D84" s="278">
        <v>600</v>
      </c>
      <c r="E84" s="278"/>
      <c r="F84" s="278"/>
      <c r="G84" s="278" t="s">
        <v>5</v>
      </c>
      <c r="H84" s="300">
        <v>7.3809394515340765</v>
      </c>
      <c r="I84" s="280">
        <f t="shared" si="26"/>
        <v>543.68000000000006</v>
      </c>
      <c r="J84" s="281">
        <f t="shared" si="27"/>
        <v>617.78463209340225</v>
      </c>
      <c r="K84" s="282">
        <f>IF(Notes!$B$9="Domestic",I84, IF(Notes!$B$9="Commercial",J84))*$K$43</f>
        <v>617.78463209340225</v>
      </c>
      <c r="L84" s="283">
        <f>(SUM(O84:Q84)+(K84+SUM(M84:Q84))*(INDEX($U$43:$AB$43,MATCH(Notes!$C$16,$U$3:$AB$3,0))-100%))*$L$43</f>
        <v>1246.6091999999999</v>
      </c>
      <c r="M84" s="286"/>
      <c r="N84" s="286"/>
      <c r="O84" s="285">
        <v>1246.6091999999999</v>
      </c>
      <c r="P84" s="285"/>
      <c r="Q84" s="285"/>
      <c r="R84" s="278"/>
      <c r="S84" s="278"/>
      <c r="T84" s="278"/>
    </row>
    <row r="85" spans="1:20" hidden="1" outlineLevel="1" x14ac:dyDescent="0.25">
      <c r="A85" s="278"/>
      <c r="B85" s="279" t="str">
        <f t="shared" si="19"/>
        <v>2100900</v>
      </c>
      <c r="C85" s="278">
        <v>2100</v>
      </c>
      <c r="D85" s="278">
        <v>900</v>
      </c>
      <c r="E85" s="278"/>
      <c r="F85" s="278"/>
      <c r="G85" s="278" t="s">
        <v>5</v>
      </c>
      <c r="H85" s="300">
        <v>7.3809394515340765</v>
      </c>
      <c r="I85" s="280">
        <f t="shared" si="26"/>
        <v>543.68000000000006</v>
      </c>
      <c r="J85" s="281">
        <f t="shared" si="27"/>
        <v>617.78463209340225</v>
      </c>
      <c r="K85" s="282">
        <f>IF(Notes!$B$9="Domestic",I85, IF(Notes!$B$9="Commercial",J85))*$K$43</f>
        <v>617.78463209340225</v>
      </c>
      <c r="L85" s="283">
        <f>(SUM(O85:Q85)+(K85+SUM(M85:Q85))*(INDEX($U$43:$AB$43,MATCH(Notes!$C$16,$U$3:$AB$3,0))-100%))*$L$43</f>
        <v>1680.7578000000001</v>
      </c>
      <c r="M85" s="286"/>
      <c r="N85" s="286"/>
      <c r="O85" s="285">
        <v>1680.7578000000001</v>
      </c>
      <c r="P85" s="285"/>
      <c r="Q85" s="285"/>
      <c r="R85" s="278"/>
      <c r="S85" s="278"/>
      <c r="T85" s="278"/>
    </row>
    <row r="86" spans="1:20" hidden="1" outlineLevel="1" x14ac:dyDescent="0.25">
      <c r="A86" s="278"/>
      <c r="B86" s="279" t="str">
        <f t="shared" si="19"/>
        <v>21001200</v>
      </c>
      <c r="C86" s="278">
        <v>2100</v>
      </c>
      <c r="D86" s="278">
        <v>1200</v>
      </c>
      <c r="E86" s="278"/>
      <c r="F86" s="278"/>
      <c r="G86" s="278" t="s">
        <v>5</v>
      </c>
      <c r="H86" s="300">
        <v>8.356231333152321</v>
      </c>
      <c r="I86" s="280">
        <f t="shared" si="24"/>
        <v>615.52</v>
      </c>
      <c r="J86" s="281">
        <f t="shared" si="25"/>
        <v>699.41656258484932</v>
      </c>
      <c r="K86" s="282">
        <f>IF(Notes!$B$9="Domestic",I86, IF(Notes!$B$9="Commercial",J86))*$K$43</f>
        <v>699.41656258484932</v>
      </c>
      <c r="L86" s="283">
        <f>(SUM(O86:Q86)+(K86+SUM(M86:Q86))*(INDEX($U$43:$AB$43,MATCH(Notes!$C$16,$U$3:$AB$3,0))-100%))*$L$43</f>
        <v>1935.6504</v>
      </c>
      <c r="M86" s="286"/>
      <c r="N86" s="286"/>
      <c r="O86" s="285">
        <v>1935.6504</v>
      </c>
      <c r="P86" s="285"/>
      <c r="Q86" s="285"/>
      <c r="R86" s="278"/>
      <c r="S86" s="278"/>
      <c r="T86" s="278"/>
    </row>
    <row r="87" spans="1:20" hidden="1" outlineLevel="1" x14ac:dyDescent="0.25">
      <c r="A87" s="278"/>
      <c r="B87" s="279" t="str">
        <f t="shared" si="19"/>
        <v>21001500</v>
      </c>
      <c r="C87" s="278">
        <v>2100</v>
      </c>
      <c r="D87" s="278">
        <v>1500</v>
      </c>
      <c r="E87" s="278"/>
      <c r="F87" s="278"/>
      <c r="G87" s="278" t="s">
        <v>5</v>
      </c>
      <c r="H87" s="300">
        <v>9.3315232147705682</v>
      </c>
      <c r="I87" s="280">
        <f t="shared" si="24"/>
        <v>687.36</v>
      </c>
      <c r="J87" s="281">
        <f t="shared" si="25"/>
        <v>781.04849307629661</v>
      </c>
      <c r="K87" s="282">
        <f>IF(Notes!$B$9="Domestic",I87, IF(Notes!$B$9="Commercial",J87))*$K$43</f>
        <v>781.04849307629661</v>
      </c>
      <c r="L87" s="283">
        <f>(SUM(O87:Q87)+(K87+SUM(M87:Q87))*(INDEX($U$43:$AB$43,MATCH(Notes!$C$16,$U$3:$AB$3,0))-100%))*$L$43</f>
        <v>2949.114</v>
      </c>
      <c r="M87" s="286"/>
      <c r="N87" s="286"/>
      <c r="O87" s="285">
        <v>2949.114</v>
      </c>
      <c r="P87" s="285"/>
      <c r="Q87" s="285"/>
      <c r="R87" s="278"/>
      <c r="S87" s="278"/>
      <c r="T87" s="278"/>
    </row>
    <row r="88" spans="1:20" hidden="1" outlineLevel="1" x14ac:dyDescent="0.25">
      <c r="A88" s="278"/>
      <c r="B88" s="279" t="str">
        <f t="shared" si="19"/>
        <v>21001800</v>
      </c>
      <c r="C88" s="278">
        <v>2100</v>
      </c>
      <c r="D88" s="278">
        <v>1800</v>
      </c>
      <c r="E88" s="278"/>
      <c r="F88" s="278"/>
      <c r="G88" s="278" t="s">
        <v>5</v>
      </c>
      <c r="H88" s="300">
        <v>9.3315232147705682</v>
      </c>
      <c r="I88" s="280">
        <f t="shared" si="24"/>
        <v>687.36</v>
      </c>
      <c r="J88" s="281">
        <f t="shared" si="25"/>
        <v>781.04849307629661</v>
      </c>
      <c r="K88" s="282">
        <f>IF(Notes!$B$9="Domestic",I88, IF(Notes!$B$9="Commercial",J88))*$K$43</f>
        <v>781.04849307629661</v>
      </c>
      <c r="L88" s="283">
        <f>(SUM(O88:Q88)+(K88+SUM(M88:Q88))*(INDEX($U$43:$AB$43,MATCH(Notes!$C$16,$U$3:$AB$3,0))-100%))*$L$43</f>
        <v>3226.4466000000002</v>
      </c>
      <c r="M88" s="286"/>
      <c r="N88" s="286"/>
      <c r="O88" s="285">
        <v>3226.4466000000002</v>
      </c>
      <c r="P88" s="285"/>
      <c r="Q88" s="285"/>
      <c r="R88" s="278"/>
      <c r="S88" s="278"/>
      <c r="T88" s="278"/>
    </row>
    <row r="89" spans="1:20" hidden="1" outlineLevel="1" x14ac:dyDescent="0.25">
      <c r="A89" s="278"/>
      <c r="B89" s="279" t="str">
        <f t="shared" si="19"/>
        <v>21002100</v>
      </c>
      <c r="C89" s="278">
        <v>2100</v>
      </c>
      <c r="D89" s="278">
        <v>2100</v>
      </c>
      <c r="E89" s="278"/>
      <c r="F89" s="278"/>
      <c r="G89" s="278" t="s">
        <v>5</v>
      </c>
      <c r="H89" s="300">
        <v>10.306815096388815</v>
      </c>
      <c r="I89" s="280">
        <f t="shared" si="24"/>
        <v>759.20000000000016</v>
      </c>
      <c r="J89" s="281">
        <f t="shared" si="25"/>
        <v>862.6804235677439</v>
      </c>
      <c r="K89" s="282">
        <f>IF(Notes!$B$9="Domestic",I89, IF(Notes!$B$9="Commercial",J89))*$K$43</f>
        <v>862.6804235677439</v>
      </c>
      <c r="L89" s="283">
        <f>(SUM(O89:Q89)+(K89+SUM(M89:Q89))*(INDEX($U$43:$AB$43,MATCH(Notes!$C$16,$U$3:$AB$3,0))-100%))*$L$43</f>
        <v>3503.7791999999999</v>
      </c>
      <c r="M89" s="286"/>
      <c r="N89" s="286"/>
      <c r="O89" s="285">
        <v>3503.7791999999999</v>
      </c>
      <c r="P89" s="285"/>
      <c r="Q89" s="285"/>
      <c r="R89" s="278"/>
      <c r="S89" s="278"/>
      <c r="T89" s="278"/>
    </row>
    <row r="90" spans="1:20" hidden="1" outlineLevel="1" x14ac:dyDescent="0.25">
      <c r="A90" s="278"/>
      <c r="B90" s="279" t="str">
        <f t="shared" si="19"/>
        <v>21002400</v>
      </c>
      <c r="C90" s="278">
        <v>2100</v>
      </c>
      <c r="D90" s="278">
        <v>2400</v>
      </c>
      <c r="E90" s="278"/>
      <c r="F90" s="278"/>
      <c r="G90" s="278" t="s">
        <v>5</v>
      </c>
      <c r="H90" s="300">
        <v>10.306815096388815</v>
      </c>
      <c r="I90" s="280">
        <f t="shared" si="24"/>
        <v>759.20000000000016</v>
      </c>
      <c r="J90" s="281">
        <f t="shared" si="25"/>
        <v>862.6804235677439</v>
      </c>
      <c r="K90" s="282">
        <f>IF(Notes!$B$9="Domestic",I90, IF(Notes!$B$9="Commercial",J90))*$K$43</f>
        <v>862.6804235677439</v>
      </c>
      <c r="L90" s="283">
        <f>(SUM(O90:Q90)+(K90+SUM(M90:Q90))*(INDEX($U$43:$AB$43,MATCH(Notes!$C$16,$U$3:$AB$3,0))-100%))*$L$43</f>
        <v>4261.9547999999995</v>
      </c>
      <c r="M90" s="286"/>
      <c r="N90" s="286"/>
      <c r="O90" s="285">
        <v>4261.9547999999995</v>
      </c>
      <c r="P90" s="285"/>
      <c r="Q90" s="285"/>
      <c r="R90" s="278"/>
      <c r="S90" s="278"/>
      <c r="T90" s="278"/>
    </row>
    <row r="91" spans="1:20" hidden="1" outlineLevel="1" x14ac:dyDescent="0.25">
      <c r="A91" s="278"/>
      <c r="B91" s="279" t="str">
        <f t="shared" si="19"/>
        <v>21002700</v>
      </c>
      <c r="C91" s="278">
        <v>2100</v>
      </c>
      <c r="D91" s="278">
        <v>2700</v>
      </c>
      <c r="E91" s="278"/>
      <c r="F91" s="278"/>
      <c r="G91" s="278" t="s">
        <v>5</v>
      </c>
      <c r="H91" s="300">
        <v>11.282106978007059</v>
      </c>
      <c r="I91" s="280">
        <f t="shared" si="24"/>
        <v>831.04</v>
      </c>
      <c r="J91" s="281">
        <f t="shared" si="25"/>
        <v>944.31235405919085</v>
      </c>
      <c r="K91" s="282">
        <f>IF(Notes!$B$9="Domestic",I91, IF(Notes!$B$9="Commercial",J91))*$K$43</f>
        <v>944.31235405919085</v>
      </c>
      <c r="L91" s="283">
        <f>(SUM(O91:Q91)+(K91+SUM(M91:Q91))*(INDEX($U$43:$AB$43,MATCH(Notes!$C$16,$U$3:$AB$3,0))-100%))*$L$43</f>
        <v>4433.1594000000005</v>
      </c>
      <c r="M91" s="286"/>
      <c r="N91" s="286"/>
      <c r="O91" s="285">
        <v>4433.1594000000005</v>
      </c>
      <c r="P91" s="285"/>
      <c r="Q91" s="285"/>
      <c r="R91" s="278"/>
      <c r="S91" s="278"/>
      <c r="T91" s="278"/>
    </row>
    <row r="92" spans="1:20" hidden="1" outlineLevel="1" x14ac:dyDescent="0.25">
      <c r="A92" s="278"/>
      <c r="B92" s="279" t="str">
        <f t="shared" si="19"/>
        <v>2400600</v>
      </c>
      <c r="C92" s="278">
        <v>2400</v>
      </c>
      <c r="D92" s="278">
        <v>600</v>
      </c>
      <c r="E92" s="278"/>
      <c r="F92" s="278"/>
      <c r="G92" s="278" t="s">
        <v>5</v>
      </c>
      <c r="H92" s="300">
        <v>7.3809394515340765</v>
      </c>
      <c r="I92" s="280">
        <f t="shared" si="24"/>
        <v>543.68000000000006</v>
      </c>
      <c r="J92" s="281">
        <f t="shared" si="25"/>
        <v>617.78463209340225</v>
      </c>
      <c r="K92" s="282">
        <f>IF(Notes!$B$9="Domestic",I92, IF(Notes!$B$9="Commercial",J92))*$K$43</f>
        <v>617.78463209340225</v>
      </c>
      <c r="L92" s="283">
        <f>(SUM(O92:Q92)+(K92+SUM(M92:Q92))*(INDEX($U$43:$AB$43,MATCH(Notes!$C$16,$U$3:$AB$3,0))-100%))*$L$43</f>
        <v>1411.7758799999999</v>
      </c>
      <c r="M92" s="286"/>
      <c r="N92" s="286"/>
      <c r="O92" s="285">
        <v>1411.7758799999999</v>
      </c>
      <c r="P92" s="285"/>
      <c r="Q92" s="285"/>
      <c r="R92" s="278"/>
      <c r="S92" s="278"/>
      <c r="T92" s="278"/>
    </row>
    <row r="93" spans="1:20" hidden="1" outlineLevel="1" x14ac:dyDescent="0.25">
      <c r="A93" s="278"/>
      <c r="B93" s="279" t="str">
        <f t="shared" si="19"/>
        <v>2400900</v>
      </c>
      <c r="C93" s="278">
        <v>2400</v>
      </c>
      <c r="D93" s="278">
        <v>900</v>
      </c>
      <c r="E93" s="278"/>
      <c r="F93" s="278"/>
      <c r="G93" s="278" t="s">
        <v>5</v>
      </c>
      <c r="H93" s="300">
        <v>9.3315232147705682</v>
      </c>
      <c r="I93" s="280">
        <f t="shared" si="24"/>
        <v>687.36</v>
      </c>
      <c r="J93" s="281">
        <f t="shared" si="25"/>
        <v>781.04849307629661</v>
      </c>
      <c r="K93" s="282">
        <f>IF(Notes!$B$9="Domestic",I93, IF(Notes!$B$9="Commercial",J93))*$K$43</f>
        <v>781.04849307629661</v>
      </c>
      <c r="L93" s="283">
        <f>(SUM(O93:Q93)+(K93+SUM(M93:Q93))*(INDEX($U$43:$AB$43,MATCH(Notes!$C$16,$U$3:$AB$3,0))-100%))*$L$43</f>
        <v>1903.9175399999999</v>
      </c>
      <c r="M93" s="286"/>
      <c r="N93" s="286"/>
      <c r="O93" s="285">
        <v>1903.9175399999999</v>
      </c>
      <c r="P93" s="285"/>
      <c r="Q93" s="285"/>
      <c r="R93" s="278"/>
      <c r="S93" s="278"/>
      <c r="T93" s="278"/>
    </row>
    <row r="94" spans="1:20" hidden="1" outlineLevel="1" x14ac:dyDescent="0.25">
      <c r="A94" s="278"/>
      <c r="B94" s="279" t="str">
        <f t="shared" si="19"/>
        <v>24001200</v>
      </c>
      <c r="C94" s="278">
        <v>2400</v>
      </c>
      <c r="D94" s="278">
        <v>1200</v>
      </c>
      <c r="E94" s="278"/>
      <c r="F94" s="278"/>
      <c r="G94" s="278" t="s">
        <v>5</v>
      </c>
      <c r="H94" s="300">
        <v>9.3315232147705682</v>
      </c>
      <c r="I94" s="280">
        <f t="shared" si="24"/>
        <v>687.36</v>
      </c>
      <c r="J94" s="281">
        <f t="shared" si="25"/>
        <v>781.04849307629661</v>
      </c>
      <c r="K94" s="282">
        <f>IF(Notes!$B$9="Domestic",I94, IF(Notes!$B$9="Commercial",J94))*$K$43</f>
        <v>781.04849307629661</v>
      </c>
      <c r="L94" s="283">
        <f>(SUM(O94:Q94)+(K94+SUM(M94:Q94))*(INDEX($U$43:$AB$43,MATCH(Notes!$C$16,$U$3:$AB$3,0))-100%))*$L$43</f>
        <v>2193.4999199999997</v>
      </c>
      <c r="M94" s="286"/>
      <c r="N94" s="286"/>
      <c r="O94" s="285">
        <v>2193.4999199999997</v>
      </c>
      <c r="P94" s="285"/>
      <c r="Q94" s="285"/>
      <c r="R94" s="278"/>
      <c r="S94" s="278"/>
      <c r="T94" s="278"/>
    </row>
    <row r="95" spans="1:20" hidden="1" outlineLevel="1" x14ac:dyDescent="0.25">
      <c r="A95" s="278"/>
      <c r="B95" s="279" t="str">
        <f t="shared" si="19"/>
        <v>24001500</v>
      </c>
      <c r="C95" s="278">
        <v>2400</v>
      </c>
      <c r="D95" s="278">
        <v>1500</v>
      </c>
      <c r="E95" s="278"/>
      <c r="F95" s="278"/>
      <c r="G95" s="278" t="s">
        <v>5</v>
      </c>
      <c r="H95" s="300">
        <v>9.3315232147705682</v>
      </c>
      <c r="I95" s="280">
        <f t="shared" si="24"/>
        <v>687.36</v>
      </c>
      <c r="J95" s="281">
        <f t="shared" si="25"/>
        <v>781.04849307629661</v>
      </c>
      <c r="K95" s="282">
        <f>IF(Notes!$B$9="Domestic",I95, IF(Notes!$B$9="Commercial",J95))*$K$43</f>
        <v>781.04849307629661</v>
      </c>
      <c r="L95" s="283">
        <f>(SUM(O95:Q95)+(K95+SUM(M95:Q95))*(INDEX($U$43:$AB$43,MATCH(Notes!$C$16,$U$3:$AB$3,0))-100%))*$L$43</f>
        <v>3340.2675299999996</v>
      </c>
      <c r="M95" s="286"/>
      <c r="N95" s="286"/>
      <c r="O95" s="285">
        <v>3340.2675299999996</v>
      </c>
      <c r="P95" s="285"/>
      <c r="Q95" s="285"/>
      <c r="R95" s="278"/>
      <c r="S95" s="278"/>
      <c r="T95" s="278"/>
    </row>
    <row r="96" spans="1:20" hidden="1" outlineLevel="1" x14ac:dyDescent="0.25">
      <c r="A96" s="278"/>
      <c r="B96" s="279" t="str">
        <f t="shared" si="19"/>
        <v>24001800</v>
      </c>
      <c r="C96" s="278">
        <v>2400</v>
      </c>
      <c r="D96" s="278">
        <v>1800</v>
      </c>
      <c r="E96" s="278"/>
      <c r="F96" s="278"/>
      <c r="G96" s="278" t="s">
        <v>5</v>
      </c>
      <c r="H96" s="300">
        <v>10.306815096388815</v>
      </c>
      <c r="I96" s="280">
        <f t="shared" si="24"/>
        <v>759.20000000000016</v>
      </c>
      <c r="J96" s="281">
        <f t="shared" si="25"/>
        <v>862.6804235677439</v>
      </c>
      <c r="K96" s="282">
        <f>IF(Notes!$B$9="Domestic",I96, IF(Notes!$B$9="Commercial",J96))*$K$43</f>
        <v>862.6804235677439</v>
      </c>
      <c r="L96" s="283">
        <f>(SUM(O96:Q96)+(K96+SUM(M96:Q96))*(INDEX($U$43:$AB$43,MATCH(Notes!$C$16,$U$3:$AB$3,0))-100%))*$L$43</f>
        <v>3655.2071100000003</v>
      </c>
      <c r="M96" s="286"/>
      <c r="N96" s="286"/>
      <c r="O96" s="285">
        <v>3655.2071100000003</v>
      </c>
      <c r="P96" s="285"/>
      <c r="Q96" s="285"/>
      <c r="R96" s="278"/>
      <c r="S96" s="278"/>
      <c r="T96" s="278"/>
    </row>
    <row r="97" spans="1:28" hidden="1" outlineLevel="1" x14ac:dyDescent="0.25">
      <c r="A97" s="278"/>
      <c r="B97" s="279" t="str">
        <f t="shared" si="19"/>
        <v>24002100</v>
      </c>
      <c r="C97" s="278">
        <v>2400</v>
      </c>
      <c r="D97" s="278">
        <v>2100</v>
      </c>
      <c r="E97" s="278"/>
      <c r="F97" s="278"/>
      <c r="G97" s="278" t="s">
        <v>5</v>
      </c>
      <c r="H97" s="300">
        <v>10.306815096388815</v>
      </c>
      <c r="I97" s="280">
        <f t="shared" si="24"/>
        <v>759.20000000000016</v>
      </c>
      <c r="J97" s="281">
        <f t="shared" si="25"/>
        <v>862.6804235677439</v>
      </c>
      <c r="K97" s="282">
        <f>IF(Notes!$B$9="Domestic",I97, IF(Notes!$B$9="Commercial",J97))*$K$43</f>
        <v>862.6804235677439</v>
      </c>
      <c r="L97" s="283">
        <f>(SUM(O97:Q97)+(K97+SUM(M97:Q97))*(INDEX($U$43:$AB$43,MATCH(Notes!$C$16,$U$3:$AB$3,0))-100%))*$L$43</f>
        <v>3970.1466899999996</v>
      </c>
      <c r="M97" s="286"/>
      <c r="N97" s="286"/>
      <c r="O97" s="285">
        <v>3970.1466899999996</v>
      </c>
      <c r="P97" s="285"/>
      <c r="Q97" s="285"/>
      <c r="R97" s="278"/>
      <c r="S97" s="278"/>
      <c r="T97" s="278"/>
    </row>
    <row r="98" spans="1:28" hidden="1" outlineLevel="1" x14ac:dyDescent="0.25">
      <c r="A98" s="278"/>
      <c r="B98" s="279" t="str">
        <f t="shared" si="19"/>
        <v>24002400</v>
      </c>
      <c r="C98" s="278">
        <v>2400</v>
      </c>
      <c r="D98" s="278">
        <v>2400</v>
      </c>
      <c r="E98" s="278"/>
      <c r="F98" s="278"/>
      <c r="G98" s="278" t="s">
        <v>5</v>
      </c>
      <c r="H98" s="300">
        <v>11.282106978007059</v>
      </c>
      <c r="I98" s="280">
        <f t="shared" si="24"/>
        <v>831.04</v>
      </c>
      <c r="J98" s="281">
        <f t="shared" si="25"/>
        <v>944.31235405919085</v>
      </c>
      <c r="K98" s="282">
        <f>IF(Notes!$B$9="Domestic",I98, IF(Notes!$B$9="Commercial",J98))*$K$43</f>
        <v>944.31235405919085</v>
      </c>
      <c r="L98" s="283">
        <f>(SUM(O98:Q98)+(K98+SUM(M98:Q98))*(INDEX($U$43:$AB$43,MATCH(Notes!$C$16,$U$3:$AB$3,0))-100%))*$L$43</f>
        <v>4828.4388599999993</v>
      </c>
      <c r="M98" s="286"/>
      <c r="N98" s="286"/>
      <c r="O98" s="285">
        <v>4828.4388599999993</v>
      </c>
      <c r="P98" s="285"/>
      <c r="Q98" s="285"/>
      <c r="R98" s="278"/>
      <c r="S98" s="278"/>
      <c r="T98" s="278"/>
    </row>
    <row r="99" spans="1:28" hidden="1" outlineLevel="1" x14ac:dyDescent="0.25">
      <c r="A99" s="278"/>
      <c r="B99" s="279" t="str">
        <f t="shared" si="19"/>
        <v>24002700</v>
      </c>
      <c r="C99" s="278">
        <v>2400</v>
      </c>
      <c r="D99" s="278">
        <v>2700</v>
      </c>
      <c r="E99" s="278"/>
      <c r="F99" s="278"/>
      <c r="G99" s="278" t="s">
        <v>5</v>
      </c>
      <c r="H99" s="300">
        <v>11.282106978007059</v>
      </c>
      <c r="I99" s="280">
        <f t="shared" si="24"/>
        <v>831.04</v>
      </c>
      <c r="J99" s="281">
        <f t="shared" si="25"/>
        <v>944.31235405919085</v>
      </c>
      <c r="K99" s="282">
        <f>IF(Notes!$B$9="Domestic",I99, IF(Notes!$B$9="Commercial",J99))*$K$43</f>
        <v>944.31235405919085</v>
      </c>
      <c r="L99" s="283">
        <f>(SUM(O99:Q99)+(K99+SUM(M99:Q99))*(INDEX($U$43:$AB$43,MATCH(Notes!$C$16,$U$3:$AB$3,0))-100%))*$L$43</f>
        <v>5023.4537999999993</v>
      </c>
      <c r="M99" s="286"/>
      <c r="N99" s="286"/>
      <c r="O99" s="285">
        <v>5023.4537999999993</v>
      </c>
      <c r="P99" s="285"/>
      <c r="Q99" s="285"/>
      <c r="R99" s="278"/>
      <c r="S99" s="278"/>
      <c r="T99" s="278"/>
    </row>
    <row r="100" spans="1:28" hidden="1" outlineLevel="1" x14ac:dyDescent="0.25">
      <c r="A100" s="278"/>
      <c r="B100" s="279" t="str">
        <f t="shared" si="19"/>
        <v>2700600</v>
      </c>
      <c r="C100" s="278">
        <v>2700</v>
      </c>
      <c r="D100" s="278">
        <v>600</v>
      </c>
      <c r="E100" s="278"/>
      <c r="F100" s="278"/>
      <c r="G100" s="278" t="s">
        <v>5</v>
      </c>
      <c r="H100" s="300">
        <v>9.3315232147705682</v>
      </c>
      <c r="I100" s="280">
        <f t="shared" si="22"/>
        <v>687.36</v>
      </c>
      <c r="J100" s="281">
        <f t="shared" si="23"/>
        <v>781.04849307629661</v>
      </c>
      <c r="K100" s="282">
        <f>IF(Notes!$B$9="Domestic",I100, IF(Notes!$B$9="Commercial",J100))*$K$43</f>
        <v>781.04849307629661</v>
      </c>
      <c r="L100" s="283">
        <f>(SUM(O100:Q100)+(K100+SUM(M100:Q100))*(INDEX($U$43:$AB$43,MATCH(Notes!$C$16,$U$3:$AB$3,0))-100%))*$L$43</f>
        <v>1593.9256403999998</v>
      </c>
      <c r="M100" s="286"/>
      <c r="N100" s="286"/>
      <c r="O100" s="285">
        <v>1593.9256403999998</v>
      </c>
      <c r="P100" s="285"/>
      <c r="Q100" s="285"/>
      <c r="R100" s="278"/>
      <c r="S100" s="278"/>
      <c r="T100" s="278"/>
    </row>
    <row r="101" spans="1:28" hidden="1" outlineLevel="1" x14ac:dyDescent="0.25">
      <c r="A101" s="278"/>
      <c r="B101" s="279" t="str">
        <f t="shared" si="19"/>
        <v>2700900</v>
      </c>
      <c r="C101" s="278">
        <v>2700</v>
      </c>
      <c r="D101" s="278">
        <v>900</v>
      </c>
      <c r="E101" s="278"/>
      <c r="F101" s="278"/>
      <c r="G101" s="278" t="s">
        <v>5</v>
      </c>
      <c r="H101" s="300">
        <v>9.3315232147705682</v>
      </c>
      <c r="I101" s="280">
        <f t="shared" si="22"/>
        <v>687.36</v>
      </c>
      <c r="J101" s="281">
        <f t="shared" si="23"/>
        <v>781.04849307629661</v>
      </c>
      <c r="K101" s="282">
        <f>IF(Notes!$B$9="Domestic",I101, IF(Notes!$B$9="Commercial",J101))*$K$43</f>
        <v>781.04849307629661</v>
      </c>
      <c r="L101" s="283">
        <f>(SUM(O101:Q101)+(K101+SUM(M101:Q101))*(INDEX($U$43:$AB$43,MATCH(Notes!$C$16,$U$3:$AB$3,0))-100%))*$L$43</f>
        <v>2149.3551641999998</v>
      </c>
      <c r="M101" s="286"/>
      <c r="N101" s="286"/>
      <c r="O101" s="285">
        <v>2149.3551641999998</v>
      </c>
      <c r="P101" s="285"/>
      <c r="Q101" s="285"/>
      <c r="R101" s="278"/>
      <c r="S101" s="278"/>
      <c r="T101" s="278"/>
    </row>
    <row r="102" spans="1:28" hidden="1" outlineLevel="1" x14ac:dyDescent="0.25">
      <c r="A102" s="278"/>
      <c r="B102" s="279" t="str">
        <f t="shared" si="19"/>
        <v>27001200</v>
      </c>
      <c r="C102" s="278">
        <v>2700</v>
      </c>
      <c r="D102" s="278">
        <v>1200</v>
      </c>
      <c r="E102" s="278"/>
      <c r="F102" s="278"/>
      <c r="G102" s="278" t="s">
        <v>5</v>
      </c>
      <c r="H102" s="300">
        <v>9.3315232147705682</v>
      </c>
      <c r="I102" s="280">
        <f t="shared" si="22"/>
        <v>687.36</v>
      </c>
      <c r="J102" s="281">
        <f t="shared" si="23"/>
        <v>781.04849307629661</v>
      </c>
      <c r="K102" s="282">
        <f>IF(Notes!$B$9="Domestic",I102, IF(Notes!$B$9="Commercial",J102))*$K$43</f>
        <v>781.04849307629661</v>
      </c>
      <c r="L102" s="283">
        <f>(SUM(O102:Q102)+(K102+SUM(M102:Q102))*(INDEX($U$43:$AB$43,MATCH(Notes!$C$16,$U$3:$AB$3,0))-100%))*$L$43</f>
        <v>2475.8927015999998</v>
      </c>
      <c r="M102" s="286"/>
      <c r="N102" s="286"/>
      <c r="O102" s="285">
        <v>2475.8927015999998</v>
      </c>
      <c r="P102" s="285"/>
      <c r="Q102" s="285"/>
      <c r="R102" s="278"/>
      <c r="S102" s="278"/>
      <c r="T102" s="278"/>
    </row>
    <row r="103" spans="1:28" hidden="1" outlineLevel="1" x14ac:dyDescent="0.25">
      <c r="A103" s="278"/>
      <c r="B103" s="279" t="str">
        <f t="shared" si="19"/>
        <v>27001500</v>
      </c>
      <c r="C103" s="278">
        <v>2700</v>
      </c>
      <c r="D103" s="278">
        <v>1500</v>
      </c>
      <c r="E103" s="278"/>
      <c r="F103" s="278"/>
      <c r="G103" s="278" t="s">
        <v>5</v>
      </c>
      <c r="H103" s="300">
        <v>10.306815096388815</v>
      </c>
      <c r="I103" s="280">
        <f t="shared" si="22"/>
        <v>759.20000000000016</v>
      </c>
      <c r="J103" s="281">
        <f t="shared" si="23"/>
        <v>862.6804235677439</v>
      </c>
      <c r="K103" s="282">
        <f>IF(Notes!$B$9="Domestic",I103, IF(Notes!$B$9="Commercial",J103))*$K$43</f>
        <v>862.6804235677439</v>
      </c>
      <c r="L103" s="283">
        <f>(SUM(O103:Q103)+(K103+SUM(M103:Q103))*(INDEX($U$43:$AB$43,MATCH(Notes!$C$16,$U$3:$AB$3,0))-100%))*$L$43</f>
        <v>3771.0495488999995</v>
      </c>
      <c r="M103" s="286"/>
      <c r="N103" s="286"/>
      <c r="O103" s="285">
        <v>3771.0495488999995</v>
      </c>
      <c r="P103" s="285"/>
      <c r="Q103" s="285"/>
      <c r="R103" s="278"/>
      <c r="S103" s="278"/>
      <c r="T103" s="278"/>
    </row>
    <row r="104" spans="1:28" hidden="1" outlineLevel="1" x14ac:dyDescent="0.25">
      <c r="A104" s="278"/>
      <c r="B104" s="279" t="str">
        <f t="shared" si="19"/>
        <v>27001800</v>
      </c>
      <c r="C104" s="278">
        <v>2700</v>
      </c>
      <c r="D104" s="278">
        <v>1800</v>
      </c>
      <c r="E104" s="278"/>
      <c r="F104" s="278"/>
      <c r="G104" s="278" t="s">
        <v>5</v>
      </c>
      <c r="H104" s="300">
        <v>10.306815096388815</v>
      </c>
      <c r="I104" s="280">
        <f t="shared" si="22"/>
        <v>759.20000000000016</v>
      </c>
      <c r="J104" s="281">
        <f t="shared" si="23"/>
        <v>862.6804235677439</v>
      </c>
      <c r="K104" s="282">
        <f>IF(Notes!$B$9="Domestic",I104, IF(Notes!$B$9="Commercial",J104))*$K$43</f>
        <v>862.6804235677439</v>
      </c>
      <c r="L104" s="283">
        <f>(SUM(O104:Q104)+(K104+SUM(M104:Q104))*(INDEX($U$43:$AB$43,MATCH(Notes!$C$16,$U$3:$AB$3,0))-100%))*$L$43</f>
        <v>4126.2407223</v>
      </c>
      <c r="M104" s="286"/>
      <c r="N104" s="286"/>
      <c r="O104" s="285">
        <v>4126.2407223</v>
      </c>
      <c r="P104" s="285"/>
      <c r="Q104" s="285"/>
      <c r="R104" s="278"/>
      <c r="S104" s="278"/>
      <c r="T104" s="278"/>
    </row>
    <row r="105" spans="1:28" hidden="1" outlineLevel="1" x14ac:dyDescent="0.25">
      <c r="A105" s="278"/>
      <c r="B105" s="279" t="str">
        <f t="shared" si="19"/>
        <v>27002100</v>
      </c>
      <c r="C105" s="278">
        <v>2700</v>
      </c>
      <c r="D105" s="278">
        <v>2100</v>
      </c>
      <c r="E105" s="278"/>
      <c r="F105" s="278"/>
      <c r="G105" s="278" t="s">
        <v>5</v>
      </c>
      <c r="H105" s="300">
        <v>11.282106978007059</v>
      </c>
      <c r="I105" s="280">
        <f t="shared" si="22"/>
        <v>831.04</v>
      </c>
      <c r="J105" s="281">
        <f t="shared" si="23"/>
        <v>944.31235405919085</v>
      </c>
      <c r="K105" s="282">
        <f>IF(Notes!$B$9="Domestic",I105, IF(Notes!$B$9="Commercial",J105))*$K$43</f>
        <v>944.31235405919085</v>
      </c>
      <c r="L105" s="283">
        <f>(SUM(O105:Q105)+(K105+SUM(M105:Q105))*(INDEX($U$43:$AB$43,MATCH(Notes!$C$16,$U$3:$AB$3,0))-100%))*$L$43</f>
        <v>4481.4318956999996</v>
      </c>
      <c r="M105" s="286"/>
      <c r="N105" s="286"/>
      <c r="O105" s="285">
        <v>4481.4318956999996</v>
      </c>
      <c r="P105" s="285"/>
      <c r="Q105" s="285"/>
      <c r="R105" s="278"/>
      <c r="S105" s="278"/>
      <c r="T105" s="278"/>
    </row>
    <row r="106" spans="1:28" hidden="1" outlineLevel="1" x14ac:dyDescent="0.25">
      <c r="A106" s="278"/>
      <c r="B106" s="279" t="str">
        <f t="shared" si="19"/>
        <v>27002400</v>
      </c>
      <c r="C106" s="278">
        <v>2700</v>
      </c>
      <c r="D106" s="278">
        <v>2400</v>
      </c>
      <c r="E106" s="278"/>
      <c r="F106" s="278"/>
      <c r="G106" s="278" t="s">
        <v>5</v>
      </c>
      <c r="H106" s="300">
        <v>11.282106978007059</v>
      </c>
      <c r="I106" s="280">
        <f t="shared" si="22"/>
        <v>831.04</v>
      </c>
      <c r="J106" s="281">
        <f t="shared" si="23"/>
        <v>944.31235405919085</v>
      </c>
      <c r="K106" s="282">
        <f>IF(Notes!$B$9="Domestic",I106, IF(Notes!$B$9="Commercial",J106))*$K$43</f>
        <v>944.31235405919085</v>
      </c>
      <c r="L106" s="283">
        <f>(SUM(O106:Q106)+(K106+SUM(M106:Q106))*(INDEX($U$43:$AB$43,MATCH(Notes!$C$16,$U$3:$AB$3,0))-100%))*$L$43</f>
        <v>5450.6114957999998</v>
      </c>
      <c r="M106" s="286"/>
      <c r="N106" s="286"/>
      <c r="O106" s="285">
        <v>5450.6114957999998</v>
      </c>
      <c r="P106" s="285"/>
      <c r="Q106" s="285"/>
      <c r="R106" s="278"/>
      <c r="S106" s="278"/>
      <c r="T106" s="278"/>
    </row>
    <row r="107" spans="1:28" hidden="1" outlineLevel="1" x14ac:dyDescent="0.25">
      <c r="A107" s="278"/>
      <c r="B107" s="279" t="str">
        <f t="shared" si="19"/>
        <v>27002700</v>
      </c>
      <c r="C107" s="278">
        <v>2700</v>
      </c>
      <c r="D107" s="278">
        <v>2700</v>
      </c>
      <c r="E107" s="278"/>
      <c r="F107" s="278"/>
      <c r="G107" s="278" t="s">
        <v>5</v>
      </c>
      <c r="H107" s="300">
        <v>11.282106978007059</v>
      </c>
      <c r="I107" s="280">
        <f t="shared" si="22"/>
        <v>831.04</v>
      </c>
      <c r="J107" s="281">
        <f t="shared" si="23"/>
        <v>944.31235405919085</v>
      </c>
      <c r="K107" s="282">
        <f>IF(Notes!$B$9="Domestic",I107, IF(Notes!$B$9="Commercial",J107))*$K$43</f>
        <v>944.31235405919085</v>
      </c>
      <c r="L107" s="283">
        <f>(SUM(O107:Q107)+(K107+SUM(M107:Q107))*(INDEX($U$43:$AB$43,MATCH(Notes!$C$16,$U$3:$AB$3,0))-100%))*$L$43</f>
        <v>5670.2878259999998</v>
      </c>
      <c r="M107" s="286"/>
      <c r="N107" s="286"/>
      <c r="O107" s="285">
        <v>5670.2878259999998</v>
      </c>
      <c r="P107" s="285"/>
      <c r="Q107" s="285"/>
      <c r="R107" s="278"/>
      <c r="S107" s="278"/>
      <c r="T107" s="278"/>
    </row>
    <row r="108" spans="1:28" ht="21" hidden="1" outlineLevel="1" x14ac:dyDescent="0.25">
      <c r="A108" s="299"/>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row>
    <row r="109" spans="1:28" ht="15.75" hidden="1" outlineLevel="1" x14ac:dyDescent="0.25">
      <c r="A109" s="291"/>
      <c r="B109" s="291"/>
      <c r="C109" s="291"/>
      <c r="D109" s="291"/>
      <c r="E109" s="291"/>
      <c r="F109" s="291"/>
      <c r="G109" s="291"/>
      <c r="H109" s="291"/>
      <c r="I109" s="291"/>
      <c r="J109" s="291"/>
      <c r="K109" s="291">
        <f>K$2</f>
        <v>1</v>
      </c>
      <c r="L109" s="291">
        <f t="shared" ref="L109" si="28">L$2</f>
        <v>1</v>
      </c>
      <c r="M109" s="291"/>
      <c r="N109" s="291"/>
      <c r="O109" s="303"/>
      <c r="P109" s="303"/>
      <c r="Q109" s="303"/>
      <c r="R109" s="291"/>
      <c r="S109" s="291"/>
      <c r="T109" s="291"/>
      <c r="U109" s="291">
        <f>U$2</f>
        <v>0.96685082872928185</v>
      </c>
      <c r="V109" s="291">
        <f>V$2</f>
        <v>1</v>
      </c>
      <c r="W109" s="291">
        <f t="shared" ref="W109:AB109" si="29">W$2</f>
        <v>1.0423572744014733</v>
      </c>
      <c r="X109" s="291">
        <f t="shared" si="29"/>
        <v>0.97605893186003689</v>
      </c>
      <c r="Y109" s="291">
        <f t="shared" si="29"/>
        <v>1.149171270718232</v>
      </c>
      <c r="Z109" s="291">
        <f t="shared" si="29"/>
        <v>0.9576427255985267</v>
      </c>
      <c r="AA109" s="291">
        <f t="shared" si="29"/>
        <v>0.9576427255985267</v>
      </c>
      <c r="AB109" s="291">
        <f t="shared" si="29"/>
        <v>0.99263351749539597</v>
      </c>
    </row>
    <row r="110" spans="1:28" hidden="1" outlineLevel="1" x14ac:dyDescent="0.25">
      <c r="A110" s="278"/>
      <c r="B110" s="279" t="str">
        <f t="shared" ref="B110:B119" si="30">C110&amp;D110&amp;E110&amp;F110</f>
        <v/>
      </c>
      <c r="C110" s="278"/>
      <c r="D110" s="278"/>
      <c r="E110" s="278"/>
      <c r="F110" s="278"/>
      <c r="G110" s="278"/>
      <c r="H110" s="290"/>
      <c r="I110" s="280">
        <f>$I$2*H110</f>
        <v>0</v>
      </c>
      <c r="J110" s="281">
        <f>$J$2*H110</f>
        <v>0</v>
      </c>
      <c r="K110" s="282">
        <f>IF(Notes!$B$9="Domestic",I110, IF(Notes!$B$9="Commercial",J110))*$K$109</f>
        <v>0</v>
      </c>
      <c r="L110" s="283">
        <f>(SUM(O110:Q110)+(K110+SUM(M110:Q110))*(INDEX($U$109:$AB$109,MATCH(Notes!$C$16,$U$3:$AB$3,0))-100%))*$L$109</f>
        <v>0</v>
      </c>
      <c r="M110" s="286"/>
      <c r="N110" s="286"/>
      <c r="O110" s="285"/>
      <c r="P110" s="285"/>
      <c r="Q110" s="285"/>
      <c r="R110" s="278"/>
      <c r="S110" s="278"/>
      <c r="T110" s="278"/>
    </row>
    <row r="111" spans="1:28" hidden="1" outlineLevel="1" x14ac:dyDescent="0.25">
      <c r="A111" s="278"/>
      <c r="B111" s="279" t="str">
        <f t="shared" si="30"/>
        <v/>
      </c>
      <c r="C111" s="278"/>
      <c r="D111" s="278"/>
      <c r="E111" s="278"/>
      <c r="F111" s="278"/>
      <c r="G111" s="278"/>
      <c r="H111" s="290"/>
      <c r="I111" s="280">
        <f t="shared" ref="I111:I119" si="31">$I$2*H111</f>
        <v>0</v>
      </c>
      <c r="J111" s="281">
        <f t="shared" ref="J111:J119" si="32">$J$2*H111</f>
        <v>0</v>
      </c>
      <c r="K111" s="282">
        <f>IF(Notes!$B$9="Domestic",I111, IF(Notes!$B$9="Commercial",J111))*$K$109</f>
        <v>0</v>
      </c>
      <c r="L111" s="283">
        <f>(SUM(O111:Q111)+(K111+SUM(M111:Q111))*(INDEX($U$109:$AB$109,MATCH(Notes!$C$16,$U$3:$AB$3,0))-100%))*$L$109</f>
        <v>0</v>
      </c>
      <c r="M111" s="286"/>
      <c r="N111" s="286"/>
      <c r="O111" s="285"/>
      <c r="P111" s="285"/>
      <c r="Q111" s="285"/>
      <c r="R111" s="278"/>
      <c r="S111" s="278"/>
      <c r="T111" s="278"/>
    </row>
    <row r="112" spans="1:28" hidden="1" outlineLevel="1" x14ac:dyDescent="0.25">
      <c r="A112" s="278"/>
      <c r="B112" s="279" t="str">
        <f t="shared" si="30"/>
        <v/>
      </c>
      <c r="C112" s="278"/>
      <c r="D112" s="278"/>
      <c r="E112" s="278"/>
      <c r="F112" s="278"/>
      <c r="G112" s="278"/>
      <c r="H112" s="290"/>
      <c r="I112" s="280">
        <f t="shared" si="31"/>
        <v>0</v>
      </c>
      <c r="J112" s="281">
        <f t="shared" si="32"/>
        <v>0</v>
      </c>
      <c r="K112" s="282">
        <f>IF(Notes!$B$9="Domestic",I112, IF(Notes!$B$9="Commercial",J112))*$K$109</f>
        <v>0</v>
      </c>
      <c r="L112" s="283">
        <f>(SUM(O112:Q112)+(K112+SUM(M112:Q112))*(INDEX($U$109:$AB$109,MATCH(Notes!$C$16,$U$3:$AB$3,0))-100%))*$L$109</f>
        <v>0</v>
      </c>
      <c r="M112" s="286"/>
      <c r="N112" s="286"/>
      <c r="O112" s="285"/>
      <c r="P112" s="285"/>
      <c r="Q112" s="285"/>
      <c r="R112" s="278"/>
      <c r="S112" s="278"/>
      <c r="T112" s="278"/>
    </row>
    <row r="113" spans="1:28" hidden="1" outlineLevel="1" x14ac:dyDescent="0.25">
      <c r="A113" s="278"/>
      <c r="B113" s="279" t="str">
        <f t="shared" si="30"/>
        <v/>
      </c>
      <c r="C113" s="278"/>
      <c r="D113" s="278"/>
      <c r="E113" s="278"/>
      <c r="F113" s="278"/>
      <c r="G113" s="278"/>
      <c r="H113" s="290"/>
      <c r="I113" s="280">
        <f t="shared" si="31"/>
        <v>0</v>
      </c>
      <c r="J113" s="281">
        <f t="shared" si="32"/>
        <v>0</v>
      </c>
      <c r="K113" s="282">
        <f>IF(Notes!$B$9="Domestic",I113, IF(Notes!$B$9="Commercial",J113))*$K$109</f>
        <v>0</v>
      </c>
      <c r="L113" s="283">
        <f>(SUM(O113:Q113)+(K113+SUM(M113:Q113))*(INDEX($U$109:$AB$109,MATCH(Notes!$C$16,$U$3:$AB$3,0))-100%))*$L$109</f>
        <v>0</v>
      </c>
      <c r="M113" s="286"/>
      <c r="N113" s="286"/>
      <c r="O113" s="285"/>
      <c r="P113" s="285"/>
      <c r="Q113" s="285"/>
      <c r="R113" s="278"/>
      <c r="S113" s="278"/>
      <c r="T113" s="278"/>
    </row>
    <row r="114" spans="1:28" hidden="1" outlineLevel="1" x14ac:dyDescent="0.25">
      <c r="A114" s="278"/>
      <c r="B114" s="279" t="str">
        <f t="shared" si="30"/>
        <v/>
      </c>
      <c r="C114" s="278"/>
      <c r="D114" s="278"/>
      <c r="E114" s="278"/>
      <c r="F114" s="278"/>
      <c r="G114" s="278"/>
      <c r="H114" s="290"/>
      <c r="I114" s="280">
        <f>$I$2*H114</f>
        <v>0</v>
      </c>
      <c r="J114" s="281">
        <f t="shared" si="32"/>
        <v>0</v>
      </c>
      <c r="K114" s="282">
        <f>IF(Notes!$B$9="Domestic",I114, IF(Notes!$B$9="Commercial",J114))*$K$109</f>
        <v>0</v>
      </c>
      <c r="L114" s="283">
        <f>(SUM(O114:Q114)+(K114+SUM(M114:Q114))*(INDEX($U$109:$AB$109,MATCH(Notes!$C$16,$U$3:$AB$3,0))-100%))*$L$109</f>
        <v>0</v>
      </c>
      <c r="M114" s="286"/>
      <c r="N114" s="286"/>
      <c r="O114" s="285"/>
      <c r="P114" s="285"/>
      <c r="Q114" s="285"/>
      <c r="R114" s="278"/>
      <c r="S114" s="278"/>
      <c r="T114" s="278"/>
    </row>
    <row r="115" spans="1:28" hidden="1" outlineLevel="1" x14ac:dyDescent="0.25">
      <c r="A115" s="278"/>
      <c r="B115" s="279" t="str">
        <f t="shared" si="30"/>
        <v/>
      </c>
      <c r="C115" s="278"/>
      <c r="D115" s="278"/>
      <c r="E115" s="278"/>
      <c r="F115" s="278"/>
      <c r="G115" s="278"/>
      <c r="H115" s="290"/>
      <c r="I115" s="280">
        <f t="shared" si="31"/>
        <v>0</v>
      </c>
      <c r="J115" s="281">
        <f t="shared" si="32"/>
        <v>0</v>
      </c>
      <c r="K115" s="282">
        <f>IF(Notes!$B$9="Domestic",I115, IF(Notes!$B$9="Commercial",J115))*$K$109</f>
        <v>0</v>
      </c>
      <c r="L115" s="283">
        <f>(SUM(O115:Q115)+(K115+SUM(M115:Q115))*(INDEX($U$109:$AB$109,MATCH(Notes!$C$16,$U$3:$AB$3,0))-100%))*$L$109</f>
        <v>0</v>
      </c>
      <c r="M115" s="286"/>
      <c r="N115" s="286"/>
      <c r="O115" s="285"/>
      <c r="P115" s="285"/>
      <c r="Q115" s="285"/>
      <c r="R115" s="278"/>
      <c r="S115" s="278"/>
      <c r="T115" s="278"/>
    </row>
    <row r="116" spans="1:28" hidden="1" outlineLevel="1" x14ac:dyDescent="0.25">
      <c r="A116" s="278"/>
      <c r="B116" s="279" t="str">
        <f t="shared" si="30"/>
        <v/>
      </c>
      <c r="C116" s="278"/>
      <c r="D116" s="278"/>
      <c r="E116" s="278"/>
      <c r="F116" s="278"/>
      <c r="G116" s="278"/>
      <c r="H116" s="290"/>
      <c r="I116" s="280">
        <f t="shared" si="31"/>
        <v>0</v>
      </c>
      <c r="J116" s="281">
        <f t="shared" si="32"/>
        <v>0</v>
      </c>
      <c r="K116" s="282">
        <f>IF(Notes!$B$9="Domestic",I116, IF(Notes!$B$9="Commercial",J116))*$K$109</f>
        <v>0</v>
      </c>
      <c r="L116" s="283">
        <f>(SUM(O116:Q116)+(K116+SUM(M116:Q116))*(INDEX($U$109:$AB$109,MATCH(Notes!$C$16,$U$3:$AB$3,0))-100%))*$L$109</f>
        <v>0</v>
      </c>
      <c r="M116" s="286"/>
      <c r="N116" s="286"/>
      <c r="O116" s="285"/>
      <c r="P116" s="285"/>
      <c r="Q116" s="285"/>
      <c r="R116" s="278"/>
      <c r="S116" s="278"/>
      <c r="T116" s="278"/>
    </row>
    <row r="117" spans="1:28" hidden="1" outlineLevel="1" x14ac:dyDescent="0.25">
      <c r="A117" s="278"/>
      <c r="B117" s="279" t="str">
        <f t="shared" si="30"/>
        <v/>
      </c>
      <c r="C117" s="278"/>
      <c r="D117" s="278"/>
      <c r="E117" s="278"/>
      <c r="F117" s="278"/>
      <c r="G117" s="278"/>
      <c r="H117" s="290"/>
      <c r="I117" s="280">
        <f t="shared" si="31"/>
        <v>0</v>
      </c>
      <c r="J117" s="281">
        <f t="shared" si="32"/>
        <v>0</v>
      </c>
      <c r="K117" s="282">
        <f>IF(Notes!$B$9="Domestic",I117, IF(Notes!$B$9="Commercial",J117))*$K$109</f>
        <v>0</v>
      </c>
      <c r="L117" s="283">
        <f>(SUM(O117:Q117)+(K117+SUM(M117:Q117))*(INDEX($U$109:$AB$109,MATCH(Notes!$C$16,$U$3:$AB$3,0))-100%))*$L$109</f>
        <v>0</v>
      </c>
      <c r="M117" s="286"/>
      <c r="N117" s="286"/>
      <c r="O117" s="285"/>
      <c r="P117" s="285"/>
      <c r="Q117" s="285"/>
      <c r="R117" s="278"/>
      <c r="S117" s="278"/>
      <c r="T117" s="278"/>
    </row>
    <row r="118" spans="1:28" hidden="1" outlineLevel="1" x14ac:dyDescent="0.25">
      <c r="A118" s="278"/>
      <c r="B118" s="279" t="str">
        <f t="shared" si="30"/>
        <v/>
      </c>
      <c r="C118" s="278"/>
      <c r="D118" s="278"/>
      <c r="E118" s="278"/>
      <c r="F118" s="278"/>
      <c r="G118" s="278"/>
      <c r="H118" s="290"/>
      <c r="I118" s="280">
        <f t="shared" si="31"/>
        <v>0</v>
      </c>
      <c r="J118" s="281">
        <f t="shared" si="32"/>
        <v>0</v>
      </c>
      <c r="K118" s="282">
        <f>IF(Notes!$B$9="Domestic",I118, IF(Notes!$B$9="Commercial",J118))*$K$109</f>
        <v>0</v>
      </c>
      <c r="L118" s="283">
        <f>(SUM(O118:Q118)+(K118+SUM(M118:Q118))*(INDEX($U$109:$AB$109,MATCH(Notes!$C$16,$U$3:$AB$3,0))-100%))*$L$109</f>
        <v>0</v>
      </c>
      <c r="M118" s="286"/>
      <c r="N118" s="286"/>
      <c r="O118" s="285"/>
      <c r="P118" s="285"/>
      <c r="Q118" s="285"/>
      <c r="R118" s="278"/>
      <c r="S118" s="278"/>
      <c r="T118" s="278"/>
    </row>
    <row r="119" spans="1:28" hidden="1" outlineLevel="1" x14ac:dyDescent="0.25">
      <c r="A119" s="278"/>
      <c r="B119" s="279" t="str">
        <f t="shared" si="30"/>
        <v/>
      </c>
      <c r="C119" s="278"/>
      <c r="D119" s="278"/>
      <c r="E119" s="278"/>
      <c r="F119" s="278"/>
      <c r="G119" s="278"/>
      <c r="H119" s="290"/>
      <c r="I119" s="280">
        <f t="shared" si="31"/>
        <v>0</v>
      </c>
      <c r="J119" s="281">
        <f t="shared" si="32"/>
        <v>0</v>
      </c>
      <c r="K119" s="282">
        <f>IF(Notes!$B$9="Domestic",I119, IF(Notes!$B$9="Commercial",J119))*$K$109</f>
        <v>0</v>
      </c>
      <c r="L119" s="283">
        <f>(SUM(O119:Q119)+(K119+SUM(M119:Q119))*(INDEX($U$109:$AB$109,MATCH(Notes!$C$16,$U$3:$AB$3,0))-100%))*$L$109</f>
        <v>0</v>
      </c>
      <c r="M119" s="286"/>
      <c r="N119" s="286"/>
      <c r="O119" s="285"/>
      <c r="P119" s="285"/>
      <c r="Q119" s="285"/>
      <c r="R119" s="278"/>
      <c r="S119" s="278"/>
      <c r="T119" s="278"/>
    </row>
    <row r="120" spans="1:28" ht="21" hidden="1" outlineLevel="1" x14ac:dyDescent="0.25">
      <c r="A120" s="299"/>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row>
    <row r="121" spans="1:28" ht="15.75" hidden="1" outlineLevel="1" x14ac:dyDescent="0.25">
      <c r="A121" s="291"/>
      <c r="B121" s="291"/>
      <c r="C121" s="291"/>
      <c r="D121" s="291"/>
      <c r="E121" s="291"/>
      <c r="F121" s="291"/>
      <c r="G121" s="291"/>
      <c r="H121" s="291"/>
      <c r="I121" s="291"/>
      <c r="J121" s="291"/>
      <c r="K121" s="291">
        <f>K$2</f>
        <v>1</v>
      </c>
      <c r="L121" s="291">
        <f t="shared" ref="L121" si="33">L$2</f>
        <v>1</v>
      </c>
      <c r="M121" s="291"/>
      <c r="N121" s="291"/>
      <c r="O121" s="303"/>
      <c r="P121" s="303"/>
      <c r="Q121" s="303"/>
      <c r="R121" s="291"/>
      <c r="S121" s="291"/>
      <c r="T121" s="291"/>
      <c r="U121" s="291">
        <f>U$2</f>
        <v>0.96685082872928185</v>
      </c>
      <c r="V121" s="291">
        <f>V$2</f>
        <v>1</v>
      </c>
      <c r="W121" s="291">
        <f t="shared" ref="W121:AB121" si="34">W$2</f>
        <v>1.0423572744014733</v>
      </c>
      <c r="X121" s="291">
        <f t="shared" si="34"/>
        <v>0.97605893186003689</v>
      </c>
      <c r="Y121" s="291">
        <f t="shared" si="34"/>
        <v>1.149171270718232</v>
      </c>
      <c r="Z121" s="291">
        <f t="shared" si="34"/>
        <v>0.9576427255985267</v>
      </c>
      <c r="AA121" s="291">
        <f t="shared" si="34"/>
        <v>0.9576427255985267</v>
      </c>
      <c r="AB121" s="291">
        <f t="shared" si="34"/>
        <v>0.99263351749539597</v>
      </c>
    </row>
    <row r="122" spans="1:28" hidden="1" outlineLevel="1" x14ac:dyDescent="0.25">
      <c r="A122" s="278"/>
      <c r="B122" s="279" t="str">
        <f t="shared" ref="B122:B131" si="35">C122&amp;D122&amp;E122&amp;F122</f>
        <v/>
      </c>
      <c r="C122" s="278"/>
      <c r="D122" s="278"/>
      <c r="E122" s="278"/>
      <c r="F122" s="278"/>
      <c r="G122" s="278"/>
      <c r="H122" s="290"/>
      <c r="I122" s="280">
        <f>$I$2*H122</f>
        <v>0</v>
      </c>
      <c r="J122" s="281">
        <f>$J$2*H122</f>
        <v>0</v>
      </c>
      <c r="K122" s="282">
        <f>IF(Notes!$B$9="Domestic",I122, IF(Notes!$B$9="Commercial",J122))*$K$121</f>
        <v>0</v>
      </c>
      <c r="L122" s="283">
        <f>(SUM(O122:Q122)+(K122+SUM(M122:Q122))*(INDEX($U$121:$AB$121,MATCH(Notes!$C$16,$U$3:$AB$3,0))-100%))*$L$121</f>
        <v>0</v>
      </c>
      <c r="M122" s="286"/>
      <c r="N122" s="286"/>
      <c r="O122" s="285"/>
      <c r="P122" s="285"/>
      <c r="Q122" s="285"/>
      <c r="R122" s="278"/>
      <c r="S122" s="278"/>
      <c r="T122" s="278"/>
    </row>
    <row r="123" spans="1:28" hidden="1" outlineLevel="1" x14ac:dyDescent="0.25">
      <c r="A123" s="278"/>
      <c r="B123" s="279" t="str">
        <f t="shared" si="35"/>
        <v/>
      </c>
      <c r="C123" s="278"/>
      <c r="D123" s="278"/>
      <c r="E123" s="278"/>
      <c r="F123" s="278"/>
      <c r="G123" s="278"/>
      <c r="H123" s="290"/>
      <c r="I123" s="280">
        <f t="shared" ref="I123:I131" si="36">$I$2*H123</f>
        <v>0</v>
      </c>
      <c r="J123" s="281">
        <f t="shared" ref="J123:J131" si="37">$J$2*H123</f>
        <v>0</v>
      </c>
      <c r="K123" s="282">
        <f>IF(Notes!$B$9="Domestic",I123, IF(Notes!$B$9="Commercial",J123))*$K$121</f>
        <v>0</v>
      </c>
      <c r="L123" s="283">
        <f>(SUM(O123:Q123)+(K123+SUM(M123:Q123))*(INDEX($U$121:$AB$121,MATCH(Notes!$C$16,$U$3:$AB$3,0))-100%))*$L$121</f>
        <v>0</v>
      </c>
      <c r="M123" s="286"/>
      <c r="N123" s="286"/>
      <c r="O123" s="285"/>
      <c r="P123" s="285"/>
      <c r="Q123" s="285"/>
      <c r="R123" s="278"/>
      <c r="S123" s="278"/>
      <c r="T123" s="278"/>
    </row>
    <row r="124" spans="1:28" hidden="1" outlineLevel="1" x14ac:dyDescent="0.25">
      <c r="A124" s="278"/>
      <c r="B124" s="279" t="str">
        <f t="shared" si="35"/>
        <v/>
      </c>
      <c r="C124" s="278"/>
      <c r="D124" s="278"/>
      <c r="E124" s="278"/>
      <c r="F124" s="278"/>
      <c r="G124" s="278"/>
      <c r="H124" s="290"/>
      <c r="I124" s="280">
        <f t="shared" si="36"/>
        <v>0</v>
      </c>
      <c r="J124" s="281">
        <f t="shared" si="37"/>
        <v>0</v>
      </c>
      <c r="K124" s="282">
        <f>IF(Notes!$B$9="Domestic",I124, IF(Notes!$B$9="Commercial",J124))*$K$121</f>
        <v>0</v>
      </c>
      <c r="L124" s="283">
        <f>(SUM(O124:Q124)+(K124+SUM(M124:Q124))*(INDEX($U$121:$AB$121,MATCH(Notes!$C$16,$U$3:$AB$3,0))-100%))*$L$121</f>
        <v>0</v>
      </c>
      <c r="M124" s="286"/>
      <c r="N124" s="286"/>
      <c r="O124" s="285"/>
      <c r="P124" s="285"/>
      <c r="Q124" s="285"/>
      <c r="R124" s="278"/>
      <c r="S124" s="278"/>
      <c r="T124" s="278"/>
    </row>
    <row r="125" spans="1:28" hidden="1" outlineLevel="1" x14ac:dyDescent="0.25">
      <c r="A125" s="278"/>
      <c r="B125" s="279" t="str">
        <f t="shared" si="35"/>
        <v/>
      </c>
      <c r="C125" s="278"/>
      <c r="D125" s="278"/>
      <c r="E125" s="278"/>
      <c r="F125" s="278"/>
      <c r="G125" s="278"/>
      <c r="H125" s="290"/>
      <c r="I125" s="280">
        <f t="shared" si="36"/>
        <v>0</v>
      </c>
      <c r="J125" s="281">
        <f t="shared" si="37"/>
        <v>0</v>
      </c>
      <c r="K125" s="282">
        <f>IF(Notes!$B$9="Domestic",I125, IF(Notes!$B$9="Commercial",J125))*$K$121</f>
        <v>0</v>
      </c>
      <c r="L125" s="283">
        <f>(SUM(O125:Q125)+(K125+SUM(M125:Q125))*(INDEX($U$121:$AB$121,MATCH(Notes!$C$16,$U$3:$AB$3,0))-100%))*$L$121</f>
        <v>0</v>
      </c>
      <c r="M125" s="286"/>
      <c r="N125" s="286"/>
      <c r="O125" s="285"/>
      <c r="P125" s="285"/>
      <c r="Q125" s="285"/>
      <c r="R125" s="278"/>
      <c r="S125" s="278"/>
      <c r="T125" s="278"/>
    </row>
    <row r="126" spans="1:28" hidden="1" outlineLevel="1" x14ac:dyDescent="0.25">
      <c r="A126" s="278"/>
      <c r="B126" s="279" t="str">
        <f t="shared" si="35"/>
        <v/>
      </c>
      <c r="C126" s="278"/>
      <c r="D126" s="278"/>
      <c r="E126" s="278"/>
      <c r="F126" s="278"/>
      <c r="G126" s="278"/>
      <c r="H126" s="290"/>
      <c r="I126" s="280">
        <f>$I$2*H126</f>
        <v>0</v>
      </c>
      <c r="J126" s="281">
        <f t="shared" si="37"/>
        <v>0</v>
      </c>
      <c r="K126" s="282">
        <f>IF(Notes!$B$9="Domestic",I126, IF(Notes!$B$9="Commercial",J126))*$K$121</f>
        <v>0</v>
      </c>
      <c r="L126" s="283">
        <f>(SUM(O126:Q126)+(K126+SUM(M126:Q126))*(INDEX($U$121:$AB$121,MATCH(Notes!$C$16,$U$3:$AB$3,0))-100%))*$L$121</f>
        <v>0</v>
      </c>
      <c r="M126" s="286"/>
      <c r="N126" s="286"/>
      <c r="O126" s="285"/>
      <c r="P126" s="285"/>
      <c r="Q126" s="285"/>
      <c r="R126" s="278"/>
      <c r="S126" s="278"/>
      <c r="T126" s="278"/>
    </row>
    <row r="127" spans="1:28" hidden="1" outlineLevel="1" x14ac:dyDescent="0.25">
      <c r="A127" s="278"/>
      <c r="B127" s="279" t="str">
        <f t="shared" si="35"/>
        <v/>
      </c>
      <c r="C127" s="278"/>
      <c r="D127" s="278"/>
      <c r="E127" s="278"/>
      <c r="F127" s="278"/>
      <c r="G127" s="278"/>
      <c r="H127" s="290"/>
      <c r="I127" s="280">
        <f t="shared" si="36"/>
        <v>0</v>
      </c>
      <c r="J127" s="281">
        <f t="shared" si="37"/>
        <v>0</v>
      </c>
      <c r="K127" s="282">
        <f>IF(Notes!$B$9="Domestic",I127, IF(Notes!$B$9="Commercial",J127))*$K$121</f>
        <v>0</v>
      </c>
      <c r="L127" s="283">
        <f>(SUM(O127:Q127)+(K127+SUM(M127:Q127))*(INDEX($U$121:$AB$121,MATCH(Notes!$C$16,$U$3:$AB$3,0))-100%))*$L$121</f>
        <v>0</v>
      </c>
      <c r="M127" s="286"/>
      <c r="N127" s="286"/>
      <c r="O127" s="285"/>
      <c r="P127" s="285"/>
      <c r="Q127" s="285"/>
      <c r="R127" s="278"/>
      <c r="S127" s="278"/>
      <c r="T127" s="278"/>
    </row>
    <row r="128" spans="1:28" hidden="1" outlineLevel="1" x14ac:dyDescent="0.25">
      <c r="A128" s="278"/>
      <c r="B128" s="279" t="str">
        <f t="shared" si="35"/>
        <v/>
      </c>
      <c r="C128" s="278"/>
      <c r="D128" s="278"/>
      <c r="E128" s="278"/>
      <c r="F128" s="278"/>
      <c r="G128" s="278"/>
      <c r="H128" s="290"/>
      <c r="I128" s="280">
        <f t="shared" si="36"/>
        <v>0</v>
      </c>
      <c r="J128" s="281">
        <f t="shared" si="37"/>
        <v>0</v>
      </c>
      <c r="K128" s="282">
        <f>IF(Notes!$B$9="Domestic",I128, IF(Notes!$B$9="Commercial",J128))*$K$121</f>
        <v>0</v>
      </c>
      <c r="L128" s="283">
        <f>(SUM(O128:Q128)+(K128+SUM(M128:Q128))*(INDEX($U$121:$AB$121,MATCH(Notes!$C$16,$U$3:$AB$3,0))-100%))*$L$121</f>
        <v>0</v>
      </c>
      <c r="M128" s="286"/>
      <c r="N128" s="286"/>
      <c r="O128" s="285"/>
      <c r="P128" s="285"/>
      <c r="Q128" s="285"/>
      <c r="R128" s="278"/>
      <c r="S128" s="278"/>
      <c r="T128" s="278"/>
    </row>
    <row r="129" spans="1:28" hidden="1" outlineLevel="1" x14ac:dyDescent="0.25">
      <c r="A129" s="278"/>
      <c r="B129" s="279" t="str">
        <f t="shared" si="35"/>
        <v/>
      </c>
      <c r="C129" s="278"/>
      <c r="D129" s="278"/>
      <c r="E129" s="278"/>
      <c r="F129" s="278"/>
      <c r="G129" s="278"/>
      <c r="H129" s="290"/>
      <c r="I129" s="280">
        <f t="shared" si="36"/>
        <v>0</v>
      </c>
      <c r="J129" s="281">
        <f t="shared" si="37"/>
        <v>0</v>
      </c>
      <c r="K129" s="282">
        <f>IF(Notes!$B$9="Domestic",I129, IF(Notes!$B$9="Commercial",J129))*$K$121</f>
        <v>0</v>
      </c>
      <c r="L129" s="283">
        <f>(SUM(O129:Q129)+(K129+SUM(M129:Q129))*(INDEX($U$121:$AB$121,MATCH(Notes!$C$16,$U$3:$AB$3,0))-100%))*$L$121</f>
        <v>0</v>
      </c>
      <c r="M129" s="286"/>
      <c r="N129" s="286"/>
      <c r="O129" s="285"/>
      <c r="P129" s="285"/>
      <c r="Q129" s="285"/>
      <c r="R129" s="278"/>
      <c r="S129" s="278"/>
      <c r="T129" s="278"/>
    </row>
    <row r="130" spans="1:28" hidden="1" outlineLevel="1" x14ac:dyDescent="0.25">
      <c r="A130" s="278"/>
      <c r="B130" s="279" t="str">
        <f t="shared" si="35"/>
        <v/>
      </c>
      <c r="C130" s="278"/>
      <c r="D130" s="278"/>
      <c r="E130" s="278"/>
      <c r="F130" s="278"/>
      <c r="G130" s="278"/>
      <c r="H130" s="290"/>
      <c r="I130" s="280">
        <f t="shared" si="36"/>
        <v>0</v>
      </c>
      <c r="J130" s="281">
        <f t="shared" si="37"/>
        <v>0</v>
      </c>
      <c r="K130" s="282">
        <f>IF(Notes!$B$9="Domestic",I130, IF(Notes!$B$9="Commercial",J130))*$K$121</f>
        <v>0</v>
      </c>
      <c r="L130" s="283">
        <f>(SUM(O130:Q130)+(K130+SUM(M130:Q130))*(INDEX($U$121:$AB$121,MATCH(Notes!$C$16,$U$3:$AB$3,0))-100%))*$L$121</f>
        <v>0</v>
      </c>
      <c r="M130" s="286"/>
      <c r="N130" s="286"/>
      <c r="O130" s="285"/>
      <c r="P130" s="285"/>
      <c r="Q130" s="285"/>
      <c r="R130" s="278"/>
      <c r="S130" s="278"/>
      <c r="T130" s="278"/>
    </row>
    <row r="131" spans="1:28" hidden="1" outlineLevel="1" x14ac:dyDescent="0.25">
      <c r="A131" s="278"/>
      <c r="B131" s="279" t="str">
        <f t="shared" si="35"/>
        <v/>
      </c>
      <c r="C131" s="278"/>
      <c r="D131" s="278"/>
      <c r="E131" s="278"/>
      <c r="F131" s="278"/>
      <c r="G131" s="278"/>
      <c r="H131" s="290"/>
      <c r="I131" s="280">
        <f t="shared" si="36"/>
        <v>0</v>
      </c>
      <c r="J131" s="281">
        <f t="shared" si="37"/>
        <v>0</v>
      </c>
      <c r="K131" s="282">
        <f>IF(Notes!$B$9="Domestic",I131, IF(Notes!$B$9="Commercial",J131))*$K$121</f>
        <v>0</v>
      </c>
      <c r="L131" s="283">
        <f>(SUM(O131:Q131)+(K131+SUM(M131:Q131))*(INDEX($U$121:$AB$121,MATCH(Notes!$C$16,$U$3:$AB$3,0))-100%))*$L$121</f>
        <v>0</v>
      </c>
      <c r="M131" s="286"/>
      <c r="N131" s="286"/>
      <c r="O131" s="285"/>
      <c r="P131" s="285"/>
      <c r="Q131" s="285"/>
      <c r="R131" s="278"/>
      <c r="S131" s="278"/>
      <c r="T131" s="278"/>
    </row>
    <row r="132" spans="1:28" ht="21" hidden="1" outlineLevel="1" x14ac:dyDescent="0.25">
      <c r="A132" s="299"/>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row>
    <row r="133" spans="1:28" ht="15.75" hidden="1" outlineLevel="1" x14ac:dyDescent="0.25">
      <c r="A133" s="291"/>
      <c r="B133" s="291"/>
      <c r="C133" s="291"/>
      <c r="D133" s="291"/>
      <c r="E133" s="291"/>
      <c r="F133" s="291"/>
      <c r="G133" s="291"/>
      <c r="H133" s="291"/>
      <c r="I133" s="291"/>
      <c r="J133" s="291"/>
      <c r="K133" s="291">
        <f>K$2</f>
        <v>1</v>
      </c>
      <c r="L133" s="291">
        <f t="shared" ref="L133" si="38">L$2</f>
        <v>1</v>
      </c>
      <c r="M133" s="291"/>
      <c r="N133" s="291"/>
      <c r="O133" s="303"/>
      <c r="P133" s="303"/>
      <c r="Q133" s="303"/>
      <c r="R133" s="291"/>
      <c r="S133" s="291"/>
      <c r="T133" s="291"/>
      <c r="U133" s="291">
        <f>U$2</f>
        <v>0.96685082872928185</v>
      </c>
      <c r="V133" s="291">
        <f>V$2</f>
        <v>1</v>
      </c>
      <c r="W133" s="291">
        <f t="shared" ref="W133:AB133" si="39">W$2</f>
        <v>1.0423572744014733</v>
      </c>
      <c r="X133" s="291">
        <f t="shared" si="39"/>
        <v>0.97605893186003689</v>
      </c>
      <c r="Y133" s="291">
        <f t="shared" si="39"/>
        <v>1.149171270718232</v>
      </c>
      <c r="Z133" s="291">
        <f t="shared" si="39"/>
        <v>0.9576427255985267</v>
      </c>
      <c r="AA133" s="291">
        <f t="shared" si="39"/>
        <v>0.9576427255985267</v>
      </c>
      <c r="AB133" s="291">
        <f t="shared" si="39"/>
        <v>0.99263351749539597</v>
      </c>
    </row>
    <row r="134" spans="1:28" hidden="1" outlineLevel="1" x14ac:dyDescent="0.25">
      <c r="A134" s="278"/>
      <c r="B134" s="279" t="str">
        <f t="shared" ref="B134:B143" si="40">C134&amp;D134&amp;E134&amp;F134</f>
        <v/>
      </c>
      <c r="C134" s="278"/>
      <c r="D134" s="278"/>
      <c r="E134" s="278"/>
      <c r="F134" s="278"/>
      <c r="G134" s="278"/>
      <c r="H134" s="290"/>
      <c r="I134" s="280">
        <f>$I$2*H134</f>
        <v>0</v>
      </c>
      <c r="J134" s="281">
        <f>$J$2*H134</f>
        <v>0</v>
      </c>
      <c r="K134" s="282">
        <f>IF(Notes!$B$9="Domestic",I134, IF(Notes!$B$9="Commercial",J134))*$K$133</f>
        <v>0</v>
      </c>
      <c r="L134" s="283">
        <f>(SUM(O134:Q134)+(K134+SUM(M134:Q134))*(INDEX($U$133:$AB$133,MATCH(Notes!$C$16,$U$3:$AB$3,0))-100%))*$L$133</f>
        <v>0</v>
      </c>
      <c r="M134" s="286"/>
      <c r="N134" s="286"/>
      <c r="O134" s="285"/>
      <c r="P134" s="285"/>
      <c r="Q134" s="285"/>
      <c r="R134" s="278"/>
      <c r="S134" s="278"/>
      <c r="T134" s="278"/>
    </row>
    <row r="135" spans="1:28" hidden="1" outlineLevel="1" x14ac:dyDescent="0.25">
      <c r="A135" s="278"/>
      <c r="B135" s="279" t="str">
        <f t="shared" si="40"/>
        <v/>
      </c>
      <c r="C135" s="278"/>
      <c r="D135" s="278"/>
      <c r="E135" s="278"/>
      <c r="F135" s="278"/>
      <c r="G135" s="278"/>
      <c r="H135" s="290"/>
      <c r="I135" s="280">
        <f t="shared" ref="I135:I143" si="41">$I$2*H135</f>
        <v>0</v>
      </c>
      <c r="J135" s="281">
        <f t="shared" ref="J135:J143" si="42">$J$2*H135</f>
        <v>0</v>
      </c>
      <c r="K135" s="282">
        <f>IF(Notes!$B$9="Domestic",I135, IF(Notes!$B$9="Commercial",J135))*$K$133</f>
        <v>0</v>
      </c>
      <c r="L135" s="283">
        <f>(SUM(O135:Q135)+(K135+SUM(M135:Q135))*(INDEX($U$133:$AB$133,MATCH(Notes!$C$16,$U$3:$AB$3,0))-100%))*$L$133</f>
        <v>0</v>
      </c>
      <c r="M135" s="286"/>
      <c r="N135" s="286"/>
      <c r="O135" s="285"/>
      <c r="P135" s="285"/>
      <c r="Q135" s="285"/>
      <c r="R135" s="278"/>
      <c r="S135" s="278"/>
      <c r="T135" s="278"/>
    </row>
    <row r="136" spans="1:28" hidden="1" outlineLevel="1" x14ac:dyDescent="0.25">
      <c r="A136" s="278"/>
      <c r="B136" s="279" t="str">
        <f t="shared" si="40"/>
        <v/>
      </c>
      <c r="C136" s="278"/>
      <c r="D136" s="278"/>
      <c r="E136" s="278"/>
      <c r="F136" s="278"/>
      <c r="G136" s="278"/>
      <c r="H136" s="290"/>
      <c r="I136" s="280">
        <f t="shared" si="41"/>
        <v>0</v>
      </c>
      <c r="J136" s="281">
        <f t="shared" si="42"/>
        <v>0</v>
      </c>
      <c r="K136" s="282">
        <f>IF(Notes!$B$9="Domestic",I136, IF(Notes!$B$9="Commercial",J136))*$K$133</f>
        <v>0</v>
      </c>
      <c r="L136" s="283">
        <f>(SUM(O136:Q136)+(K136+SUM(M136:Q136))*(INDEX($U$133:$AB$133,MATCH(Notes!$C$16,$U$3:$AB$3,0))-100%))*$L$133</f>
        <v>0</v>
      </c>
      <c r="M136" s="286"/>
      <c r="N136" s="286"/>
      <c r="O136" s="285"/>
      <c r="P136" s="285"/>
      <c r="Q136" s="285"/>
      <c r="R136" s="278"/>
      <c r="S136" s="278"/>
      <c r="T136" s="278"/>
    </row>
    <row r="137" spans="1:28" hidden="1" outlineLevel="1" x14ac:dyDescent="0.25">
      <c r="A137" s="278"/>
      <c r="B137" s="279" t="str">
        <f t="shared" si="40"/>
        <v/>
      </c>
      <c r="C137" s="278"/>
      <c r="D137" s="278"/>
      <c r="E137" s="278"/>
      <c r="F137" s="278"/>
      <c r="G137" s="278"/>
      <c r="H137" s="290"/>
      <c r="I137" s="280">
        <f t="shared" si="41"/>
        <v>0</v>
      </c>
      <c r="J137" s="281">
        <f t="shared" si="42"/>
        <v>0</v>
      </c>
      <c r="K137" s="282">
        <f>IF(Notes!$B$9="Domestic",I137, IF(Notes!$B$9="Commercial",J137))*$K$133</f>
        <v>0</v>
      </c>
      <c r="L137" s="283">
        <f>(SUM(O137:Q137)+(K137+SUM(M137:Q137))*(INDEX($U$133:$AB$133,MATCH(Notes!$C$16,$U$3:$AB$3,0))-100%))*$L$133</f>
        <v>0</v>
      </c>
      <c r="M137" s="286"/>
      <c r="N137" s="286"/>
      <c r="O137" s="285"/>
      <c r="P137" s="285"/>
      <c r="Q137" s="285"/>
      <c r="R137" s="278"/>
      <c r="S137" s="278"/>
      <c r="T137" s="278"/>
    </row>
    <row r="138" spans="1:28" hidden="1" outlineLevel="1" x14ac:dyDescent="0.25">
      <c r="A138" s="278"/>
      <c r="B138" s="279" t="str">
        <f t="shared" si="40"/>
        <v/>
      </c>
      <c r="C138" s="278"/>
      <c r="D138" s="278"/>
      <c r="E138" s="278"/>
      <c r="F138" s="278"/>
      <c r="G138" s="278"/>
      <c r="H138" s="290"/>
      <c r="I138" s="280">
        <f>$I$2*H138</f>
        <v>0</v>
      </c>
      <c r="J138" s="281">
        <f t="shared" si="42"/>
        <v>0</v>
      </c>
      <c r="K138" s="282">
        <f>IF(Notes!$B$9="Domestic",I138, IF(Notes!$B$9="Commercial",J138))*$K$133</f>
        <v>0</v>
      </c>
      <c r="L138" s="283">
        <f>(SUM(O138:Q138)+(K138+SUM(M138:Q138))*(INDEX($U$133:$AB$133,MATCH(Notes!$C$16,$U$3:$AB$3,0))-100%))*$L$133</f>
        <v>0</v>
      </c>
      <c r="M138" s="286"/>
      <c r="N138" s="286"/>
      <c r="O138" s="285"/>
      <c r="P138" s="285"/>
      <c r="Q138" s="285"/>
      <c r="R138" s="278"/>
      <c r="S138" s="278"/>
      <c r="T138" s="278"/>
    </row>
    <row r="139" spans="1:28" hidden="1" outlineLevel="1" x14ac:dyDescent="0.25">
      <c r="A139" s="278"/>
      <c r="B139" s="279" t="str">
        <f t="shared" si="40"/>
        <v/>
      </c>
      <c r="C139" s="278"/>
      <c r="D139" s="278"/>
      <c r="E139" s="278"/>
      <c r="F139" s="278"/>
      <c r="G139" s="278"/>
      <c r="H139" s="290"/>
      <c r="I139" s="280">
        <f t="shared" si="41"/>
        <v>0</v>
      </c>
      <c r="J139" s="281">
        <f t="shared" si="42"/>
        <v>0</v>
      </c>
      <c r="K139" s="282">
        <f>IF(Notes!$B$9="Domestic",I139, IF(Notes!$B$9="Commercial",J139))*$K$133</f>
        <v>0</v>
      </c>
      <c r="L139" s="283">
        <f>(SUM(O139:Q139)+(K139+SUM(M139:Q139))*(INDEX($U$133:$AB$133,MATCH(Notes!$C$16,$U$3:$AB$3,0))-100%))*$L$133</f>
        <v>0</v>
      </c>
      <c r="M139" s="286"/>
      <c r="N139" s="286"/>
      <c r="O139" s="285"/>
      <c r="P139" s="285"/>
      <c r="Q139" s="285"/>
      <c r="R139" s="278"/>
      <c r="S139" s="278"/>
      <c r="T139" s="278"/>
    </row>
    <row r="140" spans="1:28" hidden="1" outlineLevel="1" x14ac:dyDescent="0.25">
      <c r="A140" s="278"/>
      <c r="B140" s="279" t="str">
        <f t="shared" si="40"/>
        <v/>
      </c>
      <c r="C140" s="278"/>
      <c r="D140" s="278"/>
      <c r="E140" s="278"/>
      <c r="F140" s="278"/>
      <c r="G140" s="278"/>
      <c r="H140" s="290"/>
      <c r="I140" s="280">
        <f t="shared" si="41"/>
        <v>0</v>
      </c>
      <c r="J140" s="281">
        <f t="shared" si="42"/>
        <v>0</v>
      </c>
      <c r="K140" s="282">
        <f>IF(Notes!$B$9="Domestic",I140, IF(Notes!$B$9="Commercial",J140))*$K$133</f>
        <v>0</v>
      </c>
      <c r="L140" s="283">
        <f>(SUM(O140:Q140)+(K140+SUM(M140:Q140))*(INDEX($U$133:$AB$133,MATCH(Notes!$C$16,$U$3:$AB$3,0))-100%))*$L$133</f>
        <v>0</v>
      </c>
      <c r="M140" s="286"/>
      <c r="N140" s="286"/>
      <c r="O140" s="285"/>
      <c r="P140" s="285"/>
      <c r="Q140" s="285"/>
      <c r="R140" s="278"/>
      <c r="S140" s="278"/>
      <c r="T140" s="278"/>
    </row>
    <row r="141" spans="1:28" hidden="1" outlineLevel="1" x14ac:dyDescent="0.25">
      <c r="A141" s="278"/>
      <c r="B141" s="279" t="str">
        <f t="shared" si="40"/>
        <v/>
      </c>
      <c r="C141" s="278"/>
      <c r="D141" s="278"/>
      <c r="E141" s="278"/>
      <c r="F141" s="278"/>
      <c r="G141" s="278"/>
      <c r="H141" s="290"/>
      <c r="I141" s="280">
        <f t="shared" si="41"/>
        <v>0</v>
      </c>
      <c r="J141" s="281">
        <f t="shared" si="42"/>
        <v>0</v>
      </c>
      <c r="K141" s="282">
        <f>IF(Notes!$B$9="Domestic",I141, IF(Notes!$B$9="Commercial",J141))*$K$133</f>
        <v>0</v>
      </c>
      <c r="L141" s="283">
        <f>(SUM(O141:Q141)+(K141+SUM(M141:Q141))*(INDEX($U$133:$AB$133,MATCH(Notes!$C$16,$U$3:$AB$3,0))-100%))*$L$133</f>
        <v>0</v>
      </c>
      <c r="M141" s="286"/>
      <c r="N141" s="286"/>
      <c r="O141" s="285"/>
      <c r="P141" s="285"/>
      <c r="Q141" s="285"/>
      <c r="R141" s="278"/>
      <c r="S141" s="278"/>
      <c r="T141" s="278"/>
    </row>
    <row r="142" spans="1:28" hidden="1" outlineLevel="1" x14ac:dyDescent="0.25">
      <c r="A142" s="278"/>
      <c r="B142" s="279" t="str">
        <f t="shared" si="40"/>
        <v/>
      </c>
      <c r="C142" s="278"/>
      <c r="D142" s="278"/>
      <c r="E142" s="278"/>
      <c r="F142" s="278"/>
      <c r="G142" s="278"/>
      <c r="H142" s="290"/>
      <c r="I142" s="280">
        <f t="shared" si="41"/>
        <v>0</v>
      </c>
      <c r="J142" s="281">
        <f t="shared" si="42"/>
        <v>0</v>
      </c>
      <c r="K142" s="282">
        <f>IF(Notes!$B$9="Domestic",I142, IF(Notes!$B$9="Commercial",J142))*$K$133</f>
        <v>0</v>
      </c>
      <c r="L142" s="283">
        <f>(SUM(O142:Q142)+(K142+SUM(M142:Q142))*(INDEX($U$133:$AB$133,MATCH(Notes!$C$16,$U$3:$AB$3,0))-100%))*$L$133</f>
        <v>0</v>
      </c>
      <c r="M142" s="286"/>
      <c r="N142" s="286"/>
      <c r="O142" s="285"/>
      <c r="P142" s="285"/>
      <c r="Q142" s="285"/>
      <c r="R142" s="278"/>
      <c r="S142" s="278"/>
      <c r="T142" s="278"/>
    </row>
    <row r="143" spans="1:28" hidden="1" outlineLevel="1" x14ac:dyDescent="0.25">
      <c r="A143" s="278"/>
      <c r="B143" s="279" t="str">
        <f t="shared" si="40"/>
        <v/>
      </c>
      <c r="C143" s="278"/>
      <c r="D143" s="278"/>
      <c r="E143" s="278"/>
      <c r="F143" s="278"/>
      <c r="G143" s="278"/>
      <c r="H143" s="290"/>
      <c r="I143" s="280">
        <f t="shared" si="41"/>
        <v>0</v>
      </c>
      <c r="J143" s="281">
        <f t="shared" si="42"/>
        <v>0</v>
      </c>
      <c r="K143" s="282">
        <f>IF(Notes!$B$9="Domestic",I143, IF(Notes!$B$9="Commercial",J143))*$K$133</f>
        <v>0</v>
      </c>
      <c r="L143" s="283">
        <f>(SUM(O143:Q143)+(K143+SUM(M143:Q143))*(INDEX($U$133:$AB$133,MATCH(Notes!$C$16,$U$3:$AB$3,0))-100%))*$L$133</f>
        <v>0</v>
      </c>
      <c r="M143" s="286"/>
      <c r="N143" s="286"/>
      <c r="O143" s="285"/>
      <c r="P143" s="285"/>
      <c r="Q143" s="285"/>
      <c r="R143" s="278"/>
      <c r="S143" s="278"/>
      <c r="T143" s="278"/>
    </row>
    <row r="144" spans="1:28" ht="21" hidden="1" outlineLevel="1" x14ac:dyDescent="0.25">
      <c r="A144" s="299"/>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row>
    <row r="145" spans="1:28" ht="15.75" hidden="1" outlineLevel="1" x14ac:dyDescent="0.25">
      <c r="A145" s="291"/>
      <c r="B145" s="291"/>
      <c r="C145" s="291"/>
      <c r="D145" s="291"/>
      <c r="E145" s="291"/>
      <c r="F145" s="291"/>
      <c r="G145" s="291"/>
      <c r="H145" s="291"/>
      <c r="I145" s="291"/>
      <c r="J145" s="291"/>
      <c r="K145" s="291">
        <f>K$2</f>
        <v>1</v>
      </c>
      <c r="L145" s="291">
        <f t="shared" ref="L145" si="43">L$2</f>
        <v>1</v>
      </c>
      <c r="M145" s="291"/>
      <c r="N145" s="291"/>
      <c r="O145" s="303"/>
      <c r="P145" s="303"/>
      <c r="Q145" s="303"/>
      <c r="R145" s="291"/>
      <c r="S145" s="291"/>
      <c r="T145" s="291"/>
      <c r="U145" s="291">
        <f>U$2</f>
        <v>0.96685082872928185</v>
      </c>
      <c r="V145" s="291">
        <f>V$2</f>
        <v>1</v>
      </c>
      <c r="W145" s="291">
        <f t="shared" ref="W145:AB145" si="44">W$2</f>
        <v>1.0423572744014733</v>
      </c>
      <c r="X145" s="291">
        <f t="shared" si="44"/>
        <v>0.97605893186003689</v>
      </c>
      <c r="Y145" s="291">
        <f t="shared" si="44"/>
        <v>1.149171270718232</v>
      </c>
      <c r="Z145" s="291">
        <f t="shared" si="44"/>
        <v>0.9576427255985267</v>
      </c>
      <c r="AA145" s="291">
        <f t="shared" si="44"/>
        <v>0.9576427255985267</v>
      </c>
      <c r="AB145" s="291">
        <f t="shared" si="44"/>
        <v>0.99263351749539597</v>
      </c>
    </row>
    <row r="146" spans="1:28" hidden="1" outlineLevel="1" x14ac:dyDescent="0.25">
      <c r="A146" s="278"/>
      <c r="B146" s="279" t="str">
        <f t="shared" ref="B146:B155" si="45">C146&amp;D146&amp;E146&amp;F146</f>
        <v/>
      </c>
      <c r="C146" s="278"/>
      <c r="D146" s="278"/>
      <c r="E146" s="278"/>
      <c r="F146" s="278"/>
      <c r="G146" s="278"/>
      <c r="H146" s="290"/>
      <c r="I146" s="280">
        <f>$I$2*H146</f>
        <v>0</v>
      </c>
      <c r="J146" s="281">
        <f>$J$2*H146</f>
        <v>0</v>
      </c>
      <c r="K146" s="282">
        <f>IF(Notes!$B$9="Domestic",I146, IF(Notes!$B$9="Commercial",J146))*$K$145</f>
        <v>0</v>
      </c>
      <c r="L146" s="283">
        <f>(SUM(O146:Q146)+(K146+SUM(M146:Q146))*(INDEX($U$145:$AB$145,MATCH(Notes!$C$16,$U$3:$AB$3,0))-100%))*$L$145</f>
        <v>0</v>
      </c>
      <c r="M146" s="286"/>
      <c r="N146" s="286"/>
      <c r="O146" s="285"/>
      <c r="P146" s="285"/>
      <c r="Q146" s="285"/>
      <c r="R146" s="278"/>
      <c r="S146" s="278"/>
      <c r="T146" s="278"/>
    </row>
    <row r="147" spans="1:28" hidden="1" outlineLevel="1" x14ac:dyDescent="0.25">
      <c r="A147" s="278"/>
      <c r="B147" s="279" t="str">
        <f t="shared" si="45"/>
        <v/>
      </c>
      <c r="C147" s="278"/>
      <c r="D147" s="278"/>
      <c r="E147" s="278"/>
      <c r="F147" s="278"/>
      <c r="G147" s="278"/>
      <c r="H147" s="290"/>
      <c r="I147" s="280">
        <f t="shared" ref="I147:I155" si="46">$I$2*H147</f>
        <v>0</v>
      </c>
      <c r="J147" s="281">
        <f t="shared" ref="J147:J155" si="47">$J$2*H147</f>
        <v>0</v>
      </c>
      <c r="K147" s="282">
        <f>IF(Notes!$B$9="Domestic",I147, IF(Notes!$B$9="Commercial",J147))*$K$145</f>
        <v>0</v>
      </c>
      <c r="L147" s="283">
        <f>(SUM(O147:Q147)+(K147+SUM(M147:Q147))*(INDEX($U$145:$AB$145,MATCH(Notes!$C$16,$U$3:$AB$3,0))-100%))*$L$145</f>
        <v>0</v>
      </c>
      <c r="M147" s="286"/>
      <c r="N147" s="286"/>
      <c r="O147" s="285"/>
      <c r="P147" s="285"/>
      <c r="Q147" s="285"/>
      <c r="R147" s="278"/>
      <c r="S147" s="278"/>
      <c r="T147" s="278"/>
    </row>
    <row r="148" spans="1:28" hidden="1" outlineLevel="1" x14ac:dyDescent="0.25">
      <c r="A148" s="278"/>
      <c r="B148" s="279" t="str">
        <f t="shared" si="45"/>
        <v/>
      </c>
      <c r="C148" s="278"/>
      <c r="D148" s="278"/>
      <c r="E148" s="278"/>
      <c r="F148" s="278"/>
      <c r="G148" s="278"/>
      <c r="H148" s="290"/>
      <c r="I148" s="280">
        <f t="shared" si="46"/>
        <v>0</v>
      </c>
      <c r="J148" s="281">
        <f t="shared" si="47"/>
        <v>0</v>
      </c>
      <c r="K148" s="282">
        <f>IF(Notes!$B$9="Domestic",I148, IF(Notes!$B$9="Commercial",J148))*$K$145</f>
        <v>0</v>
      </c>
      <c r="L148" s="283">
        <f>(SUM(O148:Q148)+(K148+SUM(M148:Q148))*(INDEX($U$145:$AB$145,MATCH(Notes!$C$16,$U$3:$AB$3,0))-100%))*$L$145</f>
        <v>0</v>
      </c>
      <c r="M148" s="286"/>
      <c r="N148" s="286"/>
      <c r="O148" s="285"/>
      <c r="P148" s="285"/>
      <c r="Q148" s="285"/>
      <c r="R148" s="278"/>
      <c r="S148" s="278"/>
      <c r="T148" s="278"/>
    </row>
    <row r="149" spans="1:28" hidden="1" outlineLevel="1" x14ac:dyDescent="0.25">
      <c r="A149" s="278"/>
      <c r="B149" s="279" t="str">
        <f t="shared" si="45"/>
        <v/>
      </c>
      <c r="C149" s="278"/>
      <c r="D149" s="278"/>
      <c r="E149" s="278"/>
      <c r="F149" s="278"/>
      <c r="G149" s="278"/>
      <c r="H149" s="290"/>
      <c r="I149" s="280">
        <f t="shared" si="46"/>
        <v>0</v>
      </c>
      <c r="J149" s="281">
        <f t="shared" si="47"/>
        <v>0</v>
      </c>
      <c r="K149" s="282">
        <f>IF(Notes!$B$9="Domestic",I149, IF(Notes!$B$9="Commercial",J149))*$K$145</f>
        <v>0</v>
      </c>
      <c r="L149" s="283">
        <f>(SUM(O149:Q149)+(K149+SUM(M149:Q149))*(INDEX($U$145:$AB$145,MATCH(Notes!$C$16,$U$3:$AB$3,0))-100%))*$L$145</f>
        <v>0</v>
      </c>
      <c r="M149" s="286"/>
      <c r="N149" s="286"/>
      <c r="O149" s="285"/>
      <c r="P149" s="285"/>
      <c r="Q149" s="285"/>
      <c r="R149" s="278"/>
      <c r="S149" s="278"/>
      <c r="T149" s="278"/>
    </row>
    <row r="150" spans="1:28" hidden="1" outlineLevel="1" x14ac:dyDescent="0.25">
      <c r="A150" s="278"/>
      <c r="B150" s="279" t="str">
        <f t="shared" si="45"/>
        <v/>
      </c>
      <c r="C150" s="278"/>
      <c r="D150" s="278"/>
      <c r="E150" s="278"/>
      <c r="F150" s="278"/>
      <c r="G150" s="278"/>
      <c r="H150" s="290"/>
      <c r="I150" s="280">
        <f>$I$2*H150</f>
        <v>0</v>
      </c>
      <c r="J150" s="281">
        <f t="shared" si="47"/>
        <v>0</v>
      </c>
      <c r="K150" s="282">
        <f>IF(Notes!$B$9="Domestic",I150, IF(Notes!$B$9="Commercial",J150))*$K$145</f>
        <v>0</v>
      </c>
      <c r="L150" s="283">
        <f>(SUM(O150:Q150)+(K150+SUM(M150:Q150))*(INDEX($U$145:$AB$145,MATCH(Notes!$C$16,$U$3:$AB$3,0))-100%))*$L$145</f>
        <v>0</v>
      </c>
      <c r="M150" s="286"/>
      <c r="N150" s="286"/>
      <c r="O150" s="285"/>
      <c r="P150" s="285"/>
      <c r="Q150" s="285"/>
      <c r="R150" s="278"/>
      <c r="S150" s="278"/>
      <c r="T150" s="278"/>
    </row>
    <row r="151" spans="1:28" hidden="1" outlineLevel="1" x14ac:dyDescent="0.25">
      <c r="A151" s="278"/>
      <c r="B151" s="279" t="str">
        <f t="shared" si="45"/>
        <v/>
      </c>
      <c r="C151" s="278"/>
      <c r="D151" s="278"/>
      <c r="E151" s="278"/>
      <c r="F151" s="278"/>
      <c r="G151" s="278"/>
      <c r="H151" s="290"/>
      <c r="I151" s="280">
        <f t="shared" si="46"/>
        <v>0</v>
      </c>
      <c r="J151" s="281">
        <f t="shared" si="47"/>
        <v>0</v>
      </c>
      <c r="K151" s="282">
        <f>IF(Notes!$B$9="Domestic",I151, IF(Notes!$B$9="Commercial",J151))*$K$145</f>
        <v>0</v>
      </c>
      <c r="L151" s="283">
        <f>(SUM(O151:Q151)+(K151+SUM(M151:Q151))*(INDEX($U$145:$AB$145,MATCH(Notes!$C$16,$U$3:$AB$3,0))-100%))*$L$145</f>
        <v>0</v>
      </c>
      <c r="M151" s="286"/>
      <c r="N151" s="286"/>
      <c r="O151" s="285"/>
      <c r="P151" s="285"/>
      <c r="Q151" s="285"/>
      <c r="R151" s="278"/>
      <c r="S151" s="278"/>
      <c r="T151" s="278"/>
    </row>
    <row r="152" spans="1:28" hidden="1" outlineLevel="1" x14ac:dyDescent="0.25">
      <c r="A152" s="278"/>
      <c r="B152" s="279" t="str">
        <f t="shared" si="45"/>
        <v/>
      </c>
      <c r="C152" s="278"/>
      <c r="D152" s="278"/>
      <c r="E152" s="278"/>
      <c r="F152" s="278"/>
      <c r="G152" s="278"/>
      <c r="H152" s="290"/>
      <c r="I152" s="280">
        <f t="shared" si="46"/>
        <v>0</v>
      </c>
      <c r="J152" s="281">
        <f t="shared" si="47"/>
        <v>0</v>
      </c>
      <c r="K152" s="282">
        <f>IF(Notes!$B$9="Domestic",I152, IF(Notes!$B$9="Commercial",J152))*$K$145</f>
        <v>0</v>
      </c>
      <c r="L152" s="283">
        <f>(SUM(O152:Q152)+(K152+SUM(M152:Q152))*(INDEX($U$145:$AB$145,MATCH(Notes!$C$16,$U$3:$AB$3,0))-100%))*$L$145</f>
        <v>0</v>
      </c>
      <c r="M152" s="286"/>
      <c r="N152" s="286"/>
      <c r="O152" s="285"/>
      <c r="P152" s="285"/>
      <c r="Q152" s="285"/>
      <c r="R152" s="278"/>
      <c r="S152" s="278"/>
      <c r="T152" s="278"/>
    </row>
    <row r="153" spans="1:28" hidden="1" outlineLevel="1" x14ac:dyDescent="0.25">
      <c r="A153" s="278"/>
      <c r="B153" s="279" t="str">
        <f t="shared" si="45"/>
        <v/>
      </c>
      <c r="C153" s="278"/>
      <c r="D153" s="278"/>
      <c r="E153" s="278"/>
      <c r="F153" s="278"/>
      <c r="G153" s="278"/>
      <c r="H153" s="290"/>
      <c r="I153" s="280">
        <f t="shared" si="46"/>
        <v>0</v>
      </c>
      <c r="J153" s="281">
        <f t="shared" si="47"/>
        <v>0</v>
      </c>
      <c r="K153" s="282">
        <f>IF(Notes!$B$9="Domestic",I153, IF(Notes!$B$9="Commercial",J153))*$K$145</f>
        <v>0</v>
      </c>
      <c r="L153" s="283">
        <f>(SUM(O153:Q153)+(K153+SUM(M153:Q153))*(INDEX($U$145:$AB$145,MATCH(Notes!$C$16,$U$3:$AB$3,0))-100%))*$L$145</f>
        <v>0</v>
      </c>
      <c r="M153" s="286"/>
      <c r="N153" s="286"/>
      <c r="O153" s="285"/>
      <c r="P153" s="285"/>
      <c r="Q153" s="285"/>
      <c r="R153" s="278"/>
      <c r="S153" s="278"/>
      <c r="T153" s="278"/>
    </row>
    <row r="154" spans="1:28" hidden="1" outlineLevel="1" x14ac:dyDescent="0.25">
      <c r="A154" s="278"/>
      <c r="B154" s="279" t="str">
        <f t="shared" si="45"/>
        <v/>
      </c>
      <c r="C154" s="278"/>
      <c r="D154" s="278"/>
      <c r="E154" s="278"/>
      <c r="F154" s="278"/>
      <c r="G154" s="278"/>
      <c r="H154" s="290"/>
      <c r="I154" s="280">
        <f t="shared" si="46"/>
        <v>0</v>
      </c>
      <c r="J154" s="281">
        <f t="shared" si="47"/>
        <v>0</v>
      </c>
      <c r="K154" s="282">
        <f>IF(Notes!$B$9="Domestic",I154, IF(Notes!$B$9="Commercial",J154))*$K$145</f>
        <v>0</v>
      </c>
      <c r="L154" s="283">
        <f>(SUM(O154:Q154)+(K154+SUM(M154:Q154))*(INDEX($U$145:$AB$145,MATCH(Notes!$C$16,$U$3:$AB$3,0))-100%))*$L$145</f>
        <v>0</v>
      </c>
      <c r="M154" s="286"/>
      <c r="N154" s="286"/>
      <c r="O154" s="285"/>
      <c r="P154" s="285"/>
      <c r="Q154" s="285"/>
      <c r="R154" s="278"/>
      <c r="S154" s="278"/>
      <c r="T154" s="278"/>
    </row>
    <row r="155" spans="1:28" hidden="1" outlineLevel="1" x14ac:dyDescent="0.25">
      <c r="A155" s="278"/>
      <c r="B155" s="279" t="str">
        <f t="shared" si="45"/>
        <v/>
      </c>
      <c r="C155" s="278"/>
      <c r="D155" s="278"/>
      <c r="E155" s="278"/>
      <c r="F155" s="278"/>
      <c r="G155" s="278"/>
      <c r="H155" s="290"/>
      <c r="I155" s="280">
        <f t="shared" si="46"/>
        <v>0</v>
      </c>
      <c r="J155" s="281">
        <f t="shared" si="47"/>
        <v>0</v>
      </c>
      <c r="K155" s="282">
        <f>IF(Notes!$B$9="Domestic",I155, IF(Notes!$B$9="Commercial",J155))*$K$145</f>
        <v>0</v>
      </c>
      <c r="L155" s="283">
        <f>(SUM(O155:Q155)+(K155+SUM(M155:Q155))*(INDEX($U$145:$AB$145,MATCH(Notes!$C$16,$U$3:$AB$3,0))-100%))*$L$145</f>
        <v>0</v>
      </c>
      <c r="M155" s="286"/>
      <c r="N155" s="286"/>
      <c r="O155" s="285"/>
      <c r="P155" s="285"/>
      <c r="Q155" s="285"/>
      <c r="R155" s="278"/>
      <c r="S155" s="278"/>
      <c r="T155" s="278"/>
    </row>
    <row r="156" spans="1:28" ht="21" hidden="1" outlineLevel="1" x14ac:dyDescent="0.25">
      <c r="A156" s="299"/>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row>
    <row r="157" spans="1:28" ht="15.75" hidden="1" outlineLevel="1" x14ac:dyDescent="0.25">
      <c r="A157" s="291"/>
      <c r="B157" s="291"/>
      <c r="C157" s="291"/>
      <c r="D157" s="291"/>
      <c r="E157" s="291"/>
      <c r="F157" s="291"/>
      <c r="G157" s="291"/>
      <c r="H157" s="291"/>
      <c r="I157" s="291"/>
      <c r="J157" s="291"/>
      <c r="K157" s="291">
        <f>K$2</f>
        <v>1</v>
      </c>
      <c r="L157" s="291">
        <f t="shared" ref="L157" si="48">L$2</f>
        <v>1</v>
      </c>
      <c r="M157" s="291"/>
      <c r="N157" s="291"/>
      <c r="O157" s="303"/>
      <c r="P157" s="303"/>
      <c r="Q157" s="303"/>
      <c r="R157" s="291"/>
      <c r="S157" s="291"/>
      <c r="T157" s="291"/>
      <c r="U157" s="291">
        <f>U$2</f>
        <v>0.96685082872928185</v>
      </c>
      <c r="V157" s="291">
        <f>V$2</f>
        <v>1</v>
      </c>
      <c r="W157" s="291">
        <f t="shared" ref="W157:AB157" si="49">W$2</f>
        <v>1.0423572744014733</v>
      </c>
      <c r="X157" s="291">
        <f t="shared" si="49"/>
        <v>0.97605893186003689</v>
      </c>
      <c r="Y157" s="291">
        <f t="shared" si="49"/>
        <v>1.149171270718232</v>
      </c>
      <c r="Z157" s="291">
        <f t="shared" si="49"/>
        <v>0.9576427255985267</v>
      </c>
      <c r="AA157" s="291">
        <f t="shared" si="49"/>
        <v>0.9576427255985267</v>
      </c>
      <c r="AB157" s="291">
        <f t="shared" si="49"/>
        <v>0.99263351749539597</v>
      </c>
    </row>
    <row r="158" spans="1:28" hidden="1" outlineLevel="1" x14ac:dyDescent="0.25">
      <c r="A158" s="278"/>
      <c r="B158" s="279" t="str">
        <f t="shared" ref="B158:B167" si="50">C158&amp;D158&amp;E158&amp;F158</f>
        <v/>
      </c>
      <c r="C158" s="278"/>
      <c r="D158" s="278"/>
      <c r="E158" s="278"/>
      <c r="F158" s="278"/>
      <c r="G158" s="278"/>
      <c r="H158" s="290"/>
      <c r="I158" s="280">
        <f>$I$2*H158</f>
        <v>0</v>
      </c>
      <c r="J158" s="281">
        <f>$J$2*H158</f>
        <v>0</v>
      </c>
      <c r="K158" s="282">
        <f>IF(Notes!$B$9="Domestic",I158, IF(Notes!$B$9="Commercial",J158))*$K$157</f>
        <v>0</v>
      </c>
      <c r="L158" s="283">
        <f>(SUM(O158:Q158)+(K158+SUM(M158:Q158))*(INDEX($U$157:$AB$157,MATCH(Notes!$C$16,$U$3:$AB$3,0))-100%))*$L$157</f>
        <v>0</v>
      </c>
      <c r="M158" s="286"/>
      <c r="N158" s="286"/>
      <c r="O158" s="285"/>
      <c r="P158" s="285"/>
      <c r="Q158" s="285"/>
      <c r="R158" s="278"/>
      <c r="S158" s="278"/>
      <c r="T158" s="278"/>
    </row>
    <row r="159" spans="1:28" hidden="1" outlineLevel="1" x14ac:dyDescent="0.25">
      <c r="A159" s="278"/>
      <c r="B159" s="279" t="str">
        <f t="shared" si="50"/>
        <v/>
      </c>
      <c r="C159" s="278"/>
      <c r="D159" s="278"/>
      <c r="E159" s="278"/>
      <c r="F159" s="278"/>
      <c r="G159" s="278"/>
      <c r="H159" s="290"/>
      <c r="I159" s="280">
        <f t="shared" ref="I159:I167" si="51">$I$2*H159</f>
        <v>0</v>
      </c>
      <c r="J159" s="281">
        <f t="shared" ref="J159:J167" si="52">$J$2*H159</f>
        <v>0</v>
      </c>
      <c r="K159" s="282">
        <f>IF(Notes!$B$9="Domestic",I159, IF(Notes!$B$9="Commercial",J159))*$K$157</f>
        <v>0</v>
      </c>
      <c r="L159" s="283">
        <f>(SUM(O159:Q159)+(K159+SUM(M159:Q159))*(INDEX($U$157:$AB$157,MATCH(Notes!$C$16,$U$3:$AB$3,0))-100%))*$L$157</f>
        <v>0</v>
      </c>
      <c r="M159" s="286"/>
      <c r="N159" s="286"/>
      <c r="O159" s="285"/>
      <c r="P159" s="285"/>
      <c r="Q159" s="285"/>
      <c r="R159" s="278"/>
      <c r="S159" s="278"/>
      <c r="T159" s="278"/>
    </row>
    <row r="160" spans="1:28" hidden="1" outlineLevel="1" x14ac:dyDescent="0.25">
      <c r="A160" s="278"/>
      <c r="B160" s="279" t="str">
        <f t="shared" si="50"/>
        <v/>
      </c>
      <c r="C160" s="278"/>
      <c r="D160" s="278"/>
      <c r="E160" s="278"/>
      <c r="F160" s="278"/>
      <c r="G160" s="278"/>
      <c r="H160" s="290"/>
      <c r="I160" s="280">
        <f t="shared" si="51"/>
        <v>0</v>
      </c>
      <c r="J160" s="281">
        <f t="shared" si="52"/>
        <v>0</v>
      </c>
      <c r="K160" s="282">
        <f>IF(Notes!$B$9="Domestic",I160, IF(Notes!$B$9="Commercial",J160))*$K$157</f>
        <v>0</v>
      </c>
      <c r="L160" s="283">
        <f>(SUM(O160:Q160)+(K160+SUM(M160:Q160))*(INDEX($U$157:$AB$157,MATCH(Notes!$C$16,$U$3:$AB$3,0))-100%))*$L$157</f>
        <v>0</v>
      </c>
      <c r="M160" s="286"/>
      <c r="N160" s="286"/>
      <c r="O160" s="285"/>
      <c r="P160" s="285"/>
      <c r="Q160" s="285"/>
      <c r="R160" s="278"/>
      <c r="S160" s="278"/>
      <c r="T160" s="278"/>
    </row>
    <row r="161" spans="1:20" hidden="1" outlineLevel="1" x14ac:dyDescent="0.25">
      <c r="A161" s="278"/>
      <c r="B161" s="279" t="str">
        <f t="shared" si="50"/>
        <v/>
      </c>
      <c r="C161" s="278"/>
      <c r="D161" s="278"/>
      <c r="E161" s="278"/>
      <c r="F161" s="278"/>
      <c r="G161" s="278"/>
      <c r="H161" s="290"/>
      <c r="I161" s="280">
        <f t="shared" si="51"/>
        <v>0</v>
      </c>
      <c r="J161" s="281">
        <f t="shared" si="52"/>
        <v>0</v>
      </c>
      <c r="K161" s="282">
        <f>IF(Notes!$B$9="Domestic",I161, IF(Notes!$B$9="Commercial",J161))*$K$157</f>
        <v>0</v>
      </c>
      <c r="L161" s="283">
        <f>(SUM(O161:Q161)+(K161+SUM(M161:Q161))*(INDEX($U$157:$AB$157,MATCH(Notes!$C$16,$U$3:$AB$3,0))-100%))*$L$157</f>
        <v>0</v>
      </c>
      <c r="M161" s="286"/>
      <c r="N161" s="286"/>
      <c r="O161" s="285"/>
      <c r="P161" s="285"/>
      <c r="Q161" s="285"/>
      <c r="R161" s="278"/>
      <c r="S161" s="278"/>
      <c r="T161" s="278"/>
    </row>
    <row r="162" spans="1:20" hidden="1" outlineLevel="1" x14ac:dyDescent="0.25">
      <c r="A162" s="278"/>
      <c r="B162" s="279" t="str">
        <f t="shared" si="50"/>
        <v/>
      </c>
      <c r="C162" s="278"/>
      <c r="D162" s="278"/>
      <c r="E162" s="278"/>
      <c r="F162" s="278"/>
      <c r="G162" s="278"/>
      <c r="H162" s="290"/>
      <c r="I162" s="280">
        <f>$I$2*H162</f>
        <v>0</v>
      </c>
      <c r="J162" s="281">
        <f t="shared" si="52"/>
        <v>0</v>
      </c>
      <c r="K162" s="282">
        <f>IF(Notes!$B$9="Domestic",I162, IF(Notes!$B$9="Commercial",J162))*$K$157</f>
        <v>0</v>
      </c>
      <c r="L162" s="283">
        <f>(SUM(O162:Q162)+(K162+SUM(M162:Q162))*(INDEX($U$157:$AB$157,MATCH(Notes!$C$16,$U$3:$AB$3,0))-100%))*$L$157</f>
        <v>0</v>
      </c>
      <c r="M162" s="286"/>
      <c r="N162" s="286"/>
      <c r="O162" s="285"/>
      <c r="P162" s="285"/>
      <c r="Q162" s="285"/>
      <c r="R162" s="278"/>
      <c r="S162" s="278"/>
      <c r="T162" s="278"/>
    </row>
    <row r="163" spans="1:20" hidden="1" outlineLevel="1" x14ac:dyDescent="0.25">
      <c r="A163" s="278"/>
      <c r="B163" s="279" t="str">
        <f t="shared" si="50"/>
        <v/>
      </c>
      <c r="C163" s="278"/>
      <c r="D163" s="278"/>
      <c r="E163" s="278"/>
      <c r="F163" s="278"/>
      <c r="G163" s="278"/>
      <c r="H163" s="290"/>
      <c r="I163" s="280">
        <f t="shared" si="51"/>
        <v>0</v>
      </c>
      <c r="J163" s="281">
        <f t="shared" si="52"/>
        <v>0</v>
      </c>
      <c r="K163" s="282">
        <f>IF(Notes!$B$9="Domestic",I163, IF(Notes!$B$9="Commercial",J163))*$K$157</f>
        <v>0</v>
      </c>
      <c r="L163" s="283">
        <f>(SUM(O163:Q163)+(K163+SUM(M163:Q163))*(INDEX($U$157:$AB$157,MATCH(Notes!$C$16,$U$3:$AB$3,0))-100%))*$L$157</f>
        <v>0</v>
      </c>
      <c r="M163" s="286"/>
      <c r="N163" s="286"/>
      <c r="O163" s="285"/>
      <c r="P163" s="285"/>
      <c r="Q163" s="285"/>
      <c r="R163" s="278"/>
      <c r="S163" s="278"/>
      <c r="T163" s="278"/>
    </row>
    <row r="164" spans="1:20" hidden="1" outlineLevel="1" x14ac:dyDescent="0.25">
      <c r="A164" s="278"/>
      <c r="B164" s="279" t="str">
        <f t="shared" si="50"/>
        <v/>
      </c>
      <c r="C164" s="278"/>
      <c r="D164" s="278"/>
      <c r="E164" s="278"/>
      <c r="F164" s="278"/>
      <c r="G164" s="278"/>
      <c r="H164" s="290"/>
      <c r="I164" s="280">
        <f t="shared" si="51"/>
        <v>0</v>
      </c>
      <c r="J164" s="281">
        <f t="shared" si="52"/>
        <v>0</v>
      </c>
      <c r="K164" s="282">
        <f>IF(Notes!$B$9="Domestic",I164, IF(Notes!$B$9="Commercial",J164))*$K$157</f>
        <v>0</v>
      </c>
      <c r="L164" s="283">
        <f>(SUM(O164:Q164)+(K164+SUM(M164:Q164))*(INDEX($U$157:$AB$157,MATCH(Notes!$C$16,$U$3:$AB$3,0))-100%))*$L$157</f>
        <v>0</v>
      </c>
      <c r="M164" s="286"/>
      <c r="N164" s="286"/>
      <c r="O164" s="285"/>
      <c r="P164" s="285"/>
      <c r="Q164" s="285"/>
      <c r="R164" s="278"/>
      <c r="S164" s="278"/>
      <c r="T164" s="278"/>
    </row>
    <row r="165" spans="1:20" hidden="1" outlineLevel="1" x14ac:dyDescent="0.25">
      <c r="A165" s="278"/>
      <c r="B165" s="279" t="str">
        <f t="shared" si="50"/>
        <v/>
      </c>
      <c r="C165" s="278"/>
      <c r="D165" s="278"/>
      <c r="E165" s="278"/>
      <c r="F165" s="278"/>
      <c r="G165" s="278"/>
      <c r="H165" s="290"/>
      <c r="I165" s="280">
        <f t="shared" si="51"/>
        <v>0</v>
      </c>
      <c r="J165" s="281">
        <f t="shared" si="52"/>
        <v>0</v>
      </c>
      <c r="K165" s="282">
        <f>IF(Notes!$B$9="Domestic",I165, IF(Notes!$B$9="Commercial",J165))*$K$157</f>
        <v>0</v>
      </c>
      <c r="L165" s="283">
        <f>(SUM(O165:Q165)+(K165+SUM(M165:Q165))*(INDEX($U$157:$AB$157,MATCH(Notes!$C$16,$U$3:$AB$3,0))-100%))*$L$157</f>
        <v>0</v>
      </c>
      <c r="M165" s="286"/>
      <c r="N165" s="286"/>
      <c r="O165" s="285"/>
      <c r="P165" s="285"/>
      <c r="Q165" s="285"/>
      <c r="R165" s="278"/>
      <c r="S165" s="278"/>
      <c r="T165" s="278"/>
    </row>
    <row r="166" spans="1:20" hidden="1" outlineLevel="1" x14ac:dyDescent="0.25">
      <c r="A166" s="278"/>
      <c r="B166" s="279" t="str">
        <f t="shared" si="50"/>
        <v/>
      </c>
      <c r="C166" s="278"/>
      <c r="D166" s="278"/>
      <c r="E166" s="278"/>
      <c r="F166" s="278"/>
      <c r="G166" s="278"/>
      <c r="H166" s="290"/>
      <c r="I166" s="280">
        <f t="shared" si="51"/>
        <v>0</v>
      </c>
      <c r="J166" s="281">
        <f t="shared" si="52"/>
        <v>0</v>
      </c>
      <c r="K166" s="282">
        <f>IF(Notes!$B$9="Domestic",I166, IF(Notes!$B$9="Commercial",J166))*$K$157</f>
        <v>0</v>
      </c>
      <c r="L166" s="283">
        <f>(SUM(O166:Q166)+(K166+SUM(M166:Q166))*(INDEX($U$157:$AB$157,MATCH(Notes!$C$16,$U$3:$AB$3,0))-100%))*$L$157</f>
        <v>0</v>
      </c>
      <c r="M166" s="286"/>
      <c r="N166" s="286"/>
      <c r="O166" s="285"/>
      <c r="P166" s="285"/>
      <c r="Q166" s="285"/>
      <c r="R166" s="278"/>
      <c r="S166" s="278"/>
      <c r="T166" s="278"/>
    </row>
    <row r="167" spans="1:20" hidden="1" outlineLevel="1" x14ac:dyDescent="0.25">
      <c r="A167" s="278"/>
      <c r="B167" s="279" t="str">
        <f t="shared" si="50"/>
        <v/>
      </c>
      <c r="C167" s="278"/>
      <c r="D167" s="278"/>
      <c r="E167" s="278"/>
      <c r="F167" s="278"/>
      <c r="G167" s="278"/>
      <c r="H167" s="290"/>
      <c r="I167" s="280">
        <f t="shared" si="51"/>
        <v>0</v>
      </c>
      <c r="J167" s="281">
        <f t="shared" si="52"/>
        <v>0</v>
      </c>
      <c r="K167" s="282">
        <f>IF(Notes!$B$9="Domestic",I167, IF(Notes!$B$9="Commercial",J167))*$K$157</f>
        <v>0</v>
      </c>
      <c r="L167" s="283">
        <f>(SUM(O167:Q167)+(K167+SUM(M167:Q167))*(INDEX($U$157:$AB$157,MATCH(Notes!$C$16,$U$3:$AB$3,0))-100%))*$L$157</f>
        <v>0</v>
      </c>
      <c r="M167" s="286"/>
      <c r="N167" s="286"/>
      <c r="O167" s="285"/>
      <c r="P167" s="285"/>
      <c r="Q167" s="285"/>
      <c r="R167" s="278"/>
      <c r="S167" s="278"/>
      <c r="T167" s="278"/>
    </row>
    <row r="168" spans="1:20" hidden="1" outlineLevel="1" x14ac:dyDescent="0.25">
      <c r="A168" s="284" t="str">
        <f>C168&amp;D168&amp;E168</f>
        <v/>
      </c>
      <c r="B168" s="284"/>
      <c r="C168" s="284"/>
      <c r="D168" s="284"/>
      <c r="E168" s="284"/>
      <c r="F168" s="284"/>
      <c r="G168" s="284"/>
      <c r="H168" s="284"/>
      <c r="I168" s="284"/>
      <c r="J168" s="284"/>
      <c r="K168" s="284"/>
      <c r="L168" s="284"/>
      <c r="M168" s="284"/>
      <c r="N168" s="284"/>
      <c r="O168" s="284"/>
      <c r="P168" s="284"/>
      <c r="Q168" s="284"/>
      <c r="R168" s="284"/>
      <c r="S168" s="284"/>
      <c r="T168" s="284"/>
    </row>
    <row r="169" spans="1:20" hidden="1" outlineLevel="1" x14ac:dyDescent="0.25"/>
    <row r="170" spans="1:20" hidden="1" outlineLevel="1" x14ac:dyDescent="0.25"/>
    <row r="171" spans="1:20" collapsed="1" x14ac:dyDescent="0.25"/>
  </sheetData>
  <sheetProtection algorithmName="SHA-512" hashValue="m/UPbgCWceI7f42Z0HpTtITtCf9fwwDXujB1qeWCD/Cf3DcnDM37/UHEZTR4LSBhbUm99qotosAKj7BBTF5ncA==" saltValue="5jcsvl8VCAkDx9UlNTzL7Q=="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1:S293"/>
  <sheetViews>
    <sheetView view="pageBreakPreview" zoomScale="85" zoomScaleNormal="85" zoomScaleSheetLayoutView="85"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'Roofing &amp; Metal Cladding'!A2+1</f>
        <v>11</v>
      </c>
      <c r="B2" s="73" t="s" cm="1">
        <v>2441</v>
      </c>
      <c r="C2" s="75"/>
      <c r="D2" s="76"/>
      <c r="E2" s="77"/>
      <c r="F2" s="78"/>
      <c r="G2" s="207"/>
      <c r="H2" s="221" t="s">
        <v>26</v>
      </c>
      <c r="I2" s="222" t="s">
        <v>27</v>
      </c>
      <c r="J2" s="222" t="s">
        <v>28</v>
      </c>
      <c r="K2" s="222" t="s">
        <v>34</v>
      </c>
      <c r="L2" s="222" t="s">
        <v>615</v>
      </c>
      <c r="M2" s="80"/>
      <c r="N2" s="71"/>
    </row>
    <row r="3" spans="1:19" s="90" customFormat="1" ht="37.5" x14ac:dyDescent="0.25">
      <c r="A3" s="82">
        <f ca="1">IF(C3&gt;0,MAX($A$1:OFFSET(A3,-1,0))+0.01,"")</f>
        <v>11.01</v>
      </c>
      <c r="B3" s="27" t="s">
        <v>904</v>
      </c>
      <c r="C3" s="83">
        <v>36.4</v>
      </c>
      <c r="D3" s="29" t="s">
        <v>11</v>
      </c>
      <c r="E3" s="85"/>
      <c r="F3" s="86">
        <f>IF(E3="inc",0,IF(C3="",0,C3*E3))</f>
        <v>0</v>
      </c>
      <c r="G3" s="208"/>
      <c r="H3" s="30"/>
      <c r="I3" s="30"/>
      <c r="J3" s="30"/>
      <c r="K3" s="30"/>
      <c r="L3" s="30"/>
      <c r="M3" s="87"/>
      <c r="N3" s="88"/>
      <c r="O3" s="25"/>
      <c r="P3" s="25"/>
      <c r="Q3" s="25"/>
      <c r="R3" s="25"/>
      <c r="S3" s="25"/>
    </row>
    <row r="4" spans="1:19" s="94" customFormat="1" ht="20.45" customHeight="1" x14ac:dyDescent="0.25">
      <c r="A4" s="112"/>
      <c r="B4" s="387" t="s">
        <v>2324</v>
      </c>
      <c r="C4" s="32">
        <v>36.4</v>
      </c>
      <c r="D4" s="32" t="s">
        <v>11</v>
      </c>
      <c r="E4" s="26"/>
      <c r="F4" s="33"/>
      <c r="G4" s="210"/>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90" customFormat="1" ht="18.75" x14ac:dyDescent="0.25">
      <c r="A6" s="82">
        <f ca="1">IF(C6&gt;0,MAX($A$1:OFFSET(A6,-1,0))+0.01,"")</f>
        <v>11.02</v>
      </c>
      <c r="B6" s="27" t="s">
        <v>2323</v>
      </c>
      <c r="C6" s="98">
        <v>24.87</v>
      </c>
      <c r="D6" s="29" t="s">
        <v>11</v>
      </c>
      <c r="E6" s="85"/>
      <c r="F6" s="86">
        <f>IF(E6="inc",0,IF(C6="",0,C6*E6))</f>
        <v>0</v>
      </c>
      <c r="G6" s="208"/>
      <c r="H6" s="30"/>
      <c r="I6" s="30"/>
      <c r="J6" s="30"/>
      <c r="K6" s="30"/>
      <c r="L6" s="30"/>
      <c r="M6" s="87"/>
      <c r="N6" s="88"/>
      <c r="O6" s="25"/>
      <c r="P6" s="25"/>
      <c r="Q6" s="25"/>
      <c r="R6" s="25"/>
      <c r="S6" s="25"/>
    </row>
    <row r="7" spans="1:19" s="94" customFormat="1" ht="15.75" x14ac:dyDescent="0.25">
      <c r="A7" s="24"/>
      <c r="B7" s="24"/>
      <c r="C7" s="32">
        <v>24.87</v>
      </c>
      <c r="D7" s="32" t="s">
        <v>11</v>
      </c>
      <c r="E7" s="26"/>
      <c r="F7" s="33"/>
      <c r="G7" s="210"/>
      <c r="H7" s="26"/>
      <c r="I7" s="26"/>
      <c r="J7" s="26"/>
      <c r="K7" s="26"/>
      <c r="L7" s="26"/>
      <c r="M7" s="34"/>
      <c r="N7" s="32"/>
      <c r="O7" s="44"/>
    </row>
    <row r="8" spans="1:19" s="94" customFormat="1" ht="15.75" x14ac:dyDescent="0.25">
      <c r="A8" s="24"/>
      <c r="B8" s="24"/>
      <c r="C8" s="32" t="s">
        <v>2346</v>
      </c>
      <c r="D8" s="32">
        <v>0</v>
      </c>
      <c r="E8" s="26"/>
      <c r="F8" s="33"/>
      <c r="G8" s="210"/>
      <c r="H8" s="26"/>
      <c r="I8" s="26"/>
      <c r="J8" s="26"/>
      <c r="K8" s="26"/>
      <c r="L8" s="26"/>
      <c r="M8" s="34"/>
      <c r="N8" s="32"/>
      <c r="O8" s="44"/>
    </row>
    <row r="9" spans="1:19" s="79" customFormat="1" ht="21.75" thickBot="1" x14ac:dyDescent="0.4">
      <c r="A9" s="99"/>
      <c r="B9" s="394" t="s">
        <v>4</v>
      </c>
      <c r="C9" s="395"/>
      <c r="D9" s="396"/>
      <c r="E9" s="100"/>
      <c r="F9" s="101">
        <f ca="1">SUM(F$2:OFFSET(F9,-1,0))</f>
        <v>0</v>
      </c>
      <c r="G9" s="208"/>
      <c r="H9" s="100"/>
      <c r="I9" s="100"/>
      <c r="J9" s="100"/>
      <c r="K9" s="100"/>
      <c r="L9" s="100"/>
      <c r="M9" s="102"/>
      <c r="N9" s="103"/>
    </row>
    <row r="10" spans="1:19" s="94" customFormat="1" ht="15.75" x14ac:dyDescent="0.25">
      <c r="A10" s="105"/>
      <c r="B10" s="25"/>
      <c r="C10" s="106"/>
      <c r="D10" s="32"/>
      <c r="E10" s="92"/>
      <c r="F10" s="107"/>
      <c r="G10" s="107"/>
      <c r="H10" s="107"/>
      <c r="I10" s="26"/>
      <c r="J10" s="26"/>
      <c r="K10" s="26"/>
      <c r="L10" s="26"/>
      <c r="M10" s="88"/>
      <c r="N10" s="88"/>
    </row>
    <row r="11" spans="1:19" ht="15.75" x14ac:dyDescent="0.25">
      <c r="C11" s="106"/>
      <c r="G11" s="107"/>
      <c r="H11" s="107"/>
      <c r="I11" s="26"/>
      <c r="J11" s="26"/>
      <c r="K11" s="26"/>
      <c r="L11" s="26"/>
    </row>
    <row r="12" spans="1:19" ht="15.75" x14ac:dyDescent="0.25">
      <c r="G12" s="107"/>
      <c r="H12" s="107"/>
      <c r="I12" s="26"/>
      <c r="J12" s="26"/>
      <c r="K12" s="26"/>
      <c r="L12" s="26"/>
    </row>
    <row r="13" spans="1:19" ht="15.75" x14ac:dyDescent="0.25">
      <c r="G13" s="107"/>
      <c r="H13" s="107"/>
      <c r="I13" s="26"/>
      <c r="J13" s="26"/>
      <c r="K13" s="26"/>
      <c r="L13" s="26"/>
    </row>
    <row r="14" spans="1:19" ht="15.75" x14ac:dyDescent="0.25">
      <c r="F14" s="108" t="e">
        <f ca="1">F9-#REF!</f>
        <v>#REF!</v>
      </c>
      <c r="G14" s="107"/>
      <c r="H14" s="107"/>
      <c r="I14" s="26"/>
      <c r="J14" s="26"/>
      <c r="K14" s="26"/>
      <c r="L14" s="26"/>
    </row>
    <row r="15" spans="1:19" ht="15.75" x14ac:dyDescent="0.25">
      <c r="G15" s="107"/>
      <c r="H15" s="107"/>
      <c r="I15" s="26"/>
      <c r="J15" s="26"/>
      <c r="K15" s="26"/>
      <c r="L15" s="26"/>
    </row>
    <row r="16" spans="1:19" ht="15.75" x14ac:dyDescent="0.25">
      <c r="G16" s="107"/>
      <c r="H16" s="107"/>
      <c r="I16" s="26"/>
      <c r="J16" s="26"/>
      <c r="K16" s="26"/>
      <c r="L16" s="26"/>
    </row>
    <row r="17" spans="1:19" ht="15.75" x14ac:dyDescent="0.25">
      <c r="G17" s="107"/>
      <c r="H17" s="107"/>
      <c r="I17" s="26"/>
      <c r="J17" s="26"/>
      <c r="K17" s="26"/>
      <c r="L17" s="26"/>
    </row>
    <row r="18" spans="1:19" ht="15.75" x14ac:dyDescent="0.25">
      <c r="G18" s="107"/>
      <c r="H18" s="107"/>
      <c r="I18" s="26"/>
      <c r="J18" s="26"/>
      <c r="K18" s="26"/>
      <c r="L18" s="26"/>
    </row>
    <row r="19" spans="1:19" ht="15.75" x14ac:dyDescent="0.25">
      <c r="G19" s="107"/>
      <c r="H19" s="107"/>
      <c r="I19" s="26"/>
      <c r="J19" s="26"/>
      <c r="K19" s="26"/>
      <c r="L19" s="26"/>
    </row>
    <row r="20" spans="1:19" ht="15.75" x14ac:dyDescent="0.25">
      <c r="G20" s="107"/>
      <c r="H20" s="107"/>
      <c r="I20" s="26"/>
      <c r="J20" s="26"/>
      <c r="K20" s="26"/>
      <c r="L20" s="26"/>
    </row>
    <row r="21" spans="1:19" ht="15.75" x14ac:dyDescent="0.25">
      <c r="G21" s="107"/>
      <c r="H21" s="107"/>
      <c r="I21" s="26"/>
      <c r="J21" s="26"/>
      <c r="K21" s="26"/>
      <c r="L21" s="26"/>
    </row>
    <row r="22" spans="1:19" ht="15.75" x14ac:dyDescent="0.25">
      <c r="G22" s="107"/>
      <c r="H22" s="107"/>
      <c r="I22" s="26"/>
      <c r="J22" s="26"/>
      <c r="K22" s="26"/>
      <c r="L22" s="26"/>
    </row>
    <row r="23" spans="1:19" ht="15.75" x14ac:dyDescent="0.25">
      <c r="G23" s="107"/>
      <c r="H23" s="107"/>
      <c r="I23" s="26"/>
      <c r="J23" s="26"/>
      <c r="K23" s="26"/>
      <c r="L23" s="26"/>
    </row>
    <row r="24" spans="1:19" s="110" customFormat="1" ht="15.75" x14ac:dyDescent="0.25">
      <c r="A24" s="25"/>
      <c r="B24" s="25"/>
      <c r="D24" s="36"/>
      <c r="E24" s="25"/>
      <c r="F24" s="108"/>
      <c r="G24" s="107"/>
      <c r="H24" s="107"/>
      <c r="I24" s="26"/>
      <c r="J24" s="26"/>
      <c r="K24" s="26"/>
      <c r="L24" s="26"/>
      <c r="M24" s="88"/>
      <c r="N24" s="88"/>
      <c r="O24" s="25"/>
      <c r="P24" s="25"/>
      <c r="Q24" s="25"/>
      <c r="R24" s="25"/>
      <c r="S24" s="25"/>
    </row>
    <row r="25" spans="1:19" s="110" customFormat="1" ht="15.75" x14ac:dyDescent="0.25">
      <c r="A25" s="25"/>
      <c r="B25" s="25"/>
      <c r="D25" s="36"/>
      <c r="E25" s="25"/>
      <c r="F25" s="108"/>
      <c r="G25" s="107"/>
      <c r="H25" s="107"/>
      <c r="I25" s="26"/>
      <c r="J25" s="26"/>
      <c r="K25" s="26"/>
      <c r="L25" s="26"/>
      <c r="M25" s="88"/>
      <c r="N25" s="88"/>
      <c r="O25" s="25"/>
      <c r="P25" s="25"/>
      <c r="Q25" s="25"/>
      <c r="R25" s="25"/>
      <c r="S25" s="25"/>
    </row>
    <row r="26" spans="1:19" s="110" customFormat="1" ht="15.75" x14ac:dyDescent="0.25">
      <c r="A26" s="25"/>
      <c r="B26" s="25"/>
      <c r="D26" s="36"/>
      <c r="E26" s="25"/>
      <c r="F26" s="108"/>
      <c r="G26" s="107"/>
      <c r="H26" s="107"/>
      <c r="I26" s="26"/>
      <c r="J26" s="26"/>
      <c r="K26" s="26"/>
      <c r="L26" s="26"/>
      <c r="M26" s="88"/>
      <c r="N26" s="88"/>
      <c r="O26" s="25"/>
      <c r="P26" s="25"/>
      <c r="Q26" s="25"/>
      <c r="R26" s="25"/>
      <c r="S26" s="25"/>
    </row>
    <row r="27" spans="1:19" s="110" customFormat="1" ht="15.75" x14ac:dyDescent="0.25">
      <c r="A27" s="25"/>
      <c r="B27" s="25"/>
      <c r="D27" s="36"/>
      <c r="E27" s="25"/>
      <c r="F27" s="108"/>
      <c r="G27" s="107"/>
      <c r="H27" s="107"/>
      <c r="I27" s="26"/>
      <c r="J27" s="26"/>
      <c r="K27" s="26"/>
      <c r="L27" s="26"/>
      <c r="M27" s="88"/>
      <c r="N27" s="88"/>
      <c r="O27" s="25"/>
      <c r="P27" s="25"/>
      <c r="Q27" s="25"/>
      <c r="R27" s="25"/>
      <c r="S27" s="25"/>
    </row>
    <row r="28" spans="1:19" s="110" customFormat="1" ht="15.75" x14ac:dyDescent="0.25">
      <c r="A28" s="25"/>
      <c r="B28" s="25"/>
      <c r="D28" s="36"/>
      <c r="E28" s="25"/>
      <c r="F28" s="108"/>
      <c r="G28" s="107"/>
      <c r="H28" s="107"/>
      <c r="I28" s="26"/>
      <c r="J28" s="26"/>
      <c r="K28" s="26"/>
      <c r="L28" s="26"/>
      <c r="M28" s="88"/>
      <c r="N28" s="88"/>
      <c r="O28" s="25"/>
      <c r="P28" s="25"/>
      <c r="Q28" s="25"/>
      <c r="R28" s="25"/>
      <c r="S28" s="25"/>
    </row>
    <row r="29" spans="1:19" s="110" customFormat="1" ht="15.75" x14ac:dyDescent="0.25">
      <c r="A29" s="25"/>
      <c r="B29" s="25"/>
      <c r="D29" s="36"/>
      <c r="E29" s="25"/>
      <c r="F29" s="108"/>
      <c r="G29" s="107"/>
      <c r="H29" s="107"/>
      <c r="I29" s="26"/>
      <c r="J29" s="26"/>
      <c r="K29" s="26"/>
      <c r="L29" s="26"/>
      <c r="M29" s="88"/>
      <c r="N29" s="88"/>
      <c r="O29" s="25"/>
      <c r="P29" s="25"/>
      <c r="Q29" s="25"/>
      <c r="R29" s="25"/>
      <c r="S29" s="25"/>
    </row>
    <row r="30" spans="1:19" s="110" customFormat="1" ht="15.75" x14ac:dyDescent="0.25">
      <c r="A30" s="25"/>
      <c r="B30" s="25"/>
      <c r="D30" s="36"/>
      <c r="E30" s="25"/>
      <c r="F30" s="108"/>
      <c r="G30" s="107"/>
      <c r="H30" s="107"/>
      <c r="I30" s="26"/>
      <c r="J30" s="26"/>
      <c r="K30" s="26"/>
      <c r="L30" s="26"/>
      <c r="M30" s="88"/>
      <c r="N30" s="88"/>
      <c r="O30" s="25"/>
      <c r="P30" s="25"/>
      <c r="Q30" s="25"/>
      <c r="R30" s="25"/>
      <c r="S30" s="25"/>
    </row>
    <row r="31" spans="1:19" s="110" customFormat="1" ht="15.75" x14ac:dyDescent="0.25">
      <c r="A31" s="25"/>
      <c r="B31" s="25"/>
      <c r="D31" s="36"/>
      <c r="E31" s="25"/>
      <c r="F31" s="108"/>
      <c r="G31" s="107"/>
      <c r="H31" s="107"/>
      <c r="I31" s="26"/>
      <c r="J31" s="26"/>
      <c r="K31" s="26"/>
      <c r="L31" s="26"/>
      <c r="M31" s="88"/>
      <c r="N31" s="88"/>
      <c r="O31" s="25"/>
      <c r="P31" s="25"/>
      <c r="Q31" s="25"/>
      <c r="R31" s="25"/>
      <c r="S31" s="25"/>
    </row>
    <row r="32" spans="1:19" s="110" customFormat="1" ht="15.75" x14ac:dyDescent="0.25">
      <c r="A32" s="25"/>
      <c r="B32" s="25"/>
      <c r="D32" s="36"/>
      <c r="E32" s="25"/>
      <c r="F32" s="108"/>
      <c r="G32" s="107"/>
      <c r="H32" s="107"/>
      <c r="I32" s="26"/>
      <c r="J32" s="26"/>
      <c r="K32" s="26"/>
      <c r="L32" s="26"/>
      <c r="M32" s="88"/>
      <c r="N32" s="88"/>
      <c r="O32" s="25"/>
      <c r="P32" s="25"/>
      <c r="Q32" s="25"/>
      <c r="R32" s="25"/>
      <c r="S32" s="25"/>
    </row>
    <row r="33" spans="1:19" s="110" customFormat="1" ht="15.75" x14ac:dyDescent="0.25">
      <c r="A33" s="25"/>
      <c r="B33" s="25"/>
      <c r="D33" s="36"/>
      <c r="E33" s="25"/>
      <c r="F33" s="108"/>
      <c r="G33" s="107"/>
      <c r="H33" s="107"/>
      <c r="I33" s="26"/>
      <c r="J33" s="26"/>
      <c r="K33" s="26"/>
      <c r="L33" s="26"/>
      <c r="M33" s="88"/>
      <c r="N33" s="88"/>
      <c r="O33" s="25"/>
      <c r="P33" s="25"/>
      <c r="Q33" s="25"/>
      <c r="R33" s="25"/>
      <c r="S33" s="25"/>
    </row>
    <row r="34" spans="1:19" s="110" customFormat="1" ht="15.75" x14ac:dyDescent="0.25">
      <c r="A34" s="25"/>
      <c r="B34" s="25"/>
      <c r="D34" s="36"/>
      <c r="E34" s="25"/>
      <c r="F34" s="108"/>
      <c r="G34" s="107"/>
      <c r="H34" s="107"/>
      <c r="I34" s="26"/>
      <c r="J34" s="26"/>
      <c r="K34" s="26"/>
      <c r="L34" s="26"/>
      <c r="M34" s="88"/>
      <c r="N34" s="88"/>
      <c r="O34" s="25"/>
      <c r="P34" s="25"/>
      <c r="Q34" s="25"/>
      <c r="R34" s="25"/>
      <c r="S34" s="25"/>
    </row>
    <row r="35" spans="1:19" s="110" customFormat="1" ht="15.75" x14ac:dyDescent="0.25">
      <c r="A35" s="25"/>
      <c r="B35" s="25"/>
      <c r="D35" s="36"/>
      <c r="E35" s="25"/>
      <c r="F35" s="108"/>
      <c r="G35" s="107"/>
      <c r="H35" s="107"/>
      <c r="I35" s="26"/>
      <c r="J35" s="26"/>
      <c r="K35" s="26"/>
      <c r="L35" s="26"/>
      <c r="M35" s="88"/>
      <c r="N35" s="88"/>
      <c r="O35" s="25"/>
      <c r="P35" s="25"/>
      <c r="Q35" s="25"/>
      <c r="R35" s="25"/>
      <c r="S35" s="25"/>
    </row>
    <row r="36" spans="1:19" s="110" customFormat="1" ht="15.75" x14ac:dyDescent="0.25">
      <c r="A36" s="25"/>
      <c r="B36" s="25"/>
      <c r="D36" s="36"/>
      <c r="E36" s="25"/>
      <c r="F36" s="108"/>
      <c r="G36" s="107"/>
      <c r="H36" s="107"/>
      <c r="I36" s="26"/>
      <c r="J36" s="26"/>
      <c r="K36" s="26"/>
      <c r="L36" s="26"/>
      <c r="M36" s="88"/>
      <c r="N36" s="88"/>
      <c r="O36" s="25"/>
      <c r="P36" s="25"/>
      <c r="Q36" s="25"/>
      <c r="R36" s="25"/>
      <c r="S36" s="25"/>
    </row>
    <row r="37" spans="1:19" ht="15.75" x14ac:dyDescent="0.25">
      <c r="G37" s="107"/>
      <c r="H37" s="107"/>
      <c r="I37" s="26"/>
      <c r="J37" s="26"/>
      <c r="K37" s="26"/>
      <c r="L37" s="26"/>
    </row>
    <row r="38" spans="1:19" ht="15.75" x14ac:dyDescent="0.25">
      <c r="G38" s="107"/>
      <c r="H38" s="107"/>
      <c r="I38" s="26"/>
      <c r="J38" s="26"/>
      <c r="K38" s="26"/>
      <c r="L38" s="26"/>
    </row>
    <row r="39" spans="1:19" ht="15.75" x14ac:dyDescent="0.25">
      <c r="G39" s="107"/>
      <c r="H39" s="107"/>
      <c r="I39" s="26"/>
      <c r="J39" s="26"/>
      <c r="K39" s="26"/>
      <c r="L39" s="26"/>
    </row>
    <row r="40" spans="1:19" ht="15.75" x14ac:dyDescent="0.25">
      <c r="G40" s="107"/>
      <c r="H40" s="107"/>
      <c r="I40" s="26"/>
      <c r="J40" s="26"/>
      <c r="K40" s="26"/>
      <c r="L40" s="26"/>
    </row>
    <row r="41" spans="1:19" ht="15.75" x14ac:dyDescent="0.25">
      <c r="G41" s="107"/>
      <c r="H41" s="107"/>
      <c r="I41" s="26"/>
      <c r="J41" s="26"/>
      <c r="K41" s="26"/>
      <c r="L41" s="26"/>
    </row>
    <row r="42" spans="1:19" ht="15.75" x14ac:dyDescent="0.25">
      <c r="G42" s="107"/>
      <c r="H42" s="107"/>
      <c r="I42" s="26"/>
      <c r="J42" s="26"/>
      <c r="K42" s="26"/>
      <c r="L42" s="26"/>
    </row>
    <row r="43" spans="1:19" ht="15.75" x14ac:dyDescent="0.25">
      <c r="G43" s="107"/>
      <c r="H43" s="107"/>
      <c r="I43" s="26"/>
      <c r="J43" s="26"/>
      <c r="K43" s="26"/>
      <c r="L43" s="26"/>
    </row>
    <row r="44" spans="1:19" ht="15.75" x14ac:dyDescent="0.25">
      <c r="G44" s="107"/>
      <c r="H44" s="107"/>
      <c r="I44" s="26"/>
      <c r="J44" s="26"/>
      <c r="K44" s="26"/>
      <c r="L44" s="26"/>
    </row>
    <row r="45" spans="1:19" ht="15.75" x14ac:dyDescent="0.25">
      <c r="G45" s="107"/>
      <c r="H45" s="107"/>
      <c r="I45" s="26"/>
      <c r="J45" s="26"/>
      <c r="K45" s="26"/>
      <c r="L45" s="26"/>
    </row>
    <row r="46" spans="1:19" ht="15.75" x14ac:dyDescent="0.25">
      <c r="G46" s="107"/>
      <c r="H46" s="107"/>
      <c r="I46" s="26"/>
      <c r="J46" s="26"/>
      <c r="K46" s="26"/>
      <c r="L46" s="26"/>
    </row>
    <row r="47" spans="1:19" ht="15.75" x14ac:dyDescent="0.25">
      <c r="G47" s="107"/>
      <c r="H47" s="107"/>
      <c r="I47" s="26"/>
      <c r="J47" s="26"/>
      <c r="K47" s="26"/>
      <c r="L47" s="26"/>
    </row>
    <row r="48" spans="1:19" ht="15.75" x14ac:dyDescent="0.25">
      <c r="G48" s="107"/>
      <c r="H48" s="107"/>
      <c r="I48" s="26"/>
      <c r="J48" s="26"/>
      <c r="K48" s="26"/>
      <c r="L48" s="26"/>
    </row>
    <row r="49" spans="7:12" ht="15.75" x14ac:dyDescent="0.25">
      <c r="G49" s="107"/>
      <c r="H49" s="107"/>
      <c r="I49" s="26"/>
      <c r="J49" s="26"/>
      <c r="K49" s="26"/>
      <c r="L49" s="26"/>
    </row>
    <row r="50" spans="7:12" ht="15.75" x14ac:dyDescent="0.25">
      <c r="G50" s="107"/>
      <c r="H50" s="107"/>
      <c r="I50" s="26"/>
      <c r="J50" s="26"/>
      <c r="K50" s="26"/>
      <c r="L50" s="26"/>
    </row>
    <row r="51" spans="7:12" ht="15.75" x14ac:dyDescent="0.25">
      <c r="G51" s="107"/>
      <c r="H51" s="107"/>
      <c r="I51" s="26"/>
      <c r="J51" s="26"/>
      <c r="K51" s="26"/>
      <c r="L51" s="26"/>
    </row>
    <row r="52" spans="7:12" ht="15.75" x14ac:dyDescent="0.25">
      <c r="G52" s="107"/>
      <c r="H52" s="107"/>
      <c r="I52" s="26"/>
      <c r="J52" s="26"/>
      <c r="K52" s="26"/>
      <c r="L52" s="26"/>
    </row>
    <row r="53" spans="7:12" ht="15.75" x14ac:dyDescent="0.25">
      <c r="G53" s="107"/>
      <c r="H53" s="107"/>
      <c r="I53" s="26"/>
      <c r="J53" s="26"/>
      <c r="K53" s="26"/>
      <c r="L53" s="26"/>
    </row>
    <row r="54" spans="7:12" ht="15.75" x14ac:dyDescent="0.25">
      <c r="G54" s="107"/>
      <c r="H54" s="107"/>
      <c r="I54" s="26"/>
      <c r="J54" s="26"/>
      <c r="K54" s="26"/>
      <c r="L54" s="26"/>
    </row>
    <row r="55" spans="7:12" ht="15.75" x14ac:dyDescent="0.25">
      <c r="G55" s="107"/>
      <c r="H55" s="107"/>
      <c r="I55" s="26"/>
      <c r="J55" s="26"/>
      <c r="K55" s="26"/>
      <c r="L55" s="26"/>
    </row>
    <row r="56" spans="7:12" ht="15.75" x14ac:dyDescent="0.25">
      <c r="G56" s="107"/>
      <c r="H56" s="107"/>
      <c r="I56" s="26"/>
      <c r="J56" s="26"/>
      <c r="K56" s="26"/>
      <c r="L56" s="26"/>
    </row>
    <row r="57" spans="7:12" ht="15.75" x14ac:dyDescent="0.25">
      <c r="G57" s="107"/>
      <c r="H57" s="107"/>
      <c r="I57" s="26"/>
      <c r="J57" s="26"/>
      <c r="K57" s="26"/>
      <c r="L57" s="26"/>
    </row>
    <row r="58" spans="7:12" ht="15.75" x14ac:dyDescent="0.25">
      <c r="G58" s="107"/>
      <c r="H58" s="107"/>
      <c r="I58" s="26"/>
      <c r="J58" s="26"/>
      <c r="K58" s="26"/>
      <c r="L58" s="26"/>
    </row>
    <row r="59" spans="7:12" ht="15.75" x14ac:dyDescent="0.25">
      <c r="G59" s="107"/>
      <c r="H59" s="107"/>
      <c r="I59" s="26"/>
      <c r="J59" s="26"/>
      <c r="K59" s="26"/>
      <c r="L59" s="26"/>
    </row>
    <row r="60" spans="7:12" ht="15.75" x14ac:dyDescent="0.25">
      <c r="G60" s="107"/>
      <c r="H60" s="107"/>
      <c r="I60" s="26"/>
      <c r="J60" s="26"/>
      <c r="K60" s="26"/>
      <c r="L60" s="26"/>
    </row>
    <row r="61" spans="7:12" ht="15.75" x14ac:dyDescent="0.25">
      <c r="G61" s="107"/>
      <c r="H61" s="107"/>
      <c r="I61" s="26"/>
      <c r="J61" s="26"/>
      <c r="K61" s="26"/>
      <c r="L61" s="26"/>
    </row>
    <row r="62" spans="7:12" ht="15.75" x14ac:dyDescent="0.25">
      <c r="G62" s="107"/>
      <c r="H62" s="107"/>
      <c r="I62" s="26"/>
      <c r="J62" s="26"/>
      <c r="K62" s="26"/>
      <c r="L62" s="26"/>
    </row>
    <row r="63" spans="7:12" ht="15.75" x14ac:dyDescent="0.25">
      <c r="G63" s="107"/>
      <c r="H63" s="107"/>
      <c r="I63" s="26"/>
      <c r="J63" s="26"/>
      <c r="K63" s="26"/>
      <c r="L63" s="26"/>
    </row>
    <row r="64" spans="7:12" ht="15.75" x14ac:dyDescent="0.25">
      <c r="G64" s="107"/>
      <c r="H64" s="107"/>
      <c r="I64" s="26"/>
      <c r="J64" s="26"/>
      <c r="K64" s="26"/>
      <c r="L64" s="26"/>
    </row>
    <row r="65" spans="7:12" ht="15.75" x14ac:dyDescent="0.25">
      <c r="G65" s="107"/>
      <c r="H65" s="107"/>
      <c r="I65" s="26"/>
      <c r="J65" s="26"/>
      <c r="K65" s="26"/>
      <c r="L65" s="26"/>
    </row>
    <row r="66" spans="7:12" ht="15.75" x14ac:dyDescent="0.25">
      <c r="G66" s="107"/>
      <c r="H66" s="107"/>
      <c r="I66" s="26"/>
      <c r="J66" s="26"/>
      <c r="K66" s="26"/>
      <c r="L66" s="26"/>
    </row>
    <row r="67" spans="7:12" ht="15.75" x14ac:dyDescent="0.25">
      <c r="G67" s="107"/>
      <c r="H67" s="107"/>
      <c r="I67" s="26"/>
      <c r="J67" s="26"/>
      <c r="K67" s="26"/>
      <c r="L67" s="26"/>
    </row>
    <row r="68" spans="7:12" ht="15.75" x14ac:dyDescent="0.25">
      <c r="G68" s="107"/>
      <c r="H68" s="107"/>
      <c r="I68" s="26"/>
      <c r="J68" s="26"/>
      <c r="K68" s="26"/>
      <c r="L68" s="26"/>
    </row>
    <row r="69" spans="7:12" ht="15.75" x14ac:dyDescent="0.25">
      <c r="G69" s="107"/>
      <c r="H69" s="107"/>
      <c r="I69" s="26"/>
      <c r="J69" s="26"/>
      <c r="K69" s="26"/>
      <c r="L69" s="26"/>
    </row>
    <row r="70" spans="7:12" ht="15.75" x14ac:dyDescent="0.25">
      <c r="G70" s="107"/>
      <c r="H70" s="107"/>
      <c r="I70" s="26"/>
      <c r="J70" s="26"/>
      <c r="K70" s="26"/>
      <c r="L70" s="26"/>
    </row>
    <row r="71" spans="7:12" ht="15.75" x14ac:dyDescent="0.25">
      <c r="G71" s="107"/>
      <c r="H71" s="107"/>
      <c r="I71" s="26"/>
      <c r="J71" s="26"/>
      <c r="K71" s="26"/>
      <c r="L71" s="26"/>
    </row>
    <row r="72" spans="7:12" ht="15.75" x14ac:dyDescent="0.25">
      <c r="G72" s="107"/>
      <c r="H72" s="107"/>
      <c r="I72" s="26"/>
      <c r="J72" s="26"/>
      <c r="K72" s="26"/>
      <c r="L72" s="26"/>
    </row>
    <row r="73" spans="7:12" ht="15.75" x14ac:dyDescent="0.25">
      <c r="G73" s="107"/>
      <c r="H73" s="107"/>
      <c r="I73" s="26"/>
      <c r="J73" s="26"/>
      <c r="K73" s="26"/>
      <c r="L73" s="26"/>
    </row>
    <row r="74" spans="7:12" ht="15.75" x14ac:dyDescent="0.25">
      <c r="G74" s="107"/>
      <c r="H74" s="107"/>
      <c r="I74" s="26"/>
      <c r="J74" s="26"/>
      <c r="K74" s="26"/>
      <c r="L74" s="26"/>
    </row>
    <row r="75" spans="7:12" ht="15.75" x14ac:dyDescent="0.25">
      <c r="G75" s="107"/>
      <c r="H75" s="107"/>
      <c r="I75" s="26"/>
      <c r="J75" s="26"/>
      <c r="K75" s="26"/>
      <c r="L75" s="26"/>
    </row>
    <row r="76" spans="7:12" ht="15.75" x14ac:dyDescent="0.25">
      <c r="G76" s="107"/>
      <c r="H76" s="107"/>
      <c r="I76" s="26"/>
      <c r="J76" s="26"/>
      <c r="K76" s="26"/>
      <c r="L76" s="26"/>
    </row>
    <row r="77" spans="7:12" ht="15.75" x14ac:dyDescent="0.25">
      <c r="G77" s="107"/>
      <c r="H77" s="107"/>
      <c r="I77" s="26"/>
      <c r="J77" s="26"/>
      <c r="K77" s="26"/>
      <c r="L77" s="26"/>
    </row>
    <row r="78" spans="7:12" ht="15.75" x14ac:dyDescent="0.25">
      <c r="G78" s="107"/>
      <c r="H78" s="107"/>
      <c r="I78" s="26"/>
      <c r="J78" s="26"/>
      <c r="K78" s="26"/>
      <c r="L78" s="26"/>
    </row>
    <row r="79" spans="7:12" ht="15.75" x14ac:dyDescent="0.25">
      <c r="G79" s="107"/>
      <c r="H79" s="107"/>
      <c r="I79" s="26"/>
      <c r="J79" s="26"/>
      <c r="K79" s="26"/>
      <c r="L79" s="26"/>
    </row>
    <row r="80" spans="7:12" ht="15.75" x14ac:dyDescent="0.25">
      <c r="G80" s="107"/>
      <c r="H80" s="107"/>
      <c r="I80" s="26"/>
      <c r="J80" s="26"/>
      <c r="K80" s="26"/>
      <c r="L80" s="26"/>
    </row>
    <row r="81" spans="7:12" ht="15.75" x14ac:dyDescent="0.25">
      <c r="G81" s="107"/>
      <c r="H81" s="107"/>
      <c r="I81" s="26"/>
      <c r="J81" s="26"/>
      <c r="K81" s="26"/>
      <c r="L81" s="26"/>
    </row>
    <row r="82" spans="7:12" ht="15.75" x14ac:dyDescent="0.25">
      <c r="G82" s="107"/>
      <c r="H82" s="107"/>
      <c r="I82" s="26"/>
      <c r="J82" s="26"/>
      <c r="K82" s="26"/>
      <c r="L82" s="26"/>
    </row>
    <row r="83" spans="7:12" ht="15.75" x14ac:dyDescent="0.25">
      <c r="G83" s="107"/>
      <c r="H83" s="107"/>
      <c r="I83" s="26"/>
      <c r="J83" s="26"/>
      <c r="K83" s="26"/>
      <c r="L83" s="26"/>
    </row>
    <row r="84" spans="7:12" ht="15.75" x14ac:dyDescent="0.25">
      <c r="G84" s="107"/>
      <c r="H84" s="107"/>
      <c r="I84" s="26"/>
      <c r="J84" s="26"/>
      <c r="K84" s="26"/>
      <c r="L84" s="26"/>
    </row>
    <row r="85" spans="7:12" ht="15.75" x14ac:dyDescent="0.25">
      <c r="G85" s="107"/>
      <c r="H85" s="107"/>
      <c r="I85" s="26"/>
      <c r="J85" s="26"/>
      <c r="K85" s="26"/>
      <c r="L85" s="26"/>
    </row>
    <row r="86" spans="7:12" ht="15.75" x14ac:dyDescent="0.25">
      <c r="G86" s="107"/>
      <c r="H86" s="107"/>
      <c r="I86" s="26"/>
      <c r="J86" s="26"/>
      <c r="K86" s="26"/>
      <c r="L86" s="26"/>
    </row>
    <row r="87" spans="7:12" ht="15.75" x14ac:dyDescent="0.25">
      <c r="G87" s="107"/>
      <c r="H87" s="107"/>
      <c r="I87" s="26"/>
      <c r="J87" s="26"/>
      <c r="K87" s="26"/>
      <c r="L87" s="26"/>
    </row>
    <row r="88" spans="7:12" ht="15.75" x14ac:dyDescent="0.25">
      <c r="G88" s="107"/>
      <c r="H88" s="107"/>
      <c r="I88" s="26"/>
      <c r="J88" s="26"/>
      <c r="K88" s="26"/>
      <c r="L88" s="26"/>
    </row>
    <row r="89" spans="7:12" ht="15.75" x14ac:dyDescent="0.25">
      <c r="G89" s="107"/>
      <c r="H89" s="107"/>
      <c r="I89" s="26"/>
      <c r="J89" s="26"/>
      <c r="K89" s="26"/>
      <c r="L89" s="26"/>
    </row>
    <row r="90" spans="7:12" ht="15.75" x14ac:dyDescent="0.25">
      <c r="G90" s="107"/>
      <c r="H90" s="107"/>
      <c r="I90" s="26"/>
      <c r="J90" s="26"/>
      <c r="K90" s="26"/>
      <c r="L90" s="26"/>
    </row>
    <row r="91" spans="7:12" ht="15.75" x14ac:dyDescent="0.25">
      <c r="G91" s="107"/>
      <c r="H91" s="107"/>
      <c r="I91" s="26"/>
      <c r="J91" s="26"/>
      <c r="K91" s="26"/>
      <c r="L91" s="26"/>
    </row>
    <row r="92" spans="7:12" ht="15.75" x14ac:dyDescent="0.25">
      <c r="G92" s="107"/>
      <c r="H92" s="107"/>
      <c r="I92" s="26"/>
      <c r="J92" s="26"/>
      <c r="K92" s="26"/>
      <c r="L92" s="26"/>
    </row>
    <row r="93" spans="7:12" ht="15.75" x14ac:dyDescent="0.25">
      <c r="G93" s="107"/>
      <c r="H93" s="107"/>
      <c r="I93" s="26"/>
      <c r="J93" s="26"/>
      <c r="K93" s="26"/>
      <c r="L93" s="26"/>
    </row>
    <row r="94" spans="7:12" ht="15.75" x14ac:dyDescent="0.25">
      <c r="G94" s="107"/>
      <c r="H94" s="107"/>
      <c r="I94" s="26"/>
      <c r="J94" s="26"/>
      <c r="K94" s="26"/>
      <c r="L94" s="26"/>
    </row>
    <row r="95" spans="7:12" ht="15.75" x14ac:dyDescent="0.25">
      <c r="G95" s="107"/>
      <c r="H95" s="107"/>
      <c r="I95" s="26"/>
      <c r="J95" s="26"/>
      <c r="K95" s="26"/>
      <c r="L95" s="26"/>
    </row>
    <row r="96" spans="7:12" ht="15.75" x14ac:dyDescent="0.25">
      <c r="G96" s="107"/>
      <c r="H96" s="107"/>
      <c r="I96" s="26"/>
      <c r="J96" s="26"/>
      <c r="K96" s="26"/>
      <c r="L96" s="26"/>
    </row>
    <row r="97" spans="7:12" ht="15.75" x14ac:dyDescent="0.25">
      <c r="G97" s="107"/>
      <c r="H97" s="107"/>
      <c r="I97" s="26"/>
      <c r="J97" s="26"/>
      <c r="K97" s="26"/>
      <c r="L97" s="26"/>
    </row>
    <row r="98" spans="7:12" ht="15.75" x14ac:dyDescent="0.25">
      <c r="G98" s="107"/>
      <c r="H98" s="107"/>
      <c r="I98" s="26"/>
      <c r="J98" s="26"/>
      <c r="K98" s="26"/>
      <c r="L98" s="26"/>
    </row>
    <row r="99" spans="7:12" ht="15.75" x14ac:dyDescent="0.25">
      <c r="G99" s="107"/>
      <c r="H99" s="107"/>
      <c r="I99" s="26"/>
      <c r="J99" s="26"/>
      <c r="K99" s="26"/>
      <c r="L99" s="26"/>
    </row>
    <row r="100" spans="7:12" ht="15.75" x14ac:dyDescent="0.25">
      <c r="G100" s="107"/>
      <c r="H100" s="107"/>
      <c r="I100" s="26"/>
      <c r="J100" s="26"/>
      <c r="K100" s="26"/>
      <c r="L100" s="26"/>
    </row>
    <row r="101" spans="7:12" ht="15.75" x14ac:dyDescent="0.25">
      <c r="G101" s="107"/>
      <c r="H101" s="107"/>
      <c r="I101" s="26"/>
      <c r="J101" s="26"/>
      <c r="K101" s="26"/>
      <c r="L101" s="26"/>
    </row>
    <row r="102" spans="7:12" ht="15.75" x14ac:dyDescent="0.25">
      <c r="G102" s="107"/>
      <c r="H102" s="107"/>
      <c r="I102" s="26"/>
      <c r="J102" s="26"/>
      <c r="K102" s="26"/>
      <c r="L102" s="26"/>
    </row>
    <row r="103" spans="7:12" ht="15.75" x14ac:dyDescent="0.25">
      <c r="G103" s="107"/>
      <c r="H103" s="107"/>
      <c r="I103" s="26"/>
      <c r="J103" s="26"/>
      <c r="K103" s="26"/>
      <c r="L103" s="26"/>
    </row>
    <row r="104" spans="7:12" ht="15.75" x14ac:dyDescent="0.25">
      <c r="G104" s="107"/>
      <c r="H104" s="107"/>
      <c r="I104" s="26"/>
      <c r="J104" s="26"/>
      <c r="K104" s="26"/>
      <c r="L104" s="26"/>
    </row>
    <row r="105" spans="7:12" ht="15.75" x14ac:dyDescent="0.25">
      <c r="G105" s="107"/>
      <c r="H105" s="107"/>
      <c r="I105" s="26"/>
      <c r="J105" s="26"/>
      <c r="K105" s="26"/>
      <c r="L105" s="26"/>
    </row>
    <row r="106" spans="7:12" ht="15.75" x14ac:dyDescent="0.25">
      <c r="G106" s="107"/>
      <c r="H106" s="107"/>
      <c r="I106" s="26"/>
      <c r="J106" s="26"/>
      <c r="K106" s="26"/>
      <c r="L106" s="26"/>
    </row>
    <row r="107" spans="7:12" ht="15.75" x14ac:dyDescent="0.25">
      <c r="G107" s="107"/>
      <c r="H107" s="107"/>
      <c r="I107" s="26"/>
      <c r="J107" s="26"/>
      <c r="K107" s="26"/>
      <c r="L107" s="26"/>
    </row>
    <row r="108" spans="7:12" ht="15.75" x14ac:dyDescent="0.25">
      <c r="G108" s="107"/>
      <c r="H108" s="107"/>
      <c r="I108" s="26"/>
      <c r="J108" s="26"/>
      <c r="K108" s="26"/>
      <c r="L108" s="26"/>
    </row>
    <row r="109" spans="7:12" ht="15.75" x14ac:dyDescent="0.25">
      <c r="G109" s="107"/>
      <c r="H109" s="107"/>
      <c r="I109" s="26"/>
      <c r="J109" s="26"/>
      <c r="K109" s="26"/>
      <c r="L109" s="26"/>
    </row>
    <row r="110" spans="7:12" ht="15.75" x14ac:dyDescent="0.25">
      <c r="G110" s="107"/>
      <c r="H110" s="107"/>
      <c r="I110" s="26"/>
      <c r="J110" s="26"/>
      <c r="K110" s="26"/>
      <c r="L110" s="26"/>
    </row>
    <row r="111" spans="7:12" ht="15.75" x14ac:dyDescent="0.25">
      <c r="G111" s="107"/>
      <c r="H111" s="107"/>
      <c r="I111" s="26"/>
      <c r="J111" s="26"/>
      <c r="K111" s="26"/>
      <c r="L111" s="26"/>
    </row>
    <row r="112" spans="7:12" ht="15.75" x14ac:dyDescent="0.25">
      <c r="G112" s="107"/>
      <c r="H112" s="107"/>
      <c r="I112" s="26"/>
      <c r="J112" s="26"/>
      <c r="K112" s="26"/>
      <c r="L112" s="26"/>
    </row>
    <row r="113" spans="7:12" ht="15.75" x14ac:dyDescent="0.25">
      <c r="G113" s="107"/>
      <c r="H113" s="107"/>
      <c r="I113" s="26"/>
      <c r="J113" s="26"/>
      <c r="K113" s="26"/>
      <c r="L113" s="26"/>
    </row>
    <row r="114" spans="7:12" ht="15.75" x14ac:dyDescent="0.25">
      <c r="G114" s="107"/>
      <c r="H114" s="107"/>
      <c r="I114" s="26"/>
      <c r="J114" s="26"/>
      <c r="K114" s="26"/>
      <c r="L114" s="26"/>
    </row>
    <row r="115" spans="7:12" ht="15.75" x14ac:dyDescent="0.25">
      <c r="G115" s="107"/>
      <c r="H115" s="107"/>
      <c r="I115" s="26"/>
      <c r="J115" s="26"/>
      <c r="K115" s="26"/>
      <c r="L115" s="26"/>
    </row>
    <row r="116" spans="7:12" ht="15.75" x14ac:dyDescent="0.25">
      <c r="G116" s="107"/>
      <c r="H116" s="107"/>
      <c r="I116" s="26"/>
      <c r="J116" s="26"/>
      <c r="K116" s="26"/>
      <c r="L116" s="26"/>
    </row>
    <row r="117" spans="7:12" ht="15.75" x14ac:dyDescent="0.25">
      <c r="G117" s="107"/>
      <c r="H117" s="107"/>
      <c r="I117" s="26"/>
      <c r="J117" s="26"/>
      <c r="K117" s="26"/>
      <c r="L117" s="26"/>
    </row>
    <row r="118" spans="7:12" ht="15.75" x14ac:dyDescent="0.25">
      <c r="G118" s="107"/>
      <c r="H118" s="107"/>
      <c r="I118" s="26"/>
      <c r="J118" s="26"/>
      <c r="K118" s="26"/>
      <c r="L118" s="26"/>
    </row>
    <row r="119" spans="7:12" ht="15.75" x14ac:dyDescent="0.25">
      <c r="G119" s="107"/>
      <c r="H119" s="107"/>
      <c r="I119" s="26"/>
      <c r="J119" s="26"/>
      <c r="K119" s="26"/>
      <c r="L119" s="26"/>
    </row>
    <row r="120" spans="7:12" ht="15.75" x14ac:dyDescent="0.25">
      <c r="G120" s="107"/>
      <c r="H120" s="107"/>
      <c r="I120" s="26"/>
      <c r="J120" s="26"/>
      <c r="K120" s="26"/>
      <c r="L120" s="26"/>
    </row>
    <row r="121" spans="7:12" ht="15.75" x14ac:dyDescent="0.25">
      <c r="G121" s="107"/>
      <c r="H121" s="107"/>
      <c r="I121" s="26"/>
      <c r="J121" s="26"/>
      <c r="K121" s="26"/>
      <c r="L121" s="26"/>
    </row>
    <row r="122" spans="7:12" ht="15.75" x14ac:dyDescent="0.25">
      <c r="G122" s="107"/>
      <c r="H122" s="107"/>
      <c r="I122" s="26"/>
      <c r="J122" s="26"/>
      <c r="K122" s="26"/>
      <c r="L122" s="26"/>
    </row>
    <row r="123" spans="7:12" ht="15.75" x14ac:dyDescent="0.25">
      <c r="G123" s="107"/>
      <c r="H123" s="107"/>
      <c r="I123" s="26"/>
      <c r="J123" s="26"/>
      <c r="K123" s="26"/>
      <c r="L123" s="26"/>
    </row>
    <row r="124" spans="7:12" ht="15.75" x14ac:dyDescent="0.25">
      <c r="G124" s="107"/>
      <c r="H124" s="107"/>
      <c r="I124" s="26"/>
      <c r="J124" s="26"/>
      <c r="K124" s="26"/>
      <c r="L124" s="26"/>
    </row>
    <row r="125" spans="7:12" ht="15.75" x14ac:dyDescent="0.25">
      <c r="G125" s="107"/>
      <c r="H125" s="107"/>
      <c r="I125" s="26"/>
      <c r="J125" s="26"/>
      <c r="K125" s="26"/>
      <c r="L125" s="26"/>
    </row>
    <row r="126" spans="7:12" ht="15.75" x14ac:dyDescent="0.25">
      <c r="G126" s="107"/>
      <c r="H126" s="107"/>
      <c r="I126" s="26"/>
      <c r="J126" s="26"/>
      <c r="K126" s="26"/>
      <c r="L126" s="26"/>
    </row>
    <row r="127" spans="7:12" ht="15.75" x14ac:dyDescent="0.25">
      <c r="G127" s="107"/>
      <c r="H127" s="107"/>
      <c r="I127" s="26"/>
      <c r="J127" s="26"/>
      <c r="K127" s="26"/>
      <c r="L127" s="26"/>
    </row>
    <row r="128" spans="7:12" ht="15.75" x14ac:dyDescent="0.25">
      <c r="G128" s="107"/>
      <c r="H128" s="107"/>
      <c r="I128" s="26"/>
      <c r="J128" s="26"/>
      <c r="K128" s="26"/>
      <c r="L128" s="26"/>
    </row>
    <row r="129" spans="7:12" ht="15.75" x14ac:dyDescent="0.25">
      <c r="G129" s="107"/>
      <c r="H129" s="107"/>
      <c r="I129" s="26"/>
      <c r="J129" s="26"/>
      <c r="K129" s="26"/>
      <c r="L129" s="26"/>
    </row>
    <row r="130" spans="7:12" ht="15.75" x14ac:dyDescent="0.25">
      <c r="G130" s="107"/>
      <c r="H130" s="107"/>
      <c r="I130" s="26"/>
      <c r="J130" s="26"/>
      <c r="K130" s="26"/>
      <c r="L130" s="26"/>
    </row>
    <row r="131" spans="7:12" ht="15.75" x14ac:dyDescent="0.25">
      <c r="G131" s="107"/>
      <c r="H131" s="107"/>
      <c r="I131" s="26"/>
      <c r="J131" s="26"/>
      <c r="K131" s="26"/>
      <c r="L131" s="26"/>
    </row>
    <row r="132" spans="7:12" ht="15.75" x14ac:dyDescent="0.25">
      <c r="G132" s="107"/>
      <c r="H132" s="107"/>
      <c r="I132" s="26"/>
      <c r="J132" s="26"/>
      <c r="K132" s="26"/>
      <c r="L132" s="26"/>
    </row>
    <row r="133" spans="7:12" ht="15.75" x14ac:dyDescent="0.25">
      <c r="G133" s="107"/>
      <c r="H133" s="107"/>
      <c r="I133" s="26"/>
      <c r="J133" s="26"/>
      <c r="K133" s="26"/>
      <c r="L133" s="26"/>
    </row>
    <row r="134" spans="7:12" ht="15.75" x14ac:dyDescent="0.25">
      <c r="G134" s="107"/>
      <c r="H134" s="107"/>
      <c r="I134" s="26"/>
      <c r="J134" s="26"/>
      <c r="K134" s="26"/>
      <c r="L134" s="26"/>
    </row>
    <row r="135" spans="7:12" ht="15.75" x14ac:dyDescent="0.25">
      <c r="G135" s="107"/>
      <c r="H135" s="107"/>
      <c r="I135" s="26"/>
      <c r="J135" s="26"/>
      <c r="K135" s="26"/>
      <c r="L135" s="26"/>
    </row>
    <row r="136" spans="7:12" ht="15.75" x14ac:dyDescent="0.25">
      <c r="G136" s="107"/>
      <c r="H136" s="107"/>
      <c r="I136" s="26"/>
      <c r="J136" s="26"/>
      <c r="K136" s="26"/>
      <c r="L136" s="26"/>
    </row>
    <row r="137" spans="7:12" ht="15.75" x14ac:dyDescent="0.25">
      <c r="G137" s="107"/>
      <c r="H137" s="107"/>
      <c r="I137" s="26"/>
      <c r="J137" s="26"/>
      <c r="K137" s="26"/>
      <c r="L137" s="26"/>
    </row>
    <row r="138" spans="7:12" ht="15.75" x14ac:dyDescent="0.25">
      <c r="G138" s="107"/>
      <c r="H138" s="107"/>
      <c r="I138" s="26"/>
      <c r="J138" s="26"/>
      <c r="K138" s="26"/>
      <c r="L138" s="26"/>
    </row>
    <row r="139" spans="7:12" ht="15.75" x14ac:dyDescent="0.25">
      <c r="G139" s="107"/>
      <c r="H139" s="107"/>
      <c r="I139" s="26"/>
      <c r="J139" s="26"/>
      <c r="K139" s="26"/>
      <c r="L139" s="26"/>
    </row>
    <row r="140" spans="7:12" ht="15.75" x14ac:dyDescent="0.25">
      <c r="G140" s="107"/>
      <c r="H140" s="107"/>
      <c r="I140" s="26"/>
      <c r="J140" s="26"/>
      <c r="K140" s="26"/>
      <c r="L140" s="26"/>
    </row>
    <row r="141" spans="7:12" ht="15.75" x14ac:dyDescent="0.25">
      <c r="G141" s="107"/>
      <c r="H141" s="107"/>
      <c r="I141" s="26"/>
      <c r="J141" s="26"/>
      <c r="K141" s="26"/>
      <c r="L141" s="26"/>
    </row>
    <row r="142" spans="7:12" ht="15.75" x14ac:dyDescent="0.25">
      <c r="G142" s="107"/>
      <c r="H142" s="107"/>
      <c r="I142" s="26"/>
      <c r="J142" s="26"/>
      <c r="K142" s="26"/>
      <c r="L142" s="26"/>
    </row>
    <row r="143" spans="7:12" ht="15.75" x14ac:dyDescent="0.25">
      <c r="G143" s="107"/>
      <c r="H143" s="107"/>
      <c r="I143" s="26"/>
      <c r="J143" s="26"/>
      <c r="K143" s="26"/>
      <c r="L143" s="26"/>
    </row>
    <row r="144" spans="7:12" ht="15.75" x14ac:dyDescent="0.25">
      <c r="G144" s="107"/>
      <c r="H144" s="107"/>
      <c r="I144" s="26"/>
      <c r="J144" s="26"/>
      <c r="K144" s="26"/>
      <c r="L144" s="26"/>
    </row>
    <row r="145" spans="7:12" ht="15.75" x14ac:dyDescent="0.25">
      <c r="G145" s="107"/>
      <c r="H145" s="107"/>
      <c r="I145" s="26"/>
      <c r="J145" s="26"/>
      <c r="K145" s="26"/>
      <c r="L145" s="26"/>
    </row>
    <row r="146" spans="7:12" ht="15.75" x14ac:dyDescent="0.25">
      <c r="G146" s="107"/>
      <c r="H146" s="107"/>
      <c r="I146" s="26"/>
      <c r="J146" s="26"/>
      <c r="K146" s="26"/>
      <c r="L146" s="26"/>
    </row>
    <row r="147" spans="7:12" ht="15.75" x14ac:dyDescent="0.25">
      <c r="G147" s="107"/>
      <c r="H147" s="107"/>
      <c r="I147" s="26"/>
      <c r="J147" s="26"/>
      <c r="K147" s="26"/>
      <c r="L147" s="26"/>
    </row>
    <row r="148" spans="7:12" ht="15.75" x14ac:dyDescent="0.25">
      <c r="G148" s="107"/>
      <c r="H148" s="107"/>
      <c r="I148" s="26"/>
      <c r="J148" s="26"/>
      <c r="K148" s="26"/>
      <c r="L148" s="26"/>
    </row>
    <row r="149" spans="7:12" ht="15.75" x14ac:dyDescent="0.25">
      <c r="G149" s="107"/>
      <c r="H149" s="107"/>
      <c r="I149" s="26"/>
      <c r="J149" s="26"/>
      <c r="K149" s="26"/>
      <c r="L149" s="26"/>
    </row>
    <row r="150" spans="7:12" ht="15.75" x14ac:dyDescent="0.25">
      <c r="G150" s="107"/>
      <c r="H150" s="107"/>
      <c r="I150" s="26"/>
      <c r="J150" s="26"/>
      <c r="K150" s="26"/>
      <c r="L150" s="26"/>
    </row>
    <row r="151" spans="7:12" ht="15.75" x14ac:dyDescent="0.25">
      <c r="G151" s="107"/>
      <c r="H151" s="107"/>
      <c r="I151" s="26"/>
      <c r="J151" s="26"/>
      <c r="K151" s="26"/>
      <c r="L151" s="26"/>
    </row>
    <row r="152" spans="7:12" ht="15.75" x14ac:dyDescent="0.25">
      <c r="G152" s="107"/>
      <c r="H152" s="107"/>
      <c r="I152" s="26"/>
      <c r="J152" s="26"/>
      <c r="K152" s="26"/>
      <c r="L152" s="26"/>
    </row>
    <row r="153" spans="7:12" ht="15.75" x14ac:dyDescent="0.25">
      <c r="G153" s="107"/>
      <c r="H153" s="107"/>
      <c r="I153" s="26"/>
      <c r="J153" s="26"/>
      <c r="K153" s="26"/>
      <c r="L153" s="26"/>
    </row>
    <row r="154" spans="7:12" ht="15.75" x14ac:dyDescent="0.25">
      <c r="G154" s="107"/>
      <c r="H154" s="107"/>
      <c r="I154" s="26"/>
      <c r="J154" s="26"/>
      <c r="K154" s="26"/>
      <c r="L154" s="26"/>
    </row>
    <row r="155" spans="7:12" ht="15.75" x14ac:dyDescent="0.25">
      <c r="G155" s="107"/>
      <c r="H155" s="107"/>
      <c r="I155" s="26"/>
      <c r="J155" s="26"/>
      <c r="K155" s="26"/>
      <c r="L155" s="26"/>
    </row>
    <row r="156" spans="7:12" ht="15.75" x14ac:dyDescent="0.25">
      <c r="G156" s="107"/>
      <c r="H156" s="107"/>
      <c r="I156" s="26"/>
      <c r="J156" s="26"/>
      <c r="K156" s="26"/>
      <c r="L156" s="26"/>
    </row>
    <row r="157" spans="7:12" ht="15.75" x14ac:dyDescent="0.25">
      <c r="G157" s="107"/>
      <c r="H157" s="107"/>
      <c r="I157" s="26"/>
      <c r="J157" s="26"/>
      <c r="K157" s="26"/>
      <c r="L157" s="26"/>
    </row>
    <row r="158" spans="7:12" ht="15.75" x14ac:dyDescent="0.25">
      <c r="G158" s="107"/>
      <c r="H158" s="107"/>
      <c r="I158" s="26"/>
      <c r="J158" s="26"/>
      <c r="K158" s="26"/>
      <c r="L158" s="26"/>
    </row>
    <row r="159" spans="7:12" ht="15.75" x14ac:dyDescent="0.25">
      <c r="G159" s="107"/>
      <c r="H159" s="107"/>
      <c r="I159" s="26"/>
      <c r="J159" s="26"/>
      <c r="K159" s="26"/>
      <c r="L159" s="26"/>
    </row>
    <row r="160" spans="7:12" ht="15.75" x14ac:dyDescent="0.25">
      <c r="G160" s="107"/>
      <c r="H160" s="107"/>
      <c r="I160" s="26"/>
      <c r="J160" s="26"/>
      <c r="K160" s="26"/>
      <c r="L160" s="26"/>
    </row>
    <row r="161" spans="7:12" ht="15.75" x14ac:dyDescent="0.25">
      <c r="G161" s="107"/>
      <c r="H161" s="107"/>
      <c r="I161" s="26"/>
      <c r="J161" s="26"/>
      <c r="K161" s="26"/>
      <c r="L161" s="26"/>
    </row>
    <row r="162" spans="7:12" ht="15.75" x14ac:dyDescent="0.25">
      <c r="G162" s="107"/>
      <c r="H162" s="107"/>
      <c r="I162" s="26"/>
      <c r="J162" s="26"/>
      <c r="K162" s="26"/>
      <c r="L162" s="26"/>
    </row>
    <row r="163" spans="7:12" ht="15.75" x14ac:dyDescent="0.25">
      <c r="G163" s="107"/>
      <c r="H163" s="107"/>
      <c r="I163" s="26"/>
      <c r="J163" s="26"/>
      <c r="K163" s="26"/>
      <c r="L163" s="26"/>
    </row>
    <row r="164" spans="7:12" ht="15.75" x14ac:dyDescent="0.25">
      <c r="G164" s="107"/>
      <c r="H164" s="107"/>
      <c r="I164" s="26"/>
      <c r="J164" s="26"/>
      <c r="K164" s="26"/>
      <c r="L164" s="26"/>
    </row>
    <row r="165" spans="7:12" ht="15.75" x14ac:dyDescent="0.25">
      <c r="G165" s="107"/>
      <c r="H165" s="107"/>
      <c r="I165" s="26"/>
      <c r="J165" s="26"/>
      <c r="K165" s="26"/>
      <c r="L165" s="26"/>
    </row>
    <row r="166" spans="7:12" ht="15.75" x14ac:dyDescent="0.25">
      <c r="G166" s="107"/>
      <c r="H166" s="107"/>
      <c r="I166" s="26"/>
      <c r="J166" s="26"/>
      <c r="K166" s="26"/>
      <c r="L166" s="26"/>
    </row>
    <row r="167" spans="7:12" ht="15.75" x14ac:dyDescent="0.25">
      <c r="G167" s="107"/>
      <c r="H167" s="107"/>
      <c r="I167" s="26"/>
      <c r="J167" s="26"/>
      <c r="K167" s="26"/>
      <c r="L167" s="26"/>
    </row>
    <row r="168" spans="7:12" ht="15.75" x14ac:dyDescent="0.25">
      <c r="G168" s="107"/>
      <c r="H168" s="107"/>
      <c r="I168" s="26"/>
      <c r="J168" s="26"/>
      <c r="K168" s="26"/>
      <c r="L168" s="26"/>
    </row>
    <row r="169" spans="7:12" ht="15.75" x14ac:dyDescent="0.25">
      <c r="G169" s="107"/>
      <c r="H169" s="107"/>
      <c r="I169" s="26"/>
      <c r="J169" s="26"/>
      <c r="K169" s="26"/>
      <c r="L169" s="26"/>
    </row>
    <row r="170" spans="7:12" ht="15.75" x14ac:dyDescent="0.25">
      <c r="G170" s="107"/>
      <c r="H170" s="107"/>
      <c r="I170" s="26"/>
      <c r="J170" s="26"/>
      <c r="K170" s="26"/>
      <c r="L170" s="26"/>
    </row>
    <row r="171" spans="7:12" ht="15.75" x14ac:dyDescent="0.25">
      <c r="G171" s="107"/>
      <c r="H171" s="107"/>
      <c r="I171" s="26"/>
      <c r="J171" s="26"/>
      <c r="K171" s="26"/>
      <c r="L171" s="26"/>
    </row>
    <row r="172" spans="7:12" ht="15.75" x14ac:dyDescent="0.25">
      <c r="G172" s="107"/>
      <c r="H172" s="107"/>
      <c r="I172" s="26"/>
      <c r="J172" s="26"/>
      <c r="K172" s="26"/>
      <c r="L172" s="26"/>
    </row>
    <row r="173" spans="7:12" ht="15.75" x14ac:dyDescent="0.25">
      <c r="G173" s="107"/>
      <c r="H173" s="107"/>
      <c r="I173" s="26"/>
      <c r="J173" s="26"/>
      <c r="K173" s="26"/>
      <c r="L173" s="26"/>
    </row>
    <row r="174" spans="7:12" ht="15.75" x14ac:dyDescent="0.25">
      <c r="G174" s="107"/>
      <c r="H174" s="107"/>
      <c r="I174" s="26"/>
      <c r="J174" s="26"/>
      <c r="K174" s="26"/>
      <c r="L174" s="26"/>
    </row>
    <row r="175" spans="7:12" ht="15.75" x14ac:dyDescent="0.25">
      <c r="G175" s="107"/>
      <c r="H175" s="107"/>
      <c r="I175" s="26"/>
      <c r="J175" s="26"/>
      <c r="K175" s="26"/>
      <c r="L175" s="26"/>
    </row>
    <row r="176" spans="7:12" ht="15.75" x14ac:dyDescent="0.25">
      <c r="G176" s="107"/>
      <c r="H176" s="107"/>
      <c r="I176" s="26"/>
      <c r="J176" s="26"/>
      <c r="K176" s="26"/>
      <c r="L176" s="26"/>
    </row>
    <row r="177" spans="7:12" ht="15.75" x14ac:dyDescent="0.25">
      <c r="G177" s="107"/>
      <c r="H177" s="107"/>
      <c r="I177" s="26"/>
      <c r="J177" s="26"/>
      <c r="K177" s="26"/>
      <c r="L177" s="26"/>
    </row>
    <row r="178" spans="7:12" ht="15.75" x14ac:dyDescent="0.25">
      <c r="G178" s="107"/>
      <c r="H178" s="107"/>
      <c r="I178" s="26"/>
      <c r="J178" s="26"/>
      <c r="K178" s="26"/>
      <c r="L178" s="26"/>
    </row>
    <row r="179" spans="7:12" ht="15.75" x14ac:dyDescent="0.25">
      <c r="G179" s="107"/>
      <c r="H179" s="107"/>
      <c r="I179" s="26"/>
      <c r="J179" s="26"/>
      <c r="K179" s="26"/>
      <c r="L179" s="26"/>
    </row>
    <row r="180" spans="7:12" ht="15.75" x14ac:dyDescent="0.25">
      <c r="G180" s="107"/>
      <c r="H180" s="107"/>
      <c r="I180" s="26"/>
      <c r="J180" s="26"/>
      <c r="K180" s="26"/>
      <c r="L180" s="26"/>
    </row>
    <row r="181" spans="7:12" ht="15.75" x14ac:dyDescent="0.25">
      <c r="G181" s="107"/>
      <c r="H181" s="107"/>
      <c r="I181" s="26"/>
      <c r="J181" s="26"/>
      <c r="K181" s="26"/>
      <c r="L181" s="26"/>
    </row>
    <row r="182" spans="7:12" ht="15.75" x14ac:dyDescent="0.25">
      <c r="G182" s="107"/>
      <c r="H182" s="107"/>
      <c r="I182" s="26"/>
      <c r="J182" s="26"/>
      <c r="K182" s="26"/>
      <c r="L182" s="26"/>
    </row>
    <row r="183" spans="7:12" ht="15.75" x14ac:dyDescent="0.25">
      <c r="G183" s="107"/>
      <c r="H183" s="107"/>
      <c r="I183" s="26"/>
      <c r="J183" s="26"/>
      <c r="K183" s="26"/>
      <c r="L183" s="26"/>
    </row>
    <row r="184" spans="7:12" ht="15.75" x14ac:dyDescent="0.25">
      <c r="G184" s="107"/>
      <c r="H184" s="107"/>
      <c r="I184" s="26"/>
      <c r="J184" s="26"/>
      <c r="K184" s="26"/>
      <c r="L184" s="26"/>
    </row>
    <row r="185" spans="7:12" ht="15.75" x14ac:dyDescent="0.25">
      <c r="G185" s="107"/>
      <c r="H185" s="107"/>
      <c r="I185" s="26"/>
      <c r="J185" s="26"/>
      <c r="K185" s="26"/>
      <c r="L185" s="26"/>
    </row>
    <row r="186" spans="7:12" ht="15.75" x14ac:dyDescent="0.25">
      <c r="G186" s="107"/>
      <c r="H186" s="107"/>
      <c r="I186" s="26"/>
      <c r="J186" s="26"/>
      <c r="K186" s="26"/>
      <c r="L186" s="26"/>
    </row>
    <row r="187" spans="7:12" ht="15.75" x14ac:dyDescent="0.25">
      <c r="G187" s="107"/>
      <c r="H187" s="107"/>
      <c r="I187" s="26"/>
      <c r="J187" s="26"/>
      <c r="K187" s="26"/>
      <c r="L187" s="26"/>
    </row>
    <row r="188" spans="7:12" ht="15.75" x14ac:dyDescent="0.25">
      <c r="G188" s="107"/>
      <c r="H188" s="107"/>
      <c r="I188" s="26"/>
      <c r="J188" s="26"/>
      <c r="K188" s="26"/>
      <c r="L188" s="26"/>
    </row>
    <row r="189" spans="7:12" ht="15.75" x14ac:dyDescent="0.25">
      <c r="G189" s="107"/>
      <c r="H189" s="107"/>
      <c r="I189" s="26"/>
      <c r="J189" s="26"/>
      <c r="K189" s="26"/>
      <c r="L189" s="26"/>
    </row>
    <row r="190" spans="7:12" ht="15.75" x14ac:dyDescent="0.25">
      <c r="G190" s="107"/>
      <c r="H190" s="107"/>
      <c r="I190" s="26"/>
      <c r="J190" s="26"/>
      <c r="K190" s="26"/>
      <c r="L190" s="26"/>
    </row>
    <row r="191" spans="7:12" ht="15.75" x14ac:dyDescent="0.25">
      <c r="G191" s="107"/>
      <c r="H191" s="107"/>
      <c r="I191" s="26"/>
      <c r="J191" s="26"/>
      <c r="K191" s="26"/>
      <c r="L191" s="26"/>
    </row>
    <row r="192" spans="7:12" ht="15.75" x14ac:dyDescent="0.25">
      <c r="G192" s="107"/>
      <c r="H192" s="107"/>
      <c r="I192" s="26"/>
      <c r="J192" s="26"/>
      <c r="K192" s="26"/>
      <c r="L192" s="26"/>
    </row>
    <row r="193" spans="7:12" ht="15.75" x14ac:dyDescent="0.25">
      <c r="G193" s="107"/>
      <c r="H193" s="107"/>
      <c r="I193" s="26"/>
      <c r="J193" s="26"/>
      <c r="K193" s="26"/>
      <c r="L193" s="26"/>
    </row>
    <row r="194" spans="7:12" ht="15.75" x14ac:dyDescent="0.25">
      <c r="G194" s="107"/>
      <c r="H194" s="107"/>
      <c r="I194" s="26"/>
      <c r="J194" s="26"/>
      <c r="K194" s="26"/>
      <c r="L194" s="26"/>
    </row>
    <row r="195" spans="7:12" ht="15.75" x14ac:dyDescent="0.25">
      <c r="G195" s="107"/>
      <c r="H195" s="107"/>
      <c r="I195" s="26"/>
      <c r="J195" s="26"/>
      <c r="K195" s="26"/>
      <c r="L195" s="26"/>
    </row>
    <row r="196" spans="7:12" ht="15.75" x14ac:dyDescent="0.25">
      <c r="G196" s="107"/>
      <c r="H196" s="107"/>
      <c r="I196" s="26"/>
      <c r="J196" s="26"/>
      <c r="K196" s="26"/>
      <c r="L196" s="26"/>
    </row>
    <row r="197" spans="7:12" ht="15.75" x14ac:dyDescent="0.25">
      <c r="G197" s="107"/>
      <c r="H197" s="107"/>
      <c r="I197" s="26"/>
      <c r="J197" s="26"/>
      <c r="K197" s="26"/>
      <c r="L197" s="26"/>
    </row>
    <row r="198" spans="7:12" ht="15.75" x14ac:dyDescent="0.25">
      <c r="G198" s="107"/>
      <c r="H198" s="107"/>
      <c r="I198" s="26"/>
      <c r="J198" s="26"/>
      <c r="K198" s="26"/>
      <c r="L198" s="26"/>
    </row>
    <row r="199" spans="7:12" ht="15.75" x14ac:dyDescent="0.25">
      <c r="G199" s="107"/>
      <c r="H199" s="107"/>
      <c r="I199" s="26"/>
      <c r="J199" s="26"/>
      <c r="K199" s="26"/>
      <c r="L199" s="26"/>
    </row>
    <row r="200" spans="7:12" ht="15.75" x14ac:dyDescent="0.25">
      <c r="G200" s="107"/>
      <c r="H200" s="107"/>
      <c r="I200" s="26"/>
      <c r="J200" s="26"/>
      <c r="K200" s="26"/>
      <c r="L200" s="26"/>
    </row>
    <row r="201" spans="7:12" ht="15.75" x14ac:dyDescent="0.25">
      <c r="G201" s="107"/>
      <c r="H201" s="107"/>
      <c r="I201" s="26"/>
      <c r="J201" s="26"/>
      <c r="K201" s="26"/>
      <c r="L201" s="26"/>
    </row>
    <row r="202" spans="7:12" ht="15.75" x14ac:dyDescent="0.25">
      <c r="G202" s="107"/>
      <c r="H202" s="107"/>
      <c r="I202" s="26"/>
      <c r="J202" s="26"/>
      <c r="K202" s="26"/>
      <c r="L202" s="26"/>
    </row>
    <row r="203" spans="7:12" ht="15.75" x14ac:dyDescent="0.25">
      <c r="G203" s="107"/>
      <c r="H203" s="107"/>
      <c r="I203" s="26"/>
      <c r="J203" s="26"/>
      <c r="K203" s="26"/>
      <c r="L203" s="26"/>
    </row>
    <row r="204" spans="7:12" ht="15.75" x14ac:dyDescent="0.25">
      <c r="G204" s="107"/>
      <c r="H204" s="107"/>
      <c r="I204" s="26"/>
      <c r="J204" s="26"/>
      <c r="K204" s="26"/>
      <c r="L204" s="26"/>
    </row>
    <row r="205" spans="7:12" ht="15.75" x14ac:dyDescent="0.25">
      <c r="G205" s="107"/>
      <c r="H205" s="107"/>
      <c r="I205" s="26"/>
      <c r="J205" s="26"/>
      <c r="K205" s="26"/>
      <c r="L205" s="26"/>
    </row>
    <row r="206" spans="7:12" ht="15.75" x14ac:dyDescent="0.25">
      <c r="G206" s="107"/>
      <c r="H206" s="107"/>
      <c r="I206" s="26"/>
      <c r="J206" s="26"/>
      <c r="K206" s="26"/>
      <c r="L206" s="26"/>
    </row>
    <row r="207" spans="7:12" ht="15.75" x14ac:dyDescent="0.25">
      <c r="G207" s="107"/>
      <c r="H207" s="107"/>
      <c r="I207" s="26"/>
      <c r="J207" s="26"/>
      <c r="K207" s="26"/>
      <c r="L207" s="26"/>
    </row>
    <row r="208" spans="7:12" ht="15.75" x14ac:dyDescent="0.25">
      <c r="G208" s="107"/>
      <c r="H208" s="107"/>
      <c r="I208" s="26"/>
      <c r="J208" s="26"/>
      <c r="K208" s="26"/>
      <c r="L208" s="26"/>
    </row>
    <row r="209" spans="7:12" ht="15.75" x14ac:dyDescent="0.25">
      <c r="G209" s="107"/>
      <c r="H209" s="107"/>
      <c r="I209" s="26"/>
      <c r="J209" s="26"/>
      <c r="K209" s="26"/>
      <c r="L209" s="26"/>
    </row>
    <row r="210" spans="7:12" ht="15.75" x14ac:dyDescent="0.25">
      <c r="G210" s="107"/>
      <c r="H210" s="107"/>
      <c r="I210" s="26"/>
      <c r="J210" s="26"/>
      <c r="K210" s="26"/>
      <c r="L210" s="26"/>
    </row>
    <row r="211" spans="7:12" ht="15.75" x14ac:dyDescent="0.25">
      <c r="G211" s="107"/>
      <c r="H211" s="107"/>
      <c r="I211" s="26"/>
      <c r="J211" s="26"/>
      <c r="K211" s="26"/>
      <c r="L211" s="26"/>
    </row>
    <row r="212" spans="7:12" ht="15.75" x14ac:dyDescent="0.25">
      <c r="G212" s="107"/>
      <c r="H212" s="107"/>
      <c r="I212" s="26"/>
      <c r="J212" s="26"/>
      <c r="K212" s="26"/>
      <c r="L212" s="26"/>
    </row>
    <row r="213" spans="7:12" ht="15.75" x14ac:dyDescent="0.25">
      <c r="G213" s="107"/>
      <c r="H213" s="107"/>
      <c r="I213" s="26"/>
      <c r="J213" s="26"/>
      <c r="K213" s="26"/>
      <c r="L213" s="26"/>
    </row>
    <row r="214" spans="7:12" ht="15.75" x14ac:dyDescent="0.25">
      <c r="G214" s="107"/>
      <c r="H214" s="107"/>
      <c r="I214" s="26"/>
      <c r="J214" s="26"/>
      <c r="K214" s="26"/>
      <c r="L214" s="26"/>
    </row>
    <row r="215" spans="7:12" ht="15.75" x14ac:dyDescent="0.25">
      <c r="G215" s="107"/>
      <c r="H215" s="107"/>
      <c r="I215" s="26"/>
      <c r="J215" s="26"/>
      <c r="K215" s="26"/>
      <c r="L215" s="26"/>
    </row>
    <row r="216" spans="7:12" ht="15.75" x14ac:dyDescent="0.25">
      <c r="G216" s="107"/>
      <c r="H216" s="107"/>
      <c r="I216" s="26"/>
      <c r="J216" s="26"/>
      <c r="K216" s="26"/>
      <c r="L216" s="26"/>
    </row>
    <row r="217" spans="7:12" ht="15.75" x14ac:dyDescent="0.25">
      <c r="G217" s="107"/>
      <c r="H217" s="107"/>
      <c r="I217" s="26"/>
      <c r="J217" s="26"/>
      <c r="K217" s="26"/>
      <c r="L217" s="26"/>
    </row>
    <row r="218" spans="7:12" ht="15.75" x14ac:dyDescent="0.25">
      <c r="G218" s="107"/>
      <c r="H218" s="107"/>
      <c r="I218" s="26"/>
      <c r="J218" s="26"/>
      <c r="K218" s="26"/>
      <c r="L218" s="26"/>
    </row>
    <row r="219" spans="7:12" ht="15.75" x14ac:dyDescent="0.25">
      <c r="G219" s="107"/>
      <c r="H219" s="107"/>
      <c r="I219" s="26"/>
      <c r="J219" s="26"/>
      <c r="K219" s="26"/>
      <c r="L219" s="26"/>
    </row>
    <row r="220" spans="7:12" ht="15.75" x14ac:dyDescent="0.25">
      <c r="G220" s="107"/>
      <c r="H220" s="107"/>
      <c r="I220" s="26"/>
      <c r="J220" s="26"/>
      <c r="K220" s="26"/>
      <c r="L220" s="26"/>
    </row>
    <row r="221" spans="7:12" ht="15.75" x14ac:dyDescent="0.25">
      <c r="G221" s="107"/>
      <c r="H221" s="107"/>
      <c r="I221" s="26"/>
      <c r="J221" s="26"/>
      <c r="K221" s="26"/>
      <c r="L221" s="26"/>
    </row>
    <row r="222" spans="7:12" ht="15.75" x14ac:dyDescent="0.25">
      <c r="G222" s="107"/>
      <c r="H222" s="107"/>
      <c r="I222" s="26"/>
      <c r="J222" s="26"/>
      <c r="K222" s="26"/>
      <c r="L222" s="26"/>
    </row>
    <row r="223" spans="7:12" ht="15.75" x14ac:dyDescent="0.25">
      <c r="G223" s="107"/>
      <c r="H223" s="107"/>
      <c r="I223" s="26"/>
      <c r="J223" s="26"/>
      <c r="K223" s="26"/>
      <c r="L223" s="26"/>
    </row>
    <row r="224" spans="7:12" ht="15.75" x14ac:dyDescent="0.25">
      <c r="G224" s="107"/>
      <c r="H224" s="107"/>
      <c r="I224" s="26"/>
      <c r="J224" s="26"/>
      <c r="K224" s="26"/>
      <c r="L224" s="26"/>
    </row>
    <row r="225" spans="7:12" ht="15.75" x14ac:dyDescent="0.25">
      <c r="G225" s="107"/>
      <c r="H225" s="107"/>
      <c r="I225" s="26"/>
      <c r="J225" s="26"/>
      <c r="K225" s="26"/>
      <c r="L225" s="26"/>
    </row>
    <row r="226" spans="7:12" ht="15.75" x14ac:dyDescent="0.25">
      <c r="G226" s="107"/>
      <c r="H226" s="107"/>
      <c r="I226" s="26"/>
      <c r="J226" s="26"/>
      <c r="K226" s="26"/>
      <c r="L226" s="26"/>
    </row>
    <row r="227" spans="7:12" ht="15.75" x14ac:dyDescent="0.25">
      <c r="G227" s="107"/>
      <c r="H227" s="107"/>
      <c r="I227" s="26"/>
      <c r="J227" s="26"/>
      <c r="K227" s="26"/>
      <c r="L227" s="26"/>
    </row>
    <row r="228" spans="7:12" ht="15.75" x14ac:dyDescent="0.25">
      <c r="G228" s="107"/>
      <c r="H228" s="107"/>
      <c r="I228" s="26"/>
      <c r="J228" s="26"/>
      <c r="K228" s="26"/>
      <c r="L228" s="26"/>
    </row>
    <row r="229" spans="7:12" ht="15.75" x14ac:dyDescent="0.25">
      <c r="G229" s="107"/>
      <c r="H229" s="107"/>
      <c r="I229" s="26"/>
      <c r="J229" s="26"/>
      <c r="K229" s="26"/>
      <c r="L229" s="26"/>
    </row>
    <row r="230" spans="7:12" ht="15.75" x14ac:dyDescent="0.25">
      <c r="G230" s="107"/>
      <c r="H230" s="107"/>
      <c r="I230" s="26"/>
      <c r="J230" s="26"/>
      <c r="K230" s="26"/>
      <c r="L230" s="26"/>
    </row>
    <row r="231" spans="7:12" ht="15.75" x14ac:dyDescent="0.25">
      <c r="G231" s="107"/>
      <c r="H231" s="107"/>
      <c r="I231" s="26"/>
      <c r="J231" s="26"/>
      <c r="K231" s="26"/>
      <c r="L231" s="26"/>
    </row>
    <row r="232" spans="7:12" ht="15.75" x14ac:dyDescent="0.25">
      <c r="G232" s="107"/>
      <c r="H232" s="107"/>
      <c r="I232" s="26"/>
      <c r="J232" s="26"/>
      <c r="K232" s="26"/>
      <c r="L232" s="26"/>
    </row>
    <row r="233" spans="7:12" ht="15.75" x14ac:dyDescent="0.25">
      <c r="G233" s="107"/>
      <c r="H233" s="107"/>
      <c r="I233" s="26"/>
      <c r="J233" s="26"/>
      <c r="K233" s="26"/>
      <c r="L233" s="26"/>
    </row>
    <row r="234" spans="7:12" ht="15.75" x14ac:dyDescent="0.25">
      <c r="G234" s="107"/>
      <c r="H234" s="107"/>
      <c r="I234" s="26"/>
      <c r="J234" s="26"/>
      <c r="K234" s="26"/>
      <c r="L234" s="26"/>
    </row>
    <row r="235" spans="7:12" ht="15.75" x14ac:dyDescent="0.25">
      <c r="G235" s="107"/>
      <c r="H235" s="107"/>
      <c r="I235" s="26"/>
      <c r="J235" s="26"/>
      <c r="K235" s="26"/>
      <c r="L235" s="26"/>
    </row>
    <row r="236" spans="7:12" ht="15.75" x14ac:dyDescent="0.25">
      <c r="G236" s="107"/>
      <c r="H236" s="107"/>
      <c r="I236" s="26"/>
      <c r="J236" s="26"/>
      <c r="K236" s="26"/>
      <c r="L236" s="26"/>
    </row>
    <row r="237" spans="7:12" ht="15.75" x14ac:dyDescent="0.25">
      <c r="G237" s="107"/>
      <c r="H237" s="107"/>
      <c r="I237" s="26"/>
      <c r="J237" s="26"/>
      <c r="K237" s="26"/>
      <c r="L237" s="26"/>
    </row>
    <row r="238" spans="7:12" ht="15.75" x14ac:dyDescent="0.25">
      <c r="G238" s="107"/>
      <c r="H238" s="107"/>
      <c r="I238" s="26"/>
      <c r="J238" s="26"/>
      <c r="K238" s="26"/>
      <c r="L238" s="26"/>
    </row>
    <row r="239" spans="7:12" ht="15.75" x14ac:dyDescent="0.25">
      <c r="G239" s="107"/>
      <c r="H239" s="107"/>
      <c r="I239" s="26"/>
      <c r="J239" s="26"/>
      <c r="K239" s="26"/>
      <c r="L239" s="26"/>
    </row>
    <row r="240" spans="7:12" ht="15.75" x14ac:dyDescent="0.25">
      <c r="G240" s="107"/>
      <c r="H240" s="107"/>
      <c r="I240" s="26"/>
      <c r="J240" s="26"/>
      <c r="K240" s="26"/>
      <c r="L240" s="26"/>
    </row>
    <row r="241" spans="7:12" ht="15.75" x14ac:dyDescent="0.25">
      <c r="G241" s="107"/>
      <c r="H241" s="107"/>
      <c r="I241" s="26"/>
      <c r="J241" s="26"/>
      <c r="K241" s="26"/>
      <c r="L241" s="26"/>
    </row>
    <row r="242" spans="7:12" ht="15.75" x14ac:dyDescent="0.25">
      <c r="G242" s="107"/>
      <c r="H242" s="107"/>
      <c r="I242" s="26"/>
      <c r="J242" s="26"/>
      <c r="K242" s="26"/>
      <c r="L242" s="26"/>
    </row>
    <row r="243" spans="7:12" ht="15.75" x14ac:dyDescent="0.25">
      <c r="G243" s="107"/>
      <c r="H243" s="107"/>
      <c r="I243" s="26"/>
      <c r="J243" s="26"/>
      <c r="K243" s="26"/>
      <c r="L243" s="26"/>
    </row>
    <row r="244" spans="7:12" ht="15.75" x14ac:dyDescent="0.25">
      <c r="G244" s="107"/>
      <c r="H244" s="107"/>
      <c r="I244" s="26"/>
      <c r="J244" s="26"/>
      <c r="K244" s="26"/>
      <c r="L244" s="26"/>
    </row>
    <row r="245" spans="7:12" ht="15.75" x14ac:dyDescent="0.25">
      <c r="G245" s="107"/>
      <c r="H245" s="107"/>
      <c r="I245" s="26"/>
      <c r="J245" s="26"/>
      <c r="K245" s="26"/>
      <c r="L245" s="26"/>
    </row>
    <row r="246" spans="7:12" ht="15.75" x14ac:dyDescent="0.25">
      <c r="G246" s="107"/>
      <c r="H246" s="107"/>
      <c r="I246" s="26"/>
      <c r="J246" s="26"/>
      <c r="K246" s="26"/>
      <c r="L246" s="26"/>
    </row>
    <row r="247" spans="7:12" ht="15.75" x14ac:dyDescent="0.25">
      <c r="G247" s="107"/>
      <c r="H247" s="107"/>
      <c r="I247" s="26"/>
      <c r="J247" s="26"/>
      <c r="K247" s="26"/>
      <c r="L247" s="26"/>
    </row>
    <row r="248" spans="7:12" ht="15.75" x14ac:dyDescent="0.25">
      <c r="G248" s="107"/>
      <c r="H248" s="107"/>
      <c r="I248" s="26"/>
      <c r="J248" s="26"/>
      <c r="K248" s="26"/>
      <c r="L248" s="26"/>
    </row>
    <row r="249" spans="7:12" ht="15.75" x14ac:dyDescent="0.25">
      <c r="G249" s="107"/>
      <c r="H249" s="107"/>
      <c r="I249" s="26"/>
      <c r="J249" s="26"/>
      <c r="K249" s="26"/>
      <c r="L249" s="26"/>
    </row>
    <row r="250" spans="7:12" ht="15.75" x14ac:dyDescent="0.25">
      <c r="G250" s="107"/>
      <c r="H250" s="107"/>
      <c r="I250" s="26"/>
      <c r="J250" s="26"/>
      <c r="K250" s="26"/>
      <c r="L250" s="26"/>
    </row>
    <row r="251" spans="7:12" ht="15.75" x14ac:dyDescent="0.25">
      <c r="G251" s="107"/>
      <c r="H251" s="107"/>
      <c r="I251" s="26"/>
      <c r="J251" s="26"/>
      <c r="K251" s="26"/>
      <c r="L251" s="26"/>
    </row>
    <row r="252" spans="7:12" ht="15.75" x14ac:dyDescent="0.25">
      <c r="G252" s="107"/>
      <c r="H252" s="107"/>
      <c r="I252" s="26"/>
      <c r="J252" s="26"/>
      <c r="K252" s="26"/>
      <c r="L252" s="26"/>
    </row>
    <row r="253" spans="7:12" ht="15.75" x14ac:dyDescent="0.25">
      <c r="G253" s="107"/>
      <c r="H253" s="107"/>
      <c r="I253" s="26"/>
      <c r="J253" s="26"/>
      <c r="K253" s="26"/>
      <c r="L253" s="26"/>
    </row>
    <row r="254" spans="7:12" ht="15.75" x14ac:dyDescent="0.25">
      <c r="G254" s="107"/>
      <c r="H254" s="107"/>
      <c r="I254" s="26"/>
      <c r="J254" s="26"/>
      <c r="K254" s="26"/>
      <c r="L254" s="26"/>
    </row>
    <row r="255" spans="7:12" ht="15.75" x14ac:dyDescent="0.25">
      <c r="G255" s="107"/>
      <c r="H255" s="107"/>
      <c r="I255" s="26"/>
      <c r="J255" s="26"/>
      <c r="K255" s="26"/>
      <c r="L255" s="26"/>
    </row>
    <row r="256" spans="7:12" ht="15.75" x14ac:dyDescent="0.25">
      <c r="G256" s="107"/>
      <c r="H256" s="107"/>
      <c r="I256" s="26"/>
      <c r="J256" s="26"/>
      <c r="K256" s="26"/>
      <c r="L256" s="26"/>
    </row>
    <row r="257" spans="7:12" ht="15.75" x14ac:dyDescent="0.25">
      <c r="G257" s="107"/>
      <c r="H257" s="107"/>
      <c r="I257" s="26"/>
      <c r="J257" s="26"/>
      <c r="K257" s="26"/>
      <c r="L257" s="26"/>
    </row>
    <row r="258" spans="7:12" ht="15.75" x14ac:dyDescent="0.25">
      <c r="G258" s="107"/>
      <c r="H258" s="107"/>
      <c r="I258" s="26"/>
      <c r="J258" s="26"/>
      <c r="K258" s="26"/>
      <c r="L258" s="26"/>
    </row>
    <row r="259" spans="7:12" ht="15.75" x14ac:dyDescent="0.25">
      <c r="G259" s="107"/>
      <c r="H259" s="107"/>
      <c r="I259" s="26"/>
      <c r="J259" s="26"/>
      <c r="K259" s="26"/>
      <c r="L259" s="26"/>
    </row>
    <row r="260" spans="7:12" ht="15.75" x14ac:dyDescent="0.25">
      <c r="G260" s="107"/>
      <c r="H260" s="107"/>
      <c r="I260" s="26"/>
      <c r="J260" s="26"/>
      <c r="K260" s="26"/>
      <c r="L260" s="26"/>
    </row>
    <row r="261" spans="7:12" ht="15.75" x14ac:dyDescent="0.25">
      <c r="G261" s="107"/>
      <c r="H261" s="107"/>
      <c r="I261" s="26"/>
      <c r="J261" s="26"/>
      <c r="K261" s="26"/>
      <c r="L261" s="26"/>
    </row>
    <row r="262" spans="7:12" ht="15.75" x14ac:dyDescent="0.25">
      <c r="G262" s="107"/>
      <c r="H262" s="107"/>
      <c r="I262" s="26"/>
      <c r="J262" s="26"/>
      <c r="K262" s="26"/>
      <c r="L262" s="26"/>
    </row>
    <row r="263" spans="7:12" ht="15.75" x14ac:dyDescent="0.25">
      <c r="G263" s="107"/>
      <c r="H263" s="107"/>
      <c r="I263" s="26"/>
      <c r="J263" s="26"/>
      <c r="K263" s="26"/>
      <c r="L263" s="26"/>
    </row>
    <row r="264" spans="7:12" ht="15.75" x14ac:dyDescent="0.25">
      <c r="G264" s="107"/>
      <c r="H264" s="107"/>
      <c r="I264" s="26"/>
      <c r="J264" s="26"/>
      <c r="K264" s="26"/>
      <c r="L264" s="26"/>
    </row>
    <row r="265" spans="7:12" ht="15.75" x14ac:dyDescent="0.25">
      <c r="G265" s="107"/>
      <c r="H265" s="107"/>
      <c r="I265" s="26"/>
      <c r="J265" s="26"/>
      <c r="K265" s="26"/>
      <c r="L265" s="26"/>
    </row>
    <row r="266" spans="7:12" ht="15.75" x14ac:dyDescent="0.25">
      <c r="G266" s="107"/>
      <c r="H266" s="107"/>
      <c r="I266" s="26"/>
      <c r="J266" s="26"/>
      <c r="K266" s="26"/>
      <c r="L266" s="26"/>
    </row>
    <row r="267" spans="7:12" ht="15.75" x14ac:dyDescent="0.25">
      <c r="G267" s="107"/>
      <c r="H267" s="107"/>
      <c r="I267" s="26"/>
      <c r="J267" s="26"/>
      <c r="K267" s="26"/>
      <c r="L267" s="26"/>
    </row>
    <row r="268" spans="7:12" ht="15.75" x14ac:dyDescent="0.25">
      <c r="G268" s="107"/>
      <c r="H268" s="107"/>
      <c r="I268" s="26"/>
      <c r="J268" s="26"/>
      <c r="K268" s="26"/>
      <c r="L268" s="26"/>
    </row>
    <row r="269" spans="7:12" ht="15.75" x14ac:dyDescent="0.25">
      <c r="G269" s="107"/>
      <c r="H269" s="107"/>
      <c r="I269" s="26"/>
      <c r="J269" s="26"/>
      <c r="K269" s="26"/>
      <c r="L269" s="26"/>
    </row>
    <row r="270" spans="7:12" ht="15.75" x14ac:dyDescent="0.25">
      <c r="G270" s="107"/>
      <c r="H270" s="107"/>
      <c r="I270" s="26"/>
      <c r="J270" s="26"/>
      <c r="K270" s="26"/>
      <c r="L270" s="26"/>
    </row>
    <row r="271" spans="7:12" ht="15.75" x14ac:dyDescent="0.25">
      <c r="G271" s="107"/>
      <c r="H271" s="107"/>
      <c r="I271" s="26"/>
      <c r="J271" s="26"/>
      <c r="K271" s="26"/>
      <c r="L271" s="26"/>
    </row>
    <row r="272" spans="7:12" ht="15.75" x14ac:dyDescent="0.25">
      <c r="G272" s="107"/>
      <c r="H272" s="107"/>
      <c r="I272" s="26"/>
      <c r="J272" s="26"/>
      <c r="K272" s="26"/>
      <c r="L272" s="26"/>
    </row>
    <row r="273" spans="7:12" ht="15.75" x14ac:dyDescent="0.25">
      <c r="G273" s="107"/>
      <c r="H273" s="107"/>
      <c r="I273" s="26"/>
      <c r="J273" s="26"/>
      <c r="K273" s="26"/>
      <c r="L273" s="26"/>
    </row>
    <row r="274" spans="7:12" ht="15.75" x14ac:dyDescent="0.25">
      <c r="G274" s="107"/>
      <c r="H274" s="107"/>
      <c r="I274" s="26"/>
      <c r="J274" s="26"/>
      <c r="K274" s="26"/>
      <c r="L274" s="26"/>
    </row>
    <row r="275" spans="7:12" ht="15.75" x14ac:dyDescent="0.25">
      <c r="G275" s="107"/>
      <c r="H275" s="107"/>
      <c r="I275" s="26"/>
      <c r="J275" s="26"/>
      <c r="K275" s="26"/>
      <c r="L275" s="26"/>
    </row>
    <row r="276" spans="7:12" ht="15.75" x14ac:dyDescent="0.25">
      <c r="G276" s="107"/>
      <c r="H276" s="107"/>
      <c r="I276" s="26"/>
      <c r="J276" s="26"/>
      <c r="K276" s="26"/>
      <c r="L276" s="26"/>
    </row>
    <row r="277" spans="7:12" ht="15.75" x14ac:dyDescent="0.25">
      <c r="G277" s="107"/>
      <c r="H277" s="107"/>
      <c r="I277" s="26"/>
      <c r="J277" s="26"/>
      <c r="K277" s="26"/>
      <c r="L277" s="26"/>
    </row>
    <row r="278" spans="7:12" ht="15.75" x14ac:dyDescent="0.25">
      <c r="G278" s="107"/>
      <c r="H278" s="107"/>
      <c r="I278" s="26"/>
      <c r="J278" s="26"/>
      <c r="K278" s="26"/>
      <c r="L278" s="26"/>
    </row>
    <row r="279" spans="7:12" ht="15.75" x14ac:dyDescent="0.25">
      <c r="G279" s="107"/>
      <c r="H279" s="107"/>
      <c r="I279" s="26"/>
      <c r="J279" s="26"/>
      <c r="K279" s="26"/>
      <c r="L279" s="26"/>
    </row>
    <row r="280" spans="7:12" ht="15.75" x14ac:dyDescent="0.25">
      <c r="G280" s="107"/>
      <c r="H280" s="107"/>
      <c r="I280" s="26"/>
      <c r="J280" s="26"/>
      <c r="K280" s="26"/>
      <c r="L280" s="26"/>
    </row>
    <row r="281" spans="7:12" ht="15.75" x14ac:dyDescent="0.25">
      <c r="G281" s="107"/>
      <c r="H281" s="107"/>
      <c r="I281" s="26"/>
      <c r="J281" s="26"/>
      <c r="K281" s="26"/>
      <c r="L281" s="26"/>
    </row>
    <row r="282" spans="7:12" ht="15.75" x14ac:dyDescent="0.25">
      <c r="G282" s="107"/>
      <c r="H282" s="107"/>
      <c r="I282" s="26"/>
      <c r="J282" s="26"/>
      <c r="K282" s="26"/>
      <c r="L282" s="26"/>
    </row>
    <row r="283" spans="7:12" ht="15.75" x14ac:dyDescent="0.25">
      <c r="G283" s="107"/>
      <c r="H283" s="107"/>
      <c r="I283" s="26"/>
      <c r="J283" s="26"/>
      <c r="K283" s="26"/>
      <c r="L283" s="26"/>
    </row>
    <row r="284" spans="7:12" ht="15.75" x14ac:dyDescent="0.25">
      <c r="G284" s="107"/>
      <c r="H284" s="107"/>
      <c r="I284" s="26"/>
      <c r="J284" s="26"/>
      <c r="K284" s="26"/>
      <c r="L284" s="26"/>
    </row>
    <row r="285" spans="7:12" ht="15.75" x14ac:dyDescent="0.25">
      <c r="G285" s="107"/>
      <c r="H285" s="107"/>
      <c r="I285" s="26"/>
      <c r="J285" s="26"/>
      <c r="K285" s="26"/>
      <c r="L285" s="26"/>
    </row>
    <row r="286" spans="7:12" ht="15.75" x14ac:dyDescent="0.25">
      <c r="G286" s="107"/>
      <c r="H286" s="107"/>
      <c r="I286" s="26"/>
      <c r="J286" s="26"/>
      <c r="K286" s="26"/>
      <c r="L286" s="26"/>
    </row>
    <row r="287" spans="7:12" ht="15.75" x14ac:dyDescent="0.25">
      <c r="G287" s="107"/>
      <c r="H287" s="107"/>
      <c r="I287" s="26"/>
      <c r="J287" s="26"/>
      <c r="K287" s="26"/>
      <c r="L287" s="26"/>
    </row>
    <row r="288" spans="7:12" ht="15.75" x14ac:dyDescent="0.25">
      <c r="G288" s="107"/>
      <c r="H288" s="107"/>
      <c r="I288" s="26"/>
      <c r="J288" s="26"/>
      <c r="K288" s="26"/>
      <c r="L288" s="26"/>
    </row>
    <row r="289" spans="7:12" ht="15.75" x14ac:dyDescent="0.25">
      <c r="G289" s="107"/>
      <c r="H289" s="107"/>
      <c r="I289" s="26"/>
      <c r="J289" s="26"/>
      <c r="K289" s="26"/>
      <c r="L289" s="26"/>
    </row>
    <row r="290" spans="7:12" ht="15.75" x14ac:dyDescent="0.25">
      <c r="G290" s="107"/>
      <c r="H290" s="107"/>
      <c r="I290" s="26"/>
      <c r="J290" s="26"/>
      <c r="K290" s="26"/>
      <c r="L290" s="26"/>
    </row>
    <row r="291" spans="7:12" ht="15.75" x14ac:dyDescent="0.25">
      <c r="G291" s="107"/>
      <c r="H291" s="107"/>
      <c r="I291" s="26"/>
      <c r="J291" s="26"/>
      <c r="K291" s="26"/>
      <c r="L291" s="26"/>
    </row>
    <row r="292" spans="7:12" ht="15.75" x14ac:dyDescent="0.25">
      <c r="G292" s="107"/>
      <c r="H292" s="107"/>
      <c r="I292" s="26"/>
      <c r="J292" s="26"/>
      <c r="K292" s="26"/>
      <c r="L292" s="26"/>
    </row>
    <row r="293" spans="7:12" ht="15.75" x14ac:dyDescent="0.25">
      <c r="G293" s="107"/>
      <c r="H293" s="107"/>
      <c r="I293" s="26"/>
      <c r="J293" s="26"/>
      <c r="K293" s="26"/>
      <c r="L293" s="26"/>
    </row>
  </sheetData>
  <mergeCells count="1">
    <mergeCell ref="H1:L1"/>
  </mergeCells>
  <conditionalFormatting sqref="D4:D5 D7:D8">
    <cfRule type="cellIs" dxfId="90" priority="37" operator="equal">
      <formula>0</formula>
    </cfRule>
  </conditionalFormatting>
  <dataValidations count="1">
    <dataValidation type="list" allowBlank="1" showInputMessage="1" sqref="H3:L3 H6:L6" xr:uid="{43B82E33-482F-4C4C-8756-224C96DA3D23}">
      <formula1>"inc"</formula1>
    </dataValidation>
  </dataValidations>
  <pageMargins left="0.70866141732283472" right="0.70866141732283472" top="0.74803149606299213" bottom="0.74803149606299213" header="0.31496062992125984" footer="0.31496062992125984"/>
  <pageSetup scale="3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1200-000000000000}">
          <x14:formula1>
            <xm:f>Unit!$A$4:$A$11</xm:f>
          </x14:formula1>
          <xm:sqref>D3 D6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00B050"/>
    <pageSetUpPr fitToPage="1"/>
  </sheetPr>
  <dimension ref="B2:AK460"/>
  <sheetViews>
    <sheetView view="pageBreakPreview" topLeftCell="A239" zoomScale="70" zoomScaleNormal="100" zoomScaleSheetLayoutView="70" workbookViewId="0"/>
  </sheetViews>
  <sheetFormatPr defaultColWidth="9.140625" defaultRowHeight="15" outlineLevelRow="2" outlineLevelCol="1" x14ac:dyDescent="0.25"/>
  <cols>
    <col min="1" max="1" width="2.85546875" style="25" customWidth="1"/>
    <col min="2" max="2" width="40.140625" style="25" customWidth="1"/>
    <col min="3" max="8" width="9.5703125" style="25" hidden="1" customWidth="1"/>
    <col min="9" max="10" width="10.5703125" style="25" hidden="1" customWidth="1"/>
    <col min="11" max="12" width="12.5703125" style="25" hidden="1" customWidth="1"/>
    <col min="13" max="16" width="12.5703125" style="25" customWidth="1"/>
    <col min="17" max="20" width="12.5703125" style="25" hidden="1" customWidth="1" outlineLevel="1"/>
    <col min="21" max="21" width="15.5703125" style="25" customWidth="1" collapsed="1"/>
    <col min="22" max="37" width="15.5703125" style="25" customWidth="1"/>
    <col min="38" max="16384" width="9.140625" style="25"/>
  </cols>
  <sheetData>
    <row r="2" spans="2:37" ht="15.75" x14ac:dyDescent="0.25">
      <c r="B2" s="117"/>
      <c r="C2" s="118"/>
      <c r="D2" s="118"/>
      <c r="E2" s="118"/>
      <c r="F2" s="118"/>
      <c r="G2" s="118"/>
      <c r="H2" s="118"/>
      <c r="I2" s="119"/>
      <c r="J2" s="118"/>
      <c r="K2" s="117"/>
      <c r="L2" s="117"/>
      <c r="M2" s="117"/>
      <c r="N2" s="117"/>
      <c r="O2" s="117"/>
      <c r="P2" s="117"/>
      <c r="Q2" s="120"/>
      <c r="R2" s="117"/>
      <c r="S2" s="121"/>
      <c r="T2" s="88"/>
    </row>
    <row r="3" spans="2:37" ht="21" hidden="1" customHeight="1" outlineLevel="1" x14ac:dyDescent="0.25">
      <c r="B3" s="122" t="s">
        <v>176</v>
      </c>
      <c r="C3" s="629" t="s">
        <v>180</v>
      </c>
      <c r="D3" s="630"/>
      <c r="E3" s="630"/>
      <c r="F3" s="630"/>
      <c r="G3" s="630"/>
      <c r="H3" s="630"/>
      <c r="I3" s="630"/>
      <c r="J3" s="630"/>
      <c r="K3" s="629" t="s">
        <v>181</v>
      </c>
      <c r="L3" s="630"/>
      <c r="M3" s="630"/>
      <c r="N3" s="630"/>
      <c r="O3" s="630"/>
      <c r="P3" s="630"/>
      <c r="Q3" s="630"/>
      <c r="R3" s="630"/>
      <c r="S3" s="630"/>
      <c r="T3" s="631"/>
      <c r="U3" s="650" t="s">
        <v>257</v>
      </c>
      <c r="V3" s="651"/>
      <c r="W3" s="651"/>
      <c r="X3" s="651"/>
      <c r="Y3" s="651"/>
      <c r="Z3" s="651"/>
      <c r="AA3" s="651"/>
      <c r="AB3" s="652"/>
      <c r="AC3" s="629" t="s">
        <v>293</v>
      </c>
      <c r="AD3" s="630"/>
      <c r="AE3" s="630"/>
      <c r="AF3" s="630"/>
      <c r="AG3" s="630"/>
      <c r="AH3" s="630"/>
      <c r="AI3" s="630"/>
      <c r="AJ3" s="630"/>
      <c r="AK3" s="630"/>
    </row>
    <row r="4" spans="2:37" ht="43.5" hidden="1" customHeight="1" outlineLevel="1" x14ac:dyDescent="0.25">
      <c r="B4" s="641" t="s">
        <v>176</v>
      </c>
      <c r="C4" s="644" t="s">
        <v>5</v>
      </c>
      <c r="D4" s="635" t="s">
        <v>6</v>
      </c>
      <c r="E4" s="647" t="s">
        <v>7</v>
      </c>
      <c r="F4" s="635" t="s">
        <v>178</v>
      </c>
      <c r="G4" s="632" t="s">
        <v>9</v>
      </c>
      <c r="H4" s="635" t="s">
        <v>179</v>
      </c>
      <c r="I4" s="638" t="s">
        <v>1</v>
      </c>
      <c r="J4" s="638" t="s">
        <v>2</v>
      </c>
      <c r="K4" s="123" t="s">
        <v>268</v>
      </c>
      <c r="L4" s="123" t="s">
        <v>259</v>
      </c>
      <c r="M4" s="123" t="s">
        <v>260</v>
      </c>
      <c r="N4" s="123" t="s">
        <v>261</v>
      </c>
      <c r="O4" s="123" t="s">
        <v>262</v>
      </c>
      <c r="P4" s="123" t="s">
        <v>490</v>
      </c>
      <c r="Q4" s="123" t="s">
        <v>287</v>
      </c>
      <c r="R4" s="123" t="s">
        <v>288</v>
      </c>
      <c r="S4" s="123" t="s">
        <v>289</v>
      </c>
      <c r="T4" s="123" t="s">
        <v>488</v>
      </c>
      <c r="U4" s="124" t="s">
        <v>270</v>
      </c>
      <c r="V4" s="124" t="s">
        <v>271</v>
      </c>
      <c r="W4" s="124" t="s">
        <v>272</v>
      </c>
      <c r="X4" s="124" t="s">
        <v>273</v>
      </c>
      <c r="Y4" s="124" t="s">
        <v>184</v>
      </c>
      <c r="Z4" s="124" t="s">
        <v>286</v>
      </c>
      <c r="AA4" s="124" t="s">
        <v>290</v>
      </c>
      <c r="AB4" s="124" t="s">
        <v>291</v>
      </c>
      <c r="AC4" s="123" t="s">
        <v>292</v>
      </c>
      <c r="AD4" s="123" t="s">
        <v>298</v>
      </c>
      <c r="AE4" s="123" t="s">
        <v>297</v>
      </c>
      <c r="AF4" s="123" t="s">
        <v>316</v>
      </c>
      <c r="AG4" s="123" t="s">
        <v>317</v>
      </c>
      <c r="AH4" s="123" t="s">
        <v>327</v>
      </c>
      <c r="AI4" s="123" t="s">
        <v>331</v>
      </c>
      <c r="AJ4" s="123" t="s">
        <v>310</v>
      </c>
      <c r="AK4" s="123" t="s">
        <v>311</v>
      </c>
    </row>
    <row r="5" spans="2:37" ht="45" hidden="1" customHeight="1" outlineLevel="1" x14ac:dyDescent="0.25">
      <c r="B5" s="642"/>
      <c r="C5" s="645"/>
      <c r="D5" s="636"/>
      <c r="E5" s="648"/>
      <c r="F5" s="636"/>
      <c r="G5" s="633"/>
      <c r="H5" s="636"/>
      <c r="I5" s="639"/>
      <c r="J5" s="639"/>
      <c r="K5" s="123" t="s">
        <v>265</v>
      </c>
      <c r="L5" s="123" t="s">
        <v>263</v>
      </c>
      <c r="M5" s="123" t="s">
        <v>265</v>
      </c>
      <c r="N5" s="123" t="s">
        <v>266</v>
      </c>
      <c r="O5" s="123" t="s">
        <v>267</v>
      </c>
      <c r="P5" s="123" t="s">
        <v>561</v>
      </c>
      <c r="Q5" s="123"/>
      <c r="R5" s="123"/>
      <c r="S5" s="123"/>
      <c r="T5" s="123"/>
      <c r="U5" s="392" t="s">
        <v>858</v>
      </c>
      <c r="V5" s="124" t="s">
        <v>858</v>
      </c>
      <c r="W5" s="124" t="s">
        <v>523</v>
      </c>
      <c r="X5" s="124" t="s">
        <v>522</v>
      </c>
      <c r="Y5" s="124" t="s">
        <v>516</v>
      </c>
      <c r="Z5" s="124"/>
      <c r="AA5" s="124"/>
      <c r="AB5" s="124"/>
      <c r="AC5" s="123" t="s">
        <v>306</v>
      </c>
      <c r="AD5" s="123" t="s">
        <v>306</v>
      </c>
      <c r="AE5" s="123" t="s">
        <v>301</v>
      </c>
      <c r="AF5" s="123" t="s">
        <v>306</v>
      </c>
      <c r="AG5" s="123" t="s">
        <v>305</v>
      </c>
      <c r="AH5" s="123" t="s">
        <v>329</v>
      </c>
      <c r="AI5" s="123" t="s">
        <v>301</v>
      </c>
      <c r="AJ5" s="123"/>
      <c r="AK5" s="123"/>
    </row>
    <row r="6" spans="2:37" ht="15.75" hidden="1" outlineLevel="1" x14ac:dyDescent="0.25">
      <c r="B6" s="643"/>
      <c r="C6" s="646"/>
      <c r="D6" s="637"/>
      <c r="E6" s="649"/>
      <c r="F6" s="637"/>
      <c r="G6" s="634"/>
      <c r="H6" s="637"/>
      <c r="I6" s="640"/>
      <c r="J6" s="640"/>
      <c r="K6" s="125">
        <f t="shared" ref="K6:S6" si="0">K7+K18+K29+K40+K51+K62+K73+K84+K95+K106+K117+K128+K139+K150</f>
        <v>270.99400000000003</v>
      </c>
      <c r="L6" s="126">
        <f t="shared" si="0"/>
        <v>68.649000000000001</v>
      </c>
      <c r="M6" s="126">
        <f t="shared" si="0"/>
        <v>0</v>
      </c>
      <c r="N6" s="126">
        <f t="shared" si="0"/>
        <v>0</v>
      </c>
      <c r="O6" s="126">
        <f t="shared" si="0"/>
        <v>0</v>
      </c>
      <c r="P6" s="126">
        <f>P7+P18+P29+P40+P51+P62+P73+P84+P95+P106+P117+P128+P139+P150</f>
        <v>0</v>
      </c>
      <c r="Q6" s="126">
        <f t="shared" si="0"/>
        <v>0</v>
      </c>
      <c r="R6" s="126">
        <f t="shared" si="0"/>
        <v>0</v>
      </c>
      <c r="S6" s="126">
        <f t="shared" si="0"/>
        <v>0</v>
      </c>
      <c r="T6" s="126">
        <f>T7+T18+T29+T40+T51+T62+T73+T84+T95+T106+T117+T128+T139+T150</f>
        <v>0</v>
      </c>
      <c r="U6" s="127">
        <f>U7+U18+U29+U40+U51+U62+U73+U84+U95+U106+U117+U128+U139+U150</f>
        <v>189.67500000000001</v>
      </c>
      <c r="V6" s="128">
        <f t="shared" ref="V6:AK6" si="1">V7+V18+V29+V40+V51+V62+V73+V84+V95+V106+V117+V128+V139+V150</f>
        <v>70.781000000000006</v>
      </c>
      <c r="W6" s="128">
        <f t="shared" si="1"/>
        <v>0</v>
      </c>
      <c r="X6" s="128">
        <f t="shared" si="1"/>
        <v>0</v>
      </c>
      <c r="Y6" s="128">
        <f t="shared" si="1"/>
        <v>12.231999999999999</v>
      </c>
      <c r="Z6" s="128">
        <f t="shared" si="1"/>
        <v>0</v>
      </c>
      <c r="AA6" s="128">
        <f t="shared" si="1"/>
        <v>0</v>
      </c>
      <c r="AB6" s="128">
        <f t="shared" si="1"/>
        <v>0</v>
      </c>
      <c r="AC6" s="126">
        <f t="shared" si="1"/>
        <v>169.28299999999999</v>
      </c>
      <c r="AD6" s="126">
        <f t="shared" si="1"/>
        <v>0</v>
      </c>
      <c r="AE6" s="126">
        <f t="shared" si="1"/>
        <v>0</v>
      </c>
      <c r="AF6" s="126">
        <f t="shared" si="1"/>
        <v>0</v>
      </c>
      <c r="AG6" s="126">
        <f t="shared" si="1"/>
        <v>0</v>
      </c>
      <c r="AH6" s="126">
        <f t="shared" si="1"/>
        <v>0</v>
      </c>
      <c r="AI6" s="126">
        <f t="shared" si="1"/>
        <v>0</v>
      </c>
      <c r="AJ6" s="126">
        <f t="shared" si="1"/>
        <v>0</v>
      </c>
      <c r="AK6" s="126">
        <f t="shared" si="1"/>
        <v>0</v>
      </c>
    </row>
    <row r="7" spans="2:37" ht="18.75" hidden="1" outlineLevel="1" x14ac:dyDescent="0.25">
      <c r="B7" s="129" t="s">
        <v>250</v>
      </c>
      <c r="C7" s="130"/>
      <c r="D7" s="241" t="s">
        <v>799</v>
      </c>
      <c r="E7" s="130"/>
      <c r="F7" s="130"/>
      <c r="G7" s="241" t="s">
        <v>798</v>
      </c>
      <c r="H7" s="130"/>
      <c r="I7" s="131">
        <f>SUM(I8:I17)</f>
        <v>69.25</v>
      </c>
      <c r="J7" s="132" t="s">
        <v>11</v>
      </c>
      <c r="K7" s="133">
        <f t="shared" ref="K7:T7" si="2">IFERROR(SUMPRODUCT($I8:$I17,K8:K17),0)</f>
        <v>138.5</v>
      </c>
      <c r="L7" s="134">
        <f t="shared" si="2"/>
        <v>0</v>
      </c>
      <c r="M7" s="134">
        <f t="shared" si="2"/>
        <v>0</v>
      </c>
      <c r="N7" s="134">
        <f t="shared" si="2"/>
        <v>0</v>
      </c>
      <c r="O7" s="134">
        <f t="shared" si="2"/>
        <v>0</v>
      </c>
      <c r="P7" s="134">
        <f>IFERROR(SUMPRODUCT($I8:$I17,P8:P17),0)</f>
        <v>0</v>
      </c>
      <c r="Q7" s="134">
        <f t="shared" si="2"/>
        <v>0</v>
      </c>
      <c r="R7" s="134">
        <f t="shared" si="2"/>
        <v>0</v>
      </c>
      <c r="S7" s="134">
        <f>IFERROR(SUMPRODUCT($I8:$I17,S8:S17),0)</f>
        <v>0</v>
      </c>
      <c r="T7" s="134">
        <f t="shared" si="2"/>
        <v>0</v>
      </c>
      <c r="U7" s="136">
        <f>IFERROR(SUMPRODUCT($I8:$I17,U8:U17),0)</f>
        <v>69.25</v>
      </c>
      <c r="V7" s="137">
        <f t="shared" ref="V7:AK7" si="3">IFERROR(SUMPRODUCT($I8:$I17,V8:V17),0)</f>
        <v>0</v>
      </c>
      <c r="W7" s="137">
        <f t="shared" si="3"/>
        <v>0</v>
      </c>
      <c r="X7" s="137">
        <f t="shared" si="3"/>
        <v>0</v>
      </c>
      <c r="Y7" s="137">
        <f t="shared" si="3"/>
        <v>0</v>
      </c>
      <c r="Z7" s="137">
        <f t="shared" si="3"/>
        <v>0</v>
      </c>
      <c r="AA7" s="137">
        <f t="shared" si="3"/>
        <v>0</v>
      </c>
      <c r="AB7" s="137">
        <f t="shared" si="3"/>
        <v>0</v>
      </c>
      <c r="AC7" s="133">
        <f t="shared" si="3"/>
        <v>0</v>
      </c>
      <c r="AD7" s="134">
        <f t="shared" si="3"/>
        <v>0</v>
      </c>
      <c r="AE7" s="134">
        <f t="shared" si="3"/>
        <v>0</v>
      </c>
      <c r="AF7" s="134">
        <f t="shared" si="3"/>
        <v>0</v>
      </c>
      <c r="AG7" s="134">
        <f t="shared" si="3"/>
        <v>0</v>
      </c>
      <c r="AH7" s="134">
        <f t="shared" si="3"/>
        <v>0</v>
      </c>
      <c r="AI7" s="134">
        <f t="shared" si="3"/>
        <v>0</v>
      </c>
      <c r="AJ7" s="134">
        <f t="shared" si="3"/>
        <v>0</v>
      </c>
      <c r="AK7" s="135">
        <f t="shared" si="3"/>
        <v>0</v>
      </c>
    </row>
    <row r="8" spans="2:37" ht="15.75" hidden="1" outlineLevel="1" x14ac:dyDescent="0.25">
      <c r="B8" s="138" t="s">
        <v>250</v>
      </c>
      <c r="C8" s="22"/>
      <c r="D8" s="31">
        <v>23.408000000000001</v>
      </c>
      <c r="E8" s="22"/>
      <c r="F8" s="22"/>
      <c r="G8" s="31">
        <v>69.25</v>
      </c>
      <c r="H8" s="22"/>
      <c r="I8" s="32">
        <f>IF(SUM(C8:H8)=0,"",IF(G8=0,1,G8))</f>
        <v>69.25</v>
      </c>
      <c r="J8" s="32" t="str">
        <f t="shared" ref="J8:J17" si="4">IF(COUNTA(C8:H8)=0,0,IF(I8="","",IF(F8-SUM(C8+D8+E8+G8+H8)=F8,"Lm",IF(COUNTA(C8:H8)&gt;4,"ERROR",IF(H8&gt;0,"m3",IF(COUNTA(G8,F8)=2,"m3",IF(COUNTA(C8:F8)=4,"m3",IF(COUNTA(D8:F8)=3,"m3",IF(G8&gt;0,"m2",IF(COUNTA(D8,E8)=2,"m2",IF(COUNTA(C8:F8)=3,"m2",IF(COUNTA(D8:F8)=2,"m2",IF(COUNTA(C8:F8)=2,"Lm",IF(D8&gt;0,"Lm",IF(E8&gt;0,"Lm",IF(C8&gt;0,"No.",))))))))))))))))</f>
        <v>m2</v>
      </c>
      <c r="K8" s="139">
        <f>IF($I8="","",2)</f>
        <v>2</v>
      </c>
      <c r="L8" s="140"/>
      <c r="M8" s="140"/>
      <c r="N8" s="140"/>
      <c r="O8" s="140"/>
      <c r="P8" s="140"/>
      <c r="Q8" s="140"/>
      <c r="R8" s="140"/>
      <c r="S8" s="140"/>
      <c r="T8" s="140"/>
      <c r="U8" s="144">
        <f>IF($I8="","",IF(Notes!$B$9="Domestic","",IF(Notes!$B$9="Commercial",1)))</f>
        <v>1</v>
      </c>
      <c r="V8" s="140"/>
      <c r="X8" s="140"/>
      <c r="Y8" s="140"/>
      <c r="Z8" s="140"/>
      <c r="AA8" s="140"/>
      <c r="AB8" s="141"/>
      <c r="AC8" s="142"/>
      <c r="AD8" s="140"/>
      <c r="AE8" s="140"/>
      <c r="AF8" s="140"/>
      <c r="AG8" s="140"/>
      <c r="AH8" s="140"/>
      <c r="AI8" s="140"/>
      <c r="AJ8" s="140"/>
      <c r="AK8" s="141"/>
    </row>
    <row r="9" spans="2:37" ht="15.75" hidden="1" outlineLevel="1" x14ac:dyDescent="0.25">
      <c r="B9" s="138"/>
      <c r="C9" s="22"/>
      <c r="D9" s="31"/>
      <c r="E9" s="22"/>
      <c r="F9" s="22"/>
      <c r="G9" s="31"/>
      <c r="H9" s="22"/>
      <c r="I9" s="32" t="str">
        <f t="shared" ref="I9:I17" si="5">IF(SUM(C9:H9)=0,"",IF(G9=0,1,G9))</f>
        <v/>
      </c>
      <c r="J9" s="32">
        <f t="shared" si="4"/>
        <v>0</v>
      </c>
      <c r="K9" s="139" t="str">
        <f t="shared" ref="K9:K17" si="6">IF($I9="","",2)</f>
        <v/>
      </c>
      <c r="L9" s="22"/>
      <c r="M9" s="22"/>
      <c r="N9" s="22"/>
      <c r="O9" s="22"/>
      <c r="P9" s="22"/>
      <c r="Q9" s="22"/>
      <c r="R9" s="22"/>
      <c r="S9" s="22"/>
      <c r="T9" s="144"/>
      <c r="U9" s="139" t="str">
        <f>IF($I9="","",IF(Notes!$B$9="Domestic",1,IF(Notes!$B$9="Commercial","")))</f>
        <v/>
      </c>
      <c r="V9" s="144"/>
      <c r="W9" s="144" t="str">
        <f>IF($I9="","",IF(Notes!$B$9="Domestic","",IF(Notes!$B$9="Commercial",1)))</f>
        <v/>
      </c>
      <c r="X9" s="144"/>
      <c r="Y9" s="144"/>
      <c r="Z9" s="144"/>
      <c r="AA9" s="144"/>
      <c r="AB9" s="143"/>
      <c r="AC9" s="139"/>
      <c r="AD9" s="144"/>
      <c r="AE9" s="144"/>
      <c r="AF9" s="144"/>
      <c r="AG9" s="144"/>
      <c r="AH9" s="144"/>
      <c r="AI9" s="144"/>
      <c r="AJ9" s="144"/>
      <c r="AK9" s="143"/>
    </row>
    <row r="10" spans="2:37" ht="15.75" hidden="1" outlineLevel="1" x14ac:dyDescent="0.25">
      <c r="B10" s="138"/>
      <c r="C10" s="22"/>
      <c r="D10" s="31"/>
      <c r="E10" s="22"/>
      <c r="F10" s="22"/>
      <c r="G10" s="31"/>
      <c r="H10" s="22"/>
      <c r="I10" s="32" t="str">
        <f t="shared" si="5"/>
        <v/>
      </c>
      <c r="J10" s="32">
        <f t="shared" si="4"/>
        <v>0</v>
      </c>
      <c r="K10" s="139" t="str">
        <f t="shared" si="6"/>
        <v/>
      </c>
      <c r="L10" s="22"/>
      <c r="M10" s="22"/>
      <c r="N10" s="22"/>
      <c r="O10" s="22"/>
      <c r="P10" s="22"/>
      <c r="Q10" s="22"/>
      <c r="R10" s="22"/>
      <c r="S10" s="22"/>
      <c r="T10" s="144"/>
      <c r="U10" s="139" t="str">
        <f>IF($I10="","",IF(Notes!$B$9="Domestic",1,IF(Notes!$B$9="Commercial","")))</f>
        <v/>
      </c>
      <c r="V10" s="144"/>
      <c r="W10" s="144" t="str">
        <f>IF($I10="","",IF(Notes!$B$9="Domestic","",IF(Notes!$B$9="Commercial",1)))</f>
        <v/>
      </c>
      <c r="X10" s="144"/>
      <c r="Y10" s="144"/>
      <c r="Z10" s="144"/>
      <c r="AA10" s="144"/>
      <c r="AB10" s="143"/>
      <c r="AC10" s="139"/>
      <c r="AD10" s="144"/>
      <c r="AE10" s="144"/>
      <c r="AF10" s="144"/>
      <c r="AG10" s="144"/>
      <c r="AH10" s="144"/>
      <c r="AI10" s="144"/>
      <c r="AJ10" s="144"/>
      <c r="AK10" s="143"/>
    </row>
    <row r="11" spans="2:37" ht="15.75" hidden="1" outlineLevel="1" x14ac:dyDescent="0.25">
      <c r="B11" s="138"/>
      <c r="C11" s="22"/>
      <c r="D11" s="31"/>
      <c r="E11" s="22"/>
      <c r="F11" s="22"/>
      <c r="G11" s="31"/>
      <c r="H11" s="22"/>
      <c r="I11" s="32" t="str">
        <f t="shared" si="5"/>
        <v/>
      </c>
      <c r="J11" s="32">
        <f t="shared" si="4"/>
        <v>0</v>
      </c>
      <c r="K11" s="139" t="str">
        <f t="shared" si="6"/>
        <v/>
      </c>
      <c r="L11" s="22"/>
      <c r="M11" s="22"/>
      <c r="N11" s="22"/>
      <c r="O11" s="22"/>
      <c r="P11" s="22"/>
      <c r="Q11" s="22"/>
      <c r="R11" s="22"/>
      <c r="S11" s="22"/>
      <c r="T11" s="144"/>
      <c r="U11" s="139" t="str">
        <f>IF($I11="","",IF(Notes!$B$9="Domestic",1,IF(Notes!$B$9="Commercial","")))</f>
        <v/>
      </c>
      <c r="V11" s="144"/>
      <c r="W11" s="144" t="str">
        <f>IF($I11="","",IF(Notes!$B$9="Domestic","",IF(Notes!$B$9="Commercial",1)))</f>
        <v/>
      </c>
      <c r="X11" s="144"/>
      <c r="Y11" s="144"/>
      <c r="Z11" s="144"/>
      <c r="AA11" s="144"/>
      <c r="AB11" s="143"/>
      <c r="AC11" s="139"/>
      <c r="AD11" s="144"/>
      <c r="AE11" s="144"/>
      <c r="AF11" s="144"/>
      <c r="AG11" s="144"/>
      <c r="AH11" s="144"/>
      <c r="AI11" s="144"/>
      <c r="AJ11" s="144"/>
      <c r="AK11" s="143"/>
    </row>
    <row r="12" spans="2:37" ht="15.75" hidden="1" outlineLevel="1" x14ac:dyDescent="0.25">
      <c r="B12" s="138"/>
      <c r="C12" s="22"/>
      <c r="D12" s="31"/>
      <c r="E12" s="22"/>
      <c r="F12" s="22"/>
      <c r="G12" s="31"/>
      <c r="H12" s="22"/>
      <c r="I12" s="32" t="str">
        <f t="shared" si="5"/>
        <v/>
      </c>
      <c r="J12" s="32">
        <f t="shared" si="4"/>
        <v>0</v>
      </c>
      <c r="K12" s="139" t="str">
        <f t="shared" si="6"/>
        <v/>
      </c>
      <c r="L12" s="22"/>
      <c r="M12" s="22"/>
      <c r="N12" s="22"/>
      <c r="O12" s="22"/>
      <c r="P12" s="22"/>
      <c r="Q12" s="22"/>
      <c r="R12" s="22"/>
      <c r="S12" s="22"/>
      <c r="T12" s="144"/>
      <c r="U12" s="139" t="str">
        <f>IF($I12="","",IF(Notes!$B$9="Domestic",1,IF(Notes!$B$9="Commercial","")))</f>
        <v/>
      </c>
      <c r="V12" s="144"/>
      <c r="W12" s="144" t="str">
        <f>IF($I12="","",IF(Notes!$B$9="Domestic","",IF(Notes!$B$9="Commercial",1)))</f>
        <v/>
      </c>
      <c r="X12" s="144"/>
      <c r="Y12" s="144"/>
      <c r="Z12" s="144"/>
      <c r="AA12" s="144"/>
      <c r="AB12" s="143"/>
      <c r="AC12" s="139"/>
      <c r="AD12" s="144"/>
      <c r="AE12" s="144"/>
      <c r="AF12" s="144"/>
      <c r="AG12" s="144"/>
      <c r="AH12" s="144"/>
      <c r="AI12" s="144"/>
      <c r="AJ12" s="144"/>
      <c r="AK12" s="143"/>
    </row>
    <row r="13" spans="2:37" ht="15.75" hidden="1" outlineLevel="1" x14ac:dyDescent="0.25">
      <c r="B13" s="138"/>
      <c r="C13" s="22"/>
      <c r="D13" s="31"/>
      <c r="E13" s="22"/>
      <c r="F13" s="22"/>
      <c r="G13" s="31"/>
      <c r="H13" s="22"/>
      <c r="I13" s="32" t="str">
        <f t="shared" si="5"/>
        <v/>
      </c>
      <c r="J13" s="32">
        <f t="shared" si="4"/>
        <v>0</v>
      </c>
      <c r="K13" s="139" t="str">
        <f>IF($I13="","",2)</f>
        <v/>
      </c>
      <c r="L13" s="22"/>
      <c r="M13" s="22"/>
      <c r="N13" s="22"/>
      <c r="O13" s="22"/>
      <c r="P13" s="22"/>
      <c r="Q13" s="22"/>
      <c r="R13" s="22"/>
      <c r="S13" s="22"/>
      <c r="T13" s="144"/>
      <c r="U13" s="139" t="str">
        <f>IF($I13="","",IF(Notes!$B$9="Domestic",1,IF(Notes!$B$9="Commercial","")))</f>
        <v/>
      </c>
      <c r="V13" s="144"/>
      <c r="W13" s="144" t="str">
        <f>IF($I13="","",IF(Notes!$B$9="Domestic","",IF(Notes!$B$9="Commercial",1)))</f>
        <v/>
      </c>
      <c r="X13" s="144"/>
      <c r="Y13" s="144"/>
      <c r="Z13" s="144"/>
      <c r="AA13" s="144"/>
      <c r="AB13" s="143"/>
      <c r="AC13" s="139"/>
      <c r="AD13" s="144"/>
      <c r="AE13" s="144"/>
      <c r="AF13" s="144"/>
      <c r="AG13" s="144"/>
      <c r="AH13" s="144"/>
      <c r="AI13" s="144"/>
      <c r="AJ13" s="144"/>
      <c r="AK13" s="143"/>
    </row>
    <row r="14" spans="2:37" ht="15.75" hidden="1" outlineLevel="1" x14ac:dyDescent="0.25">
      <c r="B14" s="138"/>
      <c r="C14" s="22"/>
      <c r="D14" s="31"/>
      <c r="E14" s="22"/>
      <c r="F14" s="22"/>
      <c r="G14" s="31"/>
      <c r="H14" s="22"/>
      <c r="I14" s="32" t="str">
        <f t="shared" si="5"/>
        <v/>
      </c>
      <c r="J14" s="32">
        <f t="shared" si="4"/>
        <v>0</v>
      </c>
      <c r="K14" s="139" t="str">
        <f t="shared" si="6"/>
        <v/>
      </c>
      <c r="L14" s="22"/>
      <c r="M14" s="22"/>
      <c r="N14" s="22"/>
      <c r="O14" s="22"/>
      <c r="P14" s="22"/>
      <c r="Q14" s="22"/>
      <c r="R14" s="22"/>
      <c r="S14" s="22"/>
      <c r="T14" s="144"/>
      <c r="U14" s="139" t="str">
        <f>IF($I14="","",IF(Notes!$B$9="Domestic",1,IF(Notes!$B$9="Commercial","")))</f>
        <v/>
      </c>
      <c r="V14" s="144"/>
      <c r="W14" s="144" t="str">
        <f>IF($I14="","",IF(Notes!$B$9="Domestic","",IF(Notes!$B$9="Commercial",1)))</f>
        <v/>
      </c>
      <c r="X14" s="144"/>
      <c r="Y14" s="144"/>
      <c r="Z14" s="144"/>
      <c r="AA14" s="144"/>
      <c r="AB14" s="143"/>
      <c r="AC14" s="139"/>
      <c r="AD14" s="144"/>
      <c r="AE14" s="144"/>
      <c r="AF14" s="144"/>
      <c r="AG14" s="144"/>
      <c r="AH14" s="144"/>
      <c r="AI14" s="144"/>
      <c r="AJ14" s="144"/>
      <c r="AK14" s="143"/>
    </row>
    <row r="15" spans="2:37" ht="15.75" hidden="1" outlineLevel="1" x14ac:dyDescent="0.25">
      <c r="B15" s="138"/>
      <c r="C15" s="22"/>
      <c r="D15" s="31"/>
      <c r="E15" s="22"/>
      <c r="F15" s="22"/>
      <c r="G15" s="31"/>
      <c r="H15" s="22"/>
      <c r="I15" s="32" t="str">
        <f t="shared" si="5"/>
        <v/>
      </c>
      <c r="J15" s="32">
        <f t="shared" si="4"/>
        <v>0</v>
      </c>
      <c r="K15" s="139" t="str">
        <f t="shared" si="6"/>
        <v/>
      </c>
      <c r="L15" s="22"/>
      <c r="M15" s="22"/>
      <c r="N15" s="22"/>
      <c r="O15" s="22"/>
      <c r="P15" s="22"/>
      <c r="Q15" s="22"/>
      <c r="R15" s="22"/>
      <c r="S15" s="22"/>
      <c r="T15" s="144"/>
      <c r="U15" s="139" t="str">
        <f>IF($I15="","",IF(Notes!$B$9="Domestic",1,IF(Notes!$B$9="Commercial","")))</f>
        <v/>
      </c>
      <c r="V15" s="144"/>
      <c r="W15" s="144" t="str">
        <f>IF($I15="","",IF(Notes!$B$9="Domestic","",IF(Notes!$B$9="Commercial",1)))</f>
        <v/>
      </c>
      <c r="X15" s="144"/>
      <c r="Y15" s="144"/>
      <c r="Z15" s="144"/>
      <c r="AA15" s="144"/>
      <c r="AB15" s="143"/>
      <c r="AC15" s="139"/>
      <c r="AD15" s="144"/>
      <c r="AE15" s="144"/>
      <c r="AF15" s="144"/>
      <c r="AG15" s="144"/>
      <c r="AH15" s="144"/>
      <c r="AI15" s="144"/>
      <c r="AJ15" s="144"/>
      <c r="AK15" s="143"/>
    </row>
    <row r="16" spans="2:37" ht="15.75" hidden="1" outlineLevel="1" x14ac:dyDescent="0.25">
      <c r="B16" s="138"/>
      <c r="C16" s="22"/>
      <c r="D16" s="31"/>
      <c r="E16" s="22"/>
      <c r="F16" s="22"/>
      <c r="G16" s="31"/>
      <c r="H16" s="22"/>
      <c r="I16" s="32" t="str">
        <f t="shared" si="5"/>
        <v/>
      </c>
      <c r="J16" s="32">
        <f t="shared" si="4"/>
        <v>0</v>
      </c>
      <c r="K16" s="139" t="str">
        <f t="shared" si="6"/>
        <v/>
      </c>
      <c r="L16" s="22"/>
      <c r="M16" s="22"/>
      <c r="N16" s="22"/>
      <c r="O16" s="22"/>
      <c r="P16" s="22"/>
      <c r="Q16" s="22"/>
      <c r="R16" s="22"/>
      <c r="S16" s="22"/>
      <c r="T16" s="144"/>
      <c r="U16" s="139" t="str">
        <f>IF($I16="","",IF(Notes!$B$9="Domestic",1,IF(Notes!$B$9="Commercial","")))</f>
        <v/>
      </c>
      <c r="V16" s="144"/>
      <c r="W16" s="144" t="str">
        <f>IF($I16="","",IF(Notes!$B$9="Domestic","",IF(Notes!$B$9="Commercial",1)))</f>
        <v/>
      </c>
      <c r="X16" s="144"/>
      <c r="Y16" s="144"/>
      <c r="Z16" s="144"/>
      <c r="AA16" s="144"/>
      <c r="AB16" s="143"/>
      <c r="AC16" s="139"/>
      <c r="AD16" s="144"/>
      <c r="AE16" s="144"/>
      <c r="AF16" s="144"/>
      <c r="AG16" s="144"/>
      <c r="AH16" s="144"/>
      <c r="AI16" s="144"/>
      <c r="AJ16" s="144"/>
      <c r="AK16" s="143"/>
    </row>
    <row r="17" spans="2:37" ht="15.75" hidden="1" outlineLevel="1" x14ac:dyDescent="0.25">
      <c r="B17" s="145"/>
      <c r="C17" s="22"/>
      <c r="D17" s="22"/>
      <c r="E17" s="22"/>
      <c r="F17" s="22"/>
      <c r="G17" s="22"/>
      <c r="H17" s="22"/>
      <c r="I17" s="32" t="str">
        <f t="shared" si="5"/>
        <v/>
      </c>
      <c r="J17" s="146">
        <f t="shared" si="4"/>
        <v>0</v>
      </c>
      <c r="K17" s="147" t="str">
        <f t="shared" si="6"/>
        <v/>
      </c>
      <c r="L17" s="148"/>
      <c r="M17" s="148"/>
      <c r="N17" s="148"/>
      <c r="O17" s="148"/>
      <c r="P17" s="148"/>
      <c r="Q17" s="148"/>
      <c r="R17" s="148"/>
      <c r="S17" s="148"/>
      <c r="T17" s="148"/>
      <c r="U17" s="147" t="str">
        <f>IF($I17="","",IF(Notes!$B$9="Domestic",1,IF(Notes!$B$9="Commercial","")))</f>
        <v/>
      </c>
      <c r="V17" s="148"/>
      <c r="W17" s="148" t="str">
        <f>IF($I17="","",IF(Notes!$B$9="Domestic","",IF(Notes!$B$9="Commercial",1)))</f>
        <v/>
      </c>
      <c r="X17" s="148"/>
      <c r="Y17" s="148"/>
      <c r="Z17" s="148"/>
      <c r="AA17" s="148"/>
      <c r="AB17" s="149"/>
      <c r="AC17" s="147"/>
      <c r="AD17" s="148"/>
      <c r="AE17" s="148"/>
      <c r="AF17" s="148"/>
      <c r="AG17" s="148"/>
      <c r="AH17" s="148"/>
      <c r="AI17" s="148"/>
      <c r="AJ17" s="148"/>
      <c r="AK17" s="149"/>
    </row>
    <row r="18" spans="2:37" ht="18.75" hidden="1" outlineLevel="1" x14ac:dyDescent="0.25">
      <c r="B18" s="129" t="s">
        <v>251</v>
      </c>
      <c r="C18" s="130"/>
      <c r="D18" s="241" t="s">
        <v>799</v>
      </c>
      <c r="E18" s="130"/>
      <c r="F18" s="130"/>
      <c r="G18" s="241" t="s">
        <v>798</v>
      </c>
      <c r="H18" s="130"/>
      <c r="I18" s="131">
        <f>SUM(I19:I28)</f>
        <v>22.66</v>
      </c>
      <c r="J18" s="132" t="s">
        <v>11</v>
      </c>
      <c r="K18" s="133">
        <f t="shared" ref="K18:R18" si="7">IFERROR(SUMPRODUCT($I19:$I28,K19:K28),0)</f>
        <v>22.66</v>
      </c>
      <c r="L18" s="134">
        <f t="shared" si="7"/>
        <v>22.66</v>
      </c>
      <c r="M18" s="134">
        <f t="shared" si="7"/>
        <v>0</v>
      </c>
      <c r="N18" s="134">
        <f t="shared" si="7"/>
        <v>0</v>
      </c>
      <c r="O18" s="134">
        <f t="shared" si="7"/>
        <v>0</v>
      </c>
      <c r="P18" s="134">
        <f t="shared" si="7"/>
        <v>0</v>
      </c>
      <c r="Q18" s="134">
        <f t="shared" si="7"/>
        <v>0</v>
      </c>
      <c r="R18" s="134">
        <f t="shared" si="7"/>
        <v>0</v>
      </c>
      <c r="S18" s="134">
        <f>IFERROR(SUMPRODUCT($I19:$I28,S19:S28),0)</f>
        <v>0</v>
      </c>
      <c r="T18" s="134">
        <f t="shared" ref="T18" si="8">IFERROR(SUMPRODUCT($I19:$I28,T19:T28),0)</f>
        <v>0</v>
      </c>
      <c r="U18" s="136">
        <f>IFERROR(SUMPRODUCT($I19:$I28,U19:U28),0)</f>
        <v>22.66</v>
      </c>
      <c r="V18" s="137">
        <f t="shared" ref="V18:AK18" si="9">IFERROR(SUMPRODUCT($I19:$I28,V19:V28),0)</f>
        <v>0</v>
      </c>
      <c r="W18" s="137">
        <f t="shared" si="9"/>
        <v>0</v>
      </c>
      <c r="X18" s="137">
        <f t="shared" si="9"/>
        <v>0</v>
      </c>
      <c r="Y18" s="137">
        <f t="shared" si="9"/>
        <v>0</v>
      </c>
      <c r="Z18" s="137">
        <f t="shared" si="9"/>
        <v>0</v>
      </c>
      <c r="AA18" s="137">
        <f t="shared" si="9"/>
        <v>0</v>
      </c>
      <c r="AB18" s="150">
        <f t="shared" si="9"/>
        <v>0</v>
      </c>
      <c r="AC18" s="133">
        <f t="shared" si="9"/>
        <v>0</v>
      </c>
      <c r="AD18" s="134">
        <f t="shared" si="9"/>
        <v>0</v>
      </c>
      <c r="AE18" s="134">
        <f t="shared" si="9"/>
        <v>0</v>
      </c>
      <c r="AF18" s="134">
        <f t="shared" si="9"/>
        <v>0</v>
      </c>
      <c r="AG18" s="134">
        <f t="shared" si="9"/>
        <v>0</v>
      </c>
      <c r="AH18" s="134">
        <f t="shared" si="9"/>
        <v>0</v>
      </c>
      <c r="AI18" s="134">
        <f t="shared" si="9"/>
        <v>0</v>
      </c>
      <c r="AJ18" s="134">
        <f t="shared" si="9"/>
        <v>0</v>
      </c>
      <c r="AK18" s="135">
        <f t="shared" si="9"/>
        <v>0</v>
      </c>
    </row>
    <row r="19" spans="2:37" ht="15.75" hidden="1" outlineLevel="1" x14ac:dyDescent="0.25">
      <c r="B19" s="138" t="s">
        <v>251</v>
      </c>
      <c r="C19" s="22"/>
      <c r="D19" s="31">
        <v>7.5510000000000002</v>
      </c>
      <c r="E19" s="22"/>
      <c r="F19" s="22"/>
      <c r="G19" s="31">
        <v>22.66</v>
      </c>
      <c r="H19" s="22"/>
      <c r="I19" s="32">
        <f t="shared" ref="I19:I28" si="10">IF(SUM(C19:H19)=0,"",IF(G19=0,1,G19))</f>
        <v>22.66</v>
      </c>
      <c r="J19" s="32" t="str">
        <f t="shared" ref="J19:J28" si="11">IF(COUNTA(C19:H19)=0,0,IF(I19="","",IF(F19-SUM(C19+D19+E19+G19+H19)=F19,"Lm",IF(COUNTA(C19:H19)&gt;4,"ERROR",IF(H19&gt;0,"m3",IF(COUNTA(G19,F19)=2,"m3",IF(COUNTA(C19:F19)=4,"m3",IF(COUNTA(D19:F19)=3,"m3",IF(G19&gt;0,"m2",IF(COUNTA(D19,E19)=2,"m2",IF(COUNTA(C19:F19)=3,"m2",IF(COUNTA(D19:F19)=2,"m2",IF(COUNTA(C19:F19)=2,"Lm",IF(D19&gt;0,"Lm",IF(E19&gt;0,"Lm",IF(C19&gt;0,"No.",))))))))))))))))</f>
        <v>m2</v>
      </c>
      <c r="K19" s="139">
        <f>IF($I19="","",1)</f>
        <v>1</v>
      </c>
      <c r="L19" s="140">
        <f>IF($I19="","",1)</f>
        <v>1</v>
      </c>
      <c r="M19" s="140"/>
      <c r="N19" s="140"/>
      <c r="O19" s="140"/>
      <c r="P19" s="140"/>
      <c r="Q19" s="140"/>
      <c r="R19" s="140"/>
      <c r="S19" s="140"/>
      <c r="T19" s="140"/>
      <c r="U19" s="140">
        <f>IF($I19="","",IF(Notes!$B$9="Domestic","",IF(Notes!$B$9="Commercial",1)))</f>
        <v>1</v>
      </c>
      <c r="V19" s="140"/>
      <c r="X19" s="140"/>
      <c r="Y19" s="140"/>
      <c r="Z19" s="140"/>
      <c r="AA19" s="140"/>
      <c r="AB19" s="141"/>
      <c r="AC19" s="142"/>
      <c r="AD19" s="140"/>
      <c r="AE19" s="140"/>
      <c r="AF19" s="140"/>
      <c r="AG19" s="140"/>
      <c r="AH19" s="140"/>
      <c r="AI19" s="140"/>
      <c r="AJ19" s="140"/>
      <c r="AK19" s="141"/>
    </row>
    <row r="20" spans="2:37" ht="15.75" hidden="1" outlineLevel="1" x14ac:dyDescent="0.25">
      <c r="B20" s="138"/>
      <c r="C20" s="22"/>
      <c r="D20" s="31"/>
      <c r="E20" s="22"/>
      <c r="F20" s="22"/>
      <c r="G20" s="31"/>
      <c r="H20" s="22"/>
      <c r="I20" s="32" t="str">
        <f t="shared" si="10"/>
        <v/>
      </c>
      <c r="J20" s="32">
        <f t="shared" si="11"/>
        <v>0</v>
      </c>
      <c r="K20" s="139" t="str">
        <f t="shared" ref="K20:L28" si="12">IF($I20="","",1)</f>
        <v/>
      </c>
      <c r="L20" s="22" t="str">
        <f t="shared" si="12"/>
        <v/>
      </c>
      <c r="M20" s="22"/>
      <c r="N20" s="22"/>
      <c r="O20" s="22"/>
      <c r="P20" s="22"/>
      <c r="Q20" s="22"/>
      <c r="R20" s="22"/>
      <c r="S20" s="22"/>
      <c r="T20" s="144"/>
      <c r="U20" s="139" t="str">
        <f>IF($I20="","",IF(Notes!$B$9="Domestic",1,IF(Notes!$B$9="Commercial","")))</f>
        <v/>
      </c>
      <c r="V20" s="144"/>
      <c r="W20" s="144" t="str">
        <f>IF($I20="","",IF(Notes!$B$9="Domestic","",IF(Notes!$B$9="Commercial",1)))</f>
        <v/>
      </c>
      <c r="X20" s="144"/>
      <c r="Y20" s="144"/>
      <c r="Z20" s="144"/>
      <c r="AA20" s="144"/>
      <c r="AB20" s="143"/>
      <c r="AC20" s="139"/>
      <c r="AD20" s="144"/>
      <c r="AE20" s="144"/>
      <c r="AF20" s="144"/>
      <c r="AG20" s="144"/>
      <c r="AH20" s="144"/>
      <c r="AI20" s="144"/>
      <c r="AJ20" s="144"/>
      <c r="AK20" s="143"/>
    </row>
    <row r="21" spans="2:37" ht="15.75" hidden="1" outlineLevel="1" x14ac:dyDescent="0.25">
      <c r="B21" s="138"/>
      <c r="C21" s="22"/>
      <c r="D21" s="31"/>
      <c r="E21" s="22"/>
      <c r="F21" s="22"/>
      <c r="G21" s="31"/>
      <c r="H21" s="22"/>
      <c r="I21" s="32" t="str">
        <f t="shared" si="10"/>
        <v/>
      </c>
      <c r="J21" s="32">
        <f t="shared" si="11"/>
        <v>0</v>
      </c>
      <c r="K21" s="139" t="str">
        <f t="shared" si="12"/>
        <v/>
      </c>
      <c r="L21" s="22" t="str">
        <f t="shared" si="12"/>
        <v/>
      </c>
      <c r="M21" s="22"/>
      <c r="N21" s="22"/>
      <c r="O21" s="22"/>
      <c r="P21" s="22"/>
      <c r="Q21" s="22"/>
      <c r="R21" s="22"/>
      <c r="S21" s="22"/>
      <c r="T21" s="144"/>
      <c r="U21" s="139" t="str">
        <f>IF($I21="","",IF(Notes!$B$9="Domestic",1,IF(Notes!$B$9="Commercial","")))</f>
        <v/>
      </c>
      <c r="V21" s="144"/>
      <c r="W21" s="144" t="str">
        <f>IF($I21="","",IF(Notes!$B$9="Domestic","",IF(Notes!$B$9="Commercial",1)))</f>
        <v/>
      </c>
      <c r="X21" s="144"/>
      <c r="Y21" s="144"/>
      <c r="Z21" s="144"/>
      <c r="AA21" s="144"/>
      <c r="AB21" s="143"/>
      <c r="AC21" s="139"/>
      <c r="AD21" s="144"/>
      <c r="AE21" s="144"/>
      <c r="AF21" s="144"/>
      <c r="AG21" s="144"/>
      <c r="AH21" s="144"/>
      <c r="AI21" s="144"/>
      <c r="AJ21" s="144"/>
      <c r="AK21" s="143"/>
    </row>
    <row r="22" spans="2:37" ht="15.75" hidden="1" outlineLevel="1" x14ac:dyDescent="0.25">
      <c r="B22" s="138"/>
      <c r="C22" s="22"/>
      <c r="D22" s="31"/>
      <c r="E22" s="22"/>
      <c r="F22" s="22"/>
      <c r="G22" s="31"/>
      <c r="H22" s="22"/>
      <c r="I22" s="32" t="str">
        <f t="shared" si="10"/>
        <v/>
      </c>
      <c r="J22" s="32">
        <f t="shared" si="11"/>
        <v>0</v>
      </c>
      <c r="K22" s="139" t="str">
        <f t="shared" si="12"/>
        <v/>
      </c>
      <c r="L22" s="22" t="str">
        <f t="shared" si="12"/>
        <v/>
      </c>
      <c r="M22" s="22"/>
      <c r="N22" s="22"/>
      <c r="O22" s="22"/>
      <c r="P22" s="22"/>
      <c r="Q22" s="22"/>
      <c r="R22" s="22"/>
      <c r="S22" s="22"/>
      <c r="T22" s="144"/>
      <c r="U22" s="139" t="str">
        <f>IF($I22="","",IF(Notes!$B$9="Domestic",1,IF(Notes!$B$9="Commercial","")))</f>
        <v/>
      </c>
      <c r="V22" s="144"/>
      <c r="W22" s="144" t="str">
        <f>IF($I22="","",IF(Notes!$B$9="Domestic","",IF(Notes!$B$9="Commercial",1)))</f>
        <v/>
      </c>
      <c r="X22" s="144"/>
      <c r="Y22" s="144"/>
      <c r="Z22" s="144"/>
      <c r="AA22" s="144"/>
      <c r="AB22" s="143"/>
      <c r="AC22" s="139"/>
      <c r="AD22" s="144"/>
      <c r="AE22" s="144"/>
      <c r="AF22" s="144"/>
      <c r="AG22" s="144"/>
      <c r="AH22" s="144"/>
      <c r="AI22" s="144"/>
      <c r="AJ22" s="144"/>
      <c r="AK22" s="143"/>
    </row>
    <row r="23" spans="2:37" ht="15.75" hidden="1" outlineLevel="1" x14ac:dyDescent="0.25">
      <c r="B23" s="138"/>
      <c r="C23" s="22"/>
      <c r="D23" s="31"/>
      <c r="E23" s="22"/>
      <c r="F23" s="22"/>
      <c r="G23" s="31"/>
      <c r="H23" s="22"/>
      <c r="I23" s="32" t="str">
        <f t="shared" si="10"/>
        <v/>
      </c>
      <c r="J23" s="32">
        <f t="shared" si="11"/>
        <v>0</v>
      </c>
      <c r="K23" s="139" t="str">
        <f t="shared" si="12"/>
        <v/>
      </c>
      <c r="L23" s="22" t="str">
        <f t="shared" si="12"/>
        <v/>
      </c>
      <c r="M23" s="22"/>
      <c r="N23" s="22"/>
      <c r="O23" s="22"/>
      <c r="P23" s="22"/>
      <c r="Q23" s="22"/>
      <c r="R23" s="22"/>
      <c r="S23" s="22"/>
      <c r="T23" s="144"/>
      <c r="U23" s="139" t="str">
        <f>IF($I23="","",IF(Notes!$B$9="Domestic",1,IF(Notes!$B$9="Commercial","")))</f>
        <v/>
      </c>
      <c r="V23" s="144"/>
      <c r="W23" s="144" t="str">
        <f>IF($I23="","",IF(Notes!$B$9="Domestic","",IF(Notes!$B$9="Commercial",1)))</f>
        <v/>
      </c>
      <c r="X23" s="144"/>
      <c r="Y23" s="144"/>
      <c r="Z23" s="144"/>
      <c r="AA23" s="144"/>
      <c r="AB23" s="143"/>
      <c r="AC23" s="139"/>
      <c r="AD23" s="144"/>
      <c r="AE23" s="144"/>
      <c r="AF23" s="144"/>
      <c r="AG23" s="144"/>
      <c r="AH23" s="144"/>
      <c r="AI23" s="144"/>
      <c r="AJ23" s="144"/>
      <c r="AK23" s="143"/>
    </row>
    <row r="24" spans="2:37" ht="15.75" hidden="1" outlineLevel="1" x14ac:dyDescent="0.25">
      <c r="B24" s="138"/>
      <c r="C24" s="22"/>
      <c r="D24" s="31"/>
      <c r="E24" s="22"/>
      <c r="F24" s="22"/>
      <c r="G24" s="31"/>
      <c r="H24" s="22"/>
      <c r="I24" s="32" t="str">
        <f t="shared" si="10"/>
        <v/>
      </c>
      <c r="J24" s="32">
        <f t="shared" si="11"/>
        <v>0</v>
      </c>
      <c r="K24" s="139" t="str">
        <f t="shared" si="12"/>
        <v/>
      </c>
      <c r="L24" s="22" t="str">
        <f t="shared" si="12"/>
        <v/>
      </c>
      <c r="M24" s="22"/>
      <c r="N24" s="22"/>
      <c r="O24" s="22"/>
      <c r="P24" s="22"/>
      <c r="Q24" s="22"/>
      <c r="R24" s="22"/>
      <c r="S24" s="22"/>
      <c r="T24" s="144"/>
      <c r="U24" s="139" t="str">
        <f>IF($I24="","",IF(Notes!$B$9="Domestic",1,IF(Notes!$B$9="Commercial","")))</f>
        <v/>
      </c>
      <c r="V24" s="144"/>
      <c r="W24" s="144" t="str">
        <f>IF($I24="","",IF(Notes!$B$9="Domestic","",IF(Notes!$B$9="Commercial",1)))</f>
        <v/>
      </c>
      <c r="X24" s="144"/>
      <c r="Y24" s="144"/>
      <c r="Z24" s="144"/>
      <c r="AA24" s="144"/>
      <c r="AB24" s="143"/>
      <c r="AC24" s="139"/>
      <c r="AD24" s="144"/>
      <c r="AE24" s="144"/>
      <c r="AF24" s="144"/>
      <c r="AG24" s="144"/>
      <c r="AH24" s="144"/>
      <c r="AI24" s="144"/>
      <c r="AJ24" s="144"/>
      <c r="AK24" s="143"/>
    </row>
    <row r="25" spans="2:37" ht="15.75" hidden="1" outlineLevel="1" x14ac:dyDescent="0.25">
      <c r="B25" s="138"/>
      <c r="C25" s="22"/>
      <c r="D25" s="31"/>
      <c r="E25" s="22"/>
      <c r="F25" s="22"/>
      <c r="G25" s="31"/>
      <c r="H25" s="22"/>
      <c r="I25" s="32" t="str">
        <f t="shared" si="10"/>
        <v/>
      </c>
      <c r="J25" s="32">
        <f t="shared" si="11"/>
        <v>0</v>
      </c>
      <c r="K25" s="139" t="str">
        <f t="shared" si="12"/>
        <v/>
      </c>
      <c r="L25" s="22" t="str">
        <f t="shared" si="12"/>
        <v/>
      </c>
      <c r="M25" s="22"/>
      <c r="N25" s="22"/>
      <c r="O25" s="22"/>
      <c r="P25" s="22"/>
      <c r="Q25" s="22"/>
      <c r="R25" s="22"/>
      <c r="S25" s="22"/>
      <c r="T25" s="144"/>
      <c r="U25" s="139" t="str">
        <f>IF($I25="","",IF(Notes!$B$9="Domestic",1,IF(Notes!$B$9="Commercial","")))</f>
        <v/>
      </c>
      <c r="V25" s="144"/>
      <c r="W25" s="144" t="str">
        <f>IF($I25="","",IF(Notes!$B$9="Domestic","",IF(Notes!$B$9="Commercial",1)))</f>
        <v/>
      </c>
      <c r="X25" s="144"/>
      <c r="Y25" s="144"/>
      <c r="Z25" s="144"/>
      <c r="AA25" s="144"/>
      <c r="AB25" s="143"/>
      <c r="AC25" s="139"/>
      <c r="AD25" s="144"/>
      <c r="AE25" s="144"/>
      <c r="AF25" s="144"/>
      <c r="AG25" s="144"/>
      <c r="AH25" s="144"/>
      <c r="AI25" s="144"/>
      <c r="AJ25" s="144"/>
      <c r="AK25" s="143"/>
    </row>
    <row r="26" spans="2:37" ht="15.75" hidden="1" outlineLevel="1" x14ac:dyDescent="0.25">
      <c r="B26" s="138"/>
      <c r="C26" s="22"/>
      <c r="D26" s="31"/>
      <c r="E26" s="22"/>
      <c r="F26" s="22"/>
      <c r="G26" s="31"/>
      <c r="H26" s="22"/>
      <c r="I26" s="32" t="str">
        <f t="shared" si="10"/>
        <v/>
      </c>
      <c r="J26" s="32">
        <f t="shared" si="11"/>
        <v>0</v>
      </c>
      <c r="K26" s="139" t="str">
        <f t="shared" si="12"/>
        <v/>
      </c>
      <c r="L26" s="22" t="str">
        <f t="shared" si="12"/>
        <v/>
      </c>
      <c r="M26" s="22"/>
      <c r="N26" s="22"/>
      <c r="O26" s="22"/>
      <c r="P26" s="22"/>
      <c r="Q26" s="22"/>
      <c r="R26" s="22"/>
      <c r="S26" s="22"/>
      <c r="T26" s="144"/>
      <c r="U26" s="139" t="str">
        <f>IF($I26="","",IF(Notes!$B$9="Domestic",1,IF(Notes!$B$9="Commercial","")))</f>
        <v/>
      </c>
      <c r="V26" s="144"/>
      <c r="W26" s="144" t="str">
        <f>IF($I26="","",IF(Notes!$B$9="Domestic","",IF(Notes!$B$9="Commercial",1)))</f>
        <v/>
      </c>
      <c r="X26" s="144"/>
      <c r="Y26" s="144"/>
      <c r="Z26" s="144"/>
      <c r="AA26" s="144"/>
      <c r="AB26" s="143"/>
      <c r="AC26" s="139"/>
      <c r="AD26" s="144"/>
      <c r="AE26" s="144"/>
      <c r="AF26" s="144"/>
      <c r="AG26" s="144"/>
      <c r="AH26" s="144"/>
      <c r="AI26" s="144"/>
      <c r="AJ26" s="144"/>
      <c r="AK26" s="143"/>
    </row>
    <row r="27" spans="2:37" ht="15.75" hidden="1" outlineLevel="1" x14ac:dyDescent="0.25">
      <c r="B27" s="138"/>
      <c r="C27" s="22"/>
      <c r="D27" s="31"/>
      <c r="E27" s="22"/>
      <c r="F27" s="22"/>
      <c r="G27" s="31"/>
      <c r="H27" s="22"/>
      <c r="I27" s="32" t="str">
        <f t="shared" si="10"/>
        <v/>
      </c>
      <c r="J27" s="32">
        <f t="shared" si="11"/>
        <v>0</v>
      </c>
      <c r="K27" s="139" t="str">
        <f t="shared" si="12"/>
        <v/>
      </c>
      <c r="L27" s="22" t="str">
        <f t="shared" si="12"/>
        <v/>
      </c>
      <c r="M27" s="22"/>
      <c r="N27" s="22"/>
      <c r="O27" s="22"/>
      <c r="P27" s="22"/>
      <c r="Q27" s="22"/>
      <c r="R27" s="22"/>
      <c r="S27" s="22"/>
      <c r="T27" s="144"/>
      <c r="U27" s="139" t="str">
        <f>IF($I27="","",IF(Notes!$B$9="Domestic",1,IF(Notes!$B$9="Commercial","")))</f>
        <v/>
      </c>
      <c r="V27" s="144"/>
      <c r="W27" s="144" t="str">
        <f>IF($I27="","",IF(Notes!$B$9="Domestic","",IF(Notes!$B$9="Commercial",1)))</f>
        <v/>
      </c>
      <c r="X27" s="144"/>
      <c r="Y27" s="144"/>
      <c r="Z27" s="144"/>
      <c r="AA27" s="144"/>
      <c r="AB27" s="143"/>
      <c r="AC27" s="139"/>
      <c r="AD27" s="144"/>
      <c r="AE27" s="144"/>
      <c r="AF27" s="144"/>
      <c r="AG27" s="144"/>
      <c r="AH27" s="144"/>
      <c r="AI27" s="144"/>
      <c r="AJ27" s="144"/>
      <c r="AK27" s="143"/>
    </row>
    <row r="28" spans="2:37" ht="15.75" hidden="1" outlineLevel="1" x14ac:dyDescent="0.25">
      <c r="B28" s="145"/>
      <c r="C28" s="22"/>
      <c r="D28" s="31"/>
      <c r="E28" s="22"/>
      <c r="F28" s="22"/>
      <c r="G28" s="31"/>
      <c r="H28" s="22"/>
      <c r="I28" s="32" t="str">
        <f t="shared" si="10"/>
        <v/>
      </c>
      <c r="J28" s="146">
        <f t="shared" si="11"/>
        <v>0</v>
      </c>
      <c r="K28" s="147" t="str">
        <f t="shared" si="12"/>
        <v/>
      </c>
      <c r="L28" s="148" t="str">
        <f t="shared" si="12"/>
        <v/>
      </c>
      <c r="M28" s="148"/>
      <c r="N28" s="148"/>
      <c r="O28" s="148"/>
      <c r="P28" s="148"/>
      <c r="Q28" s="148"/>
      <c r="R28" s="148"/>
      <c r="S28" s="148"/>
      <c r="T28" s="148"/>
      <c r="U28" s="147" t="str">
        <f>IF($I28="","",IF(Notes!$B$9="Domestic",1,IF(Notes!$B$9="Commercial","")))</f>
        <v/>
      </c>
      <c r="V28" s="148"/>
      <c r="W28" s="148" t="str">
        <f>IF($I28="","",IF(Notes!$B$9="Domestic","",IF(Notes!$B$9="Commercial",1)))</f>
        <v/>
      </c>
      <c r="X28" s="148"/>
      <c r="Y28" s="148"/>
      <c r="Z28" s="148"/>
      <c r="AA28" s="148"/>
      <c r="AB28" s="149"/>
      <c r="AC28" s="147"/>
      <c r="AD28" s="148"/>
      <c r="AE28" s="148"/>
      <c r="AF28" s="148"/>
      <c r="AG28" s="148"/>
      <c r="AH28" s="148"/>
      <c r="AI28" s="148"/>
      <c r="AJ28" s="148"/>
      <c r="AK28" s="149"/>
    </row>
    <row r="29" spans="2:37" ht="18.75" hidden="1" outlineLevel="1" x14ac:dyDescent="0.25">
      <c r="B29" s="129" t="s">
        <v>252</v>
      </c>
      <c r="C29" s="130"/>
      <c r="D29" s="241" t="s">
        <v>799</v>
      </c>
      <c r="E29" s="130"/>
      <c r="F29" s="130"/>
      <c r="G29" s="241" t="s">
        <v>798</v>
      </c>
      <c r="H29" s="130"/>
      <c r="I29" s="131">
        <f>SUM(I30:I39)</f>
        <v>11.494999999999999</v>
      </c>
      <c r="J29" s="132" t="s">
        <v>11</v>
      </c>
      <c r="K29" s="133">
        <f t="shared" ref="K29:R29" si="13">IFERROR(SUMPRODUCT($I30:$I39,K30:K39),0)</f>
        <v>0</v>
      </c>
      <c r="L29" s="134">
        <f t="shared" si="13"/>
        <v>22.99</v>
      </c>
      <c r="M29" s="134">
        <f t="shared" si="13"/>
        <v>0</v>
      </c>
      <c r="N29" s="134">
        <f t="shared" si="13"/>
        <v>0</v>
      </c>
      <c r="O29" s="134">
        <f t="shared" si="13"/>
        <v>0</v>
      </c>
      <c r="P29" s="134">
        <f t="shared" si="13"/>
        <v>0</v>
      </c>
      <c r="Q29" s="134">
        <f t="shared" si="13"/>
        <v>0</v>
      </c>
      <c r="R29" s="134">
        <f t="shared" si="13"/>
        <v>0</v>
      </c>
      <c r="S29" s="134">
        <f>IFERROR(SUMPRODUCT($I30:$I39,S30:S39),0)</f>
        <v>0</v>
      </c>
      <c r="T29" s="134">
        <f t="shared" ref="T29" si="14">IFERROR(SUMPRODUCT($I30:$I39,T30:T39),0)</f>
        <v>0</v>
      </c>
      <c r="U29" s="136">
        <f>IFERROR(SUMPRODUCT($I30:$I39,U30:U39),0)</f>
        <v>11.494999999999999</v>
      </c>
      <c r="V29" s="137">
        <f t="shared" ref="V29:AK29" si="15">IFERROR(SUMPRODUCT($I30:$I39,V30:V39),0)</f>
        <v>0</v>
      </c>
      <c r="W29" s="137">
        <f t="shared" si="15"/>
        <v>0</v>
      </c>
      <c r="X29" s="137">
        <f t="shared" si="15"/>
        <v>0</v>
      </c>
      <c r="Y29" s="137">
        <f t="shared" si="15"/>
        <v>0</v>
      </c>
      <c r="Z29" s="137">
        <f t="shared" si="15"/>
        <v>0</v>
      </c>
      <c r="AA29" s="137">
        <f t="shared" si="15"/>
        <v>0</v>
      </c>
      <c r="AB29" s="150">
        <f t="shared" si="15"/>
        <v>0</v>
      </c>
      <c r="AC29" s="133">
        <f t="shared" si="15"/>
        <v>0</v>
      </c>
      <c r="AD29" s="134">
        <f t="shared" si="15"/>
        <v>0</v>
      </c>
      <c r="AE29" s="134">
        <f t="shared" si="15"/>
        <v>0</v>
      </c>
      <c r="AF29" s="134">
        <f t="shared" si="15"/>
        <v>0</v>
      </c>
      <c r="AG29" s="134">
        <f t="shared" si="15"/>
        <v>0</v>
      </c>
      <c r="AH29" s="134">
        <f t="shared" si="15"/>
        <v>0</v>
      </c>
      <c r="AI29" s="134">
        <f t="shared" si="15"/>
        <v>0</v>
      </c>
      <c r="AJ29" s="134">
        <f t="shared" si="15"/>
        <v>0</v>
      </c>
      <c r="AK29" s="135">
        <f t="shared" si="15"/>
        <v>0</v>
      </c>
    </row>
    <row r="30" spans="2:37" ht="15.75" hidden="1" outlineLevel="1" x14ac:dyDescent="0.25">
      <c r="B30" s="138" t="s">
        <v>252</v>
      </c>
      <c r="C30" s="22"/>
      <c r="D30" s="31">
        <v>3.8319999999999999</v>
      </c>
      <c r="E30" s="22"/>
      <c r="F30" s="22"/>
      <c r="G30" s="31">
        <v>11.494999999999999</v>
      </c>
      <c r="H30" s="22"/>
      <c r="I30" s="32">
        <f>IF(SUM(C30:H30)=0,"",IF(G30=0,1,G30))</f>
        <v>11.494999999999999</v>
      </c>
      <c r="J30" s="32" t="str">
        <f t="shared" ref="J30:J39" si="16">IF(COUNTA(C30:H30)=0,0,IF(I30="","",IF(F30-SUM(C30+D30+E30+G30+H30)=F30,"Lm",IF(COUNTA(C30:H30)&gt;4,"ERROR",IF(H30&gt;0,"m3",IF(COUNTA(G30,F30)=2,"m3",IF(COUNTA(C30:F30)=4,"m3",IF(COUNTA(D30:F30)=3,"m3",IF(G30&gt;0,"m2",IF(COUNTA(D30,E30)=2,"m2",IF(COUNTA(C30:F30)=3,"m2",IF(COUNTA(D30:F30)=2,"m2",IF(COUNTA(C30:F30)=2,"Lm",IF(D30&gt;0,"Lm",IF(E30&gt;0,"Lm",IF(C30&gt;0,"No.",))))))))))))))))</f>
        <v>m2</v>
      </c>
      <c r="K30" s="139"/>
      <c r="L30" s="140">
        <f>IF($I30="","",2)</f>
        <v>2</v>
      </c>
      <c r="M30" s="140"/>
      <c r="N30" s="140"/>
      <c r="O30" s="140"/>
      <c r="P30" s="140"/>
      <c r="Q30" s="140"/>
      <c r="R30" s="140"/>
      <c r="S30" s="140"/>
      <c r="T30" s="140"/>
      <c r="U30" s="140">
        <f>IF($I30="","",IF(Notes!$B$9="Domestic","",IF(Notes!$B$9="Commercial",1)))</f>
        <v>1</v>
      </c>
      <c r="V30" s="140"/>
      <c r="X30" s="140"/>
      <c r="Y30" s="140"/>
      <c r="Z30" s="140"/>
      <c r="AA30" s="140"/>
      <c r="AB30" s="141"/>
      <c r="AC30" s="142"/>
      <c r="AD30" s="140"/>
      <c r="AE30" s="140"/>
      <c r="AF30" s="140"/>
      <c r="AG30" s="140"/>
      <c r="AH30" s="140"/>
      <c r="AI30" s="140"/>
      <c r="AJ30" s="140"/>
      <c r="AK30" s="141"/>
    </row>
    <row r="31" spans="2:37" ht="15.75" hidden="1" outlineLevel="1" x14ac:dyDescent="0.25">
      <c r="B31" s="138"/>
      <c r="C31" s="22"/>
      <c r="D31" s="31"/>
      <c r="E31" s="22"/>
      <c r="F31" s="22"/>
      <c r="G31" s="31"/>
      <c r="H31" s="22"/>
      <c r="I31" s="32" t="str">
        <f t="shared" ref="I31:I39" si="17">IF(SUM(C31:H31)=0,"",IF(G31=0,1,G31))</f>
        <v/>
      </c>
      <c r="J31" s="32">
        <f t="shared" si="16"/>
        <v>0</v>
      </c>
      <c r="K31" s="139"/>
      <c r="L31" s="22" t="str">
        <f t="shared" ref="L31:L39" si="18">IF($I31="","",2)</f>
        <v/>
      </c>
      <c r="M31" s="22"/>
      <c r="N31" s="22"/>
      <c r="O31" s="22"/>
      <c r="P31" s="22"/>
      <c r="Q31" s="22"/>
      <c r="R31" s="22"/>
      <c r="S31" s="22"/>
      <c r="T31" s="144"/>
      <c r="U31" s="139" t="str">
        <f>IF($I31="","",IF(Notes!$B$9="Domestic",1,IF(Notes!$B$9="Commercial","")))</f>
        <v/>
      </c>
      <c r="V31" s="144"/>
      <c r="W31" s="144" t="str">
        <f>IF($I31="","",IF(Notes!$B$9="Domestic","",IF(Notes!$B$9="Commercial",1)))</f>
        <v/>
      </c>
      <c r="X31" s="144"/>
      <c r="Y31" s="144"/>
      <c r="Z31" s="144"/>
      <c r="AA31" s="144"/>
      <c r="AB31" s="143"/>
      <c r="AC31" s="139"/>
      <c r="AD31" s="144"/>
      <c r="AE31" s="144"/>
      <c r="AF31" s="144"/>
      <c r="AG31" s="144"/>
      <c r="AH31" s="144"/>
      <c r="AI31" s="144"/>
      <c r="AJ31" s="144"/>
      <c r="AK31" s="143"/>
    </row>
    <row r="32" spans="2:37" ht="15.75" hidden="1" outlineLevel="1" x14ac:dyDescent="0.25">
      <c r="B32" s="138"/>
      <c r="C32" s="22"/>
      <c r="D32" s="31"/>
      <c r="E32" s="22"/>
      <c r="F32" s="22"/>
      <c r="G32" s="31"/>
      <c r="H32" s="22"/>
      <c r="I32" s="32" t="str">
        <f t="shared" si="17"/>
        <v/>
      </c>
      <c r="J32" s="32">
        <f t="shared" si="16"/>
        <v>0</v>
      </c>
      <c r="K32" s="139"/>
      <c r="L32" s="22" t="str">
        <f t="shared" si="18"/>
        <v/>
      </c>
      <c r="M32" s="22"/>
      <c r="N32" s="22"/>
      <c r="O32" s="22"/>
      <c r="P32" s="22"/>
      <c r="Q32" s="22"/>
      <c r="R32" s="22"/>
      <c r="S32" s="22"/>
      <c r="T32" s="144"/>
      <c r="U32" s="139" t="str">
        <f>IF($I32="","",IF(Notes!$B$9="Domestic",1,IF(Notes!$B$9="Commercial","")))</f>
        <v/>
      </c>
      <c r="V32" s="144"/>
      <c r="W32" s="144" t="str">
        <f>IF($I32="","",IF(Notes!$B$9="Domestic","",IF(Notes!$B$9="Commercial",1)))</f>
        <v/>
      </c>
      <c r="X32" s="144"/>
      <c r="Y32" s="144"/>
      <c r="Z32" s="144"/>
      <c r="AA32" s="144"/>
      <c r="AB32" s="143"/>
      <c r="AC32" s="139"/>
      <c r="AD32" s="144"/>
      <c r="AE32" s="144"/>
      <c r="AF32" s="144"/>
      <c r="AG32" s="144"/>
      <c r="AH32" s="144"/>
      <c r="AI32" s="144"/>
      <c r="AJ32" s="144"/>
      <c r="AK32" s="143"/>
    </row>
    <row r="33" spans="2:37" ht="15.75" hidden="1" outlineLevel="1" x14ac:dyDescent="0.25">
      <c r="B33" s="138"/>
      <c r="C33" s="22"/>
      <c r="D33" s="31"/>
      <c r="E33" s="22"/>
      <c r="F33" s="22"/>
      <c r="G33" s="31"/>
      <c r="H33" s="22"/>
      <c r="I33" s="32" t="str">
        <f t="shared" si="17"/>
        <v/>
      </c>
      <c r="J33" s="32">
        <f t="shared" si="16"/>
        <v>0</v>
      </c>
      <c r="K33" s="139"/>
      <c r="L33" s="22" t="str">
        <f t="shared" si="18"/>
        <v/>
      </c>
      <c r="M33" s="22"/>
      <c r="N33" s="22"/>
      <c r="O33" s="22"/>
      <c r="P33" s="22"/>
      <c r="Q33" s="22"/>
      <c r="R33" s="22"/>
      <c r="S33" s="22"/>
      <c r="T33" s="144"/>
      <c r="U33" s="139" t="str">
        <f>IF($I33="","",IF(Notes!$B$9="Domestic",1,IF(Notes!$B$9="Commercial","")))</f>
        <v/>
      </c>
      <c r="V33" s="144"/>
      <c r="W33" s="144" t="str">
        <f>IF($I33="","",IF(Notes!$B$9="Domestic","",IF(Notes!$B$9="Commercial",1)))</f>
        <v/>
      </c>
      <c r="X33" s="144"/>
      <c r="Y33" s="144"/>
      <c r="Z33" s="144"/>
      <c r="AA33" s="144"/>
      <c r="AB33" s="143"/>
      <c r="AC33" s="139"/>
      <c r="AD33" s="144"/>
      <c r="AE33" s="144"/>
      <c r="AF33" s="144"/>
      <c r="AG33" s="144"/>
      <c r="AH33" s="144"/>
      <c r="AI33" s="144"/>
      <c r="AJ33" s="144"/>
      <c r="AK33" s="143"/>
    </row>
    <row r="34" spans="2:37" ht="15.75" hidden="1" outlineLevel="1" x14ac:dyDescent="0.25">
      <c r="B34" s="138"/>
      <c r="C34" s="22"/>
      <c r="D34" s="31"/>
      <c r="E34" s="22"/>
      <c r="F34" s="22"/>
      <c r="G34" s="31"/>
      <c r="H34" s="22"/>
      <c r="I34" s="32" t="str">
        <f t="shared" si="17"/>
        <v/>
      </c>
      <c r="J34" s="32">
        <f t="shared" si="16"/>
        <v>0</v>
      </c>
      <c r="K34" s="139"/>
      <c r="L34" s="22" t="str">
        <f t="shared" si="18"/>
        <v/>
      </c>
      <c r="M34" s="22"/>
      <c r="N34" s="22"/>
      <c r="O34" s="22"/>
      <c r="P34" s="22"/>
      <c r="Q34" s="22"/>
      <c r="R34" s="22"/>
      <c r="S34" s="22"/>
      <c r="T34" s="144"/>
      <c r="U34" s="139" t="str">
        <f>IF($I34="","",IF(Notes!$B$9="Domestic",1,IF(Notes!$B$9="Commercial","")))</f>
        <v/>
      </c>
      <c r="V34" s="144"/>
      <c r="W34" s="144" t="str">
        <f>IF($I34="","",IF(Notes!$B$9="Domestic","",IF(Notes!$B$9="Commercial",1)))</f>
        <v/>
      </c>
      <c r="X34" s="144"/>
      <c r="Y34" s="144"/>
      <c r="Z34" s="144"/>
      <c r="AA34" s="144"/>
      <c r="AB34" s="143"/>
      <c r="AC34" s="139"/>
      <c r="AD34" s="144"/>
      <c r="AE34" s="144"/>
      <c r="AF34" s="144"/>
      <c r="AG34" s="144"/>
      <c r="AH34" s="144"/>
      <c r="AI34" s="144"/>
      <c r="AJ34" s="144"/>
      <c r="AK34" s="143"/>
    </row>
    <row r="35" spans="2:37" ht="15.75" hidden="1" outlineLevel="1" x14ac:dyDescent="0.25">
      <c r="B35" s="138"/>
      <c r="C35" s="22"/>
      <c r="D35" s="31"/>
      <c r="E35" s="22"/>
      <c r="F35" s="22"/>
      <c r="G35" s="31"/>
      <c r="H35" s="22"/>
      <c r="I35" s="32" t="str">
        <f t="shared" si="17"/>
        <v/>
      </c>
      <c r="J35" s="32">
        <f t="shared" si="16"/>
        <v>0</v>
      </c>
      <c r="K35" s="139"/>
      <c r="L35" s="22" t="str">
        <f t="shared" si="18"/>
        <v/>
      </c>
      <c r="M35" s="22"/>
      <c r="N35" s="22"/>
      <c r="O35" s="22"/>
      <c r="P35" s="22"/>
      <c r="Q35" s="22"/>
      <c r="R35" s="22"/>
      <c r="S35" s="22"/>
      <c r="T35" s="144"/>
      <c r="U35" s="139" t="str">
        <f>IF($I35="","",IF(Notes!$B$9="Domestic",1,IF(Notes!$B$9="Commercial","")))</f>
        <v/>
      </c>
      <c r="V35" s="144"/>
      <c r="W35" s="144" t="str">
        <f>IF($I35="","",IF(Notes!$B$9="Domestic","",IF(Notes!$B$9="Commercial",1)))</f>
        <v/>
      </c>
      <c r="X35" s="144"/>
      <c r="Y35" s="144"/>
      <c r="Z35" s="144"/>
      <c r="AA35" s="144"/>
      <c r="AB35" s="143"/>
      <c r="AC35" s="139"/>
      <c r="AD35" s="144"/>
      <c r="AE35" s="144"/>
      <c r="AF35" s="144"/>
      <c r="AG35" s="144"/>
      <c r="AH35" s="144"/>
      <c r="AI35" s="144"/>
      <c r="AJ35" s="144"/>
      <c r="AK35" s="143"/>
    </row>
    <row r="36" spans="2:37" ht="15.75" hidden="1" outlineLevel="1" x14ac:dyDescent="0.25">
      <c r="B36" s="138"/>
      <c r="C36" s="22"/>
      <c r="D36" s="31"/>
      <c r="E36" s="22"/>
      <c r="F36" s="22"/>
      <c r="G36" s="31"/>
      <c r="H36" s="22"/>
      <c r="I36" s="32" t="str">
        <f t="shared" si="17"/>
        <v/>
      </c>
      <c r="J36" s="32">
        <f t="shared" si="16"/>
        <v>0</v>
      </c>
      <c r="K36" s="139"/>
      <c r="L36" s="22" t="str">
        <f t="shared" si="18"/>
        <v/>
      </c>
      <c r="M36" s="22"/>
      <c r="N36" s="22"/>
      <c r="O36" s="22"/>
      <c r="P36" s="22"/>
      <c r="Q36" s="22"/>
      <c r="R36" s="22"/>
      <c r="S36" s="22"/>
      <c r="T36" s="144"/>
      <c r="U36" s="139" t="str">
        <f>IF($I36="","",IF(Notes!$B$9="Domestic",1,IF(Notes!$B$9="Commercial","")))</f>
        <v/>
      </c>
      <c r="V36" s="144"/>
      <c r="W36" s="144" t="str">
        <f>IF($I36="","",IF(Notes!$B$9="Domestic","",IF(Notes!$B$9="Commercial",1)))</f>
        <v/>
      </c>
      <c r="X36" s="144"/>
      <c r="Y36" s="144"/>
      <c r="Z36" s="144"/>
      <c r="AA36" s="144"/>
      <c r="AB36" s="143"/>
      <c r="AC36" s="139"/>
      <c r="AD36" s="144"/>
      <c r="AE36" s="144"/>
      <c r="AF36" s="144"/>
      <c r="AG36" s="144"/>
      <c r="AH36" s="144"/>
      <c r="AI36" s="144"/>
      <c r="AJ36" s="144"/>
      <c r="AK36" s="143"/>
    </row>
    <row r="37" spans="2:37" ht="15.75" hidden="1" outlineLevel="1" x14ac:dyDescent="0.25">
      <c r="B37" s="138"/>
      <c r="C37" s="22"/>
      <c r="D37" s="31"/>
      <c r="E37" s="22"/>
      <c r="F37" s="22"/>
      <c r="G37" s="31"/>
      <c r="H37" s="22"/>
      <c r="I37" s="32" t="str">
        <f t="shared" si="17"/>
        <v/>
      </c>
      <c r="J37" s="32">
        <f t="shared" si="16"/>
        <v>0</v>
      </c>
      <c r="K37" s="139"/>
      <c r="L37" s="22" t="str">
        <f t="shared" si="18"/>
        <v/>
      </c>
      <c r="M37" s="22"/>
      <c r="N37" s="22"/>
      <c r="O37" s="22"/>
      <c r="P37" s="22"/>
      <c r="Q37" s="22"/>
      <c r="R37" s="22"/>
      <c r="S37" s="22"/>
      <c r="T37" s="144"/>
      <c r="U37" s="139" t="str">
        <f>IF($I37="","",IF(Notes!$B$9="Domestic",1,IF(Notes!$B$9="Commercial","")))</f>
        <v/>
      </c>
      <c r="V37" s="144"/>
      <c r="W37" s="144" t="str">
        <f>IF($I37="","",IF(Notes!$B$9="Domestic","",IF(Notes!$B$9="Commercial",1)))</f>
        <v/>
      </c>
      <c r="X37" s="144"/>
      <c r="Y37" s="144"/>
      <c r="Z37" s="144"/>
      <c r="AA37" s="144"/>
      <c r="AB37" s="143"/>
      <c r="AC37" s="139"/>
      <c r="AD37" s="144"/>
      <c r="AE37" s="144"/>
      <c r="AF37" s="144"/>
      <c r="AG37" s="144"/>
      <c r="AH37" s="144"/>
      <c r="AI37" s="144"/>
      <c r="AJ37" s="144"/>
      <c r="AK37" s="143"/>
    </row>
    <row r="38" spans="2:37" ht="15.75" hidden="1" outlineLevel="1" x14ac:dyDescent="0.25">
      <c r="B38" s="138"/>
      <c r="C38" s="22"/>
      <c r="D38" s="31"/>
      <c r="E38" s="22"/>
      <c r="F38" s="22"/>
      <c r="G38" s="31"/>
      <c r="H38" s="22"/>
      <c r="I38" s="32" t="str">
        <f t="shared" si="17"/>
        <v/>
      </c>
      <c r="J38" s="32">
        <f t="shared" si="16"/>
        <v>0</v>
      </c>
      <c r="K38" s="139"/>
      <c r="L38" s="22" t="str">
        <f t="shared" si="18"/>
        <v/>
      </c>
      <c r="M38" s="22"/>
      <c r="N38" s="22"/>
      <c r="O38" s="22"/>
      <c r="P38" s="22"/>
      <c r="Q38" s="22"/>
      <c r="R38" s="22"/>
      <c r="S38" s="22"/>
      <c r="T38" s="144"/>
      <c r="U38" s="139" t="str">
        <f>IF($I38="","",IF(Notes!$B$9="Domestic",1,IF(Notes!$B$9="Commercial","")))</f>
        <v/>
      </c>
      <c r="V38" s="144"/>
      <c r="W38" s="144" t="str">
        <f>IF($I38="","",IF(Notes!$B$9="Domestic","",IF(Notes!$B$9="Commercial",1)))</f>
        <v/>
      </c>
      <c r="X38" s="144"/>
      <c r="Y38" s="144"/>
      <c r="Z38" s="144"/>
      <c r="AA38" s="144"/>
      <c r="AB38" s="143"/>
      <c r="AC38" s="139"/>
      <c r="AD38" s="144"/>
      <c r="AE38" s="144"/>
      <c r="AF38" s="144"/>
      <c r="AG38" s="144"/>
      <c r="AH38" s="144"/>
      <c r="AI38" s="144"/>
      <c r="AJ38" s="144"/>
      <c r="AK38" s="143"/>
    </row>
    <row r="39" spans="2:37" ht="15.75" hidden="1" outlineLevel="1" x14ac:dyDescent="0.25">
      <c r="B39" s="145"/>
      <c r="C39" s="22"/>
      <c r="D39" s="22"/>
      <c r="E39" s="22"/>
      <c r="F39" s="22"/>
      <c r="G39" s="22"/>
      <c r="H39" s="22"/>
      <c r="I39" s="32" t="str">
        <f t="shared" si="17"/>
        <v/>
      </c>
      <c r="J39" s="146">
        <f t="shared" si="16"/>
        <v>0</v>
      </c>
      <c r="K39" s="147"/>
      <c r="L39" s="148" t="str">
        <f t="shared" si="18"/>
        <v/>
      </c>
      <c r="M39" s="148"/>
      <c r="N39" s="148"/>
      <c r="O39" s="148"/>
      <c r="P39" s="148"/>
      <c r="Q39" s="148"/>
      <c r="R39" s="148"/>
      <c r="S39" s="148"/>
      <c r="T39" s="148"/>
      <c r="U39" s="147" t="str">
        <f>IF($I39="","",IF(Notes!$B$9="Domestic",1,IF(Notes!$B$9="Commercial","")))</f>
        <v/>
      </c>
      <c r="V39" s="148"/>
      <c r="W39" s="148" t="str">
        <f>IF($I39="","",IF(Notes!$B$9="Domestic","",IF(Notes!$B$9="Commercial",1)))</f>
        <v/>
      </c>
      <c r="X39" s="148"/>
      <c r="Y39" s="148"/>
      <c r="Z39" s="148"/>
      <c r="AA39" s="148"/>
      <c r="AB39" s="149"/>
      <c r="AC39" s="147"/>
      <c r="AD39" s="148"/>
      <c r="AE39" s="148"/>
      <c r="AF39" s="148"/>
      <c r="AG39" s="148"/>
      <c r="AH39" s="148"/>
      <c r="AI39" s="148"/>
      <c r="AJ39" s="148"/>
      <c r="AK39" s="149"/>
    </row>
    <row r="40" spans="2:37" ht="18.75" hidden="1" outlineLevel="1" x14ac:dyDescent="0.25">
      <c r="B40" s="129" t="s">
        <v>253</v>
      </c>
      <c r="C40" s="130"/>
      <c r="D40" s="241" t="s">
        <v>799</v>
      </c>
      <c r="E40" s="130"/>
      <c r="F40" s="130"/>
      <c r="G40" s="241" t="s">
        <v>798</v>
      </c>
      <c r="H40" s="130"/>
      <c r="I40" s="131">
        <f>SUM(I41:I50)</f>
        <v>146.28399999999999</v>
      </c>
      <c r="J40" s="132" t="s">
        <v>11</v>
      </c>
      <c r="K40" s="133">
        <f t="shared" ref="K40:R40" si="19">IFERROR(SUMPRODUCT($I41:$I50,K41:K50),0)</f>
        <v>109.834</v>
      </c>
      <c r="L40" s="134">
        <f t="shared" si="19"/>
        <v>0</v>
      </c>
      <c r="M40" s="134">
        <f t="shared" si="19"/>
        <v>0</v>
      </c>
      <c r="N40" s="134">
        <f t="shared" si="19"/>
        <v>0</v>
      </c>
      <c r="O40" s="134">
        <f t="shared" si="19"/>
        <v>0</v>
      </c>
      <c r="P40" s="134">
        <f t="shared" si="19"/>
        <v>0</v>
      </c>
      <c r="Q40" s="134">
        <f t="shared" si="19"/>
        <v>0</v>
      </c>
      <c r="R40" s="134">
        <f t="shared" si="19"/>
        <v>0</v>
      </c>
      <c r="S40" s="134">
        <f>IFERROR(SUMPRODUCT($I41:$I50,S41:S50),0)</f>
        <v>0</v>
      </c>
      <c r="T40" s="134">
        <f t="shared" ref="T40" si="20">IFERROR(SUMPRODUCT($I41:$I50,T41:T50),0)</f>
        <v>0</v>
      </c>
      <c r="U40" s="136">
        <f>IFERROR(SUMPRODUCT($I41:$I50,U41:U50),0)</f>
        <v>86.27</v>
      </c>
      <c r="V40" s="137">
        <f t="shared" ref="V40:AK40" si="21">IFERROR(SUMPRODUCT($I41:$I50,V41:V50),0)</f>
        <v>60.014000000000003</v>
      </c>
      <c r="W40" s="137">
        <f t="shared" si="21"/>
        <v>0</v>
      </c>
      <c r="X40" s="137">
        <f t="shared" si="21"/>
        <v>0</v>
      </c>
      <c r="Y40" s="137">
        <f t="shared" si="21"/>
        <v>0</v>
      </c>
      <c r="Z40" s="137">
        <f t="shared" si="21"/>
        <v>0</v>
      </c>
      <c r="AA40" s="137">
        <f t="shared" si="21"/>
        <v>0</v>
      </c>
      <c r="AB40" s="150">
        <f t="shared" si="21"/>
        <v>0</v>
      </c>
      <c r="AC40" s="133">
        <f>IFERROR(SUMPRODUCT($I41:$I50,AC41:AC50),0)</f>
        <v>146.28399999999999</v>
      </c>
      <c r="AD40" s="134">
        <f t="shared" si="21"/>
        <v>0</v>
      </c>
      <c r="AE40" s="134">
        <f t="shared" si="21"/>
        <v>0</v>
      </c>
      <c r="AF40" s="134">
        <f t="shared" si="21"/>
        <v>0</v>
      </c>
      <c r="AG40" s="134">
        <f t="shared" si="21"/>
        <v>0</v>
      </c>
      <c r="AH40" s="134">
        <f t="shared" si="21"/>
        <v>0</v>
      </c>
      <c r="AI40" s="134">
        <f t="shared" si="21"/>
        <v>0</v>
      </c>
      <c r="AJ40" s="134">
        <f t="shared" si="21"/>
        <v>0</v>
      </c>
      <c r="AK40" s="135">
        <f t="shared" si="21"/>
        <v>0</v>
      </c>
    </row>
    <row r="41" spans="2:37" ht="15.75" hidden="1" outlineLevel="1" x14ac:dyDescent="0.25">
      <c r="B41" s="138" t="s">
        <v>253</v>
      </c>
      <c r="C41" s="22"/>
      <c r="D41" s="31">
        <v>28.757000000000001</v>
      </c>
      <c r="E41" s="22"/>
      <c r="F41" s="22"/>
      <c r="G41" s="31">
        <v>86.27</v>
      </c>
      <c r="H41" s="22"/>
      <c r="I41" s="32">
        <f>IF(SUM(C41:H41)=0,"",IF(G41=0,1,G41))</f>
        <v>86.27</v>
      </c>
      <c r="J41" s="32" t="str">
        <f t="shared" ref="J41:J50" si="22">IF(COUNTA(C41:H41)=0,0,IF(I41="","",IF(F41-SUM(C41+D41+E41+G41+H41)=F41,"Lm",IF(COUNTA(C41:H41)&gt;4,"ERROR",IF(H41&gt;0,"m3",IF(COUNTA(G41,F41)=2,"m3",IF(COUNTA(C41:F41)=4,"m3",IF(COUNTA(D41:F41)=3,"m3",IF(G41&gt;0,"m2",IF(COUNTA(D41,E41)=2,"m2",IF(COUNTA(C41:F41)=3,"m2",IF(COUNTA(D41:F41)=2,"m2",IF(COUNTA(C41:F41)=2,"Lm",IF(D41&gt;0,"Lm",IF(E41&gt;0,"Lm",IF(C41&gt;0,"No.",))))))))))))))))</f>
        <v>m2</v>
      </c>
      <c r="K41" s="139">
        <f>IF($I41="","",1)</f>
        <v>1</v>
      </c>
      <c r="L41" s="140"/>
      <c r="M41" s="140"/>
      <c r="N41" s="140"/>
      <c r="O41" s="140"/>
      <c r="P41" s="140"/>
      <c r="Q41" s="140"/>
      <c r="R41" s="140"/>
      <c r="S41" s="140"/>
      <c r="T41" s="140"/>
      <c r="U41" s="140">
        <f>IF($I41="","",IF(Notes!$B$9="Domestic","",IF(Notes!$B$9="Commercial",1)))</f>
        <v>1</v>
      </c>
      <c r="V41" s="140" t="str">
        <f>IF($I41="","",IF(Notes!$B$9="Domestic",1,IF(Notes!$B$9="Commercial","")))</f>
        <v/>
      </c>
      <c r="W41" s="140"/>
      <c r="Y41" s="140"/>
      <c r="Z41" s="140"/>
      <c r="AA41" s="140"/>
      <c r="AB41" s="141"/>
      <c r="AC41" s="139">
        <f>IF($I41="","",1)</f>
        <v>1</v>
      </c>
      <c r="AD41" s="140"/>
      <c r="AE41" s="140"/>
      <c r="AF41" s="140"/>
      <c r="AG41" s="140"/>
      <c r="AH41" s="140"/>
      <c r="AI41" s="140"/>
      <c r="AJ41" s="140"/>
      <c r="AK41" s="141"/>
    </row>
    <row r="42" spans="2:37" ht="15.75" hidden="1" outlineLevel="1" x14ac:dyDescent="0.25">
      <c r="B42" s="138" t="s">
        <v>2408</v>
      </c>
      <c r="C42" s="22"/>
      <c r="D42" s="31">
        <v>7.85</v>
      </c>
      <c r="E42" s="22"/>
      <c r="F42" s="22"/>
      <c r="G42" s="31">
        <v>23.564</v>
      </c>
      <c r="H42" s="22"/>
      <c r="I42" s="32">
        <f t="shared" ref="I42:I50" si="23">IF(SUM(C42:H42)=0,"",IF(G42=0,1,G42))</f>
        <v>23.564</v>
      </c>
      <c r="J42" s="32" t="str">
        <f t="shared" si="22"/>
        <v>m2</v>
      </c>
      <c r="K42" s="139">
        <f>IF($I42="","",1)</f>
        <v>1</v>
      </c>
      <c r="L42" s="22"/>
      <c r="M42" s="22"/>
      <c r="N42" s="22"/>
      <c r="O42" s="22"/>
      <c r="P42" s="22"/>
      <c r="Q42" s="22"/>
      <c r="R42" s="22"/>
      <c r="S42" s="22"/>
      <c r="T42" s="144"/>
      <c r="U42" s="139"/>
      <c r="V42" s="144">
        <f>IF($I42="","",IF(Notes!$B$9="Domestic","",IF(Notes!$B$9="Commercial",1)))</f>
        <v>1</v>
      </c>
      <c r="Y42" s="144"/>
      <c r="Z42" s="144"/>
      <c r="AA42" s="144"/>
      <c r="AB42" s="143"/>
      <c r="AC42" s="139">
        <f t="shared" ref="AC42:AC50" si="24">IF($I42="","",1)</f>
        <v>1</v>
      </c>
      <c r="AD42" s="144"/>
      <c r="AE42" s="144"/>
      <c r="AF42" s="144"/>
      <c r="AG42" s="144"/>
      <c r="AH42" s="144"/>
      <c r="AI42" s="144"/>
      <c r="AJ42" s="144"/>
      <c r="AK42" s="143"/>
    </row>
    <row r="43" spans="2:37" ht="15.75" hidden="1" outlineLevel="1" x14ac:dyDescent="0.25">
      <c r="B43" s="138" t="s">
        <v>2409</v>
      </c>
      <c r="C43" s="22"/>
      <c r="D43" s="31">
        <v>33.130000000000003</v>
      </c>
      <c r="E43" s="22"/>
      <c r="F43" s="22"/>
      <c r="G43" s="31">
        <v>36.450000000000003</v>
      </c>
      <c r="H43" s="22"/>
      <c r="I43" s="32">
        <f t="shared" si="23"/>
        <v>36.450000000000003</v>
      </c>
      <c r="J43" s="32" t="str">
        <f t="shared" si="22"/>
        <v>m2</v>
      </c>
      <c r="K43" s="139"/>
      <c r="L43" s="22"/>
      <c r="M43" s="22"/>
      <c r="N43" s="22"/>
      <c r="O43" s="22"/>
      <c r="P43" s="22"/>
      <c r="Q43" s="22"/>
      <c r="R43" s="22"/>
      <c r="S43" s="22"/>
      <c r="T43" s="144"/>
      <c r="U43" s="139"/>
      <c r="V43" s="144">
        <f>IF($I43="","",IF(Notes!$B$9="Domestic","",IF(Notes!$B$9="Commercial",1)))</f>
        <v>1</v>
      </c>
      <c r="Y43" s="144"/>
      <c r="Z43" s="144"/>
      <c r="AA43" s="144"/>
      <c r="AB43" s="143"/>
      <c r="AC43" s="139">
        <f t="shared" si="24"/>
        <v>1</v>
      </c>
      <c r="AD43" s="144"/>
      <c r="AE43" s="144"/>
      <c r="AF43" s="144"/>
      <c r="AG43" s="144"/>
      <c r="AH43" s="144"/>
      <c r="AI43" s="144"/>
      <c r="AJ43" s="144"/>
      <c r="AK43" s="143"/>
    </row>
    <row r="44" spans="2:37" ht="15.75" hidden="1" outlineLevel="1" x14ac:dyDescent="0.25">
      <c r="B44" s="138"/>
      <c r="C44" s="22"/>
      <c r="D44" s="31"/>
      <c r="E44" s="22"/>
      <c r="F44" s="22"/>
      <c r="G44" s="31"/>
      <c r="H44" s="22"/>
      <c r="I44" s="32" t="str">
        <f t="shared" si="23"/>
        <v/>
      </c>
      <c r="J44" s="32">
        <f t="shared" si="22"/>
        <v>0</v>
      </c>
      <c r="K44" s="139" t="str">
        <f t="shared" ref="K44:K49" si="25">IF($I44="","",1)</f>
        <v/>
      </c>
      <c r="L44" s="22"/>
      <c r="M44" s="22"/>
      <c r="N44" s="22"/>
      <c r="O44" s="22"/>
      <c r="P44" s="22"/>
      <c r="Q44" s="22"/>
      <c r="R44" s="22"/>
      <c r="S44" s="22"/>
      <c r="T44" s="144"/>
      <c r="U44" s="139"/>
      <c r="V44" s="144" t="str">
        <f>IF($I44="","",IF(Notes!$B$9="Domestic",1,IF(Notes!$B$9="Commercial","")))</f>
        <v/>
      </c>
      <c r="W44" s="144"/>
      <c r="X44" s="144" t="str">
        <f>IF($I44="","",IF(Notes!$B$9="Domestic","",IF(Notes!$B$9="Commercial",1)))</f>
        <v/>
      </c>
      <c r="Y44" s="144"/>
      <c r="Z44" s="144"/>
      <c r="AA44" s="144"/>
      <c r="AB44" s="143"/>
      <c r="AC44" s="139" t="str">
        <f t="shared" si="24"/>
        <v/>
      </c>
      <c r="AD44" s="144"/>
      <c r="AE44" s="144"/>
      <c r="AF44" s="144"/>
      <c r="AG44" s="144"/>
      <c r="AH44" s="144"/>
      <c r="AI44" s="144"/>
      <c r="AJ44" s="144"/>
      <c r="AK44" s="143"/>
    </row>
    <row r="45" spans="2:37" ht="15.75" hidden="1" outlineLevel="1" x14ac:dyDescent="0.25">
      <c r="B45" s="138"/>
      <c r="C45" s="22"/>
      <c r="D45" s="31"/>
      <c r="E45" s="22"/>
      <c r="F45" s="22"/>
      <c r="G45" s="31"/>
      <c r="H45" s="22"/>
      <c r="I45" s="32" t="str">
        <f t="shared" si="23"/>
        <v/>
      </c>
      <c r="J45" s="32">
        <f t="shared" si="22"/>
        <v>0</v>
      </c>
      <c r="K45" s="139" t="str">
        <f t="shared" si="25"/>
        <v/>
      </c>
      <c r="L45" s="22"/>
      <c r="M45" s="22"/>
      <c r="N45" s="22"/>
      <c r="O45" s="22"/>
      <c r="P45" s="22"/>
      <c r="Q45" s="22"/>
      <c r="R45" s="22"/>
      <c r="S45" s="22"/>
      <c r="T45" s="144"/>
      <c r="U45" s="139"/>
      <c r="V45" s="144" t="str">
        <f>IF($I45="","",IF(Notes!$B$9="Domestic",1,IF(Notes!$B$9="Commercial","")))</f>
        <v/>
      </c>
      <c r="W45" s="144"/>
      <c r="X45" s="144" t="str">
        <f>IF($I45="","",IF(Notes!$B$9="Domestic","",IF(Notes!$B$9="Commercial",1)))</f>
        <v/>
      </c>
      <c r="Y45" s="144"/>
      <c r="Z45" s="144"/>
      <c r="AA45" s="144"/>
      <c r="AB45" s="143"/>
      <c r="AC45" s="139" t="str">
        <f t="shared" si="24"/>
        <v/>
      </c>
      <c r="AD45" s="144"/>
      <c r="AE45" s="144"/>
      <c r="AF45" s="144"/>
      <c r="AG45" s="144"/>
      <c r="AH45" s="144"/>
      <c r="AI45" s="144"/>
      <c r="AJ45" s="144"/>
      <c r="AK45" s="143"/>
    </row>
    <row r="46" spans="2:37" ht="15.75" hidden="1" outlineLevel="1" x14ac:dyDescent="0.25">
      <c r="B46" s="138"/>
      <c r="C46" s="22"/>
      <c r="D46" s="31"/>
      <c r="E46" s="22"/>
      <c r="F46" s="22"/>
      <c r="G46" s="31"/>
      <c r="H46" s="22"/>
      <c r="I46" s="32" t="str">
        <f t="shared" si="23"/>
        <v/>
      </c>
      <c r="J46" s="32">
        <f t="shared" si="22"/>
        <v>0</v>
      </c>
      <c r="K46" s="139" t="str">
        <f t="shared" si="25"/>
        <v/>
      </c>
      <c r="L46" s="22"/>
      <c r="M46" s="22"/>
      <c r="N46" s="22"/>
      <c r="O46" s="22"/>
      <c r="P46" s="22"/>
      <c r="Q46" s="22"/>
      <c r="R46" s="22"/>
      <c r="S46" s="22"/>
      <c r="T46" s="144"/>
      <c r="U46" s="139"/>
      <c r="V46" s="144" t="str">
        <f>IF($I46="","",IF(Notes!$B$9="Domestic",1,IF(Notes!$B$9="Commercial","")))</f>
        <v/>
      </c>
      <c r="W46" s="144"/>
      <c r="X46" s="144" t="str">
        <f>IF($I46="","",IF(Notes!$B$9="Domestic","",IF(Notes!$B$9="Commercial",1)))</f>
        <v/>
      </c>
      <c r="Y46" s="144"/>
      <c r="Z46" s="144"/>
      <c r="AA46" s="144"/>
      <c r="AB46" s="143"/>
      <c r="AC46" s="139" t="str">
        <f t="shared" si="24"/>
        <v/>
      </c>
      <c r="AD46" s="144"/>
      <c r="AE46" s="144"/>
      <c r="AF46" s="144"/>
      <c r="AG46" s="144"/>
      <c r="AH46" s="144"/>
      <c r="AI46" s="144"/>
      <c r="AJ46" s="144"/>
      <c r="AK46" s="143"/>
    </row>
    <row r="47" spans="2:37" ht="15.75" hidden="1" outlineLevel="1" x14ac:dyDescent="0.25">
      <c r="B47" s="138"/>
      <c r="C47" s="22"/>
      <c r="D47" s="31"/>
      <c r="E47" s="22"/>
      <c r="F47" s="22"/>
      <c r="G47" s="31"/>
      <c r="H47" s="22"/>
      <c r="I47" s="32" t="str">
        <f t="shared" si="23"/>
        <v/>
      </c>
      <c r="J47" s="32">
        <f t="shared" si="22"/>
        <v>0</v>
      </c>
      <c r="K47" s="139" t="str">
        <f t="shared" si="25"/>
        <v/>
      </c>
      <c r="L47" s="22"/>
      <c r="M47" s="22"/>
      <c r="N47" s="22"/>
      <c r="O47" s="22"/>
      <c r="P47" s="22"/>
      <c r="Q47" s="22"/>
      <c r="R47" s="22"/>
      <c r="S47" s="22"/>
      <c r="T47" s="144"/>
      <c r="U47" s="139"/>
      <c r="V47" s="144" t="str">
        <f>IF($I47="","",IF(Notes!$B$9="Domestic",1,IF(Notes!$B$9="Commercial","")))</f>
        <v/>
      </c>
      <c r="W47" s="144"/>
      <c r="X47" s="144" t="str">
        <f>IF($I47="","",IF(Notes!$B$9="Domestic","",IF(Notes!$B$9="Commercial",1)))</f>
        <v/>
      </c>
      <c r="Y47" s="144"/>
      <c r="Z47" s="144"/>
      <c r="AA47" s="144"/>
      <c r="AB47" s="143"/>
      <c r="AC47" s="139" t="str">
        <f t="shared" si="24"/>
        <v/>
      </c>
      <c r="AD47" s="144"/>
      <c r="AE47" s="144"/>
      <c r="AF47" s="144"/>
      <c r="AG47" s="144"/>
      <c r="AH47" s="144"/>
      <c r="AI47" s="144"/>
      <c r="AJ47" s="144"/>
      <c r="AK47" s="143"/>
    </row>
    <row r="48" spans="2:37" ht="15.75" hidden="1" outlineLevel="1" x14ac:dyDescent="0.25">
      <c r="B48" s="138"/>
      <c r="C48" s="22"/>
      <c r="D48" s="31"/>
      <c r="E48" s="22"/>
      <c r="F48" s="22"/>
      <c r="G48" s="31"/>
      <c r="H48" s="22"/>
      <c r="I48" s="32" t="str">
        <f t="shared" si="23"/>
        <v/>
      </c>
      <c r="J48" s="32">
        <f t="shared" si="22"/>
        <v>0</v>
      </c>
      <c r="K48" s="139" t="str">
        <f t="shared" si="25"/>
        <v/>
      </c>
      <c r="L48" s="22"/>
      <c r="M48" s="22"/>
      <c r="N48" s="22"/>
      <c r="O48" s="22"/>
      <c r="P48" s="22"/>
      <c r="Q48" s="22"/>
      <c r="R48" s="22"/>
      <c r="S48" s="22"/>
      <c r="T48" s="144"/>
      <c r="U48" s="139"/>
      <c r="V48" s="144" t="str">
        <f>IF($I48="","",IF(Notes!$B$9="Domestic",1,IF(Notes!$B$9="Commercial","")))</f>
        <v/>
      </c>
      <c r="W48" s="144"/>
      <c r="X48" s="144" t="str">
        <f>IF($I48="","",IF(Notes!$B$9="Domestic","",IF(Notes!$B$9="Commercial",1)))</f>
        <v/>
      </c>
      <c r="Y48" s="144"/>
      <c r="Z48" s="144"/>
      <c r="AA48" s="144"/>
      <c r="AB48" s="143"/>
      <c r="AC48" s="139" t="str">
        <f t="shared" si="24"/>
        <v/>
      </c>
      <c r="AD48" s="144"/>
      <c r="AE48" s="144"/>
      <c r="AF48" s="144"/>
      <c r="AG48" s="144"/>
      <c r="AH48" s="144"/>
      <c r="AI48" s="144"/>
      <c r="AJ48" s="144"/>
      <c r="AK48" s="143"/>
    </row>
    <row r="49" spans="2:37" ht="15.75" hidden="1" outlineLevel="1" x14ac:dyDescent="0.25">
      <c r="B49" s="138"/>
      <c r="C49" s="22"/>
      <c r="D49" s="31"/>
      <c r="E49" s="22"/>
      <c r="F49" s="22"/>
      <c r="G49" s="31"/>
      <c r="H49" s="22"/>
      <c r="I49" s="32" t="str">
        <f t="shared" si="23"/>
        <v/>
      </c>
      <c r="J49" s="32">
        <f t="shared" si="22"/>
        <v>0</v>
      </c>
      <c r="K49" s="139" t="str">
        <f t="shared" si="25"/>
        <v/>
      </c>
      <c r="L49" s="22"/>
      <c r="M49" s="22"/>
      <c r="N49" s="22"/>
      <c r="O49" s="22"/>
      <c r="P49" s="22"/>
      <c r="Q49" s="22"/>
      <c r="R49" s="22"/>
      <c r="S49" s="22"/>
      <c r="T49" s="144"/>
      <c r="U49" s="139"/>
      <c r="V49" s="144" t="str">
        <f>IF($I49="","",IF(Notes!$B$9="Domestic",1,IF(Notes!$B$9="Commercial","")))</f>
        <v/>
      </c>
      <c r="W49" s="144"/>
      <c r="X49" s="144" t="str">
        <f>IF($I49="","",IF(Notes!$B$9="Domestic","",IF(Notes!$B$9="Commercial",1)))</f>
        <v/>
      </c>
      <c r="Y49" s="144"/>
      <c r="Z49" s="144"/>
      <c r="AA49" s="144"/>
      <c r="AB49" s="143"/>
      <c r="AC49" s="139" t="str">
        <f t="shared" si="24"/>
        <v/>
      </c>
      <c r="AD49" s="144"/>
      <c r="AE49" s="144"/>
      <c r="AF49" s="144"/>
      <c r="AG49" s="144"/>
      <c r="AH49" s="144"/>
      <c r="AI49" s="144"/>
      <c r="AJ49" s="144"/>
      <c r="AK49" s="143"/>
    </row>
    <row r="50" spans="2:37" ht="15.75" hidden="1" outlineLevel="1" x14ac:dyDescent="0.25">
      <c r="B50" s="145"/>
      <c r="C50" s="22"/>
      <c r="D50" s="22"/>
      <c r="E50" s="22"/>
      <c r="F50" s="22"/>
      <c r="G50" s="22"/>
      <c r="H50" s="22"/>
      <c r="I50" s="32" t="str">
        <f t="shared" si="23"/>
        <v/>
      </c>
      <c r="J50" s="146">
        <f t="shared" si="22"/>
        <v>0</v>
      </c>
      <c r="K50" s="147" t="str">
        <f>IF($I50="","",1)</f>
        <v/>
      </c>
      <c r="L50" s="148"/>
      <c r="M50" s="148"/>
      <c r="N50" s="148"/>
      <c r="O50" s="148"/>
      <c r="P50" s="148"/>
      <c r="Q50" s="148"/>
      <c r="R50" s="148"/>
      <c r="S50" s="148"/>
      <c r="T50" s="148"/>
      <c r="U50" s="147"/>
      <c r="V50" s="148" t="str">
        <f>IF($I50="","",IF(Notes!$B$9="Domestic",1,IF(Notes!$B$9="Commercial","")))</f>
        <v/>
      </c>
      <c r="W50" s="148"/>
      <c r="X50" s="148" t="str">
        <f>IF($I50="","",IF(Notes!$B$9="Domestic","",IF(Notes!$B$9="Commercial",1)))</f>
        <v/>
      </c>
      <c r="Y50" s="148"/>
      <c r="Z50" s="148"/>
      <c r="AA50" s="148"/>
      <c r="AB50" s="149"/>
      <c r="AC50" s="139" t="str">
        <f t="shared" si="24"/>
        <v/>
      </c>
      <c r="AD50" s="148"/>
      <c r="AE50" s="148"/>
      <c r="AF50" s="148"/>
      <c r="AG50" s="148"/>
      <c r="AH50" s="148"/>
      <c r="AI50" s="148"/>
      <c r="AJ50" s="148"/>
      <c r="AK50" s="149"/>
    </row>
    <row r="51" spans="2:37" ht="18.75" hidden="1" outlineLevel="1" x14ac:dyDescent="0.25">
      <c r="B51" s="129" t="s">
        <v>254</v>
      </c>
      <c r="C51" s="130"/>
      <c r="D51" s="241" t="s">
        <v>799</v>
      </c>
      <c r="E51" s="130"/>
      <c r="F51" s="130"/>
      <c r="G51" s="241" t="s">
        <v>798</v>
      </c>
      <c r="H51" s="130"/>
      <c r="I51" s="131">
        <f>SUM(I52:I61)</f>
        <v>22.998999999999999</v>
      </c>
      <c r="J51" s="132" t="s">
        <v>11</v>
      </c>
      <c r="K51" s="133">
        <f t="shared" ref="K51:R51" si="26">IFERROR(SUMPRODUCT($I52:$I61,K52:K61),0)</f>
        <v>0</v>
      </c>
      <c r="L51" s="134">
        <f t="shared" si="26"/>
        <v>22.998999999999999</v>
      </c>
      <c r="M51" s="134">
        <f t="shared" si="26"/>
        <v>0</v>
      </c>
      <c r="N51" s="134">
        <f t="shared" si="26"/>
        <v>0</v>
      </c>
      <c r="O51" s="134">
        <f t="shared" si="26"/>
        <v>0</v>
      </c>
      <c r="P51" s="134">
        <f t="shared" si="26"/>
        <v>0</v>
      </c>
      <c r="Q51" s="134">
        <f t="shared" si="26"/>
        <v>0</v>
      </c>
      <c r="R51" s="134">
        <f t="shared" si="26"/>
        <v>0</v>
      </c>
      <c r="S51" s="134">
        <f>IFERROR(SUMPRODUCT($I52:$I61,S52:S61),0)</f>
        <v>0</v>
      </c>
      <c r="T51" s="134">
        <f t="shared" ref="T51" si="27">IFERROR(SUMPRODUCT($I52:$I61,T52:T61),0)</f>
        <v>0</v>
      </c>
      <c r="U51" s="136">
        <f>IFERROR(SUMPRODUCT($I52:$I61,U52:U61),0)</f>
        <v>0</v>
      </c>
      <c r="V51" s="137">
        <f>IFERROR(SUMPRODUCT($I52:$I61,V52:V61),0)</f>
        <v>10.766999999999999</v>
      </c>
      <c r="W51" s="137">
        <f t="shared" ref="W51:AK51" si="28">IFERROR(SUMPRODUCT($I52:$I61,W52:W61),0)</f>
        <v>0</v>
      </c>
      <c r="X51" s="137">
        <f t="shared" si="28"/>
        <v>0</v>
      </c>
      <c r="Y51" s="137">
        <f t="shared" si="28"/>
        <v>12.231999999999999</v>
      </c>
      <c r="Z51" s="137">
        <f t="shared" si="28"/>
        <v>0</v>
      </c>
      <c r="AA51" s="137">
        <f t="shared" si="28"/>
        <v>0</v>
      </c>
      <c r="AB51" s="150">
        <f t="shared" si="28"/>
        <v>0</v>
      </c>
      <c r="AC51" s="133">
        <f t="shared" si="28"/>
        <v>22.998999999999999</v>
      </c>
      <c r="AD51" s="134">
        <f t="shared" si="28"/>
        <v>0</v>
      </c>
      <c r="AE51" s="134">
        <f t="shared" si="28"/>
        <v>0</v>
      </c>
      <c r="AF51" s="134">
        <f t="shared" si="28"/>
        <v>0</v>
      </c>
      <c r="AG51" s="134">
        <f t="shared" si="28"/>
        <v>0</v>
      </c>
      <c r="AH51" s="134">
        <f t="shared" si="28"/>
        <v>0</v>
      </c>
      <c r="AI51" s="134">
        <f t="shared" si="28"/>
        <v>0</v>
      </c>
      <c r="AJ51" s="134">
        <f t="shared" si="28"/>
        <v>0</v>
      </c>
      <c r="AK51" s="135">
        <f t="shared" si="28"/>
        <v>0</v>
      </c>
    </row>
    <row r="52" spans="2:37" ht="15.75" hidden="1" outlineLevel="1" x14ac:dyDescent="0.25">
      <c r="B52" s="138" t="s">
        <v>254</v>
      </c>
      <c r="C52" s="22"/>
      <c r="D52" s="31">
        <v>3.589</v>
      </c>
      <c r="E52" s="22"/>
      <c r="F52" s="22"/>
      <c r="G52" s="31">
        <v>10.766999999999999</v>
      </c>
      <c r="H52" s="22"/>
      <c r="I52" s="32">
        <f>IF(SUM(C52:H52)=0,"",IF(G52=0,1,G52))</f>
        <v>10.766999999999999</v>
      </c>
      <c r="J52" s="32" t="str">
        <f t="shared" ref="J52:J61" si="29">IF(COUNTA(C52:H52)=0,0,IF(I52="","",IF(F52-SUM(C52+D52+E52+G52+H52)=F52,"Lm",IF(COUNTA(C52:H52)&gt;4,"ERROR",IF(H52&gt;0,"m3",IF(COUNTA(G52,F52)=2,"m3",IF(COUNTA(C52:F52)=4,"m3",IF(COUNTA(D52:F52)=3,"m3",IF(G52&gt;0,"m2",IF(COUNTA(D52,E52)=2,"m2",IF(COUNTA(C52:F52)=3,"m2",IF(COUNTA(D52:F52)=2,"m2",IF(COUNTA(C52:F52)=2,"Lm",IF(D52&gt;0,"Lm",IF(E52&gt;0,"Lm",IF(C52&gt;0,"No.",))))))))))))))))</f>
        <v>m2</v>
      </c>
      <c r="K52" s="139"/>
      <c r="L52" s="140">
        <f>IF($I52="","",1)</f>
        <v>1</v>
      </c>
      <c r="M52" s="140"/>
      <c r="N52" s="140"/>
      <c r="O52" s="140"/>
      <c r="P52" s="140"/>
      <c r="Q52" s="140"/>
      <c r="R52" s="140"/>
      <c r="S52" s="140"/>
      <c r="T52" s="140"/>
      <c r="U52" s="142"/>
      <c r="V52" s="140">
        <f>IF($I52="","",IF(Notes!$B$9="Domestic","",IF(Notes!$B$9="Commercial",1)))</f>
        <v>1</v>
      </c>
      <c r="W52" s="140"/>
      <c r="Y52" s="140"/>
      <c r="Z52" s="140"/>
      <c r="AA52" s="140"/>
      <c r="AB52" s="141"/>
      <c r="AC52" s="139">
        <f>IF($I52="","",1)</f>
        <v>1</v>
      </c>
      <c r="AD52" s="140"/>
      <c r="AE52" s="140"/>
      <c r="AF52" s="140"/>
      <c r="AG52" s="140"/>
      <c r="AH52" s="140"/>
      <c r="AI52" s="140"/>
      <c r="AJ52" s="140"/>
      <c r="AK52" s="141"/>
    </row>
    <row r="53" spans="2:37" ht="15.75" hidden="1" outlineLevel="1" x14ac:dyDescent="0.25">
      <c r="B53" s="138" t="s">
        <v>2407</v>
      </c>
      <c r="C53" s="22"/>
      <c r="D53" s="31">
        <v>4.0750000000000002</v>
      </c>
      <c r="E53" s="22"/>
      <c r="F53" s="22"/>
      <c r="G53" s="31">
        <v>12.231999999999999</v>
      </c>
      <c r="H53" s="22"/>
      <c r="I53" s="32">
        <f t="shared" ref="I53:I61" si="30">IF(SUM(C53:H53)=0,"",IF(G53=0,1,G53))</f>
        <v>12.231999999999999</v>
      </c>
      <c r="J53" s="32" t="str">
        <f t="shared" si="29"/>
        <v>m2</v>
      </c>
      <c r="K53" s="139"/>
      <c r="L53" s="22">
        <f>IF($I53="","",1)</f>
        <v>1</v>
      </c>
      <c r="M53" s="22"/>
      <c r="N53" s="22"/>
      <c r="O53" s="22"/>
      <c r="P53" s="22"/>
      <c r="Q53" s="22"/>
      <c r="R53" s="22"/>
      <c r="S53" s="22"/>
      <c r="T53" s="144"/>
      <c r="U53" s="139"/>
      <c r="V53" s="144" t="str">
        <f>IF($I53="","",IF(Notes!$B$9="Domestic",1,IF(Notes!$B$9="Commercial","")))</f>
        <v/>
      </c>
      <c r="W53" s="144"/>
      <c r="Y53" s="144">
        <f>IF($I53="","",IF(Notes!$B$9="Domestic","",IF(Notes!$B$9="Commercial",1)))</f>
        <v>1</v>
      </c>
      <c r="Z53" s="144"/>
      <c r="AA53" s="144"/>
      <c r="AB53" s="143"/>
      <c r="AC53" s="139">
        <f t="shared" ref="AC53:AC61" si="31">IF($I53="","",1)</f>
        <v>1</v>
      </c>
      <c r="AD53" s="144"/>
      <c r="AE53" s="144"/>
      <c r="AF53" s="144"/>
      <c r="AG53" s="144"/>
      <c r="AH53" s="144"/>
      <c r="AI53" s="144"/>
      <c r="AJ53" s="144"/>
      <c r="AK53" s="143"/>
    </row>
    <row r="54" spans="2:37" ht="15.75" hidden="1" outlineLevel="1" x14ac:dyDescent="0.25">
      <c r="B54" s="138"/>
      <c r="C54" s="22"/>
      <c r="D54" s="31"/>
      <c r="E54" s="22"/>
      <c r="F54" s="22"/>
      <c r="G54" s="31"/>
      <c r="H54" s="22"/>
      <c r="I54" s="32" t="str">
        <f t="shared" si="30"/>
        <v/>
      </c>
      <c r="J54" s="32">
        <f t="shared" si="29"/>
        <v>0</v>
      </c>
      <c r="K54" s="139"/>
      <c r="L54" s="22" t="str">
        <f t="shared" ref="L54:L60" si="32">IF($I54="","",1)</f>
        <v/>
      </c>
      <c r="M54" s="22"/>
      <c r="N54" s="22"/>
      <c r="O54" s="22"/>
      <c r="P54" s="22"/>
      <c r="Q54" s="22"/>
      <c r="R54" s="22"/>
      <c r="S54" s="22"/>
      <c r="T54" s="144"/>
      <c r="U54" s="139"/>
      <c r="V54" s="144" t="str">
        <f>IF($I54="","",IF(Notes!$B$9="Domestic",1,IF(Notes!$B$9="Commercial","")))</f>
        <v/>
      </c>
      <c r="W54" s="144"/>
      <c r="X54" s="144" t="str">
        <f>IF($I54="","",IF(Notes!$B$9="Domestic","",IF(Notes!$B$9="Commercial",1)))</f>
        <v/>
      </c>
      <c r="Y54" s="144"/>
      <c r="Z54" s="144"/>
      <c r="AA54" s="144"/>
      <c r="AB54" s="143"/>
      <c r="AC54" s="139" t="str">
        <f t="shared" si="31"/>
        <v/>
      </c>
      <c r="AD54" s="144"/>
      <c r="AE54" s="144"/>
      <c r="AF54" s="144"/>
      <c r="AG54" s="144"/>
      <c r="AH54" s="144"/>
      <c r="AI54" s="144"/>
      <c r="AJ54" s="144"/>
      <c r="AK54" s="143"/>
    </row>
    <row r="55" spans="2:37" ht="15.75" hidden="1" outlineLevel="1" x14ac:dyDescent="0.25">
      <c r="B55" s="138"/>
      <c r="C55" s="22"/>
      <c r="D55" s="31"/>
      <c r="E55" s="22"/>
      <c r="F55" s="22"/>
      <c r="G55" s="31"/>
      <c r="H55" s="22"/>
      <c r="I55" s="32" t="str">
        <f t="shared" si="30"/>
        <v/>
      </c>
      <c r="J55" s="32">
        <f t="shared" si="29"/>
        <v>0</v>
      </c>
      <c r="K55" s="139"/>
      <c r="L55" s="22" t="str">
        <f t="shared" si="32"/>
        <v/>
      </c>
      <c r="M55" s="22"/>
      <c r="N55" s="22"/>
      <c r="O55" s="22"/>
      <c r="P55" s="22"/>
      <c r="Q55" s="22"/>
      <c r="R55" s="22"/>
      <c r="S55" s="22"/>
      <c r="T55" s="144"/>
      <c r="U55" s="139"/>
      <c r="V55" s="144" t="str">
        <f>IF($I55="","",IF(Notes!$B$9="Domestic",1,IF(Notes!$B$9="Commercial","")))</f>
        <v/>
      </c>
      <c r="W55" s="144"/>
      <c r="X55" s="144" t="str">
        <f>IF($I55="","",IF(Notes!$B$9="Domestic","",IF(Notes!$B$9="Commercial",1)))</f>
        <v/>
      </c>
      <c r="Y55" s="144"/>
      <c r="Z55" s="144"/>
      <c r="AA55" s="144"/>
      <c r="AB55" s="143"/>
      <c r="AC55" s="139" t="str">
        <f t="shared" si="31"/>
        <v/>
      </c>
      <c r="AD55" s="144"/>
      <c r="AE55" s="144"/>
      <c r="AF55" s="144"/>
      <c r="AG55" s="144"/>
      <c r="AH55" s="144"/>
      <c r="AI55" s="144"/>
      <c r="AJ55" s="144"/>
      <c r="AK55" s="143"/>
    </row>
    <row r="56" spans="2:37" ht="15.75" hidden="1" outlineLevel="1" x14ac:dyDescent="0.25">
      <c r="B56" s="138"/>
      <c r="C56" s="22"/>
      <c r="D56" s="31"/>
      <c r="E56" s="22"/>
      <c r="F56" s="22"/>
      <c r="G56" s="31"/>
      <c r="H56" s="22"/>
      <c r="I56" s="32" t="str">
        <f t="shared" si="30"/>
        <v/>
      </c>
      <c r="J56" s="32">
        <f t="shared" si="29"/>
        <v>0</v>
      </c>
      <c r="K56" s="139"/>
      <c r="L56" s="22" t="str">
        <f t="shared" si="32"/>
        <v/>
      </c>
      <c r="M56" s="22"/>
      <c r="N56" s="22"/>
      <c r="O56" s="22"/>
      <c r="P56" s="22"/>
      <c r="Q56" s="22"/>
      <c r="R56" s="22"/>
      <c r="S56" s="22"/>
      <c r="T56" s="144"/>
      <c r="U56" s="139"/>
      <c r="V56" s="144" t="str">
        <f>IF($I56="","",IF(Notes!$B$9="Domestic",1,IF(Notes!$B$9="Commercial","")))</f>
        <v/>
      </c>
      <c r="W56" s="144"/>
      <c r="X56" s="144" t="str">
        <f>IF($I56="","",IF(Notes!$B$9="Domestic","",IF(Notes!$B$9="Commercial",1)))</f>
        <v/>
      </c>
      <c r="Y56" s="144"/>
      <c r="Z56" s="144"/>
      <c r="AA56" s="144"/>
      <c r="AB56" s="143"/>
      <c r="AC56" s="139" t="str">
        <f t="shared" si="31"/>
        <v/>
      </c>
      <c r="AD56" s="144"/>
      <c r="AE56" s="144"/>
      <c r="AF56" s="144"/>
      <c r="AG56" s="144"/>
      <c r="AH56" s="144"/>
      <c r="AI56" s="144"/>
      <c r="AJ56" s="144"/>
      <c r="AK56" s="143"/>
    </row>
    <row r="57" spans="2:37" ht="15.75" hidden="1" outlineLevel="1" x14ac:dyDescent="0.25">
      <c r="B57" s="138"/>
      <c r="C57" s="22"/>
      <c r="D57" s="31"/>
      <c r="E57" s="22"/>
      <c r="F57" s="22"/>
      <c r="G57" s="31"/>
      <c r="H57" s="22"/>
      <c r="I57" s="32" t="str">
        <f t="shared" si="30"/>
        <v/>
      </c>
      <c r="J57" s="32">
        <f t="shared" si="29"/>
        <v>0</v>
      </c>
      <c r="K57" s="139"/>
      <c r="L57" s="22" t="str">
        <f t="shared" si="32"/>
        <v/>
      </c>
      <c r="M57" s="22"/>
      <c r="N57" s="22"/>
      <c r="O57" s="22"/>
      <c r="P57" s="22"/>
      <c r="Q57" s="22"/>
      <c r="R57" s="22"/>
      <c r="S57" s="22"/>
      <c r="T57" s="144"/>
      <c r="U57" s="139"/>
      <c r="V57" s="144" t="str">
        <f>IF($I57="","",IF(Notes!$B$9="Domestic",1,IF(Notes!$B$9="Commercial","")))</f>
        <v/>
      </c>
      <c r="W57" s="144"/>
      <c r="X57" s="144" t="str">
        <f>IF($I57="","",IF(Notes!$B$9="Domestic","",IF(Notes!$B$9="Commercial",1)))</f>
        <v/>
      </c>
      <c r="Y57" s="144"/>
      <c r="Z57" s="144"/>
      <c r="AA57" s="144"/>
      <c r="AB57" s="143"/>
      <c r="AC57" s="139" t="str">
        <f t="shared" si="31"/>
        <v/>
      </c>
      <c r="AD57" s="144"/>
      <c r="AE57" s="144"/>
      <c r="AF57" s="144"/>
      <c r="AG57" s="144"/>
      <c r="AH57" s="144"/>
      <c r="AI57" s="144"/>
      <c r="AJ57" s="144"/>
      <c r="AK57" s="143"/>
    </row>
    <row r="58" spans="2:37" ht="15.75" hidden="1" outlineLevel="1" x14ac:dyDescent="0.25">
      <c r="B58" s="138"/>
      <c r="C58" s="22"/>
      <c r="D58" s="31"/>
      <c r="E58" s="22"/>
      <c r="F58" s="22"/>
      <c r="G58" s="31"/>
      <c r="H58" s="22"/>
      <c r="I58" s="32" t="str">
        <f t="shared" si="30"/>
        <v/>
      </c>
      <c r="J58" s="32">
        <f t="shared" si="29"/>
        <v>0</v>
      </c>
      <c r="K58" s="139"/>
      <c r="L58" s="22" t="str">
        <f t="shared" si="32"/>
        <v/>
      </c>
      <c r="M58" s="22"/>
      <c r="N58" s="22"/>
      <c r="O58" s="22"/>
      <c r="P58" s="22"/>
      <c r="Q58" s="22"/>
      <c r="R58" s="22"/>
      <c r="S58" s="22"/>
      <c r="T58" s="144"/>
      <c r="U58" s="139"/>
      <c r="V58" s="144" t="str">
        <f>IF($I58="","",IF(Notes!$B$9="Domestic",1,IF(Notes!$B$9="Commercial","")))</f>
        <v/>
      </c>
      <c r="W58" s="144"/>
      <c r="X58" s="144" t="str">
        <f>IF($I58="","",IF(Notes!$B$9="Domestic","",IF(Notes!$B$9="Commercial",1)))</f>
        <v/>
      </c>
      <c r="Y58" s="144"/>
      <c r="Z58" s="144"/>
      <c r="AA58" s="144"/>
      <c r="AB58" s="143"/>
      <c r="AC58" s="139" t="str">
        <f t="shared" si="31"/>
        <v/>
      </c>
      <c r="AD58" s="144"/>
      <c r="AE58" s="144"/>
      <c r="AF58" s="144"/>
      <c r="AG58" s="144"/>
      <c r="AH58" s="144"/>
      <c r="AI58" s="144"/>
      <c r="AJ58" s="144"/>
      <c r="AK58" s="143"/>
    </row>
    <row r="59" spans="2:37" ht="15.75" hidden="1" outlineLevel="1" x14ac:dyDescent="0.25">
      <c r="B59" s="138"/>
      <c r="C59" s="22"/>
      <c r="D59" s="31"/>
      <c r="E59" s="22"/>
      <c r="F59" s="22"/>
      <c r="G59" s="31"/>
      <c r="H59" s="22"/>
      <c r="I59" s="32" t="str">
        <f t="shared" si="30"/>
        <v/>
      </c>
      <c r="J59" s="32">
        <f t="shared" si="29"/>
        <v>0</v>
      </c>
      <c r="K59" s="139"/>
      <c r="L59" s="22" t="str">
        <f t="shared" si="32"/>
        <v/>
      </c>
      <c r="M59" s="22"/>
      <c r="N59" s="22"/>
      <c r="O59" s="22"/>
      <c r="P59" s="22"/>
      <c r="Q59" s="22"/>
      <c r="R59" s="22"/>
      <c r="S59" s="22"/>
      <c r="T59" s="144"/>
      <c r="U59" s="139"/>
      <c r="V59" s="144" t="str">
        <f>IF($I59="","",IF(Notes!$B$9="Domestic",1,IF(Notes!$B$9="Commercial","")))</f>
        <v/>
      </c>
      <c r="W59" s="144"/>
      <c r="X59" s="144" t="str">
        <f>IF($I59="","",IF(Notes!$B$9="Domestic","",IF(Notes!$B$9="Commercial",1)))</f>
        <v/>
      </c>
      <c r="Y59" s="144"/>
      <c r="Z59" s="144"/>
      <c r="AA59" s="144"/>
      <c r="AB59" s="143"/>
      <c r="AC59" s="139" t="str">
        <f t="shared" si="31"/>
        <v/>
      </c>
      <c r="AD59" s="144"/>
      <c r="AE59" s="144"/>
      <c r="AF59" s="144"/>
      <c r="AG59" s="144"/>
      <c r="AH59" s="144"/>
      <c r="AI59" s="144"/>
      <c r="AJ59" s="144"/>
      <c r="AK59" s="143"/>
    </row>
    <row r="60" spans="2:37" ht="15.75" hidden="1" outlineLevel="1" x14ac:dyDescent="0.25">
      <c r="B60" s="138"/>
      <c r="C60" s="22"/>
      <c r="D60" s="31"/>
      <c r="E60" s="22"/>
      <c r="F60" s="22"/>
      <c r="G60" s="31"/>
      <c r="H60" s="22"/>
      <c r="I60" s="32" t="str">
        <f t="shared" si="30"/>
        <v/>
      </c>
      <c r="J60" s="32">
        <f t="shared" si="29"/>
        <v>0</v>
      </c>
      <c r="K60" s="139"/>
      <c r="L60" s="22" t="str">
        <f t="shared" si="32"/>
        <v/>
      </c>
      <c r="M60" s="22"/>
      <c r="N60" s="22"/>
      <c r="O60" s="22"/>
      <c r="P60" s="22"/>
      <c r="Q60" s="22"/>
      <c r="R60" s="22"/>
      <c r="S60" s="22"/>
      <c r="T60" s="144"/>
      <c r="U60" s="139"/>
      <c r="V60" s="144" t="str">
        <f>IF($I60="","",IF(Notes!$B$9="Domestic",1,IF(Notes!$B$9="Commercial","")))</f>
        <v/>
      </c>
      <c r="W60" s="144"/>
      <c r="X60" s="144" t="str">
        <f>IF($I60="","",IF(Notes!$B$9="Domestic","",IF(Notes!$B$9="Commercial",1)))</f>
        <v/>
      </c>
      <c r="Y60" s="144"/>
      <c r="Z60" s="144"/>
      <c r="AA60" s="144"/>
      <c r="AB60" s="143"/>
      <c r="AC60" s="139" t="str">
        <f t="shared" si="31"/>
        <v/>
      </c>
      <c r="AD60" s="144"/>
      <c r="AE60" s="144"/>
      <c r="AF60" s="144"/>
      <c r="AG60" s="144"/>
      <c r="AH60" s="144"/>
      <c r="AI60" s="144"/>
      <c r="AJ60" s="144"/>
      <c r="AK60" s="143"/>
    </row>
    <row r="61" spans="2:37" ht="15.75" hidden="1" outlineLevel="1" x14ac:dyDescent="0.25">
      <c r="B61" s="145"/>
      <c r="C61" s="22"/>
      <c r="D61" s="22"/>
      <c r="E61" s="22"/>
      <c r="F61" s="22"/>
      <c r="G61" s="22"/>
      <c r="H61" s="22"/>
      <c r="I61" s="32" t="str">
        <f t="shared" si="30"/>
        <v/>
      </c>
      <c r="J61" s="146">
        <f t="shared" si="29"/>
        <v>0</v>
      </c>
      <c r="K61" s="147"/>
      <c r="L61" s="148" t="str">
        <f>IF($I61="","",1)</f>
        <v/>
      </c>
      <c r="M61" s="148"/>
      <c r="N61" s="148"/>
      <c r="O61" s="148"/>
      <c r="P61" s="148"/>
      <c r="Q61" s="148"/>
      <c r="R61" s="148"/>
      <c r="S61" s="148"/>
      <c r="T61" s="148"/>
      <c r="U61" s="147"/>
      <c r="V61" s="148" t="str">
        <f>IF($I61="","",IF(Notes!$B$9="Domestic",1,IF(Notes!$B$9="Commercial","")))</f>
        <v/>
      </c>
      <c r="W61" s="148"/>
      <c r="X61" s="148" t="str">
        <f>IF($I61="","",IF(Notes!$B$9="Domestic","",IF(Notes!$B$9="Commercial",1)))</f>
        <v/>
      </c>
      <c r="Y61" s="148"/>
      <c r="Z61" s="148"/>
      <c r="AA61" s="148"/>
      <c r="AB61" s="149"/>
      <c r="AC61" s="139" t="str">
        <f t="shared" si="31"/>
        <v/>
      </c>
      <c r="AD61" s="148"/>
      <c r="AE61" s="148"/>
      <c r="AF61" s="148"/>
      <c r="AG61" s="148"/>
      <c r="AH61" s="148"/>
      <c r="AI61" s="148"/>
      <c r="AJ61" s="148"/>
      <c r="AK61" s="149"/>
    </row>
    <row r="62" spans="2:37" ht="18.75" hidden="1" outlineLevel="1" x14ac:dyDescent="0.25">
      <c r="B62" s="129" t="s">
        <v>255</v>
      </c>
      <c r="C62" s="130"/>
      <c r="D62" s="241" t="s">
        <v>799</v>
      </c>
      <c r="E62" s="130"/>
      <c r="F62" s="130"/>
      <c r="G62" s="241" t="s">
        <v>798</v>
      </c>
      <c r="H62" s="130"/>
      <c r="I62" s="131">
        <f>SUM(I63:I72)</f>
        <v>0</v>
      </c>
      <c r="J62" s="132" t="s">
        <v>11</v>
      </c>
      <c r="K62" s="133">
        <f t="shared" ref="K62:R62" si="33">IFERROR(SUMPRODUCT($I63:$I72,K63:K72),0)</f>
        <v>0</v>
      </c>
      <c r="L62" s="134">
        <f t="shared" si="33"/>
        <v>0</v>
      </c>
      <c r="M62" s="134">
        <f t="shared" si="33"/>
        <v>0</v>
      </c>
      <c r="N62" s="134">
        <f t="shared" si="33"/>
        <v>0</v>
      </c>
      <c r="O62" s="134">
        <f t="shared" si="33"/>
        <v>0</v>
      </c>
      <c r="P62" s="134">
        <f t="shared" si="33"/>
        <v>0</v>
      </c>
      <c r="Q62" s="134">
        <f t="shared" si="33"/>
        <v>0</v>
      </c>
      <c r="R62" s="134">
        <f t="shared" si="33"/>
        <v>0</v>
      </c>
      <c r="S62" s="134">
        <f>IFERROR(SUMPRODUCT($I63:$I72,S63:S72),0)</f>
        <v>0</v>
      </c>
      <c r="T62" s="134">
        <f t="shared" ref="T62" si="34">IFERROR(SUMPRODUCT($I63:$I72,T63:T72),0)</f>
        <v>0</v>
      </c>
      <c r="U62" s="136">
        <f t="shared" ref="U62:AK62" si="35">IFERROR(SUMPRODUCT($I63:$I72,U63:U72),0)</f>
        <v>0</v>
      </c>
      <c r="V62" s="137">
        <f t="shared" si="35"/>
        <v>0</v>
      </c>
      <c r="W62" s="137">
        <f t="shared" si="35"/>
        <v>0</v>
      </c>
      <c r="X62" s="137">
        <f t="shared" si="35"/>
        <v>0</v>
      </c>
      <c r="Y62" s="137">
        <f t="shared" si="35"/>
        <v>0</v>
      </c>
      <c r="Z62" s="137">
        <f t="shared" si="35"/>
        <v>0</v>
      </c>
      <c r="AA62" s="137">
        <f t="shared" si="35"/>
        <v>0</v>
      </c>
      <c r="AB62" s="150">
        <f t="shared" si="35"/>
        <v>0</v>
      </c>
      <c r="AC62" s="133">
        <f t="shared" si="35"/>
        <v>0</v>
      </c>
      <c r="AD62" s="134">
        <f t="shared" si="35"/>
        <v>0</v>
      </c>
      <c r="AE62" s="134">
        <f t="shared" si="35"/>
        <v>0</v>
      </c>
      <c r="AF62" s="134">
        <f t="shared" si="35"/>
        <v>0</v>
      </c>
      <c r="AG62" s="134">
        <f t="shared" si="35"/>
        <v>0</v>
      </c>
      <c r="AH62" s="134">
        <f t="shared" si="35"/>
        <v>0</v>
      </c>
      <c r="AI62" s="134">
        <f t="shared" si="35"/>
        <v>0</v>
      </c>
      <c r="AJ62" s="134">
        <f t="shared" si="35"/>
        <v>0</v>
      </c>
      <c r="AK62" s="135">
        <f t="shared" si="35"/>
        <v>0</v>
      </c>
    </row>
    <row r="63" spans="2:37" ht="15.75" hidden="1" outlineLevel="1" x14ac:dyDescent="0.25">
      <c r="B63" s="138"/>
      <c r="C63" s="22"/>
      <c r="D63" s="31"/>
      <c r="E63" s="22"/>
      <c r="F63" s="22"/>
      <c r="G63" s="31"/>
      <c r="H63" s="22"/>
      <c r="I63" s="32" t="str">
        <f>IF(SUM(C63:H63)=0,"",IF(G63=0,1,G63))</f>
        <v/>
      </c>
      <c r="J63" s="32">
        <f>IF(COUNTA(C63:H63)=0,0,IF(I63="","",IF(F63-SUM(C63+D63+E63+G63+H63)=F63,"Lm",IF(COUNTA(C63:H63)&gt;4,"ERROR",IF(H63&gt;0,"m3",IF(COUNTA(G63,F63)=2,"m3",IF(COUNTA(C63:F63)=4,"m3",IF(COUNTA(D63:F63)=3,"m3",IF(G63&gt;0,"m2",IF(COUNTA(D63,E63)=2,"m2",IF(COUNTA(C63:F63)=3,"m2",IF(COUNTA(D63:F63)=2,"m2",IF(COUNTA(C63:F63)=2,"Lm",IF(D63&gt;0,"Lm",IF(E63&gt;0,"Lm",IF(C63&gt;0,"No.",))))))))))))))))</f>
        <v>0</v>
      </c>
      <c r="K63" s="139" t="str">
        <f>IF($I63="","",1)</f>
        <v/>
      </c>
      <c r="L63" s="140"/>
      <c r="M63" s="140"/>
      <c r="N63" s="140"/>
      <c r="O63" s="140"/>
      <c r="P63" s="140"/>
      <c r="Q63" s="140"/>
      <c r="R63" s="140"/>
      <c r="S63" s="140"/>
      <c r="T63" s="140"/>
      <c r="U63" s="142" t="str">
        <f>IF($I63="","",IF(Notes!$B$9="Domestic",1,IF(Notes!$B$9="Commercial","")))</f>
        <v/>
      </c>
      <c r="V63" s="140"/>
      <c r="W63" s="140" t="str">
        <f>IF($I63="","",IF(Notes!$B$9="Domestic","",IF(Notes!$B$9="Commercial",1)))</f>
        <v/>
      </c>
      <c r="X63" s="140"/>
      <c r="Y63" s="140"/>
      <c r="Z63" s="140"/>
      <c r="AA63" s="140"/>
      <c r="AB63" s="141"/>
      <c r="AC63" s="142"/>
      <c r="AD63" s="140"/>
      <c r="AE63" s="140"/>
      <c r="AF63" s="140"/>
      <c r="AG63" s="140"/>
      <c r="AH63" s="140"/>
      <c r="AI63" s="140"/>
      <c r="AJ63" s="140"/>
      <c r="AK63" s="141"/>
    </row>
    <row r="64" spans="2:37" ht="15.75" hidden="1" outlineLevel="1" x14ac:dyDescent="0.25">
      <c r="B64" s="138"/>
      <c r="C64" s="22"/>
      <c r="D64" s="31"/>
      <c r="E64" s="22"/>
      <c r="F64" s="22"/>
      <c r="G64" s="31"/>
      <c r="H64" s="22"/>
      <c r="I64" s="32" t="str">
        <f t="shared" ref="I64:I72" si="36">IF(SUM(C64:H64)=0,"",IF(G64=0,1,G64))</f>
        <v/>
      </c>
      <c r="J64" s="32">
        <f t="shared" ref="J64:J68" si="37">IF(COUNTA(C64:H64)=0,0,IF(I64="","",IF(F64-SUM(C64+D64+E64+G64+H64)=F64,"Lm",IF(COUNTA(C64:H64)&gt;4,"ERROR",IF(H64&gt;0,"m3",IF(COUNTA(G64,F64)=2,"m3",IF(COUNTA(C64:F64)=4,"m3",IF(COUNTA(D64:F64)=3,"m3",IF(G64&gt;0,"m2",IF(COUNTA(D64,E64)=2,"m2",IF(COUNTA(C64:F64)=3,"m2",IF(COUNTA(D64:F64)=2,"m2",IF(COUNTA(C64:F64)=2,"Lm",IF(D64&gt;0,"Lm",IF(E64&gt;0,"Lm",IF(C64&gt;0,"No.",))))))))))))))))</f>
        <v>0</v>
      </c>
      <c r="K64" s="139" t="str">
        <f>IF($I64="","",1)</f>
        <v/>
      </c>
      <c r="L64" s="22"/>
      <c r="M64" s="22"/>
      <c r="N64" s="22"/>
      <c r="O64" s="22"/>
      <c r="P64" s="22"/>
      <c r="Q64" s="22"/>
      <c r="R64" s="22"/>
      <c r="S64" s="22"/>
      <c r="T64" s="144"/>
      <c r="U64" s="139" t="str">
        <f>IF($I64="","",IF(Notes!$B$9="Domestic",1,IF(Notes!$B$9="Commercial","")))</f>
        <v/>
      </c>
      <c r="V64" s="144"/>
      <c r="W64" s="144" t="str">
        <f>IF($I64="","",IF(Notes!$B$9="Domestic","",IF(Notes!$B$9="Commercial",1)))</f>
        <v/>
      </c>
      <c r="X64" s="144"/>
      <c r="Y64" s="144"/>
      <c r="Z64" s="144"/>
      <c r="AA64" s="144"/>
      <c r="AB64" s="143"/>
      <c r="AC64" s="139"/>
      <c r="AD64" s="144"/>
      <c r="AE64" s="144"/>
      <c r="AF64" s="144"/>
      <c r="AG64" s="144"/>
      <c r="AH64" s="144"/>
      <c r="AI64" s="144"/>
      <c r="AJ64" s="144"/>
      <c r="AK64" s="143"/>
    </row>
    <row r="65" spans="2:37" ht="15.75" hidden="1" outlineLevel="1" x14ac:dyDescent="0.25">
      <c r="B65" s="138"/>
      <c r="C65" s="22"/>
      <c r="D65" s="31"/>
      <c r="E65" s="22"/>
      <c r="F65" s="22"/>
      <c r="G65" s="31"/>
      <c r="H65" s="22"/>
      <c r="I65" s="32" t="str">
        <f t="shared" si="36"/>
        <v/>
      </c>
      <c r="J65" s="32">
        <f t="shared" si="37"/>
        <v>0</v>
      </c>
      <c r="K65" s="139" t="str">
        <f t="shared" ref="K65:K71" si="38">IF($I65="","",1)</f>
        <v/>
      </c>
      <c r="L65" s="22"/>
      <c r="M65" s="22"/>
      <c r="N65" s="22"/>
      <c r="O65" s="22"/>
      <c r="P65" s="22"/>
      <c r="Q65" s="22"/>
      <c r="R65" s="22"/>
      <c r="S65" s="22"/>
      <c r="T65" s="144"/>
      <c r="U65" s="139" t="str">
        <f>IF($I65="","",IF(Notes!$B$9="Domestic",1,IF(Notes!$B$9="Commercial","")))</f>
        <v/>
      </c>
      <c r="V65" s="144"/>
      <c r="W65" s="144" t="str">
        <f>IF($I65="","",IF(Notes!$B$9="Domestic","",IF(Notes!$B$9="Commercial",1)))</f>
        <v/>
      </c>
      <c r="X65" s="144"/>
      <c r="Y65" s="144"/>
      <c r="Z65" s="144"/>
      <c r="AA65" s="144"/>
      <c r="AB65" s="143"/>
      <c r="AC65" s="139"/>
      <c r="AD65" s="144"/>
      <c r="AE65" s="144"/>
      <c r="AF65" s="144"/>
      <c r="AG65" s="144"/>
      <c r="AH65" s="144"/>
      <c r="AI65" s="144"/>
      <c r="AJ65" s="144"/>
      <c r="AK65" s="143"/>
    </row>
    <row r="66" spans="2:37" ht="15.75" hidden="1" outlineLevel="1" x14ac:dyDescent="0.25">
      <c r="B66" s="138"/>
      <c r="C66" s="22"/>
      <c r="D66" s="31"/>
      <c r="E66" s="22"/>
      <c r="F66" s="22"/>
      <c r="G66" s="31"/>
      <c r="H66" s="22"/>
      <c r="I66" s="32" t="str">
        <f t="shared" si="36"/>
        <v/>
      </c>
      <c r="J66" s="32">
        <f t="shared" si="37"/>
        <v>0</v>
      </c>
      <c r="K66" s="139" t="str">
        <f t="shared" si="38"/>
        <v/>
      </c>
      <c r="L66" s="22"/>
      <c r="M66" s="22"/>
      <c r="N66" s="22"/>
      <c r="O66" s="22"/>
      <c r="P66" s="22"/>
      <c r="Q66" s="22"/>
      <c r="R66" s="22"/>
      <c r="S66" s="22"/>
      <c r="T66" s="144"/>
      <c r="U66" s="139" t="str">
        <f>IF($I66="","",IF(Notes!$B$9="Domestic",1,IF(Notes!$B$9="Commercial","")))</f>
        <v/>
      </c>
      <c r="V66" s="144"/>
      <c r="W66" s="144" t="str">
        <f>IF($I66="","",IF(Notes!$B$9="Domestic","",IF(Notes!$B$9="Commercial",1)))</f>
        <v/>
      </c>
      <c r="X66" s="144"/>
      <c r="Y66" s="144"/>
      <c r="Z66" s="144"/>
      <c r="AA66" s="144"/>
      <c r="AB66" s="143"/>
      <c r="AC66" s="139"/>
      <c r="AD66" s="144"/>
      <c r="AE66" s="144"/>
      <c r="AF66" s="144"/>
      <c r="AG66" s="144"/>
      <c r="AH66" s="144"/>
      <c r="AI66" s="144"/>
      <c r="AJ66" s="144"/>
      <c r="AK66" s="143"/>
    </row>
    <row r="67" spans="2:37" ht="15.75" hidden="1" outlineLevel="1" x14ac:dyDescent="0.25">
      <c r="B67" s="138"/>
      <c r="C67" s="22"/>
      <c r="D67" s="31"/>
      <c r="E67" s="22"/>
      <c r="F67" s="22"/>
      <c r="G67" s="31"/>
      <c r="H67" s="22"/>
      <c r="I67" s="32" t="str">
        <f t="shared" si="36"/>
        <v/>
      </c>
      <c r="J67" s="32">
        <f t="shared" si="37"/>
        <v>0</v>
      </c>
      <c r="K67" s="139" t="str">
        <f t="shared" si="38"/>
        <v/>
      </c>
      <c r="L67" s="22"/>
      <c r="M67" s="22"/>
      <c r="N67" s="22"/>
      <c r="O67" s="22"/>
      <c r="P67" s="22"/>
      <c r="Q67" s="22"/>
      <c r="R67" s="22"/>
      <c r="S67" s="22"/>
      <c r="T67" s="144"/>
      <c r="U67" s="139" t="str">
        <f>IF($I67="","",IF(Notes!$B$9="Domestic",1,IF(Notes!$B$9="Commercial","")))</f>
        <v/>
      </c>
      <c r="V67" s="144"/>
      <c r="W67" s="144" t="str">
        <f>IF($I67="","",IF(Notes!$B$9="Domestic","",IF(Notes!$B$9="Commercial",1)))</f>
        <v/>
      </c>
      <c r="X67" s="144"/>
      <c r="Y67" s="144"/>
      <c r="Z67" s="144"/>
      <c r="AA67" s="144"/>
      <c r="AB67" s="143"/>
      <c r="AC67" s="139"/>
      <c r="AD67" s="144"/>
      <c r="AE67" s="144"/>
      <c r="AF67" s="144"/>
      <c r="AG67" s="144"/>
      <c r="AH67" s="144"/>
      <c r="AI67" s="144"/>
      <c r="AJ67" s="144"/>
      <c r="AK67" s="143"/>
    </row>
    <row r="68" spans="2:37" ht="15.75" hidden="1" outlineLevel="1" x14ac:dyDescent="0.25">
      <c r="B68" s="138"/>
      <c r="C68" s="22"/>
      <c r="D68" s="31"/>
      <c r="E68" s="22"/>
      <c r="F68" s="22"/>
      <c r="G68" s="31"/>
      <c r="H68" s="22"/>
      <c r="I68" s="32" t="str">
        <f t="shared" si="36"/>
        <v/>
      </c>
      <c r="J68" s="32">
        <f t="shared" si="37"/>
        <v>0</v>
      </c>
      <c r="K68" s="139" t="str">
        <f t="shared" si="38"/>
        <v/>
      </c>
      <c r="L68" s="22"/>
      <c r="M68" s="22"/>
      <c r="N68" s="22"/>
      <c r="O68" s="22"/>
      <c r="P68" s="22"/>
      <c r="Q68" s="22"/>
      <c r="R68" s="22"/>
      <c r="S68" s="22"/>
      <c r="T68" s="144"/>
      <c r="U68" s="139" t="str">
        <f>IF($I68="","",IF(Notes!$B$9="Domestic",1,IF(Notes!$B$9="Commercial","")))</f>
        <v/>
      </c>
      <c r="V68" s="144"/>
      <c r="W68" s="144" t="str">
        <f>IF($I68="","",IF(Notes!$B$9="Domestic","",IF(Notes!$B$9="Commercial",1)))</f>
        <v/>
      </c>
      <c r="X68" s="144"/>
      <c r="Y68" s="144"/>
      <c r="Z68" s="144"/>
      <c r="AA68" s="144"/>
      <c r="AB68" s="143"/>
      <c r="AC68" s="139"/>
      <c r="AD68" s="144"/>
      <c r="AE68" s="144"/>
      <c r="AF68" s="144"/>
      <c r="AG68" s="144"/>
      <c r="AH68" s="144"/>
      <c r="AI68" s="144"/>
      <c r="AJ68" s="144"/>
      <c r="AK68" s="143"/>
    </row>
    <row r="69" spans="2:37" ht="15.75" hidden="1" outlineLevel="1" x14ac:dyDescent="0.25">
      <c r="B69" s="138"/>
      <c r="C69" s="22"/>
      <c r="D69" s="31"/>
      <c r="E69" s="22"/>
      <c r="F69" s="22"/>
      <c r="G69" s="31"/>
      <c r="H69" s="22"/>
      <c r="I69" s="32" t="str">
        <f t="shared" si="36"/>
        <v/>
      </c>
      <c r="J69" s="32">
        <f>IF(COUNTA(C69:H69)=0,0,IF(I69="","",IF(F69-SUM(C69+D69+E69+G69+H69)=F69,"Lm",IF(COUNTA(C69:H69)&gt;4,"ERROR",IF(H69&gt;0,"m3",IF(COUNTA(G69,F69)=2,"m3",IF(COUNTA(C69:F69)=4,"m3",IF(COUNTA(D69:F69)=3,"m3",IF(G69&gt;0,"m2",IF(COUNTA(D69,E69)=2,"m2",IF(COUNTA(C69:F69)=3,"m2",IF(COUNTA(D69:F69)=2,"m2",IF(COUNTA(C69:F69)=2,"Lm",IF(D69&gt;0,"Lm",IF(E69&gt;0,"Lm",IF(C69&gt;0,"No.",))))))))))))))))</f>
        <v>0</v>
      </c>
      <c r="K69" s="139" t="str">
        <f t="shared" si="38"/>
        <v/>
      </c>
      <c r="L69" s="22"/>
      <c r="M69" s="22"/>
      <c r="N69" s="22"/>
      <c r="O69" s="22"/>
      <c r="P69" s="22"/>
      <c r="Q69" s="22"/>
      <c r="R69" s="22"/>
      <c r="S69" s="22"/>
      <c r="T69" s="144"/>
      <c r="U69" s="139" t="str">
        <f>IF($I69="","",IF(Notes!$B$9="Domestic",1,IF(Notes!$B$9="Commercial","")))</f>
        <v/>
      </c>
      <c r="V69" s="144"/>
      <c r="W69" s="144" t="str">
        <f>IF($I69="","",IF(Notes!$B$9="Domestic","",IF(Notes!$B$9="Commercial",1)))</f>
        <v/>
      </c>
      <c r="X69" s="144"/>
      <c r="Y69" s="144"/>
      <c r="Z69" s="144"/>
      <c r="AA69" s="144"/>
      <c r="AB69" s="143"/>
      <c r="AC69" s="139"/>
      <c r="AD69" s="144"/>
      <c r="AE69" s="144"/>
      <c r="AF69" s="144"/>
      <c r="AG69" s="144"/>
      <c r="AH69" s="144"/>
      <c r="AI69" s="144"/>
      <c r="AJ69" s="144"/>
      <c r="AK69" s="143"/>
    </row>
    <row r="70" spans="2:37" ht="15.75" hidden="1" outlineLevel="1" x14ac:dyDescent="0.25">
      <c r="B70" s="138"/>
      <c r="C70" s="22"/>
      <c r="D70" s="31"/>
      <c r="E70" s="22"/>
      <c r="F70" s="22"/>
      <c r="G70" s="31"/>
      <c r="H70" s="22"/>
      <c r="I70" s="32" t="str">
        <f t="shared" si="36"/>
        <v/>
      </c>
      <c r="J70" s="32">
        <f>IF(COUNTA(C70:H70)=0,0,IF(I70="","",IF(F70-SUM(C70+D70+E70+G70+H70)=F70,"Lm",IF(COUNTA(C70:H70)&gt;4,"ERROR",IF(H70&gt;0,"m3",IF(COUNTA(G70,F70)=2,"m3",IF(COUNTA(C70:F70)=4,"m3",IF(COUNTA(D70:F70)=3,"m3",IF(G70&gt;0,"m2",IF(COUNTA(D70,E70)=2,"m2",IF(COUNTA(C70:F70)=3,"m2",IF(COUNTA(D70:F70)=2,"m2",IF(COUNTA(C70:F70)=2,"Lm",IF(D70&gt;0,"Lm",IF(E70&gt;0,"Lm",IF(C70&gt;0,"No.",))))))))))))))))</f>
        <v>0</v>
      </c>
      <c r="K70" s="139" t="str">
        <f t="shared" si="38"/>
        <v/>
      </c>
      <c r="L70" s="22"/>
      <c r="M70" s="22"/>
      <c r="N70" s="22"/>
      <c r="O70" s="22"/>
      <c r="P70" s="22"/>
      <c r="Q70" s="22"/>
      <c r="R70" s="22"/>
      <c r="S70" s="22"/>
      <c r="T70" s="144"/>
      <c r="U70" s="139" t="str">
        <f>IF($I70="","",IF(Notes!$B$9="Domestic",1,IF(Notes!$B$9="Commercial","")))</f>
        <v/>
      </c>
      <c r="V70" s="144"/>
      <c r="W70" s="144" t="str">
        <f>IF($I70="","",IF(Notes!$B$9="Domestic","",IF(Notes!$B$9="Commercial",1)))</f>
        <v/>
      </c>
      <c r="X70" s="144"/>
      <c r="Y70" s="144"/>
      <c r="Z70" s="144"/>
      <c r="AA70" s="144"/>
      <c r="AB70" s="143"/>
      <c r="AC70" s="139"/>
      <c r="AD70" s="144"/>
      <c r="AE70" s="144"/>
      <c r="AF70" s="144"/>
      <c r="AG70" s="144"/>
      <c r="AH70" s="144"/>
      <c r="AI70" s="144"/>
      <c r="AJ70" s="144"/>
      <c r="AK70" s="143"/>
    </row>
    <row r="71" spans="2:37" ht="15.75" hidden="1" outlineLevel="1" x14ac:dyDescent="0.25">
      <c r="B71" s="138"/>
      <c r="C71" s="22"/>
      <c r="D71" s="31"/>
      <c r="E71" s="22"/>
      <c r="F71" s="22"/>
      <c r="G71" s="31"/>
      <c r="H71" s="22"/>
      <c r="I71" s="32" t="str">
        <f t="shared" si="36"/>
        <v/>
      </c>
      <c r="J71" s="32">
        <f>IF(COUNTA(C71:H71)=0,0,IF(I71="","",IF(F71-SUM(C71+D71+E71+G71+H71)=F71,"Lm",IF(COUNTA(C71:H71)&gt;4,"ERROR",IF(H71&gt;0,"m3",IF(COUNTA(G71,F71)=2,"m3",IF(COUNTA(C71:F71)=4,"m3",IF(COUNTA(D71:F71)=3,"m3",IF(G71&gt;0,"m2",IF(COUNTA(D71,E71)=2,"m2",IF(COUNTA(C71:F71)=3,"m2",IF(COUNTA(D71:F71)=2,"m2",IF(COUNTA(C71:F71)=2,"Lm",IF(D71&gt;0,"Lm",IF(E71&gt;0,"Lm",IF(C71&gt;0,"No.",))))))))))))))))</f>
        <v>0</v>
      </c>
      <c r="K71" s="139" t="str">
        <f t="shared" si="38"/>
        <v/>
      </c>
      <c r="L71" s="22"/>
      <c r="M71" s="22"/>
      <c r="N71" s="22"/>
      <c r="O71" s="22"/>
      <c r="P71" s="22"/>
      <c r="Q71" s="22"/>
      <c r="R71" s="22"/>
      <c r="S71" s="22"/>
      <c r="T71" s="144"/>
      <c r="U71" s="139" t="str">
        <f>IF($I71="","",IF(Notes!$B$9="Domestic",1,IF(Notes!$B$9="Commercial","")))</f>
        <v/>
      </c>
      <c r="V71" s="144"/>
      <c r="W71" s="144" t="str">
        <f>IF($I71="","",IF(Notes!$B$9="Domestic","",IF(Notes!$B$9="Commercial",1)))</f>
        <v/>
      </c>
      <c r="X71" s="144"/>
      <c r="Y71" s="144"/>
      <c r="Z71" s="144"/>
      <c r="AA71" s="144"/>
      <c r="AB71" s="143"/>
      <c r="AC71" s="139"/>
      <c r="AD71" s="144"/>
      <c r="AE71" s="144"/>
      <c r="AF71" s="144"/>
      <c r="AG71" s="144"/>
      <c r="AH71" s="144"/>
      <c r="AI71" s="144"/>
      <c r="AJ71" s="144"/>
      <c r="AK71" s="143"/>
    </row>
    <row r="72" spans="2:37" ht="15.75" hidden="1" outlineLevel="1" x14ac:dyDescent="0.25">
      <c r="B72" s="145"/>
      <c r="C72" s="22"/>
      <c r="D72" s="22"/>
      <c r="E72" s="22"/>
      <c r="F72" s="22"/>
      <c r="G72" s="22"/>
      <c r="H72" s="22"/>
      <c r="I72" s="32" t="str">
        <f t="shared" si="36"/>
        <v/>
      </c>
      <c r="J72" s="146">
        <f>IF(COUNTA(C72:H72)=0,0,IF(I72="","",IF(F72-SUM(C72+D72+E72+G72+H72)=F72,"Lm",IF(COUNTA(C72:H72)&gt;4,"ERROR",IF(H72&gt;0,"m3",IF(COUNTA(G72,F72)=2,"m3",IF(COUNTA(C72:F72)=4,"m3",IF(COUNTA(D72:F72)=3,"m3",IF(G72&gt;0,"m2",IF(COUNTA(D72,E72)=2,"m2",IF(COUNTA(C72:F72)=3,"m2",IF(COUNTA(D72:F72)=2,"m2",IF(COUNTA(C72:F72)=2,"Lm",IF(D72&gt;0,"Lm",IF(E72&gt;0,"Lm",IF(C72&gt;0,"No.",))))))))))))))))</f>
        <v>0</v>
      </c>
      <c r="K72" s="147" t="str">
        <f>IF($I72="","",1)</f>
        <v/>
      </c>
      <c r="L72" s="148"/>
      <c r="M72" s="148"/>
      <c r="N72" s="148"/>
      <c r="O72" s="148"/>
      <c r="P72" s="148"/>
      <c r="Q72" s="148"/>
      <c r="R72" s="148"/>
      <c r="S72" s="148"/>
      <c r="T72" s="148"/>
      <c r="U72" s="147" t="str">
        <f>IF($I72="","",IF(Notes!$B$9="Domestic",1,IF(Notes!$B$9="Commercial","")))</f>
        <v/>
      </c>
      <c r="V72" s="148"/>
      <c r="W72" s="148" t="str">
        <f>IF($I72="","",IF(Notes!$B$9="Domestic","",IF(Notes!$B$9="Commercial",1)))</f>
        <v/>
      </c>
      <c r="X72" s="148"/>
      <c r="Y72" s="148"/>
      <c r="Z72" s="148"/>
      <c r="AA72" s="148"/>
      <c r="AB72" s="149"/>
      <c r="AC72" s="147"/>
      <c r="AD72" s="148"/>
      <c r="AE72" s="148"/>
      <c r="AF72" s="148"/>
      <c r="AG72" s="148"/>
      <c r="AH72" s="148"/>
      <c r="AI72" s="148"/>
      <c r="AJ72" s="148"/>
      <c r="AK72" s="149"/>
    </row>
    <row r="73" spans="2:37" ht="18.75" hidden="1" outlineLevel="1" x14ac:dyDescent="0.25">
      <c r="B73" s="129" t="s">
        <v>256</v>
      </c>
      <c r="C73" s="130"/>
      <c r="D73" s="241" t="s">
        <v>799</v>
      </c>
      <c r="E73" s="130"/>
      <c r="F73" s="130"/>
      <c r="G73" s="241" t="s">
        <v>798</v>
      </c>
      <c r="H73" s="130"/>
      <c r="I73" s="131">
        <f>SUM(I74:I83)</f>
        <v>0</v>
      </c>
      <c r="J73" s="132" t="s">
        <v>11</v>
      </c>
      <c r="K73" s="133">
        <f t="shared" ref="K73:R73" si="39">IFERROR(SUMPRODUCT($I74:$I83,K74:K83),0)</f>
        <v>0</v>
      </c>
      <c r="L73" s="134">
        <f t="shared" si="39"/>
        <v>0</v>
      </c>
      <c r="M73" s="134">
        <f t="shared" si="39"/>
        <v>0</v>
      </c>
      <c r="N73" s="134">
        <f t="shared" si="39"/>
        <v>0</v>
      </c>
      <c r="O73" s="134">
        <f t="shared" si="39"/>
        <v>0</v>
      </c>
      <c r="P73" s="134">
        <f t="shared" si="39"/>
        <v>0</v>
      </c>
      <c r="Q73" s="134">
        <f t="shared" si="39"/>
        <v>0</v>
      </c>
      <c r="R73" s="134">
        <f t="shared" si="39"/>
        <v>0</v>
      </c>
      <c r="S73" s="134">
        <f>IFERROR(SUMPRODUCT($I74:$I83,S74:S83),0)</f>
        <v>0</v>
      </c>
      <c r="T73" s="134">
        <f t="shared" ref="T73" si="40">IFERROR(SUMPRODUCT($I74:$I83,T74:T83),0)</f>
        <v>0</v>
      </c>
      <c r="U73" s="136">
        <f t="shared" ref="U73:AK73" si="41">IFERROR(SUMPRODUCT($I74:$I83,U74:U83),0)</f>
        <v>0</v>
      </c>
      <c r="V73" s="137">
        <f t="shared" si="41"/>
        <v>0</v>
      </c>
      <c r="W73" s="137">
        <f t="shared" si="41"/>
        <v>0</v>
      </c>
      <c r="X73" s="137">
        <f t="shared" si="41"/>
        <v>0</v>
      </c>
      <c r="Y73" s="137">
        <f t="shared" si="41"/>
        <v>0</v>
      </c>
      <c r="Z73" s="137">
        <f t="shared" si="41"/>
        <v>0</v>
      </c>
      <c r="AA73" s="137">
        <f t="shared" si="41"/>
        <v>0</v>
      </c>
      <c r="AB73" s="150">
        <f t="shared" si="41"/>
        <v>0</v>
      </c>
      <c r="AC73" s="133">
        <f t="shared" si="41"/>
        <v>0</v>
      </c>
      <c r="AD73" s="134">
        <f t="shared" si="41"/>
        <v>0</v>
      </c>
      <c r="AE73" s="134">
        <f t="shared" si="41"/>
        <v>0</v>
      </c>
      <c r="AF73" s="134">
        <f t="shared" si="41"/>
        <v>0</v>
      </c>
      <c r="AG73" s="134">
        <f t="shared" si="41"/>
        <v>0</v>
      </c>
      <c r="AH73" s="134">
        <f t="shared" si="41"/>
        <v>0</v>
      </c>
      <c r="AI73" s="134">
        <f t="shared" si="41"/>
        <v>0</v>
      </c>
      <c r="AJ73" s="134">
        <f t="shared" si="41"/>
        <v>0</v>
      </c>
      <c r="AK73" s="135">
        <f t="shared" si="41"/>
        <v>0</v>
      </c>
    </row>
    <row r="74" spans="2:37" ht="15.75" hidden="1" outlineLevel="1" x14ac:dyDescent="0.25">
      <c r="B74" s="138"/>
      <c r="C74" s="22"/>
      <c r="D74" s="31"/>
      <c r="E74" s="22"/>
      <c r="F74" s="22"/>
      <c r="G74" s="31"/>
      <c r="H74" s="22"/>
      <c r="I74" s="32" t="str">
        <f>IF(SUM(C74:H74)=0,"",IF(G74=0,1,G74))</f>
        <v/>
      </c>
      <c r="J74" s="32">
        <f>IF(COUNTA(C74:H74)=0,0,IF(I74="","",IF(F74-SUM(C74+D74+E74+G74+H74)=F74,"Lm",IF(COUNTA(C74:H74)&gt;4,"ERROR",IF(H74&gt;0,"m3",IF(COUNTA(G74,F74)=2,"m3",IF(COUNTA(C74:F74)=4,"m3",IF(COUNTA(D74:F74)=3,"m3",IF(G74&gt;0,"m2",IF(COUNTA(D74,E74)=2,"m2",IF(COUNTA(C74:F74)=3,"m2",IF(COUNTA(D74:F74)=2,"m2",IF(COUNTA(C74:F74)=2,"Lm",IF(D74&gt;0,"Lm",IF(E74&gt;0,"Lm",IF(C74&gt;0,"No.",))))))))))))))))</f>
        <v>0</v>
      </c>
      <c r="K74" s="139"/>
      <c r="L74" s="140" t="str">
        <f>IF($I74="","",1)</f>
        <v/>
      </c>
      <c r="M74" s="140"/>
      <c r="N74" s="140"/>
      <c r="O74" s="140"/>
      <c r="P74" s="140"/>
      <c r="Q74" s="140"/>
      <c r="R74" s="140"/>
      <c r="S74" s="140"/>
      <c r="T74" s="140"/>
      <c r="U74" s="142" t="str">
        <f>IF($I74="","",IF(Notes!$B$9="Domestic",1,IF(Notes!$B$9="Commercial","")))</f>
        <v/>
      </c>
      <c r="V74" s="140"/>
      <c r="W74" s="140" t="str">
        <f>IF($I74="","",IF(Notes!$B$9="Domestic","",IF(Notes!$B$9="Commercial",1)))</f>
        <v/>
      </c>
      <c r="X74" s="140"/>
      <c r="Y74" s="140"/>
      <c r="Z74" s="140"/>
      <c r="AA74" s="140"/>
      <c r="AB74" s="141"/>
      <c r="AC74" s="142"/>
      <c r="AD74" s="140"/>
      <c r="AE74" s="140"/>
      <c r="AF74" s="140"/>
      <c r="AG74" s="140"/>
      <c r="AH74" s="140"/>
      <c r="AI74" s="140"/>
      <c r="AJ74" s="140"/>
      <c r="AK74" s="141"/>
    </row>
    <row r="75" spans="2:37" ht="15.75" hidden="1" outlineLevel="1" x14ac:dyDescent="0.25">
      <c r="B75" s="138"/>
      <c r="C75" s="22"/>
      <c r="D75" s="31"/>
      <c r="E75" s="22"/>
      <c r="F75" s="22"/>
      <c r="G75" s="31"/>
      <c r="H75" s="22"/>
      <c r="I75" s="32" t="str">
        <f t="shared" ref="I75:I83" si="42">IF(SUM(C75:H75)=0,"",IF(G75=0,1,G75))</f>
        <v/>
      </c>
      <c r="J75" s="32">
        <f t="shared" ref="J75:J79" si="43">IF(COUNTA(C75:H75)=0,0,IF(I75="","",IF(F75-SUM(C75+D75+E75+G75+H75)=F75,"Lm",IF(COUNTA(C75:H75)&gt;4,"ERROR",IF(H75&gt;0,"m3",IF(COUNTA(G75,F75)=2,"m3",IF(COUNTA(C75:F75)=4,"m3",IF(COUNTA(D75:F75)=3,"m3",IF(G75&gt;0,"m2",IF(COUNTA(D75,E75)=2,"m2",IF(COUNTA(C75:F75)=3,"m2",IF(COUNTA(D75:F75)=2,"m2",IF(COUNTA(C75:F75)=2,"Lm",IF(D75&gt;0,"Lm",IF(E75&gt;0,"Lm",IF(C75&gt;0,"No.",))))))))))))))))</f>
        <v>0</v>
      </c>
      <c r="K75" s="139"/>
      <c r="L75" s="22" t="str">
        <f>IF($I75="","",1)</f>
        <v/>
      </c>
      <c r="M75" s="22"/>
      <c r="N75" s="22"/>
      <c r="O75" s="22"/>
      <c r="P75" s="22"/>
      <c r="Q75" s="22"/>
      <c r="R75" s="22"/>
      <c r="S75" s="22"/>
      <c r="T75" s="144"/>
      <c r="U75" s="139" t="str">
        <f>IF($I75="","",IF(Notes!$B$9="Domestic",1,IF(Notes!$B$9="Commercial","")))</f>
        <v/>
      </c>
      <c r="V75" s="144"/>
      <c r="W75" s="144" t="str">
        <f>IF($I75="","",IF(Notes!$B$9="Domestic","",IF(Notes!$B$9="Commercial",1)))</f>
        <v/>
      </c>
      <c r="X75" s="144"/>
      <c r="Y75" s="144"/>
      <c r="Z75" s="144"/>
      <c r="AA75" s="144"/>
      <c r="AB75" s="143"/>
      <c r="AC75" s="139"/>
      <c r="AD75" s="144"/>
      <c r="AE75" s="144"/>
      <c r="AF75" s="144"/>
      <c r="AG75" s="144"/>
      <c r="AH75" s="144"/>
      <c r="AI75" s="144"/>
      <c r="AJ75" s="144"/>
      <c r="AK75" s="143"/>
    </row>
    <row r="76" spans="2:37" ht="15.75" hidden="1" outlineLevel="1" x14ac:dyDescent="0.25">
      <c r="B76" s="138"/>
      <c r="C76" s="22"/>
      <c r="D76" s="31"/>
      <c r="E76" s="22"/>
      <c r="F76" s="22"/>
      <c r="G76" s="31"/>
      <c r="H76" s="22"/>
      <c r="I76" s="32" t="str">
        <f t="shared" si="42"/>
        <v/>
      </c>
      <c r="J76" s="32">
        <f t="shared" si="43"/>
        <v>0</v>
      </c>
      <c r="K76" s="139"/>
      <c r="L76" s="22" t="str">
        <f t="shared" ref="L76:L82" si="44">IF($I76="","",1)</f>
        <v/>
      </c>
      <c r="M76" s="22"/>
      <c r="N76" s="22"/>
      <c r="O76" s="22"/>
      <c r="P76" s="22"/>
      <c r="Q76" s="22"/>
      <c r="R76" s="22"/>
      <c r="S76" s="22"/>
      <c r="T76" s="144"/>
      <c r="U76" s="139" t="str">
        <f>IF($I76="","",IF(Notes!$B$9="Domestic",1,IF(Notes!$B$9="Commercial","")))</f>
        <v/>
      </c>
      <c r="V76" s="144"/>
      <c r="W76" s="144" t="str">
        <f>IF($I76="","",IF(Notes!$B$9="Domestic","",IF(Notes!$B$9="Commercial",1)))</f>
        <v/>
      </c>
      <c r="X76" s="144"/>
      <c r="Y76" s="144"/>
      <c r="Z76" s="144"/>
      <c r="AA76" s="144"/>
      <c r="AB76" s="143"/>
      <c r="AC76" s="139"/>
      <c r="AD76" s="144"/>
      <c r="AE76" s="144"/>
      <c r="AF76" s="144"/>
      <c r="AG76" s="144"/>
      <c r="AH76" s="144"/>
      <c r="AI76" s="144"/>
      <c r="AJ76" s="144"/>
      <c r="AK76" s="143"/>
    </row>
    <row r="77" spans="2:37" ht="15.75" hidden="1" outlineLevel="1" x14ac:dyDescent="0.25">
      <c r="B77" s="138"/>
      <c r="C77" s="22"/>
      <c r="D77" s="31"/>
      <c r="E77" s="22"/>
      <c r="F77" s="22"/>
      <c r="G77" s="31"/>
      <c r="H77" s="22"/>
      <c r="I77" s="32" t="str">
        <f t="shared" si="42"/>
        <v/>
      </c>
      <c r="J77" s="32">
        <f t="shared" si="43"/>
        <v>0</v>
      </c>
      <c r="K77" s="139"/>
      <c r="L77" s="22" t="str">
        <f t="shared" si="44"/>
        <v/>
      </c>
      <c r="M77" s="22"/>
      <c r="N77" s="22"/>
      <c r="O77" s="22"/>
      <c r="P77" s="22"/>
      <c r="Q77" s="22"/>
      <c r="R77" s="22"/>
      <c r="S77" s="22"/>
      <c r="T77" s="144"/>
      <c r="U77" s="139" t="str">
        <f>IF($I77="","",IF(Notes!$B$9="Domestic",1,IF(Notes!$B$9="Commercial","")))</f>
        <v/>
      </c>
      <c r="V77" s="144"/>
      <c r="W77" s="144" t="str">
        <f>IF($I77="","",IF(Notes!$B$9="Domestic","",IF(Notes!$B$9="Commercial",1)))</f>
        <v/>
      </c>
      <c r="X77" s="144"/>
      <c r="Y77" s="144"/>
      <c r="Z77" s="144"/>
      <c r="AA77" s="144"/>
      <c r="AB77" s="143"/>
      <c r="AC77" s="139"/>
      <c r="AD77" s="144"/>
      <c r="AE77" s="144"/>
      <c r="AF77" s="144"/>
      <c r="AG77" s="144"/>
      <c r="AH77" s="144"/>
      <c r="AI77" s="144"/>
      <c r="AJ77" s="144"/>
      <c r="AK77" s="143"/>
    </row>
    <row r="78" spans="2:37" ht="15.75" hidden="1" outlineLevel="1" x14ac:dyDescent="0.25">
      <c r="B78" s="138"/>
      <c r="C78" s="22"/>
      <c r="D78" s="31"/>
      <c r="E78" s="22"/>
      <c r="F78" s="22"/>
      <c r="G78" s="31"/>
      <c r="H78" s="22"/>
      <c r="I78" s="32" t="str">
        <f t="shared" si="42"/>
        <v/>
      </c>
      <c r="J78" s="32">
        <f t="shared" si="43"/>
        <v>0</v>
      </c>
      <c r="K78" s="139"/>
      <c r="L78" s="22" t="str">
        <f t="shared" si="44"/>
        <v/>
      </c>
      <c r="M78" s="22"/>
      <c r="N78" s="22"/>
      <c r="O78" s="22"/>
      <c r="P78" s="22"/>
      <c r="Q78" s="22"/>
      <c r="R78" s="22"/>
      <c r="S78" s="22"/>
      <c r="T78" s="144"/>
      <c r="U78" s="139" t="str">
        <f>IF($I78="","",IF(Notes!$B$9="Domestic",1,IF(Notes!$B$9="Commercial","")))</f>
        <v/>
      </c>
      <c r="V78" s="144"/>
      <c r="W78" s="144" t="str">
        <f>IF($I78="","",IF(Notes!$B$9="Domestic","",IF(Notes!$B$9="Commercial",1)))</f>
        <v/>
      </c>
      <c r="X78" s="144"/>
      <c r="Y78" s="144"/>
      <c r="Z78" s="144"/>
      <c r="AA78" s="144"/>
      <c r="AB78" s="143"/>
      <c r="AC78" s="139"/>
      <c r="AD78" s="144"/>
      <c r="AE78" s="144"/>
      <c r="AF78" s="144"/>
      <c r="AG78" s="144"/>
      <c r="AH78" s="144"/>
      <c r="AI78" s="144"/>
      <c r="AJ78" s="144"/>
      <c r="AK78" s="143"/>
    </row>
    <row r="79" spans="2:37" ht="15.75" hidden="1" outlineLevel="1" x14ac:dyDescent="0.25">
      <c r="B79" s="138"/>
      <c r="C79" s="22"/>
      <c r="D79" s="31"/>
      <c r="E79" s="22"/>
      <c r="F79" s="22"/>
      <c r="G79" s="31"/>
      <c r="H79" s="22"/>
      <c r="I79" s="32" t="str">
        <f t="shared" si="42"/>
        <v/>
      </c>
      <c r="J79" s="32">
        <f t="shared" si="43"/>
        <v>0</v>
      </c>
      <c r="K79" s="139"/>
      <c r="L79" s="22" t="str">
        <f t="shared" si="44"/>
        <v/>
      </c>
      <c r="M79" s="22"/>
      <c r="N79" s="22"/>
      <c r="O79" s="22"/>
      <c r="P79" s="22"/>
      <c r="Q79" s="22"/>
      <c r="R79" s="22"/>
      <c r="S79" s="22"/>
      <c r="T79" s="144"/>
      <c r="U79" s="139" t="str">
        <f>IF($I79="","",IF(Notes!$B$9="Domestic",1,IF(Notes!$B$9="Commercial","")))</f>
        <v/>
      </c>
      <c r="V79" s="144"/>
      <c r="W79" s="144" t="str">
        <f>IF($I79="","",IF(Notes!$B$9="Domestic","",IF(Notes!$B$9="Commercial",1)))</f>
        <v/>
      </c>
      <c r="X79" s="144"/>
      <c r="Y79" s="144"/>
      <c r="Z79" s="144"/>
      <c r="AA79" s="144"/>
      <c r="AB79" s="143"/>
      <c r="AC79" s="139"/>
      <c r="AD79" s="144"/>
      <c r="AE79" s="144"/>
      <c r="AF79" s="144"/>
      <c r="AG79" s="144"/>
      <c r="AH79" s="144"/>
      <c r="AI79" s="144"/>
      <c r="AJ79" s="144"/>
      <c r="AK79" s="143"/>
    </row>
    <row r="80" spans="2:37" ht="15.75" hidden="1" outlineLevel="1" x14ac:dyDescent="0.25">
      <c r="B80" s="138"/>
      <c r="C80" s="22"/>
      <c r="D80" s="31"/>
      <c r="E80" s="22"/>
      <c r="F80" s="22"/>
      <c r="G80" s="31"/>
      <c r="H80" s="22"/>
      <c r="I80" s="32" t="str">
        <f t="shared" si="42"/>
        <v/>
      </c>
      <c r="J80" s="32">
        <f>IF(COUNTA(C80:H80)=0,0,IF(I80="","",IF(F80-SUM(C80+D80+E80+G80+H80)=F80,"Lm",IF(COUNTA(C80:H80)&gt;4,"ERROR",IF(H80&gt;0,"m3",IF(COUNTA(G80,F80)=2,"m3",IF(COUNTA(C80:F80)=4,"m3",IF(COUNTA(D80:F80)=3,"m3",IF(G80&gt;0,"m2",IF(COUNTA(D80,E80)=2,"m2",IF(COUNTA(C80:F80)=3,"m2",IF(COUNTA(D80:F80)=2,"m2",IF(COUNTA(C80:F80)=2,"Lm",IF(D80&gt;0,"Lm",IF(E80&gt;0,"Lm",IF(C80&gt;0,"No.",))))))))))))))))</f>
        <v>0</v>
      </c>
      <c r="K80" s="139"/>
      <c r="L80" s="22" t="str">
        <f t="shared" si="44"/>
        <v/>
      </c>
      <c r="M80" s="22"/>
      <c r="N80" s="22"/>
      <c r="O80" s="22"/>
      <c r="P80" s="22"/>
      <c r="Q80" s="22"/>
      <c r="R80" s="22"/>
      <c r="S80" s="22"/>
      <c r="T80" s="144"/>
      <c r="U80" s="139" t="str">
        <f>IF($I80="","",IF(Notes!$B$9="Domestic",1,IF(Notes!$B$9="Commercial","")))</f>
        <v/>
      </c>
      <c r="V80" s="144"/>
      <c r="W80" s="144" t="str">
        <f>IF($I80="","",IF(Notes!$B$9="Domestic","",IF(Notes!$B$9="Commercial",1)))</f>
        <v/>
      </c>
      <c r="X80" s="144"/>
      <c r="Y80" s="144"/>
      <c r="Z80" s="144"/>
      <c r="AA80" s="144"/>
      <c r="AB80" s="143"/>
      <c r="AC80" s="139"/>
      <c r="AD80" s="144"/>
      <c r="AE80" s="144"/>
      <c r="AF80" s="144"/>
      <c r="AG80" s="144"/>
      <c r="AH80" s="144"/>
      <c r="AI80" s="144"/>
      <c r="AJ80" s="144"/>
      <c r="AK80" s="143"/>
    </row>
    <row r="81" spans="2:37" ht="15.75" hidden="1" outlineLevel="1" x14ac:dyDescent="0.25">
      <c r="B81" s="138"/>
      <c r="C81" s="22"/>
      <c r="D81" s="31"/>
      <c r="E81" s="22"/>
      <c r="F81" s="22"/>
      <c r="G81" s="31"/>
      <c r="H81" s="22"/>
      <c r="I81" s="32" t="str">
        <f t="shared" si="42"/>
        <v/>
      </c>
      <c r="J81" s="32">
        <f>IF(COUNTA(C81:H81)=0,0,IF(I81="","",IF(F81-SUM(C81+D81+E81+G81+H81)=F81,"Lm",IF(COUNTA(C81:H81)&gt;4,"ERROR",IF(H81&gt;0,"m3",IF(COUNTA(G81,F81)=2,"m3",IF(COUNTA(C81:F81)=4,"m3",IF(COUNTA(D81:F81)=3,"m3",IF(G81&gt;0,"m2",IF(COUNTA(D81,E81)=2,"m2",IF(COUNTA(C81:F81)=3,"m2",IF(COUNTA(D81:F81)=2,"m2",IF(COUNTA(C81:F81)=2,"Lm",IF(D81&gt;0,"Lm",IF(E81&gt;0,"Lm",IF(C81&gt;0,"No.",))))))))))))))))</f>
        <v>0</v>
      </c>
      <c r="K81" s="139"/>
      <c r="L81" s="22" t="str">
        <f t="shared" si="44"/>
        <v/>
      </c>
      <c r="M81" s="22"/>
      <c r="N81" s="22"/>
      <c r="O81" s="22"/>
      <c r="P81" s="22"/>
      <c r="Q81" s="22"/>
      <c r="R81" s="22"/>
      <c r="S81" s="22"/>
      <c r="T81" s="144"/>
      <c r="U81" s="139" t="str">
        <f>IF($I81="","",IF(Notes!$B$9="Domestic",1,IF(Notes!$B$9="Commercial","")))</f>
        <v/>
      </c>
      <c r="V81" s="144"/>
      <c r="W81" s="144" t="str">
        <f>IF($I81="","",IF(Notes!$B$9="Domestic","",IF(Notes!$B$9="Commercial",1)))</f>
        <v/>
      </c>
      <c r="X81" s="144"/>
      <c r="Y81" s="144"/>
      <c r="Z81" s="144"/>
      <c r="AA81" s="144"/>
      <c r="AB81" s="143"/>
      <c r="AC81" s="139"/>
      <c r="AD81" s="144"/>
      <c r="AE81" s="144"/>
      <c r="AF81" s="144"/>
      <c r="AG81" s="144"/>
      <c r="AH81" s="144"/>
      <c r="AI81" s="144"/>
      <c r="AJ81" s="144"/>
      <c r="AK81" s="143"/>
    </row>
    <row r="82" spans="2:37" ht="15.75" hidden="1" outlineLevel="1" x14ac:dyDescent="0.25">
      <c r="B82" s="138"/>
      <c r="C82" s="22"/>
      <c r="D82" s="31"/>
      <c r="E82" s="22"/>
      <c r="F82" s="22"/>
      <c r="G82" s="31"/>
      <c r="H82" s="22"/>
      <c r="I82" s="32" t="str">
        <f t="shared" si="42"/>
        <v/>
      </c>
      <c r="J82" s="32">
        <f>IF(COUNTA(C82:H82)=0,0,IF(I82="","",IF(F82-SUM(C82+D82+E82+G82+H82)=F82,"Lm",IF(COUNTA(C82:H82)&gt;4,"ERROR",IF(H82&gt;0,"m3",IF(COUNTA(G82,F82)=2,"m3",IF(COUNTA(C82:F82)=4,"m3",IF(COUNTA(D82:F82)=3,"m3",IF(G82&gt;0,"m2",IF(COUNTA(D82,E82)=2,"m2",IF(COUNTA(C82:F82)=3,"m2",IF(COUNTA(D82:F82)=2,"m2",IF(COUNTA(C82:F82)=2,"Lm",IF(D82&gt;0,"Lm",IF(E82&gt;0,"Lm",IF(C82&gt;0,"No.",))))))))))))))))</f>
        <v>0</v>
      </c>
      <c r="K82" s="139"/>
      <c r="L82" s="22" t="str">
        <f t="shared" si="44"/>
        <v/>
      </c>
      <c r="M82" s="22"/>
      <c r="N82" s="22"/>
      <c r="O82" s="22"/>
      <c r="P82" s="22"/>
      <c r="Q82" s="22"/>
      <c r="R82" s="22"/>
      <c r="S82" s="22"/>
      <c r="T82" s="144"/>
      <c r="U82" s="139" t="str">
        <f>IF($I82="","",IF(Notes!$B$9="Domestic",1,IF(Notes!$B$9="Commercial","")))</f>
        <v/>
      </c>
      <c r="V82" s="144"/>
      <c r="W82" s="144" t="str">
        <f>IF($I82="","",IF(Notes!$B$9="Domestic","",IF(Notes!$B$9="Commercial",1)))</f>
        <v/>
      </c>
      <c r="X82" s="144"/>
      <c r="Y82" s="144"/>
      <c r="Z82" s="144"/>
      <c r="AA82" s="144"/>
      <c r="AB82" s="143"/>
      <c r="AC82" s="139"/>
      <c r="AD82" s="144"/>
      <c r="AE82" s="144"/>
      <c r="AF82" s="144"/>
      <c r="AG82" s="144"/>
      <c r="AH82" s="144"/>
      <c r="AI82" s="144"/>
      <c r="AJ82" s="144"/>
      <c r="AK82" s="143"/>
    </row>
    <row r="83" spans="2:37" ht="15.75" hidden="1" outlineLevel="1" x14ac:dyDescent="0.25">
      <c r="B83" s="145"/>
      <c r="C83" s="148"/>
      <c r="D83" s="22"/>
      <c r="E83" s="22"/>
      <c r="F83" s="22"/>
      <c r="G83" s="22"/>
      <c r="H83" s="22"/>
      <c r="I83" s="32" t="str">
        <f t="shared" si="42"/>
        <v/>
      </c>
      <c r="J83" s="146">
        <f>IF(COUNTA(C83:H83)=0,0,IF(I83="","",IF(F83-SUM(C83+D83+E83+G83+H83)=F83,"Lm",IF(COUNTA(C83:H83)&gt;4,"ERROR",IF(H83&gt;0,"m3",IF(COUNTA(G83,F83)=2,"m3",IF(COUNTA(C83:F83)=4,"m3",IF(COUNTA(D83:F83)=3,"m3",IF(G83&gt;0,"m2",IF(COUNTA(D83,E83)=2,"m2",IF(COUNTA(C83:F83)=3,"m2",IF(COUNTA(D83:F83)=2,"m2",IF(COUNTA(C83:F83)=2,"Lm",IF(D83&gt;0,"Lm",IF(E83&gt;0,"Lm",IF(C83&gt;0,"No.",))))))))))))))))</f>
        <v>0</v>
      </c>
      <c r="K83" s="147"/>
      <c r="L83" s="148" t="str">
        <f>IF($I83="","",1)</f>
        <v/>
      </c>
      <c r="M83" s="148"/>
      <c r="N83" s="148"/>
      <c r="O83" s="148"/>
      <c r="P83" s="148"/>
      <c r="Q83" s="148"/>
      <c r="R83" s="148"/>
      <c r="S83" s="148"/>
      <c r="T83" s="148"/>
      <c r="U83" s="147" t="str">
        <f>IF($I83="","",IF(Notes!$B$9="Domestic",1,IF(Notes!$B$9="Commercial","")))</f>
        <v/>
      </c>
      <c r="V83" s="148"/>
      <c r="W83" s="148" t="str">
        <f>IF($I83="","",IF(Notes!$B$9="Domestic","",IF(Notes!$B$9="Commercial",1)))</f>
        <v/>
      </c>
      <c r="X83" s="148"/>
      <c r="Y83" s="148"/>
      <c r="Z83" s="148"/>
      <c r="AA83" s="148"/>
      <c r="AB83" s="149"/>
      <c r="AC83" s="147"/>
      <c r="AD83" s="148"/>
      <c r="AE83" s="148"/>
      <c r="AF83" s="148"/>
      <c r="AG83" s="148"/>
      <c r="AH83" s="148"/>
      <c r="AI83" s="148"/>
      <c r="AJ83" s="148"/>
      <c r="AK83" s="149"/>
    </row>
    <row r="84" spans="2:37" ht="18.75" hidden="1" outlineLevel="1" x14ac:dyDescent="0.25">
      <c r="B84" s="129" t="s">
        <v>344</v>
      </c>
      <c r="C84" s="130"/>
      <c r="D84" s="241" t="s">
        <v>799</v>
      </c>
      <c r="E84" s="130"/>
      <c r="F84" s="130"/>
      <c r="G84" s="241" t="s">
        <v>798</v>
      </c>
      <c r="H84" s="130"/>
      <c r="I84" s="131">
        <f>SUM(I85:I94)</f>
        <v>0</v>
      </c>
      <c r="J84" s="132" t="s">
        <v>11</v>
      </c>
      <c r="K84" s="133">
        <f t="shared" ref="K84:R84" si="45">IFERROR(SUMPRODUCT($I85:$I94,K85:K94),0)</f>
        <v>0</v>
      </c>
      <c r="L84" s="134">
        <f t="shared" si="45"/>
        <v>0</v>
      </c>
      <c r="M84" s="134">
        <f t="shared" si="45"/>
        <v>0</v>
      </c>
      <c r="N84" s="134">
        <f t="shared" si="45"/>
        <v>0</v>
      </c>
      <c r="O84" s="134">
        <f t="shared" si="45"/>
        <v>0</v>
      </c>
      <c r="P84" s="134">
        <f t="shared" si="45"/>
        <v>0</v>
      </c>
      <c r="Q84" s="134">
        <f t="shared" si="45"/>
        <v>0</v>
      </c>
      <c r="R84" s="134">
        <f t="shared" si="45"/>
        <v>0</v>
      </c>
      <c r="S84" s="134">
        <f>IFERROR(SUMPRODUCT($I85:$I94,S85:S94),0)</f>
        <v>0</v>
      </c>
      <c r="T84" s="134">
        <f t="shared" ref="T84" si="46">IFERROR(SUMPRODUCT($I85:$I94,T85:T94),0)</f>
        <v>0</v>
      </c>
      <c r="U84" s="136">
        <f t="shared" ref="U84:AK84" si="47">IFERROR(SUMPRODUCT($I85:$I94,U85:U94),0)</f>
        <v>0</v>
      </c>
      <c r="V84" s="137">
        <f t="shared" si="47"/>
        <v>0</v>
      </c>
      <c r="W84" s="137">
        <f t="shared" si="47"/>
        <v>0</v>
      </c>
      <c r="X84" s="137">
        <f t="shared" si="47"/>
        <v>0</v>
      </c>
      <c r="Y84" s="137">
        <f t="shared" si="47"/>
        <v>0</v>
      </c>
      <c r="Z84" s="137">
        <f t="shared" si="47"/>
        <v>0</v>
      </c>
      <c r="AA84" s="137">
        <f t="shared" si="47"/>
        <v>0</v>
      </c>
      <c r="AB84" s="150">
        <f t="shared" si="47"/>
        <v>0</v>
      </c>
      <c r="AC84" s="133">
        <f t="shared" si="47"/>
        <v>0</v>
      </c>
      <c r="AD84" s="134">
        <f t="shared" si="47"/>
        <v>0</v>
      </c>
      <c r="AE84" s="134">
        <f t="shared" si="47"/>
        <v>0</v>
      </c>
      <c r="AF84" s="134">
        <f t="shared" si="47"/>
        <v>0</v>
      </c>
      <c r="AG84" s="134">
        <f t="shared" si="47"/>
        <v>0</v>
      </c>
      <c r="AH84" s="134">
        <f t="shared" si="47"/>
        <v>0</v>
      </c>
      <c r="AI84" s="134">
        <f t="shared" si="47"/>
        <v>0</v>
      </c>
      <c r="AJ84" s="134">
        <f t="shared" si="47"/>
        <v>0</v>
      </c>
      <c r="AK84" s="135">
        <f t="shared" si="47"/>
        <v>0</v>
      </c>
    </row>
    <row r="85" spans="2:37" ht="15.75" hidden="1" outlineLevel="1" x14ac:dyDescent="0.25">
      <c r="B85" s="138"/>
      <c r="C85" s="22"/>
      <c r="D85" s="31"/>
      <c r="E85" s="22"/>
      <c r="F85" s="22"/>
      <c r="G85" s="31"/>
      <c r="H85" s="22"/>
      <c r="I85" s="32" t="str">
        <f>IF(SUM(C85:H85)=0,"",IF(G85=0,1,G85))</f>
        <v/>
      </c>
      <c r="J85" s="32">
        <f>IF(COUNTA(C85:H85)=0,0,IF(I85="","",IF(F85-SUM(C85+D85+E85+G85+H85)=F85,"Lm",IF(COUNTA(C85:H85)&gt;4,"ERROR",IF(H85&gt;0,"m3",IF(COUNTA(G85,F85)=2,"m3",IF(COUNTA(C85:F85)=4,"m3",IF(COUNTA(D85:F85)=3,"m3",IF(G85&gt;0,"m2",IF(COUNTA(D85,E85)=2,"m2",IF(COUNTA(C85:F85)=3,"m2",IF(COUNTA(D85:F85)=2,"m2",IF(COUNTA(C85:F85)=2,"Lm",IF(D85&gt;0,"Lm",IF(E85&gt;0,"Lm",IF(C85&gt;0,"No.",))))))))))))))))</f>
        <v>0</v>
      </c>
      <c r="K85" s="139" t="str">
        <f t="shared" ref="K85:K94" si="48">IF($I85="","",2)</f>
        <v/>
      </c>
      <c r="L85" s="140"/>
      <c r="M85" s="140"/>
      <c r="N85" s="140"/>
      <c r="O85" s="140"/>
      <c r="P85" s="140"/>
      <c r="Q85" s="140"/>
      <c r="R85" s="140"/>
      <c r="S85" s="140"/>
      <c r="T85" s="140"/>
      <c r="U85" s="142" t="str">
        <f>IF($I85="","",IF(Notes!$B$9="Domestic",2,IF(Notes!$B$9="Commercial","")))</f>
        <v/>
      </c>
      <c r="V85" s="140"/>
      <c r="W85" s="140" t="str">
        <f>IF($I85="","",IF(Notes!$B$9="Domestic","",IF(Notes!$B$9="Commercial",2)))</f>
        <v/>
      </c>
      <c r="X85" s="140"/>
      <c r="Y85" s="140"/>
      <c r="Z85" s="140"/>
      <c r="AA85" s="140"/>
      <c r="AB85" s="141"/>
      <c r="AC85" s="139" t="str">
        <f t="shared" ref="AC85:AC116" si="49">IF($I85="","",2)</f>
        <v/>
      </c>
      <c r="AD85" s="140"/>
      <c r="AE85" s="140"/>
      <c r="AF85" s="140"/>
      <c r="AG85" s="140"/>
      <c r="AH85" s="140"/>
      <c r="AI85" s="140"/>
      <c r="AJ85" s="140"/>
      <c r="AK85" s="141"/>
    </row>
    <row r="86" spans="2:37" ht="15.75" hidden="1" outlineLevel="1" x14ac:dyDescent="0.25">
      <c r="B86" s="138"/>
      <c r="C86" s="22"/>
      <c r="D86" s="31"/>
      <c r="E86" s="22"/>
      <c r="F86" s="22"/>
      <c r="G86" s="31"/>
      <c r="H86" s="22"/>
      <c r="I86" s="32" t="str">
        <f t="shared" ref="I86:I94" si="50">IF(SUM(C86:H86)=0,"",IF(G86=0,1,G86))</f>
        <v/>
      </c>
      <c r="J86" s="32">
        <f>IF(COUNTA(C86:H86)=0,0,IF(I86="","",IF(F86-SUM(C86+D86+E86+G86+H86)=F86,"Lm",IF(COUNTA(C86:H86)&gt;4,"ERROR",IF(H86&gt;0,"m3",IF(COUNTA(G86,F86)=2,"m3",IF(COUNTA(C86:F86)=4,"m3",IF(COUNTA(D86:F86)=3,"m3",IF(G86&gt;0,"m2",IF(COUNTA(D86,E86)=2,"m2",IF(COUNTA(C86:F86)=3,"m2",IF(COUNTA(D86:F86)=2,"m2",IF(COUNTA(C86:F86)=2,"Lm",IF(D86&gt;0,"Lm",IF(E86&gt;0,"Lm",IF(C86&gt;0,"No.",))))))))))))))))</f>
        <v>0</v>
      </c>
      <c r="K86" s="139" t="str">
        <f t="shared" si="48"/>
        <v/>
      </c>
      <c r="L86" s="22"/>
      <c r="M86" s="22"/>
      <c r="N86" s="22"/>
      <c r="O86" s="22"/>
      <c r="P86" s="22"/>
      <c r="Q86" s="22"/>
      <c r="R86" s="22"/>
      <c r="S86" s="22"/>
      <c r="T86" s="144"/>
      <c r="U86" s="139" t="str">
        <f>IF($I86="","",IF(Notes!$B$9="Domestic",2,IF(Notes!$B$9="Commercial","")))</f>
        <v/>
      </c>
      <c r="V86" s="144"/>
      <c r="W86" s="144" t="str">
        <f>IF($I86="","",IF(Notes!$B$9="Domestic","",IF(Notes!$B$9="Commercial",2)))</f>
        <v/>
      </c>
      <c r="X86" s="144"/>
      <c r="Y86" s="144"/>
      <c r="Z86" s="144"/>
      <c r="AA86" s="144"/>
      <c r="AB86" s="143"/>
      <c r="AC86" s="139" t="str">
        <f t="shared" si="49"/>
        <v/>
      </c>
      <c r="AD86" s="144"/>
      <c r="AE86" s="144"/>
      <c r="AF86" s="144"/>
      <c r="AG86" s="144"/>
      <c r="AH86" s="144"/>
      <c r="AI86" s="144"/>
      <c r="AJ86" s="144"/>
      <c r="AK86" s="143"/>
    </row>
    <row r="87" spans="2:37" ht="15.75" hidden="1" outlineLevel="1" x14ac:dyDescent="0.25">
      <c r="B87" s="138"/>
      <c r="C87" s="22"/>
      <c r="D87" s="31"/>
      <c r="E87" s="22"/>
      <c r="F87" s="22"/>
      <c r="G87" s="31"/>
      <c r="H87" s="22"/>
      <c r="I87" s="32" t="str">
        <f t="shared" si="50"/>
        <v/>
      </c>
      <c r="J87" s="32">
        <f t="shared" ref="J87:J90" si="51">IF(COUNTA(C87:H87)=0,0,IF(I87="","",IF(F87-SUM(C87+D87+E87+G87+H87)=F87,"Lm",IF(COUNTA(C87:H87)&gt;4,"ERROR",IF(H87&gt;0,"m3",IF(COUNTA(G87,F87)=2,"m3",IF(COUNTA(C87:F87)=4,"m3",IF(COUNTA(D87:F87)=3,"m3",IF(G87&gt;0,"m2",IF(COUNTA(D87,E87)=2,"m2",IF(COUNTA(C87:F87)=3,"m2",IF(COUNTA(D87:F87)=2,"m2",IF(COUNTA(C87:F87)=2,"Lm",IF(D87&gt;0,"Lm",IF(E87&gt;0,"Lm",IF(C87&gt;0,"No.",))))))))))))))))</f>
        <v>0</v>
      </c>
      <c r="K87" s="139" t="str">
        <f t="shared" si="48"/>
        <v/>
      </c>
      <c r="L87" s="22"/>
      <c r="M87" s="22"/>
      <c r="N87" s="22"/>
      <c r="O87" s="22"/>
      <c r="P87" s="22"/>
      <c r="Q87" s="22"/>
      <c r="R87" s="22"/>
      <c r="S87" s="22"/>
      <c r="T87" s="144"/>
      <c r="U87" s="139" t="str">
        <f>IF($I87="","",IF(Notes!$B$9="Domestic",2,IF(Notes!$B$9="Commercial","")))</f>
        <v/>
      </c>
      <c r="V87" s="144"/>
      <c r="W87" s="144" t="str">
        <f>IF($I87="","",IF(Notes!$B$9="Domestic","",IF(Notes!$B$9="Commercial",2)))</f>
        <v/>
      </c>
      <c r="X87" s="144"/>
      <c r="Y87" s="144"/>
      <c r="Z87" s="144"/>
      <c r="AA87" s="144"/>
      <c r="AB87" s="143"/>
      <c r="AC87" s="139" t="str">
        <f t="shared" si="49"/>
        <v/>
      </c>
      <c r="AD87" s="144"/>
      <c r="AE87" s="144"/>
      <c r="AF87" s="144"/>
      <c r="AG87" s="144"/>
      <c r="AH87" s="144"/>
      <c r="AI87" s="144"/>
      <c r="AJ87" s="144"/>
      <c r="AK87" s="143"/>
    </row>
    <row r="88" spans="2:37" ht="15.75" hidden="1" outlineLevel="1" x14ac:dyDescent="0.25">
      <c r="B88" s="138"/>
      <c r="C88" s="22"/>
      <c r="D88" s="31"/>
      <c r="E88" s="22"/>
      <c r="F88" s="22"/>
      <c r="G88" s="31"/>
      <c r="H88" s="22"/>
      <c r="I88" s="32" t="str">
        <f t="shared" si="50"/>
        <v/>
      </c>
      <c r="J88" s="32">
        <f t="shared" si="51"/>
        <v>0</v>
      </c>
      <c r="K88" s="139" t="str">
        <f t="shared" si="48"/>
        <v/>
      </c>
      <c r="L88" s="22"/>
      <c r="M88" s="22"/>
      <c r="N88" s="22"/>
      <c r="O88" s="22"/>
      <c r="P88" s="22"/>
      <c r="Q88" s="22"/>
      <c r="R88" s="22"/>
      <c r="S88" s="22"/>
      <c r="T88" s="144"/>
      <c r="U88" s="139" t="str">
        <f>IF($I88="","",IF(Notes!$B$9="Domestic",2,IF(Notes!$B$9="Commercial","")))</f>
        <v/>
      </c>
      <c r="V88" s="144"/>
      <c r="W88" s="144" t="str">
        <f>IF($I88="","",IF(Notes!$B$9="Domestic","",IF(Notes!$B$9="Commercial",2)))</f>
        <v/>
      </c>
      <c r="X88" s="144"/>
      <c r="Y88" s="144"/>
      <c r="Z88" s="144"/>
      <c r="AA88" s="144"/>
      <c r="AB88" s="143"/>
      <c r="AC88" s="139" t="str">
        <f t="shared" si="49"/>
        <v/>
      </c>
      <c r="AD88" s="144"/>
      <c r="AE88" s="144"/>
      <c r="AF88" s="144"/>
      <c r="AG88" s="144"/>
      <c r="AH88" s="144"/>
      <c r="AI88" s="144"/>
      <c r="AJ88" s="144"/>
      <c r="AK88" s="143"/>
    </row>
    <row r="89" spans="2:37" ht="15.75" hidden="1" outlineLevel="1" x14ac:dyDescent="0.25">
      <c r="B89" s="138"/>
      <c r="C89" s="22"/>
      <c r="D89" s="31"/>
      <c r="E89" s="22"/>
      <c r="F89" s="22"/>
      <c r="G89" s="31"/>
      <c r="H89" s="22"/>
      <c r="I89" s="32" t="str">
        <f t="shared" si="50"/>
        <v/>
      </c>
      <c r="J89" s="32">
        <f t="shared" si="51"/>
        <v>0</v>
      </c>
      <c r="K89" s="139" t="str">
        <f t="shared" si="48"/>
        <v/>
      </c>
      <c r="L89" s="22"/>
      <c r="M89" s="22"/>
      <c r="N89" s="22"/>
      <c r="O89" s="22"/>
      <c r="P89" s="22"/>
      <c r="Q89" s="22"/>
      <c r="R89" s="22"/>
      <c r="S89" s="22"/>
      <c r="T89" s="144"/>
      <c r="U89" s="139" t="str">
        <f>IF($I89="","",IF(Notes!$B$9="Domestic",2,IF(Notes!$B$9="Commercial","")))</f>
        <v/>
      </c>
      <c r="V89" s="144"/>
      <c r="W89" s="144" t="str">
        <f>IF($I89="","",IF(Notes!$B$9="Domestic","",IF(Notes!$B$9="Commercial",2)))</f>
        <v/>
      </c>
      <c r="X89" s="144"/>
      <c r="Y89" s="144"/>
      <c r="Z89" s="144"/>
      <c r="AA89" s="144"/>
      <c r="AB89" s="143"/>
      <c r="AC89" s="139" t="str">
        <f t="shared" si="49"/>
        <v/>
      </c>
      <c r="AD89" s="144"/>
      <c r="AE89" s="144"/>
      <c r="AF89" s="144"/>
      <c r="AG89" s="144"/>
      <c r="AH89" s="144"/>
      <c r="AI89" s="144"/>
      <c r="AJ89" s="144"/>
      <c r="AK89" s="143"/>
    </row>
    <row r="90" spans="2:37" ht="15.75" hidden="1" outlineLevel="1" x14ac:dyDescent="0.25">
      <c r="B90" s="138"/>
      <c r="C90" s="22"/>
      <c r="D90" s="31"/>
      <c r="E90" s="22"/>
      <c r="F90" s="22"/>
      <c r="G90" s="31"/>
      <c r="H90" s="22"/>
      <c r="I90" s="32" t="str">
        <f t="shared" si="50"/>
        <v/>
      </c>
      <c r="J90" s="32">
        <f t="shared" si="51"/>
        <v>0</v>
      </c>
      <c r="K90" s="139" t="str">
        <f>IF($I90="","",2)</f>
        <v/>
      </c>
      <c r="L90" s="22"/>
      <c r="M90" s="22"/>
      <c r="N90" s="22"/>
      <c r="O90" s="22"/>
      <c r="P90" s="22"/>
      <c r="Q90" s="22"/>
      <c r="R90" s="22"/>
      <c r="S90" s="22"/>
      <c r="T90" s="144"/>
      <c r="U90" s="139" t="str">
        <f>IF($I90="","",IF(Notes!$B$9="Domestic",2,IF(Notes!$B$9="Commercial","")))</f>
        <v/>
      </c>
      <c r="V90" s="144"/>
      <c r="W90" s="144" t="str">
        <f>IF($I90="","",IF(Notes!$B$9="Domestic","",IF(Notes!$B$9="Commercial",2)))</f>
        <v/>
      </c>
      <c r="X90" s="144"/>
      <c r="Y90" s="144"/>
      <c r="Z90" s="144"/>
      <c r="AA90" s="144"/>
      <c r="AB90" s="143"/>
      <c r="AC90" s="139" t="str">
        <f t="shared" si="49"/>
        <v/>
      </c>
      <c r="AD90" s="144"/>
      <c r="AE90" s="144"/>
      <c r="AF90" s="144"/>
      <c r="AG90" s="144"/>
      <c r="AH90" s="144"/>
      <c r="AI90" s="144"/>
      <c r="AJ90" s="144"/>
      <c r="AK90" s="143"/>
    </row>
    <row r="91" spans="2:37" ht="15.75" hidden="1" outlineLevel="1" x14ac:dyDescent="0.25">
      <c r="B91" s="138"/>
      <c r="C91" s="22"/>
      <c r="D91" s="31"/>
      <c r="E91" s="22"/>
      <c r="F91" s="22"/>
      <c r="G91" s="31"/>
      <c r="H91" s="22"/>
      <c r="I91" s="32" t="str">
        <f t="shared" si="50"/>
        <v/>
      </c>
      <c r="J91" s="32">
        <f>IF(COUNTA(C91:H91)=0,0,IF(I91="","",IF(F91-SUM(C91+D91+E91+G91+H91)=F91,"Lm",IF(COUNTA(C91:H91)&gt;4,"ERROR",IF(H91&gt;0,"m3",IF(COUNTA(G91,F91)=2,"m3",IF(COUNTA(C91:F91)=4,"m3",IF(COUNTA(D91:F91)=3,"m3",IF(G91&gt;0,"m2",IF(COUNTA(D91,E91)=2,"m2",IF(COUNTA(C91:F91)=3,"m2",IF(COUNTA(D91:F91)=2,"m2",IF(COUNTA(C91:F91)=2,"Lm",IF(D91&gt;0,"Lm",IF(E91&gt;0,"Lm",IF(C91&gt;0,"No.",))))))))))))))))</f>
        <v>0</v>
      </c>
      <c r="K91" s="139" t="str">
        <f t="shared" si="48"/>
        <v/>
      </c>
      <c r="L91" s="22"/>
      <c r="M91" s="22"/>
      <c r="N91" s="22"/>
      <c r="O91" s="22"/>
      <c r="P91" s="22"/>
      <c r="Q91" s="22"/>
      <c r="R91" s="22"/>
      <c r="S91" s="22"/>
      <c r="T91" s="144"/>
      <c r="U91" s="139" t="str">
        <f>IF($I91="","",IF(Notes!$B$9="Domestic",2,IF(Notes!$B$9="Commercial","")))</f>
        <v/>
      </c>
      <c r="V91" s="144"/>
      <c r="W91" s="144" t="str">
        <f>IF($I91="","",IF(Notes!$B$9="Domestic","",IF(Notes!$B$9="Commercial",2)))</f>
        <v/>
      </c>
      <c r="X91" s="144"/>
      <c r="Y91" s="144"/>
      <c r="Z91" s="144"/>
      <c r="AA91" s="144"/>
      <c r="AB91" s="143"/>
      <c r="AC91" s="139" t="str">
        <f t="shared" si="49"/>
        <v/>
      </c>
      <c r="AD91" s="144"/>
      <c r="AE91" s="144"/>
      <c r="AF91" s="144"/>
      <c r="AG91" s="144"/>
      <c r="AH91" s="144"/>
      <c r="AI91" s="144"/>
      <c r="AJ91" s="144"/>
      <c r="AK91" s="143"/>
    </row>
    <row r="92" spans="2:37" ht="15.75" hidden="1" outlineLevel="1" x14ac:dyDescent="0.25">
      <c r="B92" s="138"/>
      <c r="C92" s="22"/>
      <c r="D92" s="31"/>
      <c r="E92" s="22"/>
      <c r="F92" s="22"/>
      <c r="G92" s="31"/>
      <c r="H92" s="22"/>
      <c r="I92" s="32" t="str">
        <f t="shared" si="50"/>
        <v/>
      </c>
      <c r="J92" s="32">
        <f>IF(COUNTA(C92:H92)=0,0,IF(I92="","",IF(F92-SUM(C92+D92+E92+G92+H92)=F92,"Lm",IF(COUNTA(C92:H92)&gt;4,"ERROR",IF(H92&gt;0,"m3",IF(COUNTA(G92,F92)=2,"m3",IF(COUNTA(C92:F92)=4,"m3",IF(COUNTA(D92:F92)=3,"m3",IF(G92&gt;0,"m2",IF(COUNTA(D92,E92)=2,"m2",IF(COUNTA(C92:F92)=3,"m2",IF(COUNTA(D92:F92)=2,"m2",IF(COUNTA(C92:F92)=2,"Lm",IF(D92&gt;0,"Lm",IF(E92&gt;0,"Lm",IF(C92&gt;0,"No.",))))))))))))))))</f>
        <v>0</v>
      </c>
      <c r="K92" s="139" t="str">
        <f t="shared" si="48"/>
        <v/>
      </c>
      <c r="L92" s="22"/>
      <c r="M92" s="22"/>
      <c r="N92" s="22"/>
      <c r="O92" s="22"/>
      <c r="P92" s="22"/>
      <c r="Q92" s="22"/>
      <c r="R92" s="22"/>
      <c r="S92" s="22"/>
      <c r="T92" s="144"/>
      <c r="U92" s="139" t="str">
        <f>IF($I92="","",IF(Notes!$B$9="Domestic",2,IF(Notes!$B$9="Commercial","")))</f>
        <v/>
      </c>
      <c r="V92" s="144"/>
      <c r="W92" s="144" t="str">
        <f>IF($I92="","",IF(Notes!$B$9="Domestic","",IF(Notes!$B$9="Commercial",2)))</f>
        <v/>
      </c>
      <c r="X92" s="144"/>
      <c r="Y92" s="144"/>
      <c r="Z92" s="144"/>
      <c r="AA92" s="144"/>
      <c r="AB92" s="143"/>
      <c r="AC92" s="139" t="str">
        <f t="shared" si="49"/>
        <v/>
      </c>
      <c r="AD92" s="144"/>
      <c r="AE92" s="144"/>
      <c r="AF92" s="144"/>
      <c r="AG92" s="144"/>
      <c r="AH92" s="144"/>
      <c r="AI92" s="144"/>
      <c r="AJ92" s="144"/>
      <c r="AK92" s="143"/>
    </row>
    <row r="93" spans="2:37" ht="15.75" hidden="1" outlineLevel="1" x14ac:dyDescent="0.25">
      <c r="B93" s="138"/>
      <c r="C93" s="22"/>
      <c r="D93" s="31"/>
      <c r="E93" s="22"/>
      <c r="F93" s="22"/>
      <c r="G93" s="31"/>
      <c r="H93" s="22"/>
      <c r="I93" s="32" t="str">
        <f t="shared" si="50"/>
        <v/>
      </c>
      <c r="J93" s="32">
        <f>IF(COUNTA(C93:H93)=0,0,IF(I93="","",IF(F93-SUM(C93+D93+E93+G93+H93)=F93,"Lm",IF(COUNTA(C93:H93)&gt;4,"ERROR",IF(H93&gt;0,"m3",IF(COUNTA(G93,F93)=2,"m3",IF(COUNTA(C93:F93)=4,"m3",IF(COUNTA(D93:F93)=3,"m3",IF(G93&gt;0,"m2",IF(COUNTA(D93,E93)=2,"m2",IF(COUNTA(C93:F93)=3,"m2",IF(COUNTA(D93:F93)=2,"m2",IF(COUNTA(C93:F93)=2,"Lm",IF(D93&gt;0,"Lm",IF(E93&gt;0,"Lm",IF(C93&gt;0,"No.",))))))))))))))))</f>
        <v>0</v>
      </c>
      <c r="K93" s="139" t="str">
        <f t="shared" si="48"/>
        <v/>
      </c>
      <c r="L93" s="22"/>
      <c r="M93" s="22"/>
      <c r="N93" s="22"/>
      <c r="O93" s="22"/>
      <c r="P93" s="22"/>
      <c r="Q93" s="22"/>
      <c r="R93" s="22"/>
      <c r="S93" s="22"/>
      <c r="T93" s="144"/>
      <c r="U93" s="139" t="str">
        <f>IF($I93="","",IF(Notes!$B$9="Domestic",2,IF(Notes!$B$9="Commercial","")))</f>
        <v/>
      </c>
      <c r="V93" s="144"/>
      <c r="W93" s="144" t="str">
        <f>IF($I93="","",IF(Notes!$B$9="Domestic","",IF(Notes!$B$9="Commercial",2)))</f>
        <v/>
      </c>
      <c r="X93" s="144"/>
      <c r="Y93" s="144"/>
      <c r="Z93" s="144"/>
      <c r="AA93" s="144"/>
      <c r="AB93" s="143"/>
      <c r="AC93" s="139" t="str">
        <f t="shared" si="49"/>
        <v/>
      </c>
      <c r="AD93" s="144"/>
      <c r="AE93" s="144"/>
      <c r="AF93" s="144"/>
      <c r="AG93" s="144"/>
      <c r="AH93" s="144"/>
      <c r="AI93" s="144"/>
      <c r="AJ93" s="144"/>
      <c r="AK93" s="143"/>
    </row>
    <row r="94" spans="2:37" ht="15.75" hidden="1" outlineLevel="1" x14ac:dyDescent="0.25">
      <c r="B94" s="145"/>
      <c r="C94" s="22"/>
      <c r="D94" s="22"/>
      <c r="E94" s="22"/>
      <c r="F94" s="22"/>
      <c r="G94" s="22"/>
      <c r="H94" s="22"/>
      <c r="I94" s="32" t="str">
        <f t="shared" si="50"/>
        <v/>
      </c>
      <c r="J94" s="146">
        <f>IF(COUNTA(C94:H94)=0,0,IF(I94="","",IF(F94-SUM(C94+D94+E94+G94+H94)=F94,"Lm",IF(COUNTA(C94:H94)&gt;4,"ERROR",IF(H94&gt;0,"m3",IF(COUNTA(G94,F94)=2,"m3",IF(COUNTA(C94:F94)=4,"m3",IF(COUNTA(D94:F94)=3,"m3",IF(G94&gt;0,"m2",IF(COUNTA(D94,E94)=2,"m2",IF(COUNTA(C94:F94)=3,"m2",IF(COUNTA(D94:F94)=2,"m2",IF(COUNTA(C94:F94)=2,"Lm",IF(D94&gt;0,"Lm",IF(E94&gt;0,"Lm",IF(C94&gt;0,"No.",))))))))))))))))</f>
        <v>0</v>
      </c>
      <c r="K94" s="147" t="str">
        <f t="shared" si="48"/>
        <v/>
      </c>
      <c r="L94" s="148"/>
      <c r="M94" s="148"/>
      <c r="N94" s="148"/>
      <c r="O94" s="148"/>
      <c r="P94" s="148"/>
      <c r="Q94" s="148"/>
      <c r="R94" s="148"/>
      <c r="S94" s="148"/>
      <c r="T94" s="148"/>
      <c r="U94" s="147" t="str">
        <f>IF($I94="","",IF(Notes!$B$9="Domestic",2,IF(Notes!$B$9="Commercial","")))</f>
        <v/>
      </c>
      <c r="V94" s="148"/>
      <c r="W94" s="148" t="str">
        <f>IF($I94="","",IF(Notes!$B$9="Domestic","",IF(Notes!$B$9="Commercial",2)))</f>
        <v/>
      </c>
      <c r="X94" s="148"/>
      <c r="Y94" s="148"/>
      <c r="Z94" s="148"/>
      <c r="AA94" s="148"/>
      <c r="AB94" s="149"/>
      <c r="AC94" s="139" t="str">
        <f t="shared" si="49"/>
        <v/>
      </c>
      <c r="AD94" s="148"/>
      <c r="AE94" s="148"/>
      <c r="AF94" s="148"/>
      <c r="AG94" s="148"/>
      <c r="AH94" s="148"/>
      <c r="AI94" s="148"/>
      <c r="AJ94" s="148"/>
      <c r="AK94" s="149"/>
    </row>
    <row r="95" spans="2:37" ht="18.75" hidden="1" outlineLevel="1" x14ac:dyDescent="0.25">
      <c r="B95" s="129" t="s">
        <v>345</v>
      </c>
      <c r="C95" s="130"/>
      <c r="D95" s="241" t="s">
        <v>799</v>
      </c>
      <c r="E95" s="130"/>
      <c r="F95" s="130"/>
      <c r="G95" s="241" t="s">
        <v>798</v>
      </c>
      <c r="H95" s="130"/>
      <c r="I95" s="131">
        <f>SUM(I96:I105)</f>
        <v>0</v>
      </c>
      <c r="J95" s="132" t="s">
        <v>11</v>
      </c>
      <c r="K95" s="133">
        <f t="shared" ref="K95:L95" si="52">IFERROR(SUMPRODUCT($I96:$I105,K96:K105),0)</f>
        <v>0</v>
      </c>
      <c r="L95" s="134">
        <f t="shared" si="52"/>
        <v>0</v>
      </c>
      <c r="M95" s="134">
        <f t="shared" ref="M95:R95" si="53">IFERROR(SUMPRODUCT($I96:$I105,M96:M105),0)</f>
        <v>0</v>
      </c>
      <c r="N95" s="134">
        <f t="shared" si="53"/>
        <v>0</v>
      </c>
      <c r="O95" s="134">
        <f t="shared" si="53"/>
        <v>0</v>
      </c>
      <c r="P95" s="134">
        <f t="shared" si="53"/>
        <v>0</v>
      </c>
      <c r="Q95" s="134">
        <f t="shared" si="53"/>
        <v>0</v>
      </c>
      <c r="R95" s="134">
        <f t="shared" si="53"/>
        <v>0</v>
      </c>
      <c r="S95" s="134">
        <f>IFERROR(SUMPRODUCT($I96:$I105,S96:S105),0)</f>
        <v>0</v>
      </c>
      <c r="T95" s="134">
        <f t="shared" ref="T95" si="54">IFERROR(SUMPRODUCT($I96:$I105,T96:T105),0)</f>
        <v>0</v>
      </c>
      <c r="U95" s="136">
        <f>IFERROR(SUMPRODUCT($I96:$I105,U96:U105),0)</f>
        <v>0</v>
      </c>
      <c r="V95" s="137">
        <f t="shared" ref="V95:AK95" si="55">IFERROR(SUMPRODUCT($I96:$I105,V96:V105),0)</f>
        <v>0</v>
      </c>
      <c r="W95" s="137">
        <f t="shared" si="55"/>
        <v>0</v>
      </c>
      <c r="X95" s="137">
        <f t="shared" si="55"/>
        <v>0</v>
      </c>
      <c r="Y95" s="137">
        <f t="shared" si="55"/>
        <v>0</v>
      </c>
      <c r="Z95" s="137">
        <f t="shared" si="55"/>
        <v>0</v>
      </c>
      <c r="AA95" s="137">
        <f t="shared" si="55"/>
        <v>0</v>
      </c>
      <c r="AB95" s="150">
        <f t="shared" si="55"/>
        <v>0</v>
      </c>
      <c r="AC95" s="133">
        <f t="shared" si="55"/>
        <v>0</v>
      </c>
      <c r="AD95" s="134">
        <f t="shared" si="55"/>
        <v>0</v>
      </c>
      <c r="AE95" s="134">
        <f t="shared" si="55"/>
        <v>0</v>
      </c>
      <c r="AF95" s="134">
        <f t="shared" si="55"/>
        <v>0</v>
      </c>
      <c r="AG95" s="134">
        <f t="shared" si="55"/>
        <v>0</v>
      </c>
      <c r="AH95" s="134">
        <f t="shared" si="55"/>
        <v>0</v>
      </c>
      <c r="AI95" s="134">
        <f t="shared" si="55"/>
        <v>0</v>
      </c>
      <c r="AJ95" s="134">
        <f t="shared" si="55"/>
        <v>0</v>
      </c>
      <c r="AK95" s="135">
        <f t="shared" si="55"/>
        <v>0</v>
      </c>
    </row>
    <row r="96" spans="2:37" ht="15.75" hidden="1" outlineLevel="1" x14ac:dyDescent="0.25">
      <c r="B96" s="138"/>
      <c r="C96" s="22"/>
      <c r="D96" s="31"/>
      <c r="E96" s="22"/>
      <c r="F96" s="22"/>
      <c r="G96" s="31"/>
      <c r="H96" s="22"/>
      <c r="I96" s="32" t="str">
        <f>IF(SUM(C96:H96)=0,"",IF(G96=0,1,G96))</f>
        <v/>
      </c>
      <c r="J96" s="32">
        <f>IF(COUNTA(C96:H96)=0,0,IF(I96="","",IF(F96-SUM(C96+D96+E96+G96+H96)=F96,"Lm",IF(COUNTA(C96:H96)&gt;4,"ERROR",IF(H96&gt;0,"m3",IF(COUNTA(G96,F96)=2,"m3",IF(COUNTA(C96:F96)=4,"m3",IF(COUNTA(D96:F96)=3,"m3",IF(G96&gt;0,"m2",IF(COUNTA(D96,E96)=2,"m2",IF(COUNTA(C96:F96)=3,"m2",IF(COUNTA(D96:F96)=2,"m2",IF(COUNTA(C96:F96)=2,"Lm",IF(D96&gt;0,"Lm",IF(E96&gt;0,"Lm",IF(C96&gt;0,"No.",))))))))))))))))</f>
        <v>0</v>
      </c>
      <c r="K96" s="139" t="str">
        <f>IF($I96="","",1)</f>
        <v/>
      </c>
      <c r="L96" s="140" t="str">
        <f>IF($I96="","",1)</f>
        <v/>
      </c>
      <c r="M96" s="140"/>
      <c r="N96" s="140"/>
      <c r="O96" s="140"/>
      <c r="P96" s="140"/>
      <c r="Q96" s="140"/>
      <c r="R96" s="140"/>
      <c r="S96" s="140"/>
      <c r="T96" s="140"/>
      <c r="U96" s="142" t="str">
        <f>IF($I96="","",IF(Notes!$B$9="Domestic",2,IF(Notes!$B$9="Commercial","")))</f>
        <v/>
      </c>
      <c r="V96" s="140"/>
      <c r="W96" s="140" t="str">
        <f>IF($I96="","",IF(Notes!$B$9="Domestic","",IF(Notes!$B$9="Commercial",2)))</f>
        <v/>
      </c>
      <c r="X96" s="140"/>
      <c r="Y96" s="140"/>
      <c r="Z96" s="140"/>
      <c r="AA96" s="140"/>
      <c r="AB96" s="141"/>
      <c r="AC96" s="139" t="str">
        <f t="shared" si="49"/>
        <v/>
      </c>
      <c r="AD96" s="140"/>
      <c r="AE96" s="140"/>
      <c r="AF96" s="140"/>
      <c r="AG96" s="140"/>
      <c r="AH96" s="140"/>
      <c r="AI96" s="140"/>
      <c r="AJ96" s="140"/>
      <c r="AK96" s="141"/>
    </row>
    <row r="97" spans="2:37" ht="15.75" hidden="1" outlineLevel="1" x14ac:dyDescent="0.25">
      <c r="B97" s="138"/>
      <c r="C97" s="22"/>
      <c r="D97" s="31"/>
      <c r="E97" s="22"/>
      <c r="F97" s="22"/>
      <c r="G97" s="31"/>
      <c r="H97" s="22"/>
      <c r="I97" s="32" t="str">
        <f t="shared" ref="I97:I105" si="56">IF(SUM(C97:H97)=0,"",IF(G97=0,1,G97))</f>
        <v/>
      </c>
      <c r="J97" s="32">
        <f t="shared" ref="J97:J100" si="57">IF(COUNTA(C97:H97)=0,0,IF(I97="","",IF(F97-SUM(C97+D97+E97+G97+H97)=F97,"Lm",IF(COUNTA(C97:H97)&gt;4,"ERROR",IF(H97&gt;0,"m3",IF(COUNTA(G97,F97)=2,"m3",IF(COUNTA(C97:F97)=4,"m3",IF(COUNTA(D97:F97)=3,"m3",IF(G97&gt;0,"m2",IF(COUNTA(D97,E97)=2,"m2",IF(COUNTA(C97:F97)=3,"m2",IF(COUNTA(D97:F97)=2,"m2",IF(COUNTA(C97:F97)=2,"Lm",IF(D97&gt;0,"Lm",IF(E97&gt;0,"Lm",IF(C97&gt;0,"No.",))))))))))))))))</f>
        <v>0</v>
      </c>
      <c r="K97" s="139" t="str">
        <f t="shared" ref="K97:L105" si="58">IF($I97="","",1)</f>
        <v/>
      </c>
      <c r="L97" s="22" t="str">
        <f t="shared" si="58"/>
        <v/>
      </c>
      <c r="M97" s="22"/>
      <c r="N97" s="22"/>
      <c r="O97" s="22"/>
      <c r="P97" s="22"/>
      <c r="Q97" s="22"/>
      <c r="R97" s="22"/>
      <c r="S97" s="22"/>
      <c r="T97" s="144"/>
      <c r="U97" s="139" t="str">
        <f>IF($I97="","",IF(Notes!$B$9="Domestic",2,IF(Notes!$B$9="Commercial","")))</f>
        <v/>
      </c>
      <c r="V97" s="144"/>
      <c r="W97" s="144" t="str">
        <f>IF($I97="","",IF(Notes!$B$9="Domestic","",IF(Notes!$B$9="Commercial",2)))</f>
        <v/>
      </c>
      <c r="X97" s="144"/>
      <c r="Y97" s="144"/>
      <c r="Z97" s="144"/>
      <c r="AA97" s="144"/>
      <c r="AB97" s="143"/>
      <c r="AC97" s="139" t="str">
        <f t="shared" si="49"/>
        <v/>
      </c>
      <c r="AD97" s="144"/>
      <c r="AE97" s="144"/>
      <c r="AF97" s="144"/>
      <c r="AG97" s="144"/>
      <c r="AH97" s="144"/>
      <c r="AI97" s="144"/>
      <c r="AJ97" s="144"/>
      <c r="AK97" s="143"/>
    </row>
    <row r="98" spans="2:37" ht="15.75" hidden="1" outlineLevel="1" x14ac:dyDescent="0.25">
      <c r="B98" s="138"/>
      <c r="C98" s="22"/>
      <c r="D98" s="31"/>
      <c r="E98" s="22"/>
      <c r="F98" s="22"/>
      <c r="G98" s="31"/>
      <c r="H98" s="22"/>
      <c r="I98" s="32" t="str">
        <f t="shared" si="56"/>
        <v/>
      </c>
      <c r="J98" s="32">
        <f t="shared" si="57"/>
        <v>0</v>
      </c>
      <c r="K98" s="139" t="str">
        <f t="shared" si="58"/>
        <v/>
      </c>
      <c r="L98" s="22" t="str">
        <f t="shared" si="58"/>
        <v/>
      </c>
      <c r="M98" s="22"/>
      <c r="N98" s="22"/>
      <c r="O98" s="22"/>
      <c r="P98" s="22"/>
      <c r="Q98" s="22"/>
      <c r="R98" s="22"/>
      <c r="S98" s="22"/>
      <c r="T98" s="144"/>
      <c r="U98" s="139" t="str">
        <f>IF($I98="","",IF(Notes!$B$9="Domestic",2,IF(Notes!$B$9="Commercial","")))</f>
        <v/>
      </c>
      <c r="V98" s="144"/>
      <c r="W98" s="144" t="str">
        <f>IF($I98="","",IF(Notes!$B$9="Domestic","",IF(Notes!$B$9="Commercial",2)))</f>
        <v/>
      </c>
      <c r="X98" s="144"/>
      <c r="Y98" s="144"/>
      <c r="Z98" s="144"/>
      <c r="AA98" s="144"/>
      <c r="AB98" s="143"/>
      <c r="AC98" s="139" t="str">
        <f t="shared" si="49"/>
        <v/>
      </c>
      <c r="AD98" s="144"/>
      <c r="AE98" s="144"/>
      <c r="AF98" s="144"/>
      <c r="AG98" s="144"/>
      <c r="AH98" s="144"/>
      <c r="AI98" s="144"/>
      <c r="AJ98" s="144"/>
      <c r="AK98" s="143"/>
    </row>
    <row r="99" spans="2:37" ht="15.75" hidden="1" outlineLevel="1" x14ac:dyDescent="0.25">
      <c r="B99" s="138"/>
      <c r="C99" s="22"/>
      <c r="D99" s="31"/>
      <c r="E99" s="22"/>
      <c r="F99" s="22"/>
      <c r="G99" s="31"/>
      <c r="H99" s="22"/>
      <c r="I99" s="32" t="str">
        <f t="shared" si="56"/>
        <v/>
      </c>
      <c r="J99" s="32">
        <f t="shared" si="57"/>
        <v>0</v>
      </c>
      <c r="K99" s="139" t="str">
        <f t="shared" si="58"/>
        <v/>
      </c>
      <c r="L99" s="22" t="str">
        <f t="shared" si="58"/>
        <v/>
      </c>
      <c r="M99" s="22"/>
      <c r="N99" s="22"/>
      <c r="O99" s="22"/>
      <c r="P99" s="22"/>
      <c r="Q99" s="22"/>
      <c r="R99" s="22"/>
      <c r="S99" s="22"/>
      <c r="T99" s="144"/>
      <c r="U99" s="139" t="str">
        <f>IF($I99="","",IF(Notes!$B$9="Domestic",2,IF(Notes!$B$9="Commercial","")))</f>
        <v/>
      </c>
      <c r="V99" s="144"/>
      <c r="W99" s="144" t="str">
        <f>IF($I99="","",IF(Notes!$B$9="Domestic","",IF(Notes!$B$9="Commercial",2)))</f>
        <v/>
      </c>
      <c r="X99" s="144"/>
      <c r="Y99" s="144"/>
      <c r="Z99" s="144"/>
      <c r="AA99" s="144"/>
      <c r="AB99" s="143"/>
      <c r="AC99" s="139" t="str">
        <f t="shared" si="49"/>
        <v/>
      </c>
      <c r="AD99" s="144"/>
      <c r="AE99" s="144"/>
      <c r="AF99" s="144"/>
      <c r="AG99" s="144"/>
      <c r="AH99" s="144"/>
      <c r="AI99" s="144"/>
      <c r="AJ99" s="144"/>
      <c r="AK99" s="143"/>
    </row>
    <row r="100" spans="2:37" ht="15.75" hidden="1" outlineLevel="1" x14ac:dyDescent="0.25">
      <c r="B100" s="138"/>
      <c r="C100" s="22"/>
      <c r="D100" s="31"/>
      <c r="E100" s="22"/>
      <c r="F100" s="22"/>
      <c r="G100" s="31"/>
      <c r="H100" s="22"/>
      <c r="I100" s="32" t="str">
        <f t="shared" si="56"/>
        <v/>
      </c>
      <c r="J100" s="32">
        <f t="shared" si="57"/>
        <v>0</v>
      </c>
      <c r="K100" s="139" t="str">
        <f t="shared" si="58"/>
        <v/>
      </c>
      <c r="L100" s="22" t="str">
        <f t="shared" si="58"/>
        <v/>
      </c>
      <c r="M100" s="22"/>
      <c r="N100" s="22"/>
      <c r="O100" s="22"/>
      <c r="P100" s="22"/>
      <c r="Q100" s="22"/>
      <c r="R100" s="22"/>
      <c r="S100" s="22"/>
      <c r="T100" s="144"/>
      <c r="U100" s="139" t="str">
        <f>IF($I100="","",IF(Notes!$B$9="Domestic",2,IF(Notes!$B$9="Commercial","")))</f>
        <v/>
      </c>
      <c r="V100" s="144"/>
      <c r="W100" s="144" t="str">
        <f>IF($I100="","",IF(Notes!$B$9="Domestic","",IF(Notes!$B$9="Commercial",2)))</f>
        <v/>
      </c>
      <c r="X100" s="144"/>
      <c r="Y100" s="144"/>
      <c r="Z100" s="144"/>
      <c r="AA100" s="144"/>
      <c r="AB100" s="143"/>
      <c r="AC100" s="139" t="str">
        <f t="shared" si="49"/>
        <v/>
      </c>
      <c r="AD100" s="144"/>
      <c r="AE100" s="144"/>
      <c r="AF100" s="144"/>
      <c r="AG100" s="144"/>
      <c r="AH100" s="144"/>
      <c r="AI100" s="144"/>
      <c r="AJ100" s="144"/>
      <c r="AK100" s="143"/>
    </row>
    <row r="101" spans="2:37" ht="15.75" hidden="1" outlineLevel="1" x14ac:dyDescent="0.25">
      <c r="B101" s="138"/>
      <c r="C101" s="22"/>
      <c r="D101" s="31"/>
      <c r="E101" s="22"/>
      <c r="F101" s="22"/>
      <c r="G101" s="31"/>
      <c r="H101" s="22"/>
      <c r="I101" s="32" t="str">
        <f t="shared" si="56"/>
        <v/>
      </c>
      <c r="J101" s="32">
        <f>IF(COUNTA(C101:H101)=0,0,IF(I101="","",IF(F101-SUM(C101+D101+E101+G101+H101)=F101,"Lm",IF(COUNTA(C101:H101)&gt;4,"ERROR",IF(H101&gt;0,"m3",IF(COUNTA(G101,F101)=2,"m3",IF(COUNTA(C101:F101)=4,"m3",IF(COUNTA(D101:F101)=3,"m3",IF(G101&gt;0,"m2",IF(COUNTA(D101,E101)=2,"m2",IF(COUNTA(C101:F101)=3,"m2",IF(COUNTA(D101:F101)=2,"m2",IF(COUNTA(C101:F101)=2,"Lm",IF(D101&gt;0,"Lm",IF(E101&gt;0,"Lm",IF(C101&gt;0,"No.",))))))))))))))))</f>
        <v>0</v>
      </c>
      <c r="K101" s="139" t="str">
        <f t="shared" si="58"/>
        <v/>
      </c>
      <c r="L101" s="22" t="str">
        <f t="shared" si="58"/>
        <v/>
      </c>
      <c r="M101" s="22"/>
      <c r="N101" s="22"/>
      <c r="O101" s="22"/>
      <c r="P101" s="22"/>
      <c r="Q101" s="22"/>
      <c r="R101" s="22"/>
      <c r="S101" s="22"/>
      <c r="T101" s="144"/>
      <c r="U101" s="139" t="str">
        <f>IF($I101="","",IF(Notes!$B$9="Domestic",2,IF(Notes!$B$9="Commercial","")))</f>
        <v/>
      </c>
      <c r="V101" s="144"/>
      <c r="W101" s="144" t="str">
        <f>IF($I101="","",IF(Notes!$B$9="Domestic","",IF(Notes!$B$9="Commercial",2)))</f>
        <v/>
      </c>
      <c r="X101" s="144"/>
      <c r="Y101" s="144"/>
      <c r="Z101" s="144"/>
      <c r="AA101" s="144"/>
      <c r="AB101" s="143"/>
      <c r="AC101" s="139" t="str">
        <f t="shared" si="49"/>
        <v/>
      </c>
      <c r="AD101" s="144"/>
      <c r="AE101" s="144"/>
      <c r="AF101" s="144"/>
      <c r="AG101" s="144"/>
      <c r="AH101" s="144"/>
      <c r="AI101" s="144"/>
      <c r="AJ101" s="144"/>
      <c r="AK101" s="143"/>
    </row>
    <row r="102" spans="2:37" ht="15.75" hidden="1" outlineLevel="1" x14ac:dyDescent="0.25">
      <c r="B102" s="138"/>
      <c r="C102" s="22"/>
      <c r="D102" s="31"/>
      <c r="E102" s="22"/>
      <c r="F102" s="22"/>
      <c r="G102" s="31"/>
      <c r="H102" s="22"/>
      <c r="I102" s="32" t="str">
        <f t="shared" si="56"/>
        <v/>
      </c>
      <c r="J102" s="32">
        <f>IF(COUNTA(C102:H102)=0,0,IF(I102="","",IF(F102-SUM(C102+D102+E102+G102+H102)=F102,"Lm",IF(COUNTA(C102:H102)&gt;4,"ERROR",IF(H102&gt;0,"m3",IF(COUNTA(G102,F102)=2,"m3",IF(COUNTA(C102:F102)=4,"m3",IF(COUNTA(D102:F102)=3,"m3",IF(G102&gt;0,"m2",IF(COUNTA(D102,E102)=2,"m2",IF(COUNTA(C102:F102)=3,"m2",IF(COUNTA(D102:F102)=2,"m2",IF(COUNTA(C102:F102)=2,"Lm",IF(D102&gt;0,"Lm",IF(E102&gt;0,"Lm",IF(C102&gt;0,"No.",))))))))))))))))</f>
        <v>0</v>
      </c>
      <c r="K102" s="139" t="str">
        <f t="shared" si="58"/>
        <v/>
      </c>
      <c r="L102" s="22" t="str">
        <f t="shared" si="58"/>
        <v/>
      </c>
      <c r="M102" s="22"/>
      <c r="N102" s="22"/>
      <c r="O102" s="22"/>
      <c r="P102" s="22"/>
      <c r="Q102" s="22"/>
      <c r="R102" s="22"/>
      <c r="S102" s="22"/>
      <c r="T102" s="144"/>
      <c r="U102" s="139" t="str">
        <f>IF($I102="","",IF(Notes!$B$9="Domestic",2,IF(Notes!$B$9="Commercial","")))</f>
        <v/>
      </c>
      <c r="V102" s="144"/>
      <c r="W102" s="144" t="str">
        <f>IF($I102="","",IF(Notes!$B$9="Domestic","",IF(Notes!$B$9="Commercial",2)))</f>
        <v/>
      </c>
      <c r="X102" s="144"/>
      <c r="Y102" s="144"/>
      <c r="Z102" s="144"/>
      <c r="AA102" s="144"/>
      <c r="AB102" s="143"/>
      <c r="AC102" s="139" t="str">
        <f t="shared" si="49"/>
        <v/>
      </c>
      <c r="AD102" s="144"/>
      <c r="AE102" s="144"/>
      <c r="AF102" s="144"/>
      <c r="AG102" s="144"/>
      <c r="AH102" s="144"/>
      <c r="AI102" s="144"/>
      <c r="AJ102" s="144"/>
      <c r="AK102" s="143"/>
    </row>
    <row r="103" spans="2:37" ht="15.75" hidden="1" outlineLevel="1" x14ac:dyDescent="0.25">
      <c r="B103" s="138"/>
      <c r="C103" s="22"/>
      <c r="D103" s="31"/>
      <c r="E103" s="22"/>
      <c r="F103" s="22"/>
      <c r="G103" s="31"/>
      <c r="H103" s="22"/>
      <c r="I103" s="32" t="str">
        <f t="shared" si="56"/>
        <v/>
      </c>
      <c r="J103" s="32">
        <f>IF(COUNTA(C103:H103)=0,0,IF(I103="","",IF(F103-SUM(C103+D103+E103+G103+H103)=F103,"Lm",IF(COUNTA(C103:H103)&gt;4,"ERROR",IF(H103&gt;0,"m3",IF(COUNTA(G103,F103)=2,"m3",IF(COUNTA(C103:F103)=4,"m3",IF(COUNTA(D103:F103)=3,"m3",IF(G103&gt;0,"m2",IF(COUNTA(D103,E103)=2,"m2",IF(COUNTA(C103:F103)=3,"m2",IF(COUNTA(D103:F103)=2,"m2",IF(COUNTA(C103:F103)=2,"Lm",IF(D103&gt;0,"Lm",IF(E103&gt;0,"Lm",IF(C103&gt;0,"No.",))))))))))))))))</f>
        <v>0</v>
      </c>
      <c r="K103" s="139" t="str">
        <f t="shared" si="58"/>
        <v/>
      </c>
      <c r="L103" s="22" t="str">
        <f t="shared" si="58"/>
        <v/>
      </c>
      <c r="M103" s="22"/>
      <c r="N103" s="22"/>
      <c r="O103" s="22"/>
      <c r="P103" s="22"/>
      <c r="Q103" s="22"/>
      <c r="R103" s="22"/>
      <c r="S103" s="22"/>
      <c r="T103" s="144"/>
      <c r="U103" s="139" t="str">
        <f>IF($I103="","",IF(Notes!$B$9="Domestic",2,IF(Notes!$B$9="Commercial","")))</f>
        <v/>
      </c>
      <c r="V103" s="144"/>
      <c r="W103" s="144" t="str">
        <f>IF($I103="","",IF(Notes!$B$9="Domestic","",IF(Notes!$B$9="Commercial",2)))</f>
        <v/>
      </c>
      <c r="X103" s="144"/>
      <c r="Y103" s="144"/>
      <c r="Z103" s="144"/>
      <c r="AA103" s="144"/>
      <c r="AB103" s="143"/>
      <c r="AC103" s="139" t="str">
        <f t="shared" si="49"/>
        <v/>
      </c>
      <c r="AD103" s="144"/>
      <c r="AE103" s="144"/>
      <c r="AF103" s="144"/>
      <c r="AG103" s="144"/>
      <c r="AH103" s="144"/>
      <c r="AI103" s="144"/>
      <c r="AJ103" s="144"/>
      <c r="AK103" s="143"/>
    </row>
    <row r="104" spans="2:37" ht="15.75" hidden="1" outlineLevel="1" x14ac:dyDescent="0.25">
      <c r="B104" s="138"/>
      <c r="C104" s="22"/>
      <c r="D104" s="31"/>
      <c r="E104" s="22"/>
      <c r="F104" s="22"/>
      <c r="G104" s="31"/>
      <c r="H104" s="22"/>
      <c r="I104" s="32" t="str">
        <f t="shared" si="56"/>
        <v/>
      </c>
      <c r="J104" s="32">
        <f>IF(COUNTA(C104:H104)=0,0,IF(I104="","",IF(F104-SUM(C104+D104+E104+G104+H104)=F104,"Lm",IF(COUNTA(C104:H104)&gt;4,"ERROR",IF(H104&gt;0,"m3",IF(COUNTA(G104,F104)=2,"m3",IF(COUNTA(C104:F104)=4,"m3",IF(COUNTA(D104:F104)=3,"m3",IF(G104&gt;0,"m2",IF(COUNTA(D104,E104)=2,"m2",IF(COUNTA(C104:F104)=3,"m2",IF(COUNTA(D104:F104)=2,"m2",IF(COUNTA(C104:F104)=2,"Lm",IF(D104&gt;0,"Lm",IF(E104&gt;0,"Lm",IF(C104&gt;0,"No.",))))))))))))))))</f>
        <v>0</v>
      </c>
      <c r="K104" s="139" t="str">
        <f t="shared" si="58"/>
        <v/>
      </c>
      <c r="L104" s="22" t="str">
        <f t="shared" si="58"/>
        <v/>
      </c>
      <c r="M104" s="22"/>
      <c r="N104" s="22"/>
      <c r="O104" s="22"/>
      <c r="P104" s="22"/>
      <c r="Q104" s="22"/>
      <c r="R104" s="22"/>
      <c r="S104" s="22"/>
      <c r="T104" s="144"/>
      <c r="U104" s="139" t="str">
        <f>IF($I104="","",IF(Notes!$B$9="Domestic",2,IF(Notes!$B$9="Commercial","")))</f>
        <v/>
      </c>
      <c r="V104" s="144"/>
      <c r="W104" s="144" t="str">
        <f>IF($I104="","",IF(Notes!$B$9="Domestic","",IF(Notes!$B$9="Commercial",2)))</f>
        <v/>
      </c>
      <c r="X104" s="144"/>
      <c r="Y104" s="144"/>
      <c r="Z104" s="144"/>
      <c r="AA104" s="144"/>
      <c r="AB104" s="143"/>
      <c r="AC104" s="139" t="str">
        <f t="shared" si="49"/>
        <v/>
      </c>
      <c r="AD104" s="144"/>
      <c r="AE104" s="144"/>
      <c r="AF104" s="144"/>
      <c r="AG104" s="144"/>
      <c r="AH104" s="144"/>
      <c r="AI104" s="144"/>
      <c r="AJ104" s="144"/>
      <c r="AK104" s="143"/>
    </row>
    <row r="105" spans="2:37" ht="15.75" hidden="1" outlineLevel="1" x14ac:dyDescent="0.25">
      <c r="B105" s="145"/>
      <c r="C105" s="22"/>
      <c r="D105" s="22"/>
      <c r="E105" s="22"/>
      <c r="F105" s="22"/>
      <c r="G105" s="22"/>
      <c r="H105" s="22"/>
      <c r="I105" s="32" t="str">
        <f t="shared" si="56"/>
        <v/>
      </c>
      <c r="J105" s="146">
        <f>IF(COUNTA(C105:H105)=0,0,IF(I105="","",IF(F105-SUM(C105+D105+E105+G105+H105)=F105,"Lm",IF(COUNTA(C105:H105)&gt;4,"ERROR",IF(H105&gt;0,"m3",IF(COUNTA(G105,F105)=2,"m3",IF(COUNTA(C105:F105)=4,"m3",IF(COUNTA(D105:F105)=3,"m3",IF(G105&gt;0,"m2",IF(COUNTA(D105,E105)=2,"m2",IF(COUNTA(C105:F105)=3,"m2",IF(COUNTA(D105:F105)=2,"m2",IF(COUNTA(C105:F105)=2,"Lm",IF(D105&gt;0,"Lm",IF(E105&gt;0,"Lm",IF(C105&gt;0,"No.",))))))))))))))))</f>
        <v>0</v>
      </c>
      <c r="K105" s="147" t="str">
        <f t="shared" si="58"/>
        <v/>
      </c>
      <c r="L105" s="148" t="str">
        <f t="shared" si="58"/>
        <v/>
      </c>
      <c r="M105" s="148"/>
      <c r="N105" s="148"/>
      <c r="O105" s="148"/>
      <c r="P105" s="148"/>
      <c r="Q105" s="148"/>
      <c r="R105" s="148"/>
      <c r="S105" s="148"/>
      <c r="T105" s="148"/>
      <c r="U105" s="147" t="str">
        <f>IF($I105="","",IF(Notes!$B$9="Domestic",2,IF(Notes!$B$9="Commercial","")))</f>
        <v/>
      </c>
      <c r="V105" s="148"/>
      <c r="W105" s="148" t="str">
        <f>IF($I105="","",IF(Notes!$B$9="Domestic","",IF(Notes!$B$9="Commercial",2)))</f>
        <v/>
      </c>
      <c r="X105" s="148"/>
      <c r="Y105" s="148"/>
      <c r="Z105" s="148"/>
      <c r="AA105" s="148"/>
      <c r="AB105" s="149"/>
      <c r="AC105" s="139" t="str">
        <f t="shared" si="49"/>
        <v/>
      </c>
      <c r="AD105" s="148"/>
      <c r="AE105" s="148"/>
      <c r="AF105" s="148"/>
      <c r="AG105" s="148"/>
      <c r="AH105" s="148"/>
      <c r="AI105" s="148"/>
      <c r="AJ105" s="148"/>
      <c r="AK105" s="149"/>
    </row>
    <row r="106" spans="2:37" ht="18.75" hidden="1" outlineLevel="1" x14ac:dyDescent="0.25">
      <c r="B106" s="129" t="s">
        <v>346</v>
      </c>
      <c r="C106" s="130"/>
      <c r="D106" s="241" t="s">
        <v>799</v>
      </c>
      <c r="E106" s="130"/>
      <c r="F106" s="130"/>
      <c r="G106" s="241" t="s">
        <v>798</v>
      </c>
      <c r="H106" s="130"/>
      <c r="I106" s="131">
        <f>SUM(I107:I116)</f>
        <v>0</v>
      </c>
      <c r="J106" s="132" t="s">
        <v>11</v>
      </c>
      <c r="K106" s="133">
        <f t="shared" ref="K106:L106" si="59">IFERROR(SUMPRODUCT($I107:$I116,K107:K116),0)</f>
        <v>0</v>
      </c>
      <c r="L106" s="134">
        <f t="shared" si="59"/>
        <v>0</v>
      </c>
      <c r="M106" s="134">
        <f t="shared" ref="M106:R106" si="60">IFERROR(SUMPRODUCT($I107:$I116,M107:M116),0)</f>
        <v>0</v>
      </c>
      <c r="N106" s="134">
        <f t="shared" si="60"/>
        <v>0</v>
      </c>
      <c r="O106" s="134">
        <f t="shared" si="60"/>
        <v>0</v>
      </c>
      <c r="P106" s="134">
        <f t="shared" si="60"/>
        <v>0</v>
      </c>
      <c r="Q106" s="134">
        <f t="shared" si="60"/>
        <v>0</v>
      </c>
      <c r="R106" s="134">
        <f t="shared" si="60"/>
        <v>0</v>
      </c>
      <c r="S106" s="134">
        <f>IFERROR(SUMPRODUCT($I107:$I116,S107:S116),0)</f>
        <v>0</v>
      </c>
      <c r="T106" s="134">
        <f t="shared" ref="T106" si="61">IFERROR(SUMPRODUCT($I107:$I116,T107:T116),0)</f>
        <v>0</v>
      </c>
      <c r="U106" s="136">
        <f t="shared" ref="U106:AK106" si="62">IFERROR(SUMPRODUCT($I107:$I116,U107:U116),0)</f>
        <v>0</v>
      </c>
      <c r="V106" s="137">
        <f t="shared" si="62"/>
        <v>0</v>
      </c>
      <c r="W106" s="137">
        <f t="shared" si="62"/>
        <v>0</v>
      </c>
      <c r="X106" s="137">
        <f t="shared" si="62"/>
        <v>0</v>
      </c>
      <c r="Y106" s="137">
        <f t="shared" si="62"/>
        <v>0</v>
      </c>
      <c r="Z106" s="137">
        <f t="shared" si="62"/>
        <v>0</v>
      </c>
      <c r="AA106" s="137">
        <f t="shared" si="62"/>
        <v>0</v>
      </c>
      <c r="AB106" s="150">
        <f t="shared" si="62"/>
        <v>0</v>
      </c>
      <c r="AC106" s="133">
        <f t="shared" si="62"/>
        <v>0</v>
      </c>
      <c r="AD106" s="134">
        <f t="shared" si="62"/>
        <v>0</v>
      </c>
      <c r="AE106" s="134">
        <f t="shared" si="62"/>
        <v>0</v>
      </c>
      <c r="AF106" s="134">
        <f t="shared" si="62"/>
        <v>0</v>
      </c>
      <c r="AG106" s="134">
        <f t="shared" si="62"/>
        <v>0</v>
      </c>
      <c r="AH106" s="134">
        <f t="shared" si="62"/>
        <v>0</v>
      </c>
      <c r="AI106" s="134">
        <f t="shared" si="62"/>
        <v>0</v>
      </c>
      <c r="AJ106" s="134">
        <f t="shared" si="62"/>
        <v>0</v>
      </c>
      <c r="AK106" s="135">
        <f t="shared" si="62"/>
        <v>0</v>
      </c>
    </row>
    <row r="107" spans="2:37" ht="15.75" hidden="1" outlineLevel="1" x14ac:dyDescent="0.25">
      <c r="B107" s="138"/>
      <c r="C107" s="22"/>
      <c r="D107" s="31"/>
      <c r="E107" s="22"/>
      <c r="F107" s="22"/>
      <c r="G107" s="31"/>
      <c r="H107" s="22"/>
      <c r="I107" s="32" t="str">
        <f>IF(SUM(C107:H107)=0,"",IF(G107=0,1,G107))</f>
        <v/>
      </c>
      <c r="J107" s="32">
        <f>IF(COUNTA(C107:H107)=0,0,IF(I107="","",IF(F107-SUM(C107+D107+E107+G107+H107)=F107,"Lm",IF(COUNTA(C107:H107)&gt;4,"ERROR",IF(H107&gt;0,"m3",IF(COUNTA(G107,F107)=2,"m3",IF(COUNTA(C107:F107)=4,"m3",IF(COUNTA(D107:F107)=3,"m3",IF(G107&gt;0,"m2",IF(COUNTA(D107,E107)=2,"m2",IF(COUNTA(C107:F107)=3,"m2",IF(COUNTA(D107:F107)=2,"m2",IF(COUNTA(C107:F107)=2,"Lm",IF(D107&gt;0,"Lm",IF(E107&gt;0,"Lm",IF(C107&gt;0,"No.",))))))))))))))))</f>
        <v>0</v>
      </c>
      <c r="K107" s="139"/>
      <c r="L107" s="140" t="str">
        <f>IF($I107="","",2)</f>
        <v/>
      </c>
      <c r="M107" s="140"/>
      <c r="N107" s="140"/>
      <c r="O107" s="140"/>
      <c r="P107" s="140"/>
      <c r="Q107" s="140"/>
      <c r="R107" s="140"/>
      <c r="S107" s="140"/>
      <c r="T107" s="140"/>
      <c r="U107" s="142" t="str">
        <f>IF($I107="","",IF(Notes!$B$9="Domestic",2,IF(Notes!$B$9="Commercial","")))</f>
        <v/>
      </c>
      <c r="V107" s="140"/>
      <c r="W107" s="140" t="str">
        <f>IF($I107="","",IF(Notes!$B$9="Domestic","",IF(Notes!$B$9="Commercial",2)))</f>
        <v/>
      </c>
      <c r="X107" s="140"/>
      <c r="Y107" s="140"/>
      <c r="Z107" s="140"/>
      <c r="AA107" s="140"/>
      <c r="AB107" s="141"/>
      <c r="AC107" s="139" t="str">
        <f>IF($I107="","",2)</f>
        <v/>
      </c>
      <c r="AD107" s="140"/>
      <c r="AE107" s="140"/>
      <c r="AF107" s="140"/>
      <c r="AG107" s="140"/>
      <c r="AH107" s="140"/>
      <c r="AI107" s="140"/>
      <c r="AJ107" s="140"/>
      <c r="AK107" s="141"/>
    </row>
    <row r="108" spans="2:37" ht="15.75" hidden="1" outlineLevel="1" x14ac:dyDescent="0.25">
      <c r="B108" s="138"/>
      <c r="C108" s="22"/>
      <c r="D108" s="31"/>
      <c r="E108" s="22"/>
      <c r="F108" s="22"/>
      <c r="G108" s="31"/>
      <c r="H108" s="22"/>
      <c r="I108" s="32" t="str">
        <f t="shared" ref="I108:I116" si="63">IF(SUM(C108:H108)=0,"",IF(G108=0,1,G108))</f>
        <v/>
      </c>
      <c r="J108" s="32">
        <f t="shared" ref="J108:J111" si="64">IF(COUNTA(C108:H108)=0,0,IF(I108="","",IF(F108-SUM(C108+D108+E108+G108+H108)=F108,"Lm",IF(COUNTA(C108:H108)&gt;4,"ERROR",IF(H108&gt;0,"m3",IF(COUNTA(G108,F108)=2,"m3",IF(COUNTA(C108:F108)=4,"m3",IF(COUNTA(D108:F108)=3,"m3",IF(G108&gt;0,"m2",IF(COUNTA(D108,E108)=2,"m2",IF(COUNTA(C108:F108)=3,"m2",IF(COUNTA(D108:F108)=2,"m2",IF(COUNTA(C108:F108)=2,"Lm",IF(D108&gt;0,"Lm",IF(E108&gt;0,"Lm",IF(C108&gt;0,"No.",))))))))))))))))</f>
        <v>0</v>
      </c>
      <c r="K108" s="139"/>
      <c r="L108" s="22" t="str">
        <f t="shared" ref="L108:L116" si="65">IF($I108="","",2)</f>
        <v/>
      </c>
      <c r="M108" s="22"/>
      <c r="N108" s="22"/>
      <c r="O108" s="22"/>
      <c r="P108" s="22"/>
      <c r="Q108" s="22"/>
      <c r="R108" s="22"/>
      <c r="S108" s="22"/>
      <c r="T108" s="144"/>
      <c r="U108" s="139" t="str">
        <f>IF($I108="","",IF(Notes!$B$9="Domestic",2,IF(Notes!$B$9="Commercial","")))</f>
        <v/>
      </c>
      <c r="V108" s="144"/>
      <c r="W108" s="144" t="str">
        <f>IF($I108="","",IF(Notes!$B$9="Domestic","",IF(Notes!$B$9="Commercial",2)))</f>
        <v/>
      </c>
      <c r="X108" s="144"/>
      <c r="Y108" s="144"/>
      <c r="Z108" s="144"/>
      <c r="AA108" s="144"/>
      <c r="AB108" s="143"/>
      <c r="AC108" s="139" t="str">
        <f t="shared" si="49"/>
        <v/>
      </c>
      <c r="AD108" s="144"/>
      <c r="AE108" s="144"/>
      <c r="AF108" s="144"/>
      <c r="AG108" s="144"/>
      <c r="AH108" s="144"/>
      <c r="AI108" s="144"/>
      <c r="AJ108" s="144"/>
      <c r="AK108" s="143"/>
    </row>
    <row r="109" spans="2:37" ht="15.75" hidden="1" outlineLevel="1" x14ac:dyDescent="0.25">
      <c r="B109" s="138"/>
      <c r="C109" s="22"/>
      <c r="D109" s="31"/>
      <c r="E109" s="22"/>
      <c r="F109" s="22"/>
      <c r="G109" s="31"/>
      <c r="H109" s="22"/>
      <c r="I109" s="32" t="str">
        <f t="shared" si="63"/>
        <v/>
      </c>
      <c r="J109" s="32">
        <f t="shared" si="64"/>
        <v>0</v>
      </c>
      <c r="K109" s="139"/>
      <c r="L109" s="22" t="str">
        <f t="shared" si="65"/>
        <v/>
      </c>
      <c r="M109" s="22"/>
      <c r="N109" s="22"/>
      <c r="O109" s="22"/>
      <c r="P109" s="22"/>
      <c r="Q109" s="22"/>
      <c r="R109" s="22"/>
      <c r="S109" s="22"/>
      <c r="T109" s="144"/>
      <c r="U109" s="139" t="str">
        <f>IF($I109="","",IF(Notes!$B$9="Domestic",2,IF(Notes!$B$9="Commercial","")))</f>
        <v/>
      </c>
      <c r="V109" s="144"/>
      <c r="W109" s="144" t="str">
        <f>IF($I109="","",IF(Notes!$B$9="Domestic","",IF(Notes!$B$9="Commercial",2)))</f>
        <v/>
      </c>
      <c r="X109" s="144"/>
      <c r="Y109" s="144"/>
      <c r="Z109" s="144"/>
      <c r="AA109" s="144"/>
      <c r="AB109" s="143"/>
      <c r="AC109" s="139" t="str">
        <f t="shared" si="49"/>
        <v/>
      </c>
      <c r="AD109" s="144"/>
      <c r="AE109" s="144"/>
      <c r="AF109" s="144"/>
      <c r="AG109" s="144"/>
      <c r="AH109" s="144"/>
      <c r="AI109" s="144"/>
      <c r="AJ109" s="144"/>
      <c r="AK109" s="143"/>
    </row>
    <row r="110" spans="2:37" ht="15.75" hidden="1" outlineLevel="1" x14ac:dyDescent="0.25">
      <c r="B110" s="138"/>
      <c r="C110" s="22"/>
      <c r="D110" s="31"/>
      <c r="E110" s="22"/>
      <c r="F110" s="22"/>
      <c r="G110" s="31"/>
      <c r="H110" s="22"/>
      <c r="I110" s="32" t="str">
        <f t="shared" si="63"/>
        <v/>
      </c>
      <c r="J110" s="32">
        <f t="shared" si="64"/>
        <v>0</v>
      </c>
      <c r="K110" s="139"/>
      <c r="L110" s="22" t="str">
        <f t="shared" si="65"/>
        <v/>
      </c>
      <c r="M110" s="22"/>
      <c r="N110" s="22"/>
      <c r="O110" s="22"/>
      <c r="P110" s="22"/>
      <c r="Q110" s="22"/>
      <c r="R110" s="22"/>
      <c r="S110" s="22"/>
      <c r="T110" s="144"/>
      <c r="U110" s="139" t="str">
        <f>IF($I110="","",IF(Notes!$B$9="Domestic",2,IF(Notes!$B$9="Commercial","")))</f>
        <v/>
      </c>
      <c r="V110" s="144"/>
      <c r="W110" s="144" t="str">
        <f>IF($I110="","",IF(Notes!$B$9="Domestic","",IF(Notes!$B$9="Commercial",2)))</f>
        <v/>
      </c>
      <c r="X110" s="144"/>
      <c r="Y110" s="144"/>
      <c r="Z110" s="144"/>
      <c r="AA110" s="144"/>
      <c r="AB110" s="143"/>
      <c r="AC110" s="139" t="str">
        <f t="shared" si="49"/>
        <v/>
      </c>
      <c r="AD110" s="144"/>
      <c r="AE110" s="144"/>
      <c r="AF110" s="144"/>
      <c r="AG110" s="144"/>
      <c r="AH110" s="144"/>
      <c r="AI110" s="144"/>
      <c r="AJ110" s="144"/>
      <c r="AK110" s="143"/>
    </row>
    <row r="111" spans="2:37" ht="15.75" hidden="1" outlineLevel="1" x14ac:dyDescent="0.25">
      <c r="B111" s="138"/>
      <c r="C111" s="22"/>
      <c r="D111" s="31"/>
      <c r="E111" s="22"/>
      <c r="F111" s="22"/>
      <c r="G111" s="31"/>
      <c r="H111" s="22"/>
      <c r="I111" s="32" t="str">
        <f t="shared" si="63"/>
        <v/>
      </c>
      <c r="J111" s="32">
        <f t="shared" si="64"/>
        <v>0</v>
      </c>
      <c r="K111" s="139"/>
      <c r="L111" s="22" t="str">
        <f t="shared" si="65"/>
        <v/>
      </c>
      <c r="M111" s="22"/>
      <c r="N111" s="22"/>
      <c r="O111" s="22"/>
      <c r="P111" s="22"/>
      <c r="Q111" s="22"/>
      <c r="R111" s="22"/>
      <c r="S111" s="22"/>
      <c r="T111" s="144"/>
      <c r="U111" s="139" t="str">
        <f>IF($I111="","",IF(Notes!$B$9="Domestic",2,IF(Notes!$B$9="Commercial","")))</f>
        <v/>
      </c>
      <c r="V111" s="144"/>
      <c r="W111" s="144" t="str">
        <f>IF($I111="","",IF(Notes!$B$9="Domestic","",IF(Notes!$B$9="Commercial",2)))</f>
        <v/>
      </c>
      <c r="X111" s="144"/>
      <c r="Y111" s="144"/>
      <c r="Z111" s="144"/>
      <c r="AA111" s="144"/>
      <c r="AB111" s="143"/>
      <c r="AC111" s="139" t="str">
        <f t="shared" si="49"/>
        <v/>
      </c>
      <c r="AD111" s="144"/>
      <c r="AE111" s="144"/>
      <c r="AF111" s="144"/>
      <c r="AG111" s="144"/>
      <c r="AH111" s="144"/>
      <c r="AI111" s="144"/>
      <c r="AJ111" s="144"/>
      <c r="AK111" s="143"/>
    </row>
    <row r="112" spans="2:37" ht="15.75" hidden="1" outlineLevel="1" x14ac:dyDescent="0.25">
      <c r="B112" s="138"/>
      <c r="C112" s="22"/>
      <c r="D112" s="31"/>
      <c r="E112" s="22"/>
      <c r="F112" s="22"/>
      <c r="G112" s="31"/>
      <c r="H112" s="22"/>
      <c r="I112" s="32" t="str">
        <f t="shared" si="63"/>
        <v/>
      </c>
      <c r="J112" s="32">
        <f>IF(COUNTA(C112:H112)=0,0,IF(I112="","",IF(F112-SUM(C112+D112+E112+G112+H112)=F112,"Lm",IF(COUNTA(C112:H112)&gt;4,"ERROR",IF(H112&gt;0,"m3",IF(COUNTA(G112,F112)=2,"m3",IF(COUNTA(C112:F112)=4,"m3",IF(COUNTA(D112:F112)=3,"m3",IF(G112&gt;0,"m2",IF(COUNTA(D112,E112)=2,"m2",IF(COUNTA(C112:F112)=3,"m2",IF(COUNTA(D112:F112)=2,"m2",IF(COUNTA(C112:F112)=2,"Lm",IF(D112&gt;0,"Lm",IF(E112&gt;0,"Lm",IF(C112&gt;0,"No.",))))))))))))))))</f>
        <v>0</v>
      </c>
      <c r="K112" s="139"/>
      <c r="L112" s="22" t="str">
        <f t="shared" si="65"/>
        <v/>
      </c>
      <c r="M112" s="22"/>
      <c r="N112" s="22"/>
      <c r="O112" s="22"/>
      <c r="P112" s="22"/>
      <c r="Q112" s="22"/>
      <c r="R112" s="22"/>
      <c r="S112" s="22"/>
      <c r="T112" s="144"/>
      <c r="U112" s="139" t="str">
        <f>IF($I112="","",IF(Notes!$B$9="Domestic",2,IF(Notes!$B$9="Commercial","")))</f>
        <v/>
      </c>
      <c r="V112" s="144"/>
      <c r="W112" s="144" t="str">
        <f>IF($I112="","",IF(Notes!$B$9="Domestic","",IF(Notes!$B$9="Commercial",2)))</f>
        <v/>
      </c>
      <c r="X112" s="144"/>
      <c r="Y112" s="144"/>
      <c r="Z112" s="144"/>
      <c r="AA112" s="144"/>
      <c r="AB112" s="143"/>
      <c r="AC112" s="139" t="str">
        <f t="shared" si="49"/>
        <v/>
      </c>
      <c r="AD112" s="144"/>
      <c r="AE112" s="144"/>
      <c r="AF112" s="144"/>
      <c r="AG112" s="144"/>
      <c r="AH112" s="144"/>
      <c r="AI112" s="144"/>
      <c r="AJ112" s="144"/>
      <c r="AK112" s="143"/>
    </row>
    <row r="113" spans="2:37" ht="15.75" hidden="1" outlineLevel="1" x14ac:dyDescent="0.25">
      <c r="B113" s="138"/>
      <c r="C113" s="22"/>
      <c r="D113" s="31"/>
      <c r="E113" s="22"/>
      <c r="F113" s="22"/>
      <c r="G113" s="31"/>
      <c r="H113" s="22"/>
      <c r="I113" s="32" t="str">
        <f t="shared" si="63"/>
        <v/>
      </c>
      <c r="J113" s="32">
        <f>IF(COUNTA(C113:H113)=0,0,IF(I113="","",IF(F113-SUM(C113+D113+E113+G113+H113)=F113,"Lm",IF(COUNTA(C113:H113)&gt;4,"ERROR",IF(H113&gt;0,"m3",IF(COUNTA(G113,F113)=2,"m3",IF(COUNTA(C113:F113)=4,"m3",IF(COUNTA(D113:F113)=3,"m3",IF(G113&gt;0,"m2",IF(COUNTA(D113,E113)=2,"m2",IF(COUNTA(C113:F113)=3,"m2",IF(COUNTA(D113:F113)=2,"m2",IF(COUNTA(C113:F113)=2,"Lm",IF(D113&gt;0,"Lm",IF(E113&gt;0,"Lm",IF(C113&gt;0,"No.",))))))))))))))))</f>
        <v>0</v>
      </c>
      <c r="K113" s="139"/>
      <c r="L113" s="22" t="str">
        <f t="shared" si="65"/>
        <v/>
      </c>
      <c r="M113" s="22"/>
      <c r="N113" s="22"/>
      <c r="O113" s="22"/>
      <c r="P113" s="22"/>
      <c r="Q113" s="22"/>
      <c r="R113" s="22"/>
      <c r="S113" s="22"/>
      <c r="T113" s="144"/>
      <c r="U113" s="139" t="str">
        <f>IF($I113="","",IF(Notes!$B$9="Domestic",2,IF(Notes!$B$9="Commercial","")))</f>
        <v/>
      </c>
      <c r="V113" s="144"/>
      <c r="W113" s="144" t="str">
        <f>IF($I113="","",IF(Notes!$B$9="Domestic","",IF(Notes!$B$9="Commercial",2)))</f>
        <v/>
      </c>
      <c r="X113" s="144"/>
      <c r="Y113" s="144"/>
      <c r="Z113" s="144"/>
      <c r="AA113" s="144"/>
      <c r="AB113" s="143"/>
      <c r="AC113" s="139" t="str">
        <f t="shared" si="49"/>
        <v/>
      </c>
      <c r="AD113" s="144"/>
      <c r="AE113" s="144"/>
      <c r="AF113" s="144"/>
      <c r="AG113" s="144"/>
      <c r="AH113" s="144"/>
      <c r="AI113" s="144"/>
      <c r="AJ113" s="144"/>
      <c r="AK113" s="143"/>
    </row>
    <row r="114" spans="2:37" ht="15.75" hidden="1" outlineLevel="1" x14ac:dyDescent="0.25">
      <c r="B114" s="138"/>
      <c r="C114" s="22"/>
      <c r="D114" s="31"/>
      <c r="E114" s="22"/>
      <c r="F114" s="22"/>
      <c r="G114" s="31"/>
      <c r="H114" s="22"/>
      <c r="I114" s="32" t="str">
        <f t="shared" si="63"/>
        <v/>
      </c>
      <c r="J114" s="32">
        <f>IF(COUNTA(C114:H114)=0,0,IF(I114="","",IF(F114-SUM(C114+D114+E114+G114+H114)=F114,"Lm",IF(COUNTA(C114:H114)&gt;4,"ERROR",IF(H114&gt;0,"m3",IF(COUNTA(G114,F114)=2,"m3",IF(COUNTA(C114:F114)=4,"m3",IF(COUNTA(D114:F114)=3,"m3",IF(G114&gt;0,"m2",IF(COUNTA(D114,E114)=2,"m2",IF(COUNTA(C114:F114)=3,"m2",IF(COUNTA(D114:F114)=2,"m2",IF(COUNTA(C114:F114)=2,"Lm",IF(D114&gt;0,"Lm",IF(E114&gt;0,"Lm",IF(C114&gt;0,"No.",))))))))))))))))</f>
        <v>0</v>
      </c>
      <c r="K114" s="139"/>
      <c r="L114" s="22" t="str">
        <f t="shared" si="65"/>
        <v/>
      </c>
      <c r="M114" s="22"/>
      <c r="N114" s="22"/>
      <c r="O114" s="22"/>
      <c r="P114" s="22"/>
      <c r="Q114" s="22"/>
      <c r="R114" s="22"/>
      <c r="S114" s="22"/>
      <c r="T114" s="144"/>
      <c r="U114" s="139" t="str">
        <f>IF($I114="","",IF(Notes!$B$9="Domestic",2,IF(Notes!$B$9="Commercial","")))</f>
        <v/>
      </c>
      <c r="V114" s="144"/>
      <c r="W114" s="144" t="str">
        <f>IF($I114="","",IF(Notes!$B$9="Domestic","",IF(Notes!$B$9="Commercial",2)))</f>
        <v/>
      </c>
      <c r="X114" s="144"/>
      <c r="Y114" s="144"/>
      <c r="Z114" s="144"/>
      <c r="AA114" s="144"/>
      <c r="AB114" s="143"/>
      <c r="AC114" s="139" t="str">
        <f t="shared" si="49"/>
        <v/>
      </c>
      <c r="AD114" s="144"/>
      <c r="AE114" s="144"/>
      <c r="AF114" s="144"/>
      <c r="AG114" s="144"/>
      <c r="AH114" s="144"/>
      <c r="AI114" s="144"/>
      <c r="AJ114" s="144"/>
      <c r="AK114" s="143"/>
    </row>
    <row r="115" spans="2:37" ht="15.75" hidden="1" outlineLevel="1" x14ac:dyDescent="0.25">
      <c r="B115" s="138"/>
      <c r="C115" s="22"/>
      <c r="D115" s="31"/>
      <c r="E115" s="22"/>
      <c r="F115" s="22"/>
      <c r="G115" s="31"/>
      <c r="H115" s="22"/>
      <c r="I115" s="32" t="str">
        <f t="shared" si="63"/>
        <v/>
      </c>
      <c r="J115" s="32">
        <f>IF(COUNTA(C115:H115)=0,0,IF(I115="","",IF(F115-SUM(C115+D115+E115+G115+H115)=F115,"Lm",IF(COUNTA(C115:H115)&gt;4,"ERROR",IF(H115&gt;0,"m3",IF(COUNTA(G115,F115)=2,"m3",IF(COUNTA(C115:F115)=4,"m3",IF(COUNTA(D115:F115)=3,"m3",IF(G115&gt;0,"m2",IF(COUNTA(D115,E115)=2,"m2",IF(COUNTA(C115:F115)=3,"m2",IF(COUNTA(D115:F115)=2,"m2",IF(COUNTA(C115:F115)=2,"Lm",IF(D115&gt;0,"Lm",IF(E115&gt;0,"Lm",IF(C115&gt;0,"No.",))))))))))))))))</f>
        <v>0</v>
      </c>
      <c r="K115" s="139"/>
      <c r="L115" s="22" t="str">
        <f t="shared" si="65"/>
        <v/>
      </c>
      <c r="M115" s="22"/>
      <c r="N115" s="22"/>
      <c r="O115" s="22"/>
      <c r="P115" s="22"/>
      <c r="Q115" s="22"/>
      <c r="R115" s="22"/>
      <c r="S115" s="22"/>
      <c r="T115" s="144"/>
      <c r="U115" s="139" t="str">
        <f>IF($I115="","",IF(Notes!$B$9="Domestic",2,IF(Notes!$B$9="Commercial","")))</f>
        <v/>
      </c>
      <c r="V115" s="144"/>
      <c r="W115" s="144" t="str">
        <f>IF($I115="","",IF(Notes!$B$9="Domestic","",IF(Notes!$B$9="Commercial",2)))</f>
        <v/>
      </c>
      <c r="X115" s="144"/>
      <c r="Y115" s="144"/>
      <c r="Z115" s="144"/>
      <c r="AA115" s="144"/>
      <c r="AB115" s="143"/>
      <c r="AC115" s="139" t="str">
        <f t="shared" si="49"/>
        <v/>
      </c>
      <c r="AD115" s="144"/>
      <c r="AE115" s="144"/>
      <c r="AF115" s="144"/>
      <c r="AG115" s="144"/>
      <c r="AH115" s="144"/>
      <c r="AI115" s="144"/>
      <c r="AJ115" s="144"/>
      <c r="AK115" s="143"/>
    </row>
    <row r="116" spans="2:37" ht="15.75" hidden="1" outlineLevel="1" x14ac:dyDescent="0.25">
      <c r="B116" s="145"/>
      <c r="C116" s="148"/>
      <c r="D116" s="22"/>
      <c r="E116" s="22"/>
      <c r="F116" s="22"/>
      <c r="G116" s="22"/>
      <c r="H116" s="22"/>
      <c r="I116" s="32" t="str">
        <f t="shared" si="63"/>
        <v/>
      </c>
      <c r="J116" s="146">
        <f>IF(COUNTA(C116:H116)=0,0,IF(I116="","",IF(F116-SUM(C116+D116+E116+G116+H116)=F116,"Lm",IF(COUNTA(C116:H116)&gt;4,"ERROR",IF(H116&gt;0,"m3",IF(COUNTA(G116,F116)=2,"m3",IF(COUNTA(C116:F116)=4,"m3",IF(COUNTA(D116:F116)=3,"m3",IF(G116&gt;0,"m2",IF(COUNTA(D116,E116)=2,"m2",IF(COUNTA(C116:F116)=3,"m2",IF(COUNTA(D116:F116)=2,"m2",IF(COUNTA(C116:F116)=2,"Lm",IF(D116&gt;0,"Lm",IF(E116&gt;0,"Lm",IF(C116&gt;0,"No.",))))))))))))))))</f>
        <v>0</v>
      </c>
      <c r="K116" s="147"/>
      <c r="L116" s="148" t="str">
        <f t="shared" si="65"/>
        <v/>
      </c>
      <c r="M116" s="148"/>
      <c r="N116" s="148"/>
      <c r="O116" s="148"/>
      <c r="P116" s="148"/>
      <c r="Q116" s="148"/>
      <c r="R116" s="148"/>
      <c r="S116" s="148"/>
      <c r="T116" s="148"/>
      <c r="U116" s="147" t="str">
        <f>IF($I116="","",IF(Notes!$B$9="Domestic",2,IF(Notes!$B$9="Commercial","")))</f>
        <v/>
      </c>
      <c r="V116" s="148"/>
      <c r="W116" s="148" t="str">
        <f>IF($I116="","",IF(Notes!$B$9="Domestic","",IF(Notes!$B$9="Commercial",2)))</f>
        <v/>
      </c>
      <c r="X116" s="148"/>
      <c r="Y116" s="148"/>
      <c r="Z116" s="148"/>
      <c r="AA116" s="148"/>
      <c r="AB116" s="149"/>
      <c r="AC116" s="147" t="str">
        <f t="shared" si="49"/>
        <v/>
      </c>
      <c r="AD116" s="148"/>
      <c r="AE116" s="148"/>
      <c r="AF116" s="148"/>
      <c r="AG116" s="148"/>
      <c r="AH116" s="148"/>
      <c r="AI116" s="148"/>
      <c r="AJ116" s="148"/>
      <c r="AK116" s="149"/>
    </row>
    <row r="117" spans="2:37" ht="18.75" hidden="1" outlineLevel="2" x14ac:dyDescent="0.25">
      <c r="B117" s="129"/>
      <c r="C117" s="130"/>
      <c r="D117" s="241" t="s">
        <v>799</v>
      </c>
      <c r="E117" s="130"/>
      <c r="F117" s="130"/>
      <c r="G117" s="241" t="s">
        <v>798</v>
      </c>
      <c r="H117" s="130"/>
      <c r="I117" s="131">
        <f>SUM(I118:I127)</f>
        <v>0</v>
      </c>
      <c r="J117" s="132" t="s">
        <v>11</v>
      </c>
      <c r="K117" s="133">
        <f t="shared" ref="K117:R117" si="66">IFERROR(SUMPRODUCT($I118:$I127,K118:K127),0)</f>
        <v>0</v>
      </c>
      <c r="L117" s="134">
        <f t="shared" si="66"/>
        <v>0</v>
      </c>
      <c r="M117" s="134">
        <f t="shared" si="66"/>
        <v>0</v>
      </c>
      <c r="N117" s="134">
        <f t="shared" si="66"/>
        <v>0</v>
      </c>
      <c r="O117" s="134">
        <f t="shared" si="66"/>
        <v>0</v>
      </c>
      <c r="P117" s="134">
        <f t="shared" si="66"/>
        <v>0</v>
      </c>
      <c r="Q117" s="134">
        <f t="shared" si="66"/>
        <v>0</v>
      </c>
      <c r="R117" s="134">
        <f t="shared" si="66"/>
        <v>0</v>
      </c>
      <c r="S117" s="134">
        <f>IFERROR(SUMPRODUCT($I118:$I127,S118:S127),0)</f>
        <v>0</v>
      </c>
      <c r="T117" s="134">
        <f t="shared" ref="T117" si="67">IFERROR(SUMPRODUCT($I118:$I127,T118:T127),0)</f>
        <v>0</v>
      </c>
      <c r="U117" s="136">
        <f t="shared" ref="U117:AK117" si="68">IFERROR(SUMPRODUCT($I118:$I127,U118:U127),0)</f>
        <v>0</v>
      </c>
      <c r="V117" s="137">
        <f t="shared" si="68"/>
        <v>0</v>
      </c>
      <c r="W117" s="137">
        <f t="shared" si="68"/>
        <v>0</v>
      </c>
      <c r="X117" s="137">
        <f t="shared" si="68"/>
        <v>0</v>
      </c>
      <c r="Y117" s="137">
        <f t="shared" si="68"/>
        <v>0</v>
      </c>
      <c r="Z117" s="137">
        <f t="shared" si="68"/>
        <v>0</v>
      </c>
      <c r="AA117" s="137">
        <f t="shared" si="68"/>
        <v>0</v>
      </c>
      <c r="AB117" s="150">
        <f t="shared" si="68"/>
        <v>0</v>
      </c>
      <c r="AC117" s="133">
        <f t="shared" si="68"/>
        <v>0</v>
      </c>
      <c r="AD117" s="134">
        <f t="shared" si="68"/>
        <v>0</v>
      </c>
      <c r="AE117" s="134">
        <f t="shared" si="68"/>
        <v>0</v>
      </c>
      <c r="AF117" s="134">
        <f t="shared" si="68"/>
        <v>0</v>
      </c>
      <c r="AG117" s="134">
        <f t="shared" si="68"/>
        <v>0</v>
      </c>
      <c r="AH117" s="134">
        <f t="shared" si="68"/>
        <v>0</v>
      </c>
      <c r="AI117" s="134">
        <f t="shared" si="68"/>
        <v>0</v>
      </c>
      <c r="AJ117" s="134">
        <f t="shared" si="68"/>
        <v>0</v>
      </c>
      <c r="AK117" s="135">
        <f t="shared" si="68"/>
        <v>0</v>
      </c>
    </row>
    <row r="118" spans="2:37" ht="15.75" hidden="1" outlineLevel="2" x14ac:dyDescent="0.25">
      <c r="B118" s="138"/>
      <c r="C118" s="22"/>
      <c r="D118" s="31"/>
      <c r="E118" s="22"/>
      <c r="F118" s="22"/>
      <c r="G118" s="31"/>
      <c r="H118" s="22"/>
      <c r="I118" s="32" t="str">
        <f>IF(SUM(C118:H118)=0,"",IF(G118=0,1,G118))</f>
        <v/>
      </c>
      <c r="J118" s="32">
        <f>IF(COUNTA(C118:H118)=0,0,IF(I118="","",IF(F118-SUM(C118+D118+E118+G118+H118)=F118,"Lm",IF(COUNTA(C118:H118)&gt;4,"ERROR",IF(H118&gt;0,"m3",IF(COUNTA(G118,F118)=2,"m3",IF(COUNTA(C118:F118)=4,"m3",IF(COUNTA(D118:F118)=3,"m3",IF(G118&gt;0,"m2",IF(COUNTA(D118,E118)=2,"m2",IF(COUNTA(C118:F118)=3,"m2",IF(COUNTA(D118:F118)=2,"m2",IF(COUNTA(C118:F118)=2,"Lm",IF(D118&gt;0,"Lm",IF(E118&gt;0,"Lm",IF(C118&gt;0,"No.",))))))))))))))))</f>
        <v>0</v>
      </c>
      <c r="K118" s="139"/>
      <c r="L118" s="140"/>
      <c r="M118" s="140"/>
      <c r="N118" s="140"/>
      <c r="O118" s="140"/>
      <c r="P118" s="140"/>
      <c r="Q118" s="140"/>
      <c r="R118" s="140"/>
      <c r="S118" s="140"/>
      <c r="T118" s="140"/>
      <c r="U118" s="142"/>
      <c r="V118" s="140"/>
      <c r="W118" s="140"/>
      <c r="X118" s="140"/>
      <c r="Y118" s="140"/>
      <c r="Z118" s="140"/>
      <c r="AA118" s="140"/>
      <c r="AB118" s="141"/>
      <c r="AC118" s="142"/>
      <c r="AD118" s="140"/>
      <c r="AE118" s="140"/>
      <c r="AF118" s="140"/>
      <c r="AG118" s="140"/>
      <c r="AH118" s="140"/>
      <c r="AI118" s="140"/>
      <c r="AJ118" s="140"/>
      <c r="AK118" s="141"/>
    </row>
    <row r="119" spans="2:37" ht="15.75" hidden="1" outlineLevel="2" x14ac:dyDescent="0.25">
      <c r="B119" s="138"/>
      <c r="C119" s="22"/>
      <c r="D119" s="31"/>
      <c r="E119" s="22"/>
      <c r="F119" s="22"/>
      <c r="G119" s="31"/>
      <c r="H119" s="22"/>
      <c r="I119" s="32" t="str">
        <f t="shared" ref="I119:I127" si="69">IF(SUM(C119:H119)=0,"",IF(G119=0,1,G119))</f>
        <v/>
      </c>
      <c r="J119" s="32">
        <f t="shared" ref="J119:J122" si="70">IF(COUNTA(C119:H119)=0,0,IF(I119="","",IF(F119-SUM(C119+D119+E119+G119+H119)=F119,"Lm",IF(COUNTA(C119:H119)&gt;4,"ERROR",IF(H119&gt;0,"m3",IF(COUNTA(G119,F119)=2,"m3",IF(COUNTA(C119:F119)=4,"m3",IF(COUNTA(D119:F119)=3,"m3",IF(G119&gt;0,"m2",IF(COUNTA(D119,E119)=2,"m2",IF(COUNTA(C119:F119)=3,"m2",IF(COUNTA(D119:F119)=2,"m2",IF(COUNTA(C119:F119)=2,"Lm",IF(D119&gt;0,"Lm",IF(E119&gt;0,"Lm",IF(C119&gt;0,"No.",))))))))))))))))</f>
        <v>0</v>
      </c>
      <c r="K119" s="139"/>
      <c r="L119" s="22"/>
      <c r="M119" s="22"/>
      <c r="N119" s="22"/>
      <c r="O119" s="22"/>
      <c r="P119" s="22"/>
      <c r="Q119" s="22"/>
      <c r="R119" s="22"/>
      <c r="S119" s="22"/>
      <c r="T119" s="144"/>
      <c r="U119" s="139"/>
      <c r="V119" s="144"/>
      <c r="W119" s="144"/>
      <c r="X119" s="144"/>
      <c r="Y119" s="144"/>
      <c r="Z119" s="144"/>
      <c r="AA119" s="144"/>
      <c r="AB119" s="143"/>
      <c r="AC119" s="139"/>
      <c r="AD119" s="144"/>
      <c r="AE119" s="144"/>
      <c r="AF119" s="144"/>
      <c r="AG119" s="144"/>
      <c r="AH119" s="144"/>
      <c r="AI119" s="144"/>
      <c r="AJ119" s="144"/>
      <c r="AK119" s="143"/>
    </row>
    <row r="120" spans="2:37" ht="15.75" hidden="1" outlineLevel="2" x14ac:dyDescent="0.25">
      <c r="B120" s="138"/>
      <c r="C120" s="22"/>
      <c r="D120" s="31"/>
      <c r="E120" s="22"/>
      <c r="F120" s="22"/>
      <c r="G120" s="31"/>
      <c r="H120" s="22"/>
      <c r="I120" s="32" t="str">
        <f t="shared" si="69"/>
        <v/>
      </c>
      <c r="J120" s="32">
        <f t="shared" si="70"/>
        <v>0</v>
      </c>
      <c r="K120" s="139"/>
      <c r="L120" s="22"/>
      <c r="M120" s="22"/>
      <c r="N120" s="22"/>
      <c r="O120" s="22"/>
      <c r="P120" s="22"/>
      <c r="Q120" s="22"/>
      <c r="R120" s="22"/>
      <c r="S120" s="22"/>
      <c r="T120" s="144"/>
      <c r="U120" s="139"/>
      <c r="V120" s="144"/>
      <c r="W120" s="144"/>
      <c r="X120" s="144"/>
      <c r="Y120" s="144"/>
      <c r="Z120" s="144"/>
      <c r="AA120" s="144"/>
      <c r="AB120" s="143"/>
      <c r="AC120" s="139"/>
      <c r="AD120" s="144"/>
      <c r="AE120" s="144"/>
      <c r="AF120" s="144"/>
      <c r="AG120" s="144"/>
      <c r="AH120" s="144"/>
      <c r="AI120" s="144"/>
      <c r="AJ120" s="144"/>
      <c r="AK120" s="143"/>
    </row>
    <row r="121" spans="2:37" ht="15.75" hidden="1" outlineLevel="2" x14ac:dyDescent="0.25">
      <c r="B121" s="138"/>
      <c r="C121" s="22"/>
      <c r="D121" s="31"/>
      <c r="E121" s="22"/>
      <c r="F121" s="22"/>
      <c r="G121" s="31"/>
      <c r="H121" s="22"/>
      <c r="I121" s="32" t="str">
        <f t="shared" si="69"/>
        <v/>
      </c>
      <c r="J121" s="32">
        <f t="shared" si="70"/>
        <v>0</v>
      </c>
      <c r="K121" s="139"/>
      <c r="L121" s="22"/>
      <c r="M121" s="22"/>
      <c r="N121" s="22"/>
      <c r="O121" s="22"/>
      <c r="P121" s="22"/>
      <c r="Q121" s="22"/>
      <c r="R121" s="22"/>
      <c r="S121" s="22"/>
      <c r="T121" s="144"/>
      <c r="U121" s="139"/>
      <c r="V121" s="144"/>
      <c r="W121" s="144"/>
      <c r="X121" s="144"/>
      <c r="Y121" s="144"/>
      <c r="Z121" s="144"/>
      <c r="AA121" s="144"/>
      <c r="AB121" s="143"/>
      <c r="AC121" s="139"/>
      <c r="AD121" s="144"/>
      <c r="AE121" s="144"/>
      <c r="AF121" s="144"/>
      <c r="AG121" s="144"/>
      <c r="AH121" s="144"/>
      <c r="AI121" s="144"/>
      <c r="AJ121" s="144"/>
      <c r="AK121" s="143"/>
    </row>
    <row r="122" spans="2:37" ht="15.75" hidden="1" outlineLevel="2" x14ac:dyDescent="0.25">
      <c r="B122" s="138"/>
      <c r="C122" s="22"/>
      <c r="D122" s="31"/>
      <c r="E122" s="22"/>
      <c r="F122" s="22"/>
      <c r="G122" s="31"/>
      <c r="H122" s="22"/>
      <c r="I122" s="32" t="str">
        <f t="shared" si="69"/>
        <v/>
      </c>
      <c r="J122" s="32">
        <f t="shared" si="70"/>
        <v>0</v>
      </c>
      <c r="K122" s="139"/>
      <c r="L122" s="22"/>
      <c r="M122" s="22"/>
      <c r="N122" s="22"/>
      <c r="O122" s="22"/>
      <c r="P122" s="22"/>
      <c r="Q122" s="22"/>
      <c r="R122" s="22"/>
      <c r="S122" s="22"/>
      <c r="T122" s="144"/>
      <c r="U122" s="139"/>
      <c r="V122" s="144"/>
      <c r="W122" s="144"/>
      <c r="X122" s="144"/>
      <c r="Y122" s="144"/>
      <c r="Z122" s="144"/>
      <c r="AA122" s="144"/>
      <c r="AB122" s="143"/>
      <c r="AC122" s="139"/>
      <c r="AD122" s="144"/>
      <c r="AE122" s="144"/>
      <c r="AF122" s="144"/>
      <c r="AG122" s="144"/>
      <c r="AH122" s="144"/>
      <c r="AI122" s="144"/>
      <c r="AJ122" s="144"/>
      <c r="AK122" s="143"/>
    </row>
    <row r="123" spans="2:37" ht="15.75" hidden="1" outlineLevel="2" x14ac:dyDescent="0.25">
      <c r="B123" s="138"/>
      <c r="C123" s="22"/>
      <c r="D123" s="31"/>
      <c r="E123" s="22"/>
      <c r="F123" s="22"/>
      <c r="G123" s="31"/>
      <c r="H123" s="22"/>
      <c r="I123" s="32" t="str">
        <f t="shared" si="69"/>
        <v/>
      </c>
      <c r="J123" s="32">
        <f>IF(COUNTA(C123:H123)=0,0,IF(I123="","",IF(F123-SUM(C123+D123+E123+G123+H123)=F123,"Lm",IF(COUNTA(C123:H123)&gt;4,"ERROR",IF(H123&gt;0,"m3",IF(COUNTA(G123,F123)=2,"m3",IF(COUNTA(C123:F123)=4,"m3",IF(COUNTA(D123:F123)=3,"m3",IF(G123&gt;0,"m2",IF(COUNTA(D123,E123)=2,"m2",IF(COUNTA(C123:F123)=3,"m2",IF(COUNTA(D123:F123)=2,"m2",IF(COUNTA(C123:F123)=2,"Lm",IF(D123&gt;0,"Lm",IF(E123&gt;0,"Lm",IF(C123&gt;0,"No.",))))))))))))))))</f>
        <v>0</v>
      </c>
      <c r="K123" s="139"/>
      <c r="L123" s="22"/>
      <c r="M123" s="22"/>
      <c r="N123" s="22"/>
      <c r="O123" s="22"/>
      <c r="P123" s="22"/>
      <c r="Q123" s="22"/>
      <c r="R123" s="22"/>
      <c r="S123" s="22"/>
      <c r="T123" s="144"/>
      <c r="U123" s="139"/>
      <c r="V123" s="144"/>
      <c r="W123" s="144"/>
      <c r="X123" s="144"/>
      <c r="Y123" s="144"/>
      <c r="Z123" s="144"/>
      <c r="AA123" s="144"/>
      <c r="AB123" s="143"/>
      <c r="AC123" s="139"/>
      <c r="AD123" s="144"/>
      <c r="AE123" s="144"/>
      <c r="AF123" s="144"/>
      <c r="AG123" s="144"/>
      <c r="AH123" s="144"/>
      <c r="AI123" s="144"/>
      <c r="AJ123" s="144"/>
      <c r="AK123" s="143"/>
    </row>
    <row r="124" spans="2:37" ht="15.75" hidden="1" outlineLevel="2" x14ac:dyDescent="0.25">
      <c r="B124" s="138"/>
      <c r="C124" s="22"/>
      <c r="D124" s="31"/>
      <c r="E124" s="22"/>
      <c r="F124" s="22"/>
      <c r="G124" s="31"/>
      <c r="H124" s="22"/>
      <c r="I124" s="32" t="str">
        <f t="shared" si="69"/>
        <v/>
      </c>
      <c r="J124" s="32">
        <f>IF(COUNTA(C124:H124)=0,0,IF(I124="","",IF(F124-SUM(C124+D124+E124+G124+H124)=F124,"Lm",IF(COUNTA(C124:H124)&gt;4,"ERROR",IF(H124&gt;0,"m3",IF(COUNTA(G124,F124)=2,"m3",IF(COUNTA(C124:F124)=4,"m3",IF(COUNTA(D124:F124)=3,"m3",IF(G124&gt;0,"m2",IF(COUNTA(D124,E124)=2,"m2",IF(COUNTA(C124:F124)=3,"m2",IF(COUNTA(D124:F124)=2,"m2",IF(COUNTA(C124:F124)=2,"Lm",IF(D124&gt;0,"Lm",IF(E124&gt;0,"Lm",IF(C124&gt;0,"No.",))))))))))))))))</f>
        <v>0</v>
      </c>
      <c r="K124" s="139"/>
      <c r="L124" s="22"/>
      <c r="M124" s="22"/>
      <c r="N124" s="22"/>
      <c r="O124" s="22"/>
      <c r="P124" s="22"/>
      <c r="Q124" s="22"/>
      <c r="R124" s="22"/>
      <c r="S124" s="22"/>
      <c r="T124" s="144"/>
      <c r="U124" s="139"/>
      <c r="V124" s="144"/>
      <c r="W124" s="144"/>
      <c r="X124" s="144"/>
      <c r="Y124" s="144"/>
      <c r="Z124" s="144"/>
      <c r="AA124" s="144"/>
      <c r="AB124" s="143"/>
      <c r="AC124" s="139"/>
      <c r="AD124" s="144"/>
      <c r="AE124" s="144"/>
      <c r="AF124" s="144"/>
      <c r="AG124" s="144"/>
      <c r="AH124" s="144"/>
      <c r="AI124" s="144"/>
      <c r="AJ124" s="144"/>
      <c r="AK124" s="143"/>
    </row>
    <row r="125" spans="2:37" ht="15.75" hidden="1" outlineLevel="2" x14ac:dyDescent="0.25">
      <c r="B125" s="138"/>
      <c r="C125" s="22"/>
      <c r="D125" s="31"/>
      <c r="E125" s="22"/>
      <c r="F125" s="22"/>
      <c r="G125" s="31"/>
      <c r="H125" s="22"/>
      <c r="I125" s="32" t="str">
        <f t="shared" si="69"/>
        <v/>
      </c>
      <c r="J125" s="32">
        <f>IF(COUNTA(C125:H125)=0,0,IF(I125="","",IF(F125-SUM(C125+D125+E125+G125+H125)=F125,"Lm",IF(COUNTA(C125:H125)&gt;4,"ERROR",IF(H125&gt;0,"m3",IF(COUNTA(G125,F125)=2,"m3",IF(COUNTA(C125:F125)=4,"m3",IF(COUNTA(D125:F125)=3,"m3",IF(G125&gt;0,"m2",IF(COUNTA(D125,E125)=2,"m2",IF(COUNTA(C125:F125)=3,"m2",IF(COUNTA(D125:F125)=2,"m2",IF(COUNTA(C125:F125)=2,"Lm",IF(D125&gt;0,"Lm",IF(E125&gt;0,"Lm",IF(C125&gt;0,"No.",))))))))))))))))</f>
        <v>0</v>
      </c>
      <c r="K125" s="139"/>
      <c r="L125" s="22"/>
      <c r="M125" s="22"/>
      <c r="N125" s="22"/>
      <c r="O125" s="22"/>
      <c r="P125" s="22"/>
      <c r="Q125" s="22"/>
      <c r="R125" s="22"/>
      <c r="S125" s="22"/>
      <c r="T125" s="144"/>
      <c r="U125" s="139"/>
      <c r="V125" s="144"/>
      <c r="W125" s="144"/>
      <c r="X125" s="144"/>
      <c r="Y125" s="144"/>
      <c r="Z125" s="144"/>
      <c r="AA125" s="144"/>
      <c r="AB125" s="143"/>
      <c r="AC125" s="139"/>
      <c r="AD125" s="144"/>
      <c r="AE125" s="144"/>
      <c r="AF125" s="144"/>
      <c r="AG125" s="144"/>
      <c r="AH125" s="144"/>
      <c r="AI125" s="144"/>
      <c r="AJ125" s="144"/>
      <c r="AK125" s="143"/>
    </row>
    <row r="126" spans="2:37" ht="15.75" hidden="1" outlineLevel="2" x14ac:dyDescent="0.25">
      <c r="B126" s="138"/>
      <c r="C126" s="22"/>
      <c r="D126" s="31"/>
      <c r="E126" s="22"/>
      <c r="F126" s="22"/>
      <c r="G126" s="31"/>
      <c r="H126" s="22"/>
      <c r="I126" s="32" t="str">
        <f t="shared" si="69"/>
        <v/>
      </c>
      <c r="J126" s="32">
        <f>IF(COUNTA(C126:H126)=0,0,IF(I126="","",IF(F126-SUM(C126+D126+E126+G126+H126)=F126,"Lm",IF(COUNTA(C126:H126)&gt;4,"ERROR",IF(H126&gt;0,"m3",IF(COUNTA(G126,F126)=2,"m3",IF(COUNTA(C126:F126)=4,"m3",IF(COUNTA(D126:F126)=3,"m3",IF(G126&gt;0,"m2",IF(COUNTA(D126,E126)=2,"m2",IF(COUNTA(C126:F126)=3,"m2",IF(COUNTA(D126:F126)=2,"m2",IF(COUNTA(C126:F126)=2,"Lm",IF(D126&gt;0,"Lm",IF(E126&gt;0,"Lm",IF(C126&gt;0,"No.",))))))))))))))))</f>
        <v>0</v>
      </c>
      <c r="K126" s="139"/>
      <c r="L126" s="22"/>
      <c r="M126" s="22"/>
      <c r="N126" s="22"/>
      <c r="O126" s="22"/>
      <c r="P126" s="22"/>
      <c r="Q126" s="22"/>
      <c r="R126" s="22"/>
      <c r="S126" s="22"/>
      <c r="T126" s="144"/>
      <c r="U126" s="139"/>
      <c r="V126" s="144"/>
      <c r="W126" s="144"/>
      <c r="X126" s="144"/>
      <c r="Y126" s="144"/>
      <c r="Z126" s="144"/>
      <c r="AA126" s="144"/>
      <c r="AB126" s="143"/>
      <c r="AC126" s="139"/>
      <c r="AD126" s="144"/>
      <c r="AE126" s="144"/>
      <c r="AF126" s="144"/>
      <c r="AG126" s="144"/>
      <c r="AH126" s="144"/>
      <c r="AI126" s="144"/>
      <c r="AJ126" s="144"/>
      <c r="AK126" s="143"/>
    </row>
    <row r="127" spans="2:37" ht="15.75" hidden="1" outlineLevel="2" x14ac:dyDescent="0.25">
      <c r="B127" s="145"/>
      <c r="C127" s="22"/>
      <c r="D127" s="22"/>
      <c r="E127" s="22"/>
      <c r="F127" s="22"/>
      <c r="G127" s="22"/>
      <c r="H127" s="22"/>
      <c r="I127" s="32" t="str">
        <f t="shared" si="69"/>
        <v/>
      </c>
      <c r="J127" s="146">
        <f>IF(COUNTA(C127:H127)=0,0,IF(I127="","",IF(F127-SUM(C127+D127+E127+G127+H127)=F127,"Lm",IF(COUNTA(C127:H127)&gt;4,"ERROR",IF(H127&gt;0,"m3",IF(COUNTA(G127,F127)=2,"m3",IF(COUNTA(C127:F127)=4,"m3",IF(COUNTA(D127:F127)=3,"m3",IF(G127&gt;0,"m2",IF(COUNTA(D127,E127)=2,"m2",IF(COUNTA(C127:F127)=3,"m2",IF(COUNTA(D127:F127)=2,"m2",IF(COUNTA(C127:F127)=2,"Lm",IF(D127&gt;0,"Lm",IF(E127&gt;0,"Lm",IF(C127&gt;0,"No.",))))))))))))))))</f>
        <v>0</v>
      </c>
      <c r="K127" s="147"/>
      <c r="L127" s="148"/>
      <c r="M127" s="148"/>
      <c r="N127" s="148"/>
      <c r="O127" s="148"/>
      <c r="P127" s="148"/>
      <c r="Q127" s="148"/>
      <c r="R127" s="148"/>
      <c r="S127" s="148"/>
      <c r="T127" s="148"/>
      <c r="U127" s="147"/>
      <c r="V127" s="148"/>
      <c r="W127" s="148"/>
      <c r="X127" s="148"/>
      <c r="Y127" s="148"/>
      <c r="Z127" s="148"/>
      <c r="AA127" s="148"/>
      <c r="AB127" s="149"/>
      <c r="AC127" s="147"/>
      <c r="AD127" s="148"/>
      <c r="AE127" s="148"/>
      <c r="AF127" s="148"/>
      <c r="AG127" s="148"/>
      <c r="AH127" s="148"/>
      <c r="AI127" s="148"/>
      <c r="AJ127" s="148"/>
      <c r="AK127" s="149"/>
    </row>
    <row r="128" spans="2:37" ht="18.75" hidden="1" outlineLevel="2" x14ac:dyDescent="0.25">
      <c r="B128" s="129"/>
      <c r="C128" s="130"/>
      <c r="D128" s="241" t="s">
        <v>799</v>
      </c>
      <c r="E128" s="130"/>
      <c r="F128" s="130"/>
      <c r="G128" s="241" t="s">
        <v>798</v>
      </c>
      <c r="H128" s="130"/>
      <c r="I128" s="131">
        <f>SUM(I129:I138)</f>
        <v>0</v>
      </c>
      <c r="J128" s="132" t="s">
        <v>11</v>
      </c>
      <c r="K128" s="133">
        <f t="shared" ref="K128:R128" si="71">IFERROR(SUMPRODUCT($I129:$I138,K129:K138),0)</f>
        <v>0</v>
      </c>
      <c r="L128" s="134">
        <f t="shared" si="71"/>
        <v>0</v>
      </c>
      <c r="M128" s="134">
        <f t="shared" si="71"/>
        <v>0</v>
      </c>
      <c r="N128" s="134">
        <f t="shared" si="71"/>
        <v>0</v>
      </c>
      <c r="O128" s="134">
        <f t="shared" si="71"/>
        <v>0</v>
      </c>
      <c r="P128" s="134">
        <f t="shared" si="71"/>
        <v>0</v>
      </c>
      <c r="Q128" s="134">
        <f t="shared" si="71"/>
        <v>0</v>
      </c>
      <c r="R128" s="134">
        <f t="shared" si="71"/>
        <v>0</v>
      </c>
      <c r="S128" s="134">
        <f>IFERROR(SUMPRODUCT($I129:$I138,S129:S138),0)</f>
        <v>0</v>
      </c>
      <c r="T128" s="134">
        <f t="shared" ref="T128" si="72">IFERROR(SUMPRODUCT($I129:$I138,T129:T138),0)</f>
        <v>0</v>
      </c>
      <c r="U128" s="136">
        <f t="shared" ref="U128:AK128" si="73">IFERROR(SUMPRODUCT($I129:$I138,U129:U138),0)</f>
        <v>0</v>
      </c>
      <c r="V128" s="137">
        <f t="shared" si="73"/>
        <v>0</v>
      </c>
      <c r="W128" s="137">
        <f t="shared" si="73"/>
        <v>0</v>
      </c>
      <c r="X128" s="137">
        <f t="shared" si="73"/>
        <v>0</v>
      </c>
      <c r="Y128" s="137">
        <f t="shared" si="73"/>
        <v>0</v>
      </c>
      <c r="Z128" s="137">
        <f t="shared" si="73"/>
        <v>0</v>
      </c>
      <c r="AA128" s="137">
        <f t="shared" si="73"/>
        <v>0</v>
      </c>
      <c r="AB128" s="150">
        <f t="shared" si="73"/>
        <v>0</v>
      </c>
      <c r="AC128" s="133">
        <f t="shared" si="73"/>
        <v>0</v>
      </c>
      <c r="AD128" s="134">
        <f t="shared" si="73"/>
        <v>0</v>
      </c>
      <c r="AE128" s="134">
        <f t="shared" si="73"/>
        <v>0</v>
      </c>
      <c r="AF128" s="134">
        <f t="shared" si="73"/>
        <v>0</v>
      </c>
      <c r="AG128" s="134">
        <f t="shared" si="73"/>
        <v>0</v>
      </c>
      <c r="AH128" s="134">
        <f t="shared" si="73"/>
        <v>0</v>
      </c>
      <c r="AI128" s="134">
        <f t="shared" si="73"/>
        <v>0</v>
      </c>
      <c r="AJ128" s="134">
        <f t="shared" si="73"/>
        <v>0</v>
      </c>
      <c r="AK128" s="135">
        <f t="shared" si="73"/>
        <v>0</v>
      </c>
    </row>
    <row r="129" spans="2:37" ht="15.75" hidden="1" outlineLevel="2" x14ac:dyDescent="0.25">
      <c r="B129" s="138"/>
      <c r="C129" s="22"/>
      <c r="D129" s="31"/>
      <c r="E129" s="22"/>
      <c r="F129" s="22"/>
      <c r="G129" s="31"/>
      <c r="H129" s="22"/>
      <c r="I129" s="32" t="str">
        <f>IF(SUM(C129:H129)=0,"",IF(G129=0,1,G129))</f>
        <v/>
      </c>
      <c r="J129" s="32">
        <f>IF(COUNTA(C129:H129)=0,0,IF(I129="","",IF(F129-SUM(C129+D129+E129+G129+H129)=F129,"Lm",IF(COUNTA(C129:H129)&gt;4,"ERROR",IF(H129&gt;0,"m3",IF(COUNTA(G129,F129)=2,"m3",IF(COUNTA(C129:F129)=4,"m3",IF(COUNTA(D129:F129)=3,"m3",IF(G129&gt;0,"m2",IF(COUNTA(D129,E129)=2,"m2",IF(COUNTA(C129:F129)=3,"m2",IF(COUNTA(D129:F129)=2,"m2",IF(COUNTA(C129:F129)=2,"Lm",IF(D129&gt;0,"Lm",IF(E129&gt;0,"Lm",IF(C129&gt;0,"No.",))))))))))))))))</f>
        <v>0</v>
      </c>
      <c r="K129" s="139"/>
      <c r="L129" s="140"/>
      <c r="M129" s="140"/>
      <c r="N129" s="140"/>
      <c r="O129" s="140"/>
      <c r="P129" s="140"/>
      <c r="Q129" s="140"/>
      <c r="R129" s="140"/>
      <c r="S129" s="140"/>
      <c r="T129" s="140"/>
      <c r="U129" s="142"/>
      <c r="V129" s="140"/>
      <c r="W129" s="140"/>
      <c r="X129" s="140"/>
      <c r="Y129" s="140"/>
      <c r="Z129" s="140"/>
      <c r="AA129" s="140"/>
      <c r="AB129" s="141"/>
      <c r="AC129" s="142"/>
      <c r="AD129" s="140"/>
      <c r="AE129" s="140"/>
      <c r="AF129" s="140"/>
      <c r="AG129" s="140"/>
      <c r="AH129" s="140"/>
      <c r="AI129" s="140"/>
      <c r="AJ129" s="140"/>
      <c r="AK129" s="141"/>
    </row>
    <row r="130" spans="2:37" ht="15.75" hidden="1" outlineLevel="2" x14ac:dyDescent="0.25">
      <c r="B130" s="138"/>
      <c r="C130" s="22"/>
      <c r="D130" s="31"/>
      <c r="E130" s="22"/>
      <c r="F130" s="22"/>
      <c r="G130" s="31"/>
      <c r="H130" s="22"/>
      <c r="I130" s="32" t="str">
        <f t="shared" ref="I130:I138" si="74">IF(SUM(C130:H130)=0,"",IF(G130=0,1,G130))</f>
        <v/>
      </c>
      <c r="J130" s="32">
        <f t="shared" ref="J130:J133" si="75">IF(COUNTA(C130:H130)=0,0,IF(I130="","",IF(F130-SUM(C130+D130+E130+G130+H130)=F130,"Lm",IF(COUNTA(C130:H130)&gt;4,"ERROR",IF(H130&gt;0,"m3",IF(COUNTA(G130,F130)=2,"m3",IF(COUNTA(C130:F130)=4,"m3",IF(COUNTA(D130:F130)=3,"m3",IF(G130&gt;0,"m2",IF(COUNTA(D130,E130)=2,"m2",IF(COUNTA(C130:F130)=3,"m2",IF(COUNTA(D130:F130)=2,"m2",IF(COUNTA(C130:F130)=2,"Lm",IF(D130&gt;0,"Lm",IF(E130&gt;0,"Lm",IF(C130&gt;0,"No.",))))))))))))))))</f>
        <v>0</v>
      </c>
      <c r="K130" s="139"/>
      <c r="L130" s="22"/>
      <c r="M130" s="22"/>
      <c r="N130" s="22"/>
      <c r="O130" s="22"/>
      <c r="P130" s="22"/>
      <c r="Q130" s="22"/>
      <c r="R130" s="22"/>
      <c r="S130" s="22"/>
      <c r="T130" s="144"/>
      <c r="U130" s="139"/>
      <c r="V130" s="144"/>
      <c r="W130" s="144"/>
      <c r="X130" s="144"/>
      <c r="Y130" s="144"/>
      <c r="Z130" s="144"/>
      <c r="AA130" s="144"/>
      <c r="AB130" s="143"/>
      <c r="AC130" s="139"/>
      <c r="AD130" s="144"/>
      <c r="AE130" s="144"/>
      <c r="AF130" s="144"/>
      <c r="AG130" s="144"/>
      <c r="AH130" s="144"/>
      <c r="AI130" s="144"/>
      <c r="AJ130" s="144"/>
      <c r="AK130" s="143"/>
    </row>
    <row r="131" spans="2:37" ht="15.75" hidden="1" outlineLevel="2" x14ac:dyDescent="0.25">
      <c r="B131" s="138"/>
      <c r="C131" s="22"/>
      <c r="D131" s="31"/>
      <c r="E131" s="22"/>
      <c r="F131" s="22"/>
      <c r="G131" s="31"/>
      <c r="H131" s="22"/>
      <c r="I131" s="32" t="str">
        <f t="shared" si="74"/>
        <v/>
      </c>
      <c r="J131" s="32">
        <f t="shared" si="75"/>
        <v>0</v>
      </c>
      <c r="K131" s="139"/>
      <c r="L131" s="22"/>
      <c r="M131" s="22"/>
      <c r="N131" s="22"/>
      <c r="O131" s="22"/>
      <c r="P131" s="22"/>
      <c r="Q131" s="22"/>
      <c r="R131" s="22"/>
      <c r="S131" s="22"/>
      <c r="T131" s="144"/>
      <c r="U131" s="139"/>
      <c r="V131" s="144"/>
      <c r="W131" s="144"/>
      <c r="X131" s="144"/>
      <c r="Y131" s="144"/>
      <c r="Z131" s="144"/>
      <c r="AA131" s="144"/>
      <c r="AB131" s="143"/>
      <c r="AC131" s="139"/>
      <c r="AD131" s="144"/>
      <c r="AE131" s="144"/>
      <c r="AF131" s="144"/>
      <c r="AG131" s="144"/>
      <c r="AH131" s="144"/>
      <c r="AI131" s="144"/>
      <c r="AJ131" s="144"/>
      <c r="AK131" s="143"/>
    </row>
    <row r="132" spans="2:37" ht="15.75" hidden="1" outlineLevel="2" x14ac:dyDescent="0.25">
      <c r="B132" s="138"/>
      <c r="C132" s="22"/>
      <c r="D132" s="31"/>
      <c r="E132" s="22"/>
      <c r="F132" s="22"/>
      <c r="G132" s="31"/>
      <c r="H132" s="22"/>
      <c r="I132" s="32" t="str">
        <f t="shared" si="74"/>
        <v/>
      </c>
      <c r="J132" s="32">
        <f t="shared" si="75"/>
        <v>0</v>
      </c>
      <c r="K132" s="139"/>
      <c r="L132" s="22"/>
      <c r="M132" s="22"/>
      <c r="N132" s="22"/>
      <c r="O132" s="22"/>
      <c r="P132" s="22"/>
      <c r="Q132" s="22"/>
      <c r="R132" s="22"/>
      <c r="S132" s="22"/>
      <c r="T132" s="144"/>
      <c r="U132" s="139"/>
      <c r="V132" s="144"/>
      <c r="W132" s="144"/>
      <c r="X132" s="144"/>
      <c r="Y132" s="144"/>
      <c r="Z132" s="144"/>
      <c r="AA132" s="144"/>
      <c r="AB132" s="143"/>
      <c r="AC132" s="139"/>
      <c r="AD132" s="144"/>
      <c r="AE132" s="144"/>
      <c r="AF132" s="144"/>
      <c r="AG132" s="144"/>
      <c r="AH132" s="144"/>
      <c r="AI132" s="144"/>
      <c r="AJ132" s="144"/>
      <c r="AK132" s="143"/>
    </row>
    <row r="133" spans="2:37" ht="15.75" hidden="1" outlineLevel="2" x14ac:dyDescent="0.25">
      <c r="B133" s="138"/>
      <c r="C133" s="22"/>
      <c r="D133" s="31"/>
      <c r="E133" s="22"/>
      <c r="F133" s="22"/>
      <c r="G133" s="31"/>
      <c r="H133" s="22"/>
      <c r="I133" s="32" t="str">
        <f t="shared" si="74"/>
        <v/>
      </c>
      <c r="J133" s="32">
        <f t="shared" si="75"/>
        <v>0</v>
      </c>
      <c r="K133" s="139"/>
      <c r="L133" s="22"/>
      <c r="M133" s="22"/>
      <c r="N133" s="22"/>
      <c r="O133" s="22"/>
      <c r="P133" s="22"/>
      <c r="Q133" s="22"/>
      <c r="R133" s="22"/>
      <c r="S133" s="22"/>
      <c r="T133" s="144"/>
      <c r="U133" s="139"/>
      <c r="V133" s="144"/>
      <c r="W133" s="144"/>
      <c r="X133" s="144"/>
      <c r="Y133" s="144"/>
      <c r="Z133" s="144"/>
      <c r="AA133" s="144"/>
      <c r="AB133" s="143"/>
      <c r="AC133" s="139"/>
      <c r="AD133" s="144"/>
      <c r="AE133" s="144"/>
      <c r="AF133" s="144"/>
      <c r="AG133" s="144"/>
      <c r="AH133" s="144"/>
      <c r="AI133" s="144"/>
      <c r="AJ133" s="144"/>
      <c r="AK133" s="143"/>
    </row>
    <row r="134" spans="2:37" ht="15.75" hidden="1" outlineLevel="2" x14ac:dyDescent="0.25">
      <c r="B134" s="138"/>
      <c r="C134" s="22"/>
      <c r="D134" s="31"/>
      <c r="E134" s="22"/>
      <c r="F134" s="22"/>
      <c r="G134" s="31"/>
      <c r="H134" s="22"/>
      <c r="I134" s="32" t="str">
        <f t="shared" si="74"/>
        <v/>
      </c>
      <c r="J134" s="32">
        <f>IF(COUNTA(C134:H134)=0,0,IF(I134="","",IF(F134-SUM(C134+D134+E134+G134+H134)=F134,"Lm",IF(COUNTA(C134:H134)&gt;4,"ERROR",IF(H134&gt;0,"m3",IF(COUNTA(G134,F134)=2,"m3",IF(COUNTA(C134:F134)=4,"m3",IF(COUNTA(D134:F134)=3,"m3",IF(G134&gt;0,"m2",IF(COUNTA(D134,E134)=2,"m2",IF(COUNTA(C134:F134)=3,"m2",IF(COUNTA(D134:F134)=2,"m2",IF(COUNTA(C134:F134)=2,"Lm",IF(D134&gt;0,"Lm",IF(E134&gt;0,"Lm",IF(C134&gt;0,"No.",))))))))))))))))</f>
        <v>0</v>
      </c>
      <c r="K134" s="139"/>
      <c r="L134" s="22"/>
      <c r="M134" s="22"/>
      <c r="N134" s="22"/>
      <c r="O134" s="22"/>
      <c r="P134" s="22"/>
      <c r="Q134" s="22"/>
      <c r="R134" s="22"/>
      <c r="S134" s="22"/>
      <c r="T134" s="144"/>
      <c r="U134" s="139"/>
      <c r="V134" s="144"/>
      <c r="W134" s="144"/>
      <c r="X134" s="144"/>
      <c r="Y134" s="144"/>
      <c r="Z134" s="144"/>
      <c r="AA134" s="144"/>
      <c r="AB134" s="143"/>
      <c r="AC134" s="139"/>
      <c r="AD134" s="144"/>
      <c r="AE134" s="144"/>
      <c r="AF134" s="144"/>
      <c r="AG134" s="144"/>
      <c r="AH134" s="144"/>
      <c r="AI134" s="144"/>
      <c r="AJ134" s="144"/>
      <c r="AK134" s="143"/>
    </row>
    <row r="135" spans="2:37" ht="15.75" hidden="1" outlineLevel="2" x14ac:dyDescent="0.25">
      <c r="B135" s="138"/>
      <c r="C135" s="22"/>
      <c r="D135" s="31"/>
      <c r="E135" s="22"/>
      <c r="F135" s="22"/>
      <c r="G135" s="31"/>
      <c r="H135" s="22"/>
      <c r="I135" s="32" t="str">
        <f t="shared" si="74"/>
        <v/>
      </c>
      <c r="J135" s="32">
        <f>IF(COUNTA(C135:H135)=0,0,IF(I135="","",IF(F135-SUM(C135+D135+E135+G135+H135)=F135,"Lm",IF(COUNTA(C135:H135)&gt;4,"ERROR",IF(H135&gt;0,"m3",IF(COUNTA(G135,F135)=2,"m3",IF(COUNTA(C135:F135)=4,"m3",IF(COUNTA(D135:F135)=3,"m3",IF(G135&gt;0,"m2",IF(COUNTA(D135,E135)=2,"m2",IF(COUNTA(C135:F135)=3,"m2",IF(COUNTA(D135:F135)=2,"m2",IF(COUNTA(C135:F135)=2,"Lm",IF(D135&gt;0,"Lm",IF(E135&gt;0,"Lm",IF(C135&gt;0,"No.",))))))))))))))))</f>
        <v>0</v>
      </c>
      <c r="K135" s="139"/>
      <c r="L135" s="22"/>
      <c r="M135" s="22"/>
      <c r="N135" s="22"/>
      <c r="O135" s="22"/>
      <c r="P135" s="22"/>
      <c r="Q135" s="22"/>
      <c r="R135" s="22"/>
      <c r="S135" s="22"/>
      <c r="T135" s="144"/>
      <c r="U135" s="139"/>
      <c r="V135" s="144"/>
      <c r="W135" s="144"/>
      <c r="X135" s="144"/>
      <c r="Y135" s="144"/>
      <c r="Z135" s="144"/>
      <c r="AA135" s="144"/>
      <c r="AB135" s="143"/>
      <c r="AC135" s="139"/>
      <c r="AD135" s="144"/>
      <c r="AE135" s="144"/>
      <c r="AF135" s="144"/>
      <c r="AG135" s="144"/>
      <c r="AH135" s="144"/>
      <c r="AI135" s="144"/>
      <c r="AJ135" s="144"/>
      <c r="AK135" s="143"/>
    </row>
    <row r="136" spans="2:37" ht="15.75" hidden="1" outlineLevel="2" x14ac:dyDescent="0.25">
      <c r="B136" s="138"/>
      <c r="C136" s="22"/>
      <c r="D136" s="31"/>
      <c r="E136" s="22"/>
      <c r="F136" s="22"/>
      <c r="G136" s="31"/>
      <c r="H136" s="22"/>
      <c r="I136" s="32" t="str">
        <f t="shared" si="74"/>
        <v/>
      </c>
      <c r="J136" s="32">
        <f>IF(COUNTA(C136:H136)=0,0,IF(I136="","",IF(F136-SUM(C136+D136+E136+G136+H136)=F136,"Lm",IF(COUNTA(C136:H136)&gt;4,"ERROR",IF(H136&gt;0,"m3",IF(COUNTA(G136,F136)=2,"m3",IF(COUNTA(C136:F136)=4,"m3",IF(COUNTA(D136:F136)=3,"m3",IF(G136&gt;0,"m2",IF(COUNTA(D136,E136)=2,"m2",IF(COUNTA(C136:F136)=3,"m2",IF(COUNTA(D136:F136)=2,"m2",IF(COUNTA(C136:F136)=2,"Lm",IF(D136&gt;0,"Lm",IF(E136&gt;0,"Lm",IF(C136&gt;0,"No.",))))))))))))))))</f>
        <v>0</v>
      </c>
      <c r="K136" s="139"/>
      <c r="L136" s="22"/>
      <c r="M136" s="22"/>
      <c r="N136" s="22"/>
      <c r="O136" s="22"/>
      <c r="P136" s="22"/>
      <c r="Q136" s="22"/>
      <c r="R136" s="22"/>
      <c r="S136" s="22"/>
      <c r="T136" s="144"/>
      <c r="U136" s="139"/>
      <c r="V136" s="144"/>
      <c r="W136" s="144"/>
      <c r="X136" s="144"/>
      <c r="Y136" s="144"/>
      <c r="Z136" s="144"/>
      <c r="AA136" s="144"/>
      <c r="AB136" s="143"/>
      <c r="AC136" s="139"/>
      <c r="AD136" s="144"/>
      <c r="AE136" s="144"/>
      <c r="AF136" s="144"/>
      <c r="AG136" s="144"/>
      <c r="AH136" s="144"/>
      <c r="AI136" s="144"/>
      <c r="AJ136" s="144"/>
      <c r="AK136" s="143"/>
    </row>
    <row r="137" spans="2:37" ht="15.75" hidden="1" outlineLevel="2" x14ac:dyDescent="0.25">
      <c r="B137" s="138"/>
      <c r="C137" s="22"/>
      <c r="D137" s="31"/>
      <c r="E137" s="22"/>
      <c r="F137" s="22"/>
      <c r="G137" s="31"/>
      <c r="H137" s="22"/>
      <c r="I137" s="32" t="str">
        <f t="shared" si="74"/>
        <v/>
      </c>
      <c r="J137" s="32">
        <f>IF(COUNTA(C137:H137)=0,0,IF(I137="","",IF(F137-SUM(C137+D137+E137+G137+H137)=F137,"Lm",IF(COUNTA(C137:H137)&gt;4,"ERROR",IF(H137&gt;0,"m3",IF(COUNTA(G137,F137)=2,"m3",IF(COUNTA(C137:F137)=4,"m3",IF(COUNTA(D137:F137)=3,"m3",IF(G137&gt;0,"m2",IF(COUNTA(D137,E137)=2,"m2",IF(COUNTA(C137:F137)=3,"m2",IF(COUNTA(D137:F137)=2,"m2",IF(COUNTA(C137:F137)=2,"Lm",IF(D137&gt;0,"Lm",IF(E137&gt;0,"Lm",IF(C137&gt;0,"No.",))))))))))))))))</f>
        <v>0</v>
      </c>
      <c r="K137" s="139"/>
      <c r="L137" s="22"/>
      <c r="M137" s="22"/>
      <c r="N137" s="22"/>
      <c r="O137" s="22"/>
      <c r="P137" s="22"/>
      <c r="Q137" s="22"/>
      <c r="R137" s="22"/>
      <c r="S137" s="22"/>
      <c r="T137" s="144"/>
      <c r="U137" s="139"/>
      <c r="V137" s="144"/>
      <c r="W137" s="144"/>
      <c r="X137" s="144"/>
      <c r="Y137" s="144"/>
      <c r="Z137" s="144"/>
      <c r="AA137" s="144"/>
      <c r="AB137" s="143"/>
      <c r="AC137" s="139"/>
      <c r="AD137" s="144"/>
      <c r="AE137" s="144"/>
      <c r="AF137" s="144"/>
      <c r="AG137" s="144"/>
      <c r="AH137" s="144"/>
      <c r="AI137" s="144"/>
      <c r="AJ137" s="144"/>
      <c r="AK137" s="143"/>
    </row>
    <row r="138" spans="2:37" ht="15.75" hidden="1" outlineLevel="2" x14ac:dyDescent="0.25">
      <c r="B138" s="145"/>
      <c r="C138" s="22"/>
      <c r="D138" s="22"/>
      <c r="E138" s="22"/>
      <c r="F138" s="22"/>
      <c r="G138" s="22"/>
      <c r="H138" s="22"/>
      <c r="I138" s="32" t="str">
        <f t="shared" si="74"/>
        <v/>
      </c>
      <c r="J138" s="146">
        <f>IF(COUNTA(C138:H138)=0,0,IF(I138="","",IF(F138-SUM(C138+D138+E138+G138+H138)=F138,"Lm",IF(COUNTA(C138:H138)&gt;4,"ERROR",IF(H138&gt;0,"m3",IF(COUNTA(G138,F138)=2,"m3",IF(COUNTA(C138:F138)=4,"m3",IF(COUNTA(D138:F138)=3,"m3",IF(G138&gt;0,"m2",IF(COUNTA(D138,E138)=2,"m2",IF(COUNTA(C138:F138)=3,"m2",IF(COUNTA(D138:F138)=2,"m2",IF(COUNTA(C138:F138)=2,"Lm",IF(D138&gt;0,"Lm",IF(E138&gt;0,"Lm",IF(C138&gt;0,"No.",))))))))))))))))</f>
        <v>0</v>
      </c>
      <c r="K138" s="147"/>
      <c r="L138" s="148"/>
      <c r="M138" s="148"/>
      <c r="N138" s="148"/>
      <c r="O138" s="148"/>
      <c r="P138" s="148"/>
      <c r="Q138" s="148"/>
      <c r="R138" s="148"/>
      <c r="S138" s="148"/>
      <c r="T138" s="148"/>
      <c r="U138" s="147"/>
      <c r="V138" s="148"/>
      <c r="W138" s="148"/>
      <c r="X138" s="148"/>
      <c r="Y138" s="148"/>
      <c r="Z138" s="148"/>
      <c r="AA138" s="148"/>
      <c r="AB138" s="149"/>
      <c r="AC138" s="147"/>
      <c r="AD138" s="148"/>
      <c r="AE138" s="148"/>
      <c r="AF138" s="148"/>
      <c r="AG138" s="148"/>
      <c r="AH138" s="148"/>
      <c r="AI138" s="148"/>
      <c r="AJ138" s="148"/>
      <c r="AK138" s="149"/>
    </row>
    <row r="139" spans="2:37" ht="18.75" hidden="1" outlineLevel="2" x14ac:dyDescent="0.25">
      <c r="B139" s="129"/>
      <c r="C139" s="130"/>
      <c r="D139" s="241" t="s">
        <v>799</v>
      </c>
      <c r="E139" s="130"/>
      <c r="F139" s="130"/>
      <c r="G139" s="241" t="s">
        <v>798</v>
      </c>
      <c r="H139" s="130"/>
      <c r="I139" s="131">
        <f>SUM(I140:I149)</f>
        <v>0</v>
      </c>
      <c r="J139" s="132" t="s">
        <v>11</v>
      </c>
      <c r="K139" s="133">
        <f t="shared" ref="K139:R139" si="76">IFERROR(SUMPRODUCT($I140:$I149,K140:K149),0)</f>
        <v>0</v>
      </c>
      <c r="L139" s="134">
        <f t="shared" si="76"/>
        <v>0</v>
      </c>
      <c r="M139" s="134">
        <f t="shared" si="76"/>
        <v>0</v>
      </c>
      <c r="N139" s="134">
        <f t="shared" si="76"/>
        <v>0</v>
      </c>
      <c r="O139" s="134">
        <f t="shared" si="76"/>
        <v>0</v>
      </c>
      <c r="P139" s="134">
        <f t="shared" si="76"/>
        <v>0</v>
      </c>
      <c r="Q139" s="134">
        <f t="shared" si="76"/>
        <v>0</v>
      </c>
      <c r="R139" s="134">
        <f t="shared" si="76"/>
        <v>0</v>
      </c>
      <c r="S139" s="134">
        <f>IFERROR(SUMPRODUCT($I140:$I149,S140:S149),0)</f>
        <v>0</v>
      </c>
      <c r="T139" s="134">
        <f t="shared" ref="T139" si="77">IFERROR(SUMPRODUCT($I140:$I149,T140:T149),0)</f>
        <v>0</v>
      </c>
      <c r="U139" s="136">
        <f t="shared" ref="U139:AK139" si="78">IFERROR(SUMPRODUCT($I140:$I149,U140:U149),0)</f>
        <v>0</v>
      </c>
      <c r="V139" s="137">
        <f t="shared" si="78"/>
        <v>0</v>
      </c>
      <c r="W139" s="137">
        <f t="shared" si="78"/>
        <v>0</v>
      </c>
      <c r="X139" s="137">
        <f t="shared" si="78"/>
        <v>0</v>
      </c>
      <c r="Y139" s="137">
        <f t="shared" si="78"/>
        <v>0</v>
      </c>
      <c r="Z139" s="137">
        <f t="shared" si="78"/>
        <v>0</v>
      </c>
      <c r="AA139" s="137">
        <f t="shared" si="78"/>
        <v>0</v>
      </c>
      <c r="AB139" s="150">
        <f t="shared" si="78"/>
        <v>0</v>
      </c>
      <c r="AC139" s="133">
        <f t="shared" si="78"/>
        <v>0</v>
      </c>
      <c r="AD139" s="134">
        <f t="shared" si="78"/>
        <v>0</v>
      </c>
      <c r="AE139" s="134">
        <f t="shared" si="78"/>
        <v>0</v>
      </c>
      <c r="AF139" s="134">
        <f t="shared" si="78"/>
        <v>0</v>
      </c>
      <c r="AG139" s="134">
        <f t="shared" si="78"/>
        <v>0</v>
      </c>
      <c r="AH139" s="134">
        <f t="shared" si="78"/>
        <v>0</v>
      </c>
      <c r="AI139" s="134">
        <f t="shared" si="78"/>
        <v>0</v>
      </c>
      <c r="AJ139" s="134">
        <f t="shared" si="78"/>
        <v>0</v>
      </c>
      <c r="AK139" s="135">
        <f t="shared" si="78"/>
        <v>0</v>
      </c>
    </row>
    <row r="140" spans="2:37" ht="15.75" hidden="1" outlineLevel="2" x14ac:dyDescent="0.25">
      <c r="B140" s="138"/>
      <c r="C140" s="22"/>
      <c r="D140" s="31"/>
      <c r="E140" s="22"/>
      <c r="F140" s="22"/>
      <c r="G140" s="31"/>
      <c r="H140" s="22"/>
      <c r="I140" s="32" t="str">
        <f>IF(SUM(C140:H140)=0,"",IF(G140=0,1,G140))</f>
        <v/>
      </c>
      <c r="J140" s="32">
        <f>IF(COUNTA(C140:H140)=0,0,IF(I140="","",IF(F140-SUM(C140+D140+E140+G140+H140)=F140,"Lm",IF(COUNTA(C140:H140)&gt;4,"ERROR",IF(H140&gt;0,"m3",IF(COUNTA(G140,F140)=2,"m3",IF(COUNTA(C140:F140)=4,"m3",IF(COUNTA(D140:F140)=3,"m3",IF(G140&gt;0,"m2",IF(COUNTA(D140,E140)=2,"m2",IF(COUNTA(C140:F140)=3,"m2",IF(COUNTA(D140:F140)=2,"m2",IF(COUNTA(C140:F140)=2,"Lm",IF(D140&gt;0,"Lm",IF(E140&gt;0,"Lm",IF(C140&gt;0,"No.",))))))))))))))))</f>
        <v>0</v>
      </c>
      <c r="K140" s="139"/>
      <c r="L140" s="140"/>
      <c r="M140" s="140"/>
      <c r="N140" s="140"/>
      <c r="O140" s="140"/>
      <c r="P140" s="140"/>
      <c r="Q140" s="140"/>
      <c r="R140" s="140"/>
      <c r="S140" s="140"/>
      <c r="T140" s="140"/>
      <c r="U140" s="142"/>
      <c r="V140" s="140"/>
      <c r="W140" s="140"/>
      <c r="X140" s="140"/>
      <c r="Y140" s="140"/>
      <c r="Z140" s="140"/>
      <c r="AA140" s="140"/>
      <c r="AB140" s="141"/>
      <c r="AC140" s="142"/>
      <c r="AD140" s="140"/>
      <c r="AE140" s="140"/>
      <c r="AF140" s="140"/>
      <c r="AG140" s="140"/>
      <c r="AH140" s="140"/>
      <c r="AI140" s="140"/>
      <c r="AJ140" s="140"/>
      <c r="AK140" s="141"/>
    </row>
    <row r="141" spans="2:37" ht="15.75" hidden="1" outlineLevel="2" x14ac:dyDescent="0.25">
      <c r="B141" s="138"/>
      <c r="C141" s="22"/>
      <c r="D141" s="31"/>
      <c r="E141" s="22"/>
      <c r="F141" s="22"/>
      <c r="G141" s="31"/>
      <c r="H141" s="22"/>
      <c r="I141" s="32" t="str">
        <f t="shared" ref="I141:I149" si="79">IF(SUM(C141:H141)=0,"",IF(G141=0,1,G141))</f>
        <v/>
      </c>
      <c r="J141" s="32">
        <f t="shared" ref="J141:J144" si="80">IF(COUNTA(C141:H141)=0,0,IF(I141="","",IF(F141-SUM(C141+D141+E141+G141+H141)=F141,"Lm",IF(COUNTA(C141:H141)&gt;4,"ERROR",IF(H141&gt;0,"m3",IF(COUNTA(G141,F141)=2,"m3",IF(COUNTA(C141:F141)=4,"m3",IF(COUNTA(D141:F141)=3,"m3",IF(G141&gt;0,"m2",IF(COUNTA(D141,E141)=2,"m2",IF(COUNTA(C141:F141)=3,"m2",IF(COUNTA(D141:F141)=2,"m2",IF(COUNTA(C141:F141)=2,"Lm",IF(D141&gt;0,"Lm",IF(E141&gt;0,"Lm",IF(C141&gt;0,"No.",))))))))))))))))</f>
        <v>0</v>
      </c>
      <c r="K141" s="139"/>
      <c r="L141" s="22"/>
      <c r="M141" s="22"/>
      <c r="N141" s="22"/>
      <c r="O141" s="22"/>
      <c r="P141" s="22"/>
      <c r="Q141" s="22"/>
      <c r="R141" s="22"/>
      <c r="S141" s="22"/>
      <c r="T141" s="144"/>
      <c r="U141" s="139"/>
      <c r="V141" s="144"/>
      <c r="W141" s="144"/>
      <c r="X141" s="144"/>
      <c r="Y141" s="144"/>
      <c r="Z141" s="144"/>
      <c r="AA141" s="144"/>
      <c r="AB141" s="143"/>
      <c r="AC141" s="139"/>
      <c r="AD141" s="144"/>
      <c r="AE141" s="144"/>
      <c r="AF141" s="144"/>
      <c r="AG141" s="144"/>
      <c r="AH141" s="144"/>
      <c r="AI141" s="144"/>
      <c r="AJ141" s="144"/>
      <c r="AK141" s="143"/>
    </row>
    <row r="142" spans="2:37" ht="15.75" hidden="1" outlineLevel="2" x14ac:dyDescent="0.25">
      <c r="B142" s="138"/>
      <c r="C142" s="22"/>
      <c r="D142" s="31"/>
      <c r="E142" s="22"/>
      <c r="F142" s="22"/>
      <c r="G142" s="31"/>
      <c r="H142" s="22"/>
      <c r="I142" s="32" t="str">
        <f t="shared" si="79"/>
        <v/>
      </c>
      <c r="J142" s="32">
        <f t="shared" si="80"/>
        <v>0</v>
      </c>
      <c r="K142" s="139"/>
      <c r="L142" s="22"/>
      <c r="M142" s="22"/>
      <c r="N142" s="22"/>
      <c r="O142" s="22"/>
      <c r="P142" s="22"/>
      <c r="Q142" s="22"/>
      <c r="R142" s="22"/>
      <c r="S142" s="22"/>
      <c r="T142" s="144"/>
      <c r="U142" s="139"/>
      <c r="V142" s="144"/>
      <c r="W142" s="144"/>
      <c r="X142" s="144"/>
      <c r="Y142" s="144"/>
      <c r="Z142" s="144"/>
      <c r="AA142" s="144"/>
      <c r="AB142" s="143"/>
      <c r="AC142" s="139"/>
      <c r="AD142" s="144"/>
      <c r="AE142" s="144"/>
      <c r="AF142" s="144"/>
      <c r="AG142" s="144"/>
      <c r="AH142" s="144"/>
      <c r="AI142" s="144"/>
      <c r="AJ142" s="144"/>
      <c r="AK142" s="143"/>
    </row>
    <row r="143" spans="2:37" ht="15.75" hidden="1" outlineLevel="2" x14ac:dyDescent="0.25">
      <c r="B143" s="138"/>
      <c r="C143" s="22"/>
      <c r="D143" s="31"/>
      <c r="E143" s="22"/>
      <c r="F143" s="22"/>
      <c r="G143" s="31"/>
      <c r="H143" s="22"/>
      <c r="I143" s="32" t="str">
        <f t="shared" si="79"/>
        <v/>
      </c>
      <c r="J143" s="32">
        <f t="shared" si="80"/>
        <v>0</v>
      </c>
      <c r="K143" s="139"/>
      <c r="L143" s="22"/>
      <c r="M143" s="22"/>
      <c r="N143" s="22"/>
      <c r="O143" s="22"/>
      <c r="P143" s="22"/>
      <c r="Q143" s="22"/>
      <c r="R143" s="22"/>
      <c r="S143" s="22"/>
      <c r="T143" s="144"/>
      <c r="U143" s="139"/>
      <c r="V143" s="144"/>
      <c r="W143" s="144"/>
      <c r="X143" s="144"/>
      <c r="Y143" s="144"/>
      <c r="Z143" s="144"/>
      <c r="AA143" s="144"/>
      <c r="AB143" s="143"/>
      <c r="AC143" s="139"/>
      <c r="AD143" s="144"/>
      <c r="AE143" s="144"/>
      <c r="AF143" s="144"/>
      <c r="AG143" s="144"/>
      <c r="AH143" s="144"/>
      <c r="AI143" s="144"/>
      <c r="AJ143" s="144"/>
      <c r="AK143" s="143"/>
    </row>
    <row r="144" spans="2:37" ht="15.75" hidden="1" outlineLevel="2" x14ac:dyDescent="0.25">
      <c r="B144" s="138"/>
      <c r="C144" s="22"/>
      <c r="D144" s="31"/>
      <c r="E144" s="22"/>
      <c r="F144" s="22"/>
      <c r="G144" s="31"/>
      <c r="H144" s="22"/>
      <c r="I144" s="32" t="str">
        <f t="shared" si="79"/>
        <v/>
      </c>
      <c r="J144" s="32">
        <f t="shared" si="80"/>
        <v>0</v>
      </c>
      <c r="K144" s="139"/>
      <c r="L144" s="22"/>
      <c r="M144" s="22"/>
      <c r="N144" s="22"/>
      <c r="O144" s="22"/>
      <c r="P144" s="22"/>
      <c r="Q144" s="22"/>
      <c r="R144" s="22"/>
      <c r="S144" s="22"/>
      <c r="T144" s="144"/>
      <c r="U144" s="139"/>
      <c r="V144" s="144"/>
      <c r="W144" s="144"/>
      <c r="X144" s="144"/>
      <c r="Y144" s="144"/>
      <c r="Z144" s="144"/>
      <c r="AA144" s="144"/>
      <c r="AB144" s="143"/>
      <c r="AC144" s="139"/>
      <c r="AD144" s="144"/>
      <c r="AE144" s="144"/>
      <c r="AF144" s="144"/>
      <c r="AG144" s="144"/>
      <c r="AH144" s="144"/>
      <c r="AI144" s="144"/>
      <c r="AJ144" s="144"/>
      <c r="AK144" s="143"/>
    </row>
    <row r="145" spans="2:37" ht="15.75" hidden="1" outlineLevel="2" x14ac:dyDescent="0.25">
      <c r="B145" s="138"/>
      <c r="C145" s="22"/>
      <c r="D145" s="31"/>
      <c r="E145" s="22"/>
      <c r="F145" s="22"/>
      <c r="G145" s="31"/>
      <c r="H145" s="22"/>
      <c r="I145" s="32" t="str">
        <f t="shared" si="79"/>
        <v/>
      </c>
      <c r="J145" s="32">
        <f>IF(COUNTA(C145:H145)=0,0,IF(I145="","",IF(F145-SUM(C145+D145+E145+G145+H145)=F145,"Lm",IF(COUNTA(C145:H145)&gt;4,"ERROR",IF(H145&gt;0,"m3",IF(COUNTA(G145,F145)=2,"m3",IF(COUNTA(C145:F145)=4,"m3",IF(COUNTA(D145:F145)=3,"m3",IF(G145&gt;0,"m2",IF(COUNTA(D145,E145)=2,"m2",IF(COUNTA(C145:F145)=3,"m2",IF(COUNTA(D145:F145)=2,"m2",IF(COUNTA(C145:F145)=2,"Lm",IF(D145&gt;0,"Lm",IF(E145&gt;0,"Lm",IF(C145&gt;0,"No.",))))))))))))))))</f>
        <v>0</v>
      </c>
      <c r="K145" s="139"/>
      <c r="L145" s="22"/>
      <c r="M145" s="22"/>
      <c r="N145" s="22"/>
      <c r="O145" s="22"/>
      <c r="P145" s="22"/>
      <c r="Q145" s="22"/>
      <c r="R145" s="22"/>
      <c r="S145" s="22"/>
      <c r="T145" s="144"/>
      <c r="U145" s="139"/>
      <c r="V145" s="144"/>
      <c r="W145" s="144"/>
      <c r="X145" s="144"/>
      <c r="Y145" s="144"/>
      <c r="Z145" s="144"/>
      <c r="AA145" s="144"/>
      <c r="AB145" s="143"/>
      <c r="AC145" s="139"/>
      <c r="AD145" s="144"/>
      <c r="AE145" s="144"/>
      <c r="AF145" s="144"/>
      <c r="AG145" s="144"/>
      <c r="AH145" s="144"/>
      <c r="AI145" s="144"/>
      <c r="AJ145" s="144"/>
      <c r="AK145" s="143"/>
    </row>
    <row r="146" spans="2:37" ht="15.75" hidden="1" outlineLevel="2" x14ac:dyDescent="0.25">
      <c r="B146" s="138"/>
      <c r="C146" s="22"/>
      <c r="D146" s="31"/>
      <c r="E146" s="22"/>
      <c r="F146" s="22"/>
      <c r="G146" s="31"/>
      <c r="H146" s="22"/>
      <c r="I146" s="32" t="str">
        <f t="shared" si="79"/>
        <v/>
      </c>
      <c r="J146" s="32">
        <f>IF(COUNTA(C146:H146)=0,0,IF(I146="","",IF(F146-SUM(C146+D146+E146+G146+H146)=F146,"Lm",IF(COUNTA(C146:H146)&gt;4,"ERROR",IF(H146&gt;0,"m3",IF(COUNTA(G146,F146)=2,"m3",IF(COUNTA(C146:F146)=4,"m3",IF(COUNTA(D146:F146)=3,"m3",IF(G146&gt;0,"m2",IF(COUNTA(D146,E146)=2,"m2",IF(COUNTA(C146:F146)=3,"m2",IF(COUNTA(D146:F146)=2,"m2",IF(COUNTA(C146:F146)=2,"Lm",IF(D146&gt;0,"Lm",IF(E146&gt;0,"Lm",IF(C146&gt;0,"No.",))))))))))))))))</f>
        <v>0</v>
      </c>
      <c r="K146" s="139"/>
      <c r="L146" s="22"/>
      <c r="M146" s="22"/>
      <c r="N146" s="22"/>
      <c r="O146" s="22"/>
      <c r="P146" s="22"/>
      <c r="Q146" s="22"/>
      <c r="R146" s="22"/>
      <c r="S146" s="22"/>
      <c r="T146" s="144"/>
      <c r="U146" s="139"/>
      <c r="V146" s="144"/>
      <c r="W146" s="144"/>
      <c r="X146" s="144"/>
      <c r="Y146" s="144"/>
      <c r="Z146" s="144"/>
      <c r="AA146" s="144"/>
      <c r="AB146" s="143"/>
      <c r="AC146" s="139"/>
      <c r="AD146" s="144"/>
      <c r="AE146" s="144"/>
      <c r="AF146" s="144"/>
      <c r="AG146" s="144"/>
      <c r="AH146" s="144"/>
      <c r="AI146" s="144"/>
      <c r="AJ146" s="144"/>
      <c r="AK146" s="143"/>
    </row>
    <row r="147" spans="2:37" ht="15.75" hidden="1" outlineLevel="2" x14ac:dyDescent="0.25">
      <c r="B147" s="138"/>
      <c r="C147" s="22"/>
      <c r="D147" s="31"/>
      <c r="E147" s="22"/>
      <c r="F147" s="22"/>
      <c r="G147" s="31"/>
      <c r="H147" s="22"/>
      <c r="I147" s="32" t="str">
        <f t="shared" si="79"/>
        <v/>
      </c>
      <c r="J147" s="32">
        <f>IF(COUNTA(C147:H147)=0,0,IF(I147="","",IF(F147-SUM(C147+D147+E147+G147+H147)=F147,"Lm",IF(COUNTA(C147:H147)&gt;4,"ERROR",IF(H147&gt;0,"m3",IF(COUNTA(G147,F147)=2,"m3",IF(COUNTA(C147:F147)=4,"m3",IF(COUNTA(D147:F147)=3,"m3",IF(G147&gt;0,"m2",IF(COUNTA(D147,E147)=2,"m2",IF(COUNTA(C147:F147)=3,"m2",IF(COUNTA(D147:F147)=2,"m2",IF(COUNTA(C147:F147)=2,"Lm",IF(D147&gt;0,"Lm",IF(E147&gt;0,"Lm",IF(C147&gt;0,"No.",))))))))))))))))</f>
        <v>0</v>
      </c>
      <c r="K147" s="139"/>
      <c r="L147" s="22"/>
      <c r="M147" s="22"/>
      <c r="N147" s="22"/>
      <c r="O147" s="22"/>
      <c r="P147" s="22"/>
      <c r="Q147" s="22"/>
      <c r="R147" s="22"/>
      <c r="S147" s="22"/>
      <c r="T147" s="144"/>
      <c r="U147" s="139"/>
      <c r="V147" s="144"/>
      <c r="W147" s="144"/>
      <c r="X147" s="144"/>
      <c r="Y147" s="144"/>
      <c r="Z147" s="144"/>
      <c r="AA147" s="144"/>
      <c r="AB147" s="143"/>
      <c r="AC147" s="139"/>
      <c r="AD147" s="144"/>
      <c r="AE147" s="144"/>
      <c r="AF147" s="144"/>
      <c r="AG147" s="144"/>
      <c r="AH147" s="144"/>
      <c r="AI147" s="144"/>
      <c r="AJ147" s="144"/>
      <c r="AK147" s="143"/>
    </row>
    <row r="148" spans="2:37" ht="15.75" hidden="1" outlineLevel="2" x14ac:dyDescent="0.25">
      <c r="B148" s="138"/>
      <c r="C148" s="22"/>
      <c r="D148" s="31"/>
      <c r="E148" s="22"/>
      <c r="F148" s="22"/>
      <c r="G148" s="31"/>
      <c r="H148" s="22"/>
      <c r="I148" s="32" t="str">
        <f t="shared" si="79"/>
        <v/>
      </c>
      <c r="J148" s="32">
        <f>IF(COUNTA(C148:H148)=0,0,IF(I148="","",IF(F148-SUM(C148+D148+E148+G148+H148)=F148,"Lm",IF(COUNTA(C148:H148)&gt;4,"ERROR",IF(H148&gt;0,"m3",IF(COUNTA(G148,F148)=2,"m3",IF(COUNTA(C148:F148)=4,"m3",IF(COUNTA(D148:F148)=3,"m3",IF(G148&gt;0,"m2",IF(COUNTA(D148,E148)=2,"m2",IF(COUNTA(C148:F148)=3,"m2",IF(COUNTA(D148:F148)=2,"m2",IF(COUNTA(C148:F148)=2,"Lm",IF(D148&gt;0,"Lm",IF(E148&gt;0,"Lm",IF(C148&gt;0,"No.",))))))))))))))))</f>
        <v>0</v>
      </c>
      <c r="K148" s="139"/>
      <c r="L148" s="22"/>
      <c r="M148" s="22"/>
      <c r="N148" s="22"/>
      <c r="O148" s="22"/>
      <c r="P148" s="22"/>
      <c r="Q148" s="22"/>
      <c r="R148" s="22"/>
      <c r="S148" s="22"/>
      <c r="T148" s="144"/>
      <c r="U148" s="139"/>
      <c r="V148" s="144"/>
      <c r="W148" s="144"/>
      <c r="X148" s="144"/>
      <c r="Y148" s="144"/>
      <c r="Z148" s="144"/>
      <c r="AA148" s="144"/>
      <c r="AB148" s="143"/>
      <c r="AC148" s="139"/>
      <c r="AD148" s="144"/>
      <c r="AE148" s="144"/>
      <c r="AF148" s="144"/>
      <c r="AG148" s="144"/>
      <c r="AH148" s="144"/>
      <c r="AI148" s="144"/>
      <c r="AJ148" s="144"/>
      <c r="AK148" s="143"/>
    </row>
    <row r="149" spans="2:37" ht="15.75" hidden="1" outlineLevel="2" x14ac:dyDescent="0.25">
      <c r="B149" s="145"/>
      <c r="C149" s="22"/>
      <c r="D149" s="22"/>
      <c r="E149" s="22"/>
      <c r="F149" s="22"/>
      <c r="G149" s="22"/>
      <c r="H149" s="22"/>
      <c r="I149" s="32" t="str">
        <f t="shared" si="79"/>
        <v/>
      </c>
      <c r="J149" s="146">
        <f>IF(COUNTA(C149:H149)=0,0,IF(I149="","",IF(F149-SUM(C149+D149+E149+G149+H149)=F149,"Lm",IF(COUNTA(C149:H149)&gt;4,"ERROR",IF(H149&gt;0,"m3",IF(COUNTA(G149,F149)=2,"m3",IF(COUNTA(C149:F149)=4,"m3",IF(COUNTA(D149:F149)=3,"m3",IF(G149&gt;0,"m2",IF(COUNTA(D149,E149)=2,"m2",IF(COUNTA(C149:F149)=3,"m2",IF(COUNTA(D149:F149)=2,"m2",IF(COUNTA(C149:F149)=2,"Lm",IF(D149&gt;0,"Lm",IF(E149&gt;0,"Lm",IF(C149&gt;0,"No.",))))))))))))))))</f>
        <v>0</v>
      </c>
      <c r="K149" s="147"/>
      <c r="L149" s="148"/>
      <c r="M149" s="148"/>
      <c r="N149" s="148"/>
      <c r="O149" s="148"/>
      <c r="P149" s="148"/>
      <c r="Q149" s="148"/>
      <c r="R149" s="148"/>
      <c r="S149" s="148"/>
      <c r="T149" s="148"/>
      <c r="U149" s="147"/>
      <c r="V149" s="148"/>
      <c r="W149" s="148"/>
      <c r="X149" s="148"/>
      <c r="Y149" s="148"/>
      <c r="Z149" s="148"/>
      <c r="AA149" s="148"/>
      <c r="AB149" s="149"/>
      <c r="AC149" s="147"/>
      <c r="AD149" s="148"/>
      <c r="AE149" s="148"/>
      <c r="AF149" s="148"/>
      <c r="AG149" s="148"/>
      <c r="AH149" s="148"/>
      <c r="AI149" s="148"/>
      <c r="AJ149" s="148"/>
      <c r="AK149" s="149"/>
    </row>
    <row r="150" spans="2:37" ht="18.75" hidden="1" outlineLevel="2" x14ac:dyDescent="0.25">
      <c r="B150" s="129"/>
      <c r="C150" s="130"/>
      <c r="D150" s="241" t="s">
        <v>799</v>
      </c>
      <c r="E150" s="130"/>
      <c r="F150" s="130"/>
      <c r="G150" s="241" t="s">
        <v>798</v>
      </c>
      <c r="H150" s="130"/>
      <c r="I150" s="131">
        <f>SUM(I151:I160)</f>
        <v>0</v>
      </c>
      <c r="J150" s="132" t="s">
        <v>11</v>
      </c>
      <c r="K150" s="133">
        <f t="shared" ref="K150:R150" si="81">IFERROR(SUMPRODUCT($I151:$I160,K151:K160),0)</f>
        <v>0</v>
      </c>
      <c r="L150" s="134">
        <f t="shared" si="81"/>
        <v>0</v>
      </c>
      <c r="M150" s="134">
        <f t="shared" si="81"/>
        <v>0</v>
      </c>
      <c r="N150" s="134">
        <f t="shared" si="81"/>
        <v>0</v>
      </c>
      <c r="O150" s="134">
        <f t="shared" si="81"/>
        <v>0</v>
      </c>
      <c r="P150" s="134">
        <f t="shared" si="81"/>
        <v>0</v>
      </c>
      <c r="Q150" s="134">
        <f t="shared" si="81"/>
        <v>0</v>
      </c>
      <c r="R150" s="134">
        <f t="shared" si="81"/>
        <v>0</v>
      </c>
      <c r="S150" s="134">
        <f>IFERROR(SUMPRODUCT($I151:$I160,S151:S160),0)</f>
        <v>0</v>
      </c>
      <c r="T150" s="134">
        <f t="shared" ref="T150" si="82">IFERROR(SUMPRODUCT($I151:$I160,T151:T160),0)</f>
        <v>0</v>
      </c>
      <c r="U150" s="136">
        <f t="shared" ref="U150:AK150" si="83">IFERROR(SUMPRODUCT($I151:$I160,U151:U160),0)</f>
        <v>0</v>
      </c>
      <c r="V150" s="137">
        <f t="shared" si="83"/>
        <v>0</v>
      </c>
      <c r="W150" s="137">
        <f t="shared" si="83"/>
        <v>0</v>
      </c>
      <c r="X150" s="137">
        <f t="shared" si="83"/>
        <v>0</v>
      </c>
      <c r="Y150" s="137">
        <f t="shared" si="83"/>
        <v>0</v>
      </c>
      <c r="Z150" s="137">
        <f t="shared" si="83"/>
        <v>0</v>
      </c>
      <c r="AA150" s="137">
        <f t="shared" si="83"/>
        <v>0</v>
      </c>
      <c r="AB150" s="150">
        <f t="shared" si="83"/>
        <v>0</v>
      </c>
      <c r="AC150" s="133">
        <f t="shared" si="83"/>
        <v>0</v>
      </c>
      <c r="AD150" s="134">
        <f t="shared" si="83"/>
        <v>0</v>
      </c>
      <c r="AE150" s="134">
        <f t="shared" si="83"/>
        <v>0</v>
      </c>
      <c r="AF150" s="134">
        <f t="shared" si="83"/>
        <v>0</v>
      </c>
      <c r="AG150" s="134">
        <f t="shared" si="83"/>
        <v>0</v>
      </c>
      <c r="AH150" s="134">
        <f t="shared" si="83"/>
        <v>0</v>
      </c>
      <c r="AI150" s="134">
        <f t="shared" si="83"/>
        <v>0</v>
      </c>
      <c r="AJ150" s="134">
        <f t="shared" si="83"/>
        <v>0</v>
      </c>
      <c r="AK150" s="135">
        <f t="shared" si="83"/>
        <v>0</v>
      </c>
    </row>
    <row r="151" spans="2:37" ht="15.75" hidden="1" outlineLevel="2" x14ac:dyDescent="0.25">
      <c r="B151" s="138"/>
      <c r="C151" s="22"/>
      <c r="D151" s="31"/>
      <c r="E151" s="22"/>
      <c r="F151" s="22"/>
      <c r="G151" s="31"/>
      <c r="H151" s="22"/>
      <c r="I151" s="32" t="str">
        <f>IF(SUM(C151:H151)=0,"",IF(G151=0,1,G151))</f>
        <v/>
      </c>
      <c r="J151" s="32">
        <f>IF(COUNTA(C151:H151)=0,0,IF(I151="","",IF(F151-SUM(C151+D151+E151+G151+H151)=F151,"Lm",IF(COUNTA(C151:H151)&gt;4,"ERROR",IF(H151&gt;0,"m3",IF(COUNTA(G151,F151)=2,"m3",IF(COUNTA(C151:F151)=4,"m3",IF(COUNTA(D151:F151)=3,"m3",IF(G151&gt;0,"m2",IF(COUNTA(D151,E151)=2,"m2",IF(COUNTA(C151:F151)=3,"m2",IF(COUNTA(D151:F151)=2,"m2",IF(COUNTA(C151:F151)=2,"Lm",IF(D151&gt;0,"Lm",IF(E151&gt;0,"Lm",IF(C151&gt;0,"No.",))))))))))))))))</f>
        <v>0</v>
      </c>
      <c r="K151" s="139"/>
      <c r="L151" s="140"/>
      <c r="M151" s="140"/>
      <c r="N151" s="140"/>
      <c r="O151" s="140"/>
      <c r="P151" s="140"/>
      <c r="Q151" s="140"/>
      <c r="R151" s="140"/>
      <c r="S151" s="140"/>
      <c r="T151" s="140"/>
      <c r="U151" s="142"/>
      <c r="V151" s="140"/>
      <c r="W151" s="140"/>
      <c r="X151" s="140"/>
      <c r="Y151" s="140"/>
      <c r="Z151" s="140"/>
      <c r="AA151" s="140"/>
      <c r="AB151" s="141"/>
      <c r="AC151" s="142"/>
      <c r="AD151" s="140"/>
      <c r="AE151" s="140"/>
      <c r="AF151" s="140"/>
      <c r="AG151" s="140"/>
      <c r="AH151" s="140"/>
      <c r="AI151" s="140"/>
      <c r="AJ151" s="140"/>
      <c r="AK151" s="141"/>
    </row>
    <row r="152" spans="2:37" ht="15.75" hidden="1" outlineLevel="2" x14ac:dyDescent="0.25">
      <c r="B152" s="138"/>
      <c r="C152" s="22"/>
      <c r="D152" s="31"/>
      <c r="E152" s="22"/>
      <c r="F152" s="22"/>
      <c r="G152" s="31"/>
      <c r="H152" s="22"/>
      <c r="I152" s="32" t="str">
        <f t="shared" ref="I152:I160" si="84">IF(SUM(C152:H152)=0,"",IF(G152=0,1,G152))</f>
        <v/>
      </c>
      <c r="J152" s="32">
        <f t="shared" ref="J152:J155" si="85">IF(COUNTA(C152:H152)=0,0,IF(I152="","",IF(F152-SUM(C152+D152+E152+G152+H152)=F152,"Lm",IF(COUNTA(C152:H152)&gt;4,"ERROR",IF(H152&gt;0,"m3",IF(COUNTA(G152,F152)=2,"m3",IF(COUNTA(C152:F152)=4,"m3",IF(COUNTA(D152:F152)=3,"m3",IF(G152&gt;0,"m2",IF(COUNTA(D152,E152)=2,"m2",IF(COUNTA(C152:F152)=3,"m2",IF(COUNTA(D152:F152)=2,"m2",IF(COUNTA(C152:F152)=2,"Lm",IF(D152&gt;0,"Lm",IF(E152&gt;0,"Lm",IF(C152&gt;0,"No.",))))))))))))))))</f>
        <v>0</v>
      </c>
      <c r="K152" s="139"/>
      <c r="L152" s="22"/>
      <c r="M152" s="22"/>
      <c r="N152" s="22"/>
      <c r="O152" s="22"/>
      <c r="P152" s="22"/>
      <c r="Q152" s="22"/>
      <c r="R152" s="22"/>
      <c r="S152" s="22"/>
      <c r="T152" s="144"/>
      <c r="U152" s="139"/>
      <c r="V152" s="144"/>
      <c r="W152" s="144"/>
      <c r="X152" s="144"/>
      <c r="Y152" s="144"/>
      <c r="Z152" s="144"/>
      <c r="AA152" s="144"/>
      <c r="AB152" s="143"/>
      <c r="AC152" s="139"/>
      <c r="AD152" s="144"/>
      <c r="AE152" s="144"/>
      <c r="AF152" s="144"/>
      <c r="AG152" s="144"/>
      <c r="AH152" s="144"/>
      <c r="AI152" s="144"/>
      <c r="AJ152" s="144"/>
      <c r="AK152" s="143"/>
    </row>
    <row r="153" spans="2:37" ht="15.75" hidden="1" outlineLevel="2" x14ac:dyDescent="0.25">
      <c r="B153" s="138"/>
      <c r="C153" s="22"/>
      <c r="D153" s="31"/>
      <c r="E153" s="22"/>
      <c r="F153" s="22"/>
      <c r="G153" s="31"/>
      <c r="H153" s="22"/>
      <c r="I153" s="32" t="str">
        <f t="shared" si="84"/>
        <v/>
      </c>
      <c r="J153" s="32">
        <f t="shared" si="85"/>
        <v>0</v>
      </c>
      <c r="K153" s="139"/>
      <c r="L153" s="22"/>
      <c r="M153" s="22"/>
      <c r="N153" s="22"/>
      <c r="O153" s="22"/>
      <c r="P153" s="22"/>
      <c r="Q153" s="22"/>
      <c r="R153" s="22"/>
      <c r="S153" s="22"/>
      <c r="T153" s="144"/>
      <c r="U153" s="139"/>
      <c r="V153" s="144"/>
      <c r="W153" s="144"/>
      <c r="X153" s="144"/>
      <c r="Y153" s="144"/>
      <c r="Z153" s="144"/>
      <c r="AA153" s="144"/>
      <c r="AB153" s="143"/>
      <c r="AC153" s="139"/>
      <c r="AD153" s="144"/>
      <c r="AE153" s="144"/>
      <c r="AF153" s="144"/>
      <c r="AG153" s="144"/>
      <c r="AH153" s="144"/>
      <c r="AI153" s="144"/>
      <c r="AJ153" s="144"/>
      <c r="AK153" s="143"/>
    </row>
    <row r="154" spans="2:37" ht="15.75" hidden="1" outlineLevel="2" x14ac:dyDescent="0.25">
      <c r="B154" s="138"/>
      <c r="C154" s="22"/>
      <c r="D154" s="31"/>
      <c r="E154" s="22"/>
      <c r="F154" s="22"/>
      <c r="G154" s="31"/>
      <c r="H154" s="22"/>
      <c r="I154" s="32" t="str">
        <f t="shared" si="84"/>
        <v/>
      </c>
      <c r="J154" s="32">
        <f t="shared" si="85"/>
        <v>0</v>
      </c>
      <c r="K154" s="139"/>
      <c r="L154" s="22"/>
      <c r="M154" s="22"/>
      <c r="N154" s="22"/>
      <c r="O154" s="22"/>
      <c r="P154" s="22"/>
      <c r="Q154" s="22"/>
      <c r="R154" s="22"/>
      <c r="S154" s="22"/>
      <c r="T154" s="144"/>
      <c r="U154" s="139"/>
      <c r="V154" s="144"/>
      <c r="W154" s="144"/>
      <c r="X154" s="144"/>
      <c r="Y154" s="144"/>
      <c r="Z154" s="144"/>
      <c r="AA154" s="144"/>
      <c r="AB154" s="143"/>
      <c r="AC154" s="139"/>
      <c r="AD154" s="144"/>
      <c r="AE154" s="144"/>
      <c r="AF154" s="144"/>
      <c r="AG154" s="144"/>
      <c r="AH154" s="144"/>
      <c r="AI154" s="144"/>
      <c r="AJ154" s="144"/>
      <c r="AK154" s="143"/>
    </row>
    <row r="155" spans="2:37" ht="15.75" hidden="1" outlineLevel="2" x14ac:dyDescent="0.25">
      <c r="B155" s="138"/>
      <c r="C155" s="22"/>
      <c r="D155" s="31"/>
      <c r="E155" s="22"/>
      <c r="F155" s="22"/>
      <c r="G155" s="31"/>
      <c r="H155" s="22"/>
      <c r="I155" s="32" t="str">
        <f t="shared" si="84"/>
        <v/>
      </c>
      <c r="J155" s="32">
        <f t="shared" si="85"/>
        <v>0</v>
      </c>
      <c r="K155" s="139"/>
      <c r="L155" s="22"/>
      <c r="M155" s="22"/>
      <c r="N155" s="22"/>
      <c r="O155" s="22"/>
      <c r="P155" s="22"/>
      <c r="Q155" s="22"/>
      <c r="R155" s="22"/>
      <c r="S155" s="22"/>
      <c r="T155" s="144"/>
      <c r="U155" s="139"/>
      <c r="V155" s="144"/>
      <c r="W155" s="144"/>
      <c r="X155" s="144"/>
      <c r="Y155" s="144"/>
      <c r="Z155" s="144"/>
      <c r="AA155" s="144"/>
      <c r="AB155" s="143"/>
      <c r="AC155" s="139"/>
      <c r="AD155" s="144"/>
      <c r="AE155" s="144"/>
      <c r="AF155" s="144"/>
      <c r="AG155" s="144"/>
      <c r="AH155" s="144"/>
      <c r="AI155" s="144"/>
      <c r="AJ155" s="144"/>
      <c r="AK155" s="143"/>
    </row>
    <row r="156" spans="2:37" ht="15.75" hidden="1" outlineLevel="2" x14ac:dyDescent="0.25">
      <c r="B156" s="138"/>
      <c r="C156" s="22"/>
      <c r="D156" s="31"/>
      <c r="E156" s="22"/>
      <c r="F156" s="22"/>
      <c r="G156" s="31"/>
      <c r="H156" s="22"/>
      <c r="I156" s="32" t="str">
        <f t="shared" si="84"/>
        <v/>
      </c>
      <c r="J156" s="32">
        <f>IF(COUNTA(C156:H156)=0,0,IF(I156="","",IF(F156-SUM(C156+D156+E156+G156+H156)=F156,"Lm",IF(COUNTA(C156:H156)&gt;4,"ERROR",IF(H156&gt;0,"m3",IF(COUNTA(G156,F156)=2,"m3",IF(COUNTA(C156:F156)=4,"m3",IF(COUNTA(D156:F156)=3,"m3",IF(G156&gt;0,"m2",IF(COUNTA(D156,E156)=2,"m2",IF(COUNTA(C156:F156)=3,"m2",IF(COUNTA(D156:F156)=2,"m2",IF(COUNTA(C156:F156)=2,"Lm",IF(D156&gt;0,"Lm",IF(E156&gt;0,"Lm",IF(C156&gt;0,"No.",))))))))))))))))</f>
        <v>0</v>
      </c>
      <c r="K156" s="139"/>
      <c r="L156" s="22"/>
      <c r="M156" s="22"/>
      <c r="N156" s="22"/>
      <c r="O156" s="22"/>
      <c r="P156" s="22"/>
      <c r="Q156" s="22"/>
      <c r="R156" s="22"/>
      <c r="S156" s="22"/>
      <c r="T156" s="144"/>
      <c r="U156" s="139"/>
      <c r="V156" s="144"/>
      <c r="W156" s="144"/>
      <c r="X156" s="144"/>
      <c r="Y156" s="144"/>
      <c r="Z156" s="144"/>
      <c r="AA156" s="144"/>
      <c r="AB156" s="143"/>
      <c r="AC156" s="139"/>
      <c r="AD156" s="144"/>
      <c r="AE156" s="144"/>
      <c r="AF156" s="144"/>
      <c r="AG156" s="144"/>
      <c r="AH156" s="144"/>
      <c r="AI156" s="144"/>
      <c r="AJ156" s="144"/>
      <c r="AK156" s="143"/>
    </row>
    <row r="157" spans="2:37" ht="15.75" hidden="1" outlineLevel="2" x14ac:dyDescent="0.25">
      <c r="B157" s="138"/>
      <c r="C157" s="22"/>
      <c r="D157" s="31"/>
      <c r="E157" s="22"/>
      <c r="F157" s="22"/>
      <c r="G157" s="31"/>
      <c r="H157" s="22"/>
      <c r="I157" s="32" t="str">
        <f t="shared" si="84"/>
        <v/>
      </c>
      <c r="J157" s="32">
        <f>IF(COUNTA(C157:H157)=0,0,IF(I157="","",IF(F157-SUM(C157+D157+E157+G157+H157)=F157,"Lm",IF(COUNTA(C157:H157)&gt;4,"ERROR",IF(H157&gt;0,"m3",IF(COUNTA(G157,F157)=2,"m3",IF(COUNTA(C157:F157)=4,"m3",IF(COUNTA(D157:F157)=3,"m3",IF(G157&gt;0,"m2",IF(COUNTA(D157,E157)=2,"m2",IF(COUNTA(C157:F157)=3,"m2",IF(COUNTA(D157:F157)=2,"m2",IF(COUNTA(C157:F157)=2,"Lm",IF(D157&gt;0,"Lm",IF(E157&gt;0,"Lm",IF(C157&gt;0,"No.",))))))))))))))))</f>
        <v>0</v>
      </c>
      <c r="K157" s="139"/>
      <c r="L157" s="22"/>
      <c r="M157" s="22"/>
      <c r="N157" s="22"/>
      <c r="O157" s="22"/>
      <c r="P157" s="22"/>
      <c r="Q157" s="22"/>
      <c r="R157" s="22"/>
      <c r="S157" s="22"/>
      <c r="T157" s="144"/>
      <c r="U157" s="139"/>
      <c r="V157" s="144"/>
      <c r="W157" s="144"/>
      <c r="X157" s="144"/>
      <c r="Y157" s="144"/>
      <c r="Z157" s="144"/>
      <c r="AA157" s="144"/>
      <c r="AB157" s="143"/>
      <c r="AC157" s="139"/>
      <c r="AD157" s="144"/>
      <c r="AE157" s="144"/>
      <c r="AF157" s="144"/>
      <c r="AG157" s="144"/>
      <c r="AH157" s="144"/>
      <c r="AI157" s="144"/>
      <c r="AJ157" s="144"/>
      <c r="AK157" s="143"/>
    </row>
    <row r="158" spans="2:37" ht="15.75" hidden="1" outlineLevel="2" x14ac:dyDescent="0.25">
      <c r="B158" s="138"/>
      <c r="C158" s="22"/>
      <c r="D158" s="31"/>
      <c r="E158" s="22"/>
      <c r="F158" s="22"/>
      <c r="G158" s="31"/>
      <c r="H158" s="22"/>
      <c r="I158" s="32" t="str">
        <f t="shared" si="84"/>
        <v/>
      </c>
      <c r="J158" s="32">
        <f>IF(COUNTA(C158:H158)=0,0,IF(I158="","",IF(F158-SUM(C158+D158+E158+G158+H158)=F158,"Lm",IF(COUNTA(C158:H158)&gt;4,"ERROR",IF(H158&gt;0,"m3",IF(COUNTA(G158,F158)=2,"m3",IF(COUNTA(C158:F158)=4,"m3",IF(COUNTA(D158:F158)=3,"m3",IF(G158&gt;0,"m2",IF(COUNTA(D158,E158)=2,"m2",IF(COUNTA(C158:F158)=3,"m2",IF(COUNTA(D158:F158)=2,"m2",IF(COUNTA(C158:F158)=2,"Lm",IF(D158&gt;0,"Lm",IF(E158&gt;0,"Lm",IF(C158&gt;0,"No.",))))))))))))))))</f>
        <v>0</v>
      </c>
      <c r="K158" s="139"/>
      <c r="L158" s="22"/>
      <c r="M158" s="22"/>
      <c r="N158" s="22"/>
      <c r="O158" s="22"/>
      <c r="P158" s="22"/>
      <c r="Q158" s="22"/>
      <c r="R158" s="22"/>
      <c r="S158" s="22"/>
      <c r="T158" s="144"/>
      <c r="U158" s="139"/>
      <c r="V158" s="144"/>
      <c r="W158" s="144"/>
      <c r="X158" s="144"/>
      <c r="Y158" s="144"/>
      <c r="Z158" s="144"/>
      <c r="AA158" s="144"/>
      <c r="AB158" s="143"/>
      <c r="AC158" s="139"/>
      <c r="AD158" s="144"/>
      <c r="AE158" s="144"/>
      <c r="AF158" s="144"/>
      <c r="AG158" s="144"/>
      <c r="AH158" s="144"/>
      <c r="AI158" s="144"/>
      <c r="AJ158" s="144"/>
      <c r="AK158" s="143"/>
    </row>
    <row r="159" spans="2:37" ht="15.75" hidden="1" outlineLevel="2" x14ac:dyDescent="0.25">
      <c r="B159" s="138"/>
      <c r="C159" s="22"/>
      <c r="D159" s="31"/>
      <c r="E159" s="22"/>
      <c r="F159" s="22"/>
      <c r="G159" s="31"/>
      <c r="H159" s="22"/>
      <c r="I159" s="32" t="str">
        <f t="shared" si="84"/>
        <v/>
      </c>
      <c r="J159" s="32">
        <f>IF(COUNTA(C159:H159)=0,0,IF(I159="","",IF(F159-SUM(C159+D159+E159+G159+H159)=F159,"Lm",IF(COUNTA(C159:H159)&gt;4,"ERROR",IF(H159&gt;0,"m3",IF(COUNTA(G159,F159)=2,"m3",IF(COUNTA(C159:F159)=4,"m3",IF(COUNTA(D159:F159)=3,"m3",IF(G159&gt;0,"m2",IF(COUNTA(D159,E159)=2,"m2",IF(COUNTA(C159:F159)=3,"m2",IF(COUNTA(D159:F159)=2,"m2",IF(COUNTA(C159:F159)=2,"Lm",IF(D159&gt;0,"Lm",IF(E159&gt;0,"Lm",IF(C159&gt;0,"No.",))))))))))))))))</f>
        <v>0</v>
      </c>
      <c r="K159" s="139"/>
      <c r="L159" s="22"/>
      <c r="M159" s="22"/>
      <c r="N159" s="22"/>
      <c r="O159" s="22"/>
      <c r="P159" s="22"/>
      <c r="Q159" s="22"/>
      <c r="R159" s="22"/>
      <c r="S159" s="22"/>
      <c r="T159" s="144"/>
      <c r="U159" s="139"/>
      <c r="V159" s="144"/>
      <c r="W159" s="144"/>
      <c r="X159" s="144"/>
      <c r="Y159" s="144"/>
      <c r="Z159" s="144"/>
      <c r="AA159" s="144"/>
      <c r="AB159" s="143"/>
      <c r="AC159" s="139"/>
      <c r="AD159" s="144"/>
      <c r="AE159" s="144"/>
      <c r="AF159" s="144"/>
      <c r="AG159" s="144"/>
      <c r="AH159" s="144"/>
      <c r="AI159" s="144"/>
      <c r="AJ159" s="144"/>
      <c r="AK159" s="143"/>
    </row>
    <row r="160" spans="2:37" ht="15.75" hidden="1" outlineLevel="2" x14ac:dyDescent="0.25">
      <c r="B160" s="145"/>
      <c r="C160" s="148"/>
      <c r="D160" s="22"/>
      <c r="E160" s="22"/>
      <c r="F160" s="22"/>
      <c r="G160" s="22"/>
      <c r="H160" s="22"/>
      <c r="I160" s="32" t="str">
        <f t="shared" si="84"/>
        <v/>
      </c>
      <c r="J160" s="146">
        <f>IF(COUNTA(C160:H160)=0,0,IF(I160="","",IF(F160-SUM(C160+D160+E160+G160+H160)=F160,"Lm",IF(COUNTA(C160:H160)&gt;4,"ERROR",IF(H160&gt;0,"m3",IF(COUNTA(G160,F160)=2,"m3",IF(COUNTA(C160:F160)=4,"m3",IF(COUNTA(D160:F160)=3,"m3",IF(G160&gt;0,"m2",IF(COUNTA(D160,E160)=2,"m2",IF(COUNTA(C160:F160)=3,"m2",IF(COUNTA(D160:F160)=2,"m2",IF(COUNTA(C160:F160)=2,"Lm",IF(D160&gt;0,"Lm",IF(E160&gt;0,"Lm",IF(C160&gt;0,"No.",))))))))))))))))</f>
        <v>0</v>
      </c>
      <c r="K160" s="147"/>
      <c r="L160" s="148"/>
      <c r="M160" s="148"/>
      <c r="N160" s="148"/>
      <c r="O160" s="148"/>
      <c r="P160" s="148"/>
      <c r="Q160" s="148"/>
      <c r="R160" s="148"/>
      <c r="S160" s="148"/>
      <c r="T160" s="148"/>
      <c r="U160" s="147"/>
      <c r="V160" s="148"/>
      <c r="W160" s="148"/>
      <c r="X160" s="148"/>
      <c r="Y160" s="148"/>
      <c r="Z160" s="148"/>
      <c r="AA160" s="148"/>
      <c r="AB160" s="149"/>
      <c r="AC160" s="147"/>
      <c r="AD160" s="148"/>
      <c r="AE160" s="148"/>
      <c r="AF160" s="148"/>
      <c r="AG160" s="148"/>
      <c r="AH160" s="148"/>
      <c r="AI160" s="148"/>
      <c r="AJ160" s="148"/>
      <c r="AK160" s="149"/>
    </row>
    <row r="161" spans="2:33" ht="15.75" hidden="1" outlineLevel="1" x14ac:dyDescent="0.25">
      <c r="B161" s="117"/>
      <c r="C161" s="117"/>
      <c r="D161" s="117"/>
      <c r="E161" s="117"/>
      <c r="F161" s="120"/>
      <c r="G161" s="117"/>
      <c r="H161" s="151"/>
      <c r="I161" s="152"/>
      <c r="J161" s="152"/>
      <c r="K161" s="153"/>
      <c r="L161" s="153"/>
      <c r="M161" s="153"/>
      <c r="N161" s="153"/>
      <c r="O161" s="153"/>
      <c r="P161" s="153"/>
      <c r="Q161" s="120"/>
      <c r="R161" s="117"/>
      <c r="S161" s="121"/>
      <c r="T161" s="88"/>
    </row>
    <row r="162" spans="2:33" ht="15.75" hidden="1" outlineLevel="1" x14ac:dyDescent="0.25">
      <c r="B162" s="154"/>
      <c r="C162" s="118"/>
      <c r="D162" s="118"/>
      <c r="E162" s="118"/>
      <c r="F162" s="118"/>
      <c r="G162" s="118"/>
      <c r="H162" s="118"/>
      <c r="I162" s="119"/>
      <c r="J162" s="118"/>
      <c r="K162" s="117"/>
      <c r="L162" s="117"/>
      <c r="M162" s="117"/>
      <c r="N162" s="117"/>
      <c r="O162" s="117"/>
      <c r="P162" s="117"/>
      <c r="Q162" s="120"/>
      <c r="R162" s="117"/>
      <c r="S162" s="121"/>
      <c r="T162" s="88"/>
    </row>
    <row r="163" spans="2:33" ht="21" hidden="1" outlineLevel="1" x14ac:dyDescent="0.25">
      <c r="B163" s="122" t="s">
        <v>212</v>
      </c>
      <c r="C163" s="629" t="s">
        <v>213</v>
      </c>
      <c r="D163" s="630"/>
      <c r="E163" s="630"/>
      <c r="F163" s="630"/>
      <c r="G163" s="630"/>
      <c r="H163" s="630"/>
      <c r="I163" s="630"/>
      <c r="J163" s="631"/>
      <c r="K163" s="117"/>
      <c r="L163" s="117"/>
      <c r="M163" s="117"/>
      <c r="N163" s="117"/>
      <c r="O163" s="117"/>
      <c r="P163" s="117"/>
      <c r="Q163" s="120"/>
      <c r="R163" s="117"/>
      <c r="S163" s="121"/>
      <c r="T163" s="88"/>
    </row>
    <row r="164" spans="2:33" ht="42" hidden="1" outlineLevel="1" x14ac:dyDescent="0.25">
      <c r="B164" s="155"/>
      <c r="C164" s="156" t="s">
        <v>5</v>
      </c>
      <c r="D164" s="156" t="s">
        <v>6</v>
      </c>
      <c r="E164" s="156" t="s">
        <v>7</v>
      </c>
      <c r="F164" s="156" t="s">
        <v>178</v>
      </c>
      <c r="G164" s="156" t="s">
        <v>9</v>
      </c>
      <c r="H164" s="156" t="s">
        <v>179</v>
      </c>
      <c r="I164" s="65" t="s">
        <v>1</v>
      </c>
      <c r="J164" s="157" t="s">
        <v>2</v>
      </c>
      <c r="K164" s="117"/>
      <c r="L164" s="117"/>
      <c r="M164" s="117"/>
      <c r="N164" s="117"/>
      <c r="O164" s="117"/>
      <c r="P164" s="117"/>
      <c r="Q164" s="120"/>
      <c r="R164" s="117"/>
      <c r="S164" s="121"/>
      <c r="T164" s="88"/>
    </row>
    <row r="165" spans="2:33" ht="18.75" hidden="1" outlineLevel="1" x14ac:dyDescent="0.25">
      <c r="B165" s="129" t="s">
        <v>212</v>
      </c>
      <c r="C165" s="130"/>
      <c r="D165" s="130"/>
      <c r="E165" s="130"/>
      <c r="F165" s="130"/>
      <c r="G165" s="130"/>
      <c r="H165" s="130"/>
      <c r="I165" s="131">
        <f>SUM(I166:I170)</f>
        <v>12</v>
      </c>
      <c r="J165" s="132" t="s">
        <v>15</v>
      </c>
      <c r="K165" s="117"/>
      <c r="L165" s="117"/>
      <c r="M165" s="117"/>
      <c r="N165" s="117"/>
      <c r="O165" s="117"/>
      <c r="P165" s="117"/>
      <c r="Q165" s="120"/>
      <c r="R165" s="117"/>
      <c r="S165" s="121"/>
      <c r="T165" s="88"/>
    </row>
    <row r="166" spans="2:33" ht="15.75" hidden="1" outlineLevel="1" x14ac:dyDescent="0.25">
      <c r="B166" s="138" t="s">
        <v>2313</v>
      </c>
      <c r="C166" s="22">
        <v>4</v>
      </c>
      <c r="D166" s="22"/>
      <c r="E166" s="22"/>
      <c r="F166" s="22">
        <v>3</v>
      </c>
      <c r="G166" s="22"/>
      <c r="H166" s="22"/>
      <c r="I166" s="32">
        <f>IF(SUM(C166:H166)=0,"",IF(C166=0,1,C166)*IF(D166=0,1,D166)*IF(E166=0,1,E166)*IF(F166=0,1,F166)*IF(G166=0,1,G166)*IF(H166=0,1,H166))</f>
        <v>12</v>
      </c>
      <c r="J166" s="158" t="str">
        <f t="shared" ref="J166:J170" si="86">IF(COUNTA(C166:H166)=0,0,IF(I166="","",IF(F166-SUM(C166+D166+E166+G166+H166)=F166,"Lm",IF(COUNTA(C166:H166)&gt;4,"ERROR",IF(H166&gt;0,"m3",IF(COUNTA(G166,F166)=2,"m3",IF(COUNTA(C166:F166)=4,"m3",IF(COUNTA(D166:F166)=3,"m3",IF(G166&gt;0,"m2",IF(COUNTA(D166,E166)=2,"m2",IF(COUNTA(C166:F166)=3,"m2",IF(COUNTA(D166:F166)=2,"m2",IF(COUNTA(C166:F166)=2,"Lm",IF(D166&gt;0,"Lm",IF(E166&gt;0,"Lm",IF(C166&gt;0,"No.",))))))))))))))))</f>
        <v>Lm</v>
      </c>
      <c r="K166" s="117"/>
      <c r="L166" s="117"/>
      <c r="M166" s="117"/>
      <c r="N166" s="117"/>
      <c r="O166" s="117"/>
      <c r="P166" s="117"/>
      <c r="Q166" s="120"/>
      <c r="R166" s="117"/>
      <c r="S166" s="121"/>
      <c r="T166" s="88"/>
    </row>
    <row r="167" spans="2:33" ht="15.75" hidden="1" outlineLevel="1" x14ac:dyDescent="0.25">
      <c r="B167" s="138"/>
      <c r="C167" s="22"/>
      <c r="D167" s="22"/>
      <c r="E167" s="22"/>
      <c r="F167" s="22"/>
      <c r="G167" s="22"/>
      <c r="H167" s="22"/>
      <c r="I167" s="32" t="str">
        <f>IF(SUM(C167:H167)=0,"",IF(C167=0,1,C167)*IF(D167=0,1,D167)*IF(E167=0,1,E167)*IF(F167=0,1,F167)*IF(G167=0,1,G167)*IF(H167=0,1,H167))</f>
        <v/>
      </c>
      <c r="J167" s="158">
        <f t="shared" si="86"/>
        <v>0</v>
      </c>
      <c r="K167" s="117"/>
      <c r="L167" s="117"/>
      <c r="M167" s="117"/>
      <c r="N167" s="117"/>
      <c r="O167" s="117"/>
      <c r="P167" s="117"/>
      <c r="Q167" s="120"/>
      <c r="R167" s="117"/>
      <c r="S167" s="121"/>
      <c r="T167" s="88"/>
    </row>
    <row r="168" spans="2:33" ht="15.75" hidden="1" outlineLevel="1" x14ac:dyDescent="0.25">
      <c r="B168" s="138"/>
      <c r="C168" s="22"/>
      <c r="D168" s="22"/>
      <c r="E168" s="22"/>
      <c r="F168" s="22"/>
      <c r="G168" s="22"/>
      <c r="H168" s="22"/>
      <c r="I168" s="32" t="str">
        <f>IF(SUM(C168:H168)=0,"",IF(C168=0,1,C168)*IF(D168=0,1,D168)*IF(E168=0,1,E168)*IF(F168=0,1,F168)*IF(G168=0,1,G168)*IF(H168=0,1,H168))</f>
        <v/>
      </c>
      <c r="J168" s="158">
        <f t="shared" si="86"/>
        <v>0</v>
      </c>
      <c r="K168" s="117"/>
      <c r="L168" s="117"/>
      <c r="M168" s="117"/>
      <c r="N168" s="117"/>
      <c r="O168" s="117"/>
      <c r="P168" s="117"/>
      <c r="Q168" s="120"/>
      <c r="R168" s="117"/>
      <c r="S168" s="121"/>
      <c r="T168" s="88"/>
    </row>
    <row r="169" spans="2:33" ht="15.75" hidden="1" outlineLevel="1" x14ac:dyDescent="0.25">
      <c r="B169" s="138"/>
      <c r="C169" s="22"/>
      <c r="D169" s="22"/>
      <c r="E169" s="22"/>
      <c r="F169" s="22"/>
      <c r="G169" s="22"/>
      <c r="H169" s="22"/>
      <c r="I169" s="32" t="str">
        <f>IF(SUM(C169:H169)=0,"",IF(C169=0,1,C169)*IF(D169=0,1,D169)*IF(E169=0,1,E169)*IF(F169=0,1,F169)*IF(G169=0,1,G169)*IF(H169=0,1,H169))</f>
        <v/>
      </c>
      <c r="J169" s="158">
        <f t="shared" si="86"/>
        <v>0</v>
      </c>
      <c r="K169" s="117"/>
      <c r="L169" s="117"/>
      <c r="M169" s="117"/>
      <c r="N169" s="117"/>
      <c r="O169" s="117"/>
      <c r="P169" s="117"/>
      <c r="Q169" s="120"/>
      <c r="R169" s="117"/>
      <c r="S169" s="121"/>
      <c r="T169" s="88"/>
    </row>
    <row r="170" spans="2:33" ht="15.75" hidden="1" outlineLevel="1" x14ac:dyDescent="0.25">
      <c r="B170" s="145" t="str">
        <f>B204</f>
        <v>Bulkhead</v>
      </c>
      <c r="C170" s="148"/>
      <c r="D170" s="148">
        <f>I204</f>
        <v>0</v>
      </c>
      <c r="E170" s="148"/>
      <c r="F170" s="148"/>
      <c r="G170" s="148"/>
      <c r="H170" s="148"/>
      <c r="I170" s="146" t="str">
        <f>IF(SUM(C170:H170)=0,"",IF(C170=0,1,C170)*IF(D170=0,1,D170)*IF(E170=0,1,E170)*IF(F170=0,1,F170)*IF(G170=0,1,G170)*IF(H170=0,1,H170))</f>
        <v/>
      </c>
      <c r="J170" s="159" t="str">
        <f t="shared" si="86"/>
        <v/>
      </c>
      <c r="K170" s="117"/>
      <c r="L170" s="117"/>
      <c r="M170" s="117"/>
      <c r="N170" s="117"/>
      <c r="O170" s="117"/>
      <c r="P170" s="117"/>
      <c r="Q170" s="120"/>
      <c r="R170" s="117"/>
      <c r="S170" s="121"/>
      <c r="T170" s="88"/>
    </row>
    <row r="171" spans="2:33" ht="15.75" hidden="1" outlineLevel="1" x14ac:dyDescent="0.25">
      <c r="B171" s="160"/>
      <c r="C171" s="22"/>
      <c r="D171" s="22"/>
      <c r="E171" s="22"/>
      <c r="F171" s="22"/>
      <c r="G171" s="22"/>
      <c r="H171" s="22"/>
      <c r="I171" s="32"/>
      <c r="J171" s="32"/>
      <c r="K171" s="117"/>
      <c r="L171" s="117"/>
      <c r="M171" s="117"/>
      <c r="N171" s="117"/>
      <c r="O171" s="117"/>
      <c r="P171" s="117"/>
      <c r="Q171" s="120"/>
      <c r="R171" s="117"/>
      <c r="S171" s="121"/>
      <c r="T171" s="88"/>
    </row>
    <row r="172" spans="2:33" ht="15.75" hidden="1" outlineLevel="1" x14ac:dyDescent="0.25">
      <c r="B172" s="154"/>
      <c r="C172" s="194"/>
      <c r="D172" s="194"/>
      <c r="E172" s="194"/>
      <c r="F172" s="194"/>
      <c r="G172" s="194"/>
      <c r="H172" s="194"/>
      <c r="I172" s="195"/>
      <c r="J172" s="194"/>
      <c r="K172" s="117"/>
      <c r="L172" s="117"/>
      <c r="M172" s="117"/>
      <c r="N172" s="117"/>
      <c r="O172" s="117"/>
      <c r="P172" s="117"/>
      <c r="Q172" s="120"/>
      <c r="R172" s="117"/>
      <c r="S172" s="196"/>
      <c r="T172" s="197"/>
    </row>
    <row r="173" spans="2:33" ht="15.75" hidden="1" outlineLevel="1" x14ac:dyDescent="0.25">
      <c r="B173" s="154"/>
      <c r="C173" s="194"/>
      <c r="D173" s="194"/>
      <c r="E173" s="194"/>
      <c r="F173" s="194"/>
      <c r="G173" s="194"/>
      <c r="H173" s="194"/>
      <c r="I173" s="195"/>
      <c r="J173" s="194"/>
      <c r="K173" s="117"/>
      <c r="L173" s="117"/>
      <c r="M173" s="117"/>
      <c r="N173" s="117"/>
      <c r="O173" s="117"/>
      <c r="P173" s="117"/>
      <c r="Q173" s="120"/>
      <c r="R173" s="117"/>
      <c r="S173" s="196"/>
      <c r="T173" s="197"/>
    </row>
    <row r="174" spans="2:33" ht="21" hidden="1" customHeight="1" outlineLevel="1" x14ac:dyDescent="0.25">
      <c r="B174" s="122" t="s">
        <v>312</v>
      </c>
      <c r="C174" s="629" t="s">
        <v>185</v>
      </c>
      <c r="D174" s="630"/>
      <c r="E174" s="630"/>
      <c r="F174" s="630"/>
      <c r="G174" s="630"/>
      <c r="H174" s="630"/>
      <c r="I174" s="630"/>
      <c r="J174" s="630"/>
      <c r="K174" s="629" t="s">
        <v>186</v>
      </c>
      <c r="L174" s="630"/>
      <c r="M174" s="630"/>
      <c r="N174" s="630"/>
      <c r="O174" s="630"/>
      <c r="P174" s="630"/>
      <c r="Q174" s="630"/>
      <c r="R174" s="630"/>
      <c r="S174" s="630"/>
      <c r="T174" s="631"/>
      <c r="U174" s="650" t="s">
        <v>189</v>
      </c>
      <c r="V174" s="651"/>
      <c r="W174" s="651"/>
      <c r="X174" s="651"/>
      <c r="Y174" s="652"/>
      <c r="Z174" s="629" t="s">
        <v>315</v>
      </c>
      <c r="AA174" s="630"/>
      <c r="AB174" s="630"/>
      <c r="AC174" s="630"/>
      <c r="AD174" s="630"/>
      <c r="AE174" s="631"/>
      <c r="AF174" s="650" t="s">
        <v>514</v>
      </c>
      <c r="AG174" s="652"/>
    </row>
    <row r="175" spans="2:33" ht="60" hidden="1" outlineLevel="1" x14ac:dyDescent="0.25">
      <c r="B175" s="641" t="s">
        <v>312</v>
      </c>
      <c r="C175" s="644" t="s">
        <v>5</v>
      </c>
      <c r="D175" s="635" t="s">
        <v>6</v>
      </c>
      <c r="E175" s="647" t="s">
        <v>7</v>
      </c>
      <c r="F175" s="635" t="s">
        <v>178</v>
      </c>
      <c r="G175" s="632" t="s">
        <v>9</v>
      </c>
      <c r="H175" s="635" t="s">
        <v>179</v>
      </c>
      <c r="I175" s="638" t="s">
        <v>1</v>
      </c>
      <c r="J175" s="638" t="s">
        <v>2</v>
      </c>
      <c r="K175" s="123" t="s">
        <v>268</v>
      </c>
      <c r="L175" s="123" t="s">
        <v>259</v>
      </c>
      <c r="M175" s="123" t="s">
        <v>260</v>
      </c>
      <c r="N175" s="123" t="s">
        <v>261</v>
      </c>
      <c r="O175" s="123" t="s">
        <v>262</v>
      </c>
      <c r="P175" s="123" t="s">
        <v>490</v>
      </c>
      <c r="Q175" s="123" t="s">
        <v>562</v>
      </c>
      <c r="R175" s="123" t="s">
        <v>563</v>
      </c>
      <c r="S175" s="123" t="s">
        <v>564</v>
      </c>
      <c r="T175" s="123" t="s">
        <v>565</v>
      </c>
      <c r="U175" s="124" t="s">
        <v>190</v>
      </c>
      <c r="V175" s="124" t="s">
        <v>191</v>
      </c>
      <c r="W175" s="124" t="s">
        <v>492</v>
      </c>
      <c r="X175" s="124" t="s">
        <v>2315</v>
      </c>
      <c r="Y175" s="124" t="s">
        <v>491</v>
      </c>
      <c r="Z175" s="123" t="s">
        <v>292</v>
      </c>
      <c r="AA175" s="123" t="s">
        <v>298</v>
      </c>
      <c r="AB175" s="123" t="s">
        <v>316</v>
      </c>
      <c r="AC175" s="123" t="s">
        <v>317</v>
      </c>
      <c r="AD175" s="123" t="s">
        <v>340</v>
      </c>
      <c r="AE175" s="123" t="s">
        <v>341</v>
      </c>
      <c r="AF175" s="124" t="s">
        <v>513</v>
      </c>
      <c r="AG175" s="124" t="s">
        <v>515</v>
      </c>
    </row>
    <row r="176" spans="2:33" hidden="1" outlineLevel="1" x14ac:dyDescent="0.25">
      <c r="B176" s="642"/>
      <c r="C176" s="645"/>
      <c r="D176" s="636"/>
      <c r="E176" s="648"/>
      <c r="F176" s="636"/>
      <c r="G176" s="633"/>
      <c r="H176" s="636"/>
      <c r="I176" s="639"/>
      <c r="J176" s="639"/>
      <c r="K176" s="123" t="s">
        <v>265</v>
      </c>
      <c r="L176" s="123" t="s">
        <v>263</v>
      </c>
      <c r="M176" s="123" t="s">
        <v>265</v>
      </c>
      <c r="N176" s="123" t="s">
        <v>266</v>
      </c>
      <c r="O176" s="123" t="s">
        <v>267</v>
      </c>
      <c r="P176" s="123" t="s">
        <v>561</v>
      </c>
      <c r="Q176" s="123"/>
      <c r="R176" s="123"/>
      <c r="S176" s="123"/>
      <c r="T176" s="123"/>
      <c r="U176" s="124"/>
      <c r="V176" s="124"/>
      <c r="W176" s="124"/>
      <c r="X176" s="124"/>
      <c r="Y176" s="124"/>
      <c r="Z176" s="123" t="s">
        <v>338</v>
      </c>
      <c r="AA176" s="123" t="s">
        <v>306</v>
      </c>
      <c r="AB176" s="123" t="s">
        <v>306</v>
      </c>
      <c r="AC176" s="123" t="s">
        <v>303</v>
      </c>
      <c r="AD176" s="123"/>
      <c r="AE176" s="123"/>
      <c r="AF176" s="124"/>
      <c r="AG176" s="124"/>
    </row>
    <row r="177" spans="2:33" ht="15.75" hidden="1" customHeight="1" outlineLevel="1" x14ac:dyDescent="0.25">
      <c r="B177" s="643"/>
      <c r="C177" s="646"/>
      <c r="D177" s="637"/>
      <c r="E177" s="649"/>
      <c r="F177" s="637"/>
      <c r="G177" s="634"/>
      <c r="H177" s="637"/>
      <c r="I177" s="640"/>
      <c r="J177" s="640"/>
      <c r="K177" s="126">
        <f>K178+K189</f>
        <v>104.291</v>
      </c>
      <c r="L177" s="126">
        <f>L178+L189</f>
        <v>0</v>
      </c>
      <c r="M177" s="126">
        <f>M178+M189</f>
        <v>13.327</v>
      </c>
      <c r="N177" s="126">
        <f t="shared" ref="N177:T177" si="87">N178+N189</f>
        <v>0</v>
      </c>
      <c r="O177" s="126">
        <f t="shared" si="87"/>
        <v>0</v>
      </c>
      <c r="P177" s="126">
        <f t="shared" si="87"/>
        <v>0</v>
      </c>
      <c r="Q177" s="126">
        <f t="shared" si="87"/>
        <v>0</v>
      </c>
      <c r="R177" s="126">
        <f t="shared" si="87"/>
        <v>0</v>
      </c>
      <c r="S177" s="126">
        <f t="shared" si="87"/>
        <v>0</v>
      </c>
      <c r="T177" s="126">
        <f t="shared" si="87"/>
        <v>0</v>
      </c>
      <c r="U177" s="128">
        <f>U178+U189</f>
        <v>0</v>
      </c>
      <c r="V177" s="128">
        <f t="shared" ref="V177:W177" si="88">V178+V189</f>
        <v>0</v>
      </c>
      <c r="W177" s="128">
        <f t="shared" si="88"/>
        <v>0</v>
      </c>
      <c r="X177" s="128">
        <f>X178+X189</f>
        <v>109.499</v>
      </c>
      <c r="Y177" s="128">
        <f>Y178+Y189</f>
        <v>0</v>
      </c>
      <c r="Z177" s="126">
        <f>Z178+Z189</f>
        <v>0</v>
      </c>
      <c r="AA177" s="126">
        <f>AA178+AA189</f>
        <v>0</v>
      </c>
      <c r="AB177" s="126">
        <f t="shared" ref="AB177:AE177" si="89">AB178+AB189</f>
        <v>0</v>
      </c>
      <c r="AC177" s="126">
        <f t="shared" si="89"/>
        <v>117.61799999999999</v>
      </c>
      <c r="AD177" s="126">
        <f t="shared" si="89"/>
        <v>0</v>
      </c>
      <c r="AE177" s="126">
        <f t="shared" si="89"/>
        <v>0</v>
      </c>
      <c r="AF177" s="128">
        <f>AF178+AF189</f>
        <v>117.61799999999999</v>
      </c>
      <c r="AG177" s="128">
        <f>AG178+AG189</f>
        <v>0</v>
      </c>
    </row>
    <row r="178" spans="2:33" ht="18.75" hidden="1" outlineLevel="1" x14ac:dyDescent="0.25">
      <c r="B178" s="129" t="s">
        <v>313</v>
      </c>
      <c r="C178" s="130"/>
      <c r="D178" s="130"/>
      <c r="E178" s="130"/>
      <c r="F178" s="130"/>
      <c r="G178" s="130"/>
      <c r="H178" s="130"/>
      <c r="I178" s="131">
        <f>SUM(I179:I188)</f>
        <v>104.291</v>
      </c>
      <c r="J178" s="132" t="s">
        <v>11</v>
      </c>
      <c r="K178" s="161">
        <f>IFERROR(SUMPRODUCT($I179:$I188,K179:K188),0)</f>
        <v>104.291</v>
      </c>
      <c r="L178" s="161">
        <f t="shared" ref="L178:T178" si="90">IFERROR(SUMPRODUCT($I179:$I188,L179:L188),0)</f>
        <v>0</v>
      </c>
      <c r="M178" s="161">
        <f t="shared" si="90"/>
        <v>0</v>
      </c>
      <c r="N178" s="161">
        <f t="shared" si="90"/>
        <v>0</v>
      </c>
      <c r="O178" s="161">
        <f t="shared" si="90"/>
        <v>0</v>
      </c>
      <c r="P178" s="161">
        <f t="shared" si="90"/>
        <v>0</v>
      </c>
      <c r="Q178" s="161">
        <f t="shared" si="90"/>
        <v>0</v>
      </c>
      <c r="R178" s="161">
        <f t="shared" si="90"/>
        <v>0</v>
      </c>
      <c r="S178" s="161">
        <f t="shared" si="90"/>
        <v>0</v>
      </c>
      <c r="T178" s="161">
        <f t="shared" si="90"/>
        <v>0</v>
      </c>
      <c r="U178" s="170">
        <f>SUM(U179:U188)</f>
        <v>0</v>
      </c>
      <c r="V178" s="170">
        <f>SUM(V179:V188)</f>
        <v>0</v>
      </c>
      <c r="W178" s="170">
        <f>SUM(W179:W188)</f>
        <v>0</v>
      </c>
      <c r="X178" s="170">
        <f>SUM(X179:X188)</f>
        <v>87.168999999999997</v>
      </c>
      <c r="Y178" s="170">
        <f>SUM(Y179:Y188)</f>
        <v>0</v>
      </c>
      <c r="Z178" s="161">
        <f>IFERROR(SUMPRODUCT($I179:$I188,Z179:Z188),0)</f>
        <v>0</v>
      </c>
      <c r="AA178" s="161">
        <f>IFERROR(SUMPRODUCT($AA179:AA188),0)</f>
        <v>0</v>
      </c>
      <c r="AB178" s="161">
        <f>IFERROR(SUMPRODUCT($AB179:AB188),0)</f>
        <v>0</v>
      </c>
      <c r="AC178" s="161">
        <f>IFERROR(SUMPRODUCT($AC179:AC188),0)</f>
        <v>104.291</v>
      </c>
      <c r="AD178" s="161">
        <f>IFERROR(SUMPRODUCT($AD179:AD188),0)</f>
        <v>0</v>
      </c>
      <c r="AE178" s="161">
        <f>IFERROR(SUMPRODUCT($AE179:AE188),0)</f>
        <v>0</v>
      </c>
      <c r="AF178" s="161">
        <f>IFERROR(SUMPRODUCT($AF179:AF188),0)</f>
        <v>104.291</v>
      </c>
      <c r="AG178" s="161">
        <f>IFERROR(SUMPRODUCT($AG179:AG188),0)</f>
        <v>0</v>
      </c>
    </row>
    <row r="179" spans="2:33" ht="15.75" hidden="1" outlineLevel="1" x14ac:dyDescent="0.25">
      <c r="B179" s="138" t="s">
        <v>2314</v>
      </c>
      <c r="C179" s="144"/>
      <c r="D179" s="144"/>
      <c r="E179" s="144"/>
      <c r="F179" s="144"/>
      <c r="G179" s="144">
        <v>104.291</v>
      </c>
      <c r="H179" s="144"/>
      <c r="I179" s="193">
        <f t="shared" ref="I179:I188" si="91">IF(SUM(C179:H179)=0,"",IF(C179=0,1,C179)*IF(D179=0,1,D179)*IF(E179=0,1,E179)*IF(F179=0,1,F179)*IF(G179=0,1,G179)*IF(H179=0,1,H179))</f>
        <v>104.291</v>
      </c>
      <c r="J179" s="193" t="str">
        <f t="shared" ref="J179:J188" si="92">IF(COUNTA(C179:H179)=0,0,IF(I179="","",IF(F179-SUM(C179+D179+E179+G179+H179)=F179,"Lm",IF(COUNTA(C179:H179)&gt;4,"ERROR",IF(H179&gt;0,"m3",IF(COUNTA(G179,F179)=2,"m3",IF(COUNTA(C179:F179)=4,"m3",IF(COUNTA(D179:F179)=3,"m3",IF(G179&gt;0,"m2",IF(COUNTA(D179,E179)=2,"m2",IF(COUNTA(C179:F179)=3,"m2",IF(COUNTA(D179:F179)=2,"m2",IF(COUNTA(C179:F179)=2,"Lm",IF(D179&gt;0,"Lm",IF(E179&gt;0,"Lm",IF(C179&gt;0,"No.",))))))))))))))))</f>
        <v>m2</v>
      </c>
      <c r="K179" s="142">
        <f>IF($I179="","",1)</f>
        <v>1</v>
      </c>
      <c r="L179" s="140"/>
      <c r="M179" s="140"/>
      <c r="N179" s="140"/>
      <c r="O179" s="140"/>
      <c r="P179" s="140"/>
      <c r="Q179" s="140"/>
      <c r="R179" s="140"/>
      <c r="S179" s="140"/>
      <c r="T179" s="141"/>
      <c r="U179" s="140"/>
      <c r="V179" s="140"/>
      <c r="W179" s="140"/>
      <c r="X179" s="140">
        <v>87.168999999999997</v>
      </c>
      <c r="Y179" s="141"/>
      <c r="Z179" s="140"/>
      <c r="AA179" s="140"/>
      <c r="AB179" s="140"/>
      <c r="AC179" s="140">
        <f>G179</f>
        <v>104.291</v>
      </c>
      <c r="AD179" s="140"/>
      <c r="AE179" s="141"/>
      <c r="AF179" s="142">
        <f>G179</f>
        <v>104.291</v>
      </c>
      <c r="AG179" s="141"/>
    </row>
    <row r="180" spans="2:33" ht="15.75" hidden="1" outlineLevel="1" x14ac:dyDescent="0.25">
      <c r="B180" s="138"/>
      <c r="C180" s="144"/>
      <c r="D180" s="144"/>
      <c r="E180" s="144"/>
      <c r="F180" s="144"/>
      <c r="G180" s="144"/>
      <c r="H180" s="144"/>
      <c r="I180" s="193" t="str">
        <f t="shared" si="91"/>
        <v/>
      </c>
      <c r="J180" s="193">
        <f t="shared" si="92"/>
        <v>0</v>
      </c>
      <c r="K180" s="139" t="str">
        <f>IF($I180="","",1)</f>
        <v/>
      </c>
      <c r="L180" s="144"/>
      <c r="M180" s="144"/>
      <c r="N180" s="144"/>
      <c r="O180" s="144"/>
      <c r="P180" s="144"/>
      <c r="Q180" s="144"/>
      <c r="R180" s="144"/>
      <c r="S180" s="144"/>
      <c r="T180" s="143"/>
      <c r="U180" s="144"/>
      <c r="V180" s="144"/>
      <c r="W180" s="144"/>
      <c r="X180" s="144"/>
      <c r="Y180" s="143"/>
      <c r="Z180" s="144"/>
      <c r="AA180" s="144"/>
      <c r="AB180" s="144"/>
      <c r="AC180" s="144"/>
      <c r="AD180" s="144"/>
      <c r="AE180" s="143"/>
      <c r="AF180" s="139"/>
      <c r="AG180" s="143"/>
    </row>
    <row r="181" spans="2:33" ht="15.75" hidden="1" outlineLevel="1" x14ac:dyDescent="0.25">
      <c r="B181" s="138"/>
      <c r="C181" s="144"/>
      <c r="D181" s="144"/>
      <c r="E181" s="144"/>
      <c r="F181" s="144"/>
      <c r="G181" s="144"/>
      <c r="H181" s="144"/>
      <c r="I181" s="193" t="str">
        <f t="shared" si="91"/>
        <v/>
      </c>
      <c r="J181" s="193">
        <f t="shared" si="92"/>
        <v>0</v>
      </c>
      <c r="K181" s="139" t="str">
        <f t="shared" ref="K181:K182" si="93">IF($I181="","",1)</f>
        <v/>
      </c>
      <c r="L181" s="144"/>
      <c r="M181" s="144"/>
      <c r="N181" s="144"/>
      <c r="O181" s="144"/>
      <c r="P181" s="144"/>
      <c r="Q181" s="144"/>
      <c r="R181" s="144"/>
      <c r="S181" s="144"/>
      <c r="T181" s="143"/>
      <c r="U181" s="144"/>
      <c r="V181" s="144"/>
      <c r="W181" s="144"/>
      <c r="X181" s="144"/>
      <c r="Y181" s="143"/>
      <c r="Z181" s="144"/>
      <c r="AA181" s="144"/>
      <c r="AB181" s="144"/>
      <c r="AC181" s="144"/>
      <c r="AD181" s="144"/>
      <c r="AE181" s="143"/>
      <c r="AF181" s="139"/>
      <c r="AG181" s="143"/>
    </row>
    <row r="182" spans="2:33" ht="15.75" hidden="1" outlineLevel="1" x14ac:dyDescent="0.25">
      <c r="B182" s="138"/>
      <c r="C182" s="144"/>
      <c r="D182" s="144"/>
      <c r="E182" s="144"/>
      <c r="F182" s="144"/>
      <c r="G182" s="144"/>
      <c r="H182" s="144"/>
      <c r="I182" s="193" t="str">
        <f t="shared" si="91"/>
        <v/>
      </c>
      <c r="J182" s="193">
        <f t="shared" si="92"/>
        <v>0</v>
      </c>
      <c r="K182" s="139" t="str">
        <f t="shared" si="93"/>
        <v/>
      </c>
      <c r="L182" s="144"/>
      <c r="M182" s="144"/>
      <c r="N182" s="144"/>
      <c r="O182" s="144"/>
      <c r="P182" s="144"/>
      <c r="Q182" s="144"/>
      <c r="R182" s="144"/>
      <c r="S182" s="144"/>
      <c r="T182" s="143"/>
      <c r="U182" s="144"/>
      <c r="V182" s="144"/>
      <c r="W182" s="144"/>
      <c r="X182" s="144"/>
      <c r="Y182" s="143"/>
      <c r="Z182" s="144"/>
      <c r="AA182" s="144"/>
      <c r="AB182" s="144"/>
      <c r="AC182" s="144"/>
      <c r="AD182" s="144"/>
      <c r="AE182" s="143"/>
      <c r="AF182" s="139"/>
      <c r="AG182" s="143"/>
    </row>
    <row r="183" spans="2:33" ht="15.75" hidden="1" outlineLevel="1" x14ac:dyDescent="0.25">
      <c r="B183" s="138"/>
      <c r="C183" s="144"/>
      <c r="D183" s="144"/>
      <c r="E183" s="144"/>
      <c r="F183" s="144"/>
      <c r="G183" s="144"/>
      <c r="H183" s="144"/>
      <c r="I183" s="193" t="str">
        <f t="shared" si="91"/>
        <v/>
      </c>
      <c r="J183" s="193">
        <f t="shared" si="92"/>
        <v>0</v>
      </c>
      <c r="K183" s="139" t="str">
        <f>IF($I183="","",1)</f>
        <v/>
      </c>
      <c r="L183" s="144"/>
      <c r="M183" s="144"/>
      <c r="N183" s="144"/>
      <c r="O183" s="144"/>
      <c r="P183" s="144"/>
      <c r="Q183" s="144"/>
      <c r="R183" s="144"/>
      <c r="S183" s="144"/>
      <c r="T183" s="143"/>
      <c r="U183" s="144"/>
      <c r="V183" s="144"/>
      <c r="W183" s="144"/>
      <c r="X183" s="144"/>
      <c r="Y183" s="143"/>
      <c r="Z183" s="144"/>
      <c r="AA183" s="144"/>
      <c r="AB183" s="144"/>
      <c r="AC183" s="144"/>
      <c r="AD183" s="144"/>
      <c r="AE183" s="143"/>
      <c r="AF183" s="139"/>
      <c r="AG183" s="143"/>
    </row>
    <row r="184" spans="2:33" ht="15.75" hidden="1" outlineLevel="1" x14ac:dyDescent="0.25">
      <c r="B184" s="138"/>
      <c r="C184" s="144"/>
      <c r="D184" s="144"/>
      <c r="E184" s="144"/>
      <c r="F184" s="144"/>
      <c r="G184" s="144"/>
      <c r="H184" s="144"/>
      <c r="I184" s="193" t="str">
        <f t="shared" si="91"/>
        <v/>
      </c>
      <c r="J184" s="193">
        <f t="shared" si="92"/>
        <v>0</v>
      </c>
      <c r="K184" s="139" t="str">
        <f>IF($I184="","",1)</f>
        <v/>
      </c>
      <c r="L184" s="144"/>
      <c r="M184" s="144"/>
      <c r="N184" s="144"/>
      <c r="O184" s="144"/>
      <c r="P184" s="144"/>
      <c r="Q184" s="144"/>
      <c r="R184" s="144"/>
      <c r="S184" s="144"/>
      <c r="T184" s="143"/>
      <c r="U184" s="144"/>
      <c r="V184" s="144"/>
      <c r="W184" s="144"/>
      <c r="X184" s="144"/>
      <c r="Y184" s="143"/>
      <c r="Z184" s="144"/>
      <c r="AA184" s="144"/>
      <c r="AB184" s="144"/>
      <c r="AC184" s="144"/>
      <c r="AD184" s="144"/>
      <c r="AE184" s="143"/>
      <c r="AF184" s="139"/>
      <c r="AG184" s="143"/>
    </row>
    <row r="185" spans="2:33" ht="15.75" hidden="1" outlineLevel="1" x14ac:dyDescent="0.25">
      <c r="B185" s="138"/>
      <c r="C185" s="144"/>
      <c r="D185" s="144"/>
      <c r="E185" s="144"/>
      <c r="F185" s="144"/>
      <c r="G185" s="144"/>
      <c r="H185" s="144"/>
      <c r="I185" s="193" t="str">
        <f t="shared" si="91"/>
        <v/>
      </c>
      <c r="J185" s="193">
        <f t="shared" si="92"/>
        <v>0</v>
      </c>
      <c r="K185" s="139" t="str">
        <f>IF($I185="","",1)</f>
        <v/>
      </c>
      <c r="L185" s="144"/>
      <c r="M185" s="144"/>
      <c r="N185" s="144"/>
      <c r="O185" s="144"/>
      <c r="P185" s="144"/>
      <c r="Q185" s="144"/>
      <c r="R185" s="144"/>
      <c r="S185" s="144"/>
      <c r="T185" s="143"/>
      <c r="U185" s="144"/>
      <c r="V185" s="144"/>
      <c r="W185" s="144"/>
      <c r="X185" s="144"/>
      <c r="Y185" s="143"/>
      <c r="Z185" s="144"/>
      <c r="AA185" s="144"/>
      <c r="AB185" s="144"/>
      <c r="AC185" s="144"/>
      <c r="AD185" s="144"/>
      <c r="AE185" s="143"/>
      <c r="AF185" s="139"/>
      <c r="AG185" s="143"/>
    </row>
    <row r="186" spans="2:33" ht="15.75" hidden="1" outlineLevel="1" x14ac:dyDescent="0.25">
      <c r="B186" s="138"/>
      <c r="C186" s="144"/>
      <c r="D186" s="144"/>
      <c r="E186" s="144"/>
      <c r="F186" s="144"/>
      <c r="G186" s="144"/>
      <c r="H186" s="144"/>
      <c r="I186" s="193" t="str">
        <f t="shared" si="91"/>
        <v/>
      </c>
      <c r="J186" s="193">
        <f t="shared" si="92"/>
        <v>0</v>
      </c>
      <c r="K186" s="139" t="str">
        <f t="shared" ref="K186:K187" si="94">IF($I186="","",1)</f>
        <v/>
      </c>
      <c r="L186" s="144"/>
      <c r="M186" s="144"/>
      <c r="N186" s="144"/>
      <c r="O186" s="144"/>
      <c r="P186" s="144"/>
      <c r="Q186" s="144"/>
      <c r="R186" s="144"/>
      <c r="S186" s="144"/>
      <c r="T186" s="143"/>
      <c r="U186" s="144"/>
      <c r="V186" s="144"/>
      <c r="W186" s="144"/>
      <c r="X186" s="144"/>
      <c r="Y186" s="143"/>
      <c r="Z186" s="144"/>
      <c r="AA186" s="144"/>
      <c r="AB186" s="144"/>
      <c r="AC186" s="144"/>
      <c r="AD186" s="144"/>
      <c r="AE186" s="143"/>
      <c r="AF186" s="139"/>
      <c r="AG186" s="143"/>
    </row>
    <row r="187" spans="2:33" ht="15.75" hidden="1" outlineLevel="1" x14ac:dyDescent="0.25">
      <c r="B187" s="138"/>
      <c r="C187" s="144"/>
      <c r="D187" s="144"/>
      <c r="E187" s="144"/>
      <c r="F187" s="144"/>
      <c r="G187" s="144"/>
      <c r="H187" s="144"/>
      <c r="I187" s="193" t="str">
        <f t="shared" si="91"/>
        <v/>
      </c>
      <c r="J187" s="193">
        <f t="shared" si="92"/>
        <v>0</v>
      </c>
      <c r="K187" s="139" t="str">
        <f t="shared" si="94"/>
        <v/>
      </c>
      <c r="L187" s="144"/>
      <c r="M187" s="144"/>
      <c r="N187" s="144"/>
      <c r="O187" s="144"/>
      <c r="P187" s="144"/>
      <c r="Q187" s="144"/>
      <c r="R187" s="144"/>
      <c r="S187" s="144"/>
      <c r="T187" s="143"/>
      <c r="U187" s="144"/>
      <c r="V187" s="144"/>
      <c r="W187" s="144"/>
      <c r="X187" s="144"/>
      <c r="Y187" s="143"/>
      <c r="Z187" s="144"/>
      <c r="AA187" s="144"/>
      <c r="AB187" s="144"/>
      <c r="AC187" s="144"/>
      <c r="AD187" s="144"/>
      <c r="AE187" s="143"/>
      <c r="AF187" s="139"/>
      <c r="AG187" s="143"/>
    </row>
    <row r="188" spans="2:33" ht="15.75" hidden="1" outlineLevel="1" x14ac:dyDescent="0.25">
      <c r="B188" s="145"/>
      <c r="C188" s="148"/>
      <c r="D188" s="148"/>
      <c r="E188" s="148"/>
      <c r="F188" s="148"/>
      <c r="G188" s="148"/>
      <c r="H188" s="148"/>
      <c r="I188" s="146" t="str">
        <f t="shared" si="91"/>
        <v/>
      </c>
      <c r="J188" s="146">
        <f t="shared" si="92"/>
        <v>0</v>
      </c>
      <c r="K188" s="147" t="str">
        <f>IF($I188="","",1)</f>
        <v/>
      </c>
      <c r="L188" s="148"/>
      <c r="M188" s="148"/>
      <c r="N188" s="148"/>
      <c r="O188" s="148"/>
      <c r="P188" s="148"/>
      <c r="Q188" s="148"/>
      <c r="R188" s="148"/>
      <c r="S188" s="148"/>
      <c r="T188" s="149"/>
      <c r="U188" s="148"/>
      <c r="V188" s="148"/>
      <c r="W188" s="148"/>
      <c r="X188" s="148"/>
      <c r="Y188" s="149"/>
      <c r="Z188" s="148"/>
      <c r="AA188" s="148"/>
      <c r="AB188" s="148"/>
      <c r="AC188" s="148"/>
      <c r="AD188" s="148"/>
      <c r="AE188" s="149"/>
      <c r="AF188" s="147"/>
      <c r="AG188" s="149"/>
    </row>
    <row r="189" spans="2:33" ht="18.75" hidden="1" outlineLevel="1" x14ac:dyDescent="0.25">
      <c r="B189" s="129" t="s">
        <v>314</v>
      </c>
      <c r="C189" s="130"/>
      <c r="D189" s="130"/>
      <c r="E189" s="130"/>
      <c r="F189" s="130"/>
      <c r="G189" s="130"/>
      <c r="H189" s="130"/>
      <c r="I189" s="131">
        <f>SUM(I190:I199)</f>
        <v>13.327</v>
      </c>
      <c r="J189" s="132" t="s">
        <v>11</v>
      </c>
      <c r="K189" s="161">
        <f>IFERROR(SUMPRODUCT($I190:$I199,K190:K199),0)</f>
        <v>0</v>
      </c>
      <c r="L189" s="161">
        <f t="shared" ref="L189" si="95">IFERROR(SUMPRODUCT($I190:$I199,L190:L199),0)</f>
        <v>0</v>
      </c>
      <c r="M189" s="161">
        <f t="shared" ref="M189" si="96">IFERROR(SUMPRODUCT($I190:$I199,M190:M199),0)</f>
        <v>13.327</v>
      </c>
      <c r="N189" s="161">
        <f t="shared" ref="N189" si="97">IFERROR(SUMPRODUCT($I190:$I199,N190:N199),0)</f>
        <v>0</v>
      </c>
      <c r="O189" s="161">
        <f t="shared" ref="O189" si="98">IFERROR(SUMPRODUCT($I190:$I199,O190:O199),0)</f>
        <v>0</v>
      </c>
      <c r="P189" s="161">
        <f t="shared" ref="P189" si="99">IFERROR(SUMPRODUCT($I190:$I199,P190:P199),0)</f>
        <v>0</v>
      </c>
      <c r="Q189" s="161">
        <f t="shared" ref="Q189" si="100">IFERROR(SUMPRODUCT($I190:$I199,Q190:Q199),0)</f>
        <v>0</v>
      </c>
      <c r="R189" s="161">
        <f t="shared" ref="R189:T189" si="101">IFERROR(SUMPRODUCT($I190:$I199,R190:R199),0)</f>
        <v>0</v>
      </c>
      <c r="S189" s="161">
        <f t="shared" si="101"/>
        <v>0</v>
      </c>
      <c r="T189" s="161">
        <f t="shared" si="101"/>
        <v>0</v>
      </c>
      <c r="U189" s="150">
        <f>SUM(U190:U199)</f>
        <v>0</v>
      </c>
      <c r="V189" s="170">
        <f>SUM(V190:V199)</f>
        <v>0</v>
      </c>
      <c r="W189" s="170">
        <f>SUM(W190:W199)</f>
        <v>0</v>
      </c>
      <c r="X189" s="170">
        <f t="shared" ref="X189:Y189" si="102">SUM(X190:X199)</f>
        <v>22.33</v>
      </c>
      <c r="Y189" s="170">
        <f t="shared" si="102"/>
        <v>0</v>
      </c>
      <c r="Z189" s="161">
        <f>IFERROR(SUMPRODUCT($I190:$I199,Z190:Z199),0)</f>
        <v>0</v>
      </c>
      <c r="AA189" s="161">
        <f>IFERROR(SUMPRODUCT($Z190:AA199),0)</f>
        <v>0</v>
      </c>
      <c r="AB189" s="161">
        <f>IFERROR(SUMPRODUCT($Z190:AB199),0)</f>
        <v>0</v>
      </c>
      <c r="AC189" s="161">
        <f>IFERROR(SUMPRODUCT($Z190:AC199),0)</f>
        <v>13.327</v>
      </c>
      <c r="AD189" s="161">
        <f>IFERROR(SUMPRODUCT($AD190:AD199),0)</f>
        <v>0</v>
      </c>
      <c r="AE189" s="161">
        <f>IFERROR(SUMPRODUCT($AE190:AE199),0)</f>
        <v>0</v>
      </c>
      <c r="AF189" s="161">
        <f>IFERROR(SUMPRODUCT($AF190:AF199),0)</f>
        <v>13.327</v>
      </c>
      <c r="AG189" s="161">
        <f>IFERROR(SUMPRODUCT($AG190:AG199),0)</f>
        <v>0</v>
      </c>
    </row>
    <row r="190" spans="2:33" ht="15.75" hidden="1" outlineLevel="1" x14ac:dyDescent="0.25">
      <c r="B190" s="138" t="s">
        <v>314</v>
      </c>
      <c r="C190" s="144"/>
      <c r="D190" s="144"/>
      <c r="E190" s="144"/>
      <c r="F190" s="144"/>
      <c r="G190" s="144">
        <v>13.327</v>
      </c>
      <c r="H190" s="144"/>
      <c r="I190" s="193">
        <f t="shared" ref="I190:I199" si="103">IF(SUM(C190:H190)=0,"",IF(C190=0,1,C190)*IF(D190=0,1,D190)*IF(E190=0,1,E190)*IF(F190=0,1,F190)*IF(G190=0,1,G190)*IF(H190=0,1,H190))</f>
        <v>13.327</v>
      </c>
      <c r="J190" s="158" t="str">
        <f t="shared" ref="J190:J199" si="104">IF(COUNTA(C190:H190)=0,0,IF(I190="","",IF(F190-SUM(C190+D190+E190+G190+H190)=F190,"Lm",IF(COUNTA(C190:H190)&gt;4,"ERROR",IF(H190&gt;0,"m3",IF(COUNTA(G190,F190)=2,"m3",IF(COUNTA(C190:F190)=4,"m3",IF(COUNTA(D190:F190)=3,"m3",IF(G190&gt;0,"m2",IF(COUNTA(D190,E190)=2,"m2",IF(COUNTA(C190:F190)=3,"m2",IF(COUNTA(D190:F190)=2,"m2",IF(COUNTA(C190:F190)=2,"Lm",IF(D190&gt;0,"Lm",IF(E190&gt;0,"Lm",IF(C190&gt;0,"No.",))))))))))))))))</f>
        <v>m2</v>
      </c>
      <c r="K190" s="142"/>
      <c r="L190" s="140"/>
      <c r="M190" s="140">
        <f>IF($I190="","",1)</f>
        <v>1</v>
      </c>
      <c r="N190" s="140"/>
      <c r="O190" s="140"/>
      <c r="P190" s="140"/>
      <c r="Q190" s="140"/>
      <c r="R190" s="140"/>
      <c r="S190" s="140"/>
      <c r="T190" s="141"/>
      <c r="U190" s="140"/>
      <c r="V190" s="140"/>
      <c r="W190" s="140"/>
      <c r="X190" s="140">
        <v>22.33</v>
      </c>
      <c r="Y190" s="141"/>
      <c r="Z190" s="140"/>
      <c r="AA190" s="140"/>
      <c r="AB190" s="140"/>
      <c r="AC190" s="140">
        <f>G190</f>
        <v>13.327</v>
      </c>
      <c r="AD190" s="140"/>
      <c r="AE190" s="141"/>
      <c r="AF190" s="142">
        <f>G190</f>
        <v>13.327</v>
      </c>
      <c r="AG190" s="141"/>
    </row>
    <row r="191" spans="2:33" ht="15.75" hidden="1" outlineLevel="1" x14ac:dyDescent="0.25">
      <c r="B191" s="138"/>
      <c r="C191" s="144"/>
      <c r="D191" s="144"/>
      <c r="E191" s="144"/>
      <c r="F191" s="144"/>
      <c r="G191" s="144"/>
      <c r="H191" s="144"/>
      <c r="I191" s="193" t="str">
        <f t="shared" si="103"/>
        <v/>
      </c>
      <c r="J191" s="158">
        <f t="shared" si="104"/>
        <v>0</v>
      </c>
      <c r="K191" s="139"/>
      <c r="L191" s="144"/>
      <c r="M191" s="144" t="str">
        <f>IF($I191="","",1)</f>
        <v/>
      </c>
      <c r="N191" s="144"/>
      <c r="O191" s="144"/>
      <c r="P191" s="144"/>
      <c r="Q191" s="144"/>
      <c r="R191" s="144"/>
      <c r="S191" s="144"/>
      <c r="T191" s="143"/>
      <c r="U191" s="144"/>
      <c r="V191" s="144"/>
      <c r="W191" s="144"/>
      <c r="X191" s="144"/>
      <c r="Y191" s="143"/>
      <c r="Z191" s="144"/>
      <c r="AA191" s="144"/>
      <c r="AB191" s="144"/>
      <c r="AC191" s="144"/>
      <c r="AD191" s="144"/>
      <c r="AE191" s="143"/>
      <c r="AF191" s="139"/>
      <c r="AG191" s="143"/>
    </row>
    <row r="192" spans="2:33" ht="15.75" hidden="1" outlineLevel="1" x14ac:dyDescent="0.25">
      <c r="B192" s="138"/>
      <c r="C192" s="144"/>
      <c r="D192" s="144"/>
      <c r="E192" s="144"/>
      <c r="F192" s="144"/>
      <c r="G192" s="144"/>
      <c r="H192" s="144"/>
      <c r="I192" s="193" t="str">
        <f t="shared" si="103"/>
        <v/>
      </c>
      <c r="J192" s="193">
        <f t="shared" si="104"/>
        <v>0</v>
      </c>
      <c r="K192" s="139"/>
      <c r="L192" s="144"/>
      <c r="M192" s="144" t="str">
        <f>IF($I192="","",1)</f>
        <v/>
      </c>
      <c r="N192" s="144"/>
      <c r="O192" s="144"/>
      <c r="P192" s="144"/>
      <c r="Q192" s="144"/>
      <c r="R192" s="144"/>
      <c r="S192" s="144"/>
      <c r="T192" s="143"/>
      <c r="U192" s="144"/>
      <c r="V192" s="144"/>
      <c r="W192" s="144"/>
      <c r="X192" s="144"/>
      <c r="Y192" s="143"/>
      <c r="Z192" s="144"/>
      <c r="AA192" s="144"/>
      <c r="AB192" s="144"/>
      <c r="AC192" s="144"/>
      <c r="AD192" s="144"/>
      <c r="AE192" s="143"/>
      <c r="AF192" s="139"/>
      <c r="AG192" s="143"/>
    </row>
    <row r="193" spans="2:33" ht="15.75" hidden="1" outlineLevel="1" x14ac:dyDescent="0.25">
      <c r="B193" s="138"/>
      <c r="C193" s="144"/>
      <c r="D193" s="144"/>
      <c r="E193" s="144"/>
      <c r="F193" s="144"/>
      <c r="G193" s="144"/>
      <c r="H193" s="144"/>
      <c r="I193" s="193" t="str">
        <f t="shared" si="103"/>
        <v/>
      </c>
      <c r="J193" s="193">
        <f t="shared" si="104"/>
        <v>0</v>
      </c>
      <c r="K193" s="139"/>
      <c r="L193" s="144"/>
      <c r="M193" s="144" t="str">
        <f>IF($I193="","",1)</f>
        <v/>
      </c>
      <c r="N193" s="144"/>
      <c r="O193" s="144"/>
      <c r="P193" s="144"/>
      <c r="Q193" s="144"/>
      <c r="R193" s="144"/>
      <c r="S193" s="144"/>
      <c r="T193" s="143"/>
      <c r="U193" s="144"/>
      <c r="V193" s="144"/>
      <c r="W193" s="144"/>
      <c r="X193" s="144"/>
      <c r="Y193" s="143"/>
      <c r="Z193" s="144"/>
      <c r="AA193" s="144"/>
      <c r="AB193" s="144"/>
      <c r="AC193" s="144"/>
      <c r="AD193" s="144"/>
      <c r="AE193" s="143"/>
      <c r="AF193" s="139"/>
      <c r="AG193" s="143"/>
    </row>
    <row r="194" spans="2:33" ht="15.75" hidden="1" outlineLevel="1" x14ac:dyDescent="0.25">
      <c r="B194" s="138"/>
      <c r="C194" s="144"/>
      <c r="D194" s="144"/>
      <c r="E194" s="144"/>
      <c r="F194" s="144"/>
      <c r="G194" s="144"/>
      <c r="H194" s="144"/>
      <c r="I194" s="193" t="str">
        <f t="shared" si="103"/>
        <v/>
      </c>
      <c r="J194" s="193">
        <f t="shared" si="104"/>
        <v>0</v>
      </c>
      <c r="K194" s="139"/>
      <c r="L194" s="144"/>
      <c r="M194" s="144" t="str">
        <f t="shared" ref="M194:M199" si="105">IF($I194="","",1)</f>
        <v/>
      </c>
      <c r="N194" s="144"/>
      <c r="O194" s="144"/>
      <c r="P194" s="144"/>
      <c r="Q194" s="144"/>
      <c r="R194" s="144"/>
      <c r="S194" s="144"/>
      <c r="T194" s="143"/>
      <c r="U194" s="144"/>
      <c r="V194" s="144"/>
      <c r="W194" s="144"/>
      <c r="X194" s="144"/>
      <c r="Y194" s="143"/>
      <c r="Z194" s="144"/>
      <c r="AA194" s="144"/>
      <c r="AB194" s="144"/>
      <c r="AC194" s="144"/>
      <c r="AD194" s="144"/>
      <c r="AE194" s="143"/>
      <c r="AF194" s="139"/>
      <c r="AG194" s="143"/>
    </row>
    <row r="195" spans="2:33" ht="15.75" hidden="1" outlineLevel="1" x14ac:dyDescent="0.25">
      <c r="B195" s="138"/>
      <c r="C195" s="144"/>
      <c r="D195" s="144"/>
      <c r="E195" s="144"/>
      <c r="F195" s="144"/>
      <c r="G195" s="144"/>
      <c r="H195" s="144"/>
      <c r="I195" s="193" t="str">
        <f t="shared" si="103"/>
        <v/>
      </c>
      <c r="J195" s="193">
        <f t="shared" si="104"/>
        <v>0</v>
      </c>
      <c r="K195" s="139"/>
      <c r="L195" s="144"/>
      <c r="M195" s="144" t="str">
        <f t="shared" si="105"/>
        <v/>
      </c>
      <c r="N195" s="144"/>
      <c r="O195" s="144"/>
      <c r="P195" s="144"/>
      <c r="Q195" s="144"/>
      <c r="R195" s="144"/>
      <c r="S195" s="144"/>
      <c r="T195" s="143"/>
      <c r="U195" s="144"/>
      <c r="V195" s="144"/>
      <c r="W195" s="144"/>
      <c r="X195" s="144"/>
      <c r="Y195" s="143"/>
      <c r="Z195" s="144"/>
      <c r="AA195" s="144"/>
      <c r="AB195" s="144"/>
      <c r="AC195" s="144"/>
      <c r="AD195" s="144"/>
      <c r="AE195" s="143"/>
      <c r="AF195" s="139"/>
      <c r="AG195" s="143"/>
    </row>
    <row r="196" spans="2:33" ht="15.75" hidden="1" outlineLevel="1" x14ac:dyDescent="0.25">
      <c r="B196" s="138"/>
      <c r="C196" s="144"/>
      <c r="D196" s="144"/>
      <c r="E196" s="144"/>
      <c r="F196" s="144"/>
      <c r="G196" s="144"/>
      <c r="H196" s="144"/>
      <c r="I196" s="193" t="str">
        <f t="shared" si="103"/>
        <v/>
      </c>
      <c r="J196" s="193">
        <f t="shared" si="104"/>
        <v>0</v>
      </c>
      <c r="K196" s="139"/>
      <c r="L196" s="144"/>
      <c r="M196" s="144" t="str">
        <f t="shared" si="105"/>
        <v/>
      </c>
      <c r="N196" s="144"/>
      <c r="O196" s="144"/>
      <c r="P196" s="144"/>
      <c r="Q196" s="144"/>
      <c r="R196" s="144"/>
      <c r="S196" s="144"/>
      <c r="T196" s="143"/>
      <c r="U196" s="144"/>
      <c r="V196" s="144"/>
      <c r="W196" s="144"/>
      <c r="X196" s="144"/>
      <c r="Y196" s="143"/>
      <c r="Z196" s="144"/>
      <c r="AA196" s="144"/>
      <c r="AB196" s="144"/>
      <c r="AC196" s="144"/>
      <c r="AD196" s="144"/>
      <c r="AE196" s="143"/>
      <c r="AF196" s="139"/>
      <c r="AG196" s="143"/>
    </row>
    <row r="197" spans="2:33" ht="15.75" hidden="1" outlineLevel="1" x14ac:dyDescent="0.25">
      <c r="B197" s="138"/>
      <c r="C197" s="144"/>
      <c r="D197" s="144"/>
      <c r="E197" s="144"/>
      <c r="F197" s="144"/>
      <c r="G197" s="144"/>
      <c r="H197" s="144"/>
      <c r="I197" s="193" t="str">
        <f t="shared" si="103"/>
        <v/>
      </c>
      <c r="J197" s="158">
        <f t="shared" si="104"/>
        <v>0</v>
      </c>
      <c r="K197" s="139"/>
      <c r="L197" s="144"/>
      <c r="M197" s="144" t="str">
        <f t="shared" si="105"/>
        <v/>
      </c>
      <c r="N197" s="144"/>
      <c r="O197" s="144"/>
      <c r="P197" s="144"/>
      <c r="Q197" s="144"/>
      <c r="R197" s="144"/>
      <c r="S197" s="144"/>
      <c r="T197" s="143"/>
      <c r="U197" s="144"/>
      <c r="V197" s="144"/>
      <c r="W197" s="144"/>
      <c r="X197" s="144"/>
      <c r="Y197" s="143"/>
      <c r="Z197" s="144"/>
      <c r="AA197" s="144"/>
      <c r="AB197" s="144"/>
      <c r="AC197" s="144"/>
      <c r="AD197" s="144"/>
      <c r="AE197" s="143"/>
      <c r="AF197" s="139"/>
      <c r="AG197" s="143"/>
    </row>
    <row r="198" spans="2:33" ht="15.75" hidden="1" outlineLevel="1" x14ac:dyDescent="0.25">
      <c r="B198" s="138"/>
      <c r="C198" s="144"/>
      <c r="D198" s="144"/>
      <c r="E198" s="144"/>
      <c r="F198" s="144"/>
      <c r="G198" s="144"/>
      <c r="H198" s="144"/>
      <c r="I198" s="193" t="str">
        <f t="shared" si="103"/>
        <v/>
      </c>
      <c r="J198" s="158">
        <f t="shared" si="104"/>
        <v>0</v>
      </c>
      <c r="K198" s="139"/>
      <c r="L198" s="144"/>
      <c r="M198" s="144" t="str">
        <f t="shared" si="105"/>
        <v/>
      </c>
      <c r="N198" s="144"/>
      <c r="O198" s="144"/>
      <c r="P198" s="144"/>
      <c r="Q198" s="144"/>
      <c r="R198" s="144"/>
      <c r="S198" s="144"/>
      <c r="T198" s="143"/>
      <c r="U198" s="144"/>
      <c r="V198" s="144"/>
      <c r="W198" s="144"/>
      <c r="X198" s="144"/>
      <c r="Y198" s="143"/>
      <c r="Z198" s="144"/>
      <c r="AA198" s="144"/>
      <c r="AB198" s="144"/>
      <c r="AC198" s="144"/>
      <c r="AD198" s="144"/>
      <c r="AE198" s="143"/>
      <c r="AF198" s="139"/>
      <c r="AG198" s="143"/>
    </row>
    <row r="199" spans="2:33" ht="15.75" hidden="1" outlineLevel="1" x14ac:dyDescent="0.25">
      <c r="B199" s="145"/>
      <c r="C199" s="148"/>
      <c r="D199" s="148"/>
      <c r="E199" s="148"/>
      <c r="F199" s="148"/>
      <c r="G199" s="148"/>
      <c r="H199" s="148"/>
      <c r="I199" s="146" t="str">
        <f t="shared" si="103"/>
        <v/>
      </c>
      <c r="J199" s="159">
        <f t="shared" si="104"/>
        <v>0</v>
      </c>
      <c r="K199" s="147"/>
      <c r="L199" s="148"/>
      <c r="M199" s="148" t="str">
        <f t="shared" si="105"/>
        <v/>
      </c>
      <c r="N199" s="148"/>
      <c r="O199" s="148"/>
      <c r="P199" s="148"/>
      <c r="Q199" s="148"/>
      <c r="R199" s="148"/>
      <c r="S199" s="148"/>
      <c r="T199" s="149"/>
      <c r="U199" s="148"/>
      <c r="V199" s="148"/>
      <c r="W199" s="148"/>
      <c r="X199" s="148"/>
      <c r="Y199" s="149"/>
      <c r="Z199" s="148"/>
      <c r="AA199" s="148"/>
      <c r="AB199" s="148"/>
      <c r="AC199" s="148"/>
      <c r="AD199" s="148"/>
      <c r="AE199" s="149"/>
      <c r="AF199" s="147"/>
      <c r="AG199" s="149"/>
    </row>
    <row r="200" spans="2:33" ht="15.75" hidden="1" outlineLevel="1" x14ac:dyDescent="0.25">
      <c r="B200" s="154"/>
      <c r="C200" s="194"/>
      <c r="D200" s="194"/>
      <c r="E200" s="194"/>
      <c r="F200" s="194"/>
      <c r="G200" s="194"/>
      <c r="H200" s="194"/>
      <c r="I200" s="195"/>
      <c r="J200" s="194"/>
      <c r="K200" s="117"/>
      <c r="L200" s="117"/>
      <c r="M200" s="117"/>
      <c r="N200" s="117"/>
      <c r="O200" s="117"/>
      <c r="P200" s="117"/>
      <c r="Q200" s="120"/>
      <c r="R200" s="117"/>
      <c r="S200" s="196"/>
      <c r="T200" s="197"/>
    </row>
    <row r="201" spans="2:33" hidden="1" outlineLevel="1" x14ac:dyDescent="0.25">
      <c r="C201" s="36"/>
      <c r="D201" s="36"/>
      <c r="E201" s="36"/>
      <c r="F201" s="36"/>
      <c r="G201" s="36"/>
      <c r="H201" s="36"/>
      <c r="I201" s="110"/>
      <c r="J201" s="36"/>
      <c r="Q201" s="108"/>
      <c r="S201" s="88"/>
      <c r="T201" s="88"/>
    </row>
    <row r="202" spans="2:33" ht="21" hidden="1" outlineLevel="1" x14ac:dyDescent="0.25">
      <c r="B202" s="122" t="s">
        <v>214</v>
      </c>
      <c r="C202" s="629" t="s">
        <v>215</v>
      </c>
      <c r="D202" s="630"/>
      <c r="E202" s="630"/>
      <c r="F202" s="630"/>
      <c r="G202" s="630"/>
      <c r="H202" s="630"/>
      <c r="I202" s="630"/>
      <c r="J202" s="631"/>
      <c r="K202" s="117"/>
      <c r="L202" s="117"/>
      <c r="M202" s="117"/>
      <c r="N202" s="117"/>
      <c r="O202" s="117"/>
      <c r="P202" s="117"/>
      <c r="Q202" s="120"/>
      <c r="R202" s="117"/>
      <c r="S202" s="121"/>
      <c r="T202" s="88"/>
    </row>
    <row r="203" spans="2:33" ht="42" hidden="1" outlineLevel="1" x14ac:dyDescent="0.25">
      <c r="B203" s="155"/>
      <c r="C203" s="156" t="s">
        <v>5</v>
      </c>
      <c r="D203" s="156" t="s">
        <v>6</v>
      </c>
      <c r="E203" s="156" t="s">
        <v>7</v>
      </c>
      <c r="F203" s="156" t="s">
        <v>178</v>
      </c>
      <c r="G203" s="156" t="s">
        <v>9</v>
      </c>
      <c r="H203" s="156" t="s">
        <v>179</v>
      </c>
      <c r="I203" s="65" t="s">
        <v>1</v>
      </c>
      <c r="J203" s="157" t="s">
        <v>2</v>
      </c>
      <c r="K203" s="117"/>
      <c r="L203" s="117"/>
      <c r="M203" s="117"/>
      <c r="N203" s="117"/>
      <c r="O203" s="117"/>
      <c r="P203" s="117"/>
      <c r="Q203" s="120"/>
      <c r="R203" s="117"/>
      <c r="S203" s="121"/>
      <c r="T203" s="88"/>
    </row>
    <row r="204" spans="2:33" ht="18.75" hidden="1" outlineLevel="1" x14ac:dyDescent="0.25">
      <c r="B204" s="129" t="s">
        <v>214</v>
      </c>
      <c r="C204" s="130"/>
      <c r="D204" s="130"/>
      <c r="E204" s="130"/>
      <c r="F204" s="130"/>
      <c r="G204" s="130"/>
      <c r="H204" s="130"/>
      <c r="I204" s="131">
        <f>SUM(I205:I209)</f>
        <v>0</v>
      </c>
      <c r="J204" s="132" t="s">
        <v>15</v>
      </c>
      <c r="K204" s="117"/>
      <c r="L204" s="117"/>
      <c r="M204" s="117"/>
      <c r="N204" s="117"/>
      <c r="O204" s="117"/>
      <c r="P204" s="117"/>
      <c r="Q204" s="120"/>
      <c r="R204" s="117"/>
      <c r="S204" s="121"/>
      <c r="T204" s="88"/>
    </row>
    <row r="205" spans="2:33" ht="15.75" hidden="1" outlineLevel="1" x14ac:dyDescent="0.25">
      <c r="B205" s="138"/>
      <c r="C205" s="22"/>
      <c r="D205" s="22"/>
      <c r="E205" s="22"/>
      <c r="F205" s="22"/>
      <c r="G205" s="22"/>
      <c r="H205" s="22"/>
      <c r="I205" s="32" t="str">
        <f>IF(SUM(C205:H205)=0,"",IF(C205=0,1,C205)*IF(D205=0,1,D205)*IF(E205=0,1,E205)*IF(F205=0,1,F205)*IF(G205=0,1,G205)*IF(H205=0,1,H205))</f>
        <v/>
      </c>
      <c r="J205" s="158">
        <f t="shared" ref="J205:J209" si="106">IF(COUNTA(C205:H205)=0,0,IF(I205="","",IF(F205-SUM(C205+D205+E205+G205+H205)=F205,"Lm",IF(COUNTA(C205:H205)&gt;4,"ERROR",IF(H205&gt;0,"m3",IF(COUNTA(G205,F205)=2,"m3",IF(COUNTA(C205:F205)=4,"m3",IF(COUNTA(D205:F205)=3,"m3",IF(G205&gt;0,"m2",IF(COUNTA(D205,E205)=2,"m2",IF(COUNTA(C205:F205)=3,"m2",IF(COUNTA(D205:F205)=2,"m2",IF(COUNTA(C205:F205)=2,"Lm",IF(D205&gt;0,"Lm",IF(E205&gt;0,"Lm",IF(C205&gt;0,"No.",))))))))))))))))</f>
        <v>0</v>
      </c>
      <c r="K205" s="117"/>
      <c r="L205" s="117"/>
      <c r="M205" s="117"/>
      <c r="N205" s="117"/>
      <c r="O205" s="117"/>
      <c r="P205" s="117"/>
      <c r="Q205" s="120"/>
      <c r="R205" s="117"/>
      <c r="S205" s="121"/>
      <c r="T205" s="88"/>
    </row>
    <row r="206" spans="2:33" ht="15.75" hidden="1" outlineLevel="1" x14ac:dyDescent="0.25">
      <c r="B206" s="138"/>
      <c r="C206" s="22"/>
      <c r="D206" s="22"/>
      <c r="E206" s="22"/>
      <c r="F206" s="22"/>
      <c r="G206" s="22"/>
      <c r="H206" s="22"/>
      <c r="I206" s="32" t="str">
        <f>IF(SUM(C206:H206)=0,"",IF(C206=0,1,C206)*IF(D206=0,1,D206)*IF(E206=0,1,E206)*IF(F206=0,1,F206)*IF(G206=0,1,G206)*IF(H206=0,1,H206))</f>
        <v/>
      </c>
      <c r="J206" s="158">
        <f t="shared" si="106"/>
        <v>0</v>
      </c>
      <c r="K206" s="117"/>
      <c r="L206" s="117"/>
      <c r="M206" s="117"/>
      <c r="N206" s="117"/>
      <c r="O206" s="117"/>
      <c r="P206" s="117"/>
      <c r="Q206" s="120"/>
      <c r="R206" s="117"/>
      <c r="S206" s="121"/>
      <c r="T206" s="88"/>
    </row>
    <row r="207" spans="2:33" ht="15.75" hidden="1" outlineLevel="1" x14ac:dyDescent="0.25">
      <c r="B207" s="138"/>
      <c r="C207" s="22"/>
      <c r="D207" s="22"/>
      <c r="E207" s="22"/>
      <c r="F207" s="22"/>
      <c r="G207" s="22"/>
      <c r="H207" s="22"/>
      <c r="I207" s="32" t="str">
        <f>IF(SUM(C207:H207)=0,"",IF(C207=0,1,C207)*IF(D207=0,1,D207)*IF(E207=0,1,E207)*IF(F207=0,1,F207)*IF(G207=0,1,G207)*IF(H207=0,1,H207))</f>
        <v/>
      </c>
      <c r="J207" s="158">
        <f t="shared" si="106"/>
        <v>0</v>
      </c>
      <c r="K207" s="117"/>
      <c r="L207" s="117"/>
      <c r="M207" s="117"/>
      <c r="N207" s="117"/>
      <c r="O207" s="117"/>
      <c r="P207" s="117"/>
      <c r="Q207" s="120"/>
      <c r="R207" s="117"/>
      <c r="S207" s="121"/>
      <c r="T207" s="88"/>
    </row>
    <row r="208" spans="2:33" ht="15.75" hidden="1" outlineLevel="1" x14ac:dyDescent="0.25">
      <c r="B208" s="138"/>
      <c r="C208" s="22"/>
      <c r="D208" s="22"/>
      <c r="E208" s="22"/>
      <c r="F208" s="22"/>
      <c r="G208" s="22"/>
      <c r="H208" s="22"/>
      <c r="I208" s="32" t="str">
        <f>IF(SUM(C208:H208)=0,"",IF(C208=0,1,C208)*IF(D208=0,1,D208)*IF(E208=0,1,E208)*IF(F208=0,1,F208)*IF(G208=0,1,G208)*IF(H208=0,1,H208))</f>
        <v/>
      </c>
      <c r="J208" s="158">
        <f t="shared" si="106"/>
        <v>0</v>
      </c>
      <c r="K208" s="117"/>
      <c r="L208" s="117"/>
      <c r="M208" s="117"/>
      <c r="N208" s="117"/>
      <c r="O208" s="117"/>
      <c r="P208" s="117"/>
      <c r="Q208" s="120"/>
      <c r="R208" s="117"/>
      <c r="S208" s="121"/>
      <c r="T208" s="88"/>
    </row>
    <row r="209" spans="2:20" ht="15.75" hidden="1" outlineLevel="1" x14ac:dyDescent="0.25">
      <c r="B209" s="145"/>
      <c r="C209" s="148"/>
      <c r="D209" s="148"/>
      <c r="E209" s="148"/>
      <c r="F209" s="148"/>
      <c r="G209" s="148"/>
      <c r="H209" s="148"/>
      <c r="I209" s="146" t="str">
        <f>IF(SUM(C209:H209)=0,"",IF(C209=0,1,C209)*IF(D209=0,1,D209)*IF(E209=0,1,E209)*IF(F209=0,1,F209)*IF(G209=0,1,G209)*IF(H209=0,1,H209))</f>
        <v/>
      </c>
      <c r="J209" s="159">
        <f t="shared" si="106"/>
        <v>0</v>
      </c>
      <c r="K209" s="117"/>
      <c r="L209" s="117"/>
      <c r="M209" s="117"/>
      <c r="N209" s="117"/>
      <c r="O209" s="117"/>
      <c r="P209" s="117"/>
      <c r="Q209" s="120"/>
      <c r="R209" s="117"/>
      <c r="S209" s="121"/>
      <c r="T209" s="88"/>
    </row>
    <row r="210" spans="2:20" ht="15.75" hidden="1" outlineLevel="1" x14ac:dyDescent="0.25">
      <c r="B210" s="160"/>
      <c r="C210" s="22"/>
      <c r="D210" s="22"/>
      <c r="E210" s="22"/>
      <c r="F210" s="22"/>
      <c r="G210" s="22"/>
      <c r="H210" s="22"/>
      <c r="I210" s="32"/>
      <c r="J210" s="32"/>
      <c r="K210" s="117"/>
      <c r="L210" s="117"/>
      <c r="M210" s="117"/>
      <c r="N210" s="117"/>
      <c r="O210" s="117"/>
      <c r="P210" s="117"/>
      <c r="Q210" s="120"/>
      <c r="R210" s="117"/>
      <c r="S210" s="121"/>
      <c r="T210" s="88"/>
    </row>
    <row r="211" spans="2:20" hidden="1" outlineLevel="1" x14ac:dyDescent="0.25">
      <c r="C211" s="36"/>
      <c r="D211" s="36"/>
      <c r="E211" s="36"/>
      <c r="F211" s="36"/>
      <c r="G211" s="36"/>
      <c r="H211" s="36"/>
      <c r="I211" s="110"/>
      <c r="J211" s="36"/>
      <c r="Q211" s="108"/>
      <c r="S211" s="88"/>
      <c r="T211" s="88"/>
    </row>
    <row r="212" spans="2:20" hidden="1" outlineLevel="1" x14ac:dyDescent="0.25">
      <c r="C212" s="36"/>
      <c r="D212" s="36"/>
      <c r="E212" s="36"/>
      <c r="F212" s="36"/>
      <c r="G212" s="36"/>
      <c r="H212" s="36"/>
      <c r="I212" s="110"/>
      <c r="J212" s="36"/>
      <c r="Q212" s="108"/>
      <c r="S212" s="88"/>
      <c r="T212" s="88"/>
    </row>
    <row r="213" spans="2:20" ht="21" hidden="1" outlineLevel="1" x14ac:dyDescent="0.25">
      <c r="B213" s="122" t="s">
        <v>131</v>
      </c>
      <c r="C213" s="629" t="s">
        <v>195</v>
      </c>
      <c r="D213" s="630"/>
      <c r="E213" s="630"/>
      <c r="F213" s="630"/>
      <c r="G213" s="630"/>
      <c r="H213" s="630"/>
      <c r="I213" s="630"/>
      <c r="J213" s="631"/>
      <c r="Q213" s="108"/>
      <c r="S213" s="88"/>
      <c r="T213" s="88"/>
    </row>
    <row r="214" spans="2:20" ht="42" hidden="1" outlineLevel="1" x14ac:dyDescent="0.25">
      <c r="B214" s="155"/>
      <c r="C214" s="156" t="s">
        <v>5</v>
      </c>
      <c r="D214" s="156" t="s">
        <v>6</v>
      </c>
      <c r="E214" s="156" t="s">
        <v>7</v>
      </c>
      <c r="F214" s="156" t="s">
        <v>178</v>
      </c>
      <c r="G214" s="156" t="s">
        <v>9</v>
      </c>
      <c r="H214" s="156" t="s">
        <v>179</v>
      </c>
      <c r="I214" s="65" t="s">
        <v>1</v>
      </c>
      <c r="J214" s="157" t="s">
        <v>2</v>
      </c>
      <c r="Q214" s="108"/>
      <c r="S214" s="88"/>
      <c r="T214" s="88"/>
    </row>
    <row r="215" spans="2:20" ht="18.75" hidden="1" outlineLevel="1" x14ac:dyDescent="0.25">
      <c r="B215" s="129" t="s">
        <v>2145</v>
      </c>
      <c r="C215" s="130"/>
      <c r="D215" s="130"/>
      <c r="E215" s="130"/>
      <c r="F215" s="130"/>
      <c r="G215" s="130"/>
      <c r="H215" s="130"/>
      <c r="I215" s="131">
        <f>SUM(I216:I220)</f>
        <v>0</v>
      </c>
      <c r="J215" s="132" t="s">
        <v>11</v>
      </c>
      <c r="Q215" s="108"/>
      <c r="S215" s="88"/>
      <c r="T215" s="88"/>
    </row>
    <row r="216" spans="2:20" ht="15.75" hidden="1" outlineLevel="1" x14ac:dyDescent="0.25">
      <c r="B216" s="138"/>
      <c r="C216" s="22"/>
      <c r="D216" s="22"/>
      <c r="E216" s="22"/>
      <c r="F216" s="22"/>
      <c r="G216" s="22"/>
      <c r="H216" s="22"/>
      <c r="I216" s="32" t="str">
        <f>IF(SUM(C216:H216)=0,"",IF(C216=0,1,C216)*IF(D216=0,1,D216)*IF(E216=0,1,E216)*IF(F216=0,1,F216)*IF(G216=0,1,G216)*IF(H216=0,1,H216))</f>
        <v/>
      </c>
      <c r="J216" s="158">
        <f>IF(COUNTA(C216:H216)=0,0,IF(I216="","",IF(F216-SUM(C216+D216+E216+G216+H216)=F216,"Lm",IF(COUNTA(C216:H216)&gt;4,"ERROR",IF(H216&gt;0,"m3",IF(COUNTA(G216,F216)=2,"m3",IF(COUNTA(C216:F216)=4,"m3",IF(COUNTA(D216:F216)=3,"m3",IF(G216&gt;0,"m2",IF(COUNTA(D216,E216)=2,"m2",IF(COUNTA(C216:F216)=3,"m2",IF(COUNTA(D216:F216)=2,"m2",IF(COUNTA(C216:F216)=2,"Lm",IF(D216&gt;0,"Lm",IF(E216&gt;0,"Lm",IF(C216&gt;0,"No.",))))))))))))))))</f>
        <v>0</v>
      </c>
      <c r="Q216" s="108"/>
      <c r="S216" s="88"/>
      <c r="T216" s="88"/>
    </row>
    <row r="217" spans="2:20" ht="15.75" hidden="1" outlineLevel="1" x14ac:dyDescent="0.25">
      <c r="B217" s="138"/>
      <c r="C217" s="22"/>
      <c r="D217" s="22"/>
      <c r="E217" s="22"/>
      <c r="F217" s="22"/>
      <c r="G217" s="22"/>
      <c r="H217" s="22"/>
      <c r="I217" s="32" t="str">
        <f>IF(SUM(C217:H217)=0,"",IF(C217=0,1,C217)*IF(D217=0,1,D217)*IF(E217=0,1,E217)*IF(F217=0,1,F217)*IF(G217=0,1,G217)*IF(H217=0,1,H217))</f>
        <v/>
      </c>
      <c r="J217" s="158">
        <f>IF(COUNTA(C217:H217)=0,0,IF(I217="","",IF(F217-SUM(C217+D217+E217+G217+H217)=F217,"Lm",IF(COUNTA(C217:H217)&gt;4,"ERROR",IF(H217&gt;0,"m3",IF(COUNTA(G217,F217)=2,"m3",IF(COUNTA(C217:F217)=4,"m3",IF(COUNTA(D217:F217)=3,"m3",IF(G217&gt;0,"m2",IF(COUNTA(D217,E217)=2,"m2",IF(COUNTA(C217:F217)=3,"m2",IF(COUNTA(D217:F217)=2,"m2",IF(COUNTA(C217:F217)=2,"Lm",IF(D217&gt;0,"Lm",IF(E217&gt;0,"Lm",IF(C217&gt;0,"No.",))))))))))))))))</f>
        <v>0</v>
      </c>
      <c r="Q217" s="108"/>
      <c r="S217" s="88"/>
      <c r="T217" s="88"/>
    </row>
    <row r="218" spans="2:20" ht="15.75" hidden="1" outlineLevel="1" x14ac:dyDescent="0.25">
      <c r="B218" s="138"/>
      <c r="C218" s="22"/>
      <c r="D218" s="22"/>
      <c r="E218" s="22"/>
      <c r="F218" s="22"/>
      <c r="G218" s="22"/>
      <c r="H218" s="22"/>
      <c r="I218" s="32" t="str">
        <f>IF(SUM(C218:H218)=0,"",IF(C218=0,1,C218)*IF(D218=0,1,D218)*IF(E218=0,1,E218)*IF(F218=0,1,F218)*IF(G218=0,1,G218)*IF(H218=0,1,H218))</f>
        <v/>
      </c>
      <c r="J218" s="158">
        <f>IF(COUNTA(C218:H218)=0,0,IF(I218="","",IF(F218-SUM(C218+D218+E218+G218+H218)=F218,"Lm",IF(COUNTA(C218:H218)&gt;4,"ERROR",IF(H218&gt;0,"m3",IF(COUNTA(G218,F218)=2,"m3",IF(COUNTA(C218:F218)=4,"m3",IF(COUNTA(D218:F218)=3,"m3",IF(G218&gt;0,"m2",IF(COUNTA(D218,E218)=2,"m2",IF(COUNTA(C218:F218)=3,"m2",IF(COUNTA(D218:F218)=2,"m2",IF(COUNTA(C218:F218)=2,"Lm",IF(D218&gt;0,"Lm",IF(E218&gt;0,"Lm",IF(C218&gt;0,"No.",))))))))))))))))</f>
        <v>0</v>
      </c>
      <c r="Q218" s="108"/>
      <c r="S218" s="88"/>
      <c r="T218" s="88"/>
    </row>
    <row r="219" spans="2:20" ht="15.75" hidden="1" outlineLevel="1" x14ac:dyDescent="0.25">
      <c r="B219" s="138"/>
      <c r="C219" s="22"/>
      <c r="D219" s="22"/>
      <c r="E219" s="22"/>
      <c r="F219" s="22"/>
      <c r="G219" s="22"/>
      <c r="H219" s="22"/>
      <c r="I219" s="32" t="str">
        <f>IF(SUM(C219:H219)=0,"",IF(C219=0,1,C219)*IF(D219=0,1,D219)*IF(E219=0,1,E219)*IF(F219=0,1,F219)*IF(G219=0,1,G219)*IF(H219=0,1,H219))</f>
        <v/>
      </c>
      <c r="J219" s="158">
        <f>IF(COUNTA(C219:H219)=0,0,IF(I219="","",IF(F219-SUM(C219+D219+E219+G219+H219)=F219,"Lm",IF(COUNTA(C219:H219)&gt;4,"ERROR",IF(H219&gt;0,"m3",IF(COUNTA(G219,F219)=2,"m3",IF(COUNTA(C219:F219)=4,"m3",IF(COUNTA(D219:F219)=3,"m3",IF(G219&gt;0,"m2",IF(COUNTA(D219,E219)=2,"m2",IF(COUNTA(C219:F219)=3,"m2",IF(COUNTA(D219:F219)=2,"m2",IF(COUNTA(C219:F219)=2,"Lm",IF(D219&gt;0,"Lm",IF(E219&gt;0,"Lm",IF(C219&gt;0,"No.",))))))))))))))))</f>
        <v>0</v>
      </c>
      <c r="Q219" s="108"/>
      <c r="S219" s="88"/>
      <c r="T219" s="88"/>
    </row>
    <row r="220" spans="2:20" ht="15.75" hidden="1" outlineLevel="1" x14ac:dyDescent="0.25">
      <c r="B220" s="145"/>
      <c r="C220" s="148"/>
      <c r="D220" s="148"/>
      <c r="E220" s="148"/>
      <c r="F220" s="148"/>
      <c r="G220" s="148"/>
      <c r="H220" s="148"/>
      <c r="I220" s="146" t="str">
        <f>IF(SUM(C220:H220)=0,"",IF(C220=0,1,C220)*IF(D220=0,1,D220)*IF(E220=0,1,E220)*IF(F220=0,1,F220)*IF(G220=0,1,G220)*IF(H220=0,1,H220))</f>
        <v/>
      </c>
      <c r="J220" s="159">
        <f>IF(COUNTA(C220:H220)=0,0,IF(I220="","",IF(F220-SUM(C220+D220+E220+G220+H220)=F220,"Lm",IF(COUNTA(C220:H220)&gt;4,"ERROR",IF(H220&gt;0,"m3",IF(COUNTA(G220,F220)=2,"m3",IF(COUNTA(C220:F220)=4,"m3",IF(COUNTA(D220:F220)=3,"m3",IF(G220&gt;0,"m2",IF(COUNTA(D220,E220)=2,"m2",IF(COUNTA(C220:F220)=3,"m2",IF(COUNTA(D220:F220)=2,"m2",IF(COUNTA(C220:F220)=2,"Lm",IF(D220&gt;0,"Lm",IF(E220&gt;0,"Lm",IF(C220&gt;0,"No.",))))))))))))))))</f>
        <v>0</v>
      </c>
      <c r="Q220" s="108"/>
      <c r="S220" s="88"/>
      <c r="T220" s="88"/>
    </row>
    <row r="221" spans="2:20" ht="18.75" hidden="1" outlineLevel="1" x14ac:dyDescent="0.25">
      <c r="B221" s="129" t="s">
        <v>2146</v>
      </c>
      <c r="C221" s="130"/>
      <c r="D221" s="130"/>
      <c r="E221" s="130"/>
      <c r="F221" s="130"/>
      <c r="G221" s="130"/>
      <c r="H221" s="130"/>
      <c r="I221" s="131">
        <f>SUM(I222:I226)</f>
        <v>0</v>
      </c>
      <c r="J221" s="132" t="s">
        <v>11</v>
      </c>
      <c r="Q221" s="108"/>
      <c r="S221" s="88"/>
      <c r="T221" s="88"/>
    </row>
    <row r="222" spans="2:20" ht="15.75" hidden="1" outlineLevel="1" x14ac:dyDescent="0.25">
      <c r="B222" s="138"/>
      <c r="C222" s="22"/>
      <c r="D222" s="22"/>
      <c r="E222" s="22"/>
      <c r="F222" s="22"/>
      <c r="G222" s="22"/>
      <c r="H222" s="22"/>
      <c r="I222" s="32" t="str">
        <f>IF(SUM(C222:H222)=0,"",IF(C222=0,1,C222)*IF(D222=0,1,D222)*IF(E222=0,1,E222)*IF(F222=0,1,F222)*IF(G222=0,1,G222)*IF(H222=0,1,H222))</f>
        <v/>
      </c>
      <c r="J222" s="158">
        <f>IF(COUNTA(C222:H222)=0,0,IF(I222="","",IF(F222-SUM(C222+D222+E222+G222+H222)=F222,"Lm",IF(COUNTA(C222:H222)&gt;4,"ERROR",IF(H222&gt;0,"m3",IF(COUNTA(G222,F222)=2,"m3",IF(COUNTA(C222:F222)=4,"m3",IF(COUNTA(D222:F222)=3,"m3",IF(G222&gt;0,"m2",IF(COUNTA(D222,E222)=2,"m2",IF(COUNTA(C222:F222)=3,"m2",IF(COUNTA(D222:F222)=2,"m2",IF(COUNTA(C222:F222)=2,"Lm",IF(D222&gt;0,"Lm",IF(E222&gt;0,"Lm",IF(C222&gt;0,"No.",))))))))))))))))</f>
        <v>0</v>
      </c>
      <c r="Q222" s="108"/>
      <c r="S222" s="88"/>
      <c r="T222" s="88"/>
    </row>
    <row r="223" spans="2:20" ht="15.75" hidden="1" outlineLevel="1" x14ac:dyDescent="0.25">
      <c r="B223" s="138"/>
      <c r="C223" s="22"/>
      <c r="D223" s="22"/>
      <c r="E223" s="22"/>
      <c r="F223" s="22"/>
      <c r="G223" s="22"/>
      <c r="H223" s="22"/>
      <c r="I223" s="32" t="str">
        <f>IF(SUM(C223:H223)=0,"",IF(C223=0,1,C223)*IF(D223=0,1,D223)*IF(E223=0,1,E223)*IF(F223=0,1,F223)*IF(G223=0,1,G223)*IF(H223=0,1,H223))</f>
        <v/>
      </c>
      <c r="J223" s="158">
        <f>IF(COUNTA(C223:H223)=0,0,IF(I223="","",IF(F223-SUM(C223+D223+E223+G223+H223)=F223,"Lm",IF(COUNTA(C223:H223)&gt;4,"ERROR",IF(H223&gt;0,"m3",IF(COUNTA(G223,F223)=2,"m3",IF(COUNTA(C223:F223)=4,"m3",IF(COUNTA(D223:F223)=3,"m3",IF(G223&gt;0,"m2",IF(COUNTA(D223,E223)=2,"m2",IF(COUNTA(C223:F223)=3,"m2",IF(COUNTA(D223:F223)=2,"m2",IF(COUNTA(C223:F223)=2,"Lm",IF(D223&gt;0,"Lm",IF(E223&gt;0,"Lm",IF(C223&gt;0,"No.",))))))))))))))))</f>
        <v>0</v>
      </c>
      <c r="Q223" s="108"/>
      <c r="S223" s="88"/>
      <c r="T223" s="88"/>
    </row>
    <row r="224" spans="2:20" ht="15.75" hidden="1" outlineLevel="1" x14ac:dyDescent="0.25">
      <c r="B224" s="138"/>
      <c r="C224" s="22"/>
      <c r="D224" s="22"/>
      <c r="E224" s="22"/>
      <c r="F224" s="22"/>
      <c r="G224" s="22"/>
      <c r="H224" s="22"/>
      <c r="I224" s="32" t="str">
        <f>IF(SUM(C224:H224)=0,"",IF(C224=0,1,C224)*IF(D224=0,1,D224)*IF(E224=0,1,E224)*IF(F224=0,1,F224)*IF(G224=0,1,G224)*IF(H224=0,1,H224))</f>
        <v/>
      </c>
      <c r="J224" s="158">
        <f>IF(COUNTA(C224:H224)=0,0,IF(I224="","",IF(F224-SUM(C224+D224+E224+G224+H224)=F224,"Lm",IF(COUNTA(C224:H224)&gt;4,"ERROR",IF(H224&gt;0,"m3",IF(COUNTA(G224,F224)=2,"m3",IF(COUNTA(C224:F224)=4,"m3",IF(COUNTA(D224:F224)=3,"m3",IF(G224&gt;0,"m2",IF(COUNTA(D224,E224)=2,"m2",IF(COUNTA(C224:F224)=3,"m2",IF(COUNTA(D224:F224)=2,"m2",IF(COUNTA(C224:F224)=2,"Lm",IF(D224&gt;0,"Lm",IF(E224&gt;0,"Lm",IF(C224&gt;0,"No.",))))))))))))))))</f>
        <v>0</v>
      </c>
      <c r="Q224" s="108"/>
      <c r="S224" s="88"/>
      <c r="T224" s="88"/>
    </row>
    <row r="225" spans="2:20" ht="15.75" hidden="1" outlineLevel="1" x14ac:dyDescent="0.25">
      <c r="B225" s="138"/>
      <c r="C225" s="22"/>
      <c r="D225" s="22"/>
      <c r="E225" s="22"/>
      <c r="F225" s="22"/>
      <c r="G225" s="22"/>
      <c r="H225" s="22"/>
      <c r="I225" s="32" t="str">
        <f>IF(SUM(C225:H225)=0,"",IF(C225=0,1,C225)*IF(D225=0,1,D225)*IF(E225=0,1,E225)*IF(F225=0,1,F225)*IF(G225=0,1,G225)*IF(H225=0,1,H225))</f>
        <v/>
      </c>
      <c r="J225" s="158">
        <f>IF(COUNTA(C225:H225)=0,0,IF(I225="","",IF(F225-SUM(C225+D225+E225+G225+H225)=F225,"Lm",IF(COUNTA(C225:H225)&gt;4,"ERROR",IF(H225&gt;0,"m3",IF(COUNTA(G225,F225)=2,"m3",IF(COUNTA(C225:F225)=4,"m3",IF(COUNTA(D225:F225)=3,"m3",IF(G225&gt;0,"m2",IF(COUNTA(D225,E225)=2,"m2",IF(COUNTA(C225:F225)=3,"m2",IF(COUNTA(D225:F225)=2,"m2",IF(COUNTA(C225:F225)=2,"Lm",IF(D225&gt;0,"Lm",IF(E225&gt;0,"Lm",IF(C225&gt;0,"No.",))))))))))))))))</f>
        <v>0</v>
      </c>
      <c r="Q225" s="108"/>
      <c r="S225" s="88"/>
      <c r="T225" s="88"/>
    </row>
    <row r="226" spans="2:20" ht="15.75" hidden="1" outlineLevel="1" x14ac:dyDescent="0.25">
      <c r="B226" s="145"/>
      <c r="C226" s="148"/>
      <c r="D226" s="148"/>
      <c r="E226" s="148"/>
      <c r="F226" s="148"/>
      <c r="G226" s="148"/>
      <c r="H226" s="148"/>
      <c r="I226" s="146" t="str">
        <f>IF(SUM(C226:H226)=0,"",IF(C226=0,1,C226)*IF(D226=0,1,D226)*IF(E226=0,1,E226)*IF(F226=0,1,F226)*IF(G226=0,1,G226)*IF(H226=0,1,H226))</f>
        <v/>
      </c>
      <c r="J226" s="159">
        <f>IF(COUNTA(C226:H226)=0,0,IF(I226="","",IF(F226-SUM(C226+D226+E226+G226+H226)=F226,"Lm",IF(COUNTA(C226:H226)&gt;4,"ERROR",IF(H226&gt;0,"m3",IF(COUNTA(G226,F226)=2,"m3",IF(COUNTA(C226:F226)=4,"m3",IF(COUNTA(D226:F226)=3,"m3",IF(G226&gt;0,"m2",IF(COUNTA(D226,E226)=2,"m2",IF(COUNTA(C226:F226)=3,"m2",IF(COUNTA(D226:F226)=2,"m2",IF(COUNTA(C226:F226)=2,"Lm",IF(D226&gt;0,"Lm",IF(E226&gt;0,"Lm",IF(C226&gt;0,"No.",))))))))))))))))</f>
        <v>0</v>
      </c>
      <c r="Q226" s="108"/>
      <c r="S226" s="88"/>
      <c r="T226" s="88"/>
    </row>
    <row r="227" spans="2:20" ht="18.75" hidden="1" outlineLevel="1" x14ac:dyDescent="0.25">
      <c r="B227" s="129" t="s">
        <v>192</v>
      </c>
      <c r="C227" s="130"/>
      <c r="D227" s="130"/>
      <c r="E227" s="130"/>
      <c r="F227" s="130"/>
      <c r="G227" s="130"/>
      <c r="H227" s="130"/>
      <c r="I227" s="131">
        <f>SUM(I228:I232)</f>
        <v>0</v>
      </c>
      <c r="J227" s="132" t="s">
        <v>11</v>
      </c>
      <c r="Q227" s="108"/>
      <c r="S227" s="88"/>
      <c r="T227" s="88"/>
    </row>
    <row r="228" spans="2:20" ht="15.75" hidden="1" outlineLevel="1" x14ac:dyDescent="0.25">
      <c r="B228" s="138"/>
      <c r="C228" s="22"/>
      <c r="D228" s="22"/>
      <c r="E228" s="22"/>
      <c r="F228" s="22"/>
      <c r="G228" s="22"/>
      <c r="H228" s="22"/>
      <c r="I228" s="32" t="str">
        <f>IF(SUM(C228:H228)=0,"",IF(C228=0,1,C228)*IF(D228=0,1,D228)*IF(E228=0,1,E228)*IF(F228=0,1,F228)*IF(G228=0,1,G228)*IF(H228=0,1,H228))</f>
        <v/>
      </c>
      <c r="J228" s="158">
        <f>IF(COUNTA(C228:H228)=0,0,IF(I228="","",IF(F228-SUM(C228+D228+E228+G228+H228)=F228,"Lm",IF(COUNTA(C228:H228)&gt;4,"ERROR",IF(H228&gt;0,"m3",IF(COUNTA(G228,F228)=2,"m3",IF(COUNTA(C228:F228)=4,"m3",IF(COUNTA(D228:F228)=3,"m3",IF(G228&gt;0,"m2",IF(COUNTA(D228,E228)=2,"m2",IF(COUNTA(C228:F228)=3,"m2",IF(COUNTA(D228:F228)=2,"m2",IF(COUNTA(C228:F228)=2,"Lm",IF(D228&gt;0,"Lm",IF(E228&gt;0,"Lm",IF(C228&gt;0,"No.",))))))))))))))))</f>
        <v>0</v>
      </c>
      <c r="Q228" s="108"/>
      <c r="S228" s="88"/>
      <c r="T228" s="88"/>
    </row>
    <row r="229" spans="2:20" ht="15.75" hidden="1" outlineLevel="1" x14ac:dyDescent="0.25">
      <c r="B229" s="138"/>
      <c r="C229" s="22"/>
      <c r="D229" s="22"/>
      <c r="E229" s="22"/>
      <c r="F229" s="22"/>
      <c r="G229" s="22"/>
      <c r="H229" s="22"/>
      <c r="I229" s="32" t="str">
        <f>IF(SUM(C229:H229)=0,"",IF(C229=0,1,C229)*IF(D229=0,1,D229)*IF(E229=0,1,E229)*IF(F229=0,1,F229)*IF(G229=0,1,G229)*IF(H229=0,1,H229))</f>
        <v/>
      </c>
      <c r="J229" s="158">
        <f>IF(COUNTA(C229:H229)=0,0,IF(I229="","",IF(F229-SUM(C229+D229+E229+G229+H229)=F229,"Lm",IF(COUNTA(C229:H229)&gt;4,"ERROR",IF(H229&gt;0,"m3",IF(COUNTA(G229,F229)=2,"m3",IF(COUNTA(C229:F229)=4,"m3",IF(COUNTA(D229:F229)=3,"m3",IF(G229&gt;0,"m2",IF(COUNTA(D229,E229)=2,"m2",IF(COUNTA(C229:F229)=3,"m2",IF(COUNTA(D229:F229)=2,"m2",IF(COUNTA(C229:F229)=2,"Lm",IF(D229&gt;0,"Lm",IF(E229&gt;0,"Lm",IF(C229&gt;0,"No.",))))))))))))))))</f>
        <v>0</v>
      </c>
      <c r="Q229" s="108"/>
      <c r="S229" s="88"/>
      <c r="T229" s="88"/>
    </row>
    <row r="230" spans="2:20" ht="15.75" hidden="1" outlineLevel="1" x14ac:dyDescent="0.25">
      <c r="B230" s="138"/>
      <c r="C230" s="22"/>
      <c r="D230" s="22"/>
      <c r="E230" s="22"/>
      <c r="F230" s="22"/>
      <c r="G230" s="22"/>
      <c r="H230" s="22"/>
      <c r="I230" s="32" t="str">
        <f>IF(SUM(C230:H230)=0,"",IF(C230=0,1,C230)*IF(D230=0,1,D230)*IF(E230=0,1,E230)*IF(F230=0,1,F230)*IF(G230=0,1,G230)*IF(H230=0,1,H230))</f>
        <v/>
      </c>
      <c r="J230" s="158">
        <f>IF(COUNTA(C230:H230)=0,0,IF(I230="","",IF(F230-SUM(C230+D230+E230+G230+H230)=F230,"Lm",IF(COUNTA(C230:H230)&gt;4,"ERROR",IF(H230&gt;0,"m3",IF(COUNTA(G230,F230)=2,"m3",IF(COUNTA(C230:F230)=4,"m3",IF(COUNTA(D230:F230)=3,"m3",IF(G230&gt;0,"m2",IF(COUNTA(D230,E230)=2,"m2",IF(COUNTA(C230:F230)=3,"m2",IF(COUNTA(D230:F230)=2,"m2",IF(COUNTA(C230:F230)=2,"Lm",IF(D230&gt;0,"Lm",IF(E230&gt;0,"Lm",IF(C230&gt;0,"No.",))))))))))))))))</f>
        <v>0</v>
      </c>
      <c r="Q230" s="108"/>
      <c r="S230" s="88"/>
      <c r="T230" s="88"/>
    </row>
    <row r="231" spans="2:20" ht="15.75" hidden="1" outlineLevel="1" x14ac:dyDescent="0.25">
      <c r="B231" s="138"/>
      <c r="C231" s="22"/>
      <c r="D231" s="22"/>
      <c r="E231" s="22"/>
      <c r="F231" s="22"/>
      <c r="G231" s="22"/>
      <c r="H231" s="22"/>
      <c r="I231" s="32" t="str">
        <f>IF(SUM(C231:H231)=0,"",IF(C231=0,1,C231)*IF(D231=0,1,D231)*IF(E231=0,1,E231)*IF(F231=0,1,F231)*IF(G231=0,1,G231)*IF(H231=0,1,H231))</f>
        <v/>
      </c>
      <c r="J231" s="158">
        <f>IF(COUNTA(C231:H231)=0,0,IF(I231="","",IF(F231-SUM(C231+D231+E231+G231+H231)=F231,"Lm",IF(COUNTA(C231:H231)&gt;4,"ERROR",IF(H231&gt;0,"m3",IF(COUNTA(G231,F231)=2,"m3",IF(COUNTA(C231:F231)=4,"m3",IF(COUNTA(D231:F231)=3,"m3",IF(G231&gt;0,"m2",IF(COUNTA(D231,E231)=2,"m2",IF(COUNTA(C231:F231)=3,"m2",IF(COUNTA(D231:F231)=2,"m2",IF(COUNTA(C231:F231)=2,"Lm",IF(D231&gt;0,"Lm",IF(E231&gt;0,"Lm",IF(C231&gt;0,"No.",))))))))))))))))</f>
        <v>0</v>
      </c>
      <c r="Q231" s="108"/>
      <c r="S231" s="88"/>
      <c r="T231" s="88"/>
    </row>
    <row r="232" spans="2:20" ht="15.75" hidden="1" outlineLevel="1" x14ac:dyDescent="0.25">
      <c r="B232" s="145"/>
      <c r="C232" s="148"/>
      <c r="D232" s="148"/>
      <c r="E232" s="148"/>
      <c r="F232" s="148"/>
      <c r="G232" s="148"/>
      <c r="H232" s="148"/>
      <c r="I232" s="146" t="str">
        <f>IF(SUM(C232:H232)=0,"",IF(C232=0,1,C232)*IF(D232=0,1,D232)*IF(E232=0,1,E232)*IF(F232=0,1,F232)*IF(G232=0,1,G232)*IF(H232=0,1,H232))</f>
        <v/>
      </c>
      <c r="J232" s="159">
        <f>IF(COUNTA(C232:H232)=0,0,IF(I232="","",IF(F232-SUM(C232+D232+E232+G232+H232)=F232,"Lm",IF(COUNTA(C232:H232)&gt;4,"ERROR",IF(H232&gt;0,"m3",IF(COUNTA(G232,F232)=2,"m3",IF(COUNTA(C232:F232)=4,"m3",IF(COUNTA(D232:F232)=3,"m3",IF(G232&gt;0,"m2",IF(COUNTA(D232,E232)=2,"m2",IF(COUNTA(C232:F232)=3,"m2",IF(COUNTA(D232:F232)=2,"m2",IF(COUNTA(C232:F232)=2,"Lm",IF(D232&gt;0,"Lm",IF(E232&gt;0,"Lm",IF(C232&gt;0,"No.",))))))))))))))))</f>
        <v>0</v>
      </c>
      <c r="Q232" s="108"/>
      <c r="S232" s="88"/>
      <c r="T232" s="88"/>
    </row>
    <row r="233" spans="2:20" ht="18.75" hidden="1" outlineLevel="1" x14ac:dyDescent="0.25">
      <c r="B233" s="129" t="s">
        <v>193</v>
      </c>
      <c r="C233" s="130"/>
      <c r="D233" s="130"/>
      <c r="E233" s="130"/>
      <c r="F233" s="130"/>
      <c r="G233" s="130"/>
      <c r="H233" s="130"/>
      <c r="I233" s="131">
        <f>SUM(I234:I238)</f>
        <v>0</v>
      </c>
      <c r="J233" s="132" t="s">
        <v>11</v>
      </c>
      <c r="Q233" s="108"/>
      <c r="S233" s="88"/>
      <c r="T233" s="88"/>
    </row>
    <row r="234" spans="2:20" ht="15.75" hidden="1" outlineLevel="1" x14ac:dyDescent="0.25">
      <c r="B234" s="138"/>
      <c r="C234" s="22"/>
      <c r="D234" s="22"/>
      <c r="E234" s="22"/>
      <c r="F234" s="22"/>
      <c r="G234" s="22"/>
      <c r="H234" s="22"/>
      <c r="I234" s="32" t="str">
        <f>IF(SUM(C234:H234)=0,"",IF(C234=0,1,C234)*IF(D234=0,1,D234)*IF(E234=0,1,E234)*IF(F234=0,1,F234)*IF(G234=0,1,G234)*IF(H234=0,1,H234))</f>
        <v/>
      </c>
      <c r="J234" s="158">
        <f>IF(COUNTA(C234:H234)=0,0,IF(I234="","",IF(F234-SUM(C234+D234+E234+G234+H234)=F234,"Lm",IF(COUNTA(C234:H234)&gt;4,"ERROR",IF(H234&gt;0,"m3",IF(COUNTA(G234,F234)=2,"m3",IF(COUNTA(C234:F234)=4,"m3",IF(COUNTA(D234:F234)=3,"m3",IF(G234&gt;0,"m2",IF(COUNTA(D234,E234)=2,"m2",IF(COUNTA(C234:F234)=3,"m2",IF(COUNTA(D234:F234)=2,"m2",IF(COUNTA(C234:F234)=2,"Lm",IF(D234&gt;0,"Lm",IF(E234&gt;0,"Lm",IF(C234&gt;0,"No.",))))))))))))))))</f>
        <v>0</v>
      </c>
      <c r="Q234" s="108"/>
      <c r="S234" s="88"/>
      <c r="T234" s="88"/>
    </row>
    <row r="235" spans="2:20" ht="15.75" hidden="1" outlineLevel="1" x14ac:dyDescent="0.25">
      <c r="B235" s="138"/>
      <c r="C235" s="22"/>
      <c r="D235" s="22"/>
      <c r="E235" s="22"/>
      <c r="F235" s="22"/>
      <c r="G235" s="22"/>
      <c r="H235" s="22"/>
      <c r="I235" s="32" t="str">
        <f>IF(SUM(C235:H235)=0,"",IF(C235=0,1,C235)*IF(D235=0,1,D235)*IF(E235=0,1,E235)*IF(F235=0,1,F235)*IF(G235=0,1,G235)*IF(H235=0,1,H235))</f>
        <v/>
      </c>
      <c r="J235" s="158">
        <f>IF(COUNTA(C235:H235)=0,0,IF(I235="","",IF(F235-SUM(C235+D235+E235+G235+H235)=F235,"Lm",IF(COUNTA(C235:H235)&gt;4,"ERROR",IF(H235&gt;0,"m3",IF(COUNTA(G235,F235)=2,"m3",IF(COUNTA(C235:F235)=4,"m3",IF(COUNTA(D235:F235)=3,"m3",IF(G235&gt;0,"m2",IF(COUNTA(D235,E235)=2,"m2",IF(COUNTA(C235:F235)=3,"m2",IF(COUNTA(D235:F235)=2,"m2",IF(COUNTA(C235:F235)=2,"Lm",IF(D235&gt;0,"Lm",IF(E235&gt;0,"Lm",IF(C235&gt;0,"No.",))))))))))))))))</f>
        <v>0</v>
      </c>
      <c r="Q235" s="108"/>
      <c r="S235" s="88"/>
      <c r="T235" s="88"/>
    </row>
    <row r="236" spans="2:20" ht="15.75" hidden="1" outlineLevel="1" x14ac:dyDescent="0.25">
      <c r="B236" s="138"/>
      <c r="C236" s="22"/>
      <c r="D236" s="22"/>
      <c r="E236" s="22"/>
      <c r="F236" s="22"/>
      <c r="G236" s="22"/>
      <c r="H236" s="22"/>
      <c r="I236" s="32" t="str">
        <f>IF(SUM(C236:H236)=0,"",IF(C236=0,1,C236)*IF(D236=0,1,D236)*IF(E236=0,1,E236)*IF(F236=0,1,F236)*IF(G236=0,1,G236)*IF(H236=0,1,H236))</f>
        <v/>
      </c>
      <c r="J236" s="158">
        <f>IF(COUNTA(C236:H236)=0,0,IF(I236="","",IF(F236-SUM(C236+D236+E236+G236+H236)=F236,"Lm",IF(COUNTA(C236:H236)&gt;4,"ERROR",IF(H236&gt;0,"m3",IF(COUNTA(G236,F236)=2,"m3",IF(COUNTA(C236:F236)=4,"m3",IF(COUNTA(D236:F236)=3,"m3",IF(G236&gt;0,"m2",IF(COUNTA(D236,E236)=2,"m2",IF(COUNTA(C236:F236)=3,"m2",IF(COUNTA(D236:F236)=2,"m2",IF(COUNTA(C236:F236)=2,"Lm",IF(D236&gt;0,"Lm",IF(E236&gt;0,"Lm",IF(C236&gt;0,"No.",))))))))))))))))</f>
        <v>0</v>
      </c>
      <c r="Q236" s="108"/>
      <c r="S236" s="88"/>
      <c r="T236" s="88"/>
    </row>
    <row r="237" spans="2:20" ht="15.75" hidden="1" outlineLevel="1" x14ac:dyDescent="0.25">
      <c r="B237" s="138"/>
      <c r="C237" s="22"/>
      <c r="D237" s="22"/>
      <c r="E237" s="22"/>
      <c r="F237" s="22"/>
      <c r="G237" s="22"/>
      <c r="H237" s="22"/>
      <c r="I237" s="32" t="str">
        <f>IF(SUM(C237:H237)=0,"",IF(C237=0,1,C237)*IF(D237=0,1,D237)*IF(E237=0,1,E237)*IF(F237=0,1,F237)*IF(G237=0,1,G237)*IF(H237=0,1,H237))</f>
        <v/>
      </c>
      <c r="J237" s="158">
        <f>IF(COUNTA(C237:H237)=0,0,IF(I237="","",IF(F237-SUM(C237+D237+E237+G237+H237)=F237,"Lm",IF(COUNTA(C237:H237)&gt;4,"ERROR",IF(H237&gt;0,"m3",IF(COUNTA(G237,F237)=2,"m3",IF(COUNTA(C237:F237)=4,"m3",IF(COUNTA(D237:F237)=3,"m3",IF(G237&gt;0,"m2",IF(COUNTA(D237,E237)=2,"m2",IF(COUNTA(C237:F237)=3,"m2",IF(COUNTA(D237:F237)=2,"m2",IF(COUNTA(C237:F237)=2,"Lm",IF(D237&gt;0,"Lm",IF(E237&gt;0,"Lm",IF(C237&gt;0,"No.",))))))))))))))))</f>
        <v>0</v>
      </c>
      <c r="Q237" s="108"/>
      <c r="S237" s="88"/>
      <c r="T237" s="88"/>
    </row>
    <row r="238" spans="2:20" ht="15.75" hidden="1" outlineLevel="1" x14ac:dyDescent="0.25">
      <c r="B238" s="145"/>
      <c r="C238" s="148"/>
      <c r="D238" s="148"/>
      <c r="E238" s="148"/>
      <c r="F238" s="148"/>
      <c r="G238" s="148"/>
      <c r="H238" s="148"/>
      <c r="I238" s="146" t="str">
        <f>IF(SUM(C238:H238)=0,"",IF(C238=0,1,C238)*IF(D238=0,1,D238)*IF(E238=0,1,E238)*IF(F238=0,1,F238)*IF(G238=0,1,G238)*IF(H238=0,1,H238))</f>
        <v/>
      </c>
      <c r="J238" s="159">
        <f>IF(COUNTA(C238:H238)=0,0,IF(I238="","",IF(F238-SUM(C238+D238+E238+G238+H238)=F238,"Lm",IF(COUNTA(C238:H238)&gt;4,"ERROR",IF(H238&gt;0,"m3",IF(COUNTA(G238,F238)=2,"m3",IF(COUNTA(C238:F238)=4,"m3",IF(COUNTA(D238:F238)=3,"m3",IF(G238&gt;0,"m2",IF(COUNTA(D238,E238)=2,"m2",IF(COUNTA(C238:F238)=3,"m2",IF(COUNTA(D238:F238)=2,"m2",IF(COUNTA(C238:F238)=2,"Lm",IF(D238&gt;0,"Lm",IF(E238&gt;0,"Lm",IF(C238&gt;0,"No.",))))))))))))))))</f>
        <v>0</v>
      </c>
      <c r="Q238" s="108"/>
      <c r="S238" s="88"/>
      <c r="T238" s="88"/>
    </row>
    <row r="239" spans="2:20" ht="15.75" collapsed="1" x14ac:dyDescent="0.25">
      <c r="B239" s="160"/>
      <c r="C239" s="22"/>
      <c r="D239" s="22"/>
      <c r="E239" s="22"/>
      <c r="F239" s="22"/>
      <c r="G239" s="22"/>
      <c r="H239" s="22"/>
      <c r="I239" s="32"/>
      <c r="J239" s="32"/>
      <c r="Q239" s="108"/>
      <c r="S239" s="88"/>
      <c r="T239" s="88"/>
    </row>
    <row r="240" spans="2:20" x14ac:dyDescent="0.25">
      <c r="Q240" s="108"/>
      <c r="S240" s="88"/>
      <c r="T240" s="88"/>
    </row>
    <row r="241" spans="3:20" x14ac:dyDescent="0.25">
      <c r="Q241" s="108"/>
      <c r="S241" s="88"/>
      <c r="T241" s="88"/>
    </row>
    <row r="242" spans="3:20" x14ac:dyDescent="0.25">
      <c r="C242" s="36"/>
      <c r="D242" s="36"/>
      <c r="E242" s="36"/>
      <c r="F242" s="36"/>
      <c r="G242" s="36"/>
      <c r="H242" s="36"/>
      <c r="I242" s="110"/>
      <c r="J242" s="36"/>
      <c r="Q242" s="108"/>
      <c r="S242" s="88"/>
      <c r="T242" s="88"/>
    </row>
    <row r="243" spans="3:20" x14ac:dyDescent="0.25">
      <c r="C243" s="36"/>
      <c r="D243" s="36"/>
      <c r="E243" s="36"/>
      <c r="F243" s="36"/>
      <c r="G243" s="36"/>
      <c r="H243" s="36"/>
      <c r="I243" s="110"/>
      <c r="J243" s="36"/>
      <c r="Q243" s="108"/>
      <c r="S243" s="88"/>
      <c r="T243" s="88"/>
    </row>
    <row r="244" spans="3:20" x14ac:dyDescent="0.25">
      <c r="C244" s="36"/>
      <c r="D244" s="36"/>
      <c r="E244" s="36"/>
      <c r="F244" s="36"/>
      <c r="G244" s="36"/>
      <c r="H244" s="36"/>
      <c r="I244" s="110"/>
      <c r="J244" s="36"/>
      <c r="Q244" s="108"/>
      <c r="S244" s="88"/>
      <c r="T244" s="88"/>
    </row>
    <row r="245" spans="3:20" x14ac:dyDescent="0.25">
      <c r="C245" s="36"/>
      <c r="D245" s="36"/>
      <c r="E245" s="36"/>
      <c r="F245" s="36"/>
      <c r="G245" s="36"/>
      <c r="H245" s="36"/>
      <c r="I245" s="110"/>
      <c r="J245" s="36"/>
      <c r="Q245" s="108"/>
      <c r="S245" s="88"/>
      <c r="T245" s="88"/>
    </row>
    <row r="246" spans="3:20" x14ac:dyDescent="0.25">
      <c r="C246" s="36"/>
      <c r="D246" s="36"/>
      <c r="E246" s="36"/>
      <c r="F246" s="36"/>
      <c r="G246" s="36"/>
      <c r="H246" s="36"/>
      <c r="I246" s="110"/>
      <c r="J246" s="36"/>
      <c r="Q246" s="108"/>
      <c r="S246" s="88"/>
      <c r="T246" s="88"/>
    </row>
    <row r="247" spans="3:20" x14ac:dyDescent="0.25">
      <c r="C247" s="36"/>
      <c r="D247" s="36"/>
      <c r="E247" s="36"/>
      <c r="F247" s="36"/>
      <c r="G247" s="36"/>
      <c r="H247" s="36"/>
      <c r="I247" s="110"/>
      <c r="J247" s="36"/>
      <c r="Q247" s="108"/>
      <c r="S247" s="88"/>
      <c r="T247" s="88"/>
    </row>
    <row r="248" spans="3:20" x14ac:dyDescent="0.25">
      <c r="C248" s="36"/>
      <c r="D248" s="36"/>
      <c r="E248" s="36"/>
      <c r="F248" s="36"/>
      <c r="G248" s="36"/>
      <c r="H248" s="36"/>
      <c r="I248" s="110"/>
      <c r="J248" s="36"/>
      <c r="Q248" s="108"/>
      <c r="S248" s="88"/>
      <c r="T248" s="88"/>
    </row>
    <row r="249" spans="3:20" x14ac:dyDescent="0.25">
      <c r="C249" s="36"/>
      <c r="D249" s="36"/>
      <c r="E249" s="36"/>
      <c r="F249" s="36"/>
      <c r="G249" s="36"/>
      <c r="H249" s="36"/>
      <c r="I249" s="110"/>
      <c r="J249" s="36"/>
      <c r="Q249" s="108"/>
      <c r="S249" s="88"/>
      <c r="T249" s="88"/>
    </row>
    <row r="250" spans="3:20" x14ac:dyDescent="0.25">
      <c r="C250" s="36"/>
      <c r="D250" s="36"/>
      <c r="E250" s="36"/>
      <c r="F250" s="36"/>
      <c r="G250" s="36"/>
      <c r="H250" s="36"/>
      <c r="I250" s="110"/>
      <c r="J250" s="36"/>
      <c r="Q250" s="108"/>
      <c r="S250" s="88"/>
      <c r="T250" s="88"/>
    </row>
    <row r="251" spans="3:20" x14ac:dyDescent="0.25">
      <c r="C251" s="36"/>
      <c r="D251" s="36"/>
      <c r="E251" s="36"/>
      <c r="F251" s="36"/>
      <c r="G251" s="36"/>
      <c r="H251" s="36"/>
      <c r="I251" s="110"/>
      <c r="J251" s="36"/>
      <c r="Q251" s="108"/>
      <c r="S251" s="88"/>
      <c r="T251" s="88"/>
    </row>
    <row r="252" spans="3:20" x14ac:dyDescent="0.25">
      <c r="C252" s="36"/>
      <c r="D252" s="36"/>
      <c r="E252" s="36"/>
      <c r="F252" s="36"/>
      <c r="G252" s="36"/>
      <c r="H252" s="36"/>
      <c r="I252" s="110"/>
      <c r="J252" s="36"/>
      <c r="Q252" s="108"/>
      <c r="S252" s="88"/>
      <c r="T252" s="88"/>
    </row>
    <row r="253" spans="3:20" x14ac:dyDescent="0.25">
      <c r="C253" s="36"/>
      <c r="D253" s="36"/>
      <c r="E253" s="36"/>
      <c r="F253" s="36"/>
      <c r="G253" s="36"/>
      <c r="H253" s="36"/>
      <c r="I253" s="110"/>
      <c r="J253" s="36"/>
      <c r="Q253" s="108"/>
      <c r="S253" s="88"/>
      <c r="T253" s="88"/>
    </row>
    <row r="254" spans="3:20" x14ac:dyDescent="0.25">
      <c r="C254" s="36"/>
      <c r="D254" s="36"/>
      <c r="E254" s="36"/>
      <c r="F254" s="36"/>
      <c r="G254" s="36"/>
      <c r="H254" s="36"/>
      <c r="I254" s="110"/>
      <c r="J254" s="36"/>
      <c r="Q254" s="108"/>
      <c r="S254" s="88"/>
      <c r="T254" s="88"/>
    </row>
    <row r="255" spans="3:20" x14ac:dyDescent="0.25">
      <c r="C255" s="36"/>
      <c r="D255" s="36"/>
      <c r="E255" s="36"/>
      <c r="F255" s="36"/>
      <c r="G255" s="36"/>
      <c r="H255" s="36"/>
      <c r="I255" s="110"/>
      <c r="J255" s="36"/>
      <c r="Q255" s="108"/>
      <c r="S255" s="88"/>
      <c r="T255" s="88"/>
    </row>
    <row r="256" spans="3:20" x14ac:dyDescent="0.25">
      <c r="C256" s="36"/>
      <c r="D256" s="36"/>
      <c r="E256" s="36"/>
      <c r="F256" s="36"/>
      <c r="G256" s="36"/>
      <c r="H256" s="36"/>
      <c r="I256" s="110"/>
      <c r="J256" s="36"/>
      <c r="Q256" s="108"/>
      <c r="S256" s="88"/>
      <c r="T256" s="88"/>
    </row>
    <row r="257" spans="3:20" x14ac:dyDescent="0.25">
      <c r="C257" s="36"/>
      <c r="D257" s="36"/>
      <c r="E257" s="36"/>
      <c r="F257" s="36"/>
      <c r="G257" s="36"/>
      <c r="H257" s="36"/>
      <c r="I257" s="110"/>
      <c r="J257" s="36"/>
      <c r="Q257" s="108"/>
      <c r="S257" s="88"/>
      <c r="T257" s="88"/>
    </row>
    <row r="258" spans="3:20" x14ac:dyDescent="0.25">
      <c r="C258" s="36"/>
      <c r="D258" s="36"/>
      <c r="E258" s="36"/>
      <c r="F258" s="36"/>
      <c r="G258" s="36"/>
      <c r="H258" s="36"/>
      <c r="I258" s="110"/>
      <c r="J258" s="36"/>
      <c r="Q258" s="108"/>
      <c r="S258" s="88"/>
      <c r="T258" s="88"/>
    </row>
    <row r="259" spans="3:20" x14ac:dyDescent="0.25">
      <c r="C259" s="36"/>
      <c r="D259" s="36"/>
      <c r="E259" s="36"/>
      <c r="F259" s="36"/>
      <c r="G259" s="36"/>
      <c r="H259" s="36"/>
      <c r="I259" s="110"/>
      <c r="J259" s="36"/>
      <c r="Q259" s="108"/>
      <c r="S259" s="88"/>
      <c r="T259" s="88"/>
    </row>
    <row r="260" spans="3:20" x14ac:dyDescent="0.25">
      <c r="C260" s="36"/>
      <c r="D260" s="36"/>
      <c r="E260" s="36"/>
      <c r="F260" s="36"/>
      <c r="G260" s="36"/>
      <c r="H260" s="36"/>
      <c r="I260" s="110"/>
      <c r="J260" s="36"/>
      <c r="Q260" s="108"/>
      <c r="S260" s="88"/>
      <c r="T260" s="88"/>
    </row>
    <row r="261" spans="3:20" x14ac:dyDescent="0.25">
      <c r="C261" s="36"/>
      <c r="D261" s="36"/>
      <c r="E261" s="36"/>
      <c r="F261" s="36"/>
      <c r="G261" s="36"/>
      <c r="H261" s="36"/>
      <c r="I261" s="110"/>
      <c r="J261" s="36"/>
      <c r="Q261" s="108"/>
      <c r="S261" s="88"/>
      <c r="T261" s="88"/>
    </row>
    <row r="262" spans="3:20" x14ac:dyDescent="0.25">
      <c r="C262" s="36"/>
      <c r="D262" s="36"/>
      <c r="E262" s="36"/>
      <c r="F262" s="36"/>
      <c r="G262" s="36"/>
      <c r="H262" s="36"/>
      <c r="I262" s="110"/>
      <c r="J262" s="36"/>
      <c r="Q262" s="108"/>
      <c r="S262" s="88"/>
      <c r="T262" s="88"/>
    </row>
    <row r="263" spans="3:20" x14ac:dyDescent="0.25">
      <c r="C263" s="36"/>
      <c r="D263" s="36"/>
      <c r="E263" s="36"/>
      <c r="F263" s="36"/>
      <c r="G263" s="36"/>
      <c r="H263" s="36"/>
      <c r="I263" s="110"/>
      <c r="J263" s="36"/>
      <c r="Q263" s="108"/>
      <c r="S263" s="88"/>
      <c r="T263" s="88"/>
    </row>
    <row r="264" spans="3:20" x14ac:dyDescent="0.25">
      <c r="C264" s="36"/>
      <c r="D264" s="36"/>
      <c r="E264" s="36"/>
      <c r="F264" s="36"/>
      <c r="G264" s="36"/>
      <c r="H264" s="36"/>
      <c r="I264" s="110"/>
      <c r="J264" s="36"/>
      <c r="Q264" s="108"/>
      <c r="S264" s="88"/>
      <c r="T264" s="88"/>
    </row>
    <row r="265" spans="3:20" x14ac:dyDescent="0.25">
      <c r="C265" s="36"/>
      <c r="D265" s="36"/>
      <c r="E265" s="36"/>
      <c r="F265" s="36"/>
      <c r="G265" s="36"/>
      <c r="H265" s="36"/>
      <c r="I265" s="110"/>
      <c r="J265" s="36"/>
      <c r="Q265" s="108"/>
      <c r="S265" s="88"/>
      <c r="T265" s="88"/>
    </row>
    <row r="266" spans="3:20" x14ac:dyDescent="0.25">
      <c r="C266" s="36"/>
      <c r="D266" s="36"/>
      <c r="E266" s="36"/>
      <c r="F266" s="36"/>
      <c r="G266" s="36"/>
      <c r="H266" s="36"/>
      <c r="I266" s="110"/>
      <c r="J266" s="36"/>
      <c r="Q266" s="108"/>
      <c r="S266" s="88"/>
      <c r="T266" s="88"/>
    </row>
    <row r="267" spans="3:20" x14ac:dyDescent="0.25">
      <c r="C267" s="36"/>
      <c r="D267" s="36"/>
      <c r="E267" s="36"/>
      <c r="F267" s="36"/>
      <c r="G267" s="36"/>
      <c r="H267" s="36"/>
      <c r="I267" s="110"/>
      <c r="J267" s="36"/>
      <c r="Q267" s="108"/>
      <c r="S267" s="88"/>
      <c r="T267" s="88"/>
    </row>
    <row r="268" spans="3:20" x14ac:dyDescent="0.25">
      <c r="C268" s="36"/>
      <c r="D268" s="36"/>
      <c r="E268" s="36"/>
      <c r="F268" s="36"/>
      <c r="G268" s="36"/>
      <c r="H268" s="36"/>
      <c r="I268" s="110"/>
      <c r="J268" s="36"/>
      <c r="Q268" s="108"/>
      <c r="S268" s="88"/>
      <c r="T268" s="88"/>
    </row>
    <row r="269" spans="3:20" x14ac:dyDescent="0.25">
      <c r="C269" s="36"/>
      <c r="D269" s="36"/>
      <c r="E269" s="36"/>
      <c r="F269" s="36"/>
      <c r="G269" s="36"/>
      <c r="H269" s="36"/>
      <c r="I269" s="110"/>
      <c r="J269" s="36"/>
      <c r="Q269" s="108"/>
      <c r="S269" s="88"/>
      <c r="T269" s="88"/>
    </row>
    <row r="270" spans="3:20" x14ac:dyDescent="0.25">
      <c r="C270" s="36"/>
      <c r="D270" s="36"/>
      <c r="E270" s="36"/>
      <c r="F270" s="36"/>
      <c r="G270" s="36"/>
      <c r="H270" s="36"/>
      <c r="I270" s="110"/>
      <c r="J270" s="36"/>
      <c r="Q270" s="108"/>
      <c r="S270" s="88"/>
      <c r="T270" s="88"/>
    </row>
    <row r="271" spans="3:20" x14ac:dyDescent="0.25">
      <c r="C271" s="36"/>
      <c r="D271" s="36"/>
      <c r="E271" s="36"/>
      <c r="F271" s="36"/>
      <c r="G271" s="36"/>
      <c r="H271" s="36"/>
      <c r="I271" s="110"/>
      <c r="J271" s="36"/>
      <c r="Q271" s="108"/>
      <c r="S271" s="88"/>
      <c r="T271" s="88"/>
    </row>
    <row r="272" spans="3:20" x14ac:dyDescent="0.25">
      <c r="C272" s="36"/>
      <c r="D272" s="36"/>
      <c r="E272" s="36"/>
      <c r="F272" s="36"/>
      <c r="G272" s="36"/>
      <c r="H272" s="36"/>
      <c r="I272" s="110"/>
      <c r="J272" s="36"/>
      <c r="Q272" s="108"/>
      <c r="S272" s="88"/>
      <c r="T272" s="88"/>
    </row>
    <row r="273" spans="3:20" x14ac:dyDescent="0.25">
      <c r="C273" s="36"/>
      <c r="D273" s="36"/>
      <c r="E273" s="36"/>
      <c r="F273" s="36"/>
      <c r="G273" s="36"/>
      <c r="H273" s="36"/>
      <c r="I273" s="110"/>
      <c r="J273" s="36"/>
      <c r="Q273" s="108"/>
      <c r="S273" s="88"/>
      <c r="T273" s="88"/>
    </row>
    <row r="274" spans="3:20" x14ac:dyDescent="0.25">
      <c r="C274" s="36"/>
      <c r="D274" s="36"/>
      <c r="E274" s="36"/>
      <c r="F274" s="36"/>
      <c r="G274" s="36"/>
      <c r="H274" s="36"/>
      <c r="I274" s="110"/>
      <c r="J274" s="36"/>
      <c r="Q274" s="108"/>
      <c r="S274" s="88"/>
      <c r="T274" s="88"/>
    </row>
    <row r="275" spans="3:20" x14ac:dyDescent="0.25">
      <c r="C275" s="36"/>
      <c r="D275" s="36"/>
      <c r="E275" s="36"/>
      <c r="F275" s="36"/>
      <c r="G275" s="36"/>
      <c r="H275" s="36"/>
      <c r="I275" s="110"/>
      <c r="J275" s="36"/>
      <c r="Q275" s="108"/>
      <c r="S275" s="88"/>
      <c r="T275" s="88"/>
    </row>
    <row r="276" spans="3:20" x14ac:dyDescent="0.25">
      <c r="C276" s="36"/>
      <c r="D276" s="36"/>
      <c r="E276" s="36"/>
      <c r="F276" s="36"/>
      <c r="G276" s="36"/>
      <c r="H276" s="36"/>
      <c r="I276" s="110"/>
      <c r="J276" s="36"/>
      <c r="Q276" s="108"/>
      <c r="S276" s="88"/>
      <c r="T276" s="88"/>
    </row>
    <row r="277" spans="3:20" x14ac:dyDescent="0.25">
      <c r="C277" s="36"/>
      <c r="D277" s="36"/>
      <c r="E277" s="36"/>
      <c r="F277" s="36"/>
      <c r="G277" s="36"/>
      <c r="H277" s="36"/>
      <c r="I277" s="110"/>
      <c r="J277" s="36"/>
      <c r="Q277" s="108"/>
      <c r="S277" s="88"/>
      <c r="T277" s="88"/>
    </row>
    <row r="278" spans="3:20" x14ac:dyDescent="0.25">
      <c r="C278" s="36"/>
      <c r="D278" s="36"/>
      <c r="E278" s="36"/>
      <c r="F278" s="36"/>
      <c r="G278" s="36"/>
      <c r="H278" s="36"/>
      <c r="I278" s="110"/>
      <c r="J278" s="36"/>
      <c r="Q278" s="108"/>
      <c r="S278" s="88"/>
      <c r="T278" s="88"/>
    </row>
    <row r="279" spans="3:20" x14ac:dyDescent="0.25">
      <c r="C279" s="36"/>
      <c r="D279" s="36"/>
      <c r="E279" s="36"/>
      <c r="F279" s="36"/>
      <c r="G279" s="36"/>
      <c r="H279" s="36"/>
      <c r="I279" s="110"/>
      <c r="J279" s="36"/>
      <c r="Q279" s="108"/>
      <c r="S279" s="88"/>
      <c r="T279" s="88"/>
    </row>
    <row r="280" spans="3:20" x14ac:dyDescent="0.25">
      <c r="C280" s="36"/>
      <c r="D280" s="36"/>
      <c r="E280" s="36"/>
      <c r="F280" s="36"/>
      <c r="G280" s="36"/>
      <c r="H280" s="36"/>
      <c r="I280" s="110"/>
      <c r="J280" s="36"/>
      <c r="Q280" s="108"/>
      <c r="S280" s="88"/>
      <c r="T280" s="88"/>
    </row>
    <row r="281" spans="3:20" x14ac:dyDescent="0.25">
      <c r="C281" s="36"/>
      <c r="D281" s="36"/>
      <c r="E281" s="36"/>
      <c r="F281" s="36"/>
      <c r="G281" s="36"/>
      <c r="H281" s="36"/>
      <c r="I281" s="110"/>
      <c r="J281" s="36"/>
      <c r="Q281" s="108"/>
      <c r="S281" s="88"/>
      <c r="T281" s="88"/>
    </row>
    <row r="282" spans="3:20" x14ac:dyDescent="0.25">
      <c r="C282" s="36"/>
      <c r="D282" s="36"/>
      <c r="E282" s="36"/>
      <c r="F282" s="36"/>
      <c r="G282" s="36"/>
      <c r="H282" s="36"/>
      <c r="I282" s="110"/>
      <c r="J282" s="36"/>
      <c r="Q282" s="108"/>
      <c r="S282" s="88"/>
      <c r="T282" s="88"/>
    </row>
    <row r="283" spans="3:20" x14ac:dyDescent="0.25">
      <c r="C283" s="36"/>
      <c r="D283" s="36"/>
      <c r="E283" s="36"/>
      <c r="F283" s="36"/>
      <c r="G283" s="36"/>
      <c r="H283" s="36"/>
      <c r="I283" s="110"/>
      <c r="J283" s="36"/>
      <c r="Q283" s="108"/>
      <c r="S283" s="88"/>
      <c r="T283" s="88"/>
    </row>
    <row r="284" spans="3:20" x14ac:dyDescent="0.25">
      <c r="C284" s="36"/>
      <c r="D284" s="36"/>
      <c r="E284" s="36"/>
      <c r="F284" s="36"/>
      <c r="G284" s="36"/>
      <c r="H284" s="36"/>
      <c r="I284" s="110"/>
      <c r="J284" s="36"/>
      <c r="Q284" s="108"/>
      <c r="S284" s="88"/>
      <c r="T284" s="88"/>
    </row>
    <row r="285" spans="3:20" x14ac:dyDescent="0.25">
      <c r="C285" s="36"/>
      <c r="D285" s="36"/>
      <c r="E285" s="36"/>
      <c r="F285" s="36"/>
      <c r="G285" s="36"/>
      <c r="H285" s="36"/>
      <c r="I285" s="110"/>
      <c r="J285" s="36"/>
      <c r="Q285" s="108"/>
      <c r="S285" s="88"/>
      <c r="T285" s="88"/>
    </row>
    <row r="286" spans="3:20" x14ac:dyDescent="0.25">
      <c r="C286" s="36"/>
      <c r="D286" s="36"/>
      <c r="E286" s="36"/>
      <c r="F286" s="36"/>
      <c r="G286" s="36"/>
      <c r="H286" s="36"/>
      <c r="I286" s="110"/>
      <c r="J286" s="36"/>
      <c r="Q286" s="108"/>
      <c r="S286" s="88"/>
      <c r="T286" s="88"/>
    </row>
    <row r="287" spans="3:20" x14ac:dyDescent="0.25">
      <c r="C287" s="36"/>
      <c r="D287" s="36"/>
      <c r="E287" s="36"/>
      <c r="F287" s="36"/>
      <c r="G287" s="36"/>
      <c r="H287" s="36"/>
      <c r="I287" s="110"/>
      <c r="J287" s="36"/>
      <c r="Q287" s="108"/>
      <c r="S287" s="88"/>
      <c r="T287" s="88"/>
    </row>
    <row r="288" spans="3:20" x14ac:dyDescent="0.25">
      <c r="C288" s="36"/>
      <c r="D288" s="36"/>
      <c r="E288" s="36"/>
      <c r="F288" s="36"/>
      <c r="G288" s="36"/>
      <c r="H288" s="36"/>
      <c r="I288" s="110"/>
      <c r="J288" s="36"/>
      <c r="Q288" s="108"/>
      <c r="S288" s="88"/>
      <c r="T288" s="88"/>
    </row>
    <row r="289" spans="3:20" x14ac:dyDescent="0.25">
      <c r="C289" s="36"/>
      <c r="D289" s="36"/>
      <c r="E289" s="36"/>
      <c r="F289" s="36"/>
      <c r="G289" s="36"/>
      <c r="H289" s="36"/>
      <c r="I289" s="110"/>
      <c r="J289" s="36"/>
      <c r="Q289" s="108"/>
      <c r="S289" s="88"/>
      <c r="T289" s="88"/>
    </row>
    <row r="290" spans="3:20" x14ac:dyDescent="0.25">
      <c r="C290" s="36"/>
      <c r="D290" s="36"/>
      <c r="E290" s="36"/>
      <c r="F290" s="36"/>
      <c r="G290" s="36"/>
      <c r="H290" s="36"/>
      <c r="I290" s="110"/>
      <c r="J290" s="36"/>
      <c r="Q290" s="108"/>
      <c r="S290" s="88"/>
      <c r="T290" s="88"/>
    </row>
    <row r="291" spans="3:20" x14ac:dyDescent="0.25">
      <c r="C291" s="36"/>
      <c r="D291" s="36"/>
      <c r="E291" s="36"/>
      <c r="F291" s="36"/>
      <c r="G291" s="36"/>
      <c r="H291" s="36"/>
      <c r="I291" s="110"/>
      <c r="J291" s="36"/>
      <c r="Q291" s="108"/>
      <c r="S291" s="88"/>
      <c r="T291" s="88"/>
    </row>
    <row r="292" spans="3:20" x14ac:dyDescent="0.25">
      <c r="C292" s="36"/>
      <c r="D292" s="36"/>
      <c r="E292" s="36"/>
      <c r="F292" s="36"/>
      <c r="G292" s="36"/>
      <c r="H292" s="36"/>
      <c r="I292" s="110"/>
      <c r="J292" s="36"/>
      <c r="Q292" s="108"/>
      <c r="S292" s="88"/>
      <c r="T292" s="88"/>
    </row>
    <row r="293" spans="3:20" x14ac:dyDescent="0.25">
      <c r="C293" s="36"/>
      <c r="D293" s="36"/>
      <c r="E293" s="36"/>
      <c r="F293" s="36"/>
      <c r="G293" s="36"/>
      <c r="H293" s="36"/>
      <c r="I293" s="110"/>
      <c r="J293" s="36"/>
      <c r="Q293" s="108"/>
      <c r="S293" s="88"/>
      <c r="T293" s="88"/>
    </row>
    <row r="294" spans="3:20" x14ac:dyDescent="0.25">
      <c r="C294" s="36"/>
      <c r="D294" s="36"/>
      <c r="E294" s="36"/>
      <c r="F294" s="36"/>
      <c r="G294" s="36"/>
      <c r="H294" s="36"/>
      <c r="I294" s="110"/>
      <c r="J294" s="36"/>
      <c r="Q294" s="108"/>
      <c r="S294" s="88"/>
      <c r="T294" s="88"/>
    </row>
    <row r="295" spans="3:20" x14ac:dyDescent="0.25">
      <c r="C295" s="36"/>
      <c r="D295" s="36"/>
      <c r="E295" s="36"/>
      <c r="F295" s="36"/>
      <c r="G295" s="36"/>
      <c r="H295" s="36"/>
      <c r="I295" s="110"/>
      <c r="J295" s="36"/>
      <c r="Q295" s="108"/>
      <c r="S295" s="88"/>
      <c r="T295" s="88"/>
    </row>
    <row r="296" spans="3:20" x14ac:dyDescent="0.25">
      <c r="C296" s="36"/>
      <c r="D296" s="36"/>
      <c r="E296" s="36"/>
      <c r="F296" s="36"/>
      <c r="G296" s="36"/>
      <c r="H296" s="36"/>
      <c r="I296" s="110"/>
      <c r="J296" s="36"/>
      <c r="Q296" s="108"/>
      <c r="S296" s="88"/>
      <c r="T296" s="88"/>
    </row>
    <row r="297" spans="3:20" x14ac:dyDescent="0.25">
      <c r="C297" s="36"/>
      <c r="D297" s="36"/>
      <c r="E297" s="36"/>
      <c r="F297" s="36"/>
      <c r="G297" s="36"/>
      <c r="H297" s="36"/>
      <c r="I297" s="110"/>
      <c r="J297" s="36"/>
      <c r="Q297" s="108"/>
      <c r="S297" s="88"/>
      <c r="T297" s="88"/>
    </row>
    <row r="298" spans="3:20" x14ac:dyDescent="0.25">
      <c r="C298" s="36"/>
      <c r="D298" s="36"/>
      <c r="E298" s="36"/>
      <c r="F298" s="36"/>
      <c r="G298" s="36"/>
      <c r="H298" s="36"/>
      <c r="I298" s="110"/>
      <c r="J298" s="36"/>
      <c r="Q298" s="108"/>
      <c r="S298" s="88"/>
      <c r="T298" s="88"/>
    </row>
    <row r="299" spans="3:20" x14ac:dyDescent="0.25">
      <c r="C299" s="36"/>
      <c r="D299" s="36"/>
      <c r="E299" s="36"/>
      <c r="F299" s="36"/>
      <c r="G299" s="36"/>
      <c r="H299" s="36"/>
      <c r="I299" s="110"/>
      <c r="J299" s="36"/>
      <c r="Q299" s="108"/>
      <c r="S299" s="88"/>
      <c r="T299" s="88"/>
    </row>
    <row r="300" spans="3:20" x14ac:dyDescent="0.25">
      <c r="C300" s="36"/>
      <c r="D300" s="36"/>
      <c r="E300" s="36"/>
      <c r="F300" s="36"/>
      <c r="G300" s="36"/>
      <c r="H300" s="36"/>
      <c r="I300" s="110"/>
      <c r="J300" s="36"/>
      <c r="Q300" s="108"/>
      <c r="S300" s="88"/>
      <c r="T300" s="88"/>
    </row>
    <row r="301" spans="3:20" x14ac:dyDescent="0.25">
      <c r="C301" s="36"/>
      <c r="D301" s="36"/>
      <c r="E301" s="36"/>
      <c r="F301" s="36"/>
      <c r="G301" s="36"/>
      <c r="H301" s="36"/>
      <c r="I301" s="110"/>
      <c r="J301" s="36"/>
      <c r="Q301" s="108"/>
      <c r="S301" s="88"/>
      <c r="T301" s="88"/>
    </row>
    <row r="302" spans="3:20" x14ac:dyDescent="0.25">
      <c r="C302" s="36"/>
      <c r="D302" s="36"/>
      <c r="E302" s="36"/>
      <c r="F302" s="36"/>
      <c r="G302" s="36"/>
      <c r="H302" s="36"/>
      <c r="I302" s="110"/>
      <c r="J302" s="36"/>
      <c r="Q302" s="108"/>
      <c r="S302" s="88"/>
      <c r="T302" s="88"/>
    </row>
    <row r="303" spans="3:20" x14ac:dyDescent="0.25">
      <c r="C303" s="36"/>
      <c r="D303" s="36"/>
      <c r="E303" s="36"/>
      <c r="F303" s="36"/>
      <c r="G303" s="36"/>
      <c r="H303" s="36"/>
      <c r="I303" s="110"/>
      <c r="J303" s="36"/>
      <c r="Q303" s="108"/>
      <c r="S303" s="88"/>
      <c r="T303" s="88"/>
    </row>
    <row r="304" spans="3:20" x14ac:dyDescent="0.25">
      <c r="C304" s="36"/>
      <c r="D304" s="36"/>
      <c r="E304" s="36"/>
      <c r="F304" s="36"/>
      <c r="G304" s="36"/>
      <c r="H304" s="36"/>
      <c r="I304" s="110"/>
      <c r="J304" s="36"/>
      <c r="Q304" s="108"/>
      <c r="S304" s="88"/>
      <c r="T304" s="88"/>
    </row>
    <row r="305" spans="3:20" x14ac:dyDescent="0.25">
      <c r="C305" s="36"/>
      <c r="D305" s="36"/>
      <c r="E305" s="36"/>
      <c r="F305" s="36"/>
      <c r="G305" s="36"/>
      <c r="H305" s="36"/>
      <c r="I305" s="110"/>
      <c r="J305" s="36"/>
      <c r="Q305" s="108"/>
      <c r="S305" s="88"/>
      <c r="T305" s="88"/>
    </row>
    <row r="306" spans="3:20" x14ac:dyDescent="0.25">
      <c r="C306" s="36"/>
      <c r="D306" s="36"/>
      <c r="E306" s="36"/>
      <c r="F306" s="36"/>
      <c r="G306" s="36"/>
      <c r="H306" s="36"/>
      <c r="I306" s="110"/>
      <c r="J306" s="36"/>
      <c r="Q306" s="108"/>
      <c r="S306" s="88"/>
      <c r="T306" s="88"/>
    </row>
    <row r="307" spans="3:20" x14ac:dyDescent="0.25">
      <c r="C307" s="36"/>
      <c r="D307" s="36"/>
      <c r="E307" s="36"/>
      <c r="F307" s="36"/>
      <c r="G307" s="36"/>
      <c r="H307" s="36"/>
      <c r="I307" s="110"/>
      <c r="J307" s="36"/>
      <c r="Q307" s="108"/>
      <c r="S307" s="88"/>
      <c r="T307" s="88"/>
    </row>
    <row r="308" spans="3:20" x14ac:dyDescent="0.25">
      <c r="C308" s="36"/>
      <c r="D308" s="36"/>
      <c r="E308" s="36"/>
      <c r="F308" s="36"/>
      <c r="G308" s="36"/>
      <c r="H308" s="36"/>
      <c r="I308" s="110"/>
      <c r="J308" s="36"/>
      <c r="Q308" s="108"/>
      <c r="S308" s="88"/>
      <c r="T308" s="88"/>
    </row>
    <row r="309" spans="3:20" x14ac:dyDescent="0.25">
      <c r="C309" s="36"/>
      <c r="D309" s="36"/>
      <c r="E309" s="36"/>
      <c r="F309" s="36"/>
      <c r="G309" s="36"/>
      <c r="H309" s="36"/>
      <c r="I309" s="110"/>
      <c r="J309" s="36"/>
      <c r="Q309" s="108"/>
      <c r="S309" s="88"/>
      <c r="T309" s="88"/>
    </row>
    <row r="310" spans="3:20" x14ac:dyDescent="0.25">
      <c r="C310" s="36"/>
      <c r="D310" s="36"/>
      <c r="E310" s="36"/>
      <c r="F310" s="36"/>
      <c r="G310" s="36"/>
      <c r="H310" s="36"/>
      <c r="I310" s="110"/>
      <c r="J310" s="36"/>
      <c r="Q310" s="108"/>
      <c r="S310" s="88"/>
      <c r="T310" s="88"/>
    </row>
    <row r="311" spans="3:20" x14ac:dyDescent="0.25">
      <c r="C311" s="36"/>
      <c r="D311" s="36"/>
      <c r="E311" s="36"/>
      <c r="F311" s="36"/>
      <c r="G311" s="36"/>
      <c r="H311" s="36"/>
      <c r="I311" s="110"/>
      <c r="J311" s="36"/>
      <c r="Q311" s="108"/>
      <c r="S311" s="88"/>
      <c r="T311" s="88"/>
    </row>
    <row r="312" spans="3:20" x14ac:dyDescent="0.25">
      <c r="C312" s="36"/>
      <c r="D312" s="36"/>
      <c r="E312" s="36"/>
      <c r="F312" s="36"/>
      <c r="G312" s="36"/>
      <c r="H312" s="36"/>
      <c r="I312" s="110"/>
      <c r="J312" s="36"/>
      <c r="Q312" s="108"/>
      <c r="S312" s="88"/>
      <c r="T312" s="88"/>
    </row>
    <row r="313" spans="3:20" x14ac:dyDescent="0.25">
      <c r="C313" s="36"/>
      <c r="D313" s="36"/>
      <c r="E313" s="36"/>
      <c r="F313" s="36"/>
      <c r="G313" s="36"/>
      <c r="H313" s="36"/>
      <c r="I313" s="110"/>
      <c r="J313" s="36"/>
      <c r="Q313" s="108"/>
      <c r="S313" s="88"/>
      <c r="T313" s="88"/>
    </row>
    <row r="314" spans="3:20" x14ac:dyDescent="0.25">
      <c r="C314" s="36"/>
      <c r="D314" s="36"/>
      <c r="E314" s="36"/>
      <c r="F314" s="36"/>
      <c r="G314" s="36"/>
      <c r="H314" s="36"/>
      <c r="I314" s="110"/>
      <c r="J314" s="36"/>
      <c r="Q314" s="108"/>
      <c r="S314" s="88"/>
      <c r="T314" s="88"/>
    </row>
    <row r="315" spans="3:20" x14ac:dyDescent="0.25">
      <c r="C315" s="36"/>
      <c r="D315" s="36"/>
      <c r="E315" s="36"/>
      <c r="F315" s="36"/>
      <c r="G315" s="36"/>
      <c r="H315" s="36"/>
      <c r="I315" s="110"/>
      <c r="J315" s="36"/>
      <c r="Q315" s="108"/>
      <c r="S315" s="88"/>
      <c r="T315" s="88"/>
    </row>
    <row r="316" spans="3:20" x14ac:dyDescent="0.25">
      <c r="C316" s="36"/>
      <c r="D316" s="36"/>
      <c r="E316" s="36"/>
      <c r="F316" s="36"/>
      <c r="G316" s="36"/>
      <c r="H316" s="36"/>
      <c r="I316" s="110"/>
      <c r="J316" s="36"/>
      <c r="Q316" s="108"/>
      <c r="S316" s="88"/>
      <c r="T316" s="88"/>
    </row>
    <row r="317" spans="3:20" x14ac:dyDescent="0.25">
      <c r="C317" s="36"/>
      <c r="D317" s="36"/>
      <c r="E317" s="36"/>
      <c r="F317" s="36"/>
      <c r="G317" s="36"/>
      <c r="H317" s="36"/>
      <c r="I317" s="110"/>
      <c r="J317" s="36"/>
      <c r="Q317" s="108"/>
      <c r="S317" s="88"/>
      <c r="T317" s="88"/>
    </row>
    <row r="318" spans="3:20" x14ac:dyDescent="0.25">
      <c r="C318" s="36"/>
      <c r="D318" s="36"/>
      <c r="E318" s="36"/>
      <c r="F318" s="36"/>
      <c r="G318" s="36"/>
      <c r="H318" s="36"/>
      <c r="I318" s="110"/>
      <c r="J318" s="36"/>
      <c r="Q318" s="108"/>
      <c r="S318" s="88"/>
      <c r="T318" s="88"/>
    </row>
    <row r="319" spans="3:20" x14ac:dyDescent="0.25">
      <c r="C319" s="36"/>
      <c r="D319" s="36"/>
      <c r="E319" s="36"/>
      <c r="F319" s="36"/>
      <c r="G319" s="36"/>
      <c r="H319" s="36"/>
      <c r="I319" s="110"/>
      <c r="J319" s="36"/>
      <c r="Q319" s="108"/>
      <c r="S319" s="88"/>
      <c r="T319" s="88"/>
    </row>
    <row r="320" spans="3:20" x14ac:dyDescent="0.25">
      <c r="C320" s="36"/>
      <c r="D320" s="36"/>
      <c r="E320" s="36"/>
      <c r="F320" s="36"/>
      <c r="G320" s="36"/>
      <c r="H320" s="36"/>
      <c r="I320" s="110"/>
      <c r="J320" s="36"/>
      <c r="Q320" s="108"/>
      <c r="S320" s="88"/>
      <c r="T320" s="88"/>
    </row>
    <row r="321" spans="3:20" x14ac:dyDescent="0.25">
      <c r="C321" s="36"/>
      <c r="D321" s="36"/>
      <c r="E321" s="36"/>
      <c r="F321" s="36"/>
      <c r="G321" s="36"/>
      <c r="H321" s="36"/>
      <c r="I321" s="110"/>
      <c r="J321" s="36"/>
      <c r="Q321" s="108"/>
      <c r="S321" s="88"/>
      <c r="T321" s="88"/>
    </row>
    <row r="322" spans="3:20" x14ac:dyDescent="0.25">
      <c r="C322" s="36"/>
      <c r="D322" s="36"/>
      <c r="E322" s="36"/>
      <c r="F322" s="36"/>
      <c r="G322" s="36"/>
      <c r="H322" s="36"/>
      <c r="I322" s="110"/>
      <c r="J322" s="36"/>
      <c r="Q322" s="108"/>
      <c r="S322" s="88"/>
      <c r="T322" s="88"/>
    </row>
    <row r="323" spans="3:20" x14ac:dyDescent="0.25">
      <c r="C323" s="36"/>
      <c r="D323" s="36"/>
      <c r="E323" s="36"/>
      <c r="F323" s="36"/>
      <c r="G323" s="36"/>
      <c r="H323" s="36"/>
      <c r="I323" s="110"/>
      <c r="J323" s="36"/>
      <c r="Q323" s="108"/>
      <c r="S323" s="88"/>
      <c r="T323" s="88"/>
    </row>
    <row r="324" spans="3:20" x14ac:dyDescent="0.25">
      <c r="C324" s="36"/>
      <c r="D324" s="36"/>
      <c r="E324" s="36"/>
      <c r="F324" s="36"/>
      <c r="G324" s="36"/>
      <c r="H324" s="36"/>
      <c r="I324" s="110"/>
      <c r="J324" s="36"/>
      <c r="Q324" s="108"/>
      <c r="S324" s="88"/>
      <c r="T324" s="88"/>
    </row>
    <row r="325" spans="3:20" x14ac:dyDescent="0.25">
      <c r="C325" s="36"/>
      <c r="D325" s="36"/>
      <c r="E325" s="36"/>
      <c r="F325" s="36"/>
      <c r="G325" s="36"/>
      <c r="H325" s="36"/>
      <c r="I325" s="110"/>
      <c r="J325" s="36"/>
      <c r="Q325" s="108"/>
      <c r="S325" s="88"/>
      <c r="T325" s="88"/>
    </row>
    <row r="326" spans="3:20" x14ac:dyDescent="0.25">
      <c r="C326" s="36"/>
      <c r="D326" s="36"/>
      <c r="E326" s="36"/>
      <c r="F326" s="36"/>
      <c r="G326" s="36"/>
      <c r="H326" s="36"/>
      <c r="I326" s="110"/>
      <c r="J326" s="36"/>
      <c r="Q326" s="108"/>
      <c r="S326" s="88"/>
      <c r="T326" s="88"/>
    </row>
    <row r="327" spans="3:20" x14ac:dyDescent="0.25">
      <c r="C327" s="36"/>
      <c r="D327" s="36"/>
      <c r="E327" s="36"/>
      <c r="F327" s="36"/>
      <c r="G327" s="36"/>
      <c r="H327" s="36"/>
      <c r="I327" s="110"/>
      <c r="J327" s="36"/>
      <c r="Q327" s="108"/>
      <c r="S327" s="88"/>
      <c r="T327" s="88"/>
    </row>
    <row r="328" spans="3:20" x14ac:dyDescent="0.25">
      <c r="C328" s="36"/>
      <c r="D328" s="36"/>
      <c r="E328" s="36"/>
      <c r="F328" s="36"/>
      <c r="G328" s="36"/>
      <c r="H328" s="36"/>
      <c r="I328" s="110"/>
      <c r="J328" s="36"/>
      <c r="Q328" s="108"/>
      <c r="S328" s="88"/>
      <c r="T328" s="88"/>
    </row>
    <row r="329" spans="3:20" x14ac:dyDescent="0.25">
      <c r="C329" s="36"/>
      <c r="D329" s="36"/>
      <c r="E329" s="36"/>
      <c r="F329" s="36"/>
      <c r="G329" s="36"/>
      <c r="H329" s="36"/>
      <c r="I329" s="110"/>
      <c r="J329" s="36"/>
      <c r="Q329" s="108"/>
      <c r="S329" s="88"/>
      <c r="T329" s="88"/>
    </row>
    <row r="330" spans="3:20" x14ac:dyDescent="0.25">
      <c r="C330" s="36"/>
      <c r="D330" s="36"/>
      <c r="E330" s="36"/>
      <c r="F330" s="36"/>
      <c r="G330" s="36"/>
      <c r="H330" s="36"/>
      <c r="I330" s="110"/>
      <c r="J330" s="36"/>
      <c r="Q330" s="108"/>
      <c r="S330" s="88"/>
      <c r="T330" s="88"/>
    </row>
    <row r="331" spans="3:20" x14ac:dyDescent="0.25">
      <c r="C331" s="36"/>
      <c r="D331" s="36"/>
      <c r="E331" s="36"/>
      <c r="F331" s="36"/>
      <c r="G331" s="36"/>
      <c r="H331" s="36"/>
      <c r="I331" s="110"/>
      <c r="J331" s="36"/>
      <c r="Q331" s="108"/>
      <c r="S331" s="88"/>
      <c r="T331" s="88"/>
    </row>
    <row r="332" spans="3:20" x14ac:dyDescent="0.25">
      <c r="C332" s="36"/>
      <c r="D332" s="36"/>
      <c r="E332" s="36"/>
      <c r="F332" s="36"/>
      <c r="G332" s="36"/>
      <c r="H332" s="36"/>
      <c r="I332" s="110"/>
      <c r="J332" s="36"/>
      <c r="Q332" s="108"/>
      <c r="S332" s="88"/>
      <c r="T332" s="88"/>
    </row>
    <row r="333" spans="3:20" x14ac:dyDescent="0.25">
      <c r="C333" s="36"/>
      <c r="D333" s="36"/>
      <c r="E333" s="36"/>
      <c r="F333" s="36"/>
      <c r="G333" s="36"/>
      <c r="H333" s="36"/>
      <c r="I333" s="110"/>
      <c r="J333" s="36"/>
      <c r="Q333" s="108"/>
      <c r="S333" s="88"/>
      <c r="T333" s="88"/>
    </row>
    <row r="334" spans="3:20" x14ac:dyDescent="0.25">
      <c r="C334" s="36"/>
      <c r="D334" s="36"/>
      <c r="E334" s="36"/>
      <c r="F334" s="36"/>
      <c r="G334" s="36"/>
      <c r="H334" s="36"/>
      <c r="I334" s="110"/>
      <c r="J334" s="36"/>
      <c r="Q334" s="108"/>
      <c r="S334" s="88"/>
      <c r="T334" s="88"/>
    </row>
    <row r="335" spans="3:20" x14ac:dyDescent="0.25">
      <c r="C335" s="36"/>
      <c r="D335" s="36"/>
      <c r="E335" s="36"/>
      <c r="F335" s="36"/>
      <c r="G335" s="36"/>
      <c r="H335" s="36"/>
      <c r="I335" s="110"/>
      <c r="J335" s="36"/>
      <c r="Q335" s="108"/>
      <c r="S335" s="88"/>
      <c r="T335" s="88"/>
    </row>
    <row r="336" spans="3:20" x14ac:dyDescent="0.25">
      <c r="C336" s="36"/>
      <c r="D336" s="36"/>
      <c r="E336" s="36"/>
      <c r="F336" s="36"/>
      <c r="G336" s="36"/>
      <c r="H336" s="36"/>
      <c r="I336" s="110"/>
      <c r="J336" s="36"/>
      <c r="Q336" s="108"/>
      <c r="S336" s="88"/>
      <c r="T336" s="88"/>
    </row>
    <row r="337" spans="3:20" x14ac:dyDescent="0.25">
      <c r="C337" s="36"/>
      <c r="D337" s="36"/>
      <c r="E337" s="36"/>
      <c r="F337" s="36"/>
      <c r="G337" s="36"/>
      <c r="H337" s="36"/>
      <c r="I337" s="110"/>
      <c r="J337" s="36"/>
      <c r="Q337" s="108"/>
      <c r="S337" s="88"/>
      <c r="T337" s="88"/>
    </row>
    <row r="338" spans="3:20" x14ac:dyDescent="0.25">
      <c r="C338" s="36"/>
      <c r="D338" s="36"/>
      <c r="E338" s="36"/>
      <c r="F338" s="36"/>
      <c r="G338" s="36"/>
      <c r="H338" s="36"/>
      <c r="I338" s="110"/>
      <c r="J338" s="36"/>
      <c r="Q338" s="108"/>
      <c r="S338" s="88"/>
      <c r="T338" s="88"/>
    </row>
    <row r="339" spans="3:20" x14ac:dyDescent="0.25">
      <c r="C339" s="36"/>
      <c r="D339" s="36"/>
      <c r="E339" s="36"/>
      <c r="F339" s="36"/>
      <c r="G339" s="36"/>
      <c r="H339" s="36"/>
      <c r="I339" s="110"/>
      <c r="J339" s="36"/>
      <c r="Q339" s="108"/>
      <c r="S339" s="88"/>
      <c r="T339" s="88"/>
    </row>
    <row r="340" spans="3:20" x14ac:dyDescent="0.25">
      <c r="C340" s="36"/>
      <c r="D340" s="36"/>
      <c r="E340" s="36"/>
      <c r="F340" s="36"/>
      <c r="G340" s="36"/>
      <c r="H340" s="36"/>
      <c r="I340" s="110"/>
      <c r="J340" s="36"/>
      <c r="Q340" s="108"/>
      <c r="S340" s="88"/>
      <c r="T340" s="88"/>
    </row>
    <row r="341" spans="3:20" x14ac:dyDescent="0.25">
      <c r="C341" s="36"/>
      <c r="D341" s="36"/>
      <c r="E341" s="36"/>
      <c r="F341" s="36"/>
      <c r="G341" s="36"/>
      <c r="H341" s="36"/>
      <c r="I341" s="110"/>
      <c r="J341" s="36"/>
      <c r="Q341" s="108"/>
      <c r="S341" s="88"/>
      <c r="T341" s="88"/>
    </row>
    <row r="342" spans="3:20" x14ac:dyDescent="0.25">
      <c r="C342" s="36"/>
      <c r="D342" s="36"/>
      <c r="E342" s="36"/>
      <c r="F342" s="36"/>
      <c r="G342" s="36"/>
      <c r="H342" s="36"/>
      <c r="I342" s="110"/>
      <c r="J342" s="36"/>
      <c r="Q342" s="108"/>
      <c r="S342" s="88"/>
      <c r="T342" s="88"/>
    </row>
    <row r="343" spans="3:20" x14ac:dyDescent="0.25">
      <c r="C343" s="36"/>
      <c r="D343" s="36"/>
      <c r="E343" s="36"/>
      <c r="F343" s="36"/>
      <c r="G343" s="36"/>
      <c r="H343" s="36"/>
      <c r="I343" s="110"/>
      <c r="J343" s="36"/>
      <c r="Q343" s="108"/>
      <c r="S343" s="88"/>
      <c r="T343" s="88"/>
    </row>
    <row r="344" spans="3:20" x14ac:dyDescent="0.25">
      <c r="C344" s="36"/>
      <c r="D344" s="36"/>
      <c r="E344" s="36"/>
      <c r="F344" s="36"/>
      <c r="G344" s="36"/>
      <c r="H344" s="36"/>
      <c r="I344" s="110"/>
      <c r="J344" s="36"/>
      <c r="Q344" s="108"/>
      <c r="S344" s="88"/>
      <c r="T344" s="88"/>
    </row>
    <row r="345" spans="3:20" x14ac:dyDescent="0.25">
      <c r="C345" s="36"/>
      <c r="D345" s="36"/>
      <c r="E345" s="36"/>
      <c r="F345" s="36"/>
      <c r="G345" s="36"/>
      <c r="H345" s="36"/>
      <c r="I345" s="110"/>
      <c r="J345" s="36"/>
      <c r="Q345" s="108"/>
      <c r="S345" s="88"/>
      <c r="T345" s="88"/>
    </row>
    <row r="346" spans="3:20" x14ac:dyDescent="0.25">
      <c r="C346" s="36"/>
      <c r="D346" s="36"/>
      <c r="E346" s="36"/>
      <c r="F346" s="36"/>
      <c r="G346" s="36"/>
      <c r="H346" s="36"/>
      <c r="I346" s="110"/>
      <c r="J346" s="36"/>
      <c r="Q346" s="108"/>
      <c r="S346" s="88"/>
      <c r="T346" s="88"/>
    </row>
    <row r="347" spans="3:20" x14ac:dyDescent="0.25">
      <c r="C347" s="36"/>
      <c r="D347" s="36"/>
      <c r="E347" s="36"/>
      <c r="F347" s="36"/>
      <c r="G347" s="36"/>
      <c r="H347" s="36"/>
      <c r="I347" s="110"/>
      <c r="J347" s="36"/>
      <c r="Q347" s="108"/>
      <c r="S347" s="88"/>
      <c r="T347" s="88"/>
    </row>
    <row r="348" spans="3:20" x14ac:dyDescent="0.25">
      <c r="C348" s="36"/>
      <c r="D348" s="36"/>
      <c r="E348" s="36"/>
      <c r="F348" s="36"/>
      <c r="G348" s="36"/>
      <c r="H348" s="36"/>
      <c r="I348" s="110"/>
      <c r="J348" s="36"/>
      <c r="Q348" s="108"/>
      <c r="S348" s="88"/>
      <c r="T348" s="88"/>
    </row>
    <row r="349" spans="3:20" x14ac:dyDescent="0.25">
      <c r="C349" s="36"/>
      <c r="D349" s="36"/>
      <c r="E349" s="36"/>
      <c r="F349" s="36"/>
      <c r="G349" s="36"/>
      <c r="H349" s="36"/>
      <c r="I349" s="110"/>
      <c r="J349" s="36"/>
      <c r="Q349" s="108"/>
      <c r="S349" s="88"/>
      <c r="T349" s="88"/>
    </row>
    <row r="350" spans="3:20" x14ac:dyDescent="0.25">
      <c r="C350" s="36"/>
      <c r="D350" s="36"/>
      <c r="E350" s="36"/>
      <c r="F350" s="36"/>
      <c r="G350" s="36"/>
      <c r="H350" s="36"/>
      <c r="I350" s="110"/>
      <c r="J350" s="36"/>
      <c r="Q350" s="108"/>
      <c r="S350" s="88"/>
      <c r="T350" s="88"/>
    </row>
    <row r="351" spans="3:20" x14ac:dyDescent="0.25">
      <c r="C351" s="36"/>
      <c r="D351" s="36"/>
      <c r="E351" s="36"/>
      <c r="F351" s="36"/>
      <c r="G351" s="36"/>
      <c r="H351" s="36"/>
      <c r="I351" s="110"/>
      <c r="J351" s="36"/>
      <c r="Q351" s="108"/>
      <c r="S351" s="88"/>
      <c r="T351" s="88"/>
    </row>
    <row r="352" spans="3:20" x14ac:dyDescent="0.25">
      <c r="C352" s="36"/>
      <c r="D352" s="36"/>
      <c r="E352" s="36"/>
      <c r="F352" s="36"/>
      <c r="G352" s="36"/>
      <c r="H352" s="36"/>
      <c r="I352" s="110"/>
      <c r="J352" s="36"/>
      <c r="Q352" s="108"/>
      <c r="S352" s="88"/>
      <c r="T352" s="88"/>
    </row>
    <row r="353" spans="3:20" x14ac:dyDescent="0.25">
      <c r="C353" s="36"/>
      <c r="D353" s="36"/>
      <c r="E353" s="36"/>
      <c r="F353" s="36"/>
      <c r="G353" s="36"/>
      <c r="H353" s="36"/>
      <c r="I353" s="110"/>
      <c r="J353" s="36"/>
      <c r="Q353" s="108"/>
      <c r="S353" s="88"/>
      <c r="T353" s="88"/>
    </row>
    <row r="354" spans="3:20" x14ac:dyDescent="0.25">
      <c r="C354" s="36"/>
      <c r="D354" s="36"/>
      <c r="E354" s="36"/>
      <c r="F354" s="36"/>
      <c r="G354" s="36"/>
      <c r="H354" s="36"/>
      <c r="I354" s="110"/>
      <c r="J354" s="36"/>
      <c r="Q354" s="108"/>
      <c r="S354" s="88"/>
      <c r="T354" s="88"/>
    </row>
    <row r="355" spans="3:20" x14ac:dyDescent="0.25">
      <c r="C355" s="36"/>
      <c r="D355" s="36"/>
      <c r="E355" s="36"/>
      <c r="F355" s="36"/>
      <c r="G355" s="36"/>
      <c r="H355" s="36"/>
      <c r="I355" s="110"/>
      <c r="J355" s="36"/>
      <c r="Q355" s="108"/>
      <c r="S355" s="88"/>
      <c r="T355" s="88"/>
    </row>
    <row r="356" spans="3:20" x14ac:dyDescent="0.25">
      <c r="C356" s="36"/>
      <c r="D356" s="36"/>
      <c r="E356" s="36"/>
      <c r="F356" s="36"/>
      <c r="G356" s="36"/>
      <c r="H356" s="36"/>
      <c r="I356" s="110"/>
      <c r="J356" s="36"/>
      <c r="Q356" s="108"/>
      <c r="S356" s="88"/>
      <c r="T356" s="88"/>
    </row>
    <row r="357" spans="3:20" x14ac:dyDescent="0.25">
      <c r="C357" s="36"/>
      <c r="D357" s="36"/>
      <c r="E357" s="36"/>
      <c r="F357" s="36"/>
      <c r="G357" s="36"/>
      <c r="H357" s="36"/>
      <c r="I357" s="110"/>
      <c r="J357" s="36"/>
      <c r="Q357" s="108"/>
      <c r="S357" s="88"/>
      <c r="T357" s="88"/>
    </row>
    <row r="358" spans="3:20" x14ac:dyDescent="0.25">
      <c r="C358" s="36"/>
      <c r="D358" s="36"/>
      <c r="E358" s="36"/>
      <c r="F358" s="36"/>
      <c r="G358" s="36"/>
      <c r="H358" s="36"/>
      <c r="I358" s="110"/>
      <c r="J358" s="36"/>
      <c r="Q358" s="108"/>
      <c r="S358" s="88"/>
      <c r="T358" s="88"/>
    </row>
    <row r="359" spans="3:20" x14ac:dyDescent="0.25">
      <c r="C359" s="36"/>
      <c r="D359" s="36"/>
      <c r="E359" s="36"/>
      <c r="F359" s="36"/>
      <c r="G359" s="36"/>
      <c r="H359" s="36"/>
      <c r="I359" s="110"/>
      <c r="J359" s="36"/>
      <c r="Q359" s="108"/>
      <c r="S359" s="88"/>
      <c r="T359" s="88"/>
    </row>
    <row r="360" spans="3:20" x14ac:dyDescent="0.25">
      <c r="C360" s="36"/>
      <c r="D360" s="36"/>
      <c r="E360" s="36"/>
      <c r="F360" s="36"/>
      <c r="G360" s="36"/>
      <c r="H360" s="36"/>
      <c r="I360" s="110"/>
      <c r="J360" s="36"/>
      <c r="Q360" s="108"/>
      <c r="S360" s="88"/>
      <c r="T360" s="88"/>
    </row>
    <row r="361" spans="3:20" x14ac:dyDescent="0.25">
      <c r="C361" s="36"/>
      <c r="D361" s="36"/>
      <c r="E361" s="36"/>
      <c r="F361" s="36"/>
      <c r="G361" s="36"/>
      <c r="H361" s="36"/>
      <c r="I361" s="110"/>
      <c r="J361" s="36"/>
      <c r="Q361" s="108"/>
      <c r="S361" s="88"/>
      <c r="T361" s="88"/>
    </row>
    <row r="362" spans="3:20" x14ac:dyDescent="0.25">
      <c r="C362" s="36"/>
      <c r="D362" s="36"/>
      <c r="E362" s="36"/>
      <c r="F362" s="36"/>
      <c r="G362" s="36"/>
      <c r="H362" s="36"/>
      <c r="I362" s="110"/>
      <c r="J362" s="36"/>
      <c r="Q362" s="108"/>
      <c r="S362" s="88"/>
      <c r="T362" s="88"/>
    </row>
    <row r="363" spans="3:20" x14ac:dyDescent="0.25">
      <c r="C363" s="36"/>
      <c r="D363" s="36"/>
      <c r="E363" s="36"/>
      <c r="F363" s="36"/>
      <c r="G363" s="36"/>
      <c r="H363" s="36"/>
      <c r="I363" s="110"/>
      <c r="J363" s="36"/>
      <c r="Q363" s="108"/>
      <c r="S363" s="88"/>
      <c r="T363" s="88"/>
    </row>
    <row r="364" spans="3:20" x14ac:dyDescent="0.25">
      <c r="C364" s="36"/>
      <c r="D364" s="36"/>
      <c r="E364" s="36"/>
      <c r="F364" s="36"/>
      <c r="G364" s="36"/>
      <c r="H364" s="36"/>
      <c r="I364" s="110"/>
      <c r="J364" s="36"/>
      <c r="Q364" s="108"/>
      <c r="S364" s="88"/>
      <c r="T364" s="88"/>
    </row>
    <row r="365" spans="3:20" x14ac:dyDescent="0.25">
      <c r="C365" s="36"/>
      <c r="D365" s="36"/>
      <c r="E365" s="36"/>
      <c r="F365" s="36"/>
      <c r="G365" s="36"/>
      <c r="H365" s="36"/>
      <c r="I365" s="110"/>
      <c r="J365" s="36"/>
      <c r="Q365" s="108"/>
      <c r="S365" s="88"/>
      <c r="T365" s="88"/>
    </row>
    <row r="366" spans="3:20" x14ac:dyDescent="0.25">
      <c r="C366" s="36"/>
      <c r="D366" s="36"/>
      <c r="E366" s="36"/>
      <c r="F366" s="36"/>
      <c r="G366" s="36"/>
      <c r="H366" s="36"/>
      <c r="I366" s="110"/>
      <c r="J366" s="36"/>
      <c r="Q366" s="108"/>
      <c r="S366" s="88"/>
      <c r="T366" s="88"/>
    </row>
    <row r="367" spans="3:20" x14ac:dyDescent="0.25">
      <c r="C367" s="36"/>
      <c r="D367" s="36"/>
      <c r="E367" s="36"/>
      <c r="F367" s="36"/>
      <c r="G367" s="36"/>
      <c r="H367" s="36"/>
      <c r="I367" s="110"/>
      <c r="J367" s="36"/>
      <c r="Q367" s="108"/>
      <c r="S367" s="88"/>
      <c r="T367" s="88"/>
    </row>
    <row r="368" spans="3:20" x14ac:dyDescent="0.25">
      <c r="C368" s="36"/>
      <c r="D368" s="36"/>
      <c r="E368" s="36"/>
      <c r="F368" s="36"/>
      <c r="G368" s="36"/>
      <c r="H368" s="36"/>
      <c r="I368" s="110"/>
      <c r="J368" s="36"/>
      <c r="Q368" s="108"/>
      <c r="S368" s="88"/>
      <c r="T368" s="88"/>
    </row>
    <row r="369" spans="3:20" x14ac:dyDescent="0.25">
      <c r="C369" s="36"/>
      <c r="D369" s="36"/>
      <c r="E369" s="36"/>
      <c r="F369" s="36"/>
      <c r="G369" s="36"/>
      <c r="H369" s="36"/>
      <c r="I369" s="110"/>
      <c r="J369" s="36"/>
      <c r="Q369" s="108"/>
      <c r="S369" s="88"/>
      <c r="T369" s="88"/>
    </row>
    <row r="370" spans="3:20" x14ac:dyDescent="0.25">
      <c r="C370" s="36"/>
      <c r="D370" s="36"/>
      <c r="E370" s="36"/>
      <c r="F370" s="36"/>
      <c r="G370" s="36"/>
      <c r="H370" s="36"/>
      <c r="I370" s="110"/>
      <c r="J370" s="36"/>
      <c r="Q370" s="108"/>
      <c r="S370" s="88"/>
      <c r="T370" s="88"/>
    </row>
    <row r="371" spans="3:20" x14ac:dyDescent="0.25">
      <c r="C371" s="36"/>
      <c r="D371" s="36"/>
      <c r="E371" s="36"/>
      <c r="F371" s="36"/>
      <c r="G371" s="36"/>
      <c r="H371" s="36"/>
      <c r="I371" s="110"/>
      <c r="J371" s="36"/>
      <c r="Q371" s="108"/>
      <c r="S371" s="88"/>
      <c r="T371" s="88"/>
    </row>
    <row r="372" spans="3:20" x14ac:dyDescent="0.25">
      <c r="C372" s="36"/>
      <c r="D372" s="36"/>
      <c r="E372" s="36"/>
      <c r="F372" s="36"/>
      <c r="G372" s="36"/>
      <c r="H372" s="36"/>
      <c r="I372" s="110"/>
      <c r="J372" s="36"/>
      <c r="Q372" s="108"/>
      <c r="S372" s="88"/>
      <c r="T372" s="88"/>
    </row>
    <row r="373" spans="3:20" x14ac:dyDescent="0.25">
      <c r="C373" s="36"/>
      <c r="D373" s="36"/>
      <c r="E373" s="36"/>
      <c r="F373" s="36"/>
      <c r="G373" s="36"/>
      <c r="H373" s="36"/>
      <c r="I373" s="110"/>
      <c r="J373" s="36"/>
      <c r="Q373" s="108"/>
      <c r="S373" s="88"/>
      <c r="T373" s="88"/>
    </row>
    <row r="374" spans="3:20" x14ac:dyDescent="0.25">
      <c r="C374" s="36"/>
      <c r="D374" s="36"/>
      <c r="E374" s="36"/>
      <c r="F374" s="36"/>
      <c r="G374" s="36"/>
      <c r="H374" s="36"/>
      <c r="I374" s="110"/>
      <c r="J374" s="36"/>
      <c r="Q374" s="108"/>
      <c r="S374" s="88"/>
      <c r="T374" s="88"/>
    </row>
    <row r="375" spans="3:20" x14ac:dyDescent="0.25">
      <c r="C375" s="36"/>
      <c r="D375" s="36"/>
      <c r="E375" s="36"/>
      <c r="F375" s="36"/>
      <c r="G375" s="36"/>
      <c r="H375" s="36"/>
      <c r="I375" s="110"/>
      <c r="J375" s="36"/>
      <c r="Q375" s="108"/>
      <c r="S375" s="88"/>
      <c r="T375" s="88"/>
    </row>
    <row r="376" spans="3:20" x14ac:dyDescent="0.25">
      <c r="C376" s="36"/>
      <c r="D376" s="36"/>
      <c r="E376" s="36"/>
      <c r="F376" s="36"/>
      <c r="G376" s="36"/>
      <c r="H376" s="36"/>
      <c r="I376" s="110"/>
      <c r="J376" s="36"/>
      <c r="Q376" s="108"/>
      <c r="S376" s="88"/>
      <c r="T376" s="88"/>
    </row>
    <row r="377" spans="3:20" x14ac:dyDescent="0.25">
      <c r="C377" s="36"/>
      <c r="D377" s="36"/>
      <c r="E377" s="36"/>
      <c r="F377" s="36"/>
      <c r="G377" s="36"/>
      <c r="H377" s="36"/>
      <c r="I377" s="110"/>
      <c r="J377" s="36"/>
      <c r="Q377" s="108"/>
      <c r="S377" s="88"/>
      <c r="T377" s="88"/>
    </row>
    <row r="378" spans="3:20" x14ac:dyDescent="0.25">
      <c r="C378" s="36"/>
      <c r="D378" s="36"/>
      <c r="E378" s="36"/>
      <c r="F378" s="36"/>
      <c r="G378" s="36"/>
      <c r="H378" s="36"/>
      <c r="I378" s="110"/>
      <c r="J378" s="36"/>
      <c r="Q378" s="108"/>
      <c r="S378" s="88"/>
      <c r="T378" s="88"/>
    </row>
    <row r="379" spans="3:20" x14ac:dyDescent="0.25">
      <c r="C379" s="36"/>
      <c r="D379" s="36"/>
      <c r="E379" s="36"/>
      <c r="F379" s="36"/>
      <c r="G379" s="36"/>
      <c r="H379" s="36"/>
      <c r="I379" s="110"/>
      <c r="J379" s="36"/>
      <c r="Q379" s="108"/>
      <c r="S379" s="88"/>
      <c r="T379" s="88"/>
    </row>
    <row r="380" spans="3:20" x14ac:dyDescent="0.25">
      <c r="C380" s="36"/>
      <c r="D380" s="36"/>
      <c r="E380" s="36"/>
      <c r="F380" s="36"/>
      <c r="G380" s="36"/>
      <c r="H380" s="36"/>
      <c r="I380" s="110"/>
      <c r="J380" s="36"/>
      <c r="Q380" s="108"/>
      <c r="S380" s="88"/>
      <c r="T380" s="88"/>
    </row>
    <row r="381" spans="3:20" x14ac:dyDescent="0.25">
      <c r="C381" s="36"/>
      <c r="D381" s="36"/>
      <c r="E381" s="36"/>
      <c r="F381" s="36"/>
      <c r="G381" s="36"/>
      <c r="H381" s="36"/>
      <c r="I381" s="110"/>
      <c r="J381" s="36"/>
      <c r="Q381" s="108"/>
      <c r="S381" s="88"/>
      <c r="T381" s="88"/>
    </row>
    <row r="382" spans="3:20" x14ac:dyDescent="0.25">
      <c r="C382" s="36"/>
      <c r="D382" s="36"/>
      <c r="E382" s="36"/>
      <c r="F382" s="36"/>
      <c r="G382" s="36"/>
      <c r="H382" s="36"/>
      <c r="I382" s="110"/>
      <c r="J382" s="36"/>
      <c r="Q382" s="108"/>
      <c r="S382" s="88"/>
      <c r="T382" s="88"/>
    </row>
    <row r="383" spans="3:20" x14ac:dyDescent="0.25">
      <c r="C383" s="36"/>
      <c r="D383" s="36"/>
      <c r="E383" s="36"/>
      <c r="F383" s="36"/>
      <c r="G383" s="36"/>
      <c r="H383" s="36"/>
      <c r="I383" s="110"/>
      <c r="J383" s="36"/>
      <c r="Q383" s="108"/>
      <c r="S383" s="88"/>
      <c r="T383" s="88"/>
    </row>
    <row r="384" spans="3:20" x14ac:dyDescent="0.25">
      <c r="C384" s="36"/>
      <c r="D384" s="36"/>
      <c r="E384" s="36"/>
      <c r="F384" s="36"/>
      <c r="G384" s="36"/>
      <c r="H384" s="36"/>
      <c r="I384" s="110"/>
      <c r="J384" s="36"/>
      <c r="Q384" s="108"/>
      <c r="S384" s="88"/>
      <c r="T384" s="88"/>
    </row>
    <row r="385" spans="3:20" x14ac:dyDescent="0.25">
      <c r="C385" s="36"/>
      <c r="D385" s="36"/>
      <c r="E385" s="36"/>
      <c r="F385" s="36"/>
      <c r="G385" s="36"/>
      <c r="H385" s="36"/>
      <c r="I385" s="110"/>
      <c r="J385" s="36"/>
      <c r="Q385" s="108"/>
      <c r="S385" s="88"/>
      <c r="T385" s="88"/>
    </row>
    <row r="386" spans="3:20" x14ac:dyDescent="0.25">
      <c r="C386" s="36"/>
      <c r="D386" s="36"/>
      <c r="E386" s="36"/>
      <c r="F386" s="36"/>
      <c r="G386" s="36"/>
      <c r="H386" s="36"/>
      <c r="I386" s="110"/>
      <c r="J386" s="36"/>
      <c r="Q386" s="108"/>
      <c r="S386" s="88"/>
      <c r="T386" s="88"/>
    </row>
    <row r="387" spans="3:20" x14ac:dyDescent="0.25">
      <c r="C387" s="36"/>
      <c r="D387" s="36"/>
      <c r="E387" s="36"/>
      <c r="F387" s="36"/>
      <c r="G387" s="36"/>
      <c r="H387" s="36"/>
      <c r="I387" s="110"/>
      <c r="J387" s="36"/>
      <c r="Q387" s="108"/>
      <c r="S387" s="88"/>
      <c r="T387" s="88"/>
    </row>
    <row r="388" spans="3:20" x14ac:dyDescent="0.25">
      <c r="C388" s="36"/>
      <c r="D388" s="36"/>
      <c r="E388" s="36"/>
      <c r="F388" s="36"/>
      <c r="G388" s="36"/>
      <c r="H388" s="36"/>
      <c r="I388" s="110"/>
      <c r="J388" s="36"/>
      <c r="Q388" s="108"/>
      <c r="S388" s="88"/>
      <c r="T388" s="88"/>
    </row>
    <row r="389" spans="3:20" x14ac:dyDescent="0.25">
      <c r="C389" s="36"/>
      <c r="D389" s="36"/>
      <c r="E389" s="36"/>
      <c r="F389" s="36"/>
      <c r="G389" s="36"/>
      <c r="H389" s="36"/>
      <c r="I389" s="110"/>
      <c r="J389" s="36"/>
      <c r="Q389" s="108"/>
      <c r="S389" s="88"/>
      <c r="T389" s="88"/>
    </row>
    <row r="390" spans="3:20" x14ac:dyDescent="0.25">
      <c r="C390" s="36"/>
      <c r="D390" s="36"/>
      <c r="E390" s="36"/>
      <c r="F390" s="36"/>
      <c r="G390" s="36"/>
      <c r="H390" s="36"/>
      <c r="I390" s="110"/>
      <c r="J390" s="36"/>
      <c r="Q390" s="108"/>
      <c r="S390" s="88"/>
      <c r="T390" s="88"/>
    </row>
    <row r="391" spans="3:20" x14ac:dyDescent="0.25">
      <c r="C391" s="36"/>
      <c r="D391" s="36"/>
      <c r="E391" s="36"/>
      <c r="F391" s="36"/>
      <c r="G391" s="36"/>
      <c r="H391" s="36"/>
      <c r="I391" s="110"/>
      <c r="J391" s="36"/>
      <c r="Q391" s="108"/>
      <c r="S391" s="88"/>
      <c r="T391" s="88"/>
    </row>
    <row r="392" spans="3:20" x14ac:dyDescent="0.25">
      <c r="C392" s="36"/>
      <c r="D392" s="36"/>
      <c r="E392" s="36"/>
      <c r="F392" s="36"/>
      <c r="G392" s="36"/>
      <c r="H392" s="36"/>
      <c r="I392" s="110"/>
      <c r="J392" s="36"/>
      <c r="Q392" s="108"/>
      <c r="S392" s="88"/>
      <c r="T392" s="88"/>
    </row>
    <row r="393" spans="3:20" x14ac:dyDescent="0.25">
      <c r="C393" s="36"/>
      <c r="D393" s="36"/>
      <c r="E393" s="36"/>
      <c r="F393" s="36"/>
      <c r="G393" s="36"/>
      <c r="H393" s="36"/>
      <c r="I393" s="110"/>
      <c r="J393" s="36"/>
      <c r="Q393" s="108"/>
      <c r="S393" s="88"/>
      <c r="T393" s="88"/>
    </row>
    <row r="394" spans="3:20" x14ac:dyDescent="0.25">
      <c r="C394" s="36"/>
      <c r="D394" s="36"/>
      <c r="E394" s="36"/>
      <c r="F394" s="36"/>
      <c r="G394" s="36"/>
      <c r="H394" s="36"/>
      <c r="I394" s="110"/>
      <c r="J394" s="36"/>
      <c r="Q394" s="108"/>
      <c r="S394" s="88"/>
      <c r="T394" s="88"/>
    </row>
    <row r="395" spans="3:20" x14ac:dyDescent="0.25">
      <c r="C395" s="36"/>
      <c r="D395" s="36"/>
      <c r="E395" s="36"/>
      <c r="F395" s="36"/>
      <c r="G395" s="36"/>
      <c r="H395" s="36"/>
      <c r="I395" s="110"/>
      <c r="J395" s="36"/>
      <c r="Q395" s="108"/>
      <c r="S395" s="88"/>
      <c r="T395" s="88"/>
    </row>
    <row r="396" spans="3:20" x14ac:dyDescent="0.25">
      <c r="C396" s="36"/>
      <c r="D396" s="36"/>
      <c r="E396" s="36"/>
      <c r="F396" s="36"/>
      <c r="G396" s="36"/>
      <c r="H396" s="36"/>
      <c r="I396" s="110"/>
      <c r="J396" s="36"/>
      <c r="Q396" s="108"/>
      <c r="S396" s="88"/>
      <c r="T396" s="88"/>
    </row>
    <row r="397" spans="3:20" x14ac:dyDescent="0.25">
      <c r="C397" s="36"/>
      <c r="D397" s="36"/>
      <c r="E397" s="36"/>
      <c r="F397" s="36"/>
      <c r="G397" s="36"/>
      <c r="H397" s="36"/>
      <c r="I397" s="110"/>
      <c r="J397" s="36"/>
      <c r="Q397" s="108"/>
      <c r="S397" s="88"/>
      <c r="T397" s="88"/>
    </row>
    <row r="398" spans="3:20" x14ac:dyDescent="0.25">
      <c r="C398" s="36"/>
      <c r="D398" s="36"/>
      <c r="E398" s="36"/>
      <c r="F398" s="36"/>
      <c r="G398" s="36"/>
      <c r="H398" s="36"/>
      <c r="I398" s="110"/>
      <c r="J398" s="36"/>
      <c r="Q398" s="108"/>
      <c r="S398" s="88"/>
      <c r="T398" s="88"/>
    </row>
    <row r="399" spans="3:20" x14ac:dyDescent="0.25">
      <c r="C399" s="36"/>
      <c r="D399" s="36"/>
      <c r="E399" s="36"/>
      <c r="F399" s="36"/>
      <c r="G399" s="36"/>
      <c r="H399" s="36"/>
      <c r="I399" s="110"/>
      <c r="J399" s="36"/>
      <c r="Q399" s="108"/>
      <c r="S399" s="88"/>
      <c r="T399" s="88"/>
    </row>
    <row r="400" spans="3:20" x14ac:dyDescent="0.25">
      <c r="C400" s="36"/>
      <c r="D400" s="36"/>
      <c r="E400" s="36"/>
      <c r="F400" s="36"/>
      <c r="G400" s="36"/>
      <c r="H400" s="36"/>
      <c r="I400" s="110"/>
      <c r="J400" s="36"/>
      <c r="Q400" s="108"/>
      <c r="S400" s="88"/>
      <c r="T400" s="88"/>
    </row>
    <row r="401" spans="3:20" x14ac:dyDescent="0.25">
      <c r="C401" s="36"/>
      <c r="D401" s="36"/>
      <c r="E401" s="36"/>
      <c r="F401" s="36"/>
      <c r="G401" s="36"/>
      <c r="H401" s="36"/>
      <c r="I401" s="110"/>
      <c r="J401" s="36"/>
      <c r="Q401" s="108"/>
      <c r="S401" s="88"/>
      <c r="T401" s="88"/>
    </row>
    <row r="402" spans="3:20" x14ac:dyDescent="0.25">
      <c r="C402" s="36"/>
      <c r="D402" s="36"/>
      <c r="E402" s="36"/>
      <c r="F402" s="36"/>
      <c r="G402" s="36"/>
      <c r="H402" s="36"/>
      <c r="I402" s="110"/>
      <c r="J402" s="36"/>
      <c r="Q402" s="108"/>
      <c r="S402" s="88"/>
      <c r="T402" s="88"/>
    </row>
    <row r="403" spans="3:20" x14ac:dyDescent="0.25">
      <c r="C403" s="36"/>
      <c r="D403" s="36"/>
      <c r="E403" s="36"/>
      <c r="F403" s="36"/>
      <c r="G403" s="36"/>
      <c r="H403" s="36"/>
      <c r="I403" s="110"/>
      <c r="J403" s="36"/>
      <c r="Q403" s="108"/>
      <c r="S403" s="88"/>
      <c r="T403" s="88"/>
    </row>
    <row r="404" spans="3:20" x14ac:dyDescent="0.25">
      <c r="C404" s="36"/>
      <c r="D404" s="36"/>
      <c r="E404" s="36"/>
      <c r="F404" s="36"/>
      <c r="G404" s="36"/>
      <c r="H404" s="36"/>
      <c r="I404" s="110"/>
      <c r="J404" s="36"/>
      <c r="Q404" s="108"/>
      <c r="S404" s="88"/>
      <c r="T404" s="88"/>
    </row>
    <row r="405" spans="3:20" x14ac:dyDescent="0.25">
      <c r="C405" s="36"/>
      <c r="D405" s="36"/>
      <c r="E405" s="36"/>
      <c r="F405" s="36"/>
      <c r="G405" s="36"/>
      <c r="H405" s="36"/>
      <c r="I405" s="110"/>
      <c r="J405" s="36"/>
      <c r="Q405" s="108"/>
      <c r="S405" s="88"/>
      <c r="T405" s="88"/>
    </row>
    <row r="406" spans="3:20" x14ac:dyDescent="0.25">
      <c r="C406" s="36"/>
      <c r="D406" s="36"/>
      <c r="E406" s="36"/>
      <c r="F406" s="36"/>
      <c r="G406" s="36"/>
      <c r="H406" s="36"/>
      <c r="I406" s="110"/>
      <c r="J406" s="36"/>
      <c r="Q406" s="108"/>
      <c r="S406" s="88"/>
      <c r="T406" s="88"/>
    </row>
    <row r="407" spans="3:20" x14ac:dyDescent="0.25">
      <c r="C407" s="36"/>
      <c r="D407" s="36"/>
      <c r="E407" s="36"/>
      <c r="F407" s="36"/>
      <c r="G407" s="36"/>
      <c r="H407" s="36"/>
      <c r="I407" s="110"/>
      <c r="J407" s="36"/>
      <c r="Q407" s="108"/>
      <c r="S407" s="88"/>
      <c r="T407" s="88"/>
    </row>
    <row r="408" spans="3:20" x14ac:dyDescent="0.25">
      <c r="C408" s="36"/>
      <c r="D408" s="36"/>
      <c r="E408" s="36"/>
      <c r="F408" s="36"/>
      <c r="G408" s="36"/>
      <c r="H408" s="36"/>
      <c r="I408" s="110"/>
      <c r="J408" s="36"/>
      <c r="Q408" s="108"/>
      <c r="S408" s="88"/>
      <c r="T408" s="88"/>
    </row>
    <row r="409" spans="3:20" x14ac:dyDescent="0.25">
      <c r="C409" s="36"/>
      <c r="D409" s="36"/>
      <c r="E409" s="36"/>
      <c r="F409" s="36"/>
      <c r="G409" s="36"/>
      <c r="H409" s="36"/>
      <c r="I409" s="110"/>
      <c r="J409" s="36"/>
      <c r="Q409" s="108"/>
      <c r="S409" s="88"/>
      <c r="T409" s="88"/>
    </row>
    <row r="410" spans="3:20" x14ac:dyDescent="0.25">
      <c r="C410" s="36"/>
      <c r="D410" s="36"/>
      <c r="E410" s="36"/>
      <c r="F410" s="36"/>
      <c r="G410" s="36"/>
      <c r="H410" s="36"/>
      <c r="I410" s="110"/>
      <c r="J410" s="36"/>
      <c r="Q410" s="108"/>
      <c r="S410" s="88"/>
      <c r="T410" s="88"/>
    </row>
    <row r="411" spans="3:20" x14ac:dyDescent="0.25">
      <c r="C411" s="36"/>
      <c r="D411" s="36"/>
      <c r="E411" s="36"/>
      <c r="F411" s="36"/>
      <c r="G411" s="36"/>
      <c r="H411" s="36"/>
      <c r="I411" s="110"/>
      <c r="J411" s="36"/>
      <c r="Q411" s="108"/>
      <c r="S411" s="88"/>
      <c r="T411" s="88"/>
    </row>
    <row r="412" spans="3:20" x14ac:dyDescent="0.25">
      <c r="C412" s="36"/>
      <c r="D412" s="36"/>
      <c r="E412" s="36"/>
      <c r="F412" s="36"/>
      <c r="G412" s="36"/>
      <c r="H412" s="36"/>
      <c r="I412" s="110"/>
      <c r="J412" s="36"/>
      <c r="Q412" s="108"/>
      <c r="S412" s="88"/>
      <c r="T412" s="88"/>
    </row>
    <row r="413" spans="3:20" x14ac:dyDescent="0.25">
      <c r="C413" s="36"/>
      <c r="D413" s="36"/>
      <c r="E413" s="36"/>
      <c r="F413" s="36"/>
      <c r="G413" s="36"/>
      <c r="H413" s="36"/>
      <c r="I413" s="110"/>
      <c r="J413" s="36"/>
      <c r="Q413" s="108"/>
      <c r="S413" s="88"/>
      <c r="T413" s="88"/>
    </row>
    <row r="414" spans="3:20" x14ac:dyDescent="0.25">
      <c r="C414" s="36"/>
      <c r="D414" s="36"/>
      <c r="E414" s="36"/>
      <c r="F414" s="36"/>
      <c r="G414" s="36"/>
      <c r="H414" s="36"/>
      <c r="I414" s="110"/>
      <c r="J414" s="36"/>
      <c r="Q414" s="108"/>
      <c r="S414" s="88"/>
      <c r="T414" s="88"/>
    </row>
    <row r="415" spans="3:20" x14ac:dyDescent="0.25">
      <c r="C415" s="36"/>
      <c r="D415" s="36"/>
      <c r="E415" s="36"/>
      <c r="F415" s="36"/>
      <c r="G415" s="36"/>
      <c r="H415" s="36"/>
      <c r="I415" s="110"/>
      <c r="J415" s="36"/>
      <c r="Q415" s="108"/>
      <c r="S415" s="88"/>
      <c r="T415" s="88"/>
    </row>
    <row r="416" spans="3:20" x14ac:dyDescent="0.25">
      <c r="C416" s="36"/>
      <c r="D416" s="36"/>
      <c r="E416" s="36"/>
      <c r="F416" s="36"/>
      <c r="G416" s="36"/>
      <c r="H416" s="36"/>
      <c r="I416" s="110"/>
      <c r="J416" s="36"/>
      <c r="Q416" s="108"/>
      <c r="S416" s="88"/>
      <c r="T416" s="88"/>
    </row>
    <row r="417" spans="3:20" x14ac:dyDescent="0.25">
      <c r="C417" s="36"/>
      <c r="D417" s="36"/>
      <c r="E417" s="36"/>
      <c r="F417" s="36"/>
      <c r="G417" s="36"/>
      <c r="H417" s="36"/>
      <c r="I417" s="110"/>
      <c r="J417" s="36"/>
      <c r="Q417" s="108"/>
      <c r="S417" s="88"/>
      <c r="T417" s="88"/>
    </row>
    <row r="418" spans="3:20" x14ac:dyDescent="0.25">
      <c r="C418" s="36"/>
      <c r="D418" s="36"/>
      <c r="E418" s="36"/>
      <c r="F418" s="36"/>
      <c r="G418" s="36"/>
      <c r="H418" s="36"/>
      <c r="I418" s="110"/>
      <c r="J418" s="36"/>
      <c r="Q418" s="108"/>
      <c r="S418" s="88"/>
      <c r="T418" s="88"/>
    </row>
    <row r="419" spans="3:20" x14ac:dyDescent="0.25">
      <c r="C419" s="36"/>
      <c r="D419" s="36"/>
      <c r="E419" s="36"/>
      <c r="F419" s="36"/>
      <c r="G419" s="36"/>
      <c r="H419" s="36"/>
      <c r="I419" s="110"/>
      <c r="J419" s="36"/>
      <c r="Q419" s="108"/>
      <c r="S419" s="88"/>
      <c r="T419" s="88"/>
    </row>
    <row r="420" spans="3:20" x14ac:dyDescent="0.25">
      <c r="C420" s="36"/>
      <c r="D420" s="36"/>
      <c r="E420" s="36"/>
      <c r="F420" s="36"/>
      <c r="G420" s="36"/>
      <c r="H420" s="36"/>
      <c r="I420" s="110"/>
      <c r="J420" s="36"/>
      <c r="Q420" s="108"/>
      <c r="S420" s="88"/>
      <c r="T420" s="88"/>
    </row>
    <row r="421" spans="3:20" x14ac:dyDescent="0.25">
      <c r="C421" s="36"/>
      <c r="D421" s="36"/>
      <c r="E421" s="36"/>
      <c r="F421" s="36"/>
      <c r="G421" s="36"/>
      <c r="H421" s="36"/>
      <c r="I421" s="110"/>
      <c r="J421" s="36"/>
      <c r="Q421" s="108"/>
      <c r="S421" s="88"/>
      <c r="T421" s="88"/>
    </row>
    <row r="422" spans="3:20" x14ac:dyDescent="0.25">
      <c r="C422" s="36"/>
      <c r="D422" s="36"/>
      <c r="E422" s="36"/>
      <c r="F422" s="36"/>
      <c r="G422" s="36"/>
      <c r="H422" s="36"/>
      <c r="I422" s="110"/>
      <c r="J422" s="36"/>
      <c r="Q422" s="108"/>
      <c r="S422" s="88"/>
      <c r="T422" s="88"/>
    </row>
    <row r="423" spans="3:20" x14ac:dyDescent="0.25">
      <c r="C423" s="36"/>
      <c r="D423" s="36"/>
      <c r="E423" s="36"/>
      <c r="F423" s="36"/>
      <c r="G423" s="36"/>
      <c r="H423" s="36"/>
      <c r="I423" s="110"/>
      <c r="J423" s="36"/>
      <c r="Q423" s="108"/>
      <c r="S423" s="88"/>
      <c r="T423" s="88"/>
    </row>
    <row r="424" spans="3:20" x14ac:dyDescent="0.25">
      <c r="C424" s="36"/>
      <c r="D424" s="36"/>
      <c r="E424" s="36"/>
      <c r="F424" s="36"/>
      <c r="G424" s="36"/>
      <c r="H424" s="36"/>
      <c r="I424" s="110"/>
      <c r="J424" s="36"/>
      <c r="Q424" s="108"/>
      <c r="S424" s="88"/>
      <c r="T424" s="88"/>
    </row>
    <row r="425" spans="3:20" x14ac:dyDescent="0.25">
      <c r="C425" s="36"/>
      <c r="D425" s="36"/>
      <c r="E425" s="36"/>
      <c r="F425" s="36"/>
      <c r="G425" s="36"/>
      <c r="H425" s="36"/>
      <c r="I425" s="110"/>
      <c r="J425" s="36"/>
      <c r="Q425" s="108"/>
      <c r="S425" s="88"/>
      <c r="T425" s="88"/>
    </row>
    <row r="426" spans="3:20" x14ac:dyDescent="0.25">
      <c r="C426" s="36"/>
      <c r="D426" s="36"/>
      <c r="E426" s="36"/>
      <c r="F426" s="36"/>
      <c r="G426" s="36"/>
      <c r="H426" s="36"/>
      <c r="I426" s="110"/>
      <c r="J426" s="36"/>
      <c r="Q426" s="108"/>
      <c r="S426" s="88"/>
      <c r="T426" s="88"/>
    </row>
    <row r="427" spans="3:20" x14ac:dyDescent="0.25">
      <c r="C427" s="36"/>
      <c r="D427" s="36"/>
      <c r="E427" s="36"/>
      <c r="F427" s="36"/>
      <c r="G427" s="36"/>
      <c r="H427" s="36"/>
      <c r="I427" s="110"/>
      <c r="J427" s="36"/>
      <c r="Q427" s="108"/>
      <c r="S427" s="88"/>
      <c r="T427" s="88"/>
    </row>
    <row r="428" spans="3:20" x14ac:dyDescent="0.25">
      <c r="C428" s="36"/>
      <c r="D428" s="36"/>
      <c r="E428" s="36"/>
      <c r="F428" s="36"/>
      <c r="G428" s="36"/>
      <c r="H428" s="36"/>
      <c r="I428" s="110"/>
      <c r="J428" s="36"/>
      <c r="Q428" s="108"/>
      <c r="S428" s="88"/>
      <c r="T428" s="88"/>
    </row>
    <row r="429" spans="3:20" x14ac:dyDescent="0.25">
      <c r="C429" s="36"/>
      <c r="D429" s="36"/>
      <c r="E429" s="36"/>
      <c r="F429" s="36"/>
      <c r="G429" s="36"/>
      <c r="H429" s="36"/>
      <c r="I429" s="110"/>
      <c r="J429" s="36"/>
      <c r="Q429" s="108"/>
      <c r="S429" s="88"/>
      <c r="T429" s="88"/>
    </row>
    <row r="430" spans="3:20" x14ac:dyDescent="0.25">
      <c r="C430" s="36"/>
      <c r="D430" s="36"/>
      <c r="E430" s="36"/>
      <c r="F430" s="36"/>
      <c r="G430" s="36"/>
      <c r="H430" s="36"/>
      <c r="I430" s="110"/>
      <c r="J430" s="36"/>
      <c r="Q430" s="108"/>
      <c r="S430" s="88"/>
      <c r="T430" s="88"/>
    </row>
    <row r="431" spans="3:20" x14ac:dyDescent="0.25">
      <c r="C431" s="36"/>
      <c r="D431" s="36"/>
      <c r="E431" s="36"/>
      <c r="F431" s="36"/>
      <c r="G431" s="36"/>
      <c r="H431" s="36"/>
      <c r="I431" s="110"/>
      <c r="J431" s="36"/>
      <c r="Q431" s="108"/>
      <c r="S431" s="88"/>
      <c r="T431" s="88"/>
    </row>
    <row r="432" spans="3:20" x14ac:dyDescent="0.25">
      <c r="C432" s="36"/>
      <c r="D432" s="36"/>
      <c r="E432" s="36"/>
      <c r="F432" s="36"/>
      <c r="G432" s="36"/>
      <c r="H432" s="36"/>
      <c r="I432" s="110"/>
      <c r="J432" s="36"/>
      <c r="Q432" s="108"/>
      <c r="S432" s="88"/>
      <c r="T432" s="88"/>
    </row>
    <row r="433" spans="3:20" x14ac:dyDescent="0.25">
      <c r="C433" s="36"/>
      <c r="D433" s="36"/>
      <c r="E433" s="36"/>
      <c r="F433" s="36"/>
      <c r="G433" s="36"/>
      <c r="H433" s="36"/>
      <c r="I433" s="110"/>
      <c r="J433" s="36"/>
      <c r="Q433" s="108"/>
      <c r="S433" s="88"/>
      <c r="T433" s="88"/>
    </row>
    <row r="434" spans="3:20" x14ac:dyDescent="0.25">
      <c r="C434" s="36"/>
      <c r="D434" s="36"/>
      <c r="E434" s="36"/>
      <c r="F434" s="36"/>
      <c r="G434" s="36"/>
      <c r="H434" s="36"/>
      <c r="I434" s="110"/>
      <c r="J434" s="36"/>
      <c r="Q434" s="108"/>
      <c r="S434" s="88"/>
      <c r="T434" s="88"/>
    </row>
    <row r="435" spans="3:20" x14ac:dyDescent="0.25">
      <c r="C435" s="36"/>
      <c r="D435" s="36"/>
      <c r="E435" s="36"/>
      <c r="F435" s="36"/>
      <c r="G435" s="36"/>
      <c r="H435" s="36"/>
      <c r="I435" s="110"/>
      <c r="J435" s="36"/>
      <c r="Q435" s="108"/>
      <c r="S435" s="88"/>
      <c r="T435" s="88"/>
    </row>
    <row r="436" spans="3:20" x14ac:dyDescent="0.25">
      <c r="C436" s="36"/>
      <c r="D436" s="36"/>
      <c r="E436" s="36"/>
      <c r="F436" s="36"/>
      <c r="G436" s="36"/>
      <c r="H436" s="36"/>
      <c r="I436" s="110"/>
      <c r="J436" s="36"/>
      <c r="Q436" s="108"/>
      <c r="S436" s="88"/>
      <c r="T436" s="88"/>
    </row>
    <row r="437" spans="3:20" x14ac:dyDescent="0.25">
      <c r="C437" s="36"/>
      <c r="D437" s="36"/>
      <c r="E437" s="36"/>
      <c r="F437" s="36"/>
      <c r="G437" s="36"/>
      <c r="H437" s="36"/>
      <c r="I437" s="110"/>
      <c r="J437" s="36"/>
      <c r="Q437" s="108"/>
      <c r="S437" s="88"/>
      <c r="T437" s="88"/>
    </row>
    <row r="438" spans="3:20" x14ac:dyDescent="0.25">
      <c r="C438" s="36"/>
      <c r="D438" s="36"/>
      <c r="E438" s="36"/>
      <c r="F438" s="36"/>
      <c r="G438" s="36"/>
      <c r="H438" s="36"/>
      <c r="I438" s="110"/>
      <c r="J438" s="36"/>
      <c r="Q438" s="108"/>
      <c r="S438" s="88"/>
      <c r="T438" s="88"/>
    </row>
    <row r="439" spans="3:20" x14ac:dyDescent="0.25">
      <c r="C439" s="36"/>
      <c r="D439" s="36"/>
      <c r="E439" s="36"/>
      <c r="F439" s="36"/>
      <c r="G439" s="36"/>
      <c r="H439" s="36"/>
      <c r="I439" s="110"/>
      <c r="J439" s="36"/>
      <c r="Q439" s="108"/>
      <c r="S439" s="88"/>
      <c r="T439" s="88"/>
    </row>
    <row r="440" spans="3:20" x14ac:dyDescent="0.25">
      <c r="C440" s="36"/>
      <c r="D440" s="36"/>
      <c r="E440" s="36"/>
      <c r="F440" s="36"/>
      <c r="G440" s="36"/>
      <c r="H440" s="36"/>
      <c r="I440" s="110"/>
      <c r="J440" s="36"/>
      <c r="Q440" s="108"/>
      <c r="S440" s="88"/>
      <c r="T440" s="88"/>
    </row>
    <row r="441" spans="3:20" x14ac:dyDescent="0.25">
      <c r="C441" s="36"/>
      <c r="D441" s="36"/>
      <c r="E441" s="36"/>
      <c r="F441" s="36"/>
      <c r="G441" s="36"/>
      <c r="H441" s="36"/>
      <c r="I441" s="110"/>
      <c r="J441" s="36"/>
      <c r="Q441" s="108"/>
      <c r="S441" s="88"/>
      <c r="T441" s="88"/>
    </row>
    <row r="442" spans="3:20" x14ac:dyDescent="0.25">
      <c r="C442" s="36"/>
      <c r="D442" s="36"/>
      <c r="E442" s="36"/>
      <c r="F442" s="36"/>
      <c r="G442" s="36"/>
      <c r="H442" s="36"/>
      <c r="I442" s="110"/>
      <c r="J442" s="36"/>
      <c r="Q442" s="108"/>
      <c r="S442" s="88"/>
      <c r="T442" s="88"/>
    </row>
    <row r="443" spans="3:20" x14ac:dyDescent="0.25">
      <c r="C443" s="36"/>
      <c r="D443" s="36"/>
      <c r="E443" s="36"/>
      <c r="F443" s="36"/>
      <c r="G443" s="36"/>
      <c r="H443" s="36"/>
      <c r="I443" s="110"/>
      <c r="J443" s="36"/>
      <c r="Q443" s="108"/>
      <c r="S443" s="88"/>
      <c r="T443" s="88"/>
    </row>
    <row r="444" spans="3:20" x14ac:dyDescent="0.25">
      <c r="C444" s="36"/>
      <c r="D444" s="36"/>
      <c r="E444" s="36"/>
      <c r="F444" s="36"/>
      <c r="G444" s="36"/>
      <c r="H444" s="36"/>
      <c r="I444" s="110"/>
      <c r="J444" s="36"/>
      <c r="Q444" s="108"/>
      <c r="S444" s="88"/>
      <c r="T444" s="88"/>
    </row>
    <row r="445" spans="3:20" x14ac:dyDescent="0.25">
      <c r="C445" s="36"/>
      <c r="D445" s="36"/>
      <c r="E445" s="36"/>
      <c r="F445" s="36"/>
      <c r="G445" s="36"/>
      <c r="H445" s="36"/>
      <c r="I445" s="110"/>
      <c r="J445" s="36"/>
      <c r="Q445" s="108"/>
      <c r="S445" s="88"/>
      <c r="T445" s="88"/>
    </row>
    <row r="446" spans="3:20" x14ac:dyDescent="0.25">
      <c r="C446" s="36"/>
      <c r="D446" s="36"/>
      <c r="E446" s="36"/>
      <c r="F446" s="36"/>
      <c r="G446" s="36"/>
      <c r="H446" s="36"/>
      <c r="I446" s="110"/>
      <c r="J446" s="36"/>
      <c r="Q446" s="108"/>
      <c r="S446" s="88"/>
      <c r="T446" s="88"/>
    </row>
    <row r="447" spans="3:20" x14ac:dyDescent="0.25">
      <c r="C447" s="36"/>
      <c r="D447" s="36"/>
      <c r="E447" s="36"/>
      <c r="F447" s="36"/>
      <c r="G447" s="36"/>
      <c r="H447" s="36"/>
      <c r="I447" s="110"/>
      <c r="J447" s="36"/>
      <c r="Q447" s="108"/>
      <c r="S447" s="88"/>
      <c r="T447" s="88"/>
    </row>
    <row r="448" spans="3:20" x14ac:dyDescent="0.25">
      <c r="C448" s="36"/>
      <c r="D448" s="36"/>
      <c r="E448" s="36"/>
      <c r="F448" s="36"/>
      <c r="G448" s="36"/>
      <c r="H448" s="36"/>
      <c r="I448" s="110"/>
      <c r="J448" s="36"/>
      <c r="Q448" s="108"/>
      <c r="S448" s="88"/>
      <c r="T448" s="88"/>
    </row>
    <row r="449" spans="3:20" x14ac:dyDescent="0.25">
      <c r="C449" s="36"/>
      <c r="D449" s="36"/>
      <c r="E449" s="36"/>
      <c r="F449" s="36"/>
      <c r="G449" s="36"/>
      <c r="H449" s="36"/>
      <c r="I449" s="110"/>
      <c r="J449" s="36"/>
      <c r="Q449" s="108"/>
      <c r="S449" s="88"/>
      <c r="T449" s="88"/>
    </row>
    <row r="450" spans="3:20" x14ac:dyDescent="0.25">
      <c r="C450" s="36"/>
      <c r="D450" s="36"/>
      <c r="E450" s="36"/>
      <c r="F450" s="36"/>
      <c r="G450" s="36"/>
      <c r="H450" s="36"/>
      <c r="I450" s="110"/>
      <c r="J450" s="36"/>
      <c r="Q450" s="108"/>
      <c r="S450" s="88"/>
      <c r="T450" s="88"/>
    </row>
    <row r="451" spans="3:20" x14ac:dyDescent="0.25">
      <c r="C451" s="36"/>
      <c r="D451" s="36"/>
      <c r="E451" s="36"/>
      <c r="F451" s="36"/>
      <c r="G451" s="36"/>
      <c r="H451" s="36"/>
      <c r="I451" s="110"/>
      <c r="J451" s="36"/>
      <c r="Q451" s="108"/>
      <c r="S451" s="88"/>
      <c r="T451" s="88"/>
    </row>
    <row r="452" spans="3:20" x14ac:dyDescent="0.25">
      <c r="C452" s="36"/>
      <c r="D452" s="36"/>
      <c r="E452" s="36"/>
      <c r="F452" s="36"/>
      <c r="G452" s="36"/>
      <c r="H452" s="36"/>
      <c r="I452" s="110"/>
      <c r="J452" s="36"/>
      <c r="Q452" s="108"/>
      <c r="S452" s="88"/>
      <c r="T452" s="88"/>
    </row>
    <row r="453" spans="3:20" x14ac:dyDescent="0.25">
      <c r="C453" s="36"/>
      <c r="D453" s="36"/>
      <c r="E453" s="36"/>
      <c r="F453" s="36"/>
      <c r="G453" s="36"/>
      <c r="H453" s="36"/>
      <c r="I453" s="110"/>
      <c r="J453" s="36"/>
      <c r="Q453" s="108"/>
      <c r="S453" s="88"/>
      <c r="T453" s="88"/>
    </row>
    <row r="454" spans="3:20" x14ac:dyDescent="0.25">
      <c r="C454" s="36"/>
      <c r="D454" s="36"/>
      <c r="E454" s="36"/>
      <c r="F454" s="36"/>
      <c r="G454" s="36"/>
      <c r="H454" s="36"/>
      <c r="I454" s="110"/>
      <c r="J454" s="36"/>
      <c r="Q454" s="108"/>
      <c r="S454" s="88"/>
      <c r="T454" s="88"/>
    </row>
    <row r="455" spans="3:20" x14ac:dyDescent="0.25">
      <c r="C455" s="36"/>
      <c r="D455" s="36"/>
      <c r="E455" s="36"/>
      <c r="F455" s="36"/>
      <c r="G455" s="36"/>
      <c r="H455" s="36"/>
      <c r="I455" s="110"/>
      <c r="J455" s="36"/>
      <c r="Q455" s="108"/>
      <c r="S455" s="88"/>
      <c r="T455" s="88"/>
    </row>
    <row r="456" spans="3:20" x14ac:dyDescent="0.25">
      <c r="C456" s="36"/>
      <c r="D456" s="36"/>
      <c r="E456" s="36"/>
      <c r="F456" s="36"/>
      <c r="G456" s="36"/>
      <c r="H456" s="36"/>
      <c r="I456" s="110"/>
      <c r="J456" s="36"/>
      <c r="Q456" s="108"/>
      <c r="S456" s="88"/>
      <c r="T456" s="88"/>
    </row>
    <row r="457" spans="3:20" x14ac:dyDescent="0.25">
      <c r="C457" s="36"/>
      <c r="D457" s="36"/>
      <c r="E457" s="36"/>
      <c r="F457" s="36"/>
      <c r="G457" s="36"/>
      <c r="H457" s="36"/>
      <c r="I457" s="110"/>
      <c r="J457" s="36"/>
      <c r="Q457" s="108"/>
      <c r="S457" s="88"/>
      <c r="T457" s="88"/>
    </row>
    <row r="458" spans="3:20" x14ac:dyDescent="0.25">
      <c r="C458" s="36"/>
      <c r="D458" s="36"/>
      <c r="E458" s="36"/>
      <c r="F458" s="36"/>
      <c r="G458" s="36"/>
      <c r="H458" s="36"/>
      <c r="I458" s="110"/>
      <c r="J458" s="36"/>
      <c r="Q458" s="108"/>
      <c r="S458" s="88"/>
      <c r="T458" s="88"/>
    </row>
    <row r="459" spans="3:20" x14ac:dyDescent="0.25">
      <c r="C459" s="36"/>
      <c r="D459" s="36"/>
      <c r="E459" s="36"/>
      <c r="F459" s="36"/>
      <c r="G459" s="36"/>
      <c r="H459" s="36"/>
      <c r="I459" s="110"/>
      <c r="J459" s="36"/>
      <c r="Q459" s="108"/>
      <c r="S459" s="88"/>
      <c r="T459" s="88"/>
    </row>
    <row r="460" spans="3:20" x14ac:dyDescent="0.25">
      <c r="C460" s="36"/>
      <c r="D460" s="36"/>
      <c r="E460" s="36"/>
      <c r="F460" s="36"/>
      <c r="G460" s="36"/>
      <c r="H460" s="36"/>
      <c r="I460" s="110"/>
      <c r="J460" s="36"/>
      <c r="Q460" s="108"/>
      <c r="S460" s="88"/>
      <c r="T460" s="88"/>
    </row>
  </sheetData>
  <sheetProtection algorithmName="SHA-512" hashValue="ta+/9N09BCbcfJIbR8nGejcmdr7A0p++LbeZhOe/X2xvaeGT2nv9Cq4yqn3HaT6cXqhhOluIRCBdPYu/ifgoQw==" saltValue="2cQc9hlJfA50uhrjYyaN2A==" spinCount="100000" sheet="1" objects="1" scenarios="1"/>
  <mergeCells count="30">
    <mergeCell ref="K3:T3"/>
    <mergeCell ref="AC3:AK3"/>
    <mergeCell ref="U3:AB3"/>
    <mergeCell ref="K174:T174"/>
    <mergeCell ref="U174:Y174"/>
    <mergeCell ref="Z174:AE174"/>
    <mergeCell ref="AF174:AG174"/>
    <mergeCell ref="C163:J163"/>
    <mergeCell ref="B175:B177"/>
    <mergeCell ref="C175:C177"/>
    <mergeCell ref="D175:D177"/>
    <mergeCell ref="E175:E177"/>
    <mergeCell ref="F175:F177"/>
    <mergeCell ref="J4:J6"/>
    <mergeCell ref="C3:J3"/>
    <mergeCell ref="B4:B6"/>
    <mergeCell ref="C4:C6"/>
    <mergeCell ref="D4:D6"/>
    <mergeCell ref="E4:E6"/>
    <mergeCell ref="F4:F6"/>
    <mergeCell ref="G4:G6"/>
    <mergeCell ref="H4:H6"/>
    <mergeCell ref="I4:I6"/>
    <mergeCell ref="C202:J202"/>
    <mergeCell ref="C213:J213"/>
    <mergeCell ref="C174:J174"/>
    <mergeCell ref="G175:G177"/>
    <mergeCell ref="H175:H177"/>
    <mergeCell ref="I175:I177"/>
    <mergeCell ref="J175:J177"/>
  </mergeCells>
  <phoneticPr fontId="32" type="noConversion"/>
  <conditionalFormatting sqref="D8:D16">
    <cfRule type="cellIs" dxfId="89" priority="28" operator="between">
      <formula>0.00000001</formula>
      <formula>9999999</formula>
    </cfRule>
  </conditionalFormatting>
  <conditionalFormatting sqref="D19:D28">
    <cfRule type="cellIs" dxfId="88" priority="26" operator="between">
      <formula>0.00000001</formula>
      <formula>9999999</formula>
    </cfRule>
  </conditionalFormatting>
  <conditionalFormatting sqref="D30:D38">
    <cfRule type="cellIs" dxfId="87" priority="24" operator="between">
      <formula>0.00000001</formula>
      <formula>9999999</formula>
    </cfRule>
  </conditionalFormatting>
  <conditionalFormatting sqref="D41:D49">
    <cfRule type="cellIs" dxfId="86" priority="22" operator="between">
      <formula>0.00000001</formula>
      <formula>9999999</formula>
    </cfRule>
  </conditionalFormatting>
  <conditionalFormatting sqref="D52:D60">
    <cfRule type="cellIs" dxfId="85" priority="20" operator="between">
      <formula>0.00000001</formula>
      <formula>9999999</formula>
    </cfRule>
  </conditionalFormatting>
  <conditionalFormatting sqref="D63:D71">
    <cfRule type="cellIs" dxfId="84" priority="18" operator="between">
      <formula>0.00000001</formula>
      <formula>9999999</formula>
    </cfRule>
  </conditionalFormatting>
  <conditionalFormatting sqref="D74:D82">
    <cfRule type="cellIs" dxfId="83" priority="16" operator="between">
      <formula>0.00000001</formula>
      <formula>9999999</formula>
    </cfRule>
  </conditionalFormatting>
  <conditionalFormatting sqref="D85:D93">
    <cfRule type="cellIs" dxfId="82" priority="14" operator="between">
      <formula>0.00000001</formula>
      <formula>9999999</formula>
    </cfRule>
  </conditionalFormatting>
  <conditionalFormatting sqref="D96:D104">
    <cfRule type="cellIs" dxfId="81" priority="12" operator="between">
      <formula>0.00000001</formula>
      <formula>9999999</formula>
    </cfRule>
  </conditionalFormatting>
  <conditionalFormatting sqref="D107:D115">
    <cfRule type="cellIs" dxfId="80" priority="10" operator="between">
      <formula>0.00000001</formula>
      <formula>9999999</formula>
    </cfRule>
  </conditionalFormatting>
  <conditionalFormatting sqref="D118:D126">
    <cfRule type="cellIs" dxfId="79" priority="8" operator="between">
      <formula>0.00000001</formula>
      <formula>9999999</formula>
    </cfRule>
  </conditionalFormatting>
  <conditionalFormatting sqref="D129:D137">
    <cfRule type="cellIs" dxfId="78" priority="6" operator="between">
      <formula>0.00000001</formula>
      <formula>9999999</formula>
    </cfRule>
  </conditionalFormatting>
  <conditionalFormatting sqref="D140:D148">
    <cfRule type="cellIs" dxfId="77" priority="4" operator="between">
      <formula>0.00000001</formula>
      <formula>9999999</formula>
    </cfRule>
  </conditionalFormatting>
  <conditionalFormatting sqref="D151:D159">
    <cfRule type="cellIs" dxfId="76" priority="2" operator="between">
      <formula>0.00000001</formula>
      <formula>9999999</formula>
    </cfRule>
  </conditionalFormatting>
  <conditionalFormatting sqref="G8:G16">
    <cfRule type="cellIs" dxfId="75" priority="27" operator="between">
      <formula>0.00000001</formula>
      <formula>9999999</formula>
    </cfRule>
  </conditionalFormatting>
  <conditionalFormatting sqref="G19:G28">
    <cfRule type="cellIs" dxfId="74" priority="25" operator="between">
      <formula>0.00000001</formula>
      <formula>9999999</formula>
    </cfRule>
  </conditionalFormatting>
  <conditionalFormatting sqref="G30:G38">
    <cfRule type="cellIs" dxfId="73" priority="23" operator="between">
      <formula>0.00000001</formula>
      <formula>9999999</formula>
    </cfRule>
  </conditionalFormatting>
  <conditionalFormatting sqref="G41:G49">
    <cfRule type="cellIs" dxfId="72" priority="21" operator="between">
      <formula>0.00000001</formula>
      <formula>9999999</formula>
    </cfRule>
  </conditionalFormatting>
  <conditionalFormatting sqref="G52:G60">
    <cfRule type="cellIs" dxfId="71" priority="19" operator="between">
      <formula>0.00000001</formula>
      <formula>9999999</formula>
    </cfRule>
  </conditionalFormatting>
  <conditionalFormatting sqref="G63:G71">
    <cfRule type="cellIs" dxfId="70" priority="17" operator="between">
      <formula>0.00000001</formula>
      <formula>9999999</formula>
    </cfRule>
  </conditionalFormatting>
  <conditionalFormatting sqref="G74:G82">
    <cfRule type="cellIs" dxfId="69" priority="15" operator="between">
      <formula>0.00000001</formula>
      <formula>9999999</formula>
    </cfRule>
  </conditionalFormatting>
  <conditionalFormatting sqref="G85:G93">
    <cfRule type="cellIs" dxfId="68" priority="13" operator="between">
      <formula>0.00000001</formula>
      <formula>9999999</formula>
    </cfRule>
  </conditionalFormatting>
  <conditionalFormatting sqref="G96:G104">
    <cfRule type="cellIs" dxfId="67" priority="11" operator="between">
      <formula>0.00000001</formula>
      <formula>9999999</formula>
    </cfRule>
  </conditionalFormatting>
  <conditionalFormatting sqref="G107:G115">
    <cfRule type="cellIs" dxfId="66" priority="9" operator="between">
      <formula>0.00000001</formula>
      <formula>9999999</formula>
    </cfRule>
  </conditionalFormatting>
  <conditionalFormatting sqref="G118:G126">
    <cfRule type="cellIs" dxfId="65" priority="7" operator="between">
      <formula>0.00000001</formula>
      <formula>9999999</formula>
    </cfRule>
  </conditionalFormatting>
  <conditionalFormatting sqref="G129:G137">
    <cfRule type="cellIs" dxfId="64" priority="5" operator="between">
      <formula>0.00000001</formula>
      <formula>9999999</formula>
    </cfRule>
  </conditionalFormatting>
  <conditionalFormatting sqref="G140:G148">
    <cfRule type="cellIs" dxfId="63" priority="3" operator="between">
      <formula>0.00000001</formula>
      <formula>9999999</formula>
    </cfRule>
  </conditionalFormatting>
  <conditionalFormatting sqref="G151:G159">
    <cfRule type="cellIs" dxfId="62" priority="1" operator="between">
      <formula>0.00000001</formula>
      <formula>9999999</formula>
    </cfRule>
  </conditionalFormatting>
  <conditionalFormatting sqref="J8:J17">
    <cfRule type="cellIs" dxfId="61" priority="196" operator="equal">
      <formula>0</formula>
    </cfRule>
  </conditionalFormatting>
  <conditionalFormatting sqref="J19:J28">
    <cfRule type="cellIs" dxfId="60" priority="194" operator="equal">
      <formula>0</formula>
    </cfRule>
  </conditionalFormatting>
  <conditionalFormatting sqref="J30:J39">
    <cfRule type="cellIs" dxfId="59" priority="192" operator="equal">
      <formula>0</formula>
    </cfRule>
  </conditionalFormatting>
  <conditionalFormatting sqref="J41:J50">
    <cfRule type="cellIs" dxfId="58" priority="190" operator="equal">
      <formula>0</formula>
    </cfRule>
  </conditionalFormatting>
  <conditionalFormatting sqref="J52:J61">
    <cfRule type="cellIs" dxfId="57" priority="188" operator="equal">
      <formula>0</formula>
    </cfRule>
  </conditionalFormatting>
  <conditionalFormatting sqref="J63:J72">
    <cfRule type="cellIs" dxfId="56" priority="186" operator="equal">
      <formula>0</formula>
    </cfRule>
  </conditionalFormatting>
  <conditionalFormatting sqref="J74:J83">
    <cfRule type="cellIs" dxfId="55" priority="183" operator="equal">
      <formula>0</formula>
    </cfRule>
  </conditionalFormatting>
  <conditionalFormatting sqref="J85:J94">
    <cfRule type="cellIs" dxfId="54" priority="179" operator="equal">
      <formula>0</formula>
    </cfRule>
  </conditionalFormatting>
  <conditionalFormatting sqref="J96:J105">
    <cfRule type="cellIs" dxfId="53" priority="175" operator="equal">
      <formula>0</formula>
    </cfRule>
  </conditionalFormatting>
  <conditionalFormatting sqref="J107:J116">
    <cfRule type="cellIs" dxfId="52" priority="171" operator="equal">
      <formula>0</formula>
    </cfRule>
  </conditionalFormatting>
  <conditionalFormatting sqref="J118:J127">
    <cfRule type="cellIs" dxfId="51" priority="167" operator="equal">
      <formula>0</formula>
    </cfRule>
  </conditionalFormatting>
  <conditionalFormatting sqref="J129:J138">
    <cfRule type="cellIs" dxfId="50" priority="163" operator="equal">
      <formula>0</formula>
    </cfRule>
  </conditionalFormatting>
  <conditionalFormatting sqref="J140:J149">
    <cfRule type="cellIs" dxfId="49" priority="159" operator="equal">
      <formula>0</formula>
    </cfRule>
  </conditionalFormatting>
  <conditionalFormatting sqref="J151:J161">
    <cfRule type="cellIs" dxfId="48" priority="155" operator="equal">
      <formula>0</formula>
    </cfRule>
  </conditionalFormatting>
  <conditionalFormatting sqref="J166:J171">
    <cfRule type="cellIs" dxfId="47" priority="300" operator="equal">
      <formula>0</formula>
    </cfRule>
  </conditionalFormatting>
  <conditionalFormatting sqref="J179:J188">
    <cfRule type="cellIs" dxfId="46" priority="62" operator="equal">
      <formula>0</formula>
    </cfRule>
  </conditionalFormatting>
  <conditionalFormatting sqref="J190:J199">
    <cfRule type="cellIs" dxfId="45" priority="53" operator="equal">
      <formula>0</formula>
    </cfRule>
  </conditionalFormatting>
  <conditionalFormatting sqref="J205:J210">
    <cfRule type="cellIs" dxfId="44" priority="278" operator="equal">
      <formula>0</formula>
    </cfRule>
  </conditionalFormatting>
  <conditionalFormatting sqref="J216:J220">
    <cfRule type="cellIs" dxfId="43" priority="276" operator="equal">
      <formula>0</formula>
    </cfRule>
  </conditionalFormatting>
  <conditionalFormatting sqref="J222:J226">
    <cfRule type="cellIs" dxfId="42" priority="274" operator="equal">
      <formula>0</formula>
    </cfRule>
  </conditionalFormatting>
  <conditionalFormatting sqref="J228:J232">
    <cfRule type="cellIs" dxfId="41" priority="272" operator="equal">
      <formula>0</formula>
    </cfRule>
  </conditionalFormatting>
  <conditionalFormatting sqref="J234:J239">
    <cfRule type="cellIs" dxfId="40" priority="269" operator="equal">
      <formula>0</formula>
    </cfRule>
  </conditionalFormatting>
  <conditionalFormatting sqref="AD179:AD180">
    <cfRule type="cellIs" dxfId="39" priority="40" operator="equal">
      <formula>0</formula>
    </cfRule>
  </conditionalFormatting>
  <conditionalFormatting sqref="AD182:AD188">
    <cfRule type="cellIs" dxfId="38" priority="38" operator="equal">
      <formula>0</formula>
    </cfRule>
  </conditionalFormatting>
  <conditionalFormatting sqref="AD190:AD191">
    <cfRule type="cellIs" dxfId="37" priority="37" operator="equal">
      <formula>0</formula>
    </cfRule>
  </conditionalFormatting>
  <conditionalFormatting sqref="AD193:AD199">
    <cfRule type="cellIs" dxfId="36" priority="35" operator="equal">
      <formula>0</formula>
    </cfRule>
  </conditionalFormatting>
  <conditionalFormatting sqref="AF179:AF180">
    <cfRule type="cellIs" dxfId="35" priority="34" operator="equal">
      <formula>0</formula>
    </cfRule>
  </conditionalFormatting>
  <conditionalFormatting sqref="AF182:AF188">
    <cfRule type="cellIs" dxfId="34" priority="32" operator="equal">
      <formula>0</formula>
    </cfRule>
  </conditionalFormatting>
  <conditionalFormatting sqref="AF190:AF191">
    <cfRule type="cellIs" dxfId="33" priority="31" operator="equal">
      <formula>0</formula>
    </cfRule>
  </conditionalFormatting>
  <conditionalFormatting sqref="AF193:AF199">
    <cfRule type="cellIs" dxfId="32" priority="29" operator="equal">
      <formula>0</formula>
    </cfRule>
  </conditionalFormatting>
  <pageMargins left="0.7" right="0.7" top="0.75" bottom="0.75" header="0.3" footer="0.3"/>
  <pageSetup scale="29" fitToHeight="0" orientation="landscape" r:id="rId1"/>
  <extLst>
    <ext xmlns:x14="http://schemas.microsoft.com/office/spreadsheetml/2009/9/main" uri="{CCE6A557-97BC-4b89-ADB6-D9C93CAAB3DF}">
      <x14:dataValidations xmlns:xm="http://schemas.microsoft.com/office/excel/2006/main" count="16">
        <x14:dataValidation type="list" allowBlank="1" showInputMessage="1" showErrorMessage="1" error="Please select units from the dropdown box" xr:uid="{00000000-0002-0000-1300-000000000000}">
          <x14:formula1>
            <xm:f>Unit!$A$4:$A$11</xm:f>
          </x14:formula1>
          <xm:sqref>J7 J233 J227 J221 J215 J204 J189 J178 J165 J150 J139 J128 J117 J106 J95 J84 J73 J51 J40 J29 J18 J62</xm:sqref>
        </x14:dataValidation>
        <x14:dataValidation type="list" allowBlank="1" showInputMessage="1" showErrorMessage="1" promptTitle="Thickness" xr:uid="{00000000-0002-0000-1300-000001000000}">
          <x14:formula1>
            <xm:f>Unit!$A$20:$A$21</xm:f>
          </x14:formula1>
          <xm:sqref>K5 M5:N5 K176 M176:N176</xm:sqref>
        </x14:dataValidation>
        <x14:dataValidation type="list" allowBlank="1" showInputMessage="1" showErrorMessage="1" promptTitle="Thickness" xr:uid="{00000000-0002-0000-1300-000002000000}">
          <x14:formula1>
            <xm:f>Unit!$A$18:$A$19</xm:f>
          </x14:formula1>
          <xm:sqref>L5 L176</xm:sqref>
        </x14:dataValidation>
        <x14:dataValidation type="list" allowBlank="1" showInputMessage="1" showErrorMessage="1" promptTitle="Thickness" xr:uid="{00000000-0002-0000-1300-000003000000}">
          <x14:formula1>
            <xm:f>Unit!$A$21:$A$22</xm:f>
          </x14:formula1>
          <xm:sqref>O5 O176</xm:sqref>
        </x14:dataValidation>
        <x14:dataValidation type="list" allowBlank="1" showInputMessage="1" showErrorMessage="1" xr:uid="{00000000-0002-0000-1300-000005000000}">
          <x14:formula1>
            <xm:f>Unit!$A$43:$A$47</xm:f>
          </x14:formula1>
          <xm:sqref>W5:X5</xm:sqref>
        </x14:dataValidation>
        <x14:dataValidation type="list" allowBlank="1" showInputMessage="1" showErrorMessage="1" xr:uid="{00000000-0002-0000-1300-000006000000}">
          <x14:formula1>
            <xm:f>Unit!$A$50:$A$54</xm:f>
          </x14:formula1>
          <xm:sqref>AC5</xm:sqref>
        </x14:dataValidation>
        <x14:dataValidation type="list" allowBlank="1" showInputMessage="1" showErrorMessage="1" xr:uid="{00000000-0002-0000-1300-000007000000}">
          <x14:formula1>
            <xm:f>Unit!$A$57:$A$60</xm:f>
          </x14:formula1>
          <xm:sqref>AD5</xm:sqref>
        </x14:dataValidation>
        <x14:dataValidation type="list" allowBlank="1" showInputMessage="1" showErrorMessage="1" xr:uid="{00000000-0002-0000-1300-000008000000}">
          <x14:formula1>
            <xm:f>Unit!$A$63:$A$66</xm:f>
          </x14:formula1>
          <xm:sqref>AE5</xm:sqref>
        </x14:dataValidation>
        <x14:dataValidation type="list" allowBlank="1" showInputMessage="1" showErrorMessage="1" xr:uid="{00000000-0002-0000-1300-000009000000}">
          <x14:formula1>
            <xm:f>Unit!$A$69:$A$80</xm:f>
          </x14:formula1>
          <xm:sqref>AF5 AB176</xm:sqref>
        </x14:dataValidation>
        <x14:dataValidation type="list" allowBlank="1" showInputMessage="1" showErrorMessage="1" xr:uid="{00000000-0002-0000-1300-00000A000000}">
          <x14:formula1>
            <xm:f>Unit!$A$83:$A$86</xm:f>
          </x14:formula1>
          <xm:sqref>AG5 AC176</xm:sqref>
        </x14:dataValidation>
        <x14:dataValidation type="list" allowBlank="1" showInputMessage="1" showErrorMessage="1" xr:uid="{00000000-0002-0000-1300-00000B000000}">
          <x14:formula1>
            <xm:f>Unit!$A$89:$A$90</xm:f>
          </x14:formula1>
          <xm:sqref>AH5</xm:sqref>
        </x14:dataValidation>
        <x14:dataValidation type="list" allowBlank="1" showInputMessage="1" showErrorMessage="1" xr:uid="{00000000-0002-0000-1300-00000C000000}">
          <x14:formula1>
            <xm:f>Unit!$A$93:$A$94</xm:f>
          </x14:formula1>
          <xm:sqref>AI5</xm:sqref>
        </x14:dataValidation>
        <x14:dataValidation type="list" allowBlank="1" showInputMessage="1" showErrorMessage="1" xr:uid="{00000000-0002-0000-1300-00000D000000}">
          <x14:formula1>
            <xm:f>Unit!$A$107:$A$110</xm:f>
          </x14:formula1>
          <xm:sqref>Y176 AA176</xm:sqref>
        </x14:dataValidation>
        <x14:dataValidation type="list" allowBlank="1" showInputMessage="1" showErrorMessage="1" xr:uid="{00000000-0002-0000-1300-00000E000000}">
          <x14:formula1>
            <xm:f>Unit!$A$97:$A$104</xm:f>
          </x14:formula1>
          <xm:sqref>X176 Z176</xm:sqref>
        </x14:dataValidation>
        <x14:dataValidation type="list" allowBlank="1" showInputMessage="1" showErrorMessage="1" xr:uid="{00000000-0002-0000-1300-00000F000000}">
          <x14:formula1>
            <xm:f>Unit!$A$25:$A$26</xm:f>
          </x14:formula1>
          <xm:sqref>P5 P176</xm:sqref>
        </x14:dataValidation>
        <x14:dataValidation type="list" allowBlank="1" showInputMessage="1" showErrorMessage="1" xr:uid="{59010530-835F-44A6-BEDE-60F5062706F1}">
          <x14:formula1>
            <xm:f>'Carpentry Rates'!$D$686:$D$697</xm:f>
          </x14:formula1>
          <xm:sqref>U5:V5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00B050"/>
  </sheetPr>
  <dimension ref="A1:S227"/>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c r="O1" s="25" t="s">
        <v>736</v>
      </c>
      <c r="Q1" s="25" t="s">
        <v>737</v>
      </c>
    </row>
    <row r="2" spans="1:19" s="79" customFormat="1" ht="20.100000000000001" customHeight="1" thickBot="1" x14ac:dyDescent="0.4">
      <c r="A2" s="72">
        <f>'External Cladding'!A2+1</f>
        <v>12</v>
      </c>
      <c r="B2" s="73" t="s" cm="1">
        <v>2442</v>
      </c>
      <c r="C2" s="75"/>
      <c r="D2" s="76"/>
      <c r="E2" s="77"/>
      <c r="F2" s="78"/>
      <c r="G2" s="207"/>
      <c r="H2" s="221" t="s">
        <v>26</v>
      </c>
      <c r="I2" s="222" t="s">
        <v>27</v>
      </c>
      <c r="J2" s="222" t="s">
        <v>28</v>
      </c>
      <c r="K2" s="222" t="s">
        <v>34</v>
      </c>
      <c r="L2" s="222" t="s">
        <v>615</v>
      </c>
      <c r="M2" s="80"/>
      <c r="N2" s="71"/>
      <c r="O2" s="239">
        <v>1.04</v>
      </c>
      <c r="Q2" s="239">
        <v>1.181</v>
      </c>
    </row>
    <row r="3" spans="1:19" s="90" customFormat="1" ht="18.75" x14ac:dyDescent="0.25">
      <c r="A3" s="82">
        <f ca="1">IF(C3&gt;0,MAX($A$1:OFFSET(A3,-1,0))+0.01,"")</f>
        <v>12.01</v>
      </c>
      <c r="B3" s="27" t="s">
        <v>177</v>
      </c>
      <c r="C3" s="83">
        <v>270.99400000000003</v>
      </c>
      <c r="D3" s="29" t="s">
        <v>11</v>
      </c>
      <c r="E3" s="85"/>
      <c r="F3" s="86">
        <f>IF(E3="inc",0,IF(C3="",0,C3*E3))</f>
        <v>0</v>
      </c>
      <c r="G3" s="208"/>
      <c r="H3" s="30"/>
      <c r="I3" s="30"/>
      <c r="J3" s="30"/>
      <c r="K3" s="30"/>
      <c r="L3" s="30"/>
      <c r="M3" s="87"/>
      <c r="N3" s="88"/>
      <c r="O3" s="25"/>
      <c r="P3" s="25"/>
      <c r="Q3" s="25"/>
      <c r="R3" s="25"/>
      <c r="S3" s="25"/>
    </row>
    <row r="4" spans="1:19" s="94" customFormat="1" ht="15.75" x14ac:dyDescent="0.25">
      <c r="A4" s="24"/>
      <c r="B4" s="24"/>
      <c r="C4" s="32">
        <v>270.99400000000003</v>
      </c>
      <c r="D4" s="32" t="s">
        <v>11</v>
      </c>
      <c r="E4" s="26"/>
      <c r="F4" s="33"/>
      <c r="G4" s="209"/>
      <c r="H4" s="26"/>
      <c r="I4" s="26"/>
      <c r="J4" s="26"/>
      <c r="K4" s="26"/>
      <c r="L4" s="26"/>
      <c r="M4" s="34"/>
      <c r="N4" s="32"/>
      <c r="O4" s="239"/>
    </row>
    <row r="5" spans="1:19" s="94" customFormat="1" ht="15.75" x14ac:dyDescent="0.25">
      <c r="A5" s="24"/>
      <c r="B5" s="24"/>
      <c r="C5" s="32" t="s">
        <v>2346</v>
      </c>
      <c r="D5" s="32">
        <v>0</v>
      </c>
      <c r="E5" s="26"/>
      <c r="F5" s="33"/>
      <c r="G5" s="210"/>
      <c r="H5" s="26"/>
      <c r="I5" s="26"/>
      <c r="J5" s="26"/>
      <c r="K5" s="26"/>
      <c r="L5" s="26"/>
      <c r="M5" s="34"/>
      <c r="N5" s="32"/>
      <c r="O5" s="44"/>
    </row>
    <row r="6" spans="1:19" s="90" customFormat="1" ht="18.75" x14ac:dyDescent="0.25">
      <c r="A6" s="82">
        <f ca="1">IF(C6&gt;0,MAX($A$1:OFFSET(A6,-1,0))+0.01,"")</f>
        <v>12.02</v>
      </c>
      <c r="B6" s="27" t="s">
        <v>217</v>
      </c>
      <c r="C6" s="83">
        <v>68.649000000000001</v>
      </c>
      <c r="D6" s="29" t="s">
        <v>11</v>
      </c>
      <c r="E6" s="85"/>
      <c r="F6" s="86">
        <f>IF(E6="inc",0,IF(C6="",0,C6*E6))</f>
        <v>0</v>
      </c>
      <c r="G6" s="208"/>
      <c r="H6" s="30"/>
      <c r="I6" s="30"/>
      <c r="J6" s="30"/>
      <c r="K6" s="30"/>
      <c r="L6" s="30"/>
      <c r="M6" s="87"/>
      <c r="N6" s="88"/>
      <c r="O6" s="25"/>
      <c r="P6" s="25"/>
      <c r="Q6" s="25"/>
      <c r="R6" s="25"/>
      <c r="S6" s="25"/>
    </row>
    <row r="7" spans="1:19" s="94" customFormat="1" ht="15.75" x14ac:dyDescent="0.25">
      <c r="A7" s="24"/>
      <c r="B7" s="24"/>
      <c r="C7" s="32">
        <v>68.649000000000001</v>
      </c>
      <c r="D7" s="32" t="s">
        <v>11</v>
      </c>
      <c r="E7" s="26"/>
      <c r="F7" s="33"/>
      <c r="G7" s="210"/>
      <c r="H7" s="26"/>
      <c r="I7" s="26"/>
      <c r="J7" s="26"/>
      <c r="K7" s="26"/>
      <c r="L7" s="26"/>
      <c r="M7" s="34"/>
      <c r="N7" s="32"/>
      <c r="O7" s="44"/>
    </row>
    <row r="8" spans="1:19" s="94" customFormat="1" ht="15.75" x14ac:dyDescent="0.25">
      <c r="A8" s="24"/>
      <c r="B8" s="24"/>
      <c r="C8" s="32" t="s">
        <v>2346</v>
      </c>
      <c r="D8" s="32">
        <v>0</v>
      </c>
      <c r="E8" s="26"/>
      <c r="F8" s="33"/>
      <c r="G8" s="210"/>
      <c r="H8" s="26"/>
      <c r="I8" s="26"/>
      <c r="J8" s="26"/>
      <c r="K8" s="26"/>
      <c r="L8" s="26"/>
      <c r="M8" s="34"/>
      <c r="N8" s="32"/>
      <c r="O8" s="44"/>
    </row>
    <row r="9" spans="1:19" s="90" customFormat="1" ht="18.75" x14ac:dyDescent="0.25">
      <c r="A9" s="82">
        <f ca="1">IF(C9&gt;0,MAX($A$1:OFFSET(A9,-1,0))+0.01,"")</f>
        <v>12.03</v>
      </c>
      <c r="B9" s="27" t="s">
        <v>187</v>
      </c>
      <c r="C9" s="98">
        <v>104.291</v>
      </c>
      <c r="D9" s="29" t="s">
        <v>11</v>
      </c>
      <c r="E9" s="85"/>
      <c r="F9" s="86">
        <f>IF(E9="inc",0,IF(C9="",0,C9*E9))</f>
        <v>0</v>
      </c>
      <c r="G9" s="208"/>
      <c r="H9" s="30"/>
      <c r="I9" s="30"/>
      <c r="J9" s="30"/>
      <c r="K9" s="30"/>
      <c r="L9" s="30"/>
      <c r="M9" s="87"/>
      <c r="N9" s="88"/>
      <c r="O9" s="25"/>
      <c r="P9" s="25"/>
      <c r="Q9" s="25"/>
      <c r="R9" s="25"/>
      <c r="S9" s="25"/>
    </row>
    <row r="10" spans="1:19" s="94" customFormat="1" ht="15.75" x14ac:dyDescent="0.25">
      <c r="A10" s="24"/>
      <c r="B10" s="24"/>
      <c r="C10" s="32">
        <v>104.291</v>
      </c>
      <c r="D10" s="32" t="s">
        <v>11</v>
      </c>
      <c r="E10" s="26"/>
      <c r="F10" s="33"/>
      <c r="G10" s="210"/>
      <c r="H10" s="26"/>
      <c r="I10" s="26"/>
      <c r="J10" s="26"/>
      <c r="K10" s="26"/>
      <c r="L10" s="26"/>
      <c r="M10" s="34"/>
      <c r="N10" s="32"/>
      <c r="O10" s="44"/>
    </row>
    <row r="11" spans="1:19" s="94" customFormat="1" ht="15.75" x14ac:dyDescent="0.25">
      <c r="A11" s="24"/>
      <c r="B11" s="24"/>
      <c r="C11" s="32" t="s">
        <v>2346</v>
      </c>
      <c r="D11" s="32">
        <v>0</v>
      </c>
      <c r="E11" s="26"/>
      <c r="F11" s="33"/>
      <c r="G11" s="210"/>
      <c r="H11" s="26"/>
      <c r="I11" s="26"/>
      <c r="J11" s="26"/>
      <c r="K11" s="26"/>
      <c r="L11" s="26"/>
      <c r="M11" s="34"/>
      <c r="N11" s="32"/>
      <c r="O11" s="44"/>
    </row>
    <row r="12" spans="1:19" s="90" customFormat="1" ht="37.5" x14ac:dyDescent="0.25">
      <c r="A12" s="82">
        <f ca="1">IF(C12&gt;0,MAX($A$1:OFFSET(A12,-1,0))+0.01,"")</f>
        <v>12.04</v>
      </c>
      <c r="B12" s="27" t="s">
        <v>188</v>
      </c>
      <c r="C12" s="98">
        <v>13.327</v>
      </c>
      <c r="D12" s="29" t="s">
        <v>11</v>
      </c>
      <c r="E12" s="85"/>
      <c r="F12" s="86">
        <f>IF(E12="inc",0,IF(C12="",0,C12*E12))</f>
        <v>0</v>
      </c>
      <c r="G12" s="208"/>
      <c r="H12" s="30"/>
      <c r="I12" s="30"/>
      <c r="J12" s="30"/>
      <c r="K12" s="30"/>
      <c r="L12" s="30"/>
      <c r="M12" s="87"/>
      <c r="N12" s="88"/>
      <c r="O12" s="25"/>
      <c r="P12" s="25"/>
      <c r="Q12" s="25"/>
      <c r="R12" s="25"/>
      <c r="S12" s="25"/>
    </row>
    <row r="13" spans="1:19" s="94" customFormat="1" ht="15.75" x14ac:dyDescent="0.25">
      <c r="A13" s="24"/>
      <c r="B13" s="24"/>
      <c r="C13" s="32">
        <v>13.327</v>
      </c>
      <c r="D13" s="32" t="s">
        <v>11</v>
      </c>
      <c r="E13" s="26"/>
      <c r="F13" s="33"/>
      <c r="G13" s="210"/>
      <c r="H13" s="26"/>
      <c r="I13" s="26"/>
      <c r="J13" s="26"/>
      <c r="K13" s="26"/>
      <c r="L13" s="26"/>
      <c r="M13" s="34"/>
      <c r="N13" s="32"/>
      <c r="O13" s="44"/>
    </row>
    <row r="14" spans="1:19" s="94" customFormat="1" ht="15.75" x14ac:dyDescent="0.25">
      <c r="A14" s="24"/>
      <c r="B14" s="24"/>
      <c r="C14" s="32" t="s">
        <v>2346</v>
      </c>
      <c r="D14" s="32">
        <v>0</v>
      </c>
      <c r="E14" s="26"/>
      <c r="F14" s="33"/>
      <c r="G14" s="210"/>
      <c r="H14" s="26"/>
      <c r="I14" s="26"/>
      <c r="J14" s="26"/>
      <c r="K14" s="26"/>
      <c r="L14" s="26"/>
      <c r="M14" s="34"/>
      <c r="N14" s="32"/>
      <c r="O14" s="44"/>
    </row>
    <row r="15" spans="1:19" s="90" customFormat="1" ht="18.75" x14ac:dyDescent="0.25">
      <c r="A15" s="82">
        <f ca="1">IF(C15&gt;0,MAX($A$1:OFFSET(A15,-1,0))+0.01,"")</f>
        <v>12.049999999999999</v>
      </c>
      <c r="B15" s="27" t="s">
        <v>2315</v>
      </c>
      <c r="C15" s="98">
        <v>109.499</v>
      </c>
      <c r="D15" s="29" t="s">
        <v>15</v>
      </c>
      <c r="E15" s="85"/>
      <c r="F15" s="86">
        <f>IF(E15="inc",0,IF(C15="",0,C15*E15))</f>
        <v>0</v>
      </c>
      <c r="G15" s="208"/>
      <c r="H15" s="30"/>
      <c r="I15" s="30"/>
      <c r="J15" s="30"/>
      <c r="K15" s="30"/>
      <c r="L15" s="30"/>
      <c r="M15" s="87"/>
      <c r="N15" s="88"/>
      <c r="O15" s="25"/>
      <c r="P15" s="25"/>
      <c r="Q15" s="25"/>
      <c r="R15" s="25"/>
      <c r="S15" s="25"/>
    </row>
    <row r="16" spans="1:19" s="94" customFormat="1" ht="15.75" x14ac:dyDescent="0.25">
      <c r="A16" s="24"/>
      <c r="B16" s="24"/>
      <c r="C16" s="32">
        <v>109.499</v>
      </c>
      <c r="D16" s="32" t="s">
        <v>15</v>
      </c>
      <c r="E16" s="26"/>
      <c r="F16" s="33"/>
      <c r="G16" s="210"/>
      <c r="H16" s="25"/>
      <c r="I16" s="25"/>
      <c r="J16" s="25"/>
      <c r="K16" s="25"/>
      <c r="L16" s="25"/>
      <c r="M16" s="34"/>
      <c r="N16" s="32"/>
      <c r="O16" s="44"/>
    </row>
    <row r="17" spans="1:19" s="94" customFormat="1" ht="15.75" x14ac:dyDescent="0.25">
      <c r="A17" s="24"/>
      <c r="B17" s="24"/>
      <c r="C17" s="32" t="s">
        <v>2346</v>
      </c>
      <c r="D17" s="32">
        <v>0</v>
      </c>
      <c r="E17" s="26"/>
      <c r="F17" s="33"/>
      <c r="G17" s="210"/>
      <c r="H17" s="25"/>
      <c r="I17" s="25"/>
      <c r="J17" s="25"/>
      <c r="K17" s="25"/>
      <c r="L17" s="25"/>
      <c r="M17" s="34"/>
      <c r="N17" s="32"/>
      <c r="O17" s="44"/>
    </row>
    <row r="18" spans="1:19" s="90" customFormat="1" ht="18.75" x14ac:dyDescent="0.25">
      <c r="A18" s="82">
        <f ca="1">IF(C18&gt;0,MAX($A$1:OFFSET(A18,-1,0))+0.01,"")</f>
        <v>12.059999999999999</v>
      </c>
      <c r="B18" s="27" t="s">
        <v>285</v>
      </c>
      <c r="C18" s="98">
        <v>169.28299999999999</v>
      </c>
      <c r="D18" s="29" t="s">
        <v>11</v>
      </c>
      <c r="E18" s="85"/>
      <c r="F18" s="86">
        <f>IF(E18="inc",0,IF(C18="",0,C18*E18))</f>
        <v>0</v>
      </c>
      <c r="G18" s="208"/>
      <c r="H18" s="30"/>
      <c r="I18" s="30"/>
      <c r="J18" s="30"/>
      <c r="K18" s="30"/>
      <c r="L18" s="30"/>
      <c r="M18" s="87"/>
      <c r="N18" s="88"/>
      <c r="O18" s="25"/>
      <c r="P18" s="25"/>
      <c r="Q18" s="25"/>
      <c r="R18" s="25"/>
      <c r="S18" s="25"/>
    </row>
    <row r="19" spans="1:19" s="94" customFormat="1" ht="15.75" x14ac:dyDescent="0.25">
      <c r="A19" s="24"/>
      <c r="B19" s="24" t="s">
        <v>306</v>
      </c>
      <c r="C19" s="32">
        <v>169.28299999999999</v>
      </c>
      <c r="D19" s="32" t="s">
        <v>11</v>
      </c>
      <c r="E19" s="26"/>
      <c r="F19" s="33"/>
      <c r="G19" s="210"/>
      <c r="H19" s="25"/>
      <c r="I19" s="25"/>
      <c r="J19" s="25"/>
      <c r="K19" s="25"/>
      <c r="L19" s="25"/>
      <c r="M19" s="34"/>
      <c r="N19" s="32"/>
      <c r="O19" s="44"/>
    </row>
    <row r="20" spans="1:19" s="94" customFormat="1" ht="15.75" x14ac:dyDescent="0.25">
      <c r="A20" s="24"/>
      <c r="B20" s="24"/>
      <c r="C20" s="32" t="s">
        <v>2346</v>
      </c>
      <c r="D20" s="32">
        <v>0</v>
      </c>
      <c r="E20" s="26"/>
      <c r="F20" s="33"/>
      <c r="G20" s="210"/>
      <c r="H20" s="25"/>
      <c r="I20" s="25"/>
      <c r="J20" s="25"/>
      <c r="K20" s="25"/>
      <c r="L20" s="25"/>
      <c r="M20" s="34"/>
      <c r="N20" s="32"/>
      <c r="O20" s="44"/>
    </row>
    <row r="21" spans="1:19" s="90" customFormat="1" ht="18.75" x14ac:dyDescent="0.25">
      <c r="A21" s="82">
        <f ca="1">IF(C21&gt;0,MAX($A$1:OFFSET(A21,-1,0))+0.01,"")</f>
        <v>12.069999999999999</v>
      </c>
      <c r="B21" s="27" t="s">
        <v>194</v>
      </c>
      <c r="C21" s="98">
        <v>117.61799999999999</v>
      </c>
      <c r="D21" s="29" t="s">
        <v>11</v>
      </c>
      <c r="E21" s="85"/>
      <c r="F21" s="86">
        <f>IF(E21="inc",0,IF(C21="",0,C21*E21))</f>
        <v>0</v>
      </c>
      <c r="G21" s="208"/>
      <c r="H21" s="30"/>
      <c r="I21" s="30"/>
      <c r="J21" s="30"/>
      <c r="K21" s="30"/>
      <c r="L21" s="30"/>
      <c r="M21" s="87"/>
      <c r="N21" s="88"/>
      <c r="O21" s="25"/>
      <c r="P21" s="25"/>
      <c r="Q21" s="25"/>
      <c r="R21" s="25"/>
      <c r="S21" s="25"/>
    </row>
    <row r="22" spans="1:19" s="94" customFormat="1" ht="15.75" x14ac:dyDescent="0.25">
      <c r="A22" s="24"/>
      <c r="B22" s="24" t="s">
        <v>303</v>
      </c>
      <c r="C22" s="32">
        <v>117.61799999999999</v>
      </c>
      <c r="D22" s="32" t="s">
        <v>11</v>
      </c>
      <c r="E22" s="26"/>
      <c r="F22" s="33"/>
      <c r="G22" s="210"/>
      <c r="H22" s="25"/>
      <c r="I22" s="25"/>
      <c r="J22" s="25"/>
      <c r="K22" s="25"/>
      <c r="L22" s="25"/>
      <c r="M22" s="34"/>
      <c r="N22" s="32"/>
      <c r="O22" s="44"/>
    </row>
    <row r="23" spans="1:19" s="94" customFormat="1" ht="15.75" x14ac:dyDescent="0.25">
      <c r="A23" s="24"/>
      <c r="B23" s="24"/>
      <c r="C23" s="32" t="s">
        <v>2346</v>
      </c>
      <c r="D23" s="32">
        <v>0</v>
      </c>
      <c r="E23" s="26"/>
      <c r="F23" s="33"/>
      <c r="G23" s="210"/>
      <c r="H23" s="25"/>
      <c r="I23" s="25"/>
      <c r="J23" s="25"/>
      <c r="K23" s="25"/>
      <c r="L23" s="25"/>
      <c r="M23" s="34"/>
      <c r="N23" s="32"/>
      <c r="O23" s="44"/>
    </row>
    <row r="24" spans="1:19" s="90" customFormat="1" ht="37.5" x14ac:dyDescent="0.25">
      <c r="A24" s="82">
        <f ca="1">IF(C24&gt;0,MAX($A$1:OFFSET(A24,-1,0))+0.01,"")</f>
        <v>12.079999999999998</v>
      </c>
      <c r="B24" s="27" t="s">
        <v>517</v>
      </c>
      <c r="C24" s="98">
        <v>12.231999999999999</v>
      </c>
      <c r="D24" s="29" t="s">
        <v>11</v>
      </c>
      <c r="E24" s="85"/>
      <c r="F24" s="86">
        <f>IF(E24="inc",0,IF(C24="",0,C24*E24))</f>
        <v>0</v>
      </c>
      <c r="G24" s="208"/>
      <c r="H24" s="30"/>
      <c r="I24" s="30"/>
      <c r="J24" s="30"/>
      <c r="K24" s="30"/>
      <c r="L24" s="30"/>
      <c r="M24" s="87"/>
      <c r="N24" s="88"/>
      <c r="O24" s="25"/>
      <c r="P24" s="25"/>
      <c r="Q24" s="25"/>
      <c r="R24" s="25"/>
      <c r="S24" s="25"/>
    </row>
    <row r="25" spans="1:19" s="94" customFormat="1" ht="15.75" x14ac:dyDescent="0.25">
      <c r="A25" s="24"/>
      <c r="B25" s="24"/>
      <c r="C25" s="32">
        <v>12.231999999999999</v>
      </c>
      <c r="D25" s="32" t="s">
        <v>11</v>
      </c>
      <c r="E25" s="26"/>
      <c r="F25" s="33"/>
      <c r="G25" s="210"/>
      <c r="H25" s="25"/>
      <c r="I25" s="25"/>
      <c r="J25" s="25"/>
      <c r="K25" s="25"/>
      <c r="L25" s="25"/>
      <c r="M25" s="34"/>
      <c r="N25" s="32"/>
      <c r="O25" s="44"/>
    </row>
    <row r="26" spans="1:19" s="94" customFormat="1" ht="15.75" x14ac:dyDescent="0.25">
      <c r="A26" s="24"/>
      <c r="B26" s="24"/>
      <c r="C26" s="32" t="s">
        <v>2346</v>
      </c>
      <c r="D26" s="32">
        <v>0</v>
      </c>
      <c r="E26" s="26"/>
      <c r="F26" s="33"/>
      <c r="G26" s="210"/>
      <c r="H26" s="25"/>
      <c r="I26" s="25"/>
      <c r="J26" s="25"/>
      <c r="K26" s="25"/>
      <c r="L26" s="25"/>
      <c r="M26" s="34"/>
      <c r="N26" s="32"/>
      <c r="O26" s="44"/>
    </row>
    <row r="27" spans="1:19" s="90" customFormat="1" ht="18.75" x14ac:dyDescent="0.25">
      <c r="A27" s="82">
        <f ca="1">IF(C27&gt;0,MAX($A$1:OFFSET(A27,-1,0))+0.01,"")</f>
        <v>12.089999999999998</v>
      </c>
      <c r="B27" s="27" t="s">
        <v>675</v>
      </c>
      <c r="C27" s="98">
        <v>117.61799999999999</v>
      </c>
      <c r="D27" s="29" t="s">
        <v>11</v>
      </c>
      <c r="E27" s="85"/>
      <c r="F27" s="86">
        <f>IF(E27="inc",0,IF(C27="",0,C27*E27))</f>
        <v>0</v>
      </c>
      <c r="G27" s="208"/>
      <c r="H27" s="30"/>
      <c r="I27" s="30"/>
      <c r="J27" s="30"/>
      <c r="K27" s="30"/>
      <c r="L27" s="30"/>
      <c r="M27" s="87"/>
      <c r="N27" s="88"/>
      <c r="O27" s="25"/>
      <c r="P27" s="25"/>
      <c r="Q27" s="25"/>
      <c r="R27" s="25"/>
      <c r="S27" s="25"/>
    </row>
    <row r="28" spans="1:19" s="94" customFormat="1" ht="15.75" x14ac:dyDescent="0.25">
      <c r="A28" s="24"/>
      <c r="B28" s="24" t="s">
        <v>513</v>
      </c>
      <c r="C28" s="32">
        <v>117.61799999999999</v>
      </c>
      <c r="D28" s="32" t="s">
        <v>11</v>
      </c>
      <c r="E28" s="26"/>
      <c r="F28" s="33"/>
      <c r="G28" s="210"/>
      <c r="H28" s="25"/>
      <c r="I28" s="25"/>
      <c r="J28" s="25"/>
      <c r="K28" s="25"/>
      <c r="L28" s="25"/>
      <c r="M28" s="34"/>
      <c r="N28" s="32"/>
      <c r="O28" s="44"/>
    </row>
    <row r="29" spans="1:19" s="94" customFormat="1" ht="15.75" x14ac:dyDescent="0.25">
      <c r="A29" s="24"/>
      <c r="B29" s="24"/>
      <c r="C29" s="32" t="s">
        <v>2346</v>
      </c>
      <c r="D29" s="32">
        <v>0</v>
      </c>
      <c r="E29" s="26"/>
      <c r="F29" s="33"/>
      <c r="G29" s="210"/>
      <c r="H29" s="25"/>
      <c r="I29" s="25"/>
      <c r="J29" s="25"/>
      <c r="K29" s="25"/>
      <c r="L29" s="25"/>
      <c r="M29" s="34"/>
      <c r="N29" s="32"/>
      <c r="O29" s="44"/>
    </row>
    <row r="30" spans="1:19" s="90" customFormat="1" ht="18.75" x14ac:dyDescent="0.25">
      <c r="A30" s="82">
        <f ca="1">IF(C30&gt;0,MAX($A$1:OFFSET(A30,-1,0))+0.01,"")</f>
        <v>12.099999999999998</v>
      </c>
      <c r="B30" s="27" t="s">
        <v>197</v>
      </c>
      <c r="C30" s="98">
        <v>12</v>
      </c>
      <c r="D30" s="29" t="s">
        <v>15</v>
      </c>
      <c r="E30" s="85"/>
      <c r="F30" s="86">
        <f>IF(E30="inc",0,IF(C30="",0,C30*E30))</f>
        <v>0</v>
      </c>
      <c r="G30" s="208"/>
      <c r="H30" s="30"/>
      <c r="I30" s="30"/>
      <c r="J30" s="30"/>
      <c r="K30" s="30"/>
      <c r="L30" s="30"/>
      <c r="M30" s="87"/>
      <c r="N30" s="88"/>
      <c r="O30" s="25"/>
      <c r="P30" s="25"/>
      <c r="Q30" s="25"/>
      <c r="R30" s="25"/>
      <c r="S30" s="25"/>
    </row>
    <row r="31" spans="1:19" s="94" customFormat="1" ht="15.75" x14ac:dyDescent="0.25">
      <c r="A31" s="24"/>
      <c r="B31" s="24"/>
      <c r="C31" s="32">
        <v>12</v>
      </c>
      <c r="D31" s="32" t="s">
        <v>15</v>
      </c>
      <c r="E31" s="26"/>
      <c r="F31" s="33"/>
      <c r="G31" s="210"/>
      <c r="H31" s="25"/>
      <c r="I31" s="25"/>
      <c r="J31" s="25"/>
      <c r="K31" s="25"/>
      <c r="L31" s="25"/>
      <c r="M31" s="34"/>
      <c r="N31" s="32"/>
      <c r="O31" s="44"/>
    </row>
    <row r="32" spans="1:19" s="94" customFormat="1" ht="15.75" x14ac:dyDescent="0.25">
      <c r="A32" s="24"/>
      <c r="B32" s="24"/>
      <c r="C32" s="32" t="s">
        <v>2346</v>
      </c>
      <c r="D32" s="32">
        <v>0</v>
      </c>
      <c r="E32" s="26"/>
      <c r="F32" s="33"/>
      <c r="G32" s="210"/>
      <c r="H32" s="25"/>
      <c r="I32" s="25"/>
      <c r="J32" s="25"/>
      <c r="K32" s="25"/>
      <c r="L32" s="25"/>
      <c r="M32" s="34"/>
      <c r="N32" s="32"/>
      <c r="O32" s="44"/>
    </row>
    <row r="33" spans="1:19" s="90" customFormat="1" ht="18.75" x14ac:dyDescent="0.25">
      <c r="A33" s="82">
        <f ca="1">IF(C33&gt;0,MAX($A$1:OFFSET(A33,-1,0))+0.01,"")</f>
        <v>12.109999999999998</v>
      </c>
      <c r="B33" s="27" t="s">
        <v>518</v>
      </c>
      <c r="C33" s="98">
        <v>1</v>
      </c>
      <c r="D33" s="29" t="s">
        <v>5</v>
      </c>
      <c r="E33" s="85"/>
      <c r="F33" s="86">
        <f>IF(E33="inc",0,IF(C33="",0,C33*E33))</f>
        <v>0</v>
      </c>
      <c r="G33" s="208"/>
      <c r="H33" s="30"/>
      <c r="I33" s="30"/>
      <c r="J33" s="30"/>
      <c r="K33" s="30"/>
      <c r="L33" s="30"/>
      <c r="M33" s="87"/>
      <c r="N33" s="88"/>
      <c r="O33" s="25"/>
      <c r="P33" s="25"/>
      <c r="Q33" s="25"/>
      <c r="R33" s="25"/>
      <c r="S33" s="25"/>
    </row>
    <row r="34" spans="1:19" s="94" customFormat="1" ht="15.75" x14ac:dyDescent="0.25">
      <c r="A34" s="24"/>
      <c r="B34" s="24" t="s">
        <v>518</v>
      </c>
      <c r="C34" s="32">
        <v>1</v>
      </c>
      <c r="D34" s="32" t="s">
        <v>5</v>
      </c>
      <c r="E34" s="26"/>
      <c r="F34" s="33"/>
      <c r="G34" s="210"/>
      <c r="H34" s="25"/>
      <c r="I34" s="25"/>
      <c r="J34" s="25"/>
      <c r="K34" s="25"/>
      <c r="L34" s="25"/>
      <c r="M34" s="34"/>
      <c r="N34" s="32"/>
      <c r="O34" s="44"/>
    </row>
    <row r="35" spans="1:19" s="94" customFormat="1" ht="15.75" x14ac:dyDescent="0.25">
      <c r="A35" s="24"/>
      <c r="B35" s="24"/>
      <c r="C35" s="32" t="s">
        <v>2346</v>
      </c>
      <c r="D35" s="32">
        <v>0</v>
      </c>
      <c r="E35" s="26"/>
      <c r="F35" s="33"/>
      <c r="G35" s="210"/>
      <c r="H35" s="25"/>
      <c r="I35" s="25"/>
      <c r="J35" s="25"/>
      <c r="K35" s="25"/>
      <c r="L35" s="25"/>
      <c r="M35" s="34"/>
      <c r="N35" s="32"/>
      <c r="O35" s="44"/>
    </row>
    <row r="36" spans="1:19" s="90" customFormat="1" ht="18.75" x14ac:dyDescent="0.25">
      <c r="A36" s="82">
        <f ca="1">IF(C36&gt;0,MAX($A$1:OFFSET(A36,-1,0))+0.01,"")</f>
        <v>12.119999999999997</v>
      </c>
      <c r="B36" s="27" t="s">
        <v>560</v>
      </c>
      <c r="C36" s="98">
        <v>124.104</v>
      </c>
      <c r="D36" s="29" t="s">
        <v>15</v>
      </c>
      <c r="E36" s="85"/>
      <c r="F36" s="86">
        <f>IF(E36="inc",0,IF(C36="",0,C36*E36))</f>
        <v>0</v>
      </c>
      <c r="G36" s="208"/>
      <c r="H36" s="30"/>
      <c r="I36" s="30"/>
      <c r="J36" s="30"/>
      <c r="K36" s="30"/>
      <c r="L36" s="30"/>
      <c r="M36" s="87"/>
      <c r="N36" s="88"/>
      <c r="O36" s="25"/>
      <c r="P36" s="25"/>
      <c r="Q36" s="25"/>
      <c r="R36" s="25"/>
      <c r="S36" s="25"/>
    </row>
    <row r="37" spans="1:19" s="94" customFormat="1" ht="15.75" x14ac:dyDescent="0.25">
      <c r="A37" s="24"/>
      <c r="B37" s="24"/>
      <c r="C37" s="32">
        <v>124.104</v>
      </c>
      <c r="D37" s="32" t="s">
        <v>15</v>
      </c>
      <c r="E37" s="26"/>
      <c r="F37" s="33"/>
      <c r="G37" s="210"/>
      <c r="H37" s="25"/>
      <c r="I37" s="25"/>
      <c r="J37" s="25"/>
      <c r="K37" s="25"/>
      <c r="L37" s="25"/>
      <c r="M37" s="34"/>
      <c r="N37" s="32"/>
      <c r="O37" s="44"/>
    </row>
    <row r="38" spans="1:19" s="94" customFormat="1" ht="15.75" x14ac:dyDescent="0.25">
      <c r="A38" s="24"/>
      <c r="B38" s="24"/>
      <c r="C38" s="32" t="s">
        <v>2346</v>
      </c>
      <c r="D38" s="32">
        <v>0</v>
      </c>
      <c r="E38" s="26"/>
      <c r="F38" s="33"/>
      <c r="G38" s="210"/>
      <c r="H38" s="25"/>
      <c r="I38" s="25"/>
      <c r="J38" s="25"/>
      <c r="K38" s="25"/>
      <c r="L38" s="25"/>
      <c r="M38" s="34"/>
      <c r="N38" s="32"/>
      <c r="O38" s="44"/>
    </row>
    <row r="39" spans="1:19" s="79" customFormat="1" ht="21.75" thickBot="1" x14ac:dyDescent="0.4">
      <c r="A39" s="99"/>
      <c r="B39" s="394" t="s">
        <v>4</v>
      </c>
      <c r="C39" s="395"/>
      <c r="D39" s="396"/>
      <c r="E39" s="100"/>
      <c r="F39" s="101">
        <f ca="1">SUM(F$2:OFFSET(F39,-1,0))</f>
        <v>0</v>
      </c>
      <c r="G39" s="210"/>
      <c r="H39" s="100"/>
      <c r="I39" s="100"/>
      <c r="J39" s="100"/>
      <c r="K39" s="100"/>
      <c r="L39" s="100"/>
      <c r="M39" s="102"/>
      <c r="N39" s="103"/>
    </row>
    <row r="40" spans="1:19" s="94" customFormat="1" ht="15.75" x14ac:dyDescent="0.25">
      <c r="A40" s="105"/>
      <c r="B40" s="25"/>
      <c r="C40" s="106"/>
      <c r="D40" s="32"/>
      <c r="E40" s="92"/>
      <c r="F40" s="107"/>
      <c r="G40" s="212"/>
      <c r="H40" s="25"/>
      <c r="I40" s="25"/>
      <c r="J40" s="25"/>
      <c r="K40" s="25"/>
      <c r="L40" s="25"/>
      <c r="M40" s="88"/>
      <c r="N40" s="88"/>
    </row>
    <row r="41" spans="1:19" x14ac:dyDescent="0.25">
      <c r="C41" s="106"/>
    </row>
    <row r="42" spans="1:19" ht="15.75" x14ac:dyDescent="0.25">
      <c r="A42" s="117"/>
      <c r="B42" s="117"/>
      <c r="C42" s="119"/>
      <c r="D42" s="118"/>
      <c r="E42" s="117"/>
      <c r="F42" s="120"/>
      <c r="M42" s="121"/>
    </row>
    <row r="43" spans="1:19" ht="15.75" x14ac:dyDescent="0.25">
      <c r="A43" s="117"/>
      <c r="B43" s="117"/>
      <c r="C43" s="119"/>
      <c r="D43" s="118"/>
      <c r="E43" s="117"/>
      <c r="F43" s="120"/>
      <c r="M43" s="121"/>
    </row>
    <row r="44" spans="1:19" ht="15.75" x14ac:dyDescent="0.25">
      <c r="A44" s="117"/>
      <c r="B44" s="117"/>
      <c r="C44" s="119"/>
      <c r="D44" s="118"/>
      <c r="E44" s="117"/>
      <c r="F44" s="120" t="e">
        <f ca="1">F39-#REF!</f>
        <v>#REF!</v>
      </c>
      <c r="M44" s="121"/>
    </row>
    <row r="45" spans="1:19" ht="15.75" x14ac:dyDescent="0.25">
      <c r="A45" s="117"/>
      <c r="B45" s="117"/>
      <c r="C45" s="119"/>
      <c r="D45" s="118"/>
      <c r="E45" s="117"/>
      <c r="F45" s="120"/>
      <c r="M45" s="121"/>
    </row>
    <row r="46" spans="1:19" s="110" customFormat="1" ht="15.75" x14ac:dyDescent="0.25">
      <c r="A46" s="117"/>
      <c r="B46" s="117"/>
      <c r="C46" s="119"/>
      <c r="D46" s="118"/>
      <c r="E46" s="117"/>
      <c r="F46" s="120"/>
      <c r="G46" s="212"/>
      <c r="H46" s="25"/>
      <c r="I46" s="25"/>
      <c r="J46" s="25"/>
      <c r="K46" s="25"/>
      <c r="L46" s="25"/>
      <c r="M46" s="121"/>
      <c r="N46" s="88"/>
      <c r="O46" s="25"/>
      <c r="P46" s="25"/>
      <c r="Q46" s="25"/>
      <c r="R46" s="25"/>
      <c r="S46" s="25"/>
    </row>
    <row r="47" spans="1:19" ht="15.75" x14ac:dyDescent="0.25">
      <c r="A47" s="117"/>
    </row>
    <row r="48" spans="1:19" s="110" customFormat="1" ht="15.75" x14ac:dyDescent="0.25">
      <c r="A48" s="117"/>
      <c r="G48" s="212"/>
      <c r="H48" s="25"/>
      <c r="I48" s="25"/>
      <c r="J48" s="25"/>
      <c r="K48" s="25"/>
      <c r="L48" s="25"/>
      <c r="O48" s="25"/>
      <c r="P48" s="25"/>
      <c r="Q48" s="25"/>
      <c r="R48" s="25"/>
      <c r="S48" s="25"/>
    </row>
    <row r="49" spans="1:1" ht="15.75" x14ac:dyDescent="0.25">
      <c r="A49" s="117"/>
    </row>
    <row r="50" spans="1:1" ht="15.75" x14ac:dyDescent="0.25">
      <c r="A50" s="117"/>
    </row>
    <row r="51" spans="1:1" ht="15.75" x14ac:dyDescent="0.25">
      <c r="A51" s="117"/>
    </row>
    <row r="52" spans="1:1" ht="15.75" x14ac:dyDescent="0.25">
      <c r="A52" s="117"/>
    </row>
    <row r="53" spans="1:1" ht="15.75" x14ac:dyDescent="0.25">
      <c r="A53" s="117"/>
    </row>
    <row r="54" spans="1:1" ht="15.75" x14ac:dyDescent="0.25">
      <c r="A54" s="117"/>
    </row>
    <row r="55" spans="1:1" ht="15.75" x14ac:dyDescent="0.25">
      <c r="A55" s="117"/>
    </row>
    <row r="56" spans="1:1" ht="15.75" x14ac:dyDescent="0.25">
      <c r="A56" s="117"/>
    </row>
    <row r="57" spans="1:1" ht="15.75" x14ac:dyDescent="0.25">
      <c r="A57" s="117"/>
    </row>
    <row r="58" spans="1:1" ht="15.75" x14ac:dyDescent="0.25">
      <c r="A58" s="117"/>
    </row>
    <row r="59" spans="1:1" ht="15.75" x14ac:dyDescent="0.25">
      <c r="A59" s="117"/>
    </row>
    <row r="60" spans="1:1" ht="15.75" x14ac:dyDescent="0.25">
      <c r="A60" s="117"/>
    </row>
    <row r="61" spans="1:1" ht="15.75" x14ac:dyDescent="0.25">
      <c r="A61" s="117"/>
    </row>
    <row r="62" spans="1:1" ht="15.75" x14ac:dyDescent="0.25">
      <c r="A62" s="117"/>
    </row>
    <row r="63" spans="1:1" ht="15.75" x14ac:dyDescent="0.25">
      <c r="A63" s="117"/>
    </row>
    <row r="64" spans="1:1" ht="15.75" x14ac:dyDescent="0.25">
      <c r="A64" s="117"/>
    </row>
    <row r="65" spans="1:1" ht="15.75" x14ac:dyDescent="0.25">
      <c r="A65" s="117"/>
    </row>
    <row r="66" spans="1:1" ht="15.75" x14ac:dyDescent="0.25">
      <c r="A66" s="117"/>
    </row>
    <row r="67" spans="1:1" ht="15.75" x14ac:dyDescent="0.25">
      <c r="A67" s="117"/>
    </row>
    <row r="68" spans="1:1" ht="15.75" x14ac:dyDescent="0.25">
      <c r="A68" s="117"/>
    </row>
    <row r="69" spans="1:1" ht="15.75" x14ac:dyDescent="0.25">
      <c r="A69" s="117"/>
    </row>
    <row r="70" spans="1:1" ht="15.75" x14ac:dyDescent="0.25">
      <c r="A70" s="117"/>
    </row>
    <row r="71" spans="1:1" ht="15.75" x14ac:dyDescent="0.25">
      <c r="A71" s="117"/>
    </row>
    <row r="72" spans="1:1" ht="15.75" x14ac:dyDescent="0.25">
      <c r="A72" s="117"/>
    </row>
    <row r="73" spans="1:1" ht="15.75" x14ac:dyDescent="0.25">
      <c r="A73" s="117"/>
    </row>
    <row r="74" spans="1:1" ht="15.75" x14ac:dyDescent="0.25">
      <c r="A74" s="117"/>
    </row>
    <row r="75" spans="1:1" ht="15.75" x14ac:dyDescent="0.25">
      <c r="A75" s="117"/>
    </row>
    <row r="76" spans="1:1" ht="15.75" x14ac:dyDescent="0.25">
      <c r="A76" s="117"/>
    </row>
    <row r="77" spans="1:1" ht="15.75" x14ac:dyDescent="0.25">
      <c r="A77" s="117"/>
    </row>
    <row r="78" spans="1:1" ht="15.75" x14ac:dyDescent="0.25">
      <c r="A78" s="117"/>
    </row>
    <row r="79" spans="1:1" ht="15.75" x14ac:dyDescent="0.25">
      <c r="A79" s="117"/>
    </row>
    <row r="80" spans="1:1" ht="15.75" x14ac:dyDescent="0.25">
      <c r="A80" s="117"/>
    </row>
    <row r="81" spans="1:19" ht="15.75" x14ac:dyDescent="0.25">
      <c r="A81" s="117"/>
    </row>
    <row r="82" spans="1:19" ht="15.75" x14ac:dyDescent="0.25">
      <c r="A82" s="117"/>
    </row>
    <row r="83" spans="1:19" ht="15.75" x14ac:dyDescent="0.25">
      <c r="A83" s="117"/>
    </row>
    <row r="84" spans="1:19" ht="15.75" x14ac:dyDescent="0.25">
      <c r="A84" s="117"/>
    </row>
    <row r="85" spans="1:19" ht="15.75" x14ac:dyDescent="0.25">
      <c r="A85" s="117"/>
    </row>
    <row r="86" spans="1:19" ht="15.75" x14ac:dyDescent="0.25">
      <c r="A86" s="117"/>
    </row>
    <row r="87" spans="1:19" ht="15.75" x14ac:dyDescent="0.25">
      <c r="A87" s="117"/>
    </row>
    <row r="88" spans="1:19" ht="15.75" x14ac:dyDescent="0.25">
      <c r="A88" s="117"/>
    </row>
    <row r="89" spans="1:19" ht="15.75" x14ac:dyDescent="0.25">
      <c r="A89" s="117"/>
    </row>
    <row r="90" spans="1:19" ht="15.75" x14ac:dyDescent="0.25">
      <c r="A90" s="117"/>
    </row>
    <row r="91" spans="1:19" ht="15.75" x14ac:dyDescent="0.25">
      <c r="A91" s="117"/>
    </row>
    <row r="92" spans="1:19" ht="15.75" x14ac:dyDescent="0.25">
      <c r="A92" s="117"/>
    </row>
    <row r="93" spans="1:19" ht="15.75" x14ac:dyDescent="0.25">
      <c r="A93" s="117"/>
    </row>
    <row r="94" spans="1:19" s="110" customFormat="1" ht="15.75" x14ac:dyDescent="0.25">
      <c r="A94" s="117"/>
      <c r="G94" s="212"/>
      <c r="H94" s="25"/>
      <c r="I94" s="25"/>
      <c r="J94" s="25"/>
      <c r="K94" s="25"/>
      <c r="L94" s="25"/>
      <c r="O94" s="25"/>
      <c r="P94" s="25"/>
      <c r="Q94" s="25"/>
      <c r="R94" s="25"/>
      <c r="S94" s="25"/>
    </row>
    <row r="95" spans="1:19" ht="15.75" x14ac:dyDescent="0.25">
      <c r="A95" s="117"/>
    </row>
    <row r="96" spans="1:19" ht="15.75" x14ac:dyDescent="0.25">
      <c r="A96" s="117"/>
    </row>
    <row r="97" spans="1:1" ht="15.75" x14ac:dyDescent="0.25">
      <c r="A97" s="117"/>
    </row>
    <row r="98" spans="1:1" ht="15.75" x14ac:dyDescent="0.25">
      <c r="A98" s="117"/>
    </row>
    <row r="99" spans="1:1" ht="15.75" x14ac:dyDescent="0.25">
      <c r="A99" s="117"/>
    </row>
    <row r="100" spans="1:1" ht="15.75" x14ac:dyDescent="0.25">
      <c r="A100" s="117"/>
    </row>
    <row r="101" spans="1:1" ht="15.75" x14ac:dyDescent="0.25">
      <c r="A101" s="117"/>
    </row>
    <row r="102" spans="1:1" ht="15.75" x14ac:dyDescent="0.25">
      <c r="A102" s="117"/>
    </row>
    <row r="103" spans="1:1" ht="15.75" x14ac:dyDescent="0.25">
      <c r="A103" s="117"/>
    </row>
    <row r="104" spans="1:1" ht="15.75" x14ac:dyDescent="0.25">
      <c r="A104" s="117"/>
    </row>
    <row r="105" spans="1:1" ht="15.75" x14ac:dyDescent="0.25">
      <c r="A105" s="117"/>
    </row>
    <row r="106" spans="1:1" ht="15.75" x14ac:dyDescent="0.25">
      <c r="A106" s="117"/>
    </row>
    <row r="107" spans="1:1" ht="15.75" x14ac:dyDescent="0.25">
      <c r="A107" s="117"/>
    </row>
    <row r="108" spans="1:1" ht="15.75" x14ac:dyDescent="0.25">
      <c r="A108" s="117"/>
    </row>
    <row r="109" spans="1:1" ht="15.75" x14ac:dyDescent="0.25">
      <c r="A109" s="117"/>
    </row>
    <row r="110" spans="1:1" ht="15.75" x14ac:dyDescent="0.25">
      <c r="A110" s="117"/>
    </row>
    <row r="111" spans="1:1" ht="15.75" x14ac:dyDescent="0.25">
      <c r="A111" s="117"/>
    </row>
    <row r="112" spans="1:1" ht="15.75" x14ac:dyDescent="0.25">
      <c r="A112" s="117"/>
    </row>
    <row r="113" spans="1:1" ht="15.75" x14ac:dyDescent="0.25">
      <c r="A113" s="117"/>
    </row>
    <row r="114" spans="1:1" ht="15.75" x14ac:dyDescent="0.25">
      <c r="A114" s="117"/>
    </row>
    <row r="115" spans="1:1" ht="15.75" x14ac:dyDescent="0.25">
      <c r="A115" s="117"/>
    </row>
    <row r="116" spans="1:1" ht="15.75" x14ac:dyDescent="0.25">
      <c r="A116" s="117"/>
    </row>
    <row r="117" spans="1:1" ht="15.75" x14ac:dyDescent="0.25">
      <c r="A117" s="117"/>
    </row>
    <row r="118" spans="1:1" ht="15.75" x14ac:dyDescent="0.25">
      <c r="A118" s="117"/>
    </row>
    <row r="119" spans="1:1" ht="15.75" x14ac:dyDescent="0.25">
      <c r="A119" s="117"/>
    </row>
    <row r="120" spans="1:1" ht="15.75" x14ac:dyDescent="0.25">
      <c r="A120" s="117"/>
    </row>
    <row r="121" spans="1:1" ht="15.75" x14ac:dyDescent="0.25">
      <c r="A121" s="117"/>
    </row>
    <row r="122" spans="1:1" ht="15.75" x14ac:dyDescent="0.25">
      <c r="A122" s="117"/>
    </row>
    <row r="123" spans="1:1" ht="15.75" x14ac:dyDescent="0.25">
      <c r="A123" s="117"/>
    </row>
    <row r="124" spans="1:1" ht="15.75" x14ac:dyDescent="0.25">
      <c r="A124" s="117"/>
    </row>
    <row r="125" spans="1:1" ht="15.75" x14ac:dyDescent="0.25">
      <c r="A125" s="117"/>
    </row>
    <row r="126" spans="1:1" ht="15.75" x14ac:dyDescent="0.25">
      <c r="A126" s="117"/>
    </row>
    <row r="127" spans="1:1" ht="15.75" x14ac:dyDescent="0.25">
      <c r="A127" s="117"/>
    </row>
    <row r="128" spans="1:1" ht="15.75" x14ac:dyDescent="0.25">
      <c r="A128" s="117"/>
    </row>
    <row r="129" spans="1:19" ht="15.75" x14ac:dyDescent="0.25">
      <c r="A129" s="117"/>
    </row>
    <row r="130" spans="1:19" ht="15.75" x14ac:dyDescent="0.25">
      <c r="A130" s="117"/>
    </row>
    <row r="131" spans="1:19" ht="15.75" x14ac:dyDescent="0.25">
      <c r="A131" s="117"/>
    </row>
    <row r="132" spans="1:19" ht="15.75" x14ac:dyDescent="0.25">
      <c r="A132" s="117"/>
    </row>
    <row r="133" spans="1:19" ht="15.75" x14ac:dyDescent="0.25">
      <c r="A133" s="117"/>
    </row>
    <row r="134" spans="1:19" ht="15.75" x14ac:dyDescent="0.25">
      <c r="A134" s="117"/>
    </row>
    <row r="135" spans="1:19" ht="15.75" x14ac:dyDescent="0.25">
      <c r="A135" s="117"/>
    </row>
    <row r="136" spans="1:19" ht="15.75" x14ac:dyDescent="0.25">
      <c r="A136" s="117"/>
    </row>
    <row r="137" spans="1:19" ht="15.75" x14ac:dyDescent="0.25">
      <c r="A137" s="117"/>
    </row>
    <row r="138" spans="1:19" ht="15.75" x14ac:dyDescent="0.25">
      <c r="A138" s="117"/>
    </row>
    <row r="139" spans="1:19" ht="15.75" x14ac:dyDescent="0.25">
      <c r="A139" s="117"/>
    </row>
    <row r="140" spans="1:19" s="110" customFormat="1" ht="15.75" x14ac:dyDescent="0.25">
      <c r="A140" s="117"/>
      <c r="G140" s="212"/>
      <c r="H140" s="25"/>
      <c r="I140" s="25"/>
      <c r="J140" s="25"/>
      <c r="K140" s="25"/>
      <c r="L140" s="25"/>
      <c r="O140" s="25"/>
      <c r="P140" s="25"/>
      <c r="Q140" s="25"/>
      <c r="R140" s="25"/>
      <c r="S140" s="25"/>
    </row>
    <row r="141" spans="1:19" ht="15.75" x14ac:dyDescent="0.25">
      <c r="A141" s="117"/>
    </row>
    <row r="142" spans="1:19" ht="15.75" x14ac:dyDescent="0.25">
      <c r="A142" s="117"/>
    </row>
    <row r="143" spans="1:19" ht="15.75" x14ac:dyDescent="0.25">
      <c r="A143" s="117"/>
    </row>
    <row r="144" spans="1:19" ht="15.75" x14ac:dyDescent="0.25">
      <c r="A144" s="117"/>
    </row>
    <row r="145" spans="1:1" ht="15.75" x14ac:dyDescent="0.25">
      <c r="A145" s="117"/>
    </row>
    <row r="146" spans="1:1" ht="15.75" x14ac:dyDescent="0.25">
      <c r="A146" s="117"/>
    </row>
    <row r="147" spans="1:1" ht="15.75" x14ac:dyDescent="0.25">
      <c r="A147" s="117"/>
    </row>
    <row r="148" spans="1:1" ht="15.75" x14ac:dyDescent="0.25">
      <c r="A148" s="117"/>
    </row>
    <row r="149" spans="1:1" ht="15.75" x14ac:dyDescent="0.25">
      <c r="A149" s="117"/>
    </row>
    <row r="150" spans="1:1" ht="15.75" x14ac:dyDescent="0.25">
      <c r="A150" s="117"/>
    </row>
    <row r="151" spans="1:1" ht="15.75" x14ac:dyDescent="0.25">
      <c r="A151" s="117"/>
    </row>
    <row r="152" spans="1:1" ht="15.75" x14ac:dyDescent="0.25">
      <c r="A152" s="117"/>
    </row>
    <row r="153" spans="1:1" ht="15.75" x14ac:dyDescent="0.25">
      <c r="A153" s="117"/>
    </row>
    <row r="154" spans="1:1" ht="15.75" x14ac:dyDescent="0.25">
      <c r="A154" s="117"/>
    </row>
    <row r="155" spans="1:1" ht="15.75" x14ac:dyDescent="0.25">
      <c r="A155" s="117"/>
    </row>
    <row r="156" spans="1:1" ht="15.75" x14ac:dyDescent="0.25">
      <c r="A156" s="117"/>
    </row>
    <row r="157" spans="1:1" ht="15.75" x14ac:dyDescent="0.25">
      <c r="A157" s="117"/>
    </row>
    <row r="158" spans="1:1" ht="15.75" x14ac:dyDescent="0.25">
      <c r="A158" s="117"/>
    </row>
    <row r="159" spans="1:1" ht="15.75" x14ac:dyDescent="0.25">
      <c r="A159" s="117"/>
    </row>
    <row r="160" spans="1:1" ht="15.75" x14ac:dyDescent="0.25">
      <c r="A160" s="117"/>
    </row>
    <row r="161" spans="1:1" ht="15.75" x14ac:dyDescent="0.25">
      <c r="A161" s="117"/>
    </row>
    <row r="162" spans="1:1" ht="15.75" x14ac:dyDescent="0.25">
      <c r="A162" s="117"/>
    </row>
    <row r="163" spans="1:1" ht="15.75" x14ac:dyDescent="0.25">
      <c r="A163" s="117"/>
    </row>
    <row r="164" spans="1:1" ht="15.75" x14ac:dyDescent="0.25">
      <c r="A164" s="117"/>
    </row>
    <row r="165" spans="1:1" ht="15.75" x14ac:dyDescent="0.25">
      <c r="A165" s="117"/>
    </row>
    <row r="166" spans="1:1" ht="15.75" x14ac:dyDescent="0.25">
      <c r="A166" s="117"/>
    </row>
    <row r="167" spans="1:1" ht="15.75" x14ac:dyDescent="0.25">
      <c r="A167" s="117"/>
    </row>
    <row r="168" spans="1:1" ht="15.75" x14ac:dyDescent="0.25">
      <c r="A168" s="117"/>
    </row>
    <row r="169" spans="1:1" ht="15.75" x14ac:dyDescent="0.25">
      <c r="A169" s="117"/>
    </row>
    <row r="170" spans="1:1" ht="15.75" x14ac:dyDescent="0.25">
      <c r="A170" s="117"/>
    </row>
    <row r="171" spans="1:1" ht="15.75" x14ac:dyDescent="0.25">
      <c r="A171" s="117"/>
    </row>
    <row r="172" spans="1:1" ht="15.75" x14ac:dyDescent="0.25">
      <c r="A172" s="117"/>
    </row>
    <row r="173" spans="1:1" ht="15.75" x14ac:dyDescent="0.25">
      <c r="A173" s="117"/>
    </row>
    <row r="174" spans="1:1" ht="15.75" x14ac:dyDescent="0.25">
      <c r="A174" s="117"/>
    </row>
    <row r="175" spans="1:1" ht="15.75" x14ac:dyDescent="0.25">
      <c r="A175" s="117"/>
    </row>
    <row r="176" spans="1:1" ht="15.75" x14ac:dyDescent="0.25">
      <c r="A176" s="117"/>
    </row>
    <row r="177" spans="1:19" ht="15.75" x14ac:dyDescent="0.25">
      <c r="A177" s="117"/>
    </row>
    <row r="178" spans="1:19" ht="15.75" x14ac:dyDescent="0.25">
      <c r="A178" s="117"/>
    </row>
    <row r="179" spans="1:19" ht="15.75" x14ac:dyDescent="0.25">
      <c r="A179" s="117"/>
    </row>
    <row r="180" spans="1:19" ht="15.75" x14ac:dyDescent="0.25">
      <c r="A180" s="117"/>
    </row>
    <row r="181" spans="1:19" ht="15.75" x14ac:dyDescent="0.25">
      <c r="A181" s="117"/>
    </row>
    <row r="182" spans="1:19" ht="15.75" x14ac:dyDescent="0.25">
      <c r="A182" s="117"/>
    </row>
    <row r="183" spans="1:19" ht="15.75" x14ac:dyDescent="0.25">
      <c r="A183" s="117"/>
    </row>
    <row r="184" spans="1:19" ht="15.75" x14ac:dyDescent="0.25">
      <c r="A184" s="117"/>
    </row>
    <row r="185" spans="1:19" ht="15.75" x14ac:dyDescent="0.25">
      <c r="A185" s="117"/>
    </row>
    <row r="186" spans="1:19" ht="15.75" x14ac:dyDescent="0.25">
      <c r="A186" s="117"/>
    </row>
    <row r="187" spans="1:19" ht="15.75" x14ac:dyDescent="0.25">
      <c r="A187" s="117"/>
    </row>
    <row r="188" spans="1:19" ht="15.75" x14ac:dyDescent="0.25">
      <c r="A188" s="117"/>
    </row>
    <row r="189" spans="1:19" ht="15.75" x14ac:dyDescent="0.25">
      <c r="A189" s="117"/>
    </row>
    <row r="190" spans="1:19" s="110" customFormat="1" ht="15.75" x14ac:dyDescent="0.25">
      <c r="A190" s="117"/>
      <c r="G190" s="212"/>
      <c r="H190" s="25"/>
      <c r="I190" s="25"/>
      <c r="J190" s="25"/>
      <c r="K190" s="25"/>
      <c r="L190" s="25"/>
      <c r="O190" s="25"/>
      <c r="P190" s="25"/>
      <c r="Q190" s="25"/>
      <c r="R190" s="25"/>
      <c r="S190" s="25"/>
    </row>
    <row r="191" spans="1:19" s="110" customFormat="1" ht="15.75" x14ac:dyDescent="0.25">
      <c r="A191" s="117"/>
      <c r="G191" s="212"/>
      <c r="H191" s="25"/>
      <c r="I191" s="25"/>
      <c r="J191" s="25"/>
      <c r="K191" s="25"/>
      <c r="L191" s="25"/>
      <c r="O191" s="25"/>
      <c r="P191" s="25"/>
      <c r="Q191" s="25"/>
      <c r="R191" s="25"/>
      <c r="S191" s="25"/>
    </row>
    <row r="192" spans="1:19" s="110" customFormat="1" ht="15.75" x14ac:dyDescent="0.25">
      <c r="A192" s="117"/>
      <c r="G192" s="212"/>
      <c r="H192" s="25"/>
      <c r="I192" s="25"/>
      <c r="J192" s="25"/>
      <c r="K192" s="25"/>
      <c r="L192" s="25"/>
      <c r="O192" s="25"/>
      <c r="P192" s="25"/>
      <c r="Q192" s="25"/>
      <c r="R192" s="25"/>
      <c r="S192" s="25"/>
    </row>
    <row r="193" spans="1:19" s="110" customFormat="1" ht="15.75" x14ac:dyDescent="0.25">
      <c r="A193" s="117"/>
      <c r="G193" s="212"/>
      <c r="H193" s="25"/>
      <c r="I193" s="25"/>
      <c r="J193" s="25"/>
      <c r="K193" s="25"/>
      <c r="L193" s="25"/>
      <c r="O193" s="25"/>
      <c r="P193" s="25"/>
      <c r="Q193" s="25"/>
      <c r="R193" s="25"/>
      <c r="S193" s="25"/>
    </row>
    <row r="194" spans="1:19" s="110" customFormat="1" ht="15.75" x14ac:dyDescent="0.25">
      <c r="A194" s="117"/>
      <c r="G194" s="212"/>
      <c r="H194" s="25"/>
      <c r="I194" s="25"/>
      <c r="J194" s="25"/>
      <c r="K194" s="25"/>
      <c r="L194" s="25"/>
      <c r="O194" s="25"/>
      <c r="P194" s="25"/>
      <c r="Q194" s="25"/>
      <c r="R194" s="25"/>
      <c r="S194" s="25"/>
    </row>
    <row r="195" spans="1:19" s="110" customFormat="1" ht="15.75" x14ac:dyDescent="0.25">
      <c r="A195" s="117"/>
      <c r="G195" s="212"/>
      <c r="H195" s="25"/>
      <c r="I195" s="25"/>
      <c r="J195" s="25"/>
      <c r="K195" s="25"/>
      <c r="L195" s="25"/>
      <c r="O195" s="25"/>
      <c r="P195" s="25"/>
      <c r="Q195" s="25"/>
      <c r="R195" s="25"/>
      <c r="S195" s="25"/>
    </row>
    <row r="196" spans="1:19" s="110" customFormat="1" ht="15.75" x14ac:dyDescent="0.25">
      <c r="A196" s="117"/>
      <c r="G196" s="212"/>
      <c r="H196" s="25"/>
      <c r="I196" s="25"/>
      <c r="J196" s="25"/>
      <c r="K196" s="25"/>
      <c r="L196" s="25"/>
      <c r="O196" s="25"/>
      <c r="P196" s="25"/>
      <c r="Q196" s="25"/>
      <c r="R196" s="25"/>
      <c r="S196" s="25"/>
    </row>
    <row r="197" spans="1:19" s="110" customFormat="1" ht="15.75" x14ac:dyDescent="0.25">
      <c r="A197" s="117"/>
      <c r="G197" s="212"/>
      <c r="H197" s="25"/>
      <c r="I197" s="25"/>
      <c r="J197" s="25"/>
      <c r="K197" s="25"/>
      <c r="L197" s="25"/>
      <c r="O197" s="25"/>
      <c r="P197" s="25"/>
      <c r="Q197" s="25"/>
      <c r="R197" s="25"/>
      <c r="S197" s="25"/>
    </row>
    <row r="198" spans="1:19" s="110" customFormat="1" ht="15.75" x14ac:dyDescent="0.25">
      <c r="A198" s="117"/>
      <c r="G198" s="212"/>
      <c r="H198" s="25"/>
      <c r="I198" s="25"/>
      <c r="J198" s="25"/>
      <c r="K198" s="25"/>
      <c r="L198" s="25"/>
      <c r="O198" s="25"/>
      <c r="P198" s="25"/>
      <c r="Q198" s="25"/>
      <c r="R198" s="25"/>
      <c r="S198" s="25"/>
    </row>
    <row r="199" spans="1:19" s="110" customFormat="1" ht="15.75" x14ac:dyDescent="0.25">
      <c r="A199" s="117"/>
      <c r="G199" s="212"/>
      <c r="H199" s="25"/>
      <c r="I199" s="25"/>
      <c r="J199" s="25"/>
      <c r="K199" s="25"/>
      <c r="L199" s="25"/>
      <c r="O199" s="25"/>
      <c r="P199" s="25"/>
      <c r="Q199" s="25"/>
      <c r="R199" s="25"/>
      <c r="S199" s="25"/>
    </row>
    <row r="200" spans="1:19" s="110" customFormat="1" ht="15.75" x14ac:dyDescent="0.25">
      <c r="A200" s="117"/>
      <c r="G200" s="212"/>
      <c r="H200" s="25"/>
      <c r="I200" s="25"/>
      <c r="J200" s="25"/>
      <c r="K200" s="25"/>
      <c r="L200" s="25"/>
      <c r="O200" s="25"/>
      <c r="P200" s="25"/>
      <c r="Q200" s="25"/>
      <c r="R200" s="25"/>
      <c r="S200" s="25"/>
    </row>
    <row r="201" spans="1:19" s="110" customFormat="1" ht="15.75" x14ac:dyDescent="0.25">
      <c r="A201" s="117"/>
      <c r="G201" s="212"/>
      <c r="H201" s="25"/>
      <c r="I201" s="25"/>
      <c r="J201" s="25"/>
      <c r="K201" s="25"/>
      <c r="L201" s="25"/>
      <c r="O201" s="25"/>
      <c r="P201" s="25"/>
      <c r="Q201" s="25"/>
      <c r="R201" s="25"/>
      <c r="S201" s="25"/>
    </row>
    <row r="202" spans="1:19" s="110" customFormat="1" ht="15.75" x14ac:dyDescent="0.25">
      <c r="A202" s="117"/>
      <c r="G202" s="212"/>
      <c r="H202" s="25"/>
      <c r="I202" s="25"/>
      <c r="J202" s="25"/>
      <c r="K202" s="25"/>
      <c r="L202" s="25"/>
      <c r="O202" s="25"/>
      <c r="P202" s="25"/>
      <c r="Q202" s="25"/>
      <c r="R202" s="25"/>
      <c r="S202" s="25"/>
    </row>
    <row r="203" spans="1:19" ht="15.75" x14ac:dyDescent="0.25">
      <c r="A203" s="117"/>
    </row>
    <row r="204" spans="1:19" ht="15.75" x14ac:dyDescent="0.25">
      <c r="A204" s="117"/>
    </row>
    <row r="205" spans="1:19" ht="15.75" x14ac:dyDescent="0.25">
      <c r="A205" s="117"/>
    </row>
    <row r="206" spans="1:19" ht="15.75" x14ac:dyDescent="0.25">
      <c r="A206" s="117"/>
    </row>
    <row r="207" spans="1:19" ht="15.75" x14ac:dyDescent="0.25">
      <c r="A207" s="117"/>
    </row>
    <row r="208" spans="1:19" ht="15.75" x14ac:dyDescent="0.25">
      <c r="A208" s="117"/>
    </row>
    <row r="209" spans="1:1" ht="15.75" x14ac:dyDescent="0.25">
      <c r="A209" s="117"/>
    </row>
    <row r="210" spans="1:1" ht="15.75" x14ac:dyDescent="0.25">
      <c r="A210" s="117"/>
    </row>
    <row r="211" spans="1:1" ht="15.75" x14ac:dyDescent="0.25">
      <c r="A211" s="117"/>
    </row>
    <row r="220" spans="1:1" ht="15.75" x14ac:dyDescent="0.25">
      <c r="A220" s="117"/>
    </row>
    <row r="221" spans="1:1" ht="15.75" x14ac:dyDescent="0.25">
      <c r="A221" s="117"/>
    </row>
    <row r="222" spans="1:1" ht="15.75" x14ac:dyDescent="0.25">
      <c r="A222" s="117"/>
    </row>
    <row r="223" spans="1:1" ht="15.75" x14ac:dyDescent="0.25">
      <c r="A223" s="117"/>
    </row>
    <row r="224" spans="1:1" ht="15.75" x14ac:dyDescent="0.25">
      <c r="A224" s="117"/>
    </row>
    <row r="225" spans="1:1" ht="15.75" x14ac:dyDescent="0.25">
      <c r="A225" s="117"/>
    </row>
    <row r="226" spans="1:1" ht="15.75" x14ac:dyDescent="0.25">
      <c r="A226" s="117"/>
    </row>
    <row r="227" spans="1:1" ht="15.75" x14ac:dyDescent="0.25">
      <c r="A227" s="117"/>
    </row>
  </sheetData>
  <mergeCells count="1">
    <mergeCell ref="H1:L1"/>
  </mergeCells>
  <conditionalFormatting sqref="D4:D5 D7:D8 D10:D11 D13:D14 D16:D17 D19:D20 D22:D23 D25:D26 D28:D29 D31:D32 D34:D35 D37:D38">
    <cfRule type="cellIs" dxfId="31" priority="629" operator="equal">
      <formula>0</formula>
    </cfRule>
  </conditionalFormatting>
  <dataValidations disablePrompts="1" count="1">
    <dataValidation type="list" allowBlank="1" showInputMessage="1" sqref="H3:L3 H6:L6 H9:L9 H12:L12 H15:L15 H18:L18 H21:L21 H24:L24 H27:L27 H30:L30 H33:L33 H36:L36" xr:uid="{9C3A6363-357E-458E-A668-506A05D32F54}">
      <formula1>"inc"</formula1>
    </dataValidation>
  </dataValidations>
  <pageMargins left="0.70866141732283472" right="0.70866141732283472" top="0.74803149606299213" bottom="0.74803149606299213" header="0.31496062992125984" footer="0.31496062992125984"/>
  <pageSetup scale="31"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Please select units from the dropdown box" xr:uid="{00000000-0002-0000-1500-000000000000}">
          <x14:formula1>
            <xm:f>Unit!$A$4:$A$11</xm:f>
          </x14:formula1>
          <xm:sqref>D3 D33 D27 D18 D12 D9 D6 D21 D15 D24 D30 D36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F58B-D637-43DF-9AC4-D815781D9C06}">
  <sheetPr>
    <tabColor rgb="FF00B0F0"/>
  </sheetPr>
  <dimension ref="A1:AB247"/>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2307</v>
      </c>
      <c r="B1" s="295"/>
      <c r="C1" s="295"/>
      <c r="D1" s="295"/>
      <c r="E1" s="295"/>
      <c r="F1" s="295"/>
      <c r="G1" s="295"/>
      <c r="H1" s="295"/>
      <c r="I1" s="295"/>
      <c r="J1" s="295"/>
      <c r="K1" s="295"/>
      <c r="L1" s="295"/>
      <c r="M1" s="295"/>
      <c r="N1" s="295"/>
      <c r="O1" s="295"/>
      <c r="P1" s="295"/>
      <c r="Q1" s="295"/>
      <c r="R1" s="295"/>
      <c r="S1" s="296" t="s">
        <v>888</v>
      </c>
      <c r="T1" s="301">
        <v>44981</v>
      </c>
      <c r="U1" s="301"/>
      <c r="V1" s="301"/>
      <c r="W1" s="301"/>
      <c r="X1" s="301"/>
      <c r="Y1" s="301"/>
      <c r="Z1" s="301"/>
      <c r="AA1" s="301"/>
      <c r="AB1" s="301"/>
    </row>
    <row r="2" spans="1:28" ht="15.75" x14ac:dyDescent="0.25">
      <c r="I2" s="292">
        <v>75.819999999999993</v>
      </c>
      <c r="J2" s="293">
        <v>86.05</v>
      </c>
      <c r="K2" s="291">
        <v>1</v>
      </c>
      <c r="L2" s="291">
        <v>1</v>
      </c>
      <c r="U2" s="291">
        <v>1</v>
      </c>
      <c r="V2" s="291">
        <v>1</v>
      </c>
      <c r="W2" s="291">
        <v>1</v>
      </c>
      <c r="X2" s="291">
        <v>1</v>
      </c>
      <c r="Y2" s="291">
        <v>1</v>
      </c>
      <c r="Z2" s="291">
        <v>1</v>
      </c>
      <c r="AA2" s="291">
        <v>1</v>
      </c>
      <c r="AB2" s="291">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355</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U$2</f>
        <v>1</v>
      </c>
      <c r="V5" s="291">
        <f>V$2</f>
        <v>1</v>
      </c>
      <c r="W5" s="291">
        <f t="shared" ref="W5:AB5" si="0">W$2</f>
        <v>1</v>
      </c>
      <c r="X5" s="291">
        <f t="shared" si="0"/>
        <v>1</v>
      </c>
      <c r="Y5" s="291">
        <f t="shared" si="0"/>
        <v>1</v>
      </c>
      <c r="Z5" s="291">
        <f t="shared" si="0"/>
        <v>1</v>
      </c>
      <c r="AA5" s="291">
        <f t="shared" si="0"/>
        <v>1</v>
      </c>
      <c r="AB5" s="291">
        <f t="shared" si="0"/>
        <v>1</v>
      </c>
    </row>
    <row r="6" spans="1:28" s="305" customFormat="1" ht="14.45" hidden="1" customHeight="1" outlineLevel="1" x14ac:dyDescent="0.25">
      <c r="A6" s="278"/>
      <c r="B6" s="279" t="str">
        <f>C6&amp;D6&amp;E6&amp;F6</f>
        <v>10mm</v>
      </c>
      <c r="C6" s="278" t="s">
        <v>265</v>
      </c>
      <c r="D6" s="278"/>
      <c r="E6" s="278"/>
      <c r="F6" s="278"/>
      <c r="G6" s="278"/>
      <c r="H6" s="290">
        <v>0.23</v>
      </c>
      <c r="I6" s="280">
        <f t="shared" ref="I6:I15" si="1">$I$2*H6</f>
        <v>17.438599999999997</v>
      </c>
      <c r="J6" s="281">
        <f>$J$2*H6</f>
        <v>19.791499999999999</v>
      </c>
      <c r="K6" s="282">
        <f>IF(Notes!$B$9="Domestic",I6, IF(Notes!$B$9="Commercial",J6))*$K$5</f>
        <v>19.791499999999999</v>
      </c>
      <c r="L6" s="283">
        <f>IF(SUM(O6:Q6)=0,0,(SUM(O6:Q6)+(K6+SUM(M6:Q6))*(INDEX($U$5:$AB$5,MATCH(Notes!$C$16,$U$3:$AB$3,0))-100%))*$L$5)</f>
        <v>15.12</v>
      </c>
      <c r="M6" s="286"/>
      <c r="N6" s="286"/>
      <c r="O6" s="285">
        <v>15.12</v>
      </c>
      <c r="P6" s="285"/>
      <c r="Q6" s="285"/>
      <c r="R6" s="278"/>
      <c r="S6" s="278"/>
      <c r="T6" s="278"/>
      <c r="U6" s="304"/>
    </row>
    <row r="7" spans="1:28" s="305" customFormat="1" ht="14.45" hidden="1" customHeight="1" outlineLevel="1" x14ac:dyDescent="0.25">
      <c r="A7" s="278"/>
      <c r="B7" s="279" t="str">
        <f t="shared" ref="B7:B15" si="2">C7&amp;D7&amp;E7&amp;F7</f>
        <v/>
      </c>
      <c r="C7" s="278"/>
      <c r="D7" s="278"/>
      <c r="E7" s="278"/>
      <c r="F7" s="278"/>
      <c r="G7" s="278"/>
      <c r="H7" s="290"/>
      <c r="I7" s="280">
        <f t="shared" si="1"/>
        <v>0</v>
      </c>
      <c r="J7" s="281">
        <f t="shared" ref="J7:J15" si="3">$J$2*H7</f>
        <v>0</v>
      </c>
      <c r="K7" s="282">
        <f>IF(Notes!$B$9="Domestic",I7, IF(Notes!$B$9="Commercial",J7))*$K$5</f>
        <v>0</v>
      </c>
      <c r="L7" s="283">
        <f>IF(SUM(O7:Q7)=0,0,(SUM(O7:Q7)+(K7+SUM(M7:Q7))*(INDEX($U$5:$AB$5,MATCH(Notes!$C$16,$U$3:$AB$3,0))-100%))*$L$5)</f>
        <v>0</v>
      </c>
      <c r="M7" s="286"/>
      <c r="N7" s="286"/>
      <c r="O7" s="285"/>
      <c r="P7" s="285"/>
      <c r="Q7" s="285"/>
      <c r="R7" s="278"/>
      <c r="S7" s="278"/>
      <c r="T7" s="278"/>
      <c r="U7" s="304"/>
    </row>
    <row r="8" spans="1:28" s="305" customFormat="1" ht="14.45" hidden="1" customHeight="1" outlineLevel="1" x14ac:dyDescent="0.25">
      <c r="A8" s="278"/>
      <c r="B8" s="279" t="str">
        <f t="shared" si="2"/>
        <v/>
      </c>
      <c r="C8" s="278"/>
      <c r="D8" s="278"/>
      <c r="E8" s="278"/>
      <c r="F8" s="278"/>
      <c r="G8" s="278"/>
      <c r="H8" s="290"/>
      <c r="I8" s="280">
        <f t="shared" si="1"/>
        <v>0</v>
      </c>
      <c r="J8" s="281">
        <f t="shared" si="3"/>
        <v>0</v>
      </c>
      <c r="K8" s="282">
        <f>IF(Notes!$B$9="Domestic",I8, IF(Notes!$B$9="Commercial",J8))*$K$5</f>
        <v>0</v>
      </c>
      <c r="L8" s="283">
        <f>IF(SUM(O8:Q8)=0,0,(SUM(O8:Q8)+(K8+SUM(M8:Q8))*(INDEX($U$5:$AB$5,MATCH(Notes!$C$16,$U$3:$AB$3,0))-100%))*$L$5)</f>
        <v>0</v>
      </c>
      <c r="M8" s="286"/>
      <c r="N8" s="286"/>
      <c r="O8" s="285"/>
      <c r="P8" s="285"/>
      <c r="Q8" s="285"/>
      <c r="R8" s="278"/>
      <c r="S8" s="278"/>
      <c r="T8" s="278"/>
      <c r="U8" s="304"/>
    </row>
    <row r="9" spans="1:28" s="305" customFormat="1" ht="14.45" hidden="1" customHeight="1" outlineLevel="1" x14ac:dyDescent="0.25">
      <c r="A9" s="278"/>
      <c r="B9" s="279" t="str">
        <f t="shared" si="2"/>
        <v/>
      </c>
      <c r="C9" s="278"/>
      <c r="D9" s="278"/>
      <c r="E9" s="278"/>
      <c r="F9" s="278"/>
      <c r="G9" s="278"/>
      <c r="H9" s="290"/>
      <c r="I9" s="280">
        <f t="shared" si="1"/>
        <v>0</v>
      </c>
      <c r="J9" s="281">
        <f t="shared" si="3"/>
        <v>0</v>
      </c>
      <c r="K9" s="282">
        <f>IF(Notes!$B$9="Domestic",I9, IF(Notes!$B$9="Commercial",J9))*$K$5</f>
        <v>0</v>
      </c>
      <c r="L9" s="283">
        <f>IF(SUM(O9:Q9)=0,0,(SUM(O9:Q9)+(K9+SUM(M9:Q9))*(INDEX($U$5:$AB$5,MATCH(Notes!$C$16,$U$3:$AB$3,0))-100%))*$L$5)</f>
        <v>0</v>
      </c>
      <c r="M9" s="286"/>
      <c r="N9" s="286"/>
      <c r="O9" s="285"/>
      <c r="P9" s="285"/>
      <c r="Q9" s="285"/>
      <c r="R9" s="278"/>
      <c r="S9" s="278"/>
      <c r="T9" s="278"/>
    </row>
    <row r="10" spans="1:28" s="305" customFormat="1" ht="14.45" hidden="1" customHeight="1" outlineLevel="1" x14ac:dyDescent="0.25">
      <c r="A10" s="278"/>
      <c r="B10" s="279" t="str">
        <f t="shared" si="2"/>
        <v/>
      </c>
      <c r="C10" s="278"/>
      <c r="D10" s="278"/>
      <c r="E10" s="278"/>
      <c r="F10" s="278"/>
      <c r="G10" s="278"/>
      <c r="H10" s="290"/>
      <c r="I10" s="280">
        <f t="shared" si="1"/>
        <v>0</v>
      </c>
      <c r="J10" s="281">
        <f t="shared" si="3"/>
        <v>0</v>
      </c>
      <c r="K10" s="282">
        <f>IF(Notes!$B$9="Domestic",I10, IF(Notes!$B$9="Commercial",J10))*$K$5</f>
        <v>0</v>
      </c>
      <c r="L10" s="283">
        <f>IF(SUM(O10:Q10)=0,0,(SUM(O10:Q10)+(K10+SUM(M10:Q10))*(INDEX($U$5:$AB$5,MATCH(Notes!$C$16,$U$3:$AB$3,0))-100%))*$L$5)</f>
        <v>0</v>
      </c>
      <c r="M10" s="286"/>
      <c r="N10" s="286"/>
      <c r="O10" s="285"/>
      <c r="P10" s="285"/>
      <c r="Q10" s="285"/>
      <c r="R10" s="278"/>
      <c r="S10" s="278"/>
      <c r="T10" s="278"/>
    </row>
    <row r="11" spans="1:28" s="305" customFormat="1" hidden="1" outlineLevel="1" x14ac:dyDescent="0.25">
      <c r="A11" s="278"/>
      <c r="B11" s="279" t="str">
        <f t="shared" si="2"/>
        <v/>
      </c>
      <c r="C11" s="278"/>
      <c r="D11" s="278"/>
      <c r="E11" s="278"/>
      <c r="F11" s="278"/>
      <c r="G11" s="278"/>
      <c r="H11" s="290"/>
      <c r="I11" s="280">
        <f t="shared" si="1"/>
        <v>0</v>
      </c>
      <c r="J11" s="281">
        <f t="shared" si="3"/>
        <v>0</v>
      </c>
      <c r="K11" s="282">
        <f>IF(Notes!$B$9="Domestic",I11, IF(Notes!$B$9="Commercial",J11))*$K$5</f>
        <v>0</v>
      </c>
      <c r="L11" s="283">
        <f>IF(SUM(O11:Q11)=0,0,(SUM(O11:Q11)+(K11+SUM(M11:Q11))*(INDEX($U$5:$AB$5,MATCH(Notes!$C$16,$U$3:$AB$3,0))-100%))*$L$5)</f>
        <v>0</v>
      </c>
      <c r="M11" s="286"/>
      <c r="N11" s="286"/>
      <c r="O11" s="285"/>
      <c r="P11" s="285"/>
      <c r="Q11" s="285"/>
      <c r="R11" s="278"/>
      <c r="S11" s="278"/>
      <c r="T11" s="278"/>
    </row>
    <row r="12" spans="1:28" s="305" customFormat="1" hidden="1" outlineLevel="1" x14ac:dyDescent="0.25">
      <c r="A12" s="278"/>
      <c r="B12" s="279" t="str">
        <f t="shared" si="2"/>
        <v/>
      </c>
      <c r="C12" s="278"/>
      <c r="D12" s="278"/>
      <c r="E12" s="278"/>
      <c r="F12" s="278"/>
      <c r="G12" s="278"/>
      <c r="H12" s="290"/>
      <c r="I12" s="280">
        <f t="shared" si="1"/>
        <v>0</v>
      </c>
      <c r="J12" s="281">
        <f t="shared" si="3"/>
        <v>0</v>
      </c>
      <c r="K12" s="282">
        <f>IF(Notes!$B$9="Domestic",I12, IF(Notes!$B$9="Commercial",J12))*$K$5</f>
        <v>0</v>
      </c>
      <c r="L12" s="283">
        <f>IF(SUM(O12:Q12)=0,0,(SUM(O12:Q12)+(K12+SUM(M12:Q12))*(INDEX($U$5:$AB$5,MATCH(Notes!$C$16,$U$3:$AB$3,0))-100%))*$L$5)</f>
        <v>0</v>
      </c>
      <c r="M12" s="286"/>
      <c r="N12" s="286"/>
      <c r="O12" s="285"/>
      <c r="P12" s="285"/>
      <c r="Q12" s="285"/>
      <c r="R12" s="278"/>
      <c r="S12" s="278"/>
      <c r="T12" s="278"/>
    </row>
    <row r="13" spans="1:28" s="305" customFormat="1" hidden="1" outlineLevel="1" x14ac:dyDescent="0.25">
      <c r="A13" s="278"/>
      <c r="B13" s="279" t="str">
        <f t="shared" si="2"/>
        <v/>
      </c>
      <c r="C13" s="278"/>
      <c r="D13" s="278"/>
      <c r="E13" s="278"/>
      <c r="F13" s="278"/>
      <c r="G13" s="278"/>
      <c r="H13" s="290"/>
      <c r="I13" s="280">
        <f t="shared" si="1"/>
        <v>0</v>
      </c>
      <c r="J13" s="281">
        <f t="shared" si="3"/>
        <v>0</v>
      </c>
      <c r="K13" s="282">
        <f>IF(Notes!$B$9="Domestic",I13, IF(Notes!$B$9="Commercial",J13))*$K$5</f>
        <v>0</v>
      </c>
      <c r="L13" s="283">
        <f>IF(SUM(O13:Q13)=0,0,(SUM(O13:Q13)+(K13+SUM(M13:Q13))*(INDEX($U$5:$AB$5,MATCH(Notes!$C$16,$U$3:$AB$3,0))-100%))*$L$5)</f>
        <v>0</v>
      </c>
      <c r="M13" s="286"/>
      <c r="N13" s="286"/>
      <c r="O13" s="285"/>
      <c r="P13" s="285"/>
      <c r="Q13" s="285"/>
      <c r="R13" s="278"/>
      <c r="S13" s="278"/>
      <c r="T13" s="278"/>
    </row>
    <row r="14" spans="1:28" s="305" customFormat="1" hidden="1" outlineLevel="1" x14ac:dyDescent="0.25">
      <c r="A14" s="278"/>
      <c r="B14" s="279" t="str">
        <f t="shared" si="2"/>
        <v/>
      </c>
      <c r="C14" s="278"/>
      <c r="D14" s="278"/>
      <c r="E14" s="278"/>
      <c r="F14" s="278"/>
      <c r="G14" s="278"/>
      <c r="H14" s="290"/>
      <c r="I14" s="280">
        <f t="shared" si="1"/>
        <v>0</v>
      </c>
      <c r="J14" s="281">
        <f t="shared" si="3"/>
        <v>0</v>
      </c>
      <c r="K14" s="282">
        <f>IF(Notes!$B$9="Domestic",I14, IF(Notes!$B$9="Commercial",J14))*$K$5</f>
        <v>0</v>
      </c>
      <c r="L14" s="283">
        <f>IF(SUM(O14:Q14)=0,0,(SUM(O14:Q14)+(K14+SUM(M14:Q14))*(INDEX($U$5:$AB$5,MATCH(Notes!$C$16,$U$3:$AB$3,0))-100%))*$L$5)</f>
        <v>0</v>
      </c>
      <c r="M14" s="286"/>
      <c r="N14" s="286"/>
      <c r="O14" s="285"/>
      <c r="P14" s="285"/>
      <c r="Q14" s="285"/>
      <c r="R14" s="278"/>
      <c r="S14" s="278"/>
      <c r="T14" s="278"/>
    </row>
    <row r="15" spans="1:28" s="305" customFormat="1" hidden="1" outlineLevel="1" x14ac:dyDescent="0.25">
      <c r="A15" s="278"/>
      <c r="B15" s="279" t="str">
        <f t="shared" si="2"/>
        <v/>
      </c>
      <c r="C15" s="278"/>
      <c r="D15" s="278"/>
      <c r="E15" s="278"/>
      <c r="F15" s="278"/>
      <c r="G15" s="278"/>
      <c r="H15" s="290"/>
      <c r="I15" s="280">
        <f t="shared" si="1"/>
        <v>0</v>
      </c>
      <c r="J15" s="281">
        <f t="shared" si="3"/>
        <v>0</v>
      </c>
      <c r="K15" s="282">
        <f>IF(Notes!$B$9="Domestic",I15, IF(Notes!$B$9="Commercial",J15))*$K$5</f>
        <v>0</v>
      </c>
      <c r="L15" s="283">
        <f>IF(SUM(O15:Q15)=0,0,(SUM(O15:Q15)+(K15+SUM(M15:Q15))*(INDEX($U$5:$AB$5,MATCH(Notes!$C$16,$U$3:$AB$3,0))-100%))*$L$5)</f>
        <v>0</v>
      </c>
      <c r="M15" s="286"/>
      <c r="N15" s="286"/>
      <c r="O15" s="285"/>
      <c r="P15" s="285"/>
      <c r="Q15" s="285"/>
      <c r="R15" s="278"/>
      <c r="S15" s="278"/>
      <c r="T15" s="278"/>
    </row>
    <row r="16" spans="1:28" ht="21" hidden="1" outlineLevel="1" x14ac:dyDescent="0.25">
      <c r="A16" s="299"/>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row>
    <row r="17" spans="1:28" ht="15.75" hidden="1" outlineLevel="1" x14ac:dyDescent="0.25">
      <c r="A17" s="291"/>
      <c r="B17" s="291"/>
      <c r="C17" s="291"/>
      <c r="D17" s="291"/>
      <c r="E17" s="291"/>
      <c r="F17" s="291"/>
      <c r="G17" s="291"/>
      <c r="H17" s="291"/>
      <c r="I17" s="291"/>
      <c r="J17" s="291"/>
      <c r="K17" s="291">
        <f>K$2</f>
        <v>1</v>
      </c>
      <c r="L17" s="291">
        <f>L$2</f>
        <v>1</v>
      </c>
      <c r="M17" s="291"/>
      <c r="N17" s="291"/>
      <c r="O17" s="303"/>
      <c r="P17" s="303"/>
      <c r="Q17" s="303"/>
      <c r="R17" s="291"/>
      <c r="S17" s="291"/>
      <c r="T17" s="291"/>
      <c r="U17" s="291">
        <f>U$2</f>
        <v>1</v>
      </c>
      <c r="V17" s="291">
        <f>V$2</f>
        <v>1</v>
      </c>
      <c r="W17" s="291">
        <f t="shared" ref="W17:AB17" si="4">W$2</f>
        <v>1</v>
      </c>
      <c r="X17" s="291">
        <f t="shared" si="4"/>
        <v>1</v>
      </c>
      <c r="Y17" s="291">
        <f t="shared" si="4"/>
        <v>1</v>
      </c>
      <c r="Z17" s="291">
        <f t="shared" si="4"/>
        <v>1</v>
      </c>
      <c r="AA17" s="291">
        <f t="shared" si="4"/>
        <v>1</v>
      </c>
      <c r="AB17" s="291">
        <f t="shared" si="4"/>
        <v>1</v>
      </c>
    </row>
    <row r="18" spans="1:28" s="305" customFormat="1" ht="14.45" hidden="1" customHeight="1" outlineLevel="1" x14ac:dyDescent="0.25">
      <c r="A18" s="278"/>
      <c r="B18" s="279" t="str">
        <f>C18&amp;D18&amp;E18&amp;F18</f>
        <v/>
      </c>
      <c r="C18" s="278"/>
      <c r="D18" s="278"/>
      <c r="E18" s="278"/>
      <c r="F18" s="278"/>
      <c r="G18" s="278"/>
      <c r="H18" s="290"/>
      <c r="I18" s="280">
        <f>$I$2*H18</f>
        <v>0</v>
      </c>
      <c r="J18" s="281">
        <f>$J$2*H18</f>
        <v>0</v>
      </c>
      <c r="K18" s="282">
        <f>IF(Notes!$B$9="Domestic",I18, IF(Notes!$B$9="Commercial",J18))*$K$17</f>
        <v>0</v>
      </c>
      <c r="L18" s="283">
        <f>IF(SUM(O18:Q18)=0,0,(SUM(O18:Q18)+(K18+SUM(M18:Q18))*(INDEX($U$17:$AB$17,MATCH(Notes!$C$16,$U$3:$AB$3,0))-100%))*$L$17)</f>
        <v>0</v>
      </c>
      <c r="M18" s="286"/>
      <c r="N18" s="286"/>
      <c r="O18" s="285"/>
      <c r="P18" s="285"/>
      <c r="Q18" s="285"/>
      <c r="R18" s="278"/>
      <c r="S18" s="278"/>
      <c r="T18" s="278"/>
      <c r="U18" s="304"/>
    </row>
    <row r="19" spans="1:28" s="305" customFormat="1" ht="14.45" hidden="1" customHeight="1" outlineLevel="1" x14ac:dyDescent="0.25">
      <c r="A19" s="278"/>
      <c r="B19" s="279" t="str">
        <f t="shared" ref="B19:B27" si="5">C19&amp;D19&amp;E19&amp;F19</f>
        <v/>
      </c>
      <c r="C19" s="278"/>
      <c r="D19" s="278"/>
      <c r="E19" s="278"/>
      <c r="F19" s="278"/>
      <c r="G19" s="278"/>
      <c r="H19" s="290"/>
      <c r="I19" s="280">
        <f>$I$2*H19</f>
        <v>0</v>
      </c>
      <c r="J19" s="281">
        <f t="shared" ref="J19:J27" si="6">$J$2*H19</f>
        <v>0</v>
      </c>
      <c r="K19" s="282">
        <f>IF(Notes!$B$9="Domestic",I19, IF(Notes!$B$9="Commercial",J19))*$K$17</f>
        <v>0</v>
      </c>
      <c r="L19" s="283">
        <f>IF(SUM(O19:Q19)=0,0,(SUM(O19:Q19)+(K19+SUM(M19:Q19))*(INDEX($U$17:$AB$17,MATCH(Notes!$C$16,$U$3:$AB$3,0))-100%))*$L$17)</f>
        <v>0</v>
      </c>
      <c r="M19" s="286"/>
      <c r="N19" s="286"/>
      <c r="O19" s="285"/>
      <c r="P19" s="285"/>
      <c r="Q19" s="285"/>
      <c r="R19" s="278"/>
      <c r="S19" s="278"/>
      <c r="T19" s="278"/>
      <c r="U19" s="304"/>
    </row>
    <row r="20" spans="1:28" s="305" customFormat="1" ht="14.45" hidden="1" customHeight="1" outlineLevel="1" x14ac:dyDescent="0.25">
      <c r="A20" s="278"/>
      <c r="B20" s="279" t="str">
        <f t="shared" si="5"/>
        <v/>
      </c>
      <c r="C20" s="278"/>
      <c r="D20" s="278"/>
      <c r="E20" s="278"/>
      <c r="F20" s="278"/>
      <c r="G20" s="278"/>
      <c r="H20" s="290"/>
      <c r="I20" s="280">
        <f t="shared" ref="I20:I27" si="7">$I$2*H20</f>
        <v>0</v>
      </c>
      <c r="J20" s="281">
        <f t="shared" si="6"/>
        <v>0</v>
      </c>
      <c r="K20" s="282">
        <f>IF(Notes!$B$9="Domestic",I20, IF(Notes!$B$9="Commercial",J20))*$K$17</f>
        <v>0</v>
      </c>
      <c r="L20" s="283">
        <f>IF(SUM(O20:Q20)=0,0,(SUM(O20:Q20)+(K20+SUM(M20:Q20))*(INDEX($U$17:$AB$17,MATCH(Notes!$C$16,$U$3:$AB$3,0))-100%))*$L$17)</f>
        <v>0</v>
      </c>
      <c r="M20" s="286"/>
      <c r="N20" s="286"/>
      <c r="O20" s="285"/>
      <c r="P20" s="285"/>
      <c r="Q20" s="285"/>
      <c r="R20" s="278"/>
      <c r="S20" s="278"/>
      <c r="T20" s="278"/>
      <c r="U20" s="304"/>
    </row>
    <row r="21" spans="1:28" s="305" customFormat="1" hidden="1" outlineLevel="1" x14ac:dyDescent="0.25">
      <c r="A21" s="278"/>
      <c r="B21" s="279" t="str">
        <f t="shared" si="5"/>
        <v/>
      </c>
      <c r="C21" s="278"/>
      <c r="D21" s="278"/>
      <c r="E21" s="278"/>
      <c r="F21" s="278"/>
      <c r="G21" s="278"/>
      <c r="H21" s="290"/>
      <c r="I21" s="280">
        <f t="shared" si="7"/>
        <v>0</v>
      </c>
      <c r="J21" s="281">
        <f t="shared" si="6"/>
        <v>0</v>
      </c>
      <c r="K21" s="282">
        <f>IF(Notes!$B$9="Domestic",I21, IF(Notes!$B$9="Commercial",J21))*$K$17</f>
        <v>0</v>
      </c>
      <c r="L21" s="283">
        <f>IF(SUM(O21:Q21)=0,0,(SUM(O21:Q21)+(K21+SUM(M21:Q21))*(INDEX($U$17:$AB$17,MATCH(Notes!$C$16,$U$3:$AB$3,0))-100%))*$L$17)</f>
        <v>0</v>
      </c>
      <c r="M21" s="286"/>
      <c r="N21" s="286"/>
      <c r="O21" s="285"/>
      <c r="P21" s="285"/>
      <c r="Q21" s="285"/>
      <c r="R21" s="278"/>
      <c r="S21" s="278"/>
      <c r="T21" s="278"/>
    </row>
    <row r="22" spans="1:28" s="305" customFormat="1" hidden="1" outlineLevel="1" x14ac:dyDescent="0.25">
      <c r="A22" s="278"/>
      <c r="B22" s="279" t="str">
        <f t="shared" si="5"/>
        <v/>
      </c>
      <c r="C22" s="278"/>
      <c r="D22" s="278"/>
      <c r="E22" s="278"/>
      <c r="F22" s="278"/>
      <c r="G22" s="278"/>
      <c r="H22" s="290"/>
      <c r="I22" s="280">
        <f>$I$2*H22</f>
        <v>0</v>
      </c>
      <c r="J22" s="281">
        <f t="shared" si="6"/>
        <v>0</v>
      </c>
      <c r="K22" s="282">
        <f>IF(Notes!$B$9="Domestic",I22, IF(Notes!$B$9="Commercial",J22))*$K$17</f>
        <v>0</v>
      </c>
      <c r="L22" s="283">
        <f>IF(SUM(O22:Q22)=0,0,(SUM(O22:Q22)+(K22+SUM(M22:Q22))*(INDEX($U$17:$AB$17,MATCH(Notes!$C$16,$U$3:$AB$3,0))-100%))*$L$17)</f>
        <v>0</v>
      </c>
      <c r="M22" s="286"/>
      <c r="N22" s="286"/>
      <c r="O22" s="285"/>
      <c r="P22" s="285"/>
      <c r="Q22" s="285"/>
      <c r="R22" s="278"/>
      <c r="S22" s="278"/>
      <c r="T22" s="278"/>
    </row>
    <row r="23" spans="1:28" s="305" customFormat="1" hidden="1" outlineLevel="1" x14ac:dyDescent="0.25">
      <c r="A23" s="278"/>
      <c r="B23" s="279" t="str">
        <f t="shared" si="5"/>
        <v/>
      </c>
      <c r="C23" s="278"/>
      <c r="D23" s="278"/>
      <c r="E23" s="278"/>
      <c r="F23" s="278"/>
      <c r="G23" s="278"/>
      <c r="H23" s="290"/>
      <c r="I23" s="280">
        <f t="shared" si="7"/>
        <v>0</v>
      </c>
      <c r="J23" s="281">
        <f t="shared" si="6"/>
        <v>0</v>
      </c>
      <c r="K23" s="282">
        <f>IF(Notes!$B$9="Domestic",I23, IF(Notes!$B$9="Commercial",J23))*$K$17</f>
        <v>0</v>
      </c>
      <c r="L23" s="283">
        <f>IF(SUM(O23:Q23)=0,0,(SUM(O23:Q23)+(K23+SUM(M23:Q23))*(INDEX($U$17:$AB$17,MATCH(Notes!$C$16,$U$3:$AB$3,0))-100%))*$L$17)</f>
        <v>0</v>
      </c>
      <c r="M23" s="286"/>
      <c r="N23" s="286"/>
      <c r="O23" s="285"/>
      <c r="P23" s="285"/>
      <c r="Q23" s="285"/>
      <c r="R23" s="278"/>
      <c r="S23" s="278"/>
      <c r="T23" s="278"/>
    </row>
    <row r="24" spans="1:28" s="305" customFormat="1" hidden="1" outlineLevel="1" x14ac:dyDescent="0.25">
      <c r="A24" s="278"/>
      <c r="B24" s="279" t="str">
        <f t="shared" si="5"/>
        <v/>
      </c>
      <c r="C24" s="278"/>
      <c r="D24" s="278"/>
      <c r="E24" s="278"/>
      <c r="F24" s="278"/>
      <c r="G24" s="278"/>
      <c r="H24" s="290"/>
      <c r="I24" s="280">
        <f t="shared" si="7"/>
        <v>0</v>
      </c>
      <c r="J24" s="281">
        <f t="shared" si="6"/>
        <v>0</v>
      </c>
      <c r="K24" s="282">
        <f>IF(Notes!$B$9="Domestic",I24, IF(Notes!$B$9="Commercial",J24))*$K$17</f>
        <v>0</v>
      </c>
      <c r="L24" s="283">
        <f>IF(SUM(O24:Q24)=0,0,(SUM(O24:Q24)+(K24+SUM(M24:Q24))*(INDEX($U$17:$AB$17,MATCH(Notes!$C$16,$U$3:$AB$3,0))-100%))*$L$17)</f>
        <v>0</v>
      </c>
      <c r="M24" s="286"/>
      <c r="N24" s="286"/>
      <c r="O24" s="285"/>
      <c r="P24" s="285"/>
      <c r="Q24" s="285"/>
      <c r="R24" s="278"/>
      <c r="S24" s="278"/>
      <c r="T24" s="278"/>
    </row>
    <row r="25" spans="1:28" s="305" customFormat="1" hidden="1" outlineLevel="1" x14ac:dyDescent="0.25">
      <c r="A25" s="278"/>
      <c r="B25" s="279" t="str">
        <f t="shared" si="5"/>
        <v/>
      </c>
      <c r="C25" s="278"/>
      <c r="D25" s="278"/>
      <c r="E25" s="278"/>
      <c r="F25" s="278"/>
      <c r="G25" s="278"/>
      <c r="H25" s="290"/>
      <c r="I25" s="280">
        <f t="shared" si="7"/>
        <v>0</v>
      </c>
      <c r="J25" s="281">
        <f t="shared" si="6"/>
        <v>0</v>
      </c>
      <c r="K25" s="282">
        <f>IF(Notes!$B$9="Domestic",I25, IF(Notes!$B$9="Commercial",J25))*$K$17</f>
        <v>0</v>
      </c>
      <c r="L25" s="283">
        <f>IF(SUM(O25:Q25)=0,0,(SUM(O25:Q25)+(K25+SUM(M25:Q25))*(INDEX($U$17:$AB$17,MATCH(Notes!$C$16,$U$3:$AB$3,0))-100%))*$L$17)</f>
        <v>0</v>
      </c>
      <c r="M25" s="286"/>
      <c r="N25" s="286"/>
      <c r="O25" s="285"/>
      <c r="P25" s="285"/>
      <c r="Q25" s="285"/>
      <c r="R25" s="278"/>
      <c r="S25" s="278"/>
      <c r="T25" s="278"/>
    </row>
    <row r="26" spans="1:28" s="305" customFormat="1" hidden="1" outlineLevel="1" x14ac:dyDescent="0.25">
      <c r="A26" s="278"/>
      <c r="B26" s="279" t="str">
        <f t="shared" si="5"/>
        <v/>
      </c>
      <c r="C26" s="278"/>
      <c r="D26" s="278"/>
      <c r="E26" s="278"/>
      <c r="F26" s="278"/>
      <c r="G26" s="278"/>
      <c r="H26" s="290"/>
      <c r="I26" s="280">
        <f>$I$2*H26</f>
        <v>0</v>
      </c>
      <c r="J26" s="281">
        <f t="shared" si="6"/>
        <v>0</v>
      </c>
      <c r="K26" s="282">
        <f>IF(Notes!$B$9="Domestic",I26, IF(Notes!$B$9="Commercial",J26))*$K$17</f>
        <v>0</v>
      </c>
      <c r="L26" s="283">
        <f>IF(SUM(O26:Q26)=0,0,(SUM(O26:Q26)+(K26+SUM(M26:Q26))*(INDEX($U$17:$AB$17,MATCH(Notes!$C$16,$U$3:$AB$3,0))-100%))*$L$17)</f>
        <v>0</v>
      </c>
      <c r="M26" s="286"/>
      <c r="N26" s="286"/>
      <c r="O26" s="285"/>
      <c r="P26" s="285"/>
      <c r="Q26" s="285"/>
      <c r="R26" s="278"/>
      <c r="S26" s="278"/>
      <c r="T26" s="278"/>
    </row>
    <row r="27" spans="1:28" s="305" customFormat="1" hidden="1" outlineLevel="1" x14ac:dyDescent="0.25">
      <c r="A27" s="278"/>
      <c r="B27" s="279" t="str">
        <f t="shared" si="5"/>
        <v/>
      </c>
      <c r="C27" s="278"/>
      <c r="D27" s="278"/>
      <c r="E27" s="278"/>
      <c r="F27" s="278"/>
      <c r="G27" s="278"/>
      <c r="H27" s="290"/>
      <c r="I27" s="280">
        <f t="shared" si="7"/>
        <v>0</v>
      </c>
      <c r="J27" s="281">
        <f t="shared" si="6"/>
        <v>0</v>
      </c>
      <c r="K27" s="282">
        <f>IF(Notes!$B$9="Domestic",I27, IF(Notes!$B$9="Commercial",J27))*$K$17</f>
        <v>0</v>
      </c>
      <c r="L27" s="283">
        <f>IF(SUM(O27:Q27)=0,0,(SUM(O27:Q27)+(K27+SUM(M27:Q27))*(INDEX($U$17:$AB$17,MATCH(Notes!$C$16,$U$3:$AB$3,0))-100%))*$L$17)</f>
        <v>0</v>
      </c>
      <c r="M27" s="286"/>
      <c r="N27" s="286"/>
      <c r="O27" s="285"/>
      <c r="P27" s="285"/>
      <c r="Q27" s="285"/>
      <c r="R27" s="278"/>
      <c r="S27" s="278"/>
      <c r="T27" s="278"/>
    </row>
    <row r="28" spans="1:28" ht="21" hidden="1" outlineLevel="1" x14ac:dyDescent="0.25">
      <c r="A28" s="299"/>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row>
    <row r="29" spans="1:28" ht="15.75" hidden="1" outlineLevel="1" x14ac:dyDescent="0.25">
      <c r="A29" s="291"/>
      <c r="B29" s="291"/>
      <c r="C29" s="291"/>
      <c r="D29" s="291"/>
      <c r="E29" s="291"/>
      <c r="F29" s="291"/>
      <c r="G29" s="291"/>
      <c r="H29" s="291"/>
      <c r="I29" s="291"/>
      <c r="J29" s="291"/>
      <c r="K29" s="291">
        <f>K$2</f>
        <v>1</v>
      </c>
      <c r="L29" s="291">
        <f>L$2</f>
        <v>1</v>
      </c>
      <c r="M29" s="291"/>
      <c r="N29" s="291"/>
      <c r="O29" s="303"/>
      <c r="P29" s="303"/>
      <c r="Q29" s="303"/>
      <c r="R29" s="291"/>
      <c r="S29" s="291"/>
      <c r="T29" s="291"/>
      <c r="U29" s="291">
        <f>U$2</f>
        <v>1</v>
      </c>
      <c r="V29" s="291">
        <f>V$2</f>
        <v>1</v>
      </c>
      <c r="W29" s="291">
        <f t="shared" ref="W29:AB29" si="8">W$2</f>
        <v>1</v>
      </c>
      <c r="X29" s="291">
        <f t="shared" si="8"/>
        <v>1</v>
      </c>
      <c r="Y29" s="291">
        <f t="shared" si="8"/>
        <v>1</v>
      </c>
      <c r="Z29" s="291">
        <f t="shared" si="8"/>
        <v>1</v>
      </c>
      <c r="AA29" s="291">
        <f t="shared" si="8"/>
        <v>1</v>
      </c>
      <c r="AB29" s="291">
        <f t="shared" si="8"/>
        <v>1</v>
      </c>
    </row>
    <row r="30" spans="1:28" s="305" customFormat="1" ht="14.45" hidden="1" customHeight="1" outlineLevel="1" x14ac:dyDescent="0.25">
      <c r="A30" s="278"/>
      <c r="B30" s="279" t="str">
        <f>C30&amp;D30&amp;E30&amp;F30</f>
        <v/>
      </c>
      <c r="C30" s="278"/>
      <c r="D30" s="278"/>
      <c r="E30" s="278"/>
      <c r="F30" s="278"/>
      <c r="G30" s="278"/>
      <c r="H30" s="290"/>
      <c r="I30" s="280">
        <f>$I$2*H30</f>
        <v>0</v>
      </c>
      <c r="J30" s="281">
        <f>$J$2*H30</f>
        <v>0</v>
      </c>
      <c r="K30" s="282">
        <f>IF(Notes!$B$9="Domestic",I30, IF(Notes!$B$9="Commercial",J30))*$K$29</f>
        <v>0</v>
      </c>
      <c r="L30" s="283">
        <f>IF(SUM(O30:Q30)=0,0,(SUM(O30:Q30)+(K30+SUM(M30:Q30))*(INDEX($U$29:$AB$29,MATCH(Notes!$C$16,$U$3:$AB$3,0))-100%))*$L$29)</f>
        <v>0</v>
      </c>
      <c r="M30" s="286"/>
      <c r="N30" s="286"/>
      <c r="O30" s="285"/>
      <c r="P30" s="285"/>
      <c r="Q30" s="285"/>
      <c r="R30" s="278"/>
      <c r="S30" s="278"/>
      <c r="T30" s="278"/>
      <c r="U30" s="304"/>
    </row>
    <row r="31" spans="1:28" s="305" customFormat="1" ht="14.45" hidden="1" customHeight="1" outlineLevel="1" x14ac:dyDescent="0.25">
      <c r="A31" s="278"/>
      <c r="B31" s="279" t="str">
        <f t="shared" ref="B31:B39" si="9">C31&amp;D31&amp;E31&amp;F31</f>
        <v/>
      </c>
      <c r="C31" s="278"/>
      <c r="D31" s="278"/>
      <c r="E31" s="278"/>
      <c r="F31" s="278"/>
      <c r="G31" s="278"/>
      <c r="H31" s="290"/>
      <c r="I31" s="280">
        <f t="shared" ref="I31:I39" si="10">$I$2*H31</f>
        <v>0</v>
      </c>
      <c r="J31" s="281">
        <f t="shared" ref="J31:J39" si="11">$J$2*H31</f>
        <v>0</v>
      </c>
      <c r="K31" s="282">
        <f>IF(Notes!$B$9="Domestic",I31, IF(Notes!$B$9="Commercial",J31))*$K$29</f>
        <v>0</v>
      </c>
      <c r="L31" s="283">
        <f>IF(SUM(O31:Q31)=0,0,(SUM(O31:Q31)+(K31+SUM(M31:Q31))*(INDEX($U$29:$AB$29,MATCH(Notes!$C$16,$U$3:$AB$3,0))-100%))*$L$29)</f>
        <v>0</v>
      </c>
      <c r="M31" s="286"/>
      <c r="N31" s="286"/>
      <c r="O31" s="285"/>
      <c r="P31" s="285"/>
      <c r="Q31" s="285"/>
      <c r="R31" s="278"/>
      <c r="S31" s="278"/>
      <c r="T31" s="278"/>
      <c r="U31" s="304"/>
    </row>
    <row r="32" spans="1:28" s="305" customFormat="1" ht="14.45" hidden="1" customHeight="1" outlineLevel="1" x14ac:dyDescent="0.25">
      <c r="A32" s="278"/>
      <c r="B32" s="279" t="str">
        <f t="shared" si="9"/>
        <v/>
      </c>
      <c r="C32" s="278"/>
      <c r="D32" s="278"/>
      <c r="E32" s="278"/>
      <c r="F32" s="278"/>
      <c r="G32" s="278"/>
      <c r="H32" s="290"/>
      <c r="I32" s="280">
        <f>$I$2*H32</f>
        <v>0</v>
      </c>
      <c r="J32" s="281">
        <f t="shared" si="11"/>
        <v>0</v>
      </c>
      <c r="K32" s="282">
        <f>IF(Notes!$B$9="Domestic",I32, IF(Notes!$B$9="Commercial",J32))*$K$29</f>
        <v>0</v>
      </c>
      <c r="L32" s="283">
        <f>IF(SUM(O32:Q32)=0,0,(SUM(O32:Q32)+(K32+SUM(M32:Q32))*(INDEX($U$29:$AB$29,MATCH(Notes!$C$16,$U$3:$AB$3,0))-100%))*$L$29)</f>
        <v>0</v>
      </c>
      <c r="M32" s="286"/>
      <c r="N32" s="286"/>
      <c r="O32" s="285"/>
      <c r="P32" s="285"/>
      <c r="Q32" s="285"/>
      <c r="R32" s="278"/>
      <c r="S32" s="278"/>
      <c r="T32" s="278"/>
      <c r="U32" s="304"/>
    </row>
    <row r="33" spans="1:28" s="305" customFormat="1" ht="14.45" hidden="1" customHeight="1" outlineLevel="1" x14ac:dyDescent="0.25">
      <c r="A33" s="278"/>
      <c r="B33" s="279" t="str">
        <f t="shared" si="9"/>
        <v/>
      </c>
      <c r="C33" s="278"/>
      <c r="D33" s="278"/>
      <c r="E33" s="278"/>
      <c r="F33" s="278"/>
      <c r="G33" s="278"/>
      <c r="H33" s="290"/>
      <c r="I33" s="280">
        <f t="shared" si="10"/>
        <v>0</v>
      </c>
      <c r="J33" s="281">
        <f t="shared" si="11"/>
        <v>0</v>
      </c>
      <c r="K33" s="282">
        <f>IF(Notes!$B$9="Domestic",I33, IF(Notes!$B$9="Commercial",J33))*$K$29</f>
        <v>0</v>
      </c>
      <c r="L33" s="283">
        <f>IF(SUM(O33:Q33)=0,0,(SUM(O33:Q33)+(K33+SUM(M33:Q33))*(INDEX($U$29:$AB$29,MATCH(Notes!$C$16,$U$3:$AB$3,0))-100%))*$L$29)</f>
        <v>0</v>
      </c>
      <c r="M33" s="286"/>
      <c r="N33" s="286"/>
      <c r="O33" s="285"/>
      <c r="P33" s="285"/>
      <c r="Q33" s="285"/>
      <c r="R33" s="278"/>
      <c r="S33" s="278"/>
      <c r="T33" s="278"/>
    </row>
    <row r="34" spans="1:28" s="305" customFormat="1" ht="14.45" hidden="1" customHeight="1" outlineLevel="1" x14ac:dyDescent="0.25">
      <c r="A34" s="278"/>
      <c r="B34" s="279" t="str">
        <f t="shared" si="9"/>
        <v/>
      </c>
      <c r="C34" s="278"/>
      <c r="D34" s="278"/>
      <c r="E34" s="278"/>
      <c r="F34" s="278"/>
      <c r="G34" s="278"/>
      <c r="H34" s="290"/>
      <c r="I34" s="280">
        <f>$I$2*H34</f>
        <v>0</v>
      </c>
      <c r="J34" s="281">
        <f t="shared" si="11"/>
        <v>0</v>
      </c>
      <c r="K34" s="282">
        <f>IF(Notes!$B$9="Domestic",I34, IF(Notes!$B$9="Commercial",J34))*$K$29</f>
        <v>0</v>
      </c>
      <c r="L34" s="283">
        <f>IF(SUM(O34:Q34)=0,0,(SUM(O34:Q34)+(K34+SUM(M34:Q34))*(INDEX($U$29:$AB$29,MATCH(Notes!$C$16,$U$3:$AB$3,0))-100%))*$L$29)</f>
        <v>0</v>
      </c>
      <c r="M34" s="286"/>
      <c r="N34" s="286"/>
      <c r="O34" s="285"/>
      <c r="P34" s="285"/>
      <c r="Q34" s="285"/>
      <c r="R34" s="278"/>
      <c r="S34" s="278"/>
      <c r="T34" s="278"/>
    </row>
    <row r="35" spans="1:28" s="305" customFormat="1" ht="14.45" hidden="1" customHeight="1" outlineLevel="1" x14ac:dyDescent="0.25">
      <c r="A35" s="278"/>
      <c r="B35" s="279" t="str">
        <f t="shared" si="9"/>
        <v/>
      </c>
      <c r="C35" s="278"/>
      <c r="D35" s="278"/>
      <c r="E35" s="278"/>
      <c r="F35" s="278"/>
      <c r="G35" s="278"/>
      <c r="H35" s="290"/>
      <c r="I35" s="280">
        <f t="shared" si="10"/>
        <v>0</v>
      </c>
      <c r="J35" s="281">
        <f t="shared" si="11"/>
        <v>0</v>
      </c>
      <c r="K35" s="282">
        <f>IF(Notes!$B$9="Domestic",I35, IF(Notes!$B$9="Commercial",J35))*$K$29</f>
        <v>0</v>
      </c>
      <c r="L35" s="283">
        <f>IF(SUM(O35:Q35)=0,0,(SUM(O35:Q35)+(K35+SUM(M35:Q35))*(INDEX($U$29:$AB$29,MATCH(Notes!$C$16,$U$3:$AB$3,0))-100%))*$L$29)</f>
        <v>0</v>
      </c>
      <c r="M35" s="286"/>
      <c r="N35" s="286"/>
      <c r="O35" s="285"/>
      <c r="P35" s="285"/>
      <c r="Q35" s="285"/>
      <c r="R35" s="278"/>
      <c r="S35" s="278"/>
      <c r="T35" s="278"/>
    </row>
    <row r="36" spans="1:28" s="305" customFormat="1" ht="14.45" hidden="1" customHeight="1" outlineLevel="1" x14ac:dyDescent="0.25">
      <c r="A36" s="278"/>
      <c r="B36" s="279" t="str">
        <f t="shared" si="9"/>
        <v/>
      </c>
      <c r="C36" s="278"/>
      <c r="D36" s="278"/>
      <c r="E36" s="278"/>
      <c r="F36" s="278"/>
      <c r="G36" s="278"/>
      <c r="H36" s="290"/>
      <c r="I36" s="280">
        <f t="shared" si="10"/>
        <v>0</v>
      </c>
      <c r="J36" s="281">
        <f t="shared" si="11"/>
        <v>0</v>
      </c>
      <c r="K36" s="282">
        <f>IF(Notes!$B$9="Domestic",I36, IF(Notes!$B$9="Commercial",J36))*$K$29</f>
        <v>0</v>
      </c>
      <c r="L36" s="283">
        <f>IF(SUM(O36:Q36)=0,0,(SUM(O36:Q36)+(K36+SUM(M36:Q36))*(INDEX($U$29:$AB$29,MATCH(Notes!$C$16,$U$3:$AB$3,0))-100%))*$L$29)</f>
        <v>0</v>
      </c>
      <c r="M36" s="286"/>
      <c r="N36" s="286"/>
      <c r="O36" s="285"/>
      <c r="P36" s="285"/>
      <c r="Q36" s="285"/>
      <c r="R36" s="278"/>
      <c r="S36" s="278"/>
      <c r="T36" s="278"/>
    </row>
    <row r="37" spans="1:28" s="305" customFormat="1" ht="14.45" hidden="1" customHeight="1" outlineLevel="1" x14ac:dyDescent="0.25">
      <c r="A37" s="278"/>
      <c r="B37" s="279" t="str">
        <f t="shared" si="9"/>
        <v/>
      </c>
      <c r="C37" s="278"/>
      <c r="D37" s="278"/>
      <c r="E37" s="278"/>
      <c r="F37" s="278"/>
      <c r="G37" s="278"/>
      <c r="H37" s="290"/>
      <c r="I37" s="280">
        <f t="shared" si="10"/>
        <v>0</v>
      </c>
      <c r="J37" s="281">
        <f t="shared" si="11"/>
        <v>0</v>
      </c>
      <c r="K37" s="282">
        <f>IF(Notes!$B$9="Domestic",I37, IF(Notes!$B$9="Commercial",J37))*$K$29</f>
        <v>0</v>
      </c>
      <c r="L37" s="283">
        <f>IF(SUM(O37:Q37)=0,0,(SUM(O37:Q37)+(K37+SUM(M37:Q37))*(INDEX($U$29:$AB$29,MATCH(Notes!$C$16,$U$3:$AB$3,0))-100%))*$L$29)</f>
        <v>0</v>
      </c>
      <c r="M37" s="286"/>
      <c r="N37" s="286"/>
      <c r="O37" s="285"/>
      <c r="P37" s="285"/>
      <c r="Q37" s="285"/>
      <c r="R37" s="278"/>
      <c r="S37" s="278"/>
      <c r="T37" s="278"/>
    </row>
    <row r="38" spans="1:28" s="305" customFormat="1" ht="14.45" hidden="1" customHeight="1" outlineLevel="1" x14ac:dyDescent="0.25">
      <c r="A38" s="278"/>
      <c r="B38" s="279" t="str">
        <f t="shared" si="9"/>
        <v/>
      </c>
      <c r="C38" s="278"/>
      <c r="D38" s="278"/>
      <c r="E38" s="278"/>
      <c r="F38" s="278"/>
      <c r="G38" s="278"/>
      <c r="H38" s="290"/>
      <c r="I38" s="280">
        <f t="shared" si="10"/>
        <v>0</v>
      </c>
      <c r="J38" s="281">
        <f t="shared" si="11"/>
        <v>0</v>
      </c>
      <c r="K38" s="282">
        <f>IF(Notes!$B$9="Domestic",I38, IF(Notes!$B$9="Commercial",J38))*$K$29</f>
        <v>0</v>
      </c>
      <c r="L38" s="283">
        <f>IF(SUM(O38:Q38)=0,0,(SUM(O38:Q38)+(K38+SUM(M38:Q38))*(INDEX($U$29:$AB$29,MATCH(Notes!$C$16,$U$3:$AB$3,0))-100%))*$L$29)</f>
        <v>0</v>
      </c>
      <c r="M38" s="286"/>
      <c r="N38" s="286"/>
      <c r="O38" s="285"/>
      <c r="P38" s="285"/>
      <c r="Q38" s="285"/>
      <c r="R38" s="278"/>
      <c r="S38" s="278"/>
      <c r="T38" s="278"/>
    </row>
    <row r="39" spans="1:28" s="305" customFormat="1" ht="14.45" hidden="1" customHeight="1" outlineLevel="1" x14ac:dyDescent="0.25">
      <c r="A39" s="278"/>
      <c r="B39" s="279" t="str">
        <f t="shared" si="9"/>
        <v/>
      </c>
      <c r="C39" s="278"/>
      <c r="D39" s="278"/>
      <c r="E39" s="278"/>
      <c r="F39" s="278"/>
      <c r="G39" s="278"/>
      <c r="H39" s="290"/>
      <c r="I39" s="280">
        <f t="shared" si="10"/>
        <v>0</v>
      </c>
      <c r="J39" s="281">
        <f t="shared" si="11"/>
        <v>0</v>
      </c>
      <c r="K39" s="282">
        <f>IF(Notes!$B$9="Domestic",I39, IF(Notes!$B$9="Commercial",J39))*$K$29</f>
        <v>0</v>
      </c>
      <c r="L39" s="283">
        <f>IF(SUM(O39:Q39)=0,0,(SUM(O39:Q39)+(K39+SUM(M39:Q39))*(INDEX($U$29:$AB$29,MATCH(Notes!$C$16,$U$3:$AB$3,0))-100%))*$L$29)</f>
        <v>0</v>
      </c>
      <c r="M39" s="286"/>
      <c r="N39" s="286"/>
      <c r="O39" s="285"/>
      <c r="P39" s="285"/>
      <c r="Q39" s="285"/>
      <c r="R39" s="278"/>
      <c r="S39" s="278"/>
      <c r="T39" s="278"/>
    </row>
    <row r="40" spans="1:28" ht="21" hidden="1" outlineLevel="1" x14ac:dyDescent="0.25">
      <c r="A40" s="299"/>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row>
    <row r="41" spans="1:28" ht="15.75" hidden="1" outlineLevel="1" x14ac:dyDescent="0.25">
      <c r="A41" s="291"/>
      <c r="B41" s="291"/>
      <c r="C41" s="291"/>
      <c r="D41" s="291"/>
      <c r="E41" s="291"/>
      <c r="F41" s="291"/>
      <c r="G41" s="291"/>
      <c r="H41" s="291"/>
      <c r="I41" s="291"/>
      <c r="J41" s="291"/>
      <c r="K41" s="291">
        <f>K$2</f>
        <v>1</v>
      </c>
      <c r="L41" s="291">
        <f>L$2</f>
        <v>1</v>
      </c>
      <c r="M41" s="291"/>
      <c r="N41" s="291"/>
      <c r="O41" s="303"/>
      <c r="P41" s="303"/>
      <c r="Q41" s="303"/>
      <c r="R41" s="291"/>
      <c r="S41" s="291"/>
      <c r="T41" s="291"/>
      <c r="U41" s="291">
        <f>U$2</f>
        <v>1</v>
      </c>
      <c r="V41" s="291">
        <f>V$2</f>
        <v>1</v>
      </c>
      <c r="W41" s="291">
        <f t="shared" ref="W41:AB41" si="12">W$2</f>
        <v>1</v>
      </c>
      <c r="X41" s="291">
        <f t="shared" si="12"/>
        <v>1</v>
      </c>
      <c r="Y41" s="291">
        <f t="shared" si="12"/>
        <v>1</v>
      </c>
      <c r="Z41" s="291">
        <f t="shared" si="12"/>
        <v>1</v>
      </c>
      <c r="AA41" s="291">
        <f t="shared" si="12"/>
        <v>1</v>
      </c>
      <c r="AB41" s="291">
        <f t="shared" si="12"/>
        <v>1</v>
      </c>
    </row>
    <row r="42" spans="1:28" s="305" customFormat="1" ht="14.45" hidden="1" customHeight="1" outlineLevel="1" x14ac:dyDescent="0.25">
      <c r="A42" s="278"/>
      <c r="B42" s="279" t="str">
        <f>C42&amp;D42&amp;E42&amp;F42</f>
        <v/>
      </c>
      <c r="C42" s="278"/>
      <c r="D42" s="278"/>
      <c r="E42" s="278"/>
      <c r="F42" s="278"/>
      <c r="G42" s="278"/>
      <c r="H42" s="290"/>
      <c r="I42" s="280">
        <f>$I$2*H42</f>
        <v>0</v>
      </c>
      <c r="J42" s="281">
        <f>$J$2*H42</f>
        <v>0</v>
      </c>
      <c r="K42" s="282">
        <f>IF(Notes!$B$9="Domestic",I42, IF(Notes!$B$9="Commercial",J42))*$K$41</f>
        <v>0</v>
      </c>
      <c r="L42" s="283">
        <f>IF(SUM(O42:Q42)=0,0,(SUM(O42:Q42)+(K42+SUM(M42:Q42))*(INDEX($U$41:$AB$41,MATCH(Notes!$C$16,$U$3:$AB$3,0))-100%))*$L$41)</f>
        <v>0</v>
      </c>
      <c r="M42" s="286"/>
      <c r="N42" s="286"/>
      <c r="O42" s="285"/>
      <c r="P42" s="285"/>
      <c r="Q42" s="285"/>
      <c r="R42" s="278"/>
      <c r="S42" s="278"/>
      <c r="T42" s="278"/>
      <c r="U42" s="304"/>
    </row>
    <row r="43" spans="1:28" s="305" customFormat="1" ht="14.45" hidden="1" customHeight="1" outlineLevel="1" x14ac:dyDescent="0.25">
      <c r="A43" s="278"/>
      <c r="B43" s="279" t="str">
        <f t="shared" ref="B43:B51" si="13">C43&amp;D43&amp;E43&amp;F43</f>
        <v/>
      </c>
      <c r="C43" s="278"/>
      <c r="D43" s="278"/>
      <c r="E43" s="278"/>
      <c r="F43" s="278"/>
      <c r="G43" s="278"/>
      <c r="H43" s="290"/>
      <c r="I43" s="280">
        <f t="shared" ref="I43:I51" si="14">$I$2*H43</f>
        <v>0</v>
      </c>
      <c r="J43" s="281">
        <f t="shared" ref="J43:J51" si="15">$J$2*H43</f>
        <v>0</v>
      </c>
      <c r="K43" s="282">
        <f>IF(Notes!$B$9="Domestic",I43, IF(Notes!$B$9="Commercial",J43))*$K$41</f>
        <v>0</v>
      </c>
      <c r="L43" s="283">
        <f>IF(SUM(O43:Q43)=0,0,(SUM(O43:Q43)+(K43+SUM(M43:Q43))*(INDEX($U$41:$AB$41,MATCH(Notes!$C$16,$U$3:$AB$3,0))-100%))*$L$41)</f>
        <v>0</v>
      </c>
      <c r="M43" s="286"/>
      <c r="N43" s="286"/>
      <c r="O43" s="285"/>
      <c r="P43" s="285"/>
      <c r="Q43" s="285"/>
      <c r="R43" s="278"/>
      <c r="S43" s="278"/>
      <c r="T43" s="278"/>
      <c r="U43" s="304"/>
    </row>
    <row r="44" spans="1:28" s="305" customFormat="1" ht="14.45" hidden="1" customHeight="1" outlineLevel="1" x14ac:dyDescent="0.25">
      <c r="A44" s="278"/>
      <c r="B44" s="279" t="str">
        <f t="shared" si="13"/>
        <v/>
      </c>
      <c r="C44" s="278"/>
      <c r="D44" s="278"/>
      <c r="E44" s="278"/>
      <c r="F44" s="278"/>
      <c r="G44" s="278"/>
      <c r="H44" s="290"/>
      <c r="I44" s="280">
        <f t="shared" si="14"/>
        <v>0</v>
      </c>
      <c r="J44" s="281">
        <f t="shared" si="15"/>
        <v>0</v>
      </c>
      <c r="K44" s="282">
        <f>IF(Notes!$B$9="Domestic",I44, IF(Notes!$B$9="Commercial",J44))*$K$41</f>
        <v>0</v>
      </c>
      <c r="L44" s="283">
        <f>IF(SUM(O44:Q44)=0,0,(SUM(O44:Q44)+(K44+SUM(M44:Q44))*(INDEX($U$41:$AB$41,MATCH(Notes!$C$16,$U$3:$AB$3,0))-100%))*$L$41)</f>
        <v>0</v>
      </c>
      <c r="M44" s="286"/>
      <c r="N44" s="286"/>
      <c r="O44" s="285"/>
      <c r="P44" s="285"/>
      <c r="Q44" s="285"/>
      <c r="R44" s="278"/>
      <c r="S44" s="278"/>
      <c r="T44" s="278"/>
      <c r="U44" s="304"/>
    </row>
    <row r="45" spans="1:28" s="305" customFormat="1" hidden="1" outlineLevel="1" x14ac:dyDescent="0.25">
      <c r="A45" s="278"/>
      <c r="B45" s="279" t="str">
        <f t="shared" si="13"/>
        <v/>
      </c>
      <c r="C45" s="278"/>
      <c r="D45" s="278"/>
      <c r="E45" s="278"/>
      <c r="F45" s="278"/>
      <c r="G45" s="278"/>
      <c r="H45" s="290"/>
      <c r="I45" s="280">
        <f t="shared" si="14"/>
        <v>0</v>
      </c>
      <c r="J45" s="281">
        <f t="shared" si="15"/>
        <v>0</v>
      </c>
      <c r="K45" s="282">
        <f>IF(Notes!$B$9="Domestic",I45, IF(Notes!$B$9="Commercial",J45))*$K$41</f>
        <v>0</v>
      </c>
      <c r="L45" s="283">
        <f>IF(SUM(O45:Q45)=0,0,(SUM(O45:Q45)+(K45+SUM(M45:Q45))*(INDEX($U$41:$AB$41,MATCH(Notes!$C$16,$U$3:$AB$3,0))-100%))*$L$41)</f>
        <v>0</v>
      </c>
      <c r="M45" s="286"/>
      <c r="N45" s="286"/>
      <c r="O45" s="285"/>
      <c r="P45" s="285"/>
      <c r="Q45" s="285"/>
      <c r="R45" s="278"/>
      <c r="S45" s="278"/>
      <c r="T45" s="278"/>
    </row>
    <row r="46" spans="1:28" s="305" customFormat="1" hidden="1" outlineLevel="1" x14ac:dyDescent="0.25">
      <c r="A46" s="278"/>
      <c r="B46" s="279" t="str">
        <f t="shared" si="13"/>
        <v/>
      </c>
      <c r="C46" s="278"/>
      <c r="D46" s="278"/>
      <c r="E46" s="278"/>
      <c r="F46" s="278"/>
      <c r="G46" s="278"/>
      <c r="H46" s="290"/>
      <c r="I46" s="280">
        <f>$I$2*H46</f>
        <v>0</v>
      </c>
      <c r="J46" s="281">
        <f t="shared" si="15"/>
        <v>0</v>
      </c>
      <c r="K46" s="282">
        <f>IF(Notes!$B$9="Domestic",I46, IF(Notes!$B$9="Commercial",J46))*$K$41</f>
        <v>0</v>
      </c>
      <c r="L46" s="283">
        <f>IF(SUM(O46:Q46)=0,0,(SUM(O46:Q46)+(K46+SUM(M46:Q46))*(INDEX($U$41:$AB$41,MATCH(Notes!$C$16,$U$3:$AB$3,0))-100%))*$L$41)</f>
        <v>0</v>
      </c>
      <c r="M46" s="286"/>
      <c r="N46" s="286"/>
      <c r="O46" s="285"/>
      <c r="P46" s="285"/>
      <c r="Q46" s="285"/>
      <c r="R46" s="278"/>
      <c r="S46" s="278"/>
      <c r="T46" s="278"/>
    </row>
    <row r="47" spans="1:28" s="305" customFormat="1" hidden="1" outlineLevel="1" x14ac:dyDescent="0.25">
      <c r="A47" s="278"/>
      <c r="B47" s="279" t="str">
        <f t="shared" si="13"/>
        <v/>
      </c>
      <c r="C47" s="278"/>
      <c r="D47" s="278"/>
      <c r="E47" s="278"/>
      <c r="F47" s="278"/>
      <c r="G47" s="278"/>
      <c r="H47" s="290"/>
      <c r="I47" s="280">
        <f t="shared" si="14"/>
        <v>0</v>
      </c>
      <c r="J47" s="281">
        <f t="shared" si="15"/>
        <v>0</v>
      </c>
      <c r="K47" s="282">
        <f>IF(Notes!$B$9="Domestic",I47, IF(Notes!$B$9="Commercial",J47))*$K$41</f>
        <v>0</v>
      </c>
      <c r="L47" s="283">
        <f>IF(SUM(O47:Q47)=0,0,(SUM(O47:Q47)+(K47+SUM(M47:Q47))*(INDEX($U$41:$AB$41,MATCH(Notes!$C$16,$U$3:$AB$3,0))-100%))*$L$41)</f>
        <v>0</v>
      </c>
      <c r="M47" s="286"/>
      <c r="N47" s="286"/>
      <c r="O47" s="285"/>
      <c r="P47" s="285"/>
      <c r="Q47" s="285"/>
      <c r="R47" s="278"/>
      <c r="S47" s="278"/>
      <c r="T47" s="278"/>
    </row>
    <row r="48" spans="1:28" s="305" customFormat="1" hidden="1" outlineLevel="1" x14ac:dyDescent="0.25">
      <c r="A48" s="278"/>
      <c r="B48" s="279" t="str">
        <f t="shared" si="13"/>
        <v/>
      </c>
      <c r="C48" s="278"/>
      <c r="D48" s="278"/>
      <c r="E48" s="278"/>
      <c r="F48" s="278"/>
      <c r="G48" s="278"/>
      <c r="H48" s="290"/>
      <c r="I48" s="280">
        <f t="shared" si="14"/>
        <v>0</v>
      </c>
      <c r="J48" s="281">
        <f t="shared" si="15"/>
        <v>0</v>
      </c>
      <c r="K48" s="282">
        <f>IF(Notes!$B$9="Domestic",I48, IF(Notes!$B$9="Commercial",J48))*$K$41</f>
        <v>0</v>
      </c>
      <c r="L48" s="283">
        <f>IF(SUM(O48:Q48)=0,0,(SUM(O48:Q48)+(K48+SUM(M48:Q48))*(INDEX($U$41:$AB$41,MATCH(Notes!$C$16,$U$3:$AB$3,0))-100%))*$L$41)</f>
        <v>0</v>
      </c>
      <c r="M48" s="286"/>
      <c r="N48" s="286"/>
      <c r="O48" s="285"/>
      <c r="P48" s="285"/>
      <c r="Q48" s="285"/>
      <c r="R48" s="278"/>
      <c r="S48" s="278"/>
      <c r="T48" s="278"/>
    </row>
    <row r="49" spans="1:28" s="305" customFormat="1" hidden="1" outlineLevel="1" x14ac:dyDescent="0.25">
      <c r="A49" s="278"/>
      <c r="B49" s="279" t="str">
        <f t="shared" si="13"/>
        <v/>
      </c>
      <c r="C49" s="278"/>
      <c r="D49" s="278"/>
      <c r="E49" s="278"/>
      <c r="F49" s="278"/>
      <c r="G49" s="278"/>
      <c r="H49" s="290"/>
      <c r="I49" s="280">
        <f t="shared" si="14"/>
        <v>0</v>
      </c>
      <c r="J49" s="281">
        <f t="shared" si="15"/>
        <v>0</v>
      </c>
      <c r="K49" s="282">
        <f>IF(Notes!$B$9="Domestic",I49, IF(Notes!$B$9="Commercial",J49))*$K$41</f>
        <v>0</v>
      </c>
      <c r="L49" s="283">
        <f>IF(SUM(O49:Q49)=0,0,(SUM(O49:Q49)+(K49+SUM(M49:Q49))*(INDEX($U$41:$AB$41,MATCH(Notes!$C$16,$U$3:$AB$3,0))-100%))*$L$41)</f>
        <v>0</v>
      </c>
      <c r="M49" s="286"/>
      <c r="N49" s="286"/>
      <c r="O49" s="285"/>
      <c r="P49" s="285"/>
      <c r="Q49" s="285"/>
      <c r="R49" s="278"/>
      <c r="S49" s="278"/>
      <c r="T49" s="278"/>
    </row>
    <row r="50" spans="1:28" s="305" customFormat="1" hidden="1" outlineLevel="1" x14ac:dyDescent="0.25">
      <c r="A50" s="278"/>
      <c r="B50" s="279" t="str">
        <f t="shared" si="13"/>
        <v/>
      </c>
      <c r="C50" s="278"/>
      <c r="D50" s="278"/>
      <c r="E50" s="278"/>
      <c r="F50" s="278"/>
      <c r="G50" s="278"/>
      <c r="H50" s="290"/>
      <c r="I50" s="280">
        <f t="shared" si="14"/>
        <v>0</v>
      </c>
      <c r="J50" s="281">
        <f t="shared" si="15"/>
        <v>0</v>
      </c>
      <c r="K50" s="282">
        <f>IF(Notes!$B$9="Domestic",I50, IF(Notes!$B$9="Commercial",J50))*$K$41</f>
        <v>0</v>
      </c>
      <c r="L50" s="283">
        <f>IF(SUM(O50:Q50)=0,0,(SUM(O50:Q50)+(K50+SUM(M50:Q50))*(INDEX($U$41:$AB$41,MATCH(Notes!$C$16,$U$3:$AB$3,0))-100%))*$L$41)</f>
        <v>0</v>
      </c>
      <c r="M50" s="286"/>
      <c r="N50" s="286"/>
      <c r="O50" s="285"/>
      <c r="P50" s="285"/>
      <c r="Q50" s="285"/>
      <c r="R50" s="278"/>
      <c r="S50" s="278"/>
      <c r="T50" s="278"/>
    </row>
    <row r="51" spans="1:28" s="305" customFormat="1" hidden="1" outlineLevel="1" x14ac:dyDescent="0.25">
      <c r="A51" s="278"/>
      <c r="B51" s="279" t="str">
        <f t="shared" si="13"/>
        <v/>
      </c>
      <c r="C51" s="278"/>
      <c r="D51" s="278"/>
      <c r="E51" s="278"/>
      <c r="F51" s="278"/>
      <c r="G51" s="278"/>
      <c r="H51" s="290"/>
      <c r="I51" s="280">
        <f t="shared" si="14"/>
        <v>0</v>
      </c>
      <c r="J51" s="281">
        <f t="shared" si="15"/>
        <v>0</v>
      </c>
      <c r="K51" s="282">
        <f>IF(Notes!$B$9="Domestic",I51, IF(Notes!$B$9="Commercial",J51))*$K$41</f>
        <v>0</v>
      </c>
      <c r="L51" s="283">
        <f>IF(SUM(O51:Q51)=0,0,(SUM(O51:Q51)+(K51+SUM(M51:Q51))*(INDEX($U$41:$AB$41,MATCH(Notes!$C$16,$U$3:$AB$3,0))-100%))*$L$41)</f>
        <v>0</v>
      </c>
      <c r="M51" s="286"/>
      <c r="N51" s="286"/>
      <c r="O51" s="285"/>
      <c r="P51" s="285"/>
      <c r="Q51" s="285"/>
      <c r="R51" s="278"/>
      <c r="S51" s="278"/>
      <c r="T51" s="278"/>
    </row>
    <row r="52" spans="1:28" ht="21" hidden="1" outlineLevel="1" x14ac:dyDescent="0.25">
      <c r="A52" s="299"/>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row>
    <row r="53" spans="1:28" ht="15.75" hidden="1" outlineLevel="1" x14ac:dyDescent="0.25">
      <c r="A53" s="291"/>
      <c r="B53" s="291"/>
      <c r="C53" s="291"/>
      <c r="D53" s="291"/>
      <c r="E53" s="291"/>
      <c r="F53" s="291"/>
      <c r="G53" s="291"/>
      <c r="H53" s="291"/>
      <c r="I53" s="291"/>
      <c r="J53" s="291"/>
      <c r="K53" s="291">
        <f>K$2</f>
        <v>1</v>
      </c>
      <c r="L53" s="291">
        <f>L$2</f>
        <v>1</v>
      </c>
      <c r="M53" s="291"/>
      <c r="N53" s="291"/>
      <c r="O53" s="303"/>
      <c r="P53" s="303"/>
      <c r="Q53" s="303"/>
      <c r="R53" s="291"/>
      <c r="S53" s="291"/>
      <c r="T53" s="291"/>
      <c r="U53" s="291">
        <f>U$2</f>
        <v>1</v>
      </c>
      <c r="V53" s="291">
        <f>V$2</f>
        <v>1</v>
      </c>
      <c r="W53" s="291">
        <f t="shared" ref="W53:AB53" si="16">W$2</f>
        <v>1</v>
      </c>
      <c r="X53" s="291">
        <f t="shared" si="16"/>
        <v>1</v>
      </c>
      <c r="Y53" s="291">
        <f t="shared" si="16"/>
        <v>1</v>
      </c>
      <c r="Z53" s="291">
        <f t="shared" si="16"/>
        <v>1</v>
      </c>
      <c r="AA53" s="291">
        <f t="shared" si="16"/>
        <v>1</v>
      </c>
      <c r="AB53" s="291">
        <f t="shared" si="16"/>
        <v>1</v>
      </c>
    </row>
    <row r="54" spans="1:28" s="305" customFormat="1" ht="14.45" hidden="1" customHeight="1" outlineLevel="1" x14ac:dyDescent="0.25">
      <c r="A54" s="278"/>
      <c r="B54" s="279" t="str">
        <f>C54&amp;D54&amp;E54&amp;F54</f>
        <v/>
      </c>
      <c r="C54" s="278"/>
      <c r="D54" s="278"/>
      <c r="E54" s="278"/>
      <c r="F54" s="278"/>
      <c r="G54" s="278"/>
      <c r="H54" s="290"/>
      <c r="I54" s="280">
        <f>$I$2*H54</f>
        <v>0</v>
      </c>
      <c r="J54" s="281">
        <f>$J$2*H54</f>
        <v>0</v>
      </c>
      <c r="K54" s="282">
        <f>IF(Notes!$B$9="Domestic",I54, IF(Notes!$B$9="Commercial",J54))*$K$53</f>
        <v>0</v>
      </c>
      <c r="L54" s="283">
        <f>IF(SUM(O54:Q54)=0,0,(SUM(O54:Q54)+(K54+SUM(M54:Q54))*(INDEX($U$53:$AB$53,MATCH(Notes!$C$16,$U$3:$AB$3,0))-100%))*$L$53)</f>
        <v>0</v>
      </c>
      <c r="M54" s="286"/>
      <c r="N54" s="286"/>
      <c r="O54" s="285"/>
      <c r="P54" s="285"/>
      <c r="Q54" s="285"/>
      <c r="R54" s="278"/>
      <c r="S54" s="278"/>
      <c r="T54" s="278"/>
      <c r="U54" s="304"/>
    </row>
    <row r="55" spans="1:28" s="305" customFormat="1" ht="14.45" hidden="1" customHeight="1" outlineLevel="1" x14ac:dyDescent="0.25">
      <c r="A55" s="278"/>
      <c r="B55" s="279" t="str">
        <f t="shared" ref="B55:B63" si="17">C55&amp;D55&amp;E55&amp;F55</f>
        <v/>
      </c>
      <c r="C55" s="278"/>
      <c r="D55" s="278"/>
      <c r="E55" s="278"/>
      <c r="F55" s="278"/>
      <c r="G55" s="278"/>
      <c r="H55" s="290"/>
      <c r="I55" s="280">
        <f t="shared" ref="I55:I63" si="18">$I$2*H55</f>
        <v>0</v>
      </c>
      <c r="J55" s="281">
        <f t="shared" ref="J55:J63" si="19">$J$2*H55</f>
        <v>0</v>
      </c>
      <c r="K55" s="282">
        <f>IF(Notes!$B$9="Domestic",I55, IF(Notes!$B$9="Commercial",J55))*$K$53</f>
        <v>0</v>
      </c>
      <c r="L55" s="283">
        <f>IF(SUM(O55:Q55)=0,0,(SUM(O55:Q55)+(K55+SUM(M55:Q55))*(INDEX($U$53:$AB$53,MATCH(Notes!$C$16,$U$3:$AB$3,0))-100%))*$L$53)</f>
        <v>0</v>
      </c>
      <c r="M55" s="286"/>
      <c r="N55" s="286"/>
      <c r="O55" s="285"/>
      <c r="P55" s="285"/>
      <c r="Q55" s="285"/>
      <c r="R55" s="278"/>
      <c r="S55" s="278"/>
      <c r="T55" s="278"/>
      <c r="U55" s="304"/>
    </row>
    <row r="56" spans="1:28" s="305" customFormat="1" ht="14.45" hidden="1" customHeight="1" outlineLevel="1" x14ac:dyDescent="0.25">
      <c r="A56" s="278"/>
      <c r="B56" s="279" t="str">
        <f t="shared" si="17"/>
        <v/>
      </c>
      <c r="C56" s="278"/>
      <c r="D56" s="278"/>
      <c r="E56" s="278"/>
      <c r="F56" s="278"/>
      <c r="G56" s="278"/>
      <c r="H56" s="290"/>
      <c r="I56" s="280">
        <f t="shared" si="18"/>
        <v>0</v>
      </c>
      <c r="J56" s="281">
        <f t="shared" si="19"/>
        <v>0</v>
      </c>
      <c r="K56" s="282">
        <f>IF(Notes!$B$9="Domestic",I56, IF(Notes!$B$9="Commercial",J56))*$K$53</f>
        <v>0</v>
      </c>
      <c r="L56" s="283">
        <f>IF(SUM(O56:Q56)=0,0,(SUM(O56:Q56)+(K56+SUM(M56:Q56))*(INDEX($U$53:$AB$53,MATCH(Notes!$C$16,$U$3:$AB$3,0))-100%))*$L$53)</f>
        <v>0</v>
      </c>
      <c r="M56" s="286"/>
      <c r="N56" s="286"/>
      <c r="O56" s="285"/>
      <c r="P56" s="285"/>
      <c r="Q56" s="285"/>
      <c r="R56" s="278"/>
      <c r="S56" s="278"/>
      <c r="T56" s="278"/>
      <c r="U56" s="304"/>
    </row>
    <row r="57" spans="1:28" s="305" customFormat="1" ht="14.45" hidden="1" customHeight="1" outlineLevel="1" x14ac:dyDescent="0.25">
      <c r="A57" s="278"/>
      <c r="B57" s="279" t="str">
        <f t="shared" si="17"/>
        <v/>
      </c>
      <c r="C57" s="278"/>
      <c r="D57" s="278"/>
      <c r="E57" s="278"/>
      <c r="F57" s="278"/>
      <c r="G57" s="278"/>
      <c r="H57" s="290"/>
      <c r="I57" s="280">
        <f t="shared" si="18"/>
        <v>0</v>
      </c>
      <c r="J57" s="281">
        <f t="shared" si="19"/>
        <v>0</v>
      </c>
      <c r="K57" s="282">
        <f>IF(Notes!$B$9="Domestic",I57, IF(Notes!$B$9="Commercial",J57))*$K$53</f>
        <v>0</v>
      </c>
      <c r="L57" s="283">
        <f>IF(SUM(O57:Q57)=0,0,(SUM(O57:Q57)+(K57+SUM(M57:Q57))*(INDEX($U$53:$AB$53,MATCH(Notes!$C$16,$U$3:$AB$3,0))-100%))*$L$53)</f>
        <v>0</v>
      </c>
      <c r="M57" s="286"/>
      <c r="N57" s="286"/>
      <c r="O57" s="285"/>
      <c r="P57" s="285"/>
      <c r="Q57" s="285"/>
      <c r="R57" s="278"/>
      <c r="S57" s="278"/>
      <c r="T57" s="278"/>
    </row>
    <row r="58" spans="1:28" s="305" customFormat="1" hidden="1" outlineLevel="1" x14ac:dyDescent="0.25">
      <c r="A58" s="278"/>
      <c r="B58" s="279" t="str">
        <f t="shared" si="17"/>
        <v/>
      </c>
      <c r="C58" s="278"/>
      <c r="D58" s="278"/>
      <c r="E58" s="278"/>
      <c r="F58" s="278"/>
      <c r="G58" s="278"/>
      <c r="H58" s="290"/>
      <c r="I58" s="280">
        <f>$I$2*H58</f>
        <v>0</v>
      </c>
      <c r="J58" s="281">
        <f t="shared" si="19"/>
        <v>0</v>
      </c>
      <c r="K58" s="282">
        <f>IF(Notes!$B$9="Domestic",I58, IF(Notes!$B$9="Commercial",J58))*$K$53</f>
        <v>0</v>
      </c>
      <c r="L58" s="283">
        <f>IF(SUM(O58:Q58)=0,0,(SUM(O58:Q58)+(K58+SUM(M58:Q58))*(INDEX($U$53:$AB$53,MATCH(Notes!$C$16,$U$3:$AB$3,0))-100%))*$L$53)</f>
        <v>0</v>
      </c>
      <c r="M58" s="286"/>
      <c r="N58" s="286"/>
      <c r="O58" s="285"/>
      <c r="P58" s="285"/>
      <c r="Q58" s="285"/>
      <c r="R58" s="278"/>
      <c r="S58" s="278"/>
      <c r="T58" s="278"/>
    </row>
    <row r="59" spans="1:28" s="305" customFormat="1" hidden="1" outlineLevel="1" x14ac:dyDescent="0.25">
      <c r="A59" s="278"/>
      <c r="B59" s="279" t="str">
        <f t="shared" si="17"/>
        <v/>
      </c>
      <c r="C59" s="278"/>
      <c r="D59" s="278"/>
      <c r="E59" s="278"/>
      <c r="F59" s="278"/>
      <c r="G59" s="278"/>
      <c r="H59" s="290"/>
      <c r="I59" s="280">
        <f t="shared" si="18"/>
        <v>0</v>
      </c>
      <c r="J59" s="281">
        <f t="shared" si="19"/>
        <v>0</v>
      </c>
      <c r="K59" s="282">
        <f>IF(Notes!$B$9="Domestic",I59, IF(Notes!$B$9="Commercial",J59))*$K$53</f>
        <v>0</v>
      </c>
      <c r="L59" s="283">
        <f>IF(SUM(O59:Q59)=0,0,(SUM(O59:Q59)+(K59+SUM(M59:Q59))*(INDEX($U$53:$AB$53,MATCH(Notes!$C$16,$U$3:$AB$3,0))-100%))*$L$53)</f>
        <v>0</v>
      </c>
      <c r="M59" s="286"/>
      <c r="N59" s="286"/>
      <c r="O59" s="285"/>
      <c r="P59" s="285"/>
      <c r="Q59" s="285"/>
      <c r="R59" s="278"/>
      <c r="S59" s="278"/>
      <c r="T59" s="278"/>
    </row>
    <row r="60" spans="1:28" s="305" customFormat="1" hidden="1" outlineLevel="1" x14ac:dyDescent="0.25">
      <c r="A60" s="278"/>
      <c r="B60" s="279" t="str">
        <f t="shared" si="17"/>
        <v/>
      </c>
      <c r="C60" s="278"/>
      <c r="D60" s="278"/>
      <c r="E60" s="278"/>
      <c r="F60" s="278"/>
      <c r="G60" s="278"/>
      <c r="H60" s="290"/>
      <c r="I60" s="280">
        <f t="shared" si="18"/>
        <v>0</v>
      </c>
      <c r="J60" s="281">
        <f t="shared" si="19"/>
        <v>0</v>
      </c>
      <c r="K60" s="282">
        <f>IF(Notes!$B$9="Domestic",I60, IF(Notes!$B$9="Commercial",J60))*$K$53</f>
        <v>0</v>
      </c>
      <c r="L60" s="283">
        <f>IF(SUM(O60:Q60)=0,0,(SUM(O60:Q60)+(K60+SUM(M60:Q60))*(INDEX($U$53:$AB$53,MATCH(Notes!$C$16,$U$3:$AB$3,0))-100%))*$L$53)</f>
        <v>0</v>
      </c>
      <c r="M60" s="286"/>
      <c r="N60" s="286"/>
      <c r="O60" s="285"/>
      <c r="P60" s="285"/>
      <c r="Q60" s="285"/>
      <c r="R60" s="278"/>
      <c r="S60" s="278"/>
      <c r="T60" s="278"/>
    </row>
    <row r="61" spans="1:28" s="305" customFormat="1" hidden="1" outlineLevel="1" x14ac:dyDescent="0.25">
      <c r="A61" s="278"/>
      <c r="B61" s="279" t="str">
        <f t="shared" si="17"/>
        <v/>
      </c>
      <c r="C61" s="278"/>
      <c r="D61" s="278"/>
      <c r="E61" s="278"/>
      <c r="F61" s="278"/>
      <c r="G61" s="278"/>
      <c r="H61" s="290"/>
      <c r="I61" s="280">
        <f t="shared" si="18"/>
        <v>0</v>
      </c>
      <c r="J61" s="281">
        <f t="shared" si="19"/>
        <v>0</v>
      </c>
      <c r="K61" s="282">
        <f>IF(Notes!$B$9="Domestic",I61, IF(Notes!$B$9="Commercial",J61))*$K$53</f>
        <v>0</v>
      </c>
      <c r="L61" s="283">
        <f>IF(SUM(O61:Q61)=0,0,(SUM(O61:Q61)+(K61+SUM(M61:Q61))*(INDEX($U$53:$AB$53,MATCH(Notes!$C$16,$U$3:$AB$3,0))-100%))*$L$53)</f>
        <v>0</v>
      </c>
      <c r="M61" s="286"/>
      <c r="N61" s="286"/>
      <c r="O61" s="285"/>
      <c r="P61" s="285"/>
      <c r="Q61" s="285"/>
      <c r="R61" s="278"/>
      <c r="S61" s="278"/>
      <c r="T61" s="278"/>
    </row>
    <row r="62" spans="1:28" s="305" customFormat="1" hidden="1" outlineLevel="1" x14ac:dyDescent="0.25">
      <c r="A62" s="278"/>
      <c r="B62" s="279" t="str">
        <f t="shared" si="17"/>
        <v/>
      </c>
      <c r="C62" s="278"/>
      <c r="D62" s="278"/>
      <c r="E62" s="278"/>
      <c r="F62" s="278"/>
      <c r="G62" s="278"/>
      <c r="H62" s="290"/>
      <c r="I62" s="280">
        <f t="shared" si="18"/>
        <v>0</v>
      </c>
      <c r="J62" s="281">
        <f t="shared" si="19"/>
        <v>0</v>
      </c>
      <c r="K62" s="282">
        <f>IF(Notes!$B$9="Domestic",I62, IF(Notes!$B$9="Commercial",J62))*$K$53</f>
        <v>0</v>
      </c>
      <c r="L62" s="283">
        <f>IF(SUM(O62:Q62)=0,0,(SUM(O62:Q62)+(K62+SUM(M62:Q62))*(INDEX($U$53:$AB$53,MATCH(Notes!$C$16,$U$3:$AB$3,0))-100%))*$L$53)</f>
        <v>0</v>
      </c>
      <c r="M62" s="286"/>
      <c r="N62" s="286"/>
      <c r="O62" s="285"/>
      <c r="P62" s="285"/>
      <c r="Q62" s="285"/>
      <c r="R62" s="278"/>
      <c r="S62" s="278"/>
      <c r="T62" s="278"/>
    </row>
    <row r="63" spans="1:28" s="305" customFormat="1" hidden="1" outlineLevel="1" x14ac:dyDescent="0.25">
      <c r="A63" s="278"/>
      <c r="B63" s="279" t="str">
        <f t="shared" si="17"/>
        <v/>
      </c>
      <c r="C63" s="278"/>
      <c r="D63" s="278"/>
      <c r="E63" s="278"/>
      <c r="F63" s="278"/>
      <c r="G63" s="278"/>
      <c r="H63" s="290"/>
      <c r="I63" s="280">
        <f t="shared" si="18"/>
        <v>0</v>
      </c>
      <c r="J63" s="281">
        <f t="shared" si="19"/>
        <v>0</v>
      </c>
      <c r="K63" s="282">
        <f>IF(Notes!$B$9="Domestic",I63, IF(Notes!$B$9="Commercial",J63))*$K$53</f>
        <v>0</v>
      </c>
      <c r="L63" s="283">
        <f>IF(SUM(O63:Q63)=0,0,(SUM(O63:Q63)+(K63+SUM(M63:Q63))*(INDEX($U$53:$AB$53,MATCH(Notes!$C$16,$U$3:$AB$3,0))-100%))*$L$53)</f>
        <v>0</v>
      </c>
      <c r="M63" s="286"/>
      <c r="N63" s="286"/>
      <c r="O63" s="285"/>
      <c r="P63" s="285"/>
      <c r="Q63" s="285"/>
      <c r="R63" s="278"/>
      <c r="S63" s="278"/>
      <c r="T63" s="278"/>
    </row>
    <row r="64" spans="1:28" ht="21" hidden="1" outlineLevel="1" x14ac:dyDescent="0.25">
      <c r="A64" s="299"/>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row>
    <row r="65" spans="1:28" ht="15.75" hidden="1" outlineLevel="1" x14ac:dyDescent="0.25">
      <c r="A65" s="291"/>
      <c r="B65" s="291"/>
      <c r="C65" s="291"/>
      <c r="D65" s="291"/>
      <c r="E65" s="291"/>
      <c r="F65" s="291"/>
      <c r="G65" s="291"/>
      <c r="H65" s="291"/>
      <c r="I65" s="291"/>
      <c r="J65" s="291"/>
      <c r="K65" s="291">
        <f>K$2</f>
        <v>1</v>
      </c>
      <c r="L65" s="291">
        <f>L$2</f>
        <v>1</v>
      </c>
      <c r="M65" s="291"/>
      <c r="N65" s="291"/>
      <c r="O65" s="303"/>
      <c r="P65" s="303"/>
      <c r="Q65" s="303"/>
      <c r="R65" s="291"/>
      <c r="S65" s="291"/>
      <c r="T65" s="291"/>
      <c r="U65" s="291">
        <f>U$2</f>
        <v>1</v>
      </c>
      <c r="V65" s="291">
        <f>V$2</f>
        <v>1</v>
      </c>
      <c r="W65" s="291">
        <f t="shared" ref="W65:AB65" si="20">W$2</f>
        <v>1</v>
      </c>
      <c r="X65" s="291">
        <f t="shared" si="20"/>
        <v>1</v>
      </c>
      <c r="Y65" s="291">
        <f t="shared" si="20"/>
        <v>1</v>
      </c>
      <c r="Z65" s="291">
        <f t="shared" si="20"/>
        <v>1</v>
      </c>
      <c r="AA65" s="291">
        <f t="shared" si="20"/>
        <v>1</v>
      </c>
      <c r="AB65" s="291">
        <f t="shared" si="20"/>
        <v>1</v>
      </c>
    </row>
    <row r="66" spans="1:28" s="305" customFormat="1" ht="14.45" hidden="1" customHeight="1" outlineLevel="1" x14ac:dyDescent="0.25">
      <c r="A66" s="278"/>
      <c r="B66" s="279" t="str">
        <f>C66&amp;D66&amp;E66&amp;F66</f>
        <v/>
      </c>
      <c r="C66" s="278"/>
      <c r="D66" s="278"/>
      <c r="E66" s="278"/>
      <c r="F66" s="278"/>
      <c r="G66" s="278"/>
      <c r="H66" s="290"/>
      <c r="I66" s="280">
        <f>$I$2*H66</f>
        <v>0</v>
      </c>
      <c r="J66" s="281">
        <f>$J$2*H66</f>
        <v>0</v>
      </c>
      <c r="K66" s="282">
        <f>IF(Notes!$B$9="Domestic",I66, IF(Notes!$B$9="Commercial",J66))*$K$65</f>
        <v>0</v>
      </c>
      <c r="L66" s="283">
        <f>IF(SUM(O66:Q66)=0,0,(SUM(O66:Q66)+(K66+SUM(M66:Q66))*(INDEX($U$65:$AB$65,MATCH(Notes!$C$16,$U$3:$AB$3,0))-100%))*$L$65)</f>
        <v>0</v>
      </c>
      <c r="M66" s="286"/>
      <c r="N66" s="286"/>
      <c r="O66" s="285"/>
      <c r="P66" s="285"/>
      <c r="Q66" s="285"/>
      <c r="R66" s="278"/>
      <c r="S66" s="278"/>
      <c r="T66" s="278"/>
      <c r="U66" s="304"/>
    </row>
    <row r="67" spans="1:28" s="305" customFormat="1" ht="14.45" hidden="1" customHeight="1" outlineLevel="1" x14ac:dyDescent="0.25">
      <c r="A67" s="278"/>
      <c r="B67" s="279" t="str">
        <f t="shared" ref="B67:B75" si="21">C67&amp;D67&amp;E67&amp;F67</f>
        <v/>
      </c>
      <c r="C67" s="278"/>
      <c r="D67" s="278"/>
      <c r="E67" s="278"/>
      <c r="F67" s="278"/>
      <c r="G67" s="278"/>
      <c r="H67" s="290"/>
      <c r="I67" s="280">
        <f t="shared" ref="I67:I75" si="22">$I$2*H67</f>
        <v>0</v>
      </c>
      <c r="J67" s="281">
        <f t="shared" ref="J67:J75" si="23">$J$2*H67</f>
        <v>0</v>
      </c>
      <c r="K67" s="282">
        <f>IF(Notes!$B$9="Domestic",I67, IF(Notes!$B$9="Commercial",J67))*$K$65</f>
        <v>0</v>
      </c>
      <c r="L67" s="283">
        <f>IF(SUM(O67:Q67)=0,0,(SUM(O67:Q67)+(K67+SUM(M67:Q67))*(INDEX($U$65:$AB$65,MATCH(Notes!$C$16,$U$3:$AB$3,0))-100%))*$L$65)</f>
        <v>0</v>
      </c>
      <c r="M67" s="286"/>
      <c r="N67" s="286"/>
      <c r="O67" s="285"/>
      <c r="P67" s="285"/>
      <c r="Q67" s="285"/>
      <c r="R67" s="278"/>
      <c r="S67" s="278"/>
      <c r="T67" s="278"/>
      <c r="U67" s="304"/>
    </row>
    <row r="68" spans="1:28" s="305" customFormat="1" ht="14.45" hidden="1" customHeight="1" outlineLevel="1" x14ac:dyDescent="0.25">
      <c r="A68" s="278"/>
      <c r="B68" s="279" t="str">
        <f t="shared" si="21"/>
        <v/>
      </c>
      <c r="C68" s="278"/>
      <c r="D68" s="278"/>
      <c r="E68" s="278"/>
      <c r="F68" s="278"/>
      <c r="G68" s="278"/>
      <c r="H68" s="290"/>
      <c r="I68" s="280">
        <f t="shared" si="22"/>
        <v>0</v>
      </c>
      <c r="J68" s="281">
        <f t="shared" si="23"/>
        <v>0</v>
      </c>
      <c r="K68" s="282">
        <f>IF(Notes!$B$9="Domestic",I68, IF(Notes!$B$9="Commercial",J68))*$K$65</f>
        <v>0</v>
      </c>
      <c r="L68" s="283">
        <f>IF(SUM(O68:Q68)=0,0,(SUM(O68:Q68)+(K68+SUM(M68:Q68))*(INDEX($U$65:$AB$65,MATCH(Notes!$C$16,$U$3:$AB$3,0))-100%))*$L$65)</f>
        <v>0</v>
      </c>
      <c r="M68" s="286"/>
      <c r="N68" s="286"/>
      <c r="O68" s="285"/>
      <c r="P68" s="285"/>
      <c r="Q68" s="285"/>
      <c r="R68" s="278"/>
      <c r="S68" s="278"/>
      <c r="T68" s="278"/>
      <c r="U68" s="304"/>
    </row>
    <row r="69" spans="1:28" s="305" customFormat="1" ht="14.45" hidden="1" customHeight="1" outlineLevel="1" x14ac:dyDescent="0.25">
      <c r="A69" s="278"/>
      <c r="B69" s="279" t="str">
        <f t="shared" si="21"/>
        <v/>
      </c>
      <c r="C69" s="278"/>
      <c r="D69" s="278"/>
      <c r="E69" s="278"/>
      <c r="F69" s="278"/>
      <c r="G69" s="278"/>
      <c r="H69" s="290"/>
      <c r="I69" s="280">
        <f t="shared" si="22"/>
        <v>0</v>
      </c>
      <c r="J69" s="281">
        <f t="shared" si="23"/>
        <v>0</v>
      </c>
      <c r="K69" s="282">
        <f>IF(Notes!$B$9="Domestic",I69, IF(Notes!$B$9="Commercial",J69))*$K$65</f>
        <v>0</v>
      </c>
      <c r="L69" s="283">
        <f>IF(SUM(O69:Q69)=0,0,(SUM(O69:Q69)+(K69+SUM(M69:Q69))*(INDEX($U$65:$AB$65,MATCH(Notes!$C$16,$U$3:$AB$3,0))-100%))*$L$65)</f>
        <v>0</v>
      </c>
      <c r="M69" s="286"/>
      <c r="N69" s="286"/>
      <c r="O69" s="285"/>
      <c r="P69" s="285"/>
      <c r="Q69" s="285"/>
      <c r="R69" s="278"/>
      <c r="S69" s="278"/>
      <c r="T69" s="278"/>
    </row>
    <row r="70" spans="1:28" s="305" customFormat="1" ht="14.45" hidden="1" customHeight="1" outlineLevel="1" x14ac:dyDescent="0.25">
      <c r="A70" s="278"/>
      <c r="B70" s="279" t="str">
        <f t="shared" si="21"/>
        <v/>
      </c>
      <c r="C70" s="278"/>
      <c r="D70" s="278"/>
      <c r="E70" s="278"/>
      <c r="F70" s="278"/>
      <c r="G70" s="278"/>
      <c r="H70" s="290"/>
      <c r="I70" s="280">
        <f>$I$2*H70</f>
        <v>0</v>
      </c>
      <c r="J70" s="281">
        <f t="shared" si="23"/>
        <v>0</v>
      </c>
      <c r="K70" s="282">
        <f>IF(Notes!$B$9="Domestic",I70, IF(Notes!$B$9="Commercial",J70))*$K$65</f>
        <v>0</v>
      </c>
      <c r="L70" s="283">
        <f>IF(SUM(O70:Q70)=0,0,(SUM(O70:Q70)+(K70+SUM(M70:Q70))*(INDEX($U$65:$AB$65,MATCH(Notes!$C$16,$U$3:$AB$3,0))-100%))*$L$65)</f>
        <v>0</v>
      </c>
      <c r="M70" s="286"/>
      <c r="N70" s="286"/>
      <c r="O70" s="285"/>
      <c r="P70" s="285"/>
      <c r="Q70" s="285"/>
      <c r="R70" s="278"/>
      <c r="S70" s="278"/>
      <c r="T70" s="278"/>
    </row>
    <row r="71" spans="1:28" s="305" customFormat="1" ht="14.45" hidden="1" customHeight="1" outlineLevel="1" x14ac:dyDescent="0.25">
      <c r="A71" s="278"/>
      <c r="B71" s="279" t="str">
        <f t="shared" si="21"/>
        <v/>
      </c>
      <c r="C71" s="278"/>
      <c r="D71" s="278"/>
      <c r="E71" s="278"/>
      <c r="F71" s="278"/>
      <c r="G71" s="278"/>
      <c r="H71" s="290"/>
      <c r="I71" s="280">
        <f t="shared" si="22"/>
        <v>0</v>
      </c>
      <c r="J71" s="281">
        <f t="shared" si="23"/>
        <v>0</v>
      </c>
      <c r="K71" s="282">
        <f>IF(Notes!$B$9="Domestic",I71, IF(Notes!$B$9="Commercial",J71))*$K$65</f>
        <v>0</v>
      </c>
      <c r="L71" s="283">
        <f>IF(SUM(O71:Q71)=0,0,(SUM(O71:Q71)+(K71+SUM(M71:Q71))*(INDEX($U$65:$AB$65,MATCH(Notes!$C$16,$U$3:$AB$3,0))-100%))*$L$65)</f>
        <v>0</v>
      </c>
      <c r="M71" s="286"/>
      <c r="N71" s="286"/>
      <c r="O71" s="285"/>
      <c r="P71" s="285"/>
      <c r="Q71" s="285"/>
      <c r="R71" s="278"/>
      <c r="S71" s="278"/>
      <c r="T71" s="278"/>
    </row>
    <row r="72" spans="1:28" s="305" customFormat="1" hidden="1" outlineLevel="1" x14ac:dyDescent="0.25">
      <c r="A72" s="278"/>
      <c r="B72" s="279" t="str">
        <f t="shared" si="21"/>
        <v/>
      </c>
      <c r="C72" s="278"/>
      <c r="D72" s="278"/>
      <c r="E72" s="278"/>
      <c r="F72" s="278"/>
      <c r="G72" s="278"/>
      <c r="H72" s="290"/>
      <c r="I72" s="280">
        <f t="shared" si="22"/>
        <v>0</v>
      </c>
      <c r="J72" s="281">
        <f t="shared" si="23"/>
        <v>0</v>
      </c>
      <c r="K72" s="282">
        <f>IF(Notes!$B$9="Domestic",I72, IF(Notes!$B$9="Commercial",J72))*$K$65</f>
        <v>0</v>
      </c>
      <c r="L72" s="283">
        <f>IF(SUM(O72:Q72)=0,0,(SUM(O72:Q72)+(K72+SUM(M72:Q72))*(INDEX($U$65:$AB$65,MATCH(Notes!$C$16,$U$3:$AB$3,0))-100%))*$L$65)</f>
        <v>0</v>
      </c>
      <c r="M72" s="286"/>
      <c r="N72" s="286"/>
      <c r="O72" s="285"/>
      <c r="P72" s="285"/>
      <c r="Q72" s="285"/>
      <c r="R72" s="278"/>
      <c r="S72" s="278"/>
      <c r="T72" s="278"/>
    </row>
    <row r="73" spans="1:28" s="305" customFormat="1" hidden="1" outlineLevel="1" x14ac:dyDescent="0.25">
      <c r="A73" s="278"/>
      <c r="B73" s="279" t="str">
        <f t="shared" si="21"/>
        <v/>
      </c>
      <c r="C73" s="278"/>
      <c r="D73" s="278"/>
      <c r="E73" s="278"/>
      <c r="F73" s="278"/>
      <c r="G73" s="278"/>
      <c r="H73" s="290"/>
      <c r="I73" s="280">
        <f t="shared" si="22"/>
        <v>0</v>
      </c>
      <c r="J73" s="281">
        <f t="shared" si="23"/>
        <v>0</v>
      </c>
      <c r="K73" s="282">
        <f>IF(Notes!$B$9="Domestic",I73, IF(Notes!$B$9="Commercial",J73))*$K$65</f>
        <v>0</v>
      </c>
      <c r="L73" s="283">
        <f>IF(SUM(O73:Q73)=0,0,(SUM(O73:Q73)+(K73+SUM(M73:Q73))*(INDEX($U$65:$AB$65,MATCH(Notes!$C$16,$U$3:$AB$3,0))-100%))*$L$65)</f>
        <v>0</v>
      </c>
      <c r="M73" s="286"/>
      <c r="N73" s="286"/>
      <c r="O73" s="285"/>
      <c r="P73" s="285"/>
      <c r="Q73" s="285"/>
      <c r="R73" s="278"/>
      <c r="S73" s="278"/>
      <c r="T73" s="278"/>
    </row>
    <row r="74" spans="1:28" s="305" customFormat="1" hidden="1" outlineLevel="1" x14ac:dyDescent="0.25">
      <c r="A74" s="278"/>
      <c r="B74" s="279" t="str">
        <f t="shared" si="21"/>
        <v/>
      </c>
      <c r="C74" s="278"/>
      <c r="D74" s="278"/>
      <c r="E74" s="278"/>
      <c r="F74" s="278"/>
      <c r="G74" s="278"/>
      <c r="H74" s="290"/>
      <c r="I74" s="280">
        <f t="shared" si="22"/>
        <v>0</v>
      </c>
      <c r="J74" s="281">
        <f t="shared" si="23"/>
        <v>0</v>
      </c>
      <c r="K74" s="282">
        <f>IF(Notes!$B$9="Domestic",I74, IF(Notes!$B$9="Commercial",J74))*$K$65</f>
        <v>0</v>
      </c>
      <c r="L74" s="283">
        <f>IF(SUM(O74:Q74)=0,0,(SUM(O74:Q74)+(K74+SUM(M74:Q74))*(INDEX($U$65:$AB$65,MATCH(Notes!$C$16,$U$3:$AB$3,0))-100%))*$L$65)</f>
        <v>0</v>
      </c>
      <c r="M74" s="286"/>
      <c r="N74" s="286"/>
      <c r="O74" s="285"/>
      <c r="P74" s="285"/>
      <c r="Q74" s="285"/>
      <c r="R74" s="278"/>
      <c r="S74" s="278"/>
      <c r="T74" s="278"/>
    </row>
    <row r="75" spans="1:28" s="305" customFormat="1" hidden="1" outlineLevel="1" x14ac:dyDescent="0.25">
      <c r="A75" s="278"/>
      <c r="B75" s="279" t="str">
        <f t="shared" si="21"/>
        <v/>
      </c>
      <c r="C75" s="278"/>
      <c r="D75" s="278"/>
      <c r="E75" s="278"/>
      <c r="F75" s="278"/>
      <c r="G75" s="278"/>
      <c r="H75" s="290"/>
      <c r="I75" s="280">
        <f t="shared" si="22"/>
        <v>0</v>
      </c>
      <c r="J75" s="281">
        <f t="shared" si="23"/>
        <v>0</v>
      </c>
      <c r="K75" s="282">
        <f>IF(Notes!$B$9="Domestic",I75, IF(Notes!$B$9="Commercial",J75))*$K$65</f>
        <v>0</v>
      </c>
      <c r="L75" s="283">
        <f>IF(SUM(O75:Q75)=0,0,(SUM(O75:Q75)+(K75+SUM(M75:Q75))*(INDEX($U$65:$AB$65,MATCH(Notes!$C$16,$U$3:$AB$3,0))-100%))*$L$65)</f>
        <v>0</v>
      </c>
      <c r="M75" s="286"/>
      <c r="N75" s="286"/>
      <c r="O75" s="285"/>
      <c r="P75" s="285"/>
      <c r="Q75" s="285"/>
      <c r="R75" s="278"/>
      <c r="S75" s="278"/>
      <c r="T75" s="278"/>
    </row>
    <row r="76" spans="1:28" ht="21" hidden="1" outlineLevel="1" x14ac:dyDescent="0.25">
      <c r="A76" s="299"/>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row>
    <row r="77" spans="1:28" ht="15.75" hidden="1" outlineLevel="1" x14ac:dyDescent="0.25">
      <c r="A77" s="291"/>
      <c r="B77" s="291"/>
      <c r="C77" s="291"/>
      <c r="D77" s="291"/>
      <c r="E77" s="291"/>
      <c r="F77" s="291"/>
      <c r="G77" s="291"/>
      <c r="H77" s="291"/>
      <c r="I77" s="291"/>
      <c r="J77" s="291"/>
      <c r="K77" s="291">
        <f>K$2</f>
        <v>1</v>
      </c>
      <c r="L77" s="291">
        <f>L$2</f>
        <v>1</v>
      </c>
      <c r="M77" s="291"/>
      <c r="N77" s="291"/>
      <c r="O77" s="303"/>
      <c r="P77" s="303"/>
      <c r="Q77" s="303"/>
      <c r="R77" s="291"/>
      <c r="S77" s="291"/>
      <c r="T77" s="291"/>
      <c r="U77" s="291">
        <f>U$2</f>
        <v>1</v>
      </c>
      <c r="V77" s="291">
        <f>V$2</f>
        <v>1</v>
      </c>
      <c r="W77" s="291">
        <f t="shared" ref="W77:AB77" si="24">W$2</f>
        <v>1</v>
      </c>
      <c r="X77" s="291">
        <f t="shared" si="24"/>
        <v>1</v>
      </c>
      <c r="Y77" s="291">
        <f t="shared" si="24"/>
        <v>1</v>
      </c>
      <c r="Z77" s="291">
        <f t="shared" si="24"/>
        <v>1</v>
      </c>
      <c r="AA77" s="291">
        <f t="shared" si="24"/>
        <v>1</v>
      </c>
      <c r="AB77" s="291">
        <f t="shared" si="24"/>
        <v>1</v>
      </c>
    </row>
    <row r="78" spans="1:28" s="305" customFormat="1" hidden="1" outlineLevel="1" x14ac:dyDescent="0.25">
      <c r="A78" s="278"/>
      <c r="B78" s="279" t="str">
        <f>C78&amp;D78&amp;E78&amp;F78</f>
        <v/>
      </c>
      <c r="C78" s="278"/>
      <c r="D78" s="278"/>
      <c r="E78" s="278"/>
      <c r="F78" s="278"/>
      <c r="G78" s="278"/>
      <c r="H78" s="290"/>
      <c r="I78" s="280">
        <f>$I$2*H78</f>
        <v>0</v>
      </c>
      <c r="J78" s="281">
        <f>$J$2*H78</f>
        <v>0</v>
      </c>
      <c r="K78" s="282">
        <f>IF(Notes!$B$9="Domestic",I78, IF(Notes!$B$9="Commercial",J78))*$K$77</f>
        <v>0</v>
      </c>
      <c r="L78" s="283">
        <f>IF(SUM(O78:Q78)=0,0,(SUM(O78:Q78)+(K78+SUM(M78:Q78))*(INDEX($U$77:$AB$77,MATCH(Notes!$C$16,$U$3:$AB$3,0))-100%))*$L$77)</f>
        <v>0</v>
      </c>
      <c r="M78" s="286"/>
      <c r="N78" s="286"/>
      <c r="O78" s="285"/>
      <c r="P78" s="285"/>
      <c r="Q78" s="285"/>
      <c r="R78" s="278"/>
      <c r="S78" s="278"/>
      <c r="T78" s="278"/>
    </row>
    <row r="79" spans="1:28" s="305" customFormat="1" hidden="1" outlineLevel="1" x14ac:dyDescent="0.25">
      <c r="A79" s="278"/>
      <c r="B79" s="279" t="str">
        <f t="shared" ref="B79:B87" si="25">C79&amp;D79&amp;E79&amp;F79</f>
        <v/>
      </c>
      <c r="C79" s="278"/>
      <c r="D79" s="278"/>
      <c r="E79" s="278"/>
      <c r="F79" s="278"/>
      <c r="G79" s="278"/>
      <c r="H79" s="290"/>
      <c r="I79" s="280">
        <f t="shared" ref="I79:I87" si="26">$I$2*H79</f>
        <v>0</v>
      </c>
      <c r="J79" s="281">
        <f t="shared" ref="J79:J87" si="27">$J$2*H79</f>
        <v>0</v>
      </c>
      <c r="K79" s="282">
        <f>IF(Notes!$B$9="Domestic",I79, IF(Notes!$B$9="Commercial",J79))*$K$77</f>
        <v>0</v>
      </c>
      <c r="L79" s="283">
        <f>IF(SUM(O79:Q79)=0,0,(SUM(O79:Q79)+(K79+SUM(M79:Q79))*(INDEX($U$77:$AB$77,MATCH(Notes!$C$16,$U$3:$AB$3,0))-100%))*$L$77)</f>
        <v>0</v>
      </c>
      <c r="M79" s="286"/>
      <c r="N79" s="286"/>
      <c r="O79" s="285"/>
      <c r="P79" s="285"/>
      <c r="Q79" s="285"/>
      <c r="R79" s="278"/>
      <c r="S79" s="278"/>
      <c r="T79" s="278"/>
    </row>
    <row r="80" spans="1:28" s="305" customFormat="1" hidden="1" outlineLevel="1" x14ac:dyDescent="0.25">
      <c r="A80" s="278"/>
      <c r="B80" s="279" t="str">
        <f t="shared" si="25"/>
        <v/>
      </c>
      <c r="C80" s="278"/>
      <c r="D80" s="278"/>
      <c r="E80" s="278"/>
      <c r="F80" s="278"/>
      <c r="G80" s="278"/>
      <c r="H80" s="290"/>
      <c r="I80" s="280">
        <f t="shared" si="26"/>
        <v>0</v>
      </c>
      <c r="J80" s="281">
        <f t="shared" si="27"/>
        <v>0</v>
      </c>
      <c r="K80" s="282">
        <f>IF(Notes!$B$9="Domestic",I80, IF(Notes!$B$9="Commercial",J80))*$K$77</f>
        <v>0</v>
      </c>
      <c r="L80" s="283">
        <f>IF(SUM(O80:Q80)=0,0,(SUM(O80:Q80)+(K80+SUM(M80:Q80))*(INDEX($U$77:$AB$77,MATCH(Notes!$C$16,$U$3:$AB$3,0))-100%))*$L$77)</f>
        <v>0</v>
      </c>
      <c r="M80" s="286"/>
      <c r="N80" s="286"/>
      <c r="O80" s="285"/>
      <c r="P80" s="285"/>
      <c r="Q80" s="285"/>
      <c r="R80" s="278"/>
      <c r="S80" s="278"/>
      <c r="T80" s="278"/>
    </row>
    <row r="81" spans="1:28" s="305" customFormat="1" hidden="1" outlineLevel="1" x14ac:dyDescent="0.25">
      <c r="A81" s="278"/>
      <c r="B81" s="279" t="str">
        <f t="shared" si="25"/>
        <v/>
      </c>
      <c r="C81" s="278"/>
      <c r="D81" s="278"/>
      <c r="E81" s="278"/>
      <c r="F81" s="278"/>
      <c r="G81" s="278"/>
      <c r="H81" s="290"/>
      <c r="I81" s="280">
        <f t="shared" si="26"/>
        <v>0</v>
      </c>
      <c r="J81" s="281">
        <f t="shared" si="27"/>
        <v>0</v>
      </c>
      <c r="K81" s="282">
        <f>IF(Notes!$B$9="Domestic",I81, IF(Notes!$B$9="Commercial",J81))*$K$77</f>
        <v>0</v>
      </c>
      <c r="L81" s="283">
        <f>IF(SUM(O81:Q81)=0,0,(SUM(O81:Q81)+(K81+SUM(M81:Q81))*(INDEX($U$77:$AB$77,MATCH(Notes!$C$16,$U$3:$AB$3,0))-100%))*$L$77)</f>
        <v>0</v>
      </c>
      <c r="M81" s="286"/>
      <c r="N81" s="286"/>
      <c r="O81" s="285"/>
      <c r="P81" s="285"/>
      <c r="Q81" s="285"/>
      <c r="R81" s="278"/>
      <c r="S81" s="278"/>
      <c r="T81" s="278"/>
    </row>
    <row r="82" spans="1:28" s="305" customFormat="1" hidden="1" outlineLevel="1" x14ac:dyDescent="0.25">
      <c r="A82" s="278"/>
      <c r="B82" s="279" t="str">
        <f t="shared" si="25"/>
        <v/>
      </c>
      <c r="C82" s="278"/>
      <c r="D82" s="278"/>
      <c r="E82" s="278"/>
      <c r="F82" s="278"/>
      <c r="G82" s="278"/>
      <c r="H82" s="290"/>
      <c r="I82" s="280">
        <f>$I$2*H82</f>
        <v>0</v>
      </c>
      <c r="J82" s="281">
        <f t="shared" si="27"/>
        <v>0</v>
      </c>
      <c r="K82" s="282">
        <f>IF(Notes!$B$9="Domestic",I82, IF(Notes!$B$9="Commercial",J82))*$K$77</f>
        <v>0</v>
      </c>
      <c r="L82" s="283">
        <f>IF(SUM(O82:Q82)=0,0,(SUM(O82:Q82)+(K82+SUM(M82:Q82))*(INDEX($U$77:$AB$77,MATCH(Notes!$C$16,$U$3:$AB$3,0))-100%))*$L$77)</f>
        <v>0</v>
      </c>
      <c r="M82" s="286"/>
      <c r="N82" s="286"/>
      <c r="O82" s="285"/>
      <c r="P82" s="285"/>
      <c r="Q82" s="285"/>
      <c r="R82" s="278"/>
      <c r="S82" s="278"/>
      <c r="T82" s="278"/>
    </row>
    <row r="83" spans="1:28" s="305" customFormat="1" hidden="1" outlineLevel="1" x14ac:dyDescent="0.25">
      <c r="A83" s="278"/>
      <c r="B83" s="279" t="str">
        <f t="shared" si="25"/>
        <v/>
      </c>
      <c r="C83" s="278"/>
      <c r="D83" s="278"/>
      <c r="E83" s="278"/>
      <c r="F83" s="278"/>
      <c r="G83" s="278"/>
      <c r="H83" s="290"/>
      <c r="I83" s="280">
        <f t="shared" si="26"/>
        <v>0</v>
      </c>
      <c r="J83" s="281">
        <f t="shared" si="27"/>
        <v>0</v>
      </c>
      <c r="K83" s="282">
        <f>IF(Notes!$B$9="Domestic",I83, IF(Notes!$B$9="Commercial",J83))*$K$77</f>
        <v>0</v>
      </c>
      <c r="L83" s="283">
        <f>IF(SUM(O83:Q83)=0,0,(SUM(O83:Q83)+(K83+SUM(M83:Q83))*(INDEX($U$77:$AB$77,MATCH(Notes!$C$16,$U$3:$AB$3,0))-100%))*$L$77)</f>
        <v>0</v>
      </c>
      <c r="M83" s="286"/>
      <c r="N83" s="286"/>
      <c r="O83" s="285"/>
      <c r="P83" s="285"/>
      <c r="Q83" s="285"/>
      <c r="R83" s="278"/>
      <c r="S83" s="278"/>
      <c r="T83" s="278"/>
    </row>
    <row r="84" spans="1:28" s="305" customFormat="1" hidden="1" outlineLevel="1" x14ac:dyDescent="0.25">
      <c r="A84" s="278"/>
      <c r="B84" s="279" t="str">
        <f t="shared" si="25"/>
        <v/>
      </c>
      <c r="C84" s="278"/>
      <c r="D84" s="278"/>
      <c r="E84" s="278"/>
      <c r="F84" s="278"/>
      <c r="G84" s="278"/>
      <c r="H84" s="290"/>
      <c r="I84" s="280">
        <f t="shared" si="26"/>
        <v>0</v>
      </c>
      <c r="J84" s="281">
        <f t="shared" si="27"/>
        <v>0</v>
      </c>
      <c r="K84" s="282">
        <f>IF(Notes!$B$9="Domestic",I84, IF(Notes!$B$9="Commercial",J84))*$K$77</f>
        <v>0</v>
      </c>
      <c r="L84" s="283">
        <f>IF(SUM(O84:Q84)=0,0,(SUM(O84:Q84)+(K84+SUM(M84:Q84))*(INDEX($U$77:$AB$77,MATCH(Notes!$C$16,$U$3:$AB$3,0))-100%))*$L$77)</f>
        <v>0</v>
      </c>
      <c r="M84" s="286"/>
      <c r="N84" s="286"/>
      <c r="O84" s="285"/>
      <c r="P84" s="285"/>
      <c r="Q84" s="285"/>
      <c r="R84" s="278"/>
      <c r="S84" s="278"/>
      <c r="T84" s="278"/>
    </row>
    <row r="85" spans="1:28" s="305" customFormat="1" hidden="1" outlineLevel="1" x14ac:dyDescent="0.25">
      <c r="A85" s="278"/>
      <c r="B85" s="279" t="str">
        <f t="shared" si="25"/>
        <v/>
      </c>
      <c r="C85" s="278"/>
      <c r="D85" s="278"/>
      <c r="E85" s="278"/>
      <c r="F85" s="278"/>
      <c r="G85" s="278"/>
      <c r="H85" s="290"/>
      <c r="I85" s="280">
        <f t="shared" si="26"/>
        <v>0</v>
      </c>
      <c r="J85" s="281">
        <f t="shared" si="27"/>
        <v>0</v>
      </c>
      <c r="K85" s="282">
        <f>IF(Notes!$B$9="Domestic",I85, IF(Notes!$B$9="Commercial",J85))*$K$77</f>
        <v>0</v>
      </c>
      <c r="L85" s="283">
        <f>IF(SUM(O85:Q85)=0,0,(SUM(O85:Q85)+(K85+SUM(M85:Q85))*(INDEX($U$77:$AB$77,MATCH(Notes!$C$16,$U$3:$AB$3,0))-100%))*$L$77)</f>
        <v>0</v>
      </c>
      <c r="M85" s="286"/>
      <c r="N85" s="286"/>
      <c r="O85" s="285"/>
      <c r="P85" s="285"/>
      <c r="Q85" s="285"/>
      <c r="R85" s="278"/>
      <c r="S85" s="278"/>
      <c r="T85" s="278"/>
    </row>
    <row r="86" spans="1:28" s="305" customFormat="1" hidden="1" outlineLevel="1" x14ac:dyDescent="0.25">
      <c r="A86" s="278"/>
      <c r="B86" s="279" t="str">
        <f t="shared" si="25"/>
        <v/>
      </c>
      <c r="C86" s="278"/>
      <c r="D86" s="278"/>
      <c r="E86" s="278"/>
      <c r="F86" s="278"/>
      <c r="G86" s="278"/>
      <c r="H86" s="290"/>
      <c r="I86" s="280">
        <f t="shared" si="26"/>
        <v>0</v>
      </c>
      <c r="J86" s="281">
        <f t="shared" si="27"/>
        <v>0</v>
      </c>
      <c r="K86" s="282">
        <f>IF(Notes!$B$9="Domestic",I86, IF(Notes!$B$9="Commercial",J86))*$K$77</f>
        <v>0</v>
      </c>
      <c r="L86" s="283">
        <f>IF(SUM(O86:Q86)=0,0,(SUM(O86:Q86)+(K86+SUM(M86:Q86))*(INDEX($U$77:$AB$77,MATCH(Notes!$C$16,$U$3:$AB$3,0))-100%))*$L$77)</f>
        <v>0</v>
      </c>
      <c r="M86" s="286"/>
      <c r="N86" s="286"/>
      <c r="O86" s="285"/>
      <c r="P86" s="285"/>
      <c r="Q86" s="285"/>
      <c r="R86" s="278"/>
      <c r="S86" s="278"/>
      <c r="T86" s="278"/>
    </row>
    <row r="87" spans="1:28" s="305" customFormat="1" hidden="1" outlineLevel="1" x14ac:dyDescent="0.25">
      <c r="A87" s="278"/>
      <c r="B87" s="279" t="str">
        <f t="shared" si="25"/>
        <v/>
      </c>
      <c r="C87" s="278"/>
      <c r="D87" s="278"/>
      <c r="E87" s="278"/>
      <c r="F87" s="278"/>
      <c r="G87" s="278"/>
      <c r="H87" s="290"/>
      <c r="I87" s="280">
        <f t="shared" si="26"/>
        <v>0</v>
      </c>
      <c r="J87" s="281">
        <f t="shared" si="27"/>
        <v>0</v>
      </c>
      <c r="K87" s="282">
        <f>IF(Notes!$B$9="Domestic",I87, IF(Notes!$B$9="Commercial",J87))*$K$77</f>
        <v>0</v>
      </c>
      <c r="L87" s="283">
        <f>IF(SUM(O87:Q87)=0,0,(SUM(O87:Q87)+(K87+SUM(M87:Q87))*(INDEX($U$77:$AB$77,MATCH(Notes!$C$16,$U$3:$AB$3,0))-100%))*$L$77)</f>
        <v>0</v>
      </c>
      <c r="M87" s="286"/>
      <c r="N87" s="286"/>
      <c r="O87" s="285"/>
      <c r="P87" s="285"/>
      <c r="Q87" s="285"/>
      <c r="R87" s="278"/>
      <c r="S87" s="278"/>
      <c r="T87" s="278"/>
    </row>
    <row r="88" spans="1:28" ht="21" hidden="1" outlineLevel="1" x14ac:dyDescent="0.25">
      <c r="A88" s="299"/>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row>
    <row r="89" spans="1:28" ht="15.75" hidden="1" outlineLevel="1" x14ac:dyDescent="0.25">
      <c r="A89" s="291"/>
      <c r="B89" s="291"/>
      <c r="C89" s="291"/>
      <c r="D89" s="291"/>
      <c r="E89" s="291"/>
      <c r="F89" s="291"/>
      <c r="G89" s="291"/>
      <c r="H89" s="291"/>
      <c r="I89" s="291"/>
      <c r="J89" s="291"/>
      <c r="K89" s="291">
        <f>K$2</f>
        <v>1</v>
      </c>
      <c r="L89" s="291">
        <f>L$2</f>
        <v>1</v>
      </c>
      <c r="M89" s="291"/>
      <c r="N89" s="291"/>
      <c r="O89" s="303"/>
      <c r="P89" s="303"/>
      <c r="Q89" s="303"/>
      <c r="R89" s="291"/>
      <c r="S89" s="291"/>
      <c r="T89" s="291"/>
      <c r="U89" s="291">
        <f>U$2</f>
        <v>1</v>
      </c>
      <c r="V89" s="291">
        <f>V$2</f>
        <v>1</v>
      </c>
      <c r="W89" s="291">
        <f t="shared" ref="W89:AB89" si="28">W$2</f>
        <v>1</v>
      </c>
      <c r="X89" s="291">
        <f t="shared" si="28"/>
        <v>1</v>
      </c>
      <c r="Y89" s="291">
        <f t="shared" si="28"/>
        <v>1</v>
      </c>
      <c r="Z89" s="291">
        <f t="shared" si="28"/>
        <v>1</v>
      </c>
      <c r="AA89" s="291">
        <f t="shared" si="28"/>
        <v>1</v>
      </c>
      <c r="AB89" s="291">
        <f t="shared" si="28"/>
        <v>1</v>
      </c>
    </row>
    <row r="90" spans="1:28" s="305" customFormat="1" hidden="1" outlineLevel="1" x14ac:dyDescent="0.25">
      <c r="A90" s="278"/>
      <c r="B90" s="279" t="str">
        <f>C90&amp;D90&amp;E90&amp;F90</f>
        <v/>
      </c>
      <c r="C90" s="278"/>
      <c r="D90" s="278"/>
      <c r="E90" s="278"/>
      <c r="F90" s="278"/>
      <c r="G90" s="278"/>
      <c r="H90" s="290"/>
      <c r="I90" s="280">
        <f>$I$2*H90</f>
        <v>0</v>
      </c>
      <c r="J90" s="281">
        <f>$J$2*H90</f>
        <v>0</v>
      </c>
      <c r="K90" s="282">
        <f>IF(Notes!$B$9="Domestic",I90, IF(Notes!$B$9="Commercial",J90))*$K$89</f>
        <v>0</v>
      </c>
      <c r="L90" s="283">
        <f>IF(SUM(O90:Q90)=0,0,(SUM(O90:Q90)+(K90+SUM(M90:Q90))*(INDEX($U$89:$AB$89,MATCH(Notes!$C$16,$U$3:$AB$3,0))-100%))*$L$89)</f>
        <v>0</v>
      </c>
      <c r="M90" s="286"/>
      <c r="N90" s="286"/>
      <c r="O90" s="285"/>
      <c r="P90" s="285"/>
      <c r="Q90" s="285"/>
      <c r="R90" s="278"/>
      <c r="S90" s="278"/>
      <c r="T90" s="278"/>
    </row>
    <row r="91" spans="1:28" s="305" customFormat="1" hidden="1" outlineLevel="1" x14ac:dyDescent="0.25">
      <c r="A91" s="278"/>
      <c r="B91" s="279" t="str">
        <f t="shared" ref="B91:B99" si="29">C91&amp;D91&amp;E91&amp;F91</f>
        <v/>
      </c>
      <c r="C91" s="278"/>
      <c r="D91" s="278"/>
      <c r="E91" s="278"/>
      <c r="F91" s="278"/>
      <c r="G91" s="278"/>
      <c r="H91" s="290"/>
      <c r="I91" s="280">
        <f t="shared" ref="I91:I99" si="30">$I$2*H91</f>
        <v>0</v>
      </c>
      <c r="J91" s="281">
        <f t="shared" ref="J91:J99" si="31">$J$2*H91</f>
        <v>0</v>
      </c>
      <c r="K91" s="282">
        <f>IF(Notes!$B$9="Domestic",I91, IF(Notes!$B$9="Commercial",J91))*$K$89</f>
        <v>0</v>
      </c>
      <c r="L91" s="283">
        <f>IF(SUM(O91:Q91)=0,0,(SUM(O91:Q91)+(K91+SUM(M91:Q91))*(INDEX($U$89:$AB$89,MATCH(Notes!$C$16,$U$3:$AB$3,0))-100%))*$L$89)</f>
        <v>0</v>
      </c>
      <c r="M91" s="286"/>
      <c r="N91" s="286"/>
      <c r="O91" s="285"/>
      <c r="P91" s="285"/>
      <c r="Q91" s="285"/>
      <c r="R91" s="278"/>
      <c r="S91" s="278"/>
      <c r="T91" s="278"/>
    </row>
    <row r="92" spans="1:28" s="305" customFormat="1" hidden="1" outlineLevel="1" x14ac:dyDescent="0.25">
      <c r="A92" s="278"/>
      <c r="B92" s="279" t="str">
        <f t="shared" si="29"/>
        <v/>
      </c>
      <c r="C92" s="278"/>
      <c r="D92" s="278"/>
      <c r="E92" s="278"/>
      <c r="F92" s="278"/>
      <c r="G92" s="278"/>
      <c r="H92" s="290"/>
      <c r="I92" s="280">
        <f t="shared" si="30"/>
        <v>0</v>
      </c>
      <c r="J92" s="281">
        <f t="shared" si="31"/>
        <v>0</v>
      </c>
      <c r="K92" s="282">
        <f>IF(Notes!$B$9="Domestic",I92, IF(Notes!$B$9="Commercial",J92))*$K$89</f>
        <v>0</v>
      </c>
      <c r="L92" s="283">
        <f>IF(SUM(O92:Q92)=0,0,(SUM(O92:Q92)+(K92+SUM(M92:Q92))*(INDEX($U$89:$AB$89,MATCH(Notes!$C$16,$U$3:$AB$3,0))-100%))*$L$89)</f>
        <v>0</v>
      </c>
      <c r="M92" s="286"/>
      <c r="N92" s="286"/>
      <c r="O92" s="285"/>
      <c r="P92" s="285"/>
      <c r="Q92" s="285"/>
      <c r="R92" s="278"/>
      <c r="S92" s="278"/>
      <c r="T92" s="278"/>
    </row>
    <row r="93" spans="1:28" s="305" customFormat="1" hidden="1" outlineLevel="1" x14ac:dyDescent="0.25">
      <c r="A93" s="278"/>
      <c r="B93" s="279" t="str">
        <f t="shared" si="29"/>
        <v/>
      </c>
      <c r="C93" s="278"/>
      <c r="D93" s="278"/>
      <c r="E93" s="278"/>
      <c r="F93" s="278"/>
      <c r="G93" s="278"/>
      <c r="H93" s="290"/>
      <c r="I93" s="280">
        <f t="shared" si="30"/>
        <v>0</v>
      </c>
      <c r="J93" s="281">
        <f t="shared" si="31"/>
        <v>0</v>
      </c>
      <c r="K93" s="282">
        <f>IF(Notes!$B$9="Domestic",I93, IF(Notes!$B$9="Commercial",J93))*$K$89</f>
        <v>0</v>
      </c>
      <c r="L93" s="283">
        <f>IF(SUM(O93:Q93)=0,0,(SUM(O93:Q93)+(K93+SUM(M93:Q93))*(INDEX($U$89:$AB$89,MATCH(Notes!$C$16,$U$3:$AB$3,0))-100%))*$L$89)</f>
        <v>0</v>
      </c>
      <c r="M93" s="286"/>
      <c r="N93" s="286"/>
      <c r="O93" s="285"/>
      <c r="P93" s="285"/>
      <c r="Q93" s="285"/>
      <c r="R93" s="278"/>
      <c r="S93" s="278"/>
      <c r="T93" s="278"/>
    </row>
    <row r="94" spans="1:28" s="305" customFormat="1" hidden="1" outlineLevel="1" x14ac:dyDescent="0.25">
      <c r="A94" s="278"/>
      <c r="B94" s="279" t="str">
        <f t="shared" si="29"/>
        <v/>
      </c>
      <c r="C94" s="278"/>
      <c r="D94" s="278"/>
      <c r="E94" s="278"/>
      <c r="F94" s="278"/>
      <c r="G94" s="278"/>
      <c r="H94" s="290"/>
      <c r="I94" s="280">
        <f>$I$2*H94</f>
        <v>0</v>
      </c>
      <c r="J94" s="281">
        <f t="shared" si="31"/>
        <v>0</v>
      </c>
      <c r="K94" s="282">
        <f>IF(Notes!$B$9="Domestic",I94, IF(Notes!$B$9="Commercial",J94))*$K$89</f>
        <v>0</v>
      </c>
      <c r="L94" s="283">
        <f>IF(SUM(O94:Q94)=0,0,(SUM(O94:Q94)+(K94+SUM(M94:Q94))*(INDEX($U$89:$AB$89,MATCH(Notes!$C$16,$U$3:$AB$3,0))-100%))*$L$89)</f>
        <v>0</v>
      </c>
      <c r="M94" s="286"/>
      <c r="N94" s="286"/>
      <c r="O94" s="285"/>
      <c r="P94" s="285"/>
      <c r="Q94" s="285"/>
      <c r="R94" s="278"/>
      <c r="S94" s="278"/>
      <c r="T94" s="278"/>
    </row>
    <row r="95" spans="1:28" s="305" customFormat="1" hidden="1" outlineLevel="1" x14ac:dyDescent="0.25">
      <c r="A95" s="278"/>
      <c r="B95" s="279" t="str">
        <f t="shared" si="29"/>
        <v/>
      </c>
      <c r="C95" s="278"/>
      <c r="D95" s="278"/>
      <c r="E95" s="278"/>
      <c r="F95" s="278"/>
      <c r="G95" s="278"/>
      <c r="H95" s="290"/>
      <c r="I95" s="280">
        <f t="shared" si="30"/>
        <v>0</v>
      </c>
      <c r="J95" s="281">
        <f t="shared" si="31"/>
        <v>0</v>
      </c>
      <c r="K95" s="282">
        <f>IF(Notes!$B$9="Domestic",I95, IF(Notes!$B$9="Commercial",J95))*$K$89</f>
        <v>0</v>
      </c>
      <c r="L95" s="283">
        <f>IF(SUM(O95:Q95)=0,0,(SUM(O95:Q95)+(K95+SUM(M95:Q95))*(INDEX($U$89:$AB$89,MATCH(Notes!$C$16,$U$3:$AB$3,0))-100%))*$L$89)</f>
        <v>0</v>
      </c>
      <c r="M95" s="286"/>
      <c r="N95" s="286"/>
      <c r="O95" s="285"/>
      <c r="P95" s="285"/>
      <c r="Q95" s="285"/>
      <c r="R95" s="278"/>
      <c r="S95" s="278"/>
      <c r="T95" s="278"/>
    </row>
    <row r="96" spans="1:28" s="305" customFormat="1" hidden="1" outlineLevel="1" x14ac:dyDescent="0.25">
      <c r="A96" s="278"/>
      <c r="B96" s="279" t="str">
        <f t="shared" si="29"/>
        <v/>
      </c>
      <c r="C96" s="278"/>
      <c r="D96" s="278"/>
      <c r="E96" s="278"/>
      <c r="F96" s="278"/>
      <c r="G96" s="278"/>
      <c r="H96" s="290"/>
      <c r="I96" s="280">
        <f t="shared" si="30"/>
        <v>0</v>
      </c>
      <c r="J96" s="281">
        <f t="shared" si="31"/>
        <v>0</v>
      </c>
      <c r="K96" s="282">
        <f>IF(Notes!$B$9="Domestic",I96, IF(Notes!$B$9="Commercial",J96))*$K$89</f>
        <v>0</v>
      </c>
      <c r="L96" s="283">
        <f>IF(SUM(O96:Q96)=0,0,(SUM(O96:Q96)+(K96+SUM(M96:Q96))*(INDEX($U$89:$AB$89,MATCH(Notes!$C$16,$U$3:$AB$3,0))-100%))*$L$89)</f>
        <v>0</v>
      </c>
      <c r="M96" s="286"/>
      <c r="N96" s="286"/>
      <c r="O96" s="285"/>
      <c r="P96" s="285"/>
      <c r="Q96" s="285"/>
      <c r="R96" s="278"/>
      <c r="S96" s="278"/>
      <c r="T96" s="278"/>
    </row>
    <row r="97" spans="1:28" s="305" customFormat="1" hidden="1" outlineLevel="1" x14ac:dyDescent="0.25">
      <c r="A97" s="278"/>
      <c r="B97" s="279" t="str">
        <f t="shared" si="29"/>
        <v/>
      </c>
      <c r="C97" s="278"/>
      <c r="D97" s="278"/>
      <c r="E97" s="278"/>
      <c r="F97" s="278"/>
      <c r="G97" s="278"/>
      <c r="H97" s="290"/>
      <c r="I97" s="280">
        <f t="shared" si="30"/>
        <v>0</v>
      </c>
      <c r="J97" s="281">
        <f t="shared" si="31"/>
        <v>0</v>
      </c>
      <c r="K97" s="282">
        <f>IF(Notes!$B$9="Domestic",I97, IF(Notes!$B$9="Commercial",J97))*$K$89</f>
        <v>0</v>
      </c>
      <c r="L97" s="283">
        <f>IF(SUM(O97:Q97)=0,0,(SUM(O97:Q97)+(K97+SUM(M97:Q97))*(INDEX($U$89:$AB$89,MATCH(Notes!$C$16,$U$3:$AB$3,0))-100%))*$L$89)</f>
        <v>0</v>
      </c>
      <c r="M97" s="286"/>
      <c r="N97" s="286"/>
      <c r="O97" s="285"/>
      <c r="P97" s="285"/>
      <c r="Q97" s="285"/>
      <c r="R97" s="278"/>
      <c r="S97" s="278"/>
      <c r="T97" s="278"/>
    </row>
    <row r="98" spans="1:28" s="305" customFormat="1" hidden="1" outlineLevel="1" x14ac:dyDescent="0.25">
      <c r="A98" s="278"/>
      <c r="B98" s="279" t="str">
        <f t="shared" si="29"/>
        <v/>
      </c>
      <c r="C98" s="278"/>
      <c r="D98" s="278"/>
      <c r="E98" s="278"/>
      <c r="F98" s="278"/>
      <c r="G98" s="278"/>
      <c r="H98" s="290"/>
      <c r="I98" s="280">
        <f t="shared" si="30"/>
        <v>0</v>
      </c>
      <c r="J98" s="281">
        <f t="shared" si="31"/>
        <v>0</v>
      </c>
      <c r="K98" s="282">
        <f>IF(Notes!$B$9="Domestic",I98, IF(Notes!$B$9="Commercial",J98))*$K$89</f>
        <v>0</v>
      </c>
      <c r="L98" s="283">
        <f>IF(SUM(O98:Q98)=0,0,(SUM(O98:Q98)+(K98+SUM(M98:Q98))*(INDEX($U$89:$AB$89,MATCH(Notes!$C$16,$U$3:$AB$3,0))-100%))*$L$89)</f>
        <v>0</v>
      </c>
      <c r="M98" s="286"/>
      <c r="N98" s="286"/>
      <c r="O98" s="285"/>
      <c r="P98" s="285"/>
      <c r="Q98" s="285"/>
      <c r="R98" s="278"/>
      <c r="S98" s="278"/>
      <c r="T98" s="278"/>
    </row>
    <row r="99" spans="1:28" s="305" customFormat="1" hidden="1" outlineLevel="1" x14ac:dyDescent="0.25">
      <c r="A99" s="278"/>
      <c r="B99" s="279" t="str">
        <f t="shared" si="29"/>
        <v/>
      </c>
      <c r="C99" s="278"/>
      <c r="D99" s="278"/>
      <c r="E99" s="278"/>
      <c r="F99" s="278"/>
      <c r="G99" s="278"/>
      <c r="H99" s="290"/>
      <c r="I99" s="280">
        <f t="shared" si="30"/>
        <v>0</v>
      </c>
      <c r="J99" s="281">
        <f t="shared" si="31"/>
        <v>0</v>
      </c>
      <c r="K99" s="282">
        <f>IF(Notes!$B$9="Domestic",I99, IF(Notes!$B$9="Commercial",J99))*$K$89</f>
        <v>0</v>
      </c>
      <c r="L99" s="283">
        <f>IF(SUM(O99:Q99)=0,0,(SUM(O99:Q99)+(K99+SUM(M99:Q99))*(INDEX($U$89:$AB$89,MATCH(Notes!$C$16,$U$3:$AB$3,0))-100%))*$L$89)</f>
        <v>0</v>
      </c>
      <c r="M99" s="286"/>
      <c r="N99" s="286"/>
      <c r="O99" s="285"/>
      <c r="P99" s="285"/>
      <c r="Q99" s="285"/>
      <c r="R99" s="278"/>
      <c r="S99" s="278"/>
      <c r="T99" s="278"/>
    </row>
    <row r="100" spans="1:28" ht="21" hidden="1" outlineLevel="1" x14ac:dyDescent="0.25">
      <c r="A100" s="299"/>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row>
    <row r="101" spans="1:28" ht="15.75" hidden="1" outlineLevel="1" x14ac:dyDescent="0.25">
      <c r="A101" s="291"/>
      <c r="B101" s="291"/>
      <c r="C101" s="291"/>
      <c r="D101" s="291"/>
      <c r="E101" s="291"/>
      <c r="F101" s="291"/>
      <c r="G101" s="291"/>
      <c r="H101" s="291"/>
      <c r="I101" s="291"/>
      <c r="J101" s="291"/>
      <c r="K101" s="291">
        <f>K$2</f>
        <v>1</v>
      </c>
      <c r="L101" s="291">
        <f>L$2</f>
        <v>1</v>
      </c>
      <c r="M101" s="291"/>
      <c r="N101" s="291"/>
      <c r="O101" s="303"/>
      <c r="P101" s="303"/>
      <c r="Q101" s="303"/>
      <c r="R101" s="291"/>
      <c r="S101" s="291"/>
      <c r="T101" s="291"/>
      <c r="U101" s="291">
        <f>U$2</f>
        <v>1</v>
      </c>
      <c r="V101" s="291">
        <f>V$2</f>
        <v>1</v>
      </c>
      <c r="W101" s="291">
        <f t="shared" ref="W101:AB101" si="32">W$2</f>
        <v>1</v>
      </c>
      <c r="X101" s="291">
        <f t="shared" si="32"/>
        <v>1</v>
      </c>
      <c r="Y101" s="291">
        <f t="shared" si="32"/>
        <v>1</v>
      </c>
      <c r="Z101" s="291">
        <f t="shared" si="32"/>
        <v>1</v>
      </c>
      <c r="AA101" s="291">
        <f t="shared" si="32"/>
        <v>1</v>
      </c>
      <c r="AB101" s="291">
        <f t="shared" si="32"/>
        <v>1</v>
      </c>
    </row>
    <row r="102" spans="1:28" s="305" customFormat="1" hidden="1" outlineLevel="1" x14ac:dyDescent="0.25">
      <c r="A102" s="278"/>
      <c r="B102" s="279" t="str">
        <f>C102&amp;D102&amp;E102&amp;F102</f>
        <v/>
      </c>
      <c r="C102" s="278"/>
      <c r="D102" s="278"/>
      <c r="E102" s="278"/>
      <c r="F102" s="278"/>
      <c r="G102" s="278"/>
      <c r="H102" s="290"/>
      <c r="I102" s="280">
        <f>$I$2*H102</f>
        <v>0</v>
      </c>
      <c r="J102" s="281">
        <f>$J$2*H102</f>
        <v>0</v>
      </c>
      <c r="K102" s="282">
        <f>IF(Notes!$B$9="Domestic",I102, IF(Notes!$B$9="Commercial",J102))*$K$101</f>
        <v>0</v>
      </c>
      <c r="L102" s="283">
        <f>IF(SUM(O102:Q102)=0,0,(SUM(O102:Q102)+(K102+SUM(M102:Q102))*(INDEX($U$101:$AB$101,MATCH(Notes!$C$16,$U$3:$AB$3,0))-100%))*$L$101)</f>
        <v>0</v>
      </c>
      <c r="M102" s="286"/>
      <c r="N102" s="286"/>
      <c r="O102" s="285"/>
      <c r="P102" s="285"/>
      <c r="Q102" s="285"/>
      <c r="R102" s="278"/>
      <c r="S102" s="278"/>
      <c r="T102" s="278"/>
    </row>
    <row r="103" spans="1:28" s="305" customFormat="1" hidden="1" outlineLevel="1" x14ac:dyDescent="0.25">
      <c r="A103" s="278"/>
      <c r="B103" s="279" t="str">
        <f t="shared" ref="B103:B111" si="33">C103&amp;D103&amp;E103&amp;F103</f>
        <v/>
      </c>
      <c r="C103" s="278"/>
      <c r="D103" s="278"/>
      <c r="E103" s="278"/>
      <c r="F103" s="278"/>
      <c r="G103" s="278"/>
      <c r="H103" s="290"/>
      <c r="I103" s="280">
        <f t="shared" ref="I103:I111" si="34">$I$2*H103</f>
        <v>0</v>
      </c>
      <c r="J103" s="281">
        <f t="shared" ref="J103:J111" si="35">$J$2*H103</f>
        <v>0</v>
      </c>
      <c r="K103" s="282">
        <f>IF(Notes!$B$9="Domestic",I103, IF(Notes!$B$9="Commercial",J103))*$K$101</f>
        <v>0</v>
      </c>
      <c r="L103" s="283">
        <f>IF(SUM(O103:Q103)=0,0,(SUM(O103:Q103)+(K103+SUM(M103:Q103))*(INDEX($U$101:$AB$101,MATCH(Notes!$C$16,$U$3:$AB$3,0))-100%))*$L$101)</f>
        <v>0</v>
      </c>
      <c r="M103" s="286"/>
      <c r="N103" s="286"/>
      <c r="O103" s="285"/>
      <c r="P103" s="285"/>
      <c r="Q103" s="285"/>
      <c r="R103" s="278"/>
      <c r="S103" s="278"/>
      <c r="T103" s="278"/>
    </row>
    <row r="104" spans="1:28" s="305" customFormat="1" hidden="1" outlineLevel="1" x14ac:dyDescent="0.25">
      <c r="A104" s="278"/>
      <c r="B104" s="279" t="str">
        <f t="shared" si="33"/>
        <v/>
      </c>
      <c r="C104" s="278"/>
      <c r="D104" s="278"/>
      <c r="E104" s="278"/>
      <c r="F104" s="278"/>
      <c r="G104" s="278"/>
      <c r="H104" s="290"/>
      <c r="I104" s="280">
        <f t="shared" si="34"/>
        <v>0</v>
      </c>
      <c r="J104" s="281">
        <f t="shared" si="35"/>
        <v>0</v>
      </c>
      <c r="K104" s="282">
        <f>IF(Notes!$B$9="Domestic",I104, IF(Notes!$B$9="Commercial",J104))*$K$101</f>
        <v>0</v>
      </c>
      <c r="L104" s="283">
        <f>IF(SUM(O104:Q104)=0,0,(SUM(O104:Q104)+(K104+SUM(M104:Q104))*(INDEX($U$101:$AB$101,MATCH(Notes!$C$16,$U$3:$AB$3,0))-100%))*$L$101)</f>
        <v>0</v>
      </c>
      <c r="M104" s="286"/>
      <c r="N104" s="286"/>
      <c r="O104" s="285"/>
      <c r="P104" s="285"/>
      <c r="Q104" s="285"/>
      <c r="R104" s="278"/>
      <c r="S104" s="278"/>
      <c r="T104" s="278"/>
    </row>
    <row r="105" spans="1:28" s="305" customFormat="1" hidden="1" outlineLevel="1" x14ac:dyDescent="0.25">
      <c r="A105" s="278"/>
      <c r="B105" s="279" t="str">
        <f t="shared" si="33"/>
        <v/>
      </c>
      <c r="C105" s="278"/>
      <c r="D105" s="278"/>
      <c r="E105" s="278"/>
      <c r="F105" s="278"/>
      <c r="G105" s="278"/>
      <c r="H105" s="290"/>
      <c r="I105" s="280">
        <f t="shared" si="34"/>
        <v>0</v>
      </c>
      <c r="J105" s="281">
        <f t="shared" si="35"/>
        <v>0</v>
      </c>
      <c r="K105" s="282">
        <f>IF(Notes!$B$9="Domestic",I105, IF(Notes!$B$9="Commercial",J105))*$K$101</f>
        <v>0</v>
      </c>
      <c r="L105" s="283">
        <f>IF(SUM(O105:Q105)=0,0,(SUM(O105:Q105)+(K105+SUM(M105:Q105))*(INDEX($U$101:$AB$101,MATCH(Notes!$C$16,$U$3:$AB$3,0))-100%))*$L$101)</f>
        <v>0</v>
      </c>
      <c r="M105" s="286"/>
      <c r="N105" s="286"/>
      <c r="O105" s="285"/>
      <c r="P105" s="285"/>
      <c r="Q105" s="285"/>
      <c r="R105" s="278"/>
      <c r="S105" s="278"/>
      <c r="T105" s="278"/>
    </row>
    <row r="106" spans="1:28" s="305" customFormat="1" hidden="1" outlineLevel="1" x14ac:dyDescent="0.25">
      <c r="A106" s="278"/>
      <c r="B106" s="279" t="str">
        <f t="shared" si="33"/>
        <v/>
      </c>
      <c r="C106" s="278"/>
      <c r="D106" s="278"/>
      <c r="E106" s="278"/>
      <c r="F106" s="278"/>
      <c r="G106" s="278"/>
      <c r="H106" s="290"/>
      <c r="I106" s="280">
        <f>$I$2*H106</f>
        <v>0</v>
      </c>
      <c r="J106" s="281">
        <f t="shared" si="35"/>
        <v>0</v>
      </c>
      <c r="K106" s="282">
        <f>IF(Notes!$B$9="Domestic",I106, IF(Notes!$B$9="Commercial",J106))*$K$101</f>
        <v>0</v>
      </c>
      <c r="L106" s="283">
        <f>IF(SUM(O106:Q106)=0,0,(SUM(O106:Q106)+(K106+SUM(M106:Q106))*(INDEX($U$101:$AB$101,MATCH(Notes!$C$16,$U$3:$AB$3,0))-100%))*$L$101)</f>
        <v>0</v>
      </c>
      <c r="M106" s="286"/>
      <c r="N106" s="286"/>
      <c r="O106" s="285"/>
      <c r="P106" s="285"/>
      <c r="Q106" s="285"/>
      <c r="R106" s="278"/>
      <c r="S106" s="278"/>
      <c r="T106" s="278"/>
    </row>
    <row r="107" spans="1:28" s="305" customFormat="1" hidden="1" outlineLevel="1" x14ac:dyDescent="0.25">
      <c r="A107" s="278"/>
      <c r="B107" s="279" t="str">
        <f t="shared" si="33"/>
        <v/>
      </c>
      <c r="C107" s="278"/>
      <c r="D107" s="278"/>
      <c r="E107" s="278"/>
      <c r="F107" s="278"/>
      <c r="G107" s="278"/>
      <c r="H107" s="290"/>
      <c r="I107" s="280">
        <f t="shared" si="34"/>
        <v>0</v>
      </c>
      <c r="J107" s="281">
        <f t="shared" si="35"/>
        <v>0</v>
      </c>
      <c r="K107" s="282">
        <f>IF(Notes!$B$9="Domestic",I107, IF(Notes!$B$9="Commercial",J107))*$K$101</f>
        <v>0</v>
      </c>
      <c r="L107" s="283">
        <f>IF(SUM(O107:Q107)=0,0,(SUM(O107:Q107)+(K107+SUM(M107:Q107))*(INDEX($U$101:$AB$101,MATCH(Notes!$C$16,$U$3:$AB$3,0))-100%))*$L$101)</f>
        <v>0</v>
      </c>
      <c r="M107" s="286"/>
      <c r="N107" s="286"/>
      <c r="O107" s="285"/>
      <c r="P107" s="285"/>
      <c r="Q107" s="285"/>
      <c r="R107" s="278"/>
      <c r="S107" s="278"/>
      <c r="T107" s="278"/>
    </row>
    <row r="108" spans="1:28" s="305" customFormat="1" hidden="1" outlineLevel="1" x14ac:dyDescent="0.25">
      <c r="A108" s="278"/>
      <c r="B108" s="279" t="str">
        <f t="shared" si="33"/>
        <v/>
      </c>
      <c r="C108" s="278"/>
      <c r="D108" s="278"/>
      <c r="E108" s="278"/>
      <c r="F108" s="278"/>
      <c r="G108" s="278"/>
      <c r="H108" s="290"/>
      <c r="I108" s="280">
        <f t="shared" si="34"/>
        <v>0</v>
      </c>
      <c r="J108" s="281">
        <f t="shared" si="35"/>
        <v>0</v>
      </c>
      <c r="K108" s="282">
        <f>IF(Notes!$B$9="Domestic",I108, IF(Notes!$B$9="Commercial",J108))*$K$101</f>
        <v>0</v>
      </c>
      <c r="L108" s="283">
        <f>IF(SUM(O108:Q108)=0,0,(SUM(O108:Q108)+(K108+SUM(M108:Q108))*(INDEX($U$101:$AB$101,MATCH(Notes!$C$16,$U$3:$AB$3,0))-100%))*$L$101)</f>
        <v>0</v>
      </c>
      <c r="M108" s="286"/>
      <c r="N108" s="286"/>
      <c r="O108" s="285"/>
      <c r="P108" s="285"/>
      <c r="Q108" s="285"/>
      <c r="R108" s="278"/>
      <c r="S108" s="278"/>
      <c r="T108" s="278"/>
    </row>
    <row r="109" spans="1:28" s="305" customFormat="1" hidden="1" outlineLevel="1" x14ac:dyDescent="0.25">
      <c r="A109" s="278"/>
      <c r="B109" s="279" t="str">
        <f t="shared" si="33"/>
        <v/>
      </c>
      <c r="C109" s="278"/>
      <c r="D109" s="278"/>
      <c r="E109" s="278"/>
      <c r="F109" s="278"/>
      <c r="G109" s="278"/>
      <c r="H109" s="290"/>
      <c r="I109" s="280">
        <f t="shared" si="34"/>
        <v>0</v>
      </c>
      <c r="J109" s="281">
        <f t="shared" si="35"/>
        <v>0</v>
      </c>
      <c r="K109" s="282">
        <f>IF(Notes!$B$9="Domestic",I109, IF(Notes!$B$9="Commercial",J109))*$K$101</f>
        <v>0</v>
      </c>
      <c r="L109" s="283">
        <f>IF(SUM(O109:Q109)=0,0,(SUM(O109:Q109)+(K109+SUM(M109:Q109))*(INDEX($U$101:$AB$101,MATCH(Notes!$C$16,$U$3:$AB$3,0))-100%))*$L$101)</f>
        <v>0</v>
      </c>
      <c r="M109" s="286"/>
      <c r="N109" s="286"/>
      <c r="O109" s="285"/>
      <c r="P109" s="285"/>
      <c r="Q109" s="285"/>
      <c r="R109" s="278"/>
      <c r="S109" s="278"/>
      <c r="T109" s="278"/>
    </row>
    <row r="110" spans="1:28" s="305" customFormat="1" hidden="1" outlineLevel="1" x14ac:dyDescent="0.25">
      <c r="A110" s="278"/>
      <c r="B110" s="279" t="str">
        <f t="shared" si="33"/>
        <v/>
      </c>
      <c r="C110" s="278"/>
      <c r="D110" s="278"/>
      <c r="E110" s="278"/>
      <c r="F110" s="278"/>
      <c r="G110" s="278"/>
      <c r="H110" s="290"/>
      <c r="I110" s="280">
        <f t="shared" si="34"/>
        <v>0</v>
      </c>
      <c r="J110" s="281">
        <f t="shared" si="35"/>
        <v>0</v>
      </c>
      <c r="K110" s="282">
        <f>IF(Notes!$B$9="Domestic",I110, IF(Notes!$B$9="Commercial",J110))*$K$101</f>
        <v>0</v>
      </c>
      <c r="L110" s="283">
        <f>IF(SUM(O110:Q110)=0,0,(SUM(O110:Q110)+(K110+SUM(M110:Q110))*(INDEX($U$101:$AB$101,MATCH(Notes!$C$16,$U$3:$AB$3,0))-100%))*$L$101)</f>
        <v>0</v>
      </c>
      <c r="M110" s="286"/>
      <c r="N110" s="286"/>
      <c r="O110" s="285"/>
      <c r="P110" s="285"/>
      <c r="Q110" s="285"/>
      <c r="R110" s="278"/>
      <c r="S110" s="278"/>
      <c r="T110" s="278"/>
    </row>
    <row r="111" spans="1:28" s="305" customFormat="1" hidden="1" outlineLevel="1" x14ac:dyDescent="0.25">
      <c r="A111" s="278"/>
      <c r="B111" s="279" t="str">
        <f t="shared" si="33"/>
        <v/>
      </c>
      <c r="C111" s="278"/>
      <c r="D111" s="278"/>
      <c r="E111" s="278"/>
      <c r="F111" s="278"/>
      <c r="G111" s="278"/>
      <c r="H111" s="290"/>
      <c r="I111" s="280">
        <f t="shared" si="34"/>
        <v>0</v>
      </c>
      <c r="J111" s="281">
        <f t="shared" si="35"/>
        <v>0</v>
      </c>
      <c r="K111" s="282">
        <f>IF(Notes!$B$9="Domestic",I111, IF(Notes!$B$9="Commercial",J111))*$K$101</f>
        <v>0</v>
      </c>
      <c r="L111" s="283">
        <f>IF(SUM(O111:Q111)=0,0,(SUM(O111:Q111)+(K111+SUM(M111:Q111))*(INDEX($U$101:$AB$101,MATCH(Notes!$C$16,$U$3:$AB$3,0))-100%))*$L$101)</f>
        <v>0</v>
      </c>
      <c r="M111" s="286"/>
      <c r="N111" s="286"/>
      <c r="O111" s="285"/>
      <c r="P111" s="285"/>
      <c r="Q111" s="285"/>
      <c r="R111" s="278"/>
      <c r="S111" s="278"/>
      <c r="T111" s="278"/>
    </row>
    <row r="112" spans="1:28" ht="21" hidden="1" outlineLevel="1" x14ac:dyDescent="0.25">
      <c r="A112" s="299"/>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row>
    <row r="113" spans="1:28" ht="15.75" hidden="1" outlineLevel="1" x14ac:dyDescent="0.25">
      <c r="A113" s="291"/>
      <c r="B113" s="291"/>
      <c r="C113" s="291"/>
      <c r="D113" s="291"/>
      <c r="E113" s="291"/>
      <c r="F113" s="291"/>
      <c r="G113" s="291"/>
      <c r="H113" s="291"/>
      <c r="I113" s="291"/>
      <c r="J113" s="291"/>
      <c r="K113" s="291">
        <f>K$2</f>
        <v>1</v>
      </c>
      <c r="L113" s="291">
        <f>L$2</f>
        <v>1</v>
      </c>
      <c r="M113" s="291"/>
      <c r="N113" s="291"/>
      <c r="O113" s="303"/>
      <c r="P113" s="303"/>
      <c r="Q113" s="303"/>
      <c r="R113" s="291"/>
      <c r="S113" s="291"/>
      <c r="T113" s="291"/>
      <c r="U113" s="291">
        <f>U$2</f>
        <v>1</v>
      </c>
      <c r="V113" s="291">
        <f>V$2</f>
        <v>1</v>
      </c>
      <c r="W113" s="291">
        <f t="shared" ref="W113:AB113" si="36">W$2</f>
        <v>1</v>
      </c>
      <c r="X113" s="291">
        <f t="shared" si="36"/>
        <v>1</v>
      </c>
      <c r="Y113" s="291">
        <f t="shared" si="36"/>
        <v>1</v>
      </c>
      <c r="Z113" s="291">
        <f t="shared" si="36"/>
        <v>1</v>
      </c>
      <c r="AA113" s="291">
        <f t="shared" si="36"/>
        <v>1</v>
      </c>
      <c r="AB113" s="291">
        <f t="shared" si="36"/>
        <v>1</v>
      </c>
    </row>
    <row r="114" spans="1:28" s="305" customFormat="1" hidden="1" outlineLevel="1" x14ac:dyDescent="0.25">
      <c r="A114" s="278"/>
      <c r="B114" s="279" t="str">
        <f>C114&amp;D114&amp;E114&amp;F114</f>
        <v/>
      </c>
      <c r="C114" s="278"/>
      <c r="D114" s="278"/>
      <c r="E114" s="278"/>
      <c r="F114" s="278"/>
      <c r="G114" s="278"/>
      <c r="H114" s="290"/>
      <c r="I114" s="280">
        <f>$I$2*H114</f>
        <v>0</v>
      </c>
      <c r="J114" s="281">
        <f>$J$2*H114</f>
        <v>0</v>
      </c>
      <c r="K114" s="282">
        <f>IF(Notes!$B$9="Domestic",I114, IF(Notes!$B$9="Commercial",J114))*$K$113</f>
        <v>0</v>
      </c>
      <c r="L114" s="283">
        <f>IF(SUM(O114:Q114)=0,0,(SUM(O114:Q114)+(K114+SUM(M114:Q114))*(INDEX($U$113:$AB$113,MATCH(Notes!$C$16,$U$3:$AB$3,0))-100%))*$L$113)</f>
        <v>0</v>
      </c>
      <c r="M114" s="286"/>
      <c r="N114" s="286"/>
      <c r="O114" s="285"/>
      <c r="P114" s="285"/>
      <c r="Q114" s="285"/>
      <c r="R114" s="278"/>
      <c r="S114" s="278"/>
      <c r="T114" s="278"/>
    </row>
    <row r="115" spans="1:28" s="305" customFormat="1" hidden="1" outlineLevel="1" x14ac:dyDescent="0.25">
      <c r="A115" s="278"/>
      <c r="B115" s="279" t="str">
        <f t="shared" ref="B115:B123" si="37">C115&amp;D115&amp;E115&amp;F115</f>
        <v/>
      </c>
      <c r="C115" s="278"/>
      <c r="D115" s="278"/>
      <c r="E115" s="278"/>
      <c r="F115" s="278"/>
      <c r="G115" s="278"/>
      <c r="H115" s="290"/>
      <c r="I115" s="280">
        <f t="shared" ref="I115:I117" si="38">$I$2*H115</f>
        <v>0</v>
      </c>
      <c r="J115" s="281">
        <f t="shared" ref="J115:J123" si="39">$J$2*H115</f>
        <v>0</v>
      </c>
      <c r="K115" s="282">
        <f>IF(Notes!$B$9="Domestic",I115, IF(Notes!$B$9="Commercial",J115))*$K$113</f>
        <v>0</v>
      </c>
      <c r="L115" s="283">
        <f>IF(SUM(O115:Q115)=0,0,(SUM(O115:Q115)+(K115+SUM(M115:Q115))*(INDEX($U$113:$AB$113,MATCH(Notes!$C$16,$U$3:$AB$3,0))-100%))*$L$113)</f>
        <v>0</v>
      </c>
      <c r="M115" s="286"/>
      <c r="N115" s="286"/>
      <c r="O115" s="285"/>
      <c r="P115" s="285"/>
      <c r="Q115" s="285"/>
      <c r="R115" s="278"/>
      <c r="S115" s="278"/>
      <c r="T115" s="278"/>
    </row>
    <row r="116" spans="1:28" s="305" customFormat="1" hidden="1" outlineLevel="1" x14ac:dyDescent="0.25">
      <c r="A116" s="278"/>
      <c r="B116" s="279" t="str">
        <f t="shared" si="37"/>
        <v/>
      </c>
      <c r="C116" s="278"/>
      <c r="D116" s="278"/>
      <c r="E116" s="278"/>
      <c r="F116" s="278"/>
      <c r="G116" s="278"/>
      <c r="H116" s="290"/>
      <c r="I116" s="280">
        <f t="shared" si="38"/>
        <v>0</v>
      </c>
      <c r="J116" s="281">
        <f t="shared" si="39"/>
        <v>0</v>
      </c>
      <c r="K116" s="282">
        <f>IF(Notes!$B$9="Domestic",I116, IF(Notes!$B$9="Commercial",J116))*$K$113</f>
        <v>0</v>
      </c>
      <c r="L116" s="283">
        <f>IF(SUM(O116:Q116)=0,0,(SUM(O116:Q116)+(K116+SUM(M116:Q116))*(INDEX($U$113:$AB$113,MATCH(Notes!$C$16,$U$3:$AB$3,0))-100%))*$L$113)</f>
        <v>0</v>
      </c>
      <c r="M116" s="286"/>
      <c r="N116" s="286"/>
      <c r="O116" s="285"/>
      <c r="P116" s="285"/>
      <c r="Q116" s="285"/>
      <c r="R116" s="278"/>
      <c r="S116" s="278"/>
      <c r="T116" s="278"/>
    </row>
    <row r="117" spans="1:28" s="305" customFormat="1" hidden="1" outlineLevel="1" x14ac:dyDescent="0.25">
      <c r="A117" s="278"/>
      <c r="B117" s="279" t="str">
        <f t="shared" si="37"/>
        <v/>
      </c>
      <c r="C117" s="278"/>
      <c r="D117" s="278"/>
      <c r="E117" s="278"/>
      <c r="F117" s="278"/>
      <c r="G117" s="278"/>
      <c r="H117" s="290"/>
      <c r="I117" s="280">
        <f t="shared" si="38"/>
        <v>0</v>
      </c>
      <c r="J117" s="281">
        <f t="shared" si="39"/>
        <v>0</v>
      </c>
      <c r="K117" s="282">
        <f>IF(Notes!$B$9="Domestic",I117, IF(Notes!$B$9="Commercial",J117))*$K$113</f>
        <v>0</v>
      </c>
      <c r="L117" s="283">
        <f>IF(SUM(O117:Q117)=0,0,(SUM(O117:Q117)+(K117+SUM(M117:Q117))*(INDEX($U$113:$AB$113,MATCH(Notes!$C$16,$U$3:$AB$3,0))-100%))*$L$113)</f>
        <v>0</v>
      </c>
      <c r="M117" s="286"/>
      <c r="N117" s="286"/>
      <c r="O117" s="285"/>
      <c r="P117" s="285"/>
      <c r="Q117" s="285"/>
      <c r="R117" s="278"/>
      <c r="S117" s="278"/>
      <c r="T117" s="278"/>
    </row>
    <row r="118" spans="1:28" s="305" customFormat="1" hidden="1" outlineLevel="1" x14ac:dyDescent="0.25">
      <c r="A118" s="278"/>
      <c r="B118" s="279" t="str">
        <f t="shared" si="37"/>
        <v/>
      </c>
      <c r="C118" s="278"/>
      <c r="D118" s="278"/>
      <c r="E118" s="278"/>
      <c r="F118" s="278"/>
      <c r="G118" s="278"/>
      <c r="H118" s="290"/>
      <c r="I118" s="280">
        <f>$I$2*H118</f>
        <v>0</v>
      </c>
      <c r="J118" s="281">
        <f t="shared" si="39"/>
        <v>0</v>
      </c>
      <c r="K118" s="282">
        <f>IF(Notes!$B$9="Domestic",I118, IF(Notes!$B$9="Commercial",J118))*$K$113</f>
        <v>0</v>
      </c>
      <c r="L118" s="283">
        <f>IF(SUM(O118:Q118)=0,0,(SUM(O118:Q118)+(K118+SUM(M118:Q118))*(INDEX($U$113:$AB$113,MATCH(Notes!$C$16,$U$3:$AB$3,0))-100%))*$L$113)</f>
        <v>0</v>
      </c>
      <c r="M118" s="286"/>
      <c r="N118" s="286"/>
      <c r="O118" s="285"/>
      <c r="P118" s="285"/>
      <c r="Q118" s="285"/>
      <c r="R118" s="278"/>
      <c r="S118" s="278"/>
      <c r="T118" s="278"/>
    </row>
    <row r="119" spans="1:28" s="305" customFormat="1" hidden="1" outlineLevel="1" x14ac:dyDescent="0.25">
      <c r="A119" s="278"/>
      <c r="B119" s="279" t="str">
        <f t="shared" si="37"/>
        <v/>
      </c>
      <c r="C119" s="278"/>
      <c r="D119" s="278"/>
      <c r="E119" s="278"/>
      <c r="F119" s="278"/>
      <c r="G119" s="278"/>
      <c r="H119" s="290"/>
      <c r="I119" s="280">
        <f t="shared" ref="I119:I123" si="40">$I$2*H119</f>
        <v>0</v>
      </c>
      <c r="J119" s="281">
        <f t="shared" si="39"/>
        <v>0</v>
      </c>
      <c r="K119" s="282">
        <f>IF(Notes!$B$9="Domestic",I119, IF(Notes!$B$9="Commercial",J119))*$K$113</f>
        <v>0</v>
      </c>
      <c r="L119" s="283">
        <f>IF(SUM(O119:Q119)=0,0,(SUM(O119:Q119)+(K119+SUM(M119:Q119))*(INDEX($U$113:$AB$113,MATCH(Notes!$C$16,$U$3:$AB$3,0))-100%))*$L$113)</f>
        <v>0</v>
      </c>
      <c r="M119" s="286"/>
      <c r="N119" s="286"/>
      <c r="O119" s="285"/>
      <c r="P119" s="285"/>
      <c r="Q119" s="285"/>
      <c r="R119" s="278"/>
      <c r="S119" s="278"/>
      <c r="T119" s="278"/>
    </row>
    <row r="120" spans="1:28" s="305" customFormat="1" hidden="1" outlineLevel="1" x14ac:dyDescent="0.25">
      <c r="A120" s="278"/>
      <c r="B120" s="279" t="str">
        <f t="shared" si="37"/>
        <v/>
      </c>
      <c r="C120" s="278"/>
      <c r="D120" s="278"/>
      <c r="E120" s="278"/>
      <c r="F120" s="278"/>
      <c r="G120" s="278"/>
      <c r="H120" s="290"/>
      <c r="I120" s="280">
        <f t="shared" si="40"/>
        <v>0</v>
      </c>
      <c r="J120" s="281">
        <f t="shared" si="39"/>
        <v>0</v>
      </c>
      <c r="K120" s="282">
        <f>IF(Notes!$B$9="Domestic",I120, IF(Notes!$B$9="Commercial",J120))*$K$113</f>
        <v>0</v>
      </c>
      <c r="L120" s="283">
        <f>IF(SUM(O120:Q120)=0,0,(SUM(O120:Q120)+(K120+SUM(M120:Q120))*(INDEX($U$113:$AB$113,MATCH(Notes!$C$16,$U$3:$AB$3,0))-100%))*$L$113)</f>
        <v>0</v>
      </c>
      <c r="M120" s="286"/>
      <c r="N120" s="286"/>
      <c r="O120" s="285"/>
      <c r="P120" s="285"/>
      <c r="Q120" s="285"/>
      <c r="R120" s="278"/>
      <c r="S120" s="278"/>
      <c r="T120" s="278"/>
    </row>
    <row r="121" spans="1:28" s="305" customFormat="1" hidden="1" outlineLevel="1" x14ac:dyDescent="0.25">
      <c r="A121" s="278"/>
      <c r="B121" s="279" t="str">
        <f t="shared" si="37"/>
        <v/>
      </c>
      <c r="C121" s="278"/>
      <c r="D121" s="278"/>
      <c r="E121" s="278"/>
      <c r="F121" s="278"/>
      <c r="G121" s="278"/>
      <c r="H121" s="290"/>
      <c r="I121" s="280">
        <f t="shared" si="40"/>
        <v>0</v>
      </c>
      <c r="J121" s="281">
        <f t="shared" si="39"/>
        <v>0</v>
      </c>
      <c r="K121" s="282">
        <f>IF(Notes!$B$9="Domestic",I121, IF(Notes!$B$9="Commercial",J121))*$K$113</f>
        <v>0</v>
      </c>
      <c r="L121" s="283">
        <f>IF(SUM(O121:Q121)=0,0,(SUM(O121:Q121)+(K121+SUM(M121:Q121))*(INDEX($U$113:$AB$113,MATCH(Notes!$C$16,$U$3:$AB$3,0))-100%))*$L$113)</f>
        <v>0</v>
      </c>
      <c r="M121" s="286"/>
      <c r="N121" s="286"/>
      <c r="O121" s="285"/>
      <c r="P121" s="285"/>
      <c r="Q121" s="285"/>
      <c r="R121" s="278"/>
      <c r="S121" s="278"/>
      <c r="T121" s="278"/>
    </row>
    <row r="122" spans="1:28" s="305" customFormat="1" hidden="1" outlineLevel="1" x14ac:dyDescent="0.25">
      <c r="A122" s="278"/>
      <c r="B122" s="279" t="str">
        <f t="shared" si="37"/>
        <v/>
      </c>
      <c r="C122" s="278"/>
      <c r="D122" s="278"/>
      <c r="E122" s="278"/>
      <c r="F122" s="278"/>
      <c r="G122" s="278"/>
      <c r="H122" s="290"/>
      <c r="I122" s="280">
        <f t="shared" si="40"/>
        <v>0</v>
      </c>
      <c r="J122" s="281">
        <f t="shared" si="39"/>
        <v>0</v>
      </c>
      <c r="K122" s="282">
        <f>IF(Notes!$B$9="Domestic",I122, IF(Notes!$B$9="Commercial",J122))*$K$113</f>
        <v>0</v>
      </c>
      <c r="L122" s="283">
        <f>IF(SUM(O122:Q122)=0,0,(SUM(O122:Q122)+(K122+SUM(M122:Q122))*(INDEX($U$113:$AB$113,MATCH(Notes!$C$16,$U$3:$AB$3,0))-100%))*$L$113)</f>
        <v>0</v>
      </c>
      <c r="M122" s="286"/>
      <c r="N122" s="286"/>
      <c r="O122" s="285"/>
      <c r="P122" s="285"/>
      <c r="Q122" s="285"/>
      <c r="R122" s="278"/>
      <c r="S122" s="278"/>
      <c r="T122" s="278"/>
    </row>
    <row r="123" spans="1:28" s="305" customFormat="1" hidden="1" outlineLevel="1" x14ac:dyDescent="0.25">
      <c r="A123" s="278"/>
      <c r="B123" s="279" t="str">
        <f t="shared" si="37"/>
        <v/>
      </c>
      <c r="C123" s="278"/>
      <c r="D123" s="278"/>
      <c r="E123" s="278"/>
      <c r="F123" s="278"/>
      <c r="G123" s="278"/>
      <c r="H123" s="290"/>
      <c r="I123" s="280">
        <f t="shared" si="40"/>
        <v>0</v>
      </c>
      <c r="J123" s="281">
        <f t="shared" si="39"/>
        <v>0</v>
      </c>
      <c r="K123" s="282">
        <f>IF(Notes!$B$9="Domestic",I123, IF(Notes!$B$9="Commercial",J123))*$K$113</f>
        <v>0</v>
      </c>
      <c r="L123" s="283">
        <f>IF(SUM(O123:Q123)=0,0,(SUM(O123:Q123)+(K123+SUM(M123:Q123))*(INDEX($U$113:$AB$113,MATCH(Notes!$C$16,$U$3:$AB$3,0))-100%))*$L$113)</f>
        <v>0</v>
      </c>
      <c r="M123" s="286"/>
      <c r="N123" s="286"/>
      <c r="O123" s="285"/>
      <c r="P123" s="285"/>
      <c r="Q123" s="285"/>
      <c r="R123" s="278"/>
      <c r="S123" s="278"/>
      <c r="T123" s="278"/>
    </row>
    <row r="124" spans="1:28" ht="21" hidden="1" outlineLevel="1" x14ac:dyDescent="0.25">
      <c r="A124" s="299"/>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row>
    <row r="125" spans="1:28" ht="15.75" hidden="1" outlineLevel="1" x14ac:dyDescent="0.25">
      <c r="A125" s="291"/>
      <c r="B125" s="291"/>
      <c r="C125" s="291"/>
      <c r="D125" s="291"/>
      <c r="E125" s="291"/>
      <c r="F125" s="291"/>
      <c r="G125" s="291"/>
      <c r="H125" s="291"/>
      <c r="I125" s="291"/>
      <c r="J125" s="291"/>
      <c r="K125" s="291">
        <f>K$2</f>
        <v>1</v>
      </c>
      <c r="L125" s="291">
        <f>L$2</f>
        <v>1</v>
      </c>
      <c r="M125" s="291"/>
      <c r="N125" s="291"/>
      <c r="O125" s="303"/>
      <c r="P125" s="303"/>
      <c r="Q125" s="303"/>
      <c r="R125" s="291"/>
      <c r="S125" s="291"/>
      <c r="T125" s="291"/>
      <c r="U125" s="291">
        <f>U$2</f>
        <v>1</v>
      </c>
      <c r="V125" s="291">
        <f>V$2</f>
        <v>1</v>
      </c>
      <c r="W125" s="291">
        <f t="shared" ref="W125:AB125" si="41">W$2</f>
        <v>1</v>
      </c>
      <c r="X125" s="291">
        <f t="shared" si="41"/>
        <v>1</v>
      </c>
      <c r="Y125" s="291">
        <f t="shared" si="41"/>
        <v>1</v>
      </c>
      <c r="Z125" s="291">
        <f t="shared" si="41"/>
        <v>1</v>
      </c>
      <c r="AA125" s="291">
        <f t="shared" si="41"/>
        <v>1</v>
      </c>
      <c r="AB125" s="291">
        <f t="shared" si="41"/>
        <v>1</v>
      </c>
    </row>
    <row r="126" spans="1:28" s="305" customFormat="1" hidden="1" outlineLevel="1" x14ac:dyDescent="0.25">
      <c r="A126" s="278"/>
      <c r="B126" s="279" t="str">
        <f>C126&amp;D126&amp;E126&amp;F126</f>
        <v/>
      </c>
      <c r="C126" s="278"/>
      <c r="D126" s="278"/>
      <c r="E126" s="278"/>
      <c r="F126" s="278"/>
      <c r="G126" s="278"/>
      <c r="H126" s="290"/>
      <c r="I126" s="280">
        <f>$I$2*H126</f>
        <v>0</v>
      </c>
      <c r="J126" s="281">
        <f>$J$2*H126</f>
        <v>0</v>
      </c>
      <c r="K126" s="282">
        <f>IF(Notes!$B$9="Domestic",I126, IF(Notes!$B$9="Commercial",J126))*$K$125</f>
        <v>0</v>
      </c>
      <c r="L126" s="283">
        <f>IF(SUM(O126:Q126)=0,0,(SUM(O126:Q126)+(K126+SUM(M126:Q126))*(INDEX($U$125:$AB$125,MATCH(Notes!$C$16,$U$3:$AB$3,0))-100%))*$L$125)</f>
        <v>0</v>
      </c>
      <c r="M126" s="286"/>
      <c r="N126" s="286"/>
      <c r="O126" s="285"/>
      <c r="P126" s="285"/>
      <c r="Q126" s="285"/>
      <c r="R126" s="278"/>
      <c r="S126" s="278"/>
      <c r="T126" s="278"/>
    </row>
    <row r="127" spans="1:28" s="305" customFormat="1" hidden="1" outlineLevel="1" x14ac:dyDescent="0.25">
      <c r="A127" s="278"/>
      <c r="B127" s="279" t="str">
        <f t="shared" ref="B127:B135" si="42">C127&amp;D127&amp;E127&amp;F127</f>
        <v/>
      </c>
      <c r="C127" s="278"/>
      <c r="D127" s="278"/>
      <c r="E127" s="278"/>
      <c r="F127" s="278"/>
      <c r="G127" s="278"/>
      <c r="H127" s="290"/>
      <c r="I127" s="280">
        <f t="shared" ref="I127:I129" si="43">$I$2*H127</f>
        <v>0</v>
      </c>
      <c r="J127" s="281">
        <f t="shared" ref="J127:J135" si="44">$J$2*H127</f>
        <v>0</v>
      </c>
      <c r="K127" s="282">
        <f>IF(Notes!$B$9="Domestic",I127, IF(Notes!$B$9="Commercial",J127))*$K$125</f>
        <v>0</v>
      </c>
      <c r="L127" s="283">
        <f>IF(SUM(O127:Q127)=0,0,(SUM(O127:Q127)+(K127+SUM(M127:Q127))*(INDEX($U$125:$AB$125,MATCH(Notes!$C$16,$U$3:$AB$3,0))-100%))*$L$125)</f>
        <v>0</v>
      </c>
      <c r="M127" s="286"/>
      <c r="N127" s="286"/>
      <c r="O127" s="285"/>
      <c r="P127" s="285"/>
      <c r="Q127" s="285"/>
      <c r="R127" s="278"/>
      <c r="S127" s="278"/>
      <c r="T127" s="278"/>
    </row>
    <row r="128" spans="1:28" s="305" customFormat="1" hidden="1" outlineLevel="1" x14ac:dyDescent="0.25">
      <c r="A128" s="278"/>
      <c r="B128" s="279" t="str">
        <f t="shared" si="42"/>
        <v/>
      </c>
      <c r="C128" s="278"/>
      <c r="D128" s="278"/>
      <c r="E128" s="278"/>
      <c r="F128" s="278"/>
      <c r="G128" s="278"/>
      <c r="H128" s="290"/>
      <c r="I128" s="280">
        <f t="shared" si="43"/>
        <v>0</v>
      </c>
      <c r="J128" s="281">
        <f t="shared" si="44"/>
        <v>0</v>
      </c>
      <c r="K128" s="282">
        <f>IF(Notes!$B$9="Domestic",I128, IF(Notes!$B$9="Commercial",J128))*$K$125</f>
        <v>0</v>
      </c>
      <c r="L128" s="283">
        <f>IF(SUM(O128:Q128)=0,0,(SUM(O128:Q128)+(K128+SUM(M128:Q128))*(INDEX($U$125:$AB$125,MATCH(Notes!$C$16,$U$3:$AB$3,0))-100%))*$L$125)</f>
        <v>0</v>
      </c>
      <c r="M128" s="286"/>
      <c r="N128" s="286"/>
      <c r="O128" s="285"/>
      <c r="P128" s="285"/>
      <c r="Q128" s="285"/>
      <c r="R128" s="278"/>
      <c r="S128" s="278"/>
      <c r="T128" s="278"/>
    </row>
    <row r="129" spans="1:28" s="305" customFormat="1" hidden="1" outlineLevel="1" x14ac:dyDescent="0.25">
      <c r="A129" s="278"/>
      <c r="B129" s="279" t="str">
        <f t="shared" si="42"/>
        <v/>
      </c>
      <c r="C129" s="278"/>
      <c r="D129" s="278"/>
      <c r="E129" s="278"/>
      <c r="F129" s="278"/>
      <c r="G129" s="278"/>
      <c r="H129" s="290"/>
      <c r="I129" s="280">
        <f t="shared" si="43"/>
        <v>0</v>
      </c>
      <c r="J129" s="281">
        <f t="shared" si="44"/>
        <v>0</v>
      </c>
      <c r="K129" s="282">
        <f>IF(Notes!$B$9="Domestic",I129, IF(Notes!$B$9="Commercial",J129))*$K$125</f>
        <v>0</v>
      </c>
      <c r="L129" s="283">
        <f>IF(SUM(O129:Q129)=0,0,(SUM(O129:Q129)+(K129+SUM(M129:Q129))*(INDEX($U$125:$AB$125,MATCH(Notes!$C$16,$U$3:$AB$3,0))-100%))*$L$125)</f>
        <v>0</v>
      </c>
      <c r="M129" s="286"/>
      <c r="N129" s="286"/>
      <c r="O129" s="285"/>
      <c r="P129" s="285"/>
      <c r="Q129" s="285"/>
      <c r="R129" s="278"/>
      <c r="S129" s="278"/>
      <c r="T129" s="278"/>
    </row>
    <row r="130" spans="1:28" s="305" customFormat="1" hidden="1" outlineLevel="1" x14ac:dyDescent="0.25">
      <c r="A130" s="278"/>
      <c r="B130" s="279" t="str">
        <f t="shared" si="42"/>
        <v/>
      </c>
      <c r="C130" s="278"/>
      <c r="D130" s="278"/>
      <c r="E130" s="278"/>
      <c r="F130" s="278"/>
      <c r="G130" s="278"/>
      <c r="H130" s="290"/>
      <c r="I130" s="280">
        <f>$I$2*H130</f>
        <v>0</v>
      </c>
      <c r="J130" s="281">
        <f t="shared" si="44"/>
        <v>0</v>
      </c>
      <c r="K130" s="282">
        <f>IF(Notes!$B$9="Domestic",I130, IF(Notes!$B$9="Commercial",J130))*$K$125</f>
        <v>0</v>
      </c>
      <c r="L130" s="283">
        <f>IF(SUM(O130:Q130)=0,0,(SUM(O130:Q130)+(K130+SUM(M130:Q130))*(INDEX($U$125:$AB$125,MATCH(Notes!$C$16,$U$3:$AB$3,0))-100%))*$L$125)</f>
        <v>0</v>
      </c>
      <c r="M130" s="286"/>
      <c r="N130" s="286"/>
      <c r="O130" s="285"/>
      <c r="P130" s="285"/>
      <c r="Q130" s="285"/>
      <c r="R130" s="278"/>
      <c r="S130" s="278"/>
      <c r="T130" s="278"/>
    </row>
    <row r="131" spans="1:28" s="305" customFormat="1" hidden="1" outlineLevel="1" x14ac:dyDescent="0.25">
      <c r="A131" s="278"/>
      <c r="B131" s="279" t="str">
        <f t="shared" si="42"/>
        <v/>
      </c>
      <c r="C131" s="278"/>
      <c r="D131" s="278"/>
      <c r="E131" s="278"/>
      <c r="F131" s="278"/>
      <c r="G131" s="278"/>
      <c r="H131" s="290"/>
      <c r="I131" s="280">
        <f t="shared" ref="I131:I135" si="45">$I$2*H131</f>
        <v>0</v>
      </c>
      <c r="J131" s="281">
        <f t="shared" si="44"/>
        <v>0</v>
      </c>
      <c r="K131" s="282">
        <f>IF(Notes!$B$9="Domestic",I131, IF(Notes!$B$9="Commercial",J131))*$K$125</f>
        <v>0</v>
      </c>
      <c r="L131" s="283">
        <f>IF(SUM(O131:Q131)=0,0,(SUM(O131:Q131)+(K131+SUM(M131:Q131))*(INDEX($U$125:$AB$125,MATCH(Notes!$C$16,$U$3:$AB$3,0))-100%))*$L$125)</f>
        <v>0</v>
      </c>
      <c r="M131" s="286"/>
      <c r="N131" s="286"/>
      <c r="O131" s="285"/>
      <c r="P131" s="285"/>
      <c r="Q131" s="285"/>
      <c r="R131" s="278"/>
      <c r="S131" s="278"/>
      <c r="T131" s="278"/>
    </row>
    <row r="132" spans="1:28" s="305" customFormat="1" hidden="1" outlineLevel="1" x14ac:dyDescent="0.25">
      <c r="A132" s="278"/>
      <c r="B132" s="279" t="str">
        <f t="shared" si="42"/>
        <v/>
      </c>
      <c r="C132" s="278"/>
      <c r="D132" s="278"/>
      <c r="E132" s="278"/>
      <c r="F132" s="278"/>
      <c r="G132" s="278"/>
      <c r="H132" s="290"/>
      <c r="I132" s="280">
        <f t="shared" si="45"/>
        <v>0</v>
      </c>
      <c r="J132" s="281">
        <f t="shared" si="44"/>
        <v>0</v>
      </c>
      <c r="K132" s="282">
        <f>IF(Notes!$B$9="Domestic",I132, IF(Notes!$B$9="Commercial",J132))*$K$125</f>
        <v>0</v>
      </c>
      <c r="L132" s="283">
        <f>IF(SUM(O132:Q132)=0,0,(SUM(O132:Q132)+(K132+SUM(M132:Q132))*(INDEX($U$125:$AB$125,MATCH(Notes!$C$16,$U$3:$AB$3,0))-100%))*$L$125)</f>
        <v>0</v>
      </c>
      <c r="M132" s="286"/>
      <c r="N132" s="286"/>
      <c r="O132" s="285"/>
      <c r="P132" s="285"/>
      <c r="Q132" s="285"/>
      <c r="R132" s="278"/>
      <c r="S132" s="278"/>
      <c r="T132" s="278"/>
    </row>
    <row r="133" spans="1:28" s="305" customFormat="1" hidden="1" outlineLevel="1" x14ac:dyDescent="0.25">
      <c r="A133" s="278"/>
      <c r="B133" s="279" t="str">
        <f t="shared" si="42"/>
        <v/>
      </c>
      <c r="C133" s="278"/>
      <c r="D133" s="278"/>
      <c r="E133" s="278"/>
      <c r="F133" s="278"/>
      <c r="G133" s="278"/>
      <c r="H133" s="290"/>
      <c r="I133" s="280">
        <f t="shared" si="45"/>
        <v>0</v>
      </c>
      <c r="J133" s="281">
        <f t="shared" si="44"/>
        <v>0</v>
      </c>
      <c r="K133" s="282">
        <f>IF(Notes!$B$9="Domestic",I133, IF(Notes!$B$9="Commercial",J133))*$K$125</f>
        <v>0</v>
      </c>
      <c r="L133" s="283">
        <f>IF(SUM(O133:Q133)=0,0,(SUM(O133:Q133)+(K133+SUM(M133:Q133))*(INDEX($U$125:$AB$125,MATCH(Notes!$C$16,$U$3:$AB$3,0))-100%))*$L$125)</f>
        <v>0</v>
      </c>
      <c r="M133" s="286"/>
      <c r="N133" s="286"/>
      <c r="O133" s="285"/>
      <c r="P133" s="285"/>
      <c r="Q133" s="285"/>
      <c r="R133" s="278"/>
      <c r="S133" s="278"/>
      <c r="T133" s="278"/>
    </row>
    <row r="134" spans="1:28" s="305" customFormat="1" hidden="1" outlineLevel="1" x14ac:dyDescent="0.25">
      <c r="A134" s="278"/>
      <c r="B134" s="279" t="str">
        <f t="shared" si="42"/>
        <v/>
      </c>
      <c r="C134" s="278"/>
      <c r="D134" s="278"/>
      <c r="E134" s="278"/>
      <c r="F134" s="278"/>
      <c r="G134" s="278"/>
      <c r="H134" s="290"/>
      <c r="I134" s="280">
        <f t="shared" si="45"/>
        <v>0</v>
      </c>
      <c r="J134" s="281">
        <f t="shared" si="44"/>
        <v>0</v>
      </c>
      <c r="K134" s="282">
        <f>IF(Notes!$B$9="Domestic",I134, IF(Notes!$B$9="Commercial",J134))*$K$125</f>
        <v>0</v>
      </c>
      <c r="L134" s="283">
        <f>IF(SUM(O134:Q134)=0,0,(SUM(O134:Q134)+(K134+SUM(M134:Q134))*(INDEX($U$125:$AB$125,MATCH(Notes!$C$16,$U$3:$AB$3,0))-100%))*$L$125)</f>
        <v>0</v>
      </c>
      <c r="M134" s="286"/>
      <c r="N134" s="286"/>
      <c r="O134" s="285"/>
      <c r="P134" s="285"/>
      <c r="Q134" s="285"/>
      <c r="R134" s="278"/>
      <c r="S134" s="278"/>
      <c r="T134" s="278"/>
    </row>
    <row r="135" spans="1:28" s="305" customFormat="1" hidden="1" outlineLevel="1" x14ac:dyDescent="0.25">
      <c r="A135" s="278"/>
      <c r="B135" s="279" t="str">
        <f t="shared" si="42"/>
        <v/>
      </c>
      <c r="C135" s="278"/>
      <c r="D135" s="278"/>
      <c r="E135" s="278"/>
      <c r="F135" s="278"/>
      <c r="G135" s="278"/>
      <c r="H135" s="290"/>
      <c r="I135" s="280">
        <f t="shared" si="45"/>
        <v>0</v>
      </c>
      <c r="J135" s="281">
        <f t="shared" si="44"/>
        <v>0</v>
      </c>
      <c r="K135" s="282">
        <f>IF(Notes!$B$9="Domestic",I135, IF(Notes!$B$9="Commercial",J135))*$K$125</f>
        <v>0</v>
      </c>
      <c r="L135" s="283">
        <f>IF(SUM(O135:Q135)=0,0,(SUM(O135:Q135)+(K135+SUM(M135:Q135))*(INDEX($U$125:$AB$125,MATCH(Notes!$C$16,$U$3:$AB$3,0))-100%))*$L$125)</f>
        <v>0</v>
      </c>
      <c r="M135" s="286"/>
      <c r="N135" s="286"/>
      <c r="O135" s="285"/>
      <c r="P135" s="285"/>
      <c r="Q135" s="285"/>
      <c r="R135" s="278"/>
      <c r="S135" s="278"/>
      <c r="T135" s="278"/>
    </row>
    <row r="136" spans="1:28" ht="21" hidden="1" outlineLevel="1" x14ac:dyDescent="0.25">
      <c r="A136" s="299"/>
      <c r="B136" s="299"/>
      <c r="C136" s="299"/>
      <c r="D136" s="299"/>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c r="AA136" s="299"/>
      <c r="AB136" s="299"/>
    </row>
    <row r="137" spans="1:28" ht="15.75" hidden="1" outlineLevel="1" x14ac:dyDescent="0.25">
      <c r="A137" s="291"/>
      <c r="B137" s="291"/>
      <c r="C137" s="291"/>
      <c r="D137" s="291"/>
      <c r="E137" s="291"/>
      <c r="F137" s="291"/>
      <c r="G137" s="291"/>
      <c r="H137" s="291"/>
      <c r="I137" s="291"/>
      <c r="J137" s="291"/>
      <c r="K137" s="291">
        <f>K$2</f>
        <v>1</v>
      </c>
      <c r="L137" s="291">
        <f>L$2</f>
        <v>1</v>
      </c>
      <c r="M137" s="291"/>
      <c r="N137" s="291"/>
      <c r="O137" s="303"/>
      <c r="P137" s="303"/>
      <c r="Q137" s="303"/>
      <c r="R137" s="291"/>
      <c r="S137" s="291"/>
      <c r="T137" s="291"/>
      <c r="U137" s="291">
        <f>U$2</f>
        <v>1</v>
      </c>
      <c r="V137" s="291">
        <f>V$2</f>
        <v>1</v>
      </c>
      <c r="W137" s="291">
        <f t="shared" ref="W137:AB137" si="46">W$2</f>
        <v>1</v>
      </c>
      <c r="X137" s="291">
        <f t="shared" si="46"/>
        <v>1</v>
      </c>
      <c r="Y137" s="291">
        <f t="shared" si="46"/>
        <v>1</v>
      </c>
      <c r="Z137" s="291">
        <f t="shared" si="46"/>
        <v>1</v>
      </c>
      <c r="AA137" s="291">
        <f t="shared" si="46"/>
        <v>1</v>
      </c>
      <c r="AB137" s="291">
        <f t="shared" si="46"/>
        <v>1</v>
      </c>
    </row>
    <row r="138" spans="1:28" s="305" customFormat="1" hidden="1" outlineLevel="1" x14ac:dyDescent="0.25">
      <c r="A138" s="278"/>
      <c r="B138" s="279" t="str">
        <f>C138&amp;D138&amp;E138&amp;F138</f>
        <v/>
      </c>
      <c r="C138" s="278"/>
      <c r="D138" s="278"/>
      <c r="E138" s="278"/>
      <c r="F138" s="278"/>
      <c r="G138" s="278"/>
      <c r="H138" s="290"/>
      <c r="I138" s="280">
        <f>$I$2*H138</f>
        <v>0</v>
      </c>
      <c r="J138" s="281">
        <f>$J$2*H138</f>
        <v>0</v>
      </c>
      <c r="K138" s="282">
        <f>IF(Notes!$B$9="Domestic",I138, IF(Notes!$B$9="Commercial",J138))*$K$137</f>
        <v>0</v>
      </c>
      <c r="L138" s="283">
        <f>IF(SUM(O138:Q138)=0,0,(SUM(O138:Q138)+(K138+SUM(M138:Q138))*(INDEX($U$137:$AB$137,MATCH(Notes!$C$16,$U$3:$AB$3,0))-100%))*$L$137)</f>
        <v>0</v>
      </c>
      <c r="M138" s="286"/>
      <c r="N138" s="286"/>
      <c r="O138" s="285"/>
      <c r="P138" s="285"/>
      <c r="Q138" s="285"/>
      <c r="R138" s="278"/>
      <c r="S138" s="278"/>
      <c r="T138" s="278"/>
    </row>
    <row r="139" spans="1:28" s="305" customFormat="1" hidden="1" outlineLevel="1" x14ac:dyDescent="0.25">
      <c r="A139" s="278"/>
      <c r="B139" s="279" t="str">
        <f t="shared" ref="B139:B147" si="47">C139&amp;D139&amp;E139&amp;F139</f>
        <v/>
      </c>
      <c r="C139" s="278"/>
      <c r="D139" s="278"/>
      <c r="E139" s="278"/>
      <c r="F139" s="278"/>
      <c r="G139" s="278"/>
      <c r="H139" s="290"/>
      <c r="I139" s="280">
        <f t="shared" ref="I139:I141" si="48">$I$2*H139</f>
        <v>0</v>
      </c>
      <c r="J139" s="281">
        <f t="shared" ref="J139:J147" si="49">$J$2*H139</f>
        <v>0</v>
      </c>
      <c r="K139" s="282">
        <f>IF(Notes!$B$9="Domestic",I139, IF(Notes!$B$9="Commercial",J139))*$K$137</f>
        <v>0</v>
      </c>
      <c r="L139" s="283">
        <f>IF(SUM(O139:Q139)=0,0,(SUM(O139:Q139)+(K139+SUM(M139:Q139))*(INDEX($U$137:$AB$137,MATCH(Notes!$C$16,$U$3:$AB$3,0))-100%))*$L$137)</f>
        <v>0</v>
      </c>
      <c r="M139" s="286"/>
      <c r="N139" s="286"/>
      <c r="O139" s="285"/>
      <c r="P139" s="285"/>
      <c r="Q139" s="285"/>
      <c r="R139" s="278"/>
      <c r="S139" s="278"/>
      <c r="T139" s="278"/>
    </row>
    <row r="140" spans="1:28" s="305" customFormat="1" hidden="1" outlineLevel="1" x14ac:dyDescent="0.25">
      <c r="A140" s="278"/>
      <c r="B140" s="279" t="str">
        <f t="shared" si="47"/>
        <v/>
      </c>
      <c r="C140" s="278"/>
      <c r="D140" s="278"/>
      <c r="E140" s="278"/>
      <c r="F140" s="278"/>
      <c r="G140" s="278"/>
      <c r="H140" s="290"/>
      <c r="I140" s="280">
        <f t="shared" si="48"/>
        <v>0</v>
      </c>
      <c r="J140" s="281">
        <f t="shared" si="49"/>
        <v>0</v>
      </c>
      <c r="K140" s="282">
        <f>IF(Notes!$B$9="Domestic",I140, IF(Notes!$B$9="Commercial",J140))*$K$137</f>
        <v>0</v>
      </c>
      <c r="L140" s="283">
        <f>IF(SUM(O140:Q140)=0,0,(SUM(O140:Q140)+(K140+SUM(M140:Q140))*(INDEX($U$137:$AB$137,MATCH(Notes!$C$16,$U$3:$AB$3,0))-100%))*$L$137)</f>
        <v>0</v>
      </c>
      <c r="M140" s="286"/>
      <c r="N140" s="286"/>
      <c r="O140" s="285"/>
      <c r="P140" s="285"/>
      <c r="Q140" s="285"/>
      <c r="R140" s="278"/>
      <c r="S140" s="278"/>
      <c r="T140" s="278"/>
    </row>
    <row r="141" spans="1:28" s="305" customFormat="1" hidden="1" outlineLevel="1" x14ac:dyDescent="0.25">
      <c r="A141" s="278"/>
      <c r="B141" s="279" t="str">
        <f t="shared" si="47"/>
        <v/>
      </c>
      <c r="C141" s="278"/>
      <c r="D141" s="278"/>
      <c r="E141" s="278"/>
      <c r="F141" s="278"/>
      <c r="G141" s="278"/>
      <c r="H141" s="290"/>
      <c r="I141" s="280">
        <f t="shared" si="48"/>
        <v>0</v>
      </c>
      <c r="J141" s="281">
        <f t="shared" si="49"/>
        <v>0</v>
      </c>
      <c r="K141" s="282">
        <f>IF(Notes!$B$9="Domestic",I141, IF(Notes!$B$9="Commercial",J141))*$K$137</f>
        <v>0</v>
      </c>
      <c r="L141" s="283">
        <f>IF(SUM(O141:Q141)=0,0,(SUM(O141:Q141)+(K141+SUM(M141:Q141))*(INDEX($U$137:$AB$137,MATCH(Notes!$C$16,$U$3:$AB$3,0))-100%))*$L$137)</f>
        <v>0</v>
      </c>
      <c r="M141" s="286"/>
      <c r="N141" s="286"/>
      <c r="O141" s="285"/>
      <c r="P141" s="285"/>
      <c r="Q141" s="285"/>
      <c r="R141" s="278"/>
      <c r="S141" s="278"/>
      <c r="T141" s="278"/>
    </row>
    <row r="142" spans="1:28" s="305" customFormat="1" hidden="1" outlineLevel="1" x14ac:dyDescent="0.25">
      <c r="A142" s="278"/>
      <c r="B142" s="279" t="str">
        <f t="shared" si="47"/>
        <v/>
      </c>
      <c r="C142" s="278"/>
      <c r="D142" s="278"/>
      <c r="E142" s="278"/>
      <c r="F142" s="278"/>
      <c r="G142" s="278"/>
      <c r="H142" s="290"/>
      <c r="I142" s="280">
        <f>$I$2*H142</f>
        <v>0</v>
      </c>
      <c r="J142" s="281">
        <f t="shared" si="49"/>
        <v>0</v>
      </c>
      <c r="K142" s="282">
        <f>IF(Notes!$B$9="Domestic",I142, IF(Notes!$B$9="Commercial",J142))*$K$137</f>
        <v>0</v>
      </c>
      <c r="L142" s="283">
        <f>IF(SUM(O142:Q142)=0,0,(SUM(O142:Q142)+(K142+SUM(M142:Q142))*(INDEX($U$137:$AB$137,MATCH(Notes!$C$16,$U$3:$AB$3,0))-100%))*$L$137)</f>
        <v>0</v>
      </c>
      <c r="M142" s="286"/>
      <c r="N142" s="286"/>
      <c r="O142" s="285"/>
      <c r="P142" s="285"/>
      <c r="Q142" s="285"/>
      <c r="R142" s="278"/>
      <c r="S142" s="278"/>
      <c r="T142" s="278"/>
    </row>
    <row r="143" spans="1:28" s="305" customFormat="1" hidden="1" outlineLevel="1" x14ac:dyDescent="0.25">
      <c r="A143" s="278"/>
      <c r="B143" s="279" t="str">
        <f t="shared" si="47"/>
        <v/>
      </c>
      <c r="C143" s="278"/>
      <c r="D143" s="278"/>
      <c r="E143" s="278"/>
      <c r="F143" s="278"/>
      <c r="G143" s="278"/>
      <c r="H143" s="290"/>
      <c r="I143" s="280">
        <f t="shared" ref="I143:I147" si="50">$I$2*H143</f>
        <v>0</v>
      </c>
      <c r="J143" s="281">
        <f t="shared" si="49"/>
        <v>0</v>
      </c>
      <c r="K143" s="282">
        <f>IF(Notes!$B$9="Domestic",I143, IF(Notes!$B$9="Commercial",J143))*$K$137</f>
        <v>0</v>
      </c>
      <c r="L143" s="283">
        <f>IF(SUM(O143:Q143)=0,0,(SUM(O143:Q143)+(K143+SUM(M143:Q143))*(INDEX($U$137:$AB$137,MATCH(Notes!$C$16,$U$3:$AB$3,0))-100%))*$L$137)</f>
        <v>0</v>
      </c>
      <c r="M143" s="286"/>
      <c r="N143" s="286"/>
      <c r="O143" s="285"/>
      <c r="P143" s="285"/>
      <c r="Q143" s="285"/>
      <c r="R143" s="278"/>
      <c r="S143" s="278"/>
      <c r="T143" s="278"/>
    </row>
    <row r="144" spans="1:28" s="305" customFormat="1" hidden="1" outlineLevel="1" x14ac:dyDescent="0.25">
      <c r="A144" s="278"/>
      <c r="B144" s="279" t="str">
        <f t="shared" si="47"/>
        <v/>
      </c>
      <c r="C144" s="278"/>
      <c r="D144" s="278"/>
      <c r="E144" s="278"/>
      <c r="F144" s="278"/>
      <c r="G144" s="278"/>
      <c r="H144" s="290"/>
      <c r="I144" s="280">
        <f t="shared" si="50"/>
        <v>0</v>
      </c>
      <c r="J144" s="281">
        <f t="shared" si="49"/>
        <v>0</v>
      </c>
      <c r="K144" s="282">
        <f>IF(Notes!$B$9="Domestic",I144, IF(Notes!$B$9="Commercial",J144))*$K$137</f>
        <v>0</v>
      </c>
      <c r="L144" s="283">
        <f>IF(SUM(O144:Q144)=0,0,(SUM(O144:Q144)+(K144+SUM(M144:Q144))*(INDEX($U$137:$AB$137,MATCH(Notes!$C$16,$U$3:$AB$3,0))-100%))*$L$137)</f>
        <v>0</v>
      </c>
      <c r="M144" s="286"/>
      <c r="N144" s="286"/>
      <c r="O144" s="285"/>
      <c r="P144" s="285"/>
      <c r="Q144" s="285"/>
      <c r="R144" s="278"/>
      <c r="S144" s="278"/>
      <c r="T144" s="278"/>
    </row>
    <row r="145" spans="1:28" s="305" customFormat="1" hidden="1" outlineLevel="1" x14ac:dyDescent="0.25">
      <c r="A145" s="278"/>
      <c r="B145" s="279" t="str">
        <f t="shared" si="47"/>
        <v/>
      </c>
      <c r="C145" s="278"/>
      <c r="D145" s="278"/>
      <c r="E145" s="278"/>
      <c r="F145" s="278"/>
      <c r="G145" s="278"/>
      <c r="H145" s="290"/>
      <c r="I145" s="280">
        <f t="shared" si="50"/>
        <v>0</v>
      </c>
      <c r="J145" s="281">
        <f t="shared" si="49"/>
        <v>0</v>
      </c>
      <c r="K145" s="282">
        <f>IF(Notes!$B$9="Domestic",I145, IF(Notes!$B$9="Commercial",J145))*$K$137</f>
        <v>0</v>
      </c>
      <c r="L145" s="283">
        <f>IF(SUM(O145:Q145)=0,0,(SUM(O145:Q145)+(K145+SUM(M145:Q145))*(INDEX($U$137:$AB$137,MATCH(Notes!$C$16,$U$3:$AB$3,0))-100%))*$L$137)</f>
        <v>0</v>
      </c>
      <c r="M145" s="286"/>
      <c r="N145" s="286"/>
      <c r="O145" s="285"/>
      <c r="P145" s="285"/>
      <c r="Q145" s="285"/>
      <c r="R145" s="278"/>
      <c r="S145" s="278"/>
      <c r="T145" s="278"/>
    </row>
    <row r="146" spans="1:28" s="305" customFormat="1" hidden="1" outlineLevel="1" x14ac:dyDescent="0.25">
      <c r="A146" s="278"/>
      <c r="B146" s="279" t="str">
        <f t="shared" si="47"/>
        <v/>
      </c>
      <c r="C146" s="278"/>
      <c r="D146" s="278"/>
      <c r="E146" s="278"/>
      <c r="F146" s="278"/>
      <c r="G146" s="278"/>
      <c r="H146" s="290"/>
      <c r="I146" s="280">
        <f t="shared" si="50"/>
        <v>0</v>
      </c>
      <c r="J146" s="281">
        <f t="shared" si="49"/>
        <v>0</v>
      </c>
      <c r="K146" s="282">
        <f>IF(Notes!$B$9="Domestic",I146, IF(Notes!$B$9="Commercial",J146))*$K$137</f>
        <v>0</v>
      </c>
      <c r="L146" s="283">
        <f>IF(SUM(O146:Q146)=0,0,(SUM(O146:Q146)+(K146+SUM(M146:Q146))*(INDEX($U$137:$AB$137,MATCH(Notes!$C$16,$U$3:$AB$3,0))-100%))*$L$137)</f>
        <v>0</v>
      </c>
      <c r="M146" s="286"/>
      <c r="N146" s="286"/>
      <c r="O146" s="285"/>
      <c r="P146" s="285"/>
      <c r="Q146" s="285"/>
      <c r="R146" s="278"/>
      <c r="S146" s="278"/>
      <c r="T146" s="278"/>
    </row>
    <row r="147" spans="1:28" s="305" customFormat="1" hidden="1" outlineLevel="1" x14ac:dyDescent="0.25">
      <c r="A147" s="278"/>
      <c r="B147" s="279" t="str">
        <f t="shared" si="47"/>
        <v/>
      </c>
      <c r="C147" s="278"/>
      <c r="D147" s="278"/>
      <c r="E147" s="278"/>
      <c r="F147" s="278"/>
      <c r="G147" s="278"/>
      <c r="H147" s="290"/>
      <c r="I147" s="280">
        <f t="shared" si="50"/>
        <v>0</v>
      </c>
      <c r="J147" s="281">
        <f t="shared" si="49"/>
        <v>0</v>
      </c>
      <c r="K147" s="282">
        <f>IF(Notes!$B$9="Domestic",I147, IF(Notes!$B$9="Commercial",J147))*$K$137</f>
        <v>0</v>
      </c>
      <c r="L147" s="283">
        <f>IF(SUM(O147:Q147)=0,0,(SUM(O147:Q147)+(K147+SUM(M147:Q147))*(INDEX($U$137:$AB$137,MATCH(Notes!$C$16,$U$3:$AB$3,0))-100%))*$L$137)</f>
        <v>0</v>
      </c>
      <c r="M147" s="286"/>
      <c r="N147" s="286"/>
      <c r="O147" s="285"/>
      <c r="P147" s="285"/>
      <c r="Q147" s="285"/>
      <c r="R147" s="278"/>
      <c r="S147" s="278"/>
      <c r="T147" s="278"/>
    </row>
    <row r="148" spans="1:28" ht="21" hidden="1" outlineLevel="1" x14ac:dyDescent="0.25">
      <c r="A148" s="299"/>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row>
    <row r="149" spans="1:28" ht="15.75" hidden="1" outlineLevel="1" x14ac:dyDescent="0.25">
      <c r="A149" s="291"/>
      <c r="B149" s="291"/>
      <c r="C149" s="291"/>
      <c r="D149" s="291"/>
      <c r="E149" s="291"/>
      <c r="F149" s="291"/>
      <c r="G149" s="291"/>
      <c r="H149" s="291"/>
      <c r="I149" s="291"/>
      <c r="J149" s="291"/>
      <c r="K149" s="291">
        <f>K$2</f>
        <v>1</v>
      </c>
      <c r="L149" s="291">
        <f>L$2</f>
        <v>1</v>
      </c>
      <c r="M149" s="291"/>
      <c r="N149" s="291"/>
      <c r="O149" s="303"/>
      <c r="P149" s="303"/>
      <c r="Q149" s="303"/>
      <c r="R149" s="291"/>
      <c r="S149" s="291"/>
      <c r="T149" s="291"/>
      <c r="U149" s="291">
        <f>U$2</f>
        <v>1</v>
      </c>
      <c r="V149" s="291">
        <f>V$2</f>
        <v>1</v>
      </c>
      <c r="W149" s="291">
        <f t="shared" ref="W149:AB149" si="51">W$2</f>
        <v>1</v>
      </c>
      <c r="X149" s="291">
        <f t="shared" si="51"/>
        <v>1</v>
      </c>
      <c r="Y149" s="291">
        <f t="shared" si="51"/>
        <v>1</v>
      </c>
      <c r="Z149" s="291">
        <f t="shared" si="51"/>
        <v>1</v>
      </c>
      <c r="AA149" s="291">
        <f t="shared" si="51"/>
        <v>1</v>
      </c>
      <c r="AB149" s="291">
        <f t="shared" si="51"/>
        <v>1</v>
      </c>
    </row>
    <row r="150" spans="1:28" s="305" customFormat="1" hidden="1" outlineLevel="1" x14ac:dyDescent="0.25">
      <c r="A150" s="278"/>
      <c r="B150" s="279" t="str">
        <f>C150&amp;D150&amp;E150&amp;F150</f>
        <v/>
      </c>
      <c r="C150" s="278"/>
      <c r="D150" s="278"/>
      <c r="E150" s="278"/>
      <c r="F150" s="278"/>
      <c r="G150" s="278"/>
      <c r="H150" s="290"/>
      <c r="I150" s="280">
        <f>$I$2*H150</f>
        <v>0</v>
      </c>
      <c r="J150" s="281">
        <f>$J$2*H150</f>
        <v>0</v>
      </c>
      <c r="K150" s="282">
        <f>IF(Notes!$B$9="Domestic",I150, IF(Notes!$B$9="Commercial",J150))*$K$149</f>
        <v>0</v>
      </c>
      <c r="L150" s="283">
        <f>IF(SUM(O150:Q150)=0,0,(SUM(O150:Q150)+(K150+SUM(M150:Q150))*(INDEX($U$149:$AB$149,MATCH(Notes!$C$16,$U$3:$AB$3,0))-100%))*$L$149)</f>
        <v>0</v>
      </c>
      <c r="M150" s="286"/>
      <c r="N150" s="286"/>
      <c r="O150" s="285"/>
      <c r="P150" s="285"/>
      <c r="Q150" s="285"/>
      <c r="R150" s="278"/>
      <c r="S150" s="278"/>
      <c r="T150" s="278"/>
    </row>
    <row r="151" spans="1:28" s="305" customFormat="1" hidden="1" outlineLevel="1" x14ac:dyDescent="0.25">
      <c r="A151" s="278"/>
      <c r="B151" s="279" t="str">
        <f t="shared" ref="B151:B159" si="52">C151&amp;D151&amp;E151&amp;F151</f>
        <v/>
      </c>
      <c r="C151" s="278"/>
      <c r="D151" s="278"/>
      <c r="E151" s="278"/>
      <c r="F151" s="278"/>
      <c r="G151" s="278"/>
      <c r="H151" s="290"/>
      <c r="I151" s="280">
        <f t="shared" ref="I151:I153" si="53">$I$2*H151</f>
        <v>0</v>
      </c>
      <c r="J151" s="281">
        <f t="shared" ref="J151:J159" si="54">$J$2*H151</f>
        <v>0</v>
      </c>
      <c r="K151" s="282">
        <f>IF(Notes!$B$9="Domestic",I151, IF(Notes!$B$9="Commercial",J151))*$K$149</f>
        <v>0</v>
      </c>
      <c r="L151" s="283">
        <f>IF(SUM(O151:Q151)=0,0,(SUM(O151:Q151)+(K151+SUM(M151:Q151))*(INDEX($U$149:$AB$149,MATCH(Notes!$C$16,$U$3:$AB$3,0))-100%))*$L$149)</f>
        <v>0</v>
      </c>
      <c r="M151" s="286"/>
      <c r="N151" s="286"/>
      <c r="O151" s="285"/>
      <c r="P151" s="285"/>
      <c r="Q151" s="285"/>
      <c r="R151" s="278"/>
      <c r="S151" s="278"/>
      <c r="T151" s="278"/>
    </row>
    <row r="152" spans="1:28" s="305" customFormat="1" hidden="1" outlineLevel="1" x14ac:dyDescent="0.25">
      <c r="A152" s="278"/>
      <c r="B152" s="279" t="str">
        <f t="shared" si="52"/>
        <v/>
      </c>
      <c r="C152" s="278"/>
      <c r="D152" s="278"/>
      <c r="E152" s="278"/>
      <c r="F152" s="278"/>
      <c r="G152" s="278"/>
      <c r="H152" s="290"/>
      <c r="I152" s="280">
        <f t="shared" si="53"/>
        <v>0</v>
      </c>
      <c r="J152" s="281">
        <f t="shared" si="54"/>
        <v>0</v>
      </c>
      <c r="K152" s="282">
        <f>IF(Notes!$B$9="Domestic",I152, IF(Notes!$B$9="Commercial",J152))*$K$149</f>
        <v>0</v>
      </c>
      <c r="L152" s="283">
        <f>IF(SUM(O152:Q152)=0,0,(SUM(O152:Q152)+(K152+SUM(M152:Q152))*(INDEX($U$149:$AB$149,MATCH(Notes!$C$16,$U$3:$AB$3,0))-100%))*$L$149)</f>
        <v>0</v>
      </c>
      <c r="M152" s="286"/>
      <c r="N152" s="286"/>
      <c r="O152" s="285"/>
      <c r="P152" s="285"/>
      <c r="Q152" s="285"/>
      <c r="R152" s="278"/>
      <c r="S152" s="278"/>
      <c r="T152" s="278"/>
    </row>
    <row r="153" spans="1:28" s="305" customFormat="1" hidden="1" outlineLevel="1" x14ac:dyDescent="0.25">
      <c r="A153" s="278"/>
      <c r="B153" s="279" t="str">
        <f t="shared" si="52"/>
        <v/>
      </c>
      <c r="C153" s="278"/>
      <c r="D153" s="278"/>
      <c r="E153" s="278"/>
      <c r="F153" s="278"/>
      <c r="G153" s="278"/>
      <c r="H153" s="290"/>
      <c r="I153" s="280">
        <f t="shared" si="53"/>
        <v>0</v>
      </c>
      <c r="J153" s="281">
        <f t="shared" si="54"/>
        <v>0</v>
      </c>
      <c r="K153" s="282">
        <f>IF(Notes!$B$9="Domestic",I153, IF(Notes!$B$9="Commercial",J153))*$K$149</f>
        <v>0</v>
      </c>
      <c r="L153" s="283">
        <f>IF(SUM(O153:Q153)=0,0,(SUM(O153:Q153)+(K153+SUM(M153:Q153))*(INDEX($U$149:$AB$149,MATCH(Notes!$C$16,$U$3:$AB$3,0))-100%))*$L$149)</f>
        <v>0</v>
      </c>
      <c r="M153" s="286"/>
      <c r="N153" s="286"/>
      <c r="O153" s="285"/>
      <c r="P153" s="285"/>
      <c r="Q153" s="285"/>
      <c r="R153" s="278"/>
      <c r="S153" s="278"/>
      <c r="T153" s="278"/>
    </row>
    <row r="154" spans="1:28" s="305" customFormat="1" hidden="1" outlineLevel="1" x14ac:dyDescent="0.25">
      <c r="A154" s="278"/>
      <c r="B154" s="279" t="str">
        <f t="shared" si="52"/>
        <v/>
      </c>
      <c r="C154" s="278"/>
      <c r="D154" s="278"/>
      <c r="E154" s="278"/>
      <c r="F154" s="278"/>
      <c r="G154" s="278"/>
      <c r="H154" s="290"/>
      <c r="I154" s="280">
        <f>$I$2*H154</f>
        <v>0</v>
      </c>
      <c r="J154" s="281">
        <f t="shared" si="54"/>
        <v>0</v>
      </c>
      <c r="K154" s="282">
        <f>IF(Notes!$B$9="Domestic",I154, IF(Notes!$B$9="Commercial",J154))*$K$149</f>
        <v>0</v>
      </c>
      <c r="L154" s="283">
        <f>IF(SUM(O154:Q154)=0,0,(SUM(O154:Q154)+(K154+SUM(M154:Q154))*(INDEX($U$149:$AB$149,MATCH(Notes!$C$16,$U$3:$AB$3,0))-100%))*$L$149)</f>
        <v>0</v>
      </c>
      <c r="M154" s="286"/>
      <c r="N154" s="286"/>
      <c r="O154" s="285"/>
      <c r="P154" s="285"/>
      <c r="Q154" s="285"/>
      <c r="R154" s="278"/>
      <c r="S154" s="278"/>
      <c r="T154" s="278"/>
    </row>
    <row r="155" spans="1:28" s="305" customFormat="1" hidden="1" outlineLevel="1" x14ac:dyDescent="0.25">
      <c r="A155" s="278"/>
      <c r="B155" s="279" t="str">
        <f t="shared" si="52"/>
        <v/>
      </c>
      <c r="C155" s="278"/>
      <c r="D155" s="278"/>
      <c r="E155" s="278"/>
      <c r="F155" s="278"/>
      <c r="G155" s="278"/>
      <c r="H155" s="290"/>
      <c r="I155" s="280">
        <f t="shared" ref="I155:I159" si="55">$I$2*H155</f>
        <v>0</v>
      </c>
      <c r="J155" s="281">
        <f t="shared" si="54"/>
        <v>0</v>
      </c>
      <c r="K155" s="282">
        <f>IF(Notes!$B$9="Domestic",I155, IF(Notes!$B$9="Commercial",J155))*$K$149</f>
        <v>0</v>
      </c>
      <c r="L155" s="283">
        <f>IF(SUM(O155:Q155)=0,0,(SUM(O155:Q155)+(K155+SUM(M155:Q155))*(INDEX($U$149:$AB$149,MATCH(Notes!$C$16,$U$3:$AB$3,0))-100%))*$L$149)</f>
        <v>0</v>
      </c>
      <c r="M155" s="286"/>
      <c r="N155" s="286"/>
      <c r="O155" s="285"/>
      <c r="P155" s="285"/>
      <c r="Q155" s="285"/>
      <c r="R155" s="278"/>
      <c r="S155" s="278"/>
      <c r="T155" s="278"/>
    </row>
    <row r="156" spans="1:28" s="305" customFormat="1" hidden="1" outlineLevel="1" x14ac:dyDescent="0.25">
      <c r="A156" s="278"/>
      <c r="B156" s="279" t="str">
        <f t="shared" si="52"/>
        <v/>
      </c>
      <c r="C156" s="278"/>
      <c r="D156" s="278"/>
      <c r="E156" s="278"/>
      <c r="F156" s="278"/>
      <c r="G156" s="278"/>
      <c r="H156" s="290"/>
      <c r="I156" s="280">
        <f t="shared" si="55"/>
        <v>0</v>
      </c>
      <c r="J156" s="281">
        <f t="shared" si="54"/>
        <v>0</v>
      </c>
      <c r="K156" s="282">
        <f>IF(Notes!$B$9="Domestic",I156, IF(Notes!$B$9="Commercial",J156))*$K$149</f>
        <v>0</v>
      </c>
      <c r="L156" s="283">
        <f>IF(SUM(O156:Q156)=0,0,(SUM(O156:Q156)+(K156+SUM(M156:Q156))*(INDEX($U$149:$AB$149,MATCH(Notes!$C$16,$U$3:$AB$3,0))-100%))*$L$149)</f>
        <v>0</v>
      </c>
      <c r="M156" s="286"/>
      <c r="N156" s="286"/>
      <c r="O156" s="285"/>
      <c r="P156" s="285"/>
      <c r="Q156" s="285"/>
      <c r="R156" s="278"/>
      <c r="S156" s="278"/>
      <c r="T156" s="278"/>
    </row>
    <row r="157" spans="1:28" s="305" customFormat="1" hidden="1" outlineLevel="1" x14ac:dyDescent="0.25">
      <c r="A157" s="278"/>
      <c r="B157" s="279" t="str">
        <f t="shared" si="52"/>
        <v/>
      </c>
      <c r="C157" s="278"/>
      <c r="D157" s="278"/>
      <c r="E157" s="278"/>
      <c r="F157" s="278"/>
      <c r="G157" s="278"/>
      <c r="H157" s="290"/>
      <c r="I157" s="280">
        <f t="shared" si="55"/>
        <v>0</v>
      </c>
      <c r="J157" s="281">
        <f t="shared" si="54"/>
        <v>0</v>
      </c>
      <c r="K157" s="282">
        <f>IF(Notes!$B$9="Domestic",I157, IF(Notes!$B$9="Commercial",J157))*$K$149</f>
        <v>0</v>
      </c>
      <c r="L157" s="283">
        <f>IF(SUM(O157:Q157)=0,0,(SUM(O157:Q157)+(K157+SUM(M157:Q157))*(INDEX($U$149:$AB$149,MATCH(Notes!$C$16,$U$3:$AB$3,0))-100%))*$L$149)</f>
        <v>0</v>
      </c>
      <c r="M157" s="286"/>
      <c r="N157" s="286"/>
      <c r="O157" s="285"/>
      <c r="P157" s="285"/>
      <c r="Q157" s="285"/>
      <c r="R157" s="278"/>
      <c r="S157" s="278"/>
      <c r="T157" s="278"/>
    </row>
    <row r="158" spans="1:28" s="305" customFormat="1" hidden="1" outlineLevel="1" x14ac:dyDescent="0.25">
      <c r="A158" s="278"/>
      <c r="B158" s="279" t="str">
        <f t="shared" si="52"/>
        <v/>
      </c>
      <c r="C158" s="278"/>
      <c r="D158" s="278"/>
      <c r="E158" s="278"/>
      <c r="F158" s="278"/>
      <c r="G158" s="278"/>
      <c r="H158" s="290"/>
      <c r="I158" s="280">
        <f t="shared" si="55"/>
        <v>0</v>
      </c>
      <c r="J158" s="281">
        <f t="shared" si="54"/>
        <v>0</v>
      </c>
      <c r="K158" s="282">
        <f>IF(Notes!$B$9="Domestic",I158, IF(Notes!$B$9="Commercial",J158))*$K$149</f>
        <v>0</v>
      </c>
      <c r="L158" s="283">
        <f>IF(SUM(O158:Q158)=0,0,(SUM(O158:Q158)+(K158+SUM(M158:Q158))*(INDEX($U$149:$AB$149,MATCH(Notes!$C$16,$U$3:$AB$3,0))-100%))*$L$149)</f>
        <v>0</v>
      </c>
      <c r="M158" s="286"/>
      <c r="N158" s="286"/>
      <c r="O158" s="285"/>
      <c r="P158" s="285"/>
      <c r="Q158" s="285"/>
      <c r="R158" s="278"/>
      <c r="S158" s="278"/>
      <c r="T158" s="278"/>
    </row>
    <row r="159" spans="1:28" s="305" customFormat="1" hidden="1" outlineLevel="1" x14ac:dyDescent="0.25">
      <c r="A159" s="278"/>
      <c r="B159" s="279" t="str">
        <f t="shared" si="52"/>
        <v/>
      </c>
      <c r="C159" s="278"/>
      <c r="D159" s="278"/>
      <c r="E159" s="278"/>
      <c r="F159" s="278"/>
      <c r="G159" s="278"/>
      <c r="H159" s="290"/>
      <c r="I159" s="280">
        <f t="shared" si="55"/>
        <v>0</v>
      </c>
      <c r="J159" s="281">
        <f t="shared" si="54"/>
        <v>0</v>
      </c>
      <c r="K159" s="282">
        <f>IF(Notes!$B$9="Domestic",I159, IF(Notes!$B$9="Commercial",J159))*$K$149</f>
        <v>0</v>
      </c>
      <c r="L159" s="283">
        <f>IF(SUM(O159:Q159)=0,0,(SUM(O159:Q159)+(K159+SUM(M159:Q159))*(INDEX($U$149:$AB$149,MATCH(Notes!$C$16,$U$3:$AB$3,0))-100%))*$L$149)</f>
        <v>0</v>
      </c>
      <c r="M159" s="286"/>
      <c r="N159" s="286"/>
      <c r="O159" s="285"/>
      <c r="P159" s="285"/>
      <c r="Q159" s="285"/>
      <c r="R159" s="278"/>
      <c r="S159" s="278"/>
      <c r="T159" s="278"/>
    </row>
    <row r="160" spans="1:28" ht="21" hidden="1" outlineLevel="1" x14ac:dyDescent="0.25">
      <c r="A160" s="299"/>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row>
    <row r="161" spans="1:28" ht="15.75" hidden="1" outlineLevel="1" x14ac:dyDescent="0.25">
      <c r="A161" s="291"/>
      <c r="B161" s="291"/>
      <c r="C161" s="291"/>
      <c r="D161" s="291"/>
      <c r="E161" s="291"/>
      <c r="F161" s="291"/>
      <c r="G161" s="291"/>
      <c r="H161" s="291"/>
      <c r="I161" s="291"/>
      <c r="J161" s="291"/>
      <c r="K161" s="291">
        <f>K$2</f>
        <v>1</v>
      </c>
      <c r="L161" s="291">
        <f>L$2</f>
        <v>1</v>
      </c>
      <c r="M161" s="291"/>
      <c r="N161" s="291"/>
      <c r="O161" s="303"/>
      <c r="P161" s="303"/>
      <c r="Q161" s="303"/>
      <c r="R161" s="291"/>
      <c r="S161" s="291"/>
      <c r="T161" s="291"/>
      <c r="U161" s="291">
        <f>U$2</f>
        <v>1</v>
      </c>
      <c r="V161" s="291">
        <f>V$2</f>
        <v>1</v>
      </c>
      <c r="W161" s="291">
        <f t="shared" ref="W161:AB161" si="56">W$2</f>
        <v>1</v>
      </c>
      <c r="X161" s="291">
        <f t="shared" si="56"/>
        <v>1</v>
      </c>
      <c r="Y161" s="291">
        <f t="shared" si="56"/>
        <v>1</v>
      </c>
      <c r="Z161" s="291">
        <f t="shared" si="56"/>
        <v>1</v>
      </c>
      <c r="AA161" s="291">
        <f t="shared" si="56"/>
        <v>1</v>
      </c>
      <c r="AB161" s="291">
        <f t="shared" si="56"/>
        <v>1</v>
      </c>
    </row>
    <row r="162" spans="1:28" s="305" customFormat="1" hidden="1" outlineLevel="1" x14ac:dyDescent="0.25">
      <c r="A162" s="278"/>
      <c r="B162" s="279" t="str">
        <f>C162&amp;D162&amp;E162&amp;F162</f>
        <v/>
      </c>
      <c r="C162" s="278"/>
      <c r="D162" s="278"/>
      <c r="E162" s="278"/>
      <c r="F162" s="278"/>
      <c r="G162" s="278"/>
      <c r="H162" s="290"/>
      <c r="I162" s="280">
        <f>$I$2*H162</f>
        <v>0</v>
      </c>
      <c r="J162" s="281">
        <f>$J$2*H162</f>
        <v>0</v>
      </c>
      <c r="K162" s="282">
        <f>IF(Notes!$B$9="Domestic",I162, IF(Notes!$B$9="Commercial",J162))*$K$161</f>
        <v>0</v>
      </c>
      <c r="L162" s="283">
        <f>IF(SUM(O162:Q162)=0,0,(SUM(O162:Q162)+(K162+SUM(M162:Q162))*(INDEX($U$161:$AB$161,MATCH(Notes!$C$16,$U$3:$AB$3,0))-100%))*$L$161)</f>
        <v>0</v>
      </c>
      <c r="M162" s="286"/>
      <c r="N162" s="286"/>
      <c r="O162" s="285"/>
      <c r="P162" s="285"/>
      <c r="Q162" s="285"/>
      <c r="R162" s="278"/>
      <c r="S162" s="278"/>
      <c r="T162" s="278"/>
    </row>
    <row r="163" spans="1:28" s="305" customFormat="1" hidden="1" outlineLevel="1" x14ac:dyDescent="0.25">
      <c r="A163" s="278"/>
      <c r="B163" s="279" t="str">
        <f t="shared" ref="B163:B171" si="57">C163&amp;D163&amp;E163&amp;F163</f>
        <v/>
      </c>
      <c r="C163" s="278"/>
      <c r="D163" s="278"/>
      <c r="E163" s="278"/>
      <c r="F163" s="278"/>
      <c r="G163" s="278"/>
      <c r="H163" s="290"/>
      <c r="I163" s="280">
        <f t="shared" ref="I163:I165" si="58">$I$2*H163</f>
        <v>0</v>
      </c>
      <c r="J163" s="281">
        <f t="shared" ref="J163:J171" si="59">$J$2*H163</f>
        <v>0</v>
      </c>
      <c r="K163" s="282">
        <f>IF(Notes!$B$9="Domestic",I163, IF(Notes!$B$9="Commercial",J163))*$K$161</f>
        <v>0</v>
      </c>
      <c r="L163" s="283">
        <f>IF(SUM(O163:Q163)=0,0,(SUM(O163:Q163)+(K163+SUM(M163:Q163))*(INDEX($U$161:$AB$161,MATCH(Notes!$C$16,$U$3:$AB$3,0))-100%))*$L$161)</f>
        <v>0</v>
      </c>
      <c r="M163" s="286"/>
      <c r="N163" s="286"/>
      <c r="O163" s="285"/>
      <c r="P163" s="285"/>
      <c r="Q163" s="285"/>
      <c r="R163" s="278"/>
      <c r="S163" s="278"/>
      <c r="T163" s="278"/>
    </row>
    <row r="164" spans="1:28" s="305" customFormat="1" hidden="1" outlineLevel="1" x14ac:dyDescent="0.25">
      <c r="A164" s="278"/>
      <c r="B164" s="279" t="str">
        <f t="shared" si="57"/>
        <v/>
      </c>
      <c r="C164" s="278"/>
      <c r="D164" s="278"/>
      <c r="E164" s="278"/>
      <c r="F164" s="278"/>
      <c r="G164" s="278"/>
      <c r="H164" s="290"/>
      <c r="I164" s="280">
        <f t="shared" si="58"/>
        <v>0</v>
      </c>
      <c r="J164" s="281">
        <f t="shared" si="59"/>
        <v>0</v>
      </c>
      <c r="K164" s="282">
        <f>IF(Notes!$B$9="Domestic",I164, IF(Notes!$B$9="Commercial",J164))*$K$161</f>
        <v>0</v>
      </c>
      <c r="L164" s="283">
        <f>IF(SUM(O164:Q164)=0,0,(SUM(O164:Q164)+(K164+SUM(M164:Q164))*(INDEX($U$161:$AB$161,MATCH(Notes!$C$16,$U$3:$AB$3,0))-100%))*$L$161)</f>
        <v>0</v>
      </c>
      <c r="M164" s="286"/>
      <c r="N164" s="286"/>
      <c r="O164" s="285"/>
      <c r="P164" s="285"/>
      <c r="Q164" s="285"/>
      <c r="R164" s="278"/>
      <c r="S164" s="278"/>
      <c r="T164" s="278"/>
    </row>
    <row r="165" spans="1:28" s="305" customFormat="1" hidden="1" outlineLevel="1" x14ac:dyDescent="0.25">
      <c r="A165" s="278"/>
      <c r="B165" s="279" t="str">
        <f t="shared" si="57"/>
        <v/>
      </c>
      <c r="C165" s="278"/>
      <c r="D165" s="278"/>
      <c r="E165" s="278"/>
      <c r="F165" s="278"/>
      <c r="G165" s="278"/>
      <c r="H165" s="290"/>
      <c r="I165" s="280">
        <f t="shared" si="58"/>
        <v>0</v>
      </c>
      <c r="J165" s="281">
        <f t="shared" si="59"/>
        <v>0</v>
      </c>
      <c r="K165" s="282">
        <f>IF(Notes!$B$9="Domestic",I165, IF(Notes!$B$9="Commercial",J165))*$K$161</f>
        <v>0</v>
      </c>
      <c r="L165" s="283">
        <f>IF(SUM(O165:Q165)=0,0,(SUM(O165:Q165)+(K165+SUM(M165:Q165))*(INDEX($U$161:$AB$161,MATCH(Notes!$C$16,$U$3:$AB$3,0))-100%))*$L$161)</f>
        <v>0</v>
      </c>
      <c r="M165" s="286"/>
      <c r="N165" s="286"/>
      <c r="O165" s="285"/>
      <c r="P165" s="285"/>
      <c r="Q165" s="285"/>
      <c r="R165" s="278"/>
      <c r="S165" s="278"/>
      <c r="T165" s="278"/>
    </row>
    <row r="166" spans="1:28" s="305" customFormat="1" hidden="1" outlineLevel="1" x14ac:dyDescent="0.25">
      <c r="A166" s="278"/>
      <c r="B166" s="279" t="str">
        <f t="shared" si="57"/>
        <v/>
      </c>
      <c r="C166" s="278"/>
      <c r="D166" s="278"/>
      <c r="E166" s="278"/>
      <c r="F166" s="278"/>
      <c r="G166" s="278"/>
      <c r="H166" s="290"/>
      <c r="I166" s="280">
        <f>$I$2*H166</f>
        <v>0</v>
      </c>
      <c r="J166" s="281">
        <f t="shared" si="59"/>
        <v>0</v>
      </c>
      <c r="K166" s="282">
        <f>IF(Notes!$B$9="Domestic",I166, IF(Notes!$B$9="Commercial",J166))*$K$161</f>
        <v>0</v>
      </c>
      <c r="L166" s="283">
        <f>IF(SUM(O166:Q166)=0,0,(SUM(O166:Q166)+(K166+SUM(M166:Q166))*(INDEX($U$161:$AB$161,MATCH(Notes!$C$16,$U$3:$AB$3,0))-100%))*$L$161)</f>
        <v>0</v>
      </c>
      <c r="M166" s="286"/>
      <c r="N166" s="286"/>
      <c r="O166" s="285"/>
      <c r="P166" s="285"/>
      <c r="Q166" s="285"/>
      <c r="R166" s="278"/>
      <c r="S166" s="278"/>
      <c r="T166" s="278"/>
    </row>
    <row r="167" spans="1:28" s="305" customFormat="1" hidden="1" outlineLevel="1" x14ac:dyDescent="0.25">
      <c r="A167" s="278"/>
      <c r="B167" s="279" t="str">
        <f t="shared" si="57"/>
        <v/>
      </c>
      <c r="C167" s="278"/>
      <c r="D167" s="278"/>
      <c r="E167" s="278"/>
      <c r="F167" s="278"/>
      <c r="G167" s="278"/>
      <c r="H167" s="290"/>
      <c r="I167" s="280">
        <f t="shared" ref="I167:I171" si="60">$I$2*H167</f>
        <v>0</v>
      </c>
      <c r="J167" s="281">
        <f t="shared" si="59"/>
        <v>0</v>
      </c>
      <c r="K167" s="282">
        <f>IF(Notes!$B$9="Domestic",I167, IF(Notes!$B$9="Commercial",J167))*$K$161</f>
        <v>0</v>
      </c>
      <c r="L167" s="283">
        <f>IF(SUM(O167:Q167)=0,0,(SUM(O167:Q167)+(K167+SUM(M167:Q167))*(INDEX($U$161:$AB$161,MATCH(Notes!$C$16,$U$3:$AB$3,0))-100%))*$L$161)</f>
        <v>0</v>
      </c>
      <c r="M167" s="286"/>
      <c r="N167" s="286"/>
      <c r="O167" s="285"/>
      <c r="P167" s="285"/>
      <c r="Q167" s="285"/>
      <c r="R167" s="278"/>
      <c r="S167" s="278"/>
      <c r="T167" s="278"/>
    </row>
    <row r="168" spans="1:28" s="305" customFormat="1" hidden="1" outlineLevel="1" x14ac:dyDescent="0.25">
      <c r="A168" s="278"/>
      <c r="B168" s="279" t="str">
        <f t="shared" si="57"/>
        <v/>
      </c>
      <c r="C168" s="278"/>
      <c r="D168" s="278"/>
      <c r="E168" s="278"/>
      <c r="F168" s="278"/>
      <c r="G168" s="278"/>
      <c r="H168" s="290"/>
      <c r="I168" s="280">
        <f t="shared" si="60"/>
        <v>0</v>
      </c>
      <c r="J168" s="281">
        <f t="shared" si="59"/>
        <v>0</v>
      </c>
      <c r="K168" s="282">
        <f>IF(Notes!$B$9="Domestic",I168, IF(Notes!$B$9="Commercial",J168))*$K$161</f>
        <v>0</v>
      </c>
      <c r="L168" s="283">
        <f>IF(SUM(O168:Q168)=0,0,(SUM(O168:Q168)+(K168+SUM(M168:Q168))*(INDEX($U$161:$AB$161,MATCH(Notes!$C$16,$U$3:$AB$3,0))-100%))*$L$161)</f>
        <v>0</v>
      </c>
      <c r="M168" s="286"/>
      <c r="N168" s="286"/>
      <c r="O168" s="285"/>
      <c r="P168" s="285"/>
      <c r="Q168" s="285"/>
      <c r="R168" s="278"/>
      <c r="S168" s="278"/>
      <c r="T168" s="278"/>
    </row>
    <row r="169" spans="1:28" s="305" customFormat="1" hidden="1" outlineLevel="1" x14ac:dyDescent="0.25">
      <c r="A169" s="278"/>
      <c r="B169" s="279" t="str">
        <f t="shared" si="57"/>
        <v/>
      </c>
      <c r="C169" s="278"/>
      <c r="D169" s="278"/>
      <c r="E169" s="278"/>
      <c r="F169" s="278"/>
      <c r="G169" s="278"/>
      <c r="H169" s="290"/>
      <c r="I169" s="280">
        <f t="shared" si="60"/>
        <v>0</v>
      </c>
      <c r="J169" s="281">
        <f t="shared" si="59"/>
        <v>0</v>
      </c>
      <c r="K169" s="282">
        <f>IF(Notes!$B$9="Domestic",I169, IF(Notes!$B$9="Commercial",J169))*$K$161</f>
        <v>0</v>
      </c>
      <c r="L169" s="283">
        <f>IF(SUM(O169:Q169)=0,0,(SUM(O169:Q169)+(K169+SUM(M169:Q169))*(INDEX($U$161:$AB$161,MATCH(Notes!$C$16,$U$3:$AB$3,0))-100%))*$L$161)</f>
        <v>0</v>
      </c>
      <c r="M169" s="286"/>
      <c r="N169" s="286"/>
      <c r="O169" s="285"/>
      <c r="P169" s="285"/>
      <c r="Q169" s="285"/>
      <c r="R169" s="278"/>
      <c r="S169" s="278"/>
      <c r="T169" s="278"/>
    </row>
    <row r="170" spans="1:28" s="305" customFormat="1" hidden="1" outlineLevel="1" x14ac:dyDescent="0.25">
      <c r="A170" s="278"/>
      <c r="B170" s="279" t="str">
        <f t="shared" si="57"/>
        <v/>
      </c>
      <c r="C170" s="278"/>
      <c r="D170" s="278"/>
      <c r="E170" s="278"/>
      <c r="F170" s="278"/>
      <c r="G170" s="278"/>
      <c r="H170" s="290"/>
      <c r="I170" s="280">
        <f t="shared" si="60"/>
        <v>0</v>
      </c>
      <c r="J170" s="281">
        <f t="shared" si="59"/>
        <v>0</v>
      </c>
      <c r="K170" s="282">
        <f>IF(Notes!$B$9="Domestic",I170, IF(Notes!$B$9="Commercial",J170))*$K$161</f>
        <v>0</v>
      </c>
      <c r="L170" s="283">
        <f>IF(SUM(O170:Q170)=0,0,(SUM(O170:Q170)+(K170+SUM(M170:Q170))*(INDEX($U$161:$AB$161,MATCH(Notes!$C$16,$U$3:$AB$3,0))-100%))*$L$161)</f>
        <v>0</v>
      </c>
      <c r="M170" s="286"/>
      <c r="N170" s="286"/>
      <c r="O170" s="285"/>
      <c r="P170" s="285"/>
      <c r="Q170" s="285"/>
      <c r="R170" s="278"/>
      <c r="S170" s="278"/>
      <c r="T170" s="278"/>
    </row>
    <row r="171" spans="1:28" s="305" customFormat="1" hidden="1" outlineLevel="1" x14ac:dyDescent="0.25">
      <c r="A171" s="278"/>
      <c r="B171" s="279" t="str">
        <f t="shared" si="57"/>
        <v/>
      </c>
      <c r="C171" s="278"/>
      <c r="D171" s="278"/>
      <c r="E171" s="278"/>
      <c r="F171" s="278"/>
      <c r="G171" s="278"/>
      <c r="H171" s="290"/>
      <c r="I171" s="280">
        <f t="shared" si="60"/>
        <v>0</v>
      </c>
      <c r="J171" s="281">
        <f t="shared" si="59"/>
        <v>0</v>
      </c>
      <c r="K171" s="282">
        <f>IF(Notes!$B$9="Domestic",I171, IF(Notes!$B$9="Commercial",J171))*$K$161</f>
        <v>0</v>
      </c>
      <c r="L171" s="283">
        <f>IF(SUM(O171:Q171)=0,0,(SUM(O171:Q171)+(K171+SUM(M171:Q171))*(INDEX($U$161:$AB$161,MATCH(Notes!$C$16,$U$3:$AB$3,0))-100%))*$L$161)</f>
        <v>0</v>
      </c>
      <c r="M171" s="286"/>
      <c r="N171" s="286"/>
      <c r="O171" s="285"/>
      <c r="P171" s="285"/>
      <c r="Q171" s="285"/>
      <c r="R171" s="278"/>
      <c r="S171" s="278"/>
      <c r="T171" s="278"/>
    </row>
    <row r="172" spans="1:28" ht="21" hidden="1" outlineLevel="1" x14ac:dyDescent="0.25">
      <c r="A172" s="299"/>
      <c r="B172" s="299"/>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row>
    <row r="173" spans="1:28" ht="15.75" hidden="1" outlineLevel="1" x14ac:dyDescent="0.25">
      <c r="A173" s="291"/>
      <c r="B173" s="291"/>
      <c r="C173" s="291"/>
      <c r="D173" s="291"/>
      <c r="E173" s="291"/>
      <c r="F173" s="291"/>
      <c r="G173" s="291"/>
      <c r="H173" s="291"/>
      <c r="I173" s="291"/>
      <c r="J173" s="291"/>
      <c r="K173" s="291">
        <f>K$2</f>
        <v>1</v>
      </c>
      <c r="L173" s="291">
        <f>L$2</f>
        <v>1</v>
      </c>
      <c r="M173" s="291"/>
      <c r="N173" s="291"/>
      <c r="O173" s="303"/>
      <c r="P173" s="303"/>
      <c r="Q173" s="303"/>
      <c r="R173" s="291"/>
      <c r="S173" s="291"/>
      <c r="T173" s="291"/>
      <c r="U173" s="291">
        <f>U$2</f>
        <v>1</v>
      </c>
      <c r="V173" s="291">
        <f>V$2</f>
        <v>1</v>
      </c>
      <c r="W173" s="291">
        <f t="shared" ref="W173:AB173" si="61">W$2</f>
        <v>1</v>
      </c>
      <c r="X173" s="291">
        <f t="shared" si="61"/>
        <v>1</v>
      </c>
      <c r="Y173" s="291">
        <f t="shared" si="61"/>
        <v>1</v>
      </c>
      <c r="Z173" s="291">
        <f t="shared" si="61"/>
        <v>1</v>
      </c>
      <c r="AA173" s="291">
        <f t="shared" si="61"/>
        <v>1</v>
      </c>
      <c r="AB173" s="291">
        <f t="shared" si="61"/>
        <v>1</v>
      </c>
    </row>
    <row r="174" spans="1:28" s="305" customFormat="1" hidden="1" outlineLevel="1" x14ac:dyDescent="0.25">
      <c r="A174" s="278"/>
      <c r="B174" s="279" t="str">
        <f>C174&amp;D174&amp;E174&amp;F174</f>
        <v/>
      </c>
      <c r="C174" s="278"/>
      <c r="D174" s="278"/>
      <c r="E174" s="278"/>
      <c r="F174" s="278"/>
      <c r="G174" s="278"/>
      <c r="H174" s="290"/>
      <c r="I174" s="280">
        <f>$I$2*H174</f>
        <v>0</v>
      </c>
      <c r="J174" s="281">
        <f>$J$2*H174</f>
        <v>0</v>
      </c>
      <c r="K174" s="282">
        <f>IF(Notes!$B$9="Domestic",I174, IF(Notes!$B$9="Commercial",J174))*$K$173</f>
        <v>0</v>
      </c>
      <c r="L174" s="283">
        <f>IF(SUM(O174:Q174)=0,0,(SUM(O174:Q174)+(K174+SUM(M174:Q174))*(INDEX($U$173:$AB$173,MATCH(Notes!$C$16,$U$3:$AB$3,0))-100%))*$L$173)</f>
        <v>0</v>
      </c>
      <c r="M174" s="286"/>
      <c r="N174" s="286"/>
      <c r="O174" s="285"/>
      <c r="P174" s="285"/>
      <c r="Q174" s="285"/>
      <c r="R174" s="278"/>
      <c r="S174" s="278"/>
      <c r="T174" s="278"/>
    </row>
    <row r="175" spans="1:28" s="305" customFormat="1" hidden="1" outlineLevel="1" x14ac:dyDescent="0.25">
      <c r="A175" s="278"/>
      <c r="B175" s="279" t="str">
        <f t="shared" ref="B175:B183" si="62">C175&amp;D175&amp;E175&amp;F175</f>
        <v/>
      </c>
      <c r="C175" s="278"/>
      <c r="D175" s="278"/>
      <c r="E175" s="278"/>
      <c r="F175" s="278"/>
      <c r="G175" s="278"/>
      <c r="H175" s="290"/>
      <c r="I175" s="280">
        <f t="shared" ref="I175:I177" si="63">$I$2*H175</f>
        <v>0</v>
      </c>
      <c r="J175" s="281">
        <f t="shared" ref="J175:J183" si="64">$J$2*H175</f>
        <v>0</v>
      </c>
      <c r="K175" s="282">
        <f>IF(Notes!$B$9="Domestic",I175, IF(Notes!$B$9="Commercial",J175))*$K$173</f>
        <v>0</v>
      </c>
      <c r="L175" s="283">
        <f>IF(SUM(O175:Q175)=0,0,(SUM(O175:Q175)+(K175+SUM(M175:Q175))*(INDEX($U$173:$AB$173,MATCH(Notes!$C$16,$U$3:$AB$3,0))-100%))*$L$173)</f>
        <v>0</v>
      </c>
      <c r="M175" s="286"/>
      <c r="N175" s="286"/>
      <c r="O175" s="285"/>
      <c r="P175" s="285"/>
      <c r="Q175" s="285"/>
      <c r="R175" s="278"/>
      <c r="S175" s="278"/>
      <c r="T175" s="278"/>
    </row>
    <row r="176" spans="1:28" s="305" customFormat="1" hidden="1" outlineLevel="1" x14ac:dyDescent="0.25">
      <c r="A176" s="278"/>
      <c r="B176" s="279" t="str">
        <f t="shared" si="62"/>
        <v/>
      </c>
      <c r="C176" s="278"/>
      <c r="D176" s="278"/>
      <c r="E176" s="278"/>
      <c r="F176" s="278"/>
      <c r="G176" s="278"/>
      <c r="H176" s="290"/>
      <c r="I176" s="280">
        <f t="shared" si="63"/>
        <v>0</v>
      </c>
      <c r="J176" s="281">
        <f t="shared" si="64"/>
        <v>0</v>
      </c>
      <c r="K176" s="282">
        <f>IF(Notes!$B$9="Domestic",I176, IF(Notes!$B$9="Commercial",J176))*$K$173</f>
        <v>0</v>
      </c>
      <c r="L176" s="283">
        <f>IF(SUM(O176:Q176)=0,0,(SUM(O176:Q176)+(K176+SUM(M176:Q176))*(INDEX($U$173:$AB$173,MATCH(Notes!$C$16,$U$3:$AB$3,0))-100%))*$L$173)</f>
        <v>0</v>
      </c>
      <c r="M176" s="286"/>
      <c r="N176" s="286"/>
      <c r="O176" s="285"/>
      <c r="P176" s="285"/>
      <c r="Q176" s="285"/>
      <c r="R176" s="278"/>
      <c r="S176" s="278"/>
      <c r="T176" s="278"/>
    </row>
    <row r="177" spans="1:28" s="305" customFormat="1" hidden="1" outlineLevel="1" x14ac:dyDescent="0.25">
      <c r="A177" s="278"/>
      <c r="B177" s="279" t="str">
        <f t="shared" si="62"/>
        <v/>
      </c>
      <c r="C177" s="278"/>
      <c r="D177" s="278"/>
      <c r="E177" s="278"/>
      <c r="F177" s="278"/>
      <c r="G177" s="278"/>
      <c r="H177" s="290"/>
      <c r="I177" s="280">
        <f t="shared" si="63"/>
        <v>0</v>
      </c>
      <c r="J177" s="281">
        <f t="shared" si="64"/>
        <v>0</v>
      </c>
      <c r="K177" s="282">
        <f>IF(Notes!$B$9="Domestic",I177, IF(Notes!$B$9="Commercial",J177))*$K$173</f>
        <v>0</v>
      </c>
      <c r="L177" s="283">
        <f>IF(SUM(O177:Q177)=0,0,(SUM(O177:Q177)+(K177+SUM(M177:Q177))*(INDEX($U$173:$AB$173,MATCH(Notes!$C$16,$U$3:$AB$3,0))-100%))*$L$173)</f>
        <v>0</v>
      </c>
      <c r="M177" s="286"/>
      <c r="N177" s="286"/>
      <c r="O177" s="285"/>
      <c r="P177" s="285"/>
      <c r="Q177" s="285"/>
      <c r="R177" s="278"/>
      <c r="S177" s="278"/>
      <c r="T177" s="278"/>
    </row>
    <row r="178" spans="1:28" s="305" customFormat="1" hidden="1" outlineLevel="1" x14ac:dyDescent="0.25">
      <c r="A178" s="278"/>
      <c r="B178" s="279" t="str">
        <f t="shared" si="62"/>
        <v/>
      </c>
      <c r="C178" s="278"/>
      <c r="D178" s="278"/>
      <c r="E178" s="278"/>
      <c r="F178" s="278"/>
      <c r="G178" s="278"/>
      <c r="H178" s="290"/>
      <c r="I178" s="280">
        <f>$I$2*H178</f>
        <v>0</v>
      </c>
      <c r="J178" s="281">
        <f t="shared" si="64"/>
        <v>0</v>
      </c>
      <c r="K178" s="282">
        <f>IF(Notes!$B$9="Domestic",I178, IF(Notes!$B$9="Commercial",J178))*$K$173</f>
        <v>0</v>
      </c>
      <c r="L178" s="283">
        <f>IF(SUM(O178:Q178)=0,0,(SUM(O178:Q178)+(K178+SUM(M178:Q178))*(INDEX($U$173:$AB$173,MATCH(Notes!$C$16,$U$3:$AB$3,0))-100%))*$L$173)</f>
        <v>0</v>
      </c>
      <c r="M178" s="286"/>
      <c r="N178" s="286"/>
      <c r="O178" s="285"/>
      <c r="P178" s="285"/>
      <c r="Q178" s="285"/>
      <c r="R178" s="278"/>
      <c r="S178" s="278"/>
      <c r="T178" s="278"/>
    </row>
    <row r="179" spans="1:28" s="305" customFormat="1" hidden="1" outlineLevel="1" x14ac:dyDescent="0.25">
      <c r="A179" s="278"/>
      <c r="B179" s="279" t="str">
        <f t="shared" si="62"/>
        <v/>
      </c>
      <c r="C179" s="278"/>
      <c r="D179" s="278"/>
      <c r="E179" s="278"/>
      <c r="F179" s="278"/>
      <c r="G179" s="278"/>
      <c r="H179" s="290"/>
      <c r="I179" s="280">
        <f t="shared" ref="I179:I183" si="65">$I$2*H179</f>
        <v>0</v>
      </c>
      <c r="J179" s="281">
        <f t="shared" si="64"/>
        <v>0</v>
      </c>
      <c r="K179" s="282">
        <f>IF(Notes!$B$9="Domestic",I179, IF(Notes!$B$9="Commercial",J179))*$K$173</f>
        <v>0</v>
      </c>
      <c r="L179" s="283">
        <f>IF(SUM(O179:Q179)=0,0,(SUM(O179:Q179)+(K179+SUM(M179:Q179))*(INDEX($U$173:$AB$173,MATCH(Notes!$C$16,$U$3:$AB$3,0))-100%))*$L$173)</f>
        <v>0</v>
      </c>
      <c r="M179" s="286"/>
      <c r="N179" s="286"/>
      <c r="O179" s="285"/>
      <c r="P179" s="285"/>
      <c r="Q179" s="285"/>
      <c r="R179" s="278"/>
      <c r="S179" s="278"/>
      <c r="T179" s="278"/>
    </row>
    <row r="180" spans="1:28" s="305" customFormat="1" hidden="1" outlineLevel="1" x14ac:dyDescent="0.25">
      <c r="A180" s="278"/>
      <c r="B180" s="279" t="str">
        <f t="shared" si="62"/>
        <v/>
      </c>
      <c r="C180" s="278"/>
      <c r="D180" s="278"/>
      <c r="E180" s="278"/>
      <c r="F180" s="278"/>
      <c r="G180" s="278"/>
      <c r="H180" s="290"/>
      <c r="I180" s="280">
        <f t="shared" si="65"/>
        <v>0</v>
      </c>
      <c r="J180" s="281">
        <f t="shared" si="64"/>
        <v>0</v>
      </c>
      <c r="K180" s="282">
        <f>IF(Notes!$B$9="Domestic",I180, IF(Notes!$B$9="Commercial",J180))*$K$173</f>
        <v>0</v>
      </c>
      <c r="L180" s="283">
        <f>IF(SUM(O180:Q180)=0,0,(SUM(O180:Q180)+(K180+SUM(M180:Q180))*(INDEX($U$173:$AB$173,MATCH(Notes!$C$16,$U$3:$AB$3,0))-100%))*$L$173)</f>
        <v>0</v>
      </c>
      <c r="M180" s="286"/>
      <c r="N180" s="286"/>
      <c r="O180" s="285"/>
      <c r="P180" s="285"/>
      <c r="Q180" s="285"/>
      <c r="R180" s="278"/>
      <c r="S180" s="278"/>
      <c r="T180" s="278"/>
    </row>
    <row r="181" spans="1:28" s="305" customFormat="1" hidden="1" outlineLevel="1" x14ac:dyDescent="0.25">
      <c r="A181" s="278"/>
      <c r="B181" s="279" t="str">
        <f t="shared" si="62"/>
        <v/>
      </c>
      <c r="C181" s="278"/>
      <c r="D181" s="278"/>
      <c r="E181" s="278"/>
      <c r="F181" s="278"/>
      <c r="G181" s="278"/>
      <c r="H181" s="290"/>
      <c r="I181" s="280">
        <f t="shared" si="65"/>
        <v>0</v>
      </c>
      <c r="J181" s="281">
        <f t="shared" si="64"/>
        <v>0</v>
      </c>
      <c r="K181" s="282">
        <f>IF(Notes!$B$9="Domestic",I181, IF(Notes!$B$9="Commercial",J181))*$K$173</f>
        <v>0</v>
      </c>
      <c r="L181" s="283">
        <f>IF(SUM(O181:Q181)=0,0,(SUM(O181:Q181)+(K181+SUM(M181:Q181))*(INDEX($U$173:$AB$173,MATCH(Notes!$C$16,$U$3:$AB$3,0))-100%))*$L$173)</f>
        <v>0</v>
      </c>
      <c r="M181" s="286"/>
      <c r="N181" s="286"/>
      <c r="O181" s="285"/>
      <c r="P181" s="285"/>
      <c r="Q181" s="285"/>
      <c r="R181" s="278"/>
      <c r="S181" s="278"/>
      <c r="T181" s="278"/>
    </row>
    <row r="182" spans="1:28" s="305" customFormat="1" hidden="1" outlineLevel="1" x14ac:dyDescent="0.25">
      <c r="A182" s="278"/>
      <c r="B182" s="279" t="str">
        <f t="shared" si="62"/>
        <v/>
      </c>
      <c r="C182" s="278"/>
      <c r="D182" s="278"/>
      <c r="E182" s="278"/>
      <c r="F182" s="278"/>
      <c r="G182" s="278"/>
      <c r="H182" s="290"/>
      <c r="I182" s="280">
        <f t="shared" si="65"/>
        <v>0</v>
      </c>
      <c r="J182" s="281">
        <f t="shared" si="64"/>
        <v>0</v>
      </c>
      <c r="K182" s="282">
        <f>IF(Notes!$B$9="Domestic",I182, IF(Notes!$B$9="Commercial",J182))*$K$173</f>
        <v>0</v>
      </c>
      <c r="L182" s="283">
        <f>IF(SUM(O182:Q182)=0,0,(SUM(O182:Q182)+(K182+SUM(M182:Q182))*(INDEX($U$173:$AB$173,MATCH(Notes!$C$16,$U$3:$AB$3,0))-100%))*$L$173)</f>
        <v>0</v>
      </c>
      <c r="M182" s="286"/>
      <c r="N182" s="286"/>
      <c r="O182" s="285"/>
      <c r="P182" s="285"/>
      <c r="Q182" s="285"/>
      <c r="R182" s="278"/>
      <c r="S182" s="278"/>
      <c r="T182" s="278"/>
    </row>
    <row r="183" spans="1:28" s="305" customFormat="1" hidden="1" outlineLevel="1" x14ac:dyDescent="0.25">
      <c r="A183" s="278"/>
      <c r="B183" s="279" t="str">
        <f t="shared" si="62"/>
        <v/>
      </c>
      <c r="C183" s="278"/>
      <c r="D183" s="278"/>
      <c r="E183" s="278"/>
      <c r="F183" s="278"/>
      <c r="G183" s="278"/>
      <c r="H183" s="290"/>
      <c r="I183" s="280">
        <f t="shared" si="65"/>
        <v>0</v>
      </c>
      <c r="J183" s="281">
        <f t="shared" si="64"/>
        <v>0</v>
      </c>
      <c r="K183" s="282">
        <f>IF(Notes!$B$9="Domestic",I183, IF(Notes!$B$9="Commercial",J183))*$K$173</f>
        <v>0</v>
      </c>
      <c r="L183" s="283">
        <f>IF(SUM(O183:Q183)=0,0,(SUM(O183:Q183)+(K183+SUM(M183:Q183))*(INDEX($U$173:$AB$173,MATCH(Notes!$C$16,$U$3:$AB$3,0))-100%))*$L$173)</f>
        <v>0</v>
      </c>
      <c r="M183" s="286"/>
      <c r="N183" s="286"/>
      <c r="O183" s="285"/>
      <c r="P183" s="285"/>
      <c r="Q183" s="285"/>
      <c r="R183" s="278"/>
      <c r="S183" s="278"/>
      <c r="T183" s="278"/>
    </row>
    <row r="184" spans="1:28" ht="21" hidden="1" outlineLevel="1" x14ac:dyDescent="0.25">
      <c r="A184" s="299"/>
      <c r="B184" s="299"/>
      <c r="C184" s="299"/>
      <c r="D184" s="299"/>
      <c r="E184" s="299"/>
      <c r="F184" s="299"/>
      <c r="G184" s="299"/>
      <c r="H184" s="299"/>
      <c r="I184" s="299"/>
      <c r="J184" s="299"/>
      <c r="K184" s="299"/>
      <c r="L184" s="299"/>
      <c r="M184" s="299"/>
      <c r="N184" s="299"/>
      <c r="O184" s="299"/>
      <c r="P184" s="299"/>
      <c r="Q184" s="299"/>
      <c r="R184" s="299"/>
      <c r="S184" s="299"/>
      <c r="T184" s="299"/>
      <c r="U184" s="299"/>
      <c r="V184" s="299"/>
      <c r="W184" s="299"/>
      <c r="X184" s="299"/>
      <c r="Y184" s="299"/>
      <c r="Z184" s="299"/>
      <c r="AA184" s="299"/>
      <c r="AB184" s="299"/>
    </row>
    <row r="185" spans="1:28" ht="15.75" hidden="1" outlineLevel="1" x14ac:dyDescent="0.25">
      <c r="A185" s="291"/>
      <c r="B185" s="291"/>
      <c r="C185" s="291"/>
      <c r="D185" s="291"/>
      <c r="E185" s="291"/>
      <c r="F185" s="291"/>
      <c r="G185" s="291"/>
      <c r="H185" s="291"/>
      <c r="I185" s="291"/>
      <c r="J185" s="291"/>
      <c r="K185" s="291">
        <f>K$2</f>
        <v>1</v>
      </c>
      <c r="L185" s="291">
        <f>L$2</f>
        <v>1</v>
      </c>
      <c r="M185" s="291"/>
      <c r="N185" s="291"/>
      <c r="O185" s="303"/>
      <c r="P185" s="303"/>
      <c r="Q185" s="303"/>
      <c r="R185" s="291"/>
      <c r="S185" s="291"/>
      <c r="T185" s="291"/>
      <c r="U185" s="291">
        <f>U$2</f>
        <v>1</v>
      </c>
      <c r="V185" s="291">
        <f>V$2</f>
        <v>1</v>
      </c>
      <c r="W185" s="291">
        <f t="shared" ref="W185:AB185" si="66">W$2</f>
        <v>1</v>
      </c>
      <c r="X185" s="291">
        <f t="shared" si="66"/>
        <v>1</v>
      </c>
      <c r="Y185" s="291">
        <f t="shared" si="66"/>
        <v>1</v>
      </c>
      <c r="Z185" s="291">
        <f t="shared" si="66"/>
        <v>1</v>
      </c>
      <c r="AA185" s="291">
        <f t="shared" si="66"/>
        <v>1</v>
      </c>
      <c r="AB185" s="291">
        <f t="shared" si="66"/>
        <v>1</v>
      </c>
    </row>
    <row r="186" spans="1:28" s="305" customFormat="1" hidden="1" outlineLevel="1" x14ac:dyDescent="0.25">
      <c r="A186" s="278"/>
      <c r="B186" s="279" t="str">
        <f>C186&amp;D186&amp;E186&amp;F186</f>
        <v/>
      </c>
      <c r="C186" s="278"/>
      <c r="D186" s="278"/>
      <c r="E186" s="278"/>
      <c r="F186" s="278"/>
      <c r="G186" s="278"/>
      <c r="H186" s="290"/>
      <c r="I186" s="280">
        <f>$I$2*H186</f>
        <v>0</v>
      </c>
      <c r="J186" s="281">
        <f>$J$2*H186</f>
        <v>0</v>
      </c>
      <c r="K186" s="282">
        <f>IF(Notes!$B$9="Domestic",I186, IF(Notes!$B$9="Commercial",J186))*$K$185</f>
        <v>0</v>
      </c>
      <c r="L186" s="283">
        <f>IF(SUM(O186:Q186)=0,0,(SUM(O186:Q186)+(K186+SUM(M186:Q186))*(INDEX($U$185:$AB$185,MATCH(Notes!$C$16,$U$3:$AB$3,0))-100%))*$L$185)</f>
        <v>0</v>
      </c>
      <c r="M186" s="286"/>
      <c r="N186" s="286"/>
      <c r="O186" s="285"/>
      <c r="P186" s="285"/>
      <c r="Q186" s="285"/>
      <c r="R186" s="278"/>
      <c r="S186" s="278"/>
      <c r="T186" s="278"/>
    </row>
    <row r="187" spans="1:28" s="305" customFormat="1" hidden="1" outlineLevel="1" x14ac:dyDescent="0.25">
      <c r="A187" s="278"/>
      <c r="B187" s="279" t="str">
        <f t="shared" ref="B187:B195" si="67">C187&amp;D187&amp;E187&amp;F187</f>
        <v/>
      </c>
      <c r="C187" s="278"/>
      <c r="D187" s="278"/>
      <c r="E187" s="278"/>
      <c r="F187" s="278"/>
      <c r="G187" s="278"/>
      <c r="H187" s="290"/>
      <c r="I187" s="280">
        <f t="shared" ref="I187:I189" si="68">$I$2*H187</f>
        <v>0</v>
      </c>
      <c r="J187" s="281">
        <f t="shared" ref="J187:J195" si="69">$J$2*H187</f>
        <v>0</v>
      </c>
      <c r="K187" s="282">
        <f>IF(Notes!$B$9="Domestic",I187, IF(Notes!$B$9="Commercial",J187))*$K$185</f>
        <v>0</v>
      </c>
      <c r="L187" s="283">
        <f>IF(SUM(O187:Q187)=0,0,(SUM(O187:Q187)+(K187+SUM(M187:Q187))*(INDEX($U$185:$AB$185,MATCH(Notes!$C$16,$U$3:$AB$3,0))-100%))*$L$185)</f>
        <v>0</v>
      </c>
      <c r="M187" s="286"/>
      <c r="N187" s="286"/>
      <c r="O187" s="285"/>
      <c r="P187" s="285"/>
      <c r="Q187" s="285"/>
      <c r="R187" s="278"/>
      <c r="S187" s="278"/>
      <c r="T187" s="278"/>
    </row>
    <row r="188" spans="1:28" s="305" customFormat="1" hidden="1" outlineLevel="1" x14ac:dyDescent="0.25">
      <c r="A188" s="278"/>
      <c r="B188" s="279" t="str">
        <f t="shared" si="67"/>
        <v/>
      </c>
      <c r="C188" s="278"/>
      <c r="D188" s="278"/>
      <c r="E188" s="278"/>
      <c r="F188" s="278"/>
      <c r="G188" s="278"/>
      <c r="H188" s="290"/>
      <c r="I188" s="280">
        <f t="shared" si="68"/>
        <v>0</v>
      </c>
      <c r="J188" s="281">
        <f t="shared" si="69"/>
        <v>0</v>
      </c>
      <c r="K188" s="282">
        <f>IF(Notes!$B$9="Domestic",I188, IF(Notes!$B$9="Commercial",J188))*$K$185</f>
        <v>0</v>
      </c>
      <c r="L188" s="283">
        <f>IF(SUM(O188:Q188)=0,0,(SUM(O188:Q188)+(K188+SUM(M188:Q188))*(INDEX($U$185:$AB$185,MATCH(Notes!$C$16,$U$3:$AB$3,0))-100%))*$L$185)</f>
        <v>0</v>
      </c>
      <c r="M188" s="286"/>
      <c r="N188" s="286"/>
      <c r="O188" s="285"/>
      <c r="P188" s="285"/>
      <c r="Q188" s="285"/>
      <c r="R188" s="278"/>
      <c r="S188" s="278"/>
      <c r="T188" s="278"/>
    </row>
    <row r="189" spans="1:28" s="305" customFormat="1" hidden="1" outlineLevel="1" x14ac:dyDescent="0.25">
      <c r="A189" s="278"/>
      <c r="B189" s="279" t="str">
        <f t="shared" si="67"/>
        <v/>
      </c>
      <c r="C189" s="278"/>
      <c r="D189" s="278"/>
      <c r="E189" s="278"/>
      <c r="F189" s="278"/>
      <c r="G189" s="278"/>
      <c r="H189" s="290"/>
      <c r="I189" s="280">
        <f t="shared" si="68"/>
        <v>0</v>
      </c>
      <c r="J189" s="281">
        <f t="shared" si="69"/>
        <v>0</v>
      </c>
      <c r="K189" s="282">
        <f>IF(Notes!$B$9="Domestic",I189, IF(Notes!$B$9="Commercial",J189))*$K$185</f>
        <v>0</v>
      </c>
      <c r="L189" s="283">
        <f>IF(SUM(O189:Q189)=0,0,(SUM(O189:Q189)+(K189+SUM(M189:Q189))*(INDEX($U$185:$AB$185,MATCH(Notes!$C$16,$U$3:$AB$3,0))-100%))*$L$185)</f>
        <v>0</v>
      </c>
      <c r="M189" s="286"/>
      <c r="N189" s="286"/>
      <c r="O189" s="285"/>
      <c r="P189" s="285"/>
      <c r="Q189" s="285"/>
      <c r="R189" s="278"/>
      <c r="S189" s="278"/>
      <c r="T189" s="278"/>
    </row>
    <row r="190" spans="1:28" s="305" customFormat="1" hidden="1" outlineLevel="1" x14ac:dyDescent="0.25">
      <c r="A190" s="278"/>
      <c r="B190" s="279" t="str">
        <f t="shared" si="67"/>
        <v/>
      </c>
      <c r="C190" s="278"/>
      <c r="D190" s="278"/>
      <c r="E190" s="278"/>
      <c r="F190" s="278"/>
      <c r="G190" s="278"/>
      <c r="H190" s="290"/>
      <c r="I190" s="280">
        <f>$I$2*H190</f>
        <v>0</v>
      </c>
      <c r="J190" s="281">
        <f t="shared" si="69"/>
        <v>0</v>
      </c>
      <c r="K190" s="282">
        <f>IF(Notes!$B$9="Domestic",I190, IF(Notes!$B$9="Commercial",J190))*$K$185</f>
        <v>0</v>
      </c>
      <c r="L190" s="283">
        <f>IF(SUM(O190:Q190)=0,0,(SUM(O190:Q190)+(K190+SUM(M190:Q190))*(INDEX($U$185:$AB$185,MATCH(Notes!$C$16,$U$3:$AB$3,0))-100%))*$L$185)</f>
        <v>0</v>
      </c>
      <c r="M190" s="286"/>
      <c r="N190" s="286"/>
      <c r="O190" s="285"/>
      <c r="P190" s="285"/>
      <c r="Q190" s="285"/>
      <c r="R190" s="278"/>
      <c r="S190" s="278"/>
      <c r="T190" s="278"/>
    </row>
    <row r="191" spans="1:28" s="305" customFormat="1" hidden="1" outlineLevel="1" x14ac:dyDescent="0.25">
      <c r="A191" s="278"/>
      <c r="B191" s="279" t="str">
        <f t="shared" si="67"/>
        <v/>
      </c>
      <c r="C191" s="278"/>
      <c r="D191" s="278"/>
      <c r="E191" s="278"/>
      <c r="F191" s="278"/>
      <c r="G191" s="278"/>
      <c r="H191" s="290"/>
      <c r="I191" s="280">
        <f t="shared" ref="I191:I195" si="70">$I$2*H191</f>
        <v>0</v>
      </c>
      <c r="J191" s="281">
        <f t="shared" si="69"/>
        <v>0</v>
      </c>
      <c r="K191" s="282">
        <f>IF(Notes!$B$9="Domestic",I191, IF(Notes!$B$9="Commercial",J191))*$K$185</f>
        <v>0</v>
      </c>
      <c r="L191" s="283">
        <f>IF(SUM(O191:Q191)=0,0,(SUM(O191:Q191)+(K191+SUM(M191:Q191))*(INDEX($U$185:$AB$185,MATCH(Notes!$C$16,$U$3:$AB$3,0))-100%))*$L$185)</f>
        <v>0</v>
      </c>
      <c r="M191" s="286"/>
      <c r="N191" s="286"/>
      <c r="O191" s="285"/>
      <c r="P191" s="285"/>
      <c r="Q191" s="285"/>
      <c r="R191" s="278"/>
      <c r="S191" s="278"/>
      <c r="T191" s="278"/>
    </row>
    <row r="192" spans="1:28" s="305" customFormat="1" hidden="1" outlineLevel="1" x14ac:dyDescent="0.25">
      <c r="A192" s="278"/>
      <c r="B192" s="279" t="str">
        <f t="shared" si="67"/>
        <v/>
      </c>
      <c r="C192" s="278"/>
      <c r="D192" s="278"/>
      <c r="E192" s="278"/>
      <c r="F192" s="278"/>
      <c r="G192" s="278"/>
      <c r="H192" s="290"/>
      <c r="I192" s="280">
        <f t="shared" si="70"/>
        <v>0</v>
      </c>
      <c r="J192" s="281">
        <f t="shared" si="69"/>
        <v>0</v>
      </c>
      <c r="K192" s="282">
        <f>IF(Notes!$B$9="Domestic",I192, IF(Notes!$B$9="Commercial",J192))*$K$185</f>
        <v>0</v>
      </c>
      <c r="L192" s="283">
        <f>IF(SUM(O192:Q192)=0,0,(SUM(O192:Q192)+(K192+SUM(M192:Q192))*(INDEX($U$185:$AB$185,MATCH(Notes!$C$16,$U$3:$AB$3,0))-100%))*$L$185)</f>
        <v>0</v>
      </c>
      <c r="M192" s="286"/>
      <c r="N192" s="286"/>
      <c r="O192" s="285"/>
      <c r="P192" s="285"/>
      <c r="Q192" s="285"/>
      <c r="R192" s="278"/>
      <c r="S192" s="278"/>
      <c r="T192" s="278"/>
    </row>
    <row r="193" spans="1:28" s="305" customFormat="1" hidden="1" outlineLevel="1" x14ac:dyDescent="0.25">
      <c r="A193" s="278"/>
      <c r="B193" s="279" t="str">
        <f t="shared" si="67"/>
        <v/>
      </c>
      <c r="C193" s="278"/>
      <c r="D193" s="278"/>
      <c r="E193" s="278"/>
      <c r="F193" s="278"/>
      <c r="G193" s="278"/>
      <c r="H193" s="290"/>
      <c r="I193" s="280">
        <f t="shared" si="70"/>
        <v>0</v>
      </c>
      <c r="J193" s="281">
        <f t="shared" si="69"/>
        <v>0</v>
      </c>
      <c r="K193" s="282">
        <f>IF(Notes!$B$9="Domestic",I193, IF(Notes!$B$9="Commercial",J193))*$K$185</f>
        <v>0</v>
      </c>
      <c r="L193" s="283">
        <f>IF(SUM(O193:Q193)=0,0,(SUM(O193:Q193)+(K193+SUM(M193:Q193))*(INDEX($U$185:$AB$185,MATCH(Notes!$C$16,$U$3:$AB$3,0))-100%))*$L$185)</f>
        <v>0</v>
      </c>
      <c r="M193" s="286"/>
      <c r="N193" s="286"/>
      <c r="O193" s="285"/>
      <c r="P193" s="285"/>
      <c r="Q193" s="285"/>
      <c r="R193" s="278"/>
      <c r="S193" s="278"/>
      <c r="T193" s="278"/>
    </row>
    <row r="194" spans="1:28" s="305" customFormat="1" hidden="1" outlineLevel="1" x14ac:dyDescent="0.25">
      <c r="A194" s="278"/>
      <c r="B194" s="279" t="str">
        <f t="shared" si="67"/>
        <v/>
      </c>
      <c r="C194" s="278"/>
      <c r="D194" s="278"/>
      <c r="E194" s="278"/>
      <c r="F194" s="278"/>
      <c r="G194" s="278"/>
      <c r="H194" s="290"/>
      <c r="I194" s="280">
        <f t="shared" si="70"/>
        <v>0</v>
      </c>
      <c r="J194" s="281">
        <f t="shared" si="69"/>
        <v>0</v>
      </c>
      <c r="K194" s="282">
        <f>IF(Notes!$B$9="Domestic",I194, IF(Notes!$B$9="Commercial",J194))*$K$185</f>
        <v>0</v>
      </c>
      <c r="L194" s="283">
        <f>IF(SUM(O194:Q194)=0,0,(SUM(O194:Q194)+(K194+SUM(M194:Q194))*(INDEX($U$185:$AB$185,MATCH(Notes!$C$16,$U$3:$AB$3,0))-100%))*$L$185)</f>
        <v>0</v>
      </c>
      <c r="M194" s="286"/>
      <c r="N194" s="286"/>
      <c r="O194" s="285"/>
      <c r="P194" s="285"/>
      <c r="Q194" s="285"/>
      <c r="R194" s="278"/>
      <c r="S194" s="278"/>
      <c r="T194" s="278"/>
    </row>
    <row r="195" spans="1:28" s="305" customFormat="1" hidden="1" outlineLevel="1" x14ac:dyDescent="0.25">
      <c r="A195" s="278"/>
      <c r="B195" s="279" t="str">
        <f t="shared" si="67"/>
        <v/>
      </c>
      <c r="C195" s="278"/>
      <c r="D195" s="278"/>
      <c r="E195" s="278"/>
      <c r="F195" s="278"/>
      <c r="G195" s="278"/>
      <c r="H195" s="290"/>
      <c r="I195" s="280">
        <f t="shared" si="70"/>
        <v>0</v>
      </c>
      <c r="J195" s="281">
        <f t="shared" si="69"/>
        <v>0</v>
      </c>
      <c r="K195" s="282">
        <f>IF(Notes!$B$9="Domestic",I195, IF(Notes!$B$9="Commercial",J195))*$K$185</f>
        <v>0</v>
      </c>
      <c r="L195" s="283">
        <f>IF(SUM(O195:Q195)=0,0,(SUM(O195:Q195)+(K195+SUM(M195:Q195))*(INDEX($U$185:$AB$185,MATCH(Notes!$C$16,$U$3:$AB$3,0))-100%))*$L$185)</f>
        <v>0</v>
      </c>
      <c r="M195" s="286"/>
      <c r="N195" s="286"/>
      <c r="O195" s="285"/>
      <c r="P195" s="285"/>
      <c r="Q195" s="285"/>
      <c r="R195" s="278"/>
      <c r="S195" s="278"/>
      <c r="T195" s="278"/>
    </row>
    <row r="196" spans="1:28" ht="21" hidden="1" outlineLevel="1" x14ac:dyDescent="0.25">
      <c r="A196" s="299"/>
      <c r="B196" s="299"/>
      <c r="C196" s="299"/>
      <c r="D196" s="299"/>
      <c r="E196" s="299"/>
      <c r="F196" s="299"/>
      <c r="G196" s="299"/>
      <c r="H196" s="299"/>
      <c r="I196" s="299"/>
      <c r="J196" s="299"/>
      <c r="K196" s="299"/>
      <c r="L196" s="299"/>
      <c r="M196" s="299"/>
      <c r="N196" s="299"/>
      <c r="O196" s="299"/>
      <c r="P196" s="299"/>
      <c r="Q196" s="299"/>
      <c r="R196" s="299"/>
      <c r="S196" s="299"/>
      <c r="T196" s="299"/>
      <c r="U196" s="299"/>
      <c r="V196" s="299"/>
      <c r="W196" s="299"/>
      <c r="X196" s="299"/>
      <c r="Y196" s="299"/>
      <c r="Z196" s="299"/>
      <c r="AA196" s="299"/>
      <c r="AB196" s="299"/>
    </row>
    <row r="197" spans="1:28" ht="15.75" hidden="1" outlineLevel="1" x14ac:dyDescent="0.25">
      <c r="A197" s="291"/>
      <c r="B197" s="291"/>
      <c r="C197" s="291"/>
      <c r="D197" s="291"/>
      <c r="E197" s="291"/>
      <c r="F197" s="291"/>
      <c r="G197" s="291"/>
      <c r="H197" s="291"/>
      <c r="I197" s="291"/>
      <c r="J197" s="291"/>
      <c r="K197" s="291">
        <f>K$2</f>
        <v>1</v>
      </c>
      <c r="L197" s="291">
        <f>L$2</f>
        <v>1</v>
      </c>
      <c r="M197" s="291"/>
      <c r="N197" s="291"/>
      <c r="O197" s="303"/>
      <c r="P197" s="303"/>
      <c r="Q197" s="303"/>
      <c r="R197" s="291"/>
      <c r="S197" s="291"/>
      <c r="T197" s="291"/>
      <c r="U197" s="291">
        <f>U$2</f>
        <v>1</v>
      </c>
      <c r="V197" s="291">
        <f>V$2</f>
        <v>1</v>
      </c>
      <c r="W197" s="291">
        <f t="shared" ref="W197:AB197" si="71">W$2</f>
        <v>1</v>
      </c>
      <c r="X197" s="291">
        <f t="shared" si="71"/>
        <v>1</v>
      </c>
      <c r="Y197" s="291">
        <f t="shared" si="71"/>
        <v>1</v>
      </c>
      <c r="Z197" s="291">
        <f t="shared" si="71"/>
        <v>1</v>
      </c>
      <c r="AA197" s="291">
        <f t="shared" si="71"/>
        <v>1</v>
      </c>
      <c r="AB197" s="291">
        <f t="shared" si="71"/>
        <v>1</v>
      </c>
    </row>
    <row r="198" spans="1:28" s="305" customFormat="1" hidden="1" outlineLevel="1" x14ac:dyDescent="0.25">
      <c r="A198" s="278"/>
      <c r="B198" s="279" t="str">
        <f>C198&amp;D198&amp;E198&amp;F198</f>
        <v/>
      </c>
      <c r="C198" s="278"/>
      <c r="D198" s="278"/>
      <c r="E198" s="278"/>
      <c r="F198" s="278"/>
      <c r="G198" s="278"/>
      <c r="H198" s="290"/>
      <c r="I198" s="280">
        <f>$I$2*H198</f>
        <v>0</v>
      </c>
      <c r="J198" s="281">
        <f>$J$2*H198</f>
        <v>0</v>
      </c>
      <c r="K198" s="282">
        <f>IF(Notes!$B$9="Domestic",I198, IF(Notes!$B$9="Commercial",J198))*$K$197</f>
        <v>0</v>
      </c>
      <c r="L198" s="283">
        <f>IF(SUM(O198:Q198)=0,0,(SUM(O198:Q198)+(K198+SUM(M198:Q198))*(INDEX($U$197:$AB$197,MATCH(Notes!$C$16,$U$3:$AB$3,0))-100%))*$L$197)</f>
        <v>0</v>
      </c>
      <c r="M198" s="286"/>
      <c r="N198" s="286"/>
      <c r="O198" s="285"/>
      <c r="P198" s="285"/>
      <c r="Q198" s="285"/>
      <c r="R198" s="278"/>
      <c r="S198" s="278"/>
      <c r="T198" s="278"/>
    </row>
    <row r="199" spans="1:28" s="305" customFormat="1" hidden="1" outlineLevel="1" x14ac:dyDescent="0.25">
      <c r="A199" s="278"/>
      <c r="B199" s="279" t="str">
        <f t="shared" ref="B199:B207" si="72">C199&amp;D199&amp;E199&amp;F199</f>
        <v/>
      </c>
      <c r="C199" s="278"/>
      <c r="D199" s="278"/>
      <c r="E199" s="278"/>
      <c r="F199" s="278"/>
      <c r="G199" s="278"/>
      <c r="H199" s="290"/>
      <c r="I199" s="280">
        <f t="shared" ref="I199:I201" si="73">$I$2*H199</f>
        <v>0</v>
      </c>
      <c r="J199" s="281">
        <f t="shared" ref="J199:J207" si="74">$J$2*H199</f>
        <v>0</v>
      </c>
      <c r="K199" s="282">
        <f>IF(Notes!$B$9="Domestic",I199, IF(Notes!$B$9="Commercial",J199))*$K$197</f>
        <v>0</v>
      </c>
      <c r="L199" s="283">
        <f>IF(SUM(O199:Q199)=0,0,(SUM(O199:Q199)+(K199+SUM(M199:Q199))*(INDEX($U$197:$AB$197,MATCH(Notes!$C$16,$U$3:$AB$3,0))-100%))*$L$197)</f>
        <v>0</v>
      </c>
      <c r="M199" s="286"/>
      <c r="N199" s="286"/>
      <c r="O199" s="285"/>
      <c r="P199" s="285"/>
      <c r="Q199" s="285"/>
      <c r="R199" s="278"/>
      <c r="S199" s="278"/>
      <c r="T199" s="278"/>
    </row>
    <row r="200" spans="1:28" s="305" customFormat="1" hidden="1" outlineLevel="1" x14ac:dyDescent="0.25">
      <c r="A200" s="278"/>
      <c r="B200" s="279" t="str">
        <f t="shared" si="72"/>
        <v/>
      </c>
      <c r="C200" s="278"/>
      <c r="D200" s="278"/>
      <c r="E200" s="278"/>
      <c r="F200" s="278"/>
      <c r="G200" s="278"/>
      <c r="H200" s="290"/>
      <c r="I200" s="280">
        <f t="shared" si="73"/>
        <v>0</v>
      </c>
      <c r="J200" s="281">
        <f t="shared" si="74"/>
        <v>0</v>
      </c>
      <c r="K200" s="282">
        <f>IF(Notes!$B$9="Domestic",I200, IF(Notes!$B$9="Commercial",J200))*$K$197</f>
        <v>0</v>
      </c>
      <c r="L200" s="283">
        <f>IF(SUM(O200:Q200)=0,0,(SUM(O200:Q200)+(K200+SUM(M200:Q200))*(INDEX($U$197:$AB$197,MATCH(Notes!$C$16,$U$3:$AB$3,0))-100%))*$L$197)</f>
        <v>0</v>
      </c>
      <c r="M200" s="286"/>
      <c r="N200" s="286"/>
      <c r="O200" s="285"/>
      <c r="P200" s="285"/>
      <c r="Q200" s="285"/>
      <c r="R200" s="278"/>
      <c r="S200" s="278"/>
      <c r="T200" s="278"/>
    </row>
    <row r="201" spans="1:28" s="305" customFormat="1" hidden="1" outlineLevel="1" x14ac:dyDescent="0.25">
      <c r="A201" s="278"/>
      <c r="B201" s="279" t="str">
        <f t="shared" si="72"/>
        <v/>
      </c>
      <c r="C201" s="278"/>
      <c r="D201" s="278"/>
      <c r="E201" s="278"/>
      <c r="F201" s="278"/>
      <c r="G201" s="278"/>
      <c r="H201" s="290"/>
      <c r="I201" s="280">
        <f t="shared" si="73"/>
        <v>0</v>
      </c>
      <c r="J201" s="281">
        <f t="shared" si="74"/>
        <v>0</v>
      </c>
      <c r="K201" s="282">
        <f>IF(Notes!$B$9="Domestic",I201, IF(Notes!$B$9="Commercial",J201))*$K$197</f>
        <v>0</v>
      </c>
      <c r="L201" s="283">
        <f>IF(SUM(O201:Q201)=0,0,(SUM(O201:Q201)+(K201+SUM(M201:Q201))*(INDEX($U$197:$AB$197,MATCH(Notes!$C$16,$U$3:$AB$3,0))-100%))*$L$197)</f>
        <v>0</v>
      </c>
      <c r="M201" s="286"/>
      <c r="N201" s="286"/>
      <c r="O201" s="285"/>
      <c r="P201" s="285"/>
      <c r="Q201" s="285"/>
      <c r="R201" s="278"/>
      <c r="S201" s="278"/>
      <c r="T201" s="278"/>
    </row>
    <row r="202" spans="1:28" s="305" customFormat="1" hidden="1" outlineLevel="1" x14ac:dyDescent="0.25">
      <c r="A202" s="278"/>
      <c r="B202" s="279" t="str">
        <f t="shared" si="72"/>
        <v/>
      </c>
      <c r="C202" s="278"/>
      <c r="D202" s="278"/>
      <c r="E202" s="278"/>
      <c r="F202" s="278"/>
      <c r="G202" s="278"/>
      <c r="H202" s="290"/>
      <c r="I202" s="280">
        <f>$I$2*H202</f>
        <v>0</v>
      </c>
      <c r="J202" s="281">
        <f t="shared" si="74"/>
        <v>0</v>
      </c>
      <c r="K202" s="282">
        <f>IF(Notes!$B$9="Domestic",I202, IF(Notes!$B$9="Commercial",J202))*$K$197</f>
        <v>0</v>
      </c>
      <c r="L202" s="283">
        <f>IF(SUM(O202:Q202)=0,0,(SUM(O202:Q202)+(K202+SUM(M202:Q202))*(INDEX($U$197:$AB$197,MATCH(Notes!$C$16,$U$3:$AB$3,0))-100%))*$L$197)</f>
        <v>0</v>
      </c>
      <c r="M202" s="286"/>
      <c r="N202" s="286"/>
      <c r="O202" s="285"/>
      <c r="P202" s="285"/>
      <c r="Q202" s="285"/>
      <c r="R202" s="278"/>
      <c r="S202" s="278"/>
      <c r="T202" s="278"/>
    </row>
    <row r="203" spans="1:28" s="305" customFormat="1" hidden="1" outlineLevel="1" x14ac:dyDescent="0.25">
      <c r="A203" s="278"/>
      <c r="B203" s="279" t="str">
        <f t="shared" si="72"/>
        <v/>
      </c>
      <c r="C203" s="278"/>
      <c r="D203" s="278"/>
      <c r="E203" s="278"/>
      <c r="F203" s="278"/>
      <c r="G203" s="278"/>
      <c r="H203" s="290"/>
      <c r="I203" s="280">
        <f t="shared" ref="I203:I207" si="75">$I$2*H203</f>
        <v>0</v>
      </c>
      <c r="J203" s="281">
        <f t="shared" si="74"/>
        <v>0</v>
      </c>
      <c r="K203" s="282">
        <f>IF(Notes!$B$9="Domestic",I203, IF(Notes!$B$9="Commercial",J203))*$K$197</f>
        <v>0</v>
      </c>
      <c r="L203" s="283">
        <f>IF(SUM(O203:Q203)=0,0,(SUM(O203:Q203)+(K203+SUM(M203:Q203))*(INDEX($U$197:$AB$197,MATCH(Notes!$C$16,$U$3:$AB$3,0))-100%))*$L$197)</f>
        <v>0</v>
      </c>
      <c r="M203" s="286"/>
      <c r="N203" s="286"/>
      <c r="O203" s="285"/>
      <c r="P203" s="285"/>
      <c r="Q203" s="285"/>
      <c r="R203" s="278"/>
      <c r="S203" s="278"/>
      <c r="T203" s="278"/>
    </row>
    <row r="204" spans="1:28" s="305" customFormat="1" hidden="1" outlineLevel="1" x14ac:dyDescent="0.25">
      <c r="A204" s="278"/>
      <c r="B204" s="279" t="str">
        <f t="shared" si="72"/>
        <v/>
      </c>
      <c r="C204" s="278"/>
      <c r="D204" s="278"/>
      <c r="E204" s="278"/>
      <c r="F204" s="278"/>
      <c r="G204" s="278"/>
      <c r="H204" s="290"/>
      <c r="I204" s="280">
        <f t="shared" si="75"/>
        <v>0</v>
      </c>
      <c r="J204" s="281">
        <f t="shared" si="74"/>
        <v>0</v>
      </c>
      <c r="K204" s="282">
        <f>IF(Notes!$B$9="Domestic",I204, IF(Notes!$B$9="Commercial",J204))*$K$197</f>
        <v>0</v>
      </c>
      <c r="L204" s="283">
        <f>IF(SUM(O204:Q204)=0,0,(SUM(O204:Q204)+(K204+SUM(M204:Q204))*(INDEX($U$197:$AB$197,MATCH(Notes!$C$16,$U$3:$AB$3,0))-100%))*$L$197)</f>
        <v>0</v>
      </c>
      <c r="M204" s="286"/>
      <c r="N204" s="286"/>
      <c r="O204" s="285"/>
      <c r="P204" s="285"/>
      <c r="Q204" s="285"/>
      <c r="R204" s="278"/>
      <c r="S204" s="278"/>
      <c r="T204" s="278"/>
    </row>
    <row r="205" spans="1:28" s="305" customFormat="1" hidden="1" outlineLevel="1" x14ac:dyDescent="0.25">
      <c r="A205" s="278"/>
      <c r="B205" s="279" t="str">
        <f t="shared" si="72"/>
        <v/>
      </c>
      <c r="C205" s="278"/>
      <c r="D205" s="278"/>
      <c r="E205" s="278"/>
      <c r="F205" s="278"/>
      <c r="G205" s="278"/>
      <c r="H205" s="290"/>
      <c r="I205" s="280">
        <f t="shared" si="75"/>
        <v>0</v>
      </c>
      <c r="J205" s="281">
        <f t="shared" si="74"/>
        <v>0</v>
      </c>
      <c r="K205" s="282">
        <f>IF(Notes!$B$9="Domestic",I205, IF(Notes!$B$9="Commercial",J205))*$K$197</f>
        <v>0</v>
      </c>
      <c r="L205" s="283">
        <f>IF(SUM(O205:Q205)=0,0,(SUM(O205:Q205)+(K205+SUM(M205:Q205))*(INDEX($U$197:$AB$197,MATCH(Notes!$C$16,$U$3:$AB$3,0))-100%))*$L$197)</f>
        <v>0</v>
      </c>
      <c r="M205" s="286"/>
      <c r="N205" s="286"/>
      <c r="O205" s="285"/>
      <c r="P205" s="285"/>
      <c r="Q205" s="285"/>
      <c r="R205" s="278"/>
      <c r="S205" s="278"/>
      <c r="T205" s="278"/>
    </row>
    <row r="206" spans="1:28" s="305" customFormat="1" hidden="1" outlineLevel="1" x14ac:dyDescent="0.25">
      <c r="A206" s="278"/>
      <c r="B206" s="279" t="str">
        <f t="shared" si="72"/>
        <v/>
      </c>
      <c r="C206" s="278"/>
      <c r="D206" s="278"/>
      <c r="E206" s="278"/>
      <c r="F206" s="278"/>
      <c r="G206" s="278"/>
      <c r="H206" s="290"/>
      <c r="I206" s="280">
        <f t="shared" si="75"/>
        <v>0</v>
      </c>
      <c r="J206" s="281">
        <f t="shared" si="74"/>
        <v>0</v>
      </c>
      <c r="K206" s="282">
        <f>IF(Notes!$B$9="Domestic",I206, IF(Notes!$B$9="Commercial",J206))*$K$197</f>
        <v>0</v>
      </c>
      <c r="L206" s="283">
        <f>IF(SUM(O206:Q206)=0,0,(SUM(O206:Q206)+(K206+SUM(M206:Q206))*(INDEX($U$197:$AB$197,MATCH(Notes!$C$16,$U$3:$AB$3,0))-100%))*$L$197)</f>
        <v>0</v>
      </c>
      <c r="M206" s="286"/>
      <c r="N206" s="286"/>
      <c r="O206" s="285"/>
      <c r="P206" s="285"/>
      <c r="Q206" s="285"/>
      <c r="R206" s="278"/>
      <c r="S206" s="278"/>
      <c r="T206" s="278"/>
    </row>
    <row r="207" spans="1:28" s="305" customFormat="1" hidden="1" outlineLevel="1" x14ac:dyDescent="0.25">
      <c r="A207" s="278"/>
      <c r="B207" s="279" t="str">
        <f t="shared" si="72"/>
        <v/>
      </c>
      <c r="C207" s="278"/>
      <c r="D207" s="278"/>
      <c r="E207" s="278"/>
      <c r="F207" s="278"/>
      <c r="G207" s="278"/>
      <c r="H207" s="290"/>
      <c r="I207" s="280">
        <f t="shared" si="75"/>
        <v>0</v>
      </c>
      <c r="J207" s="281">
        <f t="shared" si="74"/>
        <v>0</v>
      </c>
      <c r="K207" s="282">
        <f>IF(Notes!$B$9="Domestic",I207, IF(Notes!$B$9="Commercial",J207))*$K$197</f>
        <v>0</v>
      </c>
      <c r="L207" s="283">
        <f>IF(SUM(O207:Q207)=0,0,(SUM(O207:Q207)+(K207+SUM(M207:Q207))*(INDEX($U$197:$AB$197,MATCH(Notes!$C$16,$U$3:$AB$3,0))-100%))*$L$197)</f>
        <v>0</v>
      </c>
      <c r="M207" s="286"/>
      <c r="N207" s="286"/>
      <c r="O207" s="285"/>
      <c r="P207" s="285"/>
      <c r="Q207" s="285"/>
      <c r="R207" s="278"/>
      <c r="S207" s="278"/>
      <c r="T207" s="278"/>
    </row>
    <row r="208" spans="1:28" ht="21" hidden="1" outlineLevel="1" x14ac:dyDescent="0.25">
      <c r="A208" s="299"/>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row>
    <row r="209" spans="1:28" ht="15.75" hidden="1" outlineLevel="1" x14ac:dyDescent="0.25">
      <c r="A209" s="291"/>
      <c r="B209" s="291"/>
      <c r="C209" s="291"/>
      <c r="D209" s="291"/>
      <c r="E209" s="291"/>
      <c r="F209" s="291"/>
      <c r="G209" s="291"/>
      <c r="H209" s="291"/>
      <c r="I209" s="291"/>
      <c r="J209" s="291"/>
      <c r="K209" s="291">
        <f>K$2</f>
        <v>1</v>
      </c>
      <c r="L209" s="291">
        <f>L$2</f>
        <v>1</v>
      </c>
      <c r="M209" s="291"/>
      <c r="N209" s="291"/>
      <c r="O209" s="303"/>
      <c r="P209" s="303"/>
      <c r="Q209" s="303"/>
      <c r="R209" s="291"/>
      <c r="S209" s="291"/>
      <c r="T209" s="291"/>
      <c r="U209" s="291">
        <f>U$2</f>
        <v>1</v>
      </c>
      <c r="V209" s="291">
        <f>V$2</f>
        <v>1</v>
      </c>
      <c r="W209" s="291">
        <f t="shared" ref="W209:AB209" si="76">W$2</f>
        <v>1</v>
      </c>
      <c r="X209" s="291">
        <f t="shared" si="76"/>
        <v>1</v>
      </c>
      <c r="Y209" s="291">
        <f t="shared" si="76"/>
        <v>1</v>
      </c>
      <c r="Z209" s="291">
        <f t="shared" si="76"/>
        <v>1</v>
      </c>
      <c r="AA209" s="291">
        <f t="shared" si="76"/>
        <v>1</v>
      </c>
      <c r="AB209" s="291">
        <f t="shared" si="76"/>
        <v>1</v>
      </c>
    </row>
    <row r="210" spans="1:28" s="305" customFormat="1" hidden="1" outlineLevel="1" x14ac:dyDescent="0.25">
      <c r="A210" s="278"/>
      <c r="B210" s="279" t="str">
        <f>C210&amp;D210&amp;E210&amp;F210</f>
        <v/>
      </c>
      <c r="C210" s="278"/>
      <c r="D210" s="278"/>
      <c r="E210" s="278"/>
      <c r="F210" s="278"/>
      <c r="G210" s="278"/>
      <c r="H210" s="290"/>
      <c r="I210" s="280">
        <f>$I$2*H210</f>
        <v>0</v>
      </c>
      <c r="J210" s="281">
        <f>$J$2*H210</f>
        <v>0</v>
      </c>
      <c r="K210" s="282">
        <f>IF(Notes!$B$9="Domestic",I210, IF(Notes!$B$9="Commercial",J210))*$K$209</f>
        <v>0</v>
      </c>
      <c r="L210" s="283">
        <f>IF(SUM(O210:Q210)=0,0,(SUM(O210:Q210)+(K210+SUM(M210:Q210))*(INDEX($U$209:$AB$209,MATCH(Notes!$C$16,$U$3:$AB$3,0))-100%))*$L$209)</f>
        <v>0</v>
      </c>
      <c r="M210" s="286"/>
      <c r="N210" s="286"/>
      <c r="O210" s="285"/>
      <c r="P210" s="285"/>
      <c r="Q210" s="285"/>
      <c r="R210" s="278"/>
      <c r="S210" s="278"/>
      <c r="T210" s="278"/>
    </row>
    <row r="211" spans="1:28" s="305" customFormat="1" hidden="1" outlineLevel="1" x14ac:dyDescent="0.25">
      <c r="A211" s="278"/>
      <c r="B211" s="279" t="str">
        <f t="shared" ref="B211:B219" si="77">C211&amp;D211&amp;E211&amp;F211</f>
        <v/>
      </c>
      <c r="C211" s="278"/>
      <c r="D211" s="278"/>
      <c r="E211" s="278"/>
      <c r="F211" s="278"/>
      <c r="G211" s="278"/>
      <c r="H211" s="290"/>
      <c r="I211" s="280">
        <f t="shared" ref="I211:I213" si="78">$I$2*H211</f>
        <v>0</v>
      </c>
      <c r="J211" s="281">
        <f t="shared" ref="J211:J219" si="79">$J$2*H211</f>
        <v>0</v>
      </c>
      <c r="K211" s="282">
        <f>IF(Notes!$B$9="Domestic",I211, IF(Notes!$B$9="Commercial",J211))*$K$209</f>
        <v>0</v>
      </c>
      <c r="L211" s="283">
        <f>IF(SUM(O211:Q211)=0,0,(SUM(O211:Q211)+(K211+SUM(M211:Q211))*(INDEX($U$209:$AB$209,MATCH(Notes!$C$16,$U$3:$AB$3,0))-100%))*$L$209)</f>
        <v>0</v>
      </c>
      <c r="M211" s="286"/>
      <c r="N211" s="286"/>
      <c r="O211" s="285"/>
      <c r="P211" s="285"/>
      <c r="Q211" s="285"/>
      <c r="R211" s="278"/>
      <c r="S211" s="278"/>
      <c r="T211" s="278"/>
    </row>
    <row r="212" spans="1:28" s="305" customFormat="1" hidden="1" outlineLevel="1" x14ac:dyDescent="0.25">
      <c r="A212" s="278"/>
      <c r="B212" s="279" t="str">
        <f t="shared" si="77"/>
        <v/>
      </c>
      <c r="C212" s="278"/>
      <c r="D212" s="278"/>
      <c r="E212" s="278"/>
      <c r="F212" s="278"/>
      <c r="G212" s="278"/>
      <c r="H212" s="290"/>
      <c r="I212" s="280">
        <f t="shared" si="78"/>
        <v>0</v>
      </c>
      <c r="J212" s="281">
        <f t="shared" si="79"/>
        <v>0</v>
      </c>
      <c r="K212" s="282">
        <f>IF(Notes!$B$9="Domestic",I212, IF(Notes!$B$9="Commercial",J212))*$K$209</f>
        <v>0</v>
      </c>
      <c r="L212" s="283">
        <f>IF(SUM(O212:Q212)=0,0,(SUM(O212:Q212)+(K212+SUM(M212:Q212))*(INDEX($U$209:$AB$209,MATCH(Notes!$C$16,$U$3:$AB$3,0))-100%))*$L$209)</f>
        <v>0</v>
      </c>
      <c r="M212" s="286"/>
      <c r="N212" s="286"/>
      <c r="O212" s="285"/>
      <c r="P212" s="285"/>
      <c r="Q212" s="285"/>
      <c r="R212" s="278"/>
      <c r="S212" s="278"/>
      <c r="T212" s="278"/>
    </row>
    <row r="213" spans="1:28" s="305" customFormat="1" hidden="1" outlineLevel="1" x14ac:dyDescent="0.25">
      <c r="A213" s="278"/>
      <c r="B213" s="279" t="str">
        <f t="shared" si="77"/>
        <v/>
      </c>
      <c r="C213" s="278"/>
      <c r="D213" s="278"/>
      <c r="E213" s="278"/>
      <c r="F213" s="278"/>
      <c r="G213" s="278"/>
      <c r="H213" s="290"/>
      <c r="I213" s="280">
        <f t="shared" si="78"/>
        <v>0</v>
      </c>
      <c r="J213" s="281">
        <f t="shared" si="79"/>
        <v>0</v>
      </c>
      <c r="K213" s="282">
        <f>IF(Notes!$B$9="Domestic",I213, IF(Notes!$B$9="Commercial",J213))*$K$209</f>
        <v>0</v>
      </c>
      <c r="L213" s="283">
        <f>IF(SUM(O213:Q213)=0,0,(SUM(O213:Q213)+(K213+SUM(M213:Q213))*(INDEX($U$209:$AB$209,MATCH(Notes!$C$16,$U$3:$AB$3,0))-100%))*$L$209)</f>
        <v>0</v>
      </c>
      <c r="M213" s="286"/>
      <c r="N213" s="286"/>
      <c r="O213" s="285"/>
      <c r="P213" s="285"/>
      <c r="Q213" s="285"/>
      <c r="R213" s="278"/>
      <c r="S213" s="278"/>
      <c r="T213" s="278"/>
    </row>
    <row r="214" spans="1:28" s="305" customFormat="1" hidden="1" outlineLevel="1" x14ac:dyDescent="0.25">
      <c r="A214" s="278"/>
      <c r="B214" s="279" t="str">
        <f t="shared" si="77"/>
        <v/>
      </c>
      <c r="C214" s="278"/>
      <c r="D214" s="278"/>
      <c r="E214" s="278"/>
      <c r="F214" s="278"/>
      <c r="G214" s="278"/>
      <c r="H214" s="290"/>
      <c r="I214" s="280">
        <f>$I$2*H214</f>
        <v>0</v>
      </c>
      <c r="J214" s="281">
        <f t="shared" si="79"/>
        <v>0</v>
      </c>
      <c r="K214" s="282">
        <f>IF(Notes!$B$9="Domestic",I214, IF(Notes!$B$9="Commercial",J214))*$K$209</f>
        <v>0</v>
      </c>
      <c r="L214" s="283">
        <f>IF(SUM(O214:Q214)=0,0,(SUM(O214:Q214)+(K214+SUM(M214:Q214))*(INDEX($U$209:$AB$209,MATCH(Notes!$C$16,$U$3:$AB$3,0))-100%))*$L$209)</f>
        <v>0</v>
      </c>
      <c r="M214" s="286"/>
      <c r="N214" s="286"/>
      <c r="O214" s="285"/>
      <c r="P214" s="285"/>
      <c r="Q214" s="285"/>
      <c r="R214" s="278"/>
      <c r="S214" s="278"/>
      <c r="T214" s="278"/>
    </row>
    <row r="215" spans="1:28" s="305" customFormat="1" hidden="1" outlineLevel="1" x14ac:dyDescent="0.25">
      <c r="A215" s="278"/>
      <c r="B215" s="279" t="str">
        <f t="shared" si="77"/>
        <v/>
      </c>
      <c r="C215" s="278"/>
      <c r="D215" s="278"/>
      <c r="E215" s="278"/>
      <c r="F215" s="278"/>
      <c r="G215" s="278"/>
      <c r="H215" s="290"/>
      <c r="I215" s="280">
        <f t="shared" ref="I215:I219" si="80">$I$2*H215</f>
        <v>0</v>
      </c>
      <c r="J215" s="281">
        <f t="shared" si="79"/>
        <v>0</v>
      </c>
      <c r="K215" s="282">
        <f>IF(Notes!$B$9="Domestic",I215, IF(Notes!$B$9="Commercial",J215))*$K$209</f>
        <v>0</v>
      </c>
      <c r="L215" s="283">
        <f>IF(SUM(O215:Q215)=0,0,(SUM(O215:Q215)+(K215+SUM(M215:Q215))*(INDEX($U$209:$AB$209,MATCH(Notes!$C$16,$U$3:$AB$3,0))-100%))*$L$209)</f>
        <v>0</v>
      </c>
      <c r="M215" s="286"/>
      <c r="N215" s="286"/>
      <c r="O215" s="285"/>
      <c r="P215" s="285"/>
      <c r="Q215" s="285"/>
      <c r="R215" s="278"/>
      <c r="S215" s="278"/>
      <c r="T215" s="278"/>
    </row>
    <row r="216" spans="1:28" s="305" customFormat="1" hidden="1" outlineLevel="1" x14ac:dyDescent="0.25">
      <c r="A216" s="278"/>
      <c r="B216" s="279" t="str">
        <f t="shared" si="77"/>
        <v/>
      </c>
      <c r="C216" s="278"/>
      <c r="D216" s="278"/>
      <c r="E216" s="278"/>
      <c r="F216" s="278"/>
      <c r="G216" s="278"/>
      <c r="H216" s="290"/>
      <c r="I216" s="280">
        <f t="shared" si="80"/>
        <v>0</v>
      </c>
      <c r="J216" s="281">
        <f t="shared" si="79"/>
        <v>0</v>
      </c>
      <c r="K216" s="282">
        <f>IF(Notes!$B$9="Domestic",I216, IF(Notes!$B$9="Commercial",J216))*$K$209</f>
        <v>0</v>
      </c>
      <c r="L216" s="283">
        <f>IF(SUM(O216:Q216)=0,0,(SUM(O216:Q216)+(K216+SUM(M216:Q216))*(INDEX($U$209:$AB$209,MATCH(Notes!$C$16,$U$3:$AB$3,0))-100%))*$L$209)</f>
        <v>0</v>
      </c>
      <c r="M216" s="286"/>
      <c r="N216" s="286"/>
      <c r="O216" s="285"/>
      <c r="P216" s="285"/>
      <c r="Q216" s="285"/>
      <c r="R216" s="278"/>
      <c r="S216" s="278"/>
      <c r="T216" s="278"/>
    </row>
    <row r="217" spans="1:28" s="305" customFormat="1" hidden="1" outlineLevel="1" x14ac:dyDescent="0.25">
      <c r="A217" s="278"/>
      <c r="B217" s="279" t="str">
        <f t="shared" si="77"/>
        <v/>
      </c>
      <c r="C217" s="278"/>
      <c r="D217" s="278"/>
      <c r="E217" s="278"/>
      <c r="F217" s="278"/>
      <c r="G217" s="278"/>
      <c r="H217" s="290"/>
      <c r="I217" s="280">
        <f t="shared" si="80"/>
        <v>0</v>
      </c>
      <c r="J217" s="281">
        <f t="shared" si="79"/>
        <v>0</v>
      </c>
      <c r="K217" s="282">
        <f>IF(Notes!$B$9="Domestic",I217, IF(Notes!$B$9="Commercial",J217))*$K$209</f>
        <v>0</v>
      </c>
      <c r="L217" s="283">
        <f>IF(SUM(O217:Q217)=0,0,(SUM(O217:Q217)+(K217+SUM(M217:Q217))*(INDEX($U$209:$AB$209,MATCH(Notes!$C$16,$U$3:$AB$3,0))-100%))*$L$209)</f>
        <v>0</v>
      </c>
      <c r="M217" s="286"/>
      <c r="N217" s="286"/>
      <c r="O217" s="285"/>
      <c r="P217" s="285"/>
      <c r="Q217" s="285"/>
      <c r="R217" s="278"/>
      <c r="S217" s="278"/>
      <c r="T217" s="278"/>
    </row>
    <row r="218" spans="1:28" s="305" customFormat="1" hidden="1" outlineLevel="1" x14ac:dyDescent="0.25">
      <c r="A218" s="278"/>
      <c r="B218" s="279" t="str">
        <f t="shared" si="77"/>
        <v/>
      </c>
      <c r="C218" s="278"/>
      <c r="D218" s="278"/>
      <c r="E218" s="278"/>
      <c r="F218" s="278"/>
      <c r="G218" s="278"/>
      <c r="H218" s="290"/>
      <c r="I218" s="280">
        <f t="shared" si="80"/>
        <v>0</v>
      </c>
      <c r="J218" s="281">
        <f t="shared" si="79"/>
        <v>0</v>
      </c>
      <c r="K218" s="282">
        <f>IF(Notes!$B$9="Domestic",I218, IF(Notes!$B$9="Commercial",J218))*$K$209</f>
        <v>0</v>
      </c>
      <c r="L218" s="283">
        <f>IF(SUM(O218:Q218)=0,0,(SUM(O218:Q218)+(K218+SUM(M218:Q218))*(INDEX($U$209:$AB$209,MATCH(Notes!$C$16,$U$3:$AB$3,0))-100%))*$L$209)</f>
        <v>0</v>
      </c>
      <c r="M218" s="286"/>
      <c r="N218" s="286"/>
      <c r="O218" s="285"/>
      <c r="P218" s="285"/>
      <c r="Q218" s="285"/>
      <c r="R218" s="278"/>
      <c r="S218" s="278"/>
      <c r="T218" s="278"/>
    </row>
    <row r="219" spans="1:28" s="305" customFormat="1" hidden="1" outlineLevel="1" x14ac:dyDescent="0.25">
      <c r="A219" s="278"/>
      <c r="B219" s="279" t="str">
        <f t="shared" si="77"/>
        <v/>
      </c>
      <c r="C219" s="278"/>
      <c r="D219" s="278"/>
      <c r="E219" s="278"/>
      <c r="F219" s="278"/>
      <c r="G219" s="278"/>
      <c r="H219" s="290"/>
      <c r="I219" s="280">
        <f t="shared" si="80"/>
        <v>0</v>
      </c>
      <c r="J219" s="281">
        <f t="shared" si="79"/>
        <v>0</v>
      </c>
      <c r="K219" s="282">
        <f>IF(Notes!$B$9="Domestic",I219, IF(Notes!$B$9="Commercial",J219))*$K$209</f>
        <v>0</v>
      </c>
      <c r="L219" s="283">
        <f>IF(SUM(O219:Q219)=0,0,(SUM(O219:Q219)+(K219+SUM(M219:Q219))*(INDEX($U$209:$AB$209,MATCH(Notes!$C$16,$U$3:$AB$3,0))-100%))*$L$209)</f>
        <v>0</v>
      </c>
      <c r="M219" s="286"/>
      <c r="N219" s="286"/>
      <c r="O219" s="285"/>
      <c r="P219" s="285"/>
      <c r="Q219" s="285"/>
      <c r="R219" s="278"/>
      <c r="S219" s="278"/>
      <c r="T219" s="278"/>
    </row>
    <row r="220" spans="1:28" ht="21" hidden="1" outlineLevel="1" x14ac:dyDescent="0.25">
      <c r="A220" s="299"/>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row>
    <row r="221" spans="1:28" ht="15.75" hidden="1" outlineLevel="1" x14ac:dyDescent="0.25">
      <c r="A221" s="291"/>
      <c r="B221" s="291"/>
      <c r="C221" s="291"/>
      <c r="D221" s="291"/>
      <c r="E221" s="291"/>
      <c r="F221" s="291"/>
      <c r="G221" s="291"/>
      <c r="H221" s="291"/>
      <c r="I221" s="291"/>
      <c r="J221" s="291"/>
      <c r="K221" s="291">
        <f>K$2</f>
        <v>1</v>
      </c>
      <c r="L221" s="291">
        <f>L$2</f>
        <v>1</v>
      </c>
      <c r="M221" s="291"/>
      <c r="N221" s="291"/>
      <c r="O221" s="303"/>
      <c r="P221" s="303"/>
      <c r="Q221" s="303"/>
      <c r="R221" s="291"/>
      <c r="S221" s="291"/>
      <c r="T221" s="291"/>
      <c r="U221" s="291">
        <f>U$2</f>
        <v>1</v>
      </c>
      <c r="V221" s="291">
        <f>V$2</f>
        <v>1</v>
      </c>
      <c r="W221" s="291">
        <f t="shared" ref="W221:AB221" si="81">W$2</f>
        <v>1</v>
      </c>
      <c r="X221" s="291">
        <f t="shared" si="81"/>
        <v>1</v>
      </c>
      <c r="Y221" s="291">
        <f t="shared" si="81"/>
        <v>1</v>
      </c>
      <c r="Z221" s="291">
        <f t="shared" si="81"/>
        <v>1</v>
      </c>
      <c r="AA221" s="291">
        <f t="shared" si="81"/>
        <v>1</v>
      </c>
      <c r="AB221" s="291">
        <f t="shared" si="81"/>
        <v>1</v>
      </c>
    </row>
    <row r="222" spans="1:28" s="305" customFormat="1" hidden="1" outlineLevel="1" x14ac:dyDescent="0.25">
      <c r="A222" s="278"/>
      <c r="B222" s="279" t="str">
        <f>C222&amp;D222&amp;E222&amp;F222</f>
        <v/>
      </c>
      <c r="C222" s="278"/>
      <c r="D222" s="278"/>
      <c r="E222" s="278"/>
      <c r="F222" s="278"/>
      <c r="G222" s="278"/>
      <c r="H222" s="290"/>
      <c r="I222" s="280">
        <f>$I$2*H222</f>
        <v>0</v>
      </c>
      <c r="J222" s="281">
        <f>$J$2*H222</f>
        <v>0</v>
      </c>
      <c r="K222" s="282">
        <f>IF(Notes!$B$9="Domestic",I222, IF(Notes!$B$9="Commercial",J222))*$K$221</f>
        <v>0</v>
      </c>
      <c r="L222" s="283">
        <f>IF(SUM(O222:Q222)=0,0,(SUM(O222:Q222)+(K222+SUM(M222:Q222))*(INDEX($U$221:$AB$221,MATCH(Notes!$C$16,$U$3:$AB$3,0))-100%))*$L$221)</f>
        <v>0</v>
      </c>
      <c r="M222" s="286"/>
      <c r="N222" s="286"/>
      <c r="O222" s="285"/>
      <c r="P222" s="285"/>
      <c r="Q222" s="285"/>
      <c r="R222" s="278"/>
      <c r="S222" s="278"/>
      <c r="T222" s="278"/>
    </row>
    <row r="223" spans="1:28" s="305" customFormat="1" hidden="1" outlineLevel="1" x14ac:dyDescent="0.25">
      <c r="A223" s="278"/>
      <c r="B223" s="279" t="str">
        <f t="shared" ref="B223:B231" si="82">C223&amp;D223&amp;E223&amp;F223</f>
        <v/>
      </c>
      <c r="C223" s="278"/>
      <c r="D223" s="278"/>
      <c r="E223" s="278"/>
      <c r="F223" s="278"/>
      <c r="G223" s="278"/>
      <c r="H223" s="290"/>
      <c r="I223" s="280">
        <f t="shared" ref="I223:I225" si="83">$I$2*H223</f>
        <v>0</v>
      </c>
      <c r="J223" s="281">
        <f t="shared" ref="J223:J231" si="84">$J$2*H223</f>
        <v>0</v>
      </c>
      <c r="K223" s="282">
        <f>IF(Notes!$B$9="Domestic",I223, IF(Notes!$B$9="Commercial",J223))*$K$221</f>
        <v>0</v>
      </c>
      <c r="L223" s="283">
        <f>IF(SUM(O223:Q223)=0,0,(SUM(O223:Q223)+(K223+SUM(M223:Q223))*(INDEX($U$221:$AB$221,MATCH(Notes!$C$16,$U$3:$AB$3,0))-100%))*$L$221)</f>
        <v>0</v>
      </c>
      <c r="M223" s="286"/>
      <c r="N223" s="286"/>
      <c r="O223" s="285"/>
      <c r="P223" s="285"/>
      <c r="Q223" s="285"/>
      <c r="R223" s="278"/>
      <c r="S223" s="278"/>
      <c r="T223" s="278"/>
    </row>
    <row r="224" spans="1:28" s="305" customFormat="1" hidden="1" outlineLevel="1" x14ac:dyDescent="0.25">
      <c r="A224" s="278"/>
      <c r="B224" s="279" t="str">
        <f t="shared" si="82"/>
        <v/>
      </c>
      <c r="C224" s="278"/>
      <c r="D224" s="278"/>
      <c r="E224" s="278"/>
      <c r="F224" s="278"/>
      <c r="G224" s="278"/>
      <c r="H224" s="290"/>
      <c r="I224" s="280">
        <f t="shared" si="83"/>
        <v>0</v>
      </c>
      <c r="J224" s="281">
        <f t="shared" si="84"/>
        <v>0</v>
      </c>
      <c r="K224" s="282">
        <f>IF(Notes!$B$9="Domestic",I224, IF(Notes!$B$9="Commercial",J224))*$K$221</f>
        <v>0</v>
      </c>
      <c r="L224" s="283">
        <f>IF(SUM(O224:Q224)=0,0,(SUM(O224:Q224)+(K224+SUM(M224:Q224))*(INDEX($U$221:$AB$221,MATCH(Notes!$C$16,$U$3:$AB$3,0))-100%))*$L$221)</f>
        <v>0</v>
      </c>
      <c r="M224" s="286"/>
      <c r="N224" s="286"/>
      <c r="O224" s="285"/>
      <c r="P224" s="285"/>
      <c r="Q224" s="285"/>
      <c r="R224" s="278"/>
      <c r="S224" s="278"/>
      <c r="T224" s="278"/>
    </row>
    <row r="225" spans="1:28" s="305" customFormat="1" hidden="1" outlineLevel="1" x14ac:dyDescent="0.25">
      <c r="A225" s="278"/>
      <c r="B225" s="279" t="str">
        <f t="shared" si="82"/>
        <v/>
      </c>
      <c r="C225" s="278"/>
      <c r="D225" s="278"/>
      <c r="E225" s="278"/>
      <c r="F225" s="278"/>
      <c r="G225" s="278"/>
      <c r="H225" s="290"/>
      <c r="I225" s="280">
        <f t="shared" si="83"/>
        <v>0</v>
      </c>
      <c r="J225" s="281">
        <f t="shared" si="84"/>
        <v>0</v>
      </c>
      <c r="K225" s="282">
        <f>IF(Notes!$B$9="Domestic",I225, IF(Notes!$B$9="Commercial",J225))*$K$221</f>
        <v>0</v>
      </c>
      <c r="L225" s="283">
        <f>IF(SUM(O225:Q225)=0,0,(SUM(O225:Q225)+(K225+SUM(M225:Q225))*(INDEX($U$221:$AB$221,MATCH(Notes!$C$16,$U$3:$AB$3,0))-100%))*$L$221)</f>
        <v>0</v>
      </c>
      <c r="M225" s="286"/>
      <c r="N225" s="286"/>
      <c r="O225" s="285"/>
      <c r="P225" s="285"/>
      <c r="Q225" s="285"/>
      <c r="R225" s="278"/>
      <c r="S225" s="278"/>
      <c r="T225" s="278"/>
    </row>
    <row r="226" spans="1:28" s="305" customFormat="1" hidden="1" outlineLevel="1" x14ac:dyDescent="0.25">
      <c r="A226" s="278"/>
      <c r="B226" s="279" t="str">
        <f t="shared" si="82"/>
        <v/>
      </c>
      <c r="C226" s="278"/>
      <c r="D226" s="278"/>
      <c r="E226" s="278"/>
      <c r="F226" s="278"/>
      <c r="G226" s="278"/>
      <c r="H226" s="290"/>
      <c r="I226" s="280">
        <f>$I$2*H226</f>
        <v>0</v>
      </c>
      <c r="J226" s="281">
        <f t="shared" si="84"/>
        <v>0</v>
      </c>
      <c r="K226" s="282">
        <f>IF(Notes!$B$9="Domestic",I226, IF(Notes!$B$9="Commercial",J226))*$K$221</f>
        <v>0</v>
      </c>
      <c r="L226" s="283">
        <f>IF(SUM(O226:Q226)=0,0,(SUM(O226:Q226)+(K226+SUM(M226:Q226))*(INDEX($U$221:$AB$221,MATCH(Notes!$C$16,$U$3:$AB$3,0))-100%))*$L$221)</f>
        <v>0</v>
      </c>
      <c r="M226" s="286"/>
      <c r="N226" s="286"/>
      <c r="O226" s="285"/>
      <c r="P226" s="285"/>
      <c r="Q226" s="285"/>
      <c r="R226" s="278"/>
      <c r="S226" s="278"/>
      <c r="T226" s="278"/>
    </row>
    <row r="227" spans="1:28" s="305" customFormat="1" hidden="1" outlineLevel="1" x14ac:dyDescent="0.25">
      <c r="A227" s="278"/>
      <c r="B227" s="279" t="str">
        <f t="shared" si="82"/>
        <v/>
      </c>
      <c r="C227" s="278"/>
      <c r="D227" s="278"/>
      <c r="E227" s="278"/>
      <c r="F227" s="278"/>
      <c r="G227" s="278"/>
      <c r="H227" s="290"/>
      <c r="I227" s="280">
        <f t="shared" ref="I227:I231" si="85">$I$2*H227</f>
        <v>0</v>
      </c>
      <c r="J227" s="281">
        <f t="shared" si="84"/>
        <v>0</v>
      </c>
      <c r="K227" s="282">
        <f>IF(Notes!$B$9="Domestic",I227, IF(Notes!$B$9="Commercial",J227))*$K$221</f>
        <v>0</v>
      </c>
      <c r="L227" s="283">
        <f>IF(SUM(O227:Q227)=0,0,(SUM(O227:Q227)+(K227+SUM(M227:Q227))*(INDEX($U$221:$AB$221,MATCH(Notes!$C$16,$U$3:$AB$3,0))-100%))*$L$221)</f>
        <v>0</v>
      </c>
      <c r="M227" s="286"/>
      <c r="N227" s="286"/>
      <c r="O227" s="285"/>
      <c r="P227" s="285"/>
      <c r="Q227" s="285"/>
      <c r="R227" s="278"/>
      <c r="S227" s="278"/>
      <c r="T227" s="278"/>
    </row>
    <row r="228" spans="1:28" s="305" customFormat="1" hidden="1" outlineLevel="1" x14ac:dyDescent="0.25">
      <c r="A228" s="278"/>
      <c r="B228" s="279" t="str">
        <f t="shared" si="82"/>
        <v/>
      </c>
      <c r="C228" s="278"/>
      <c r="D228" s="278"/>
      <c r="E228" s="278"/>
      <c r="F228" s="278"/>
      <c r="G228" s="278"/>
      <c r="H228" s="290"/>
      <c r="I228" s="280">
        <f t="shared" si="85"/>
        <v>0</v>
      </c>
      <c r="J228" s="281">
        <f t="shared" si="84"/>
        <v>0</v>
      </c>
      <c r="K228" s="282">
        <f>IF(Notes!$B$9="Domestic",I228, IF(Notes!$B$9="Commercial",J228))*$K$221</f>
        <v>0</v>
      </c>
      <c r="L228" s="283">
        <f>IF(SUM(O228:Q228)=0,0,(SUM(O228:Q228)+(K228+SUM(M228:Q228))*(INDEX($U$221:$AB$221,MATCH(Notes!$C$16,$U$3:$AB$3,0))-100%))*$L$221)</f>
        <v>0</v>
      </c>
      <c r="M228" s="286"/>
      <c r="N228" s="286"/>
      <c r="O228" s="285"/>
      <c r="P228" s="285"/>
      <c r="Q228" s="285"/>
      <c r="R228" s="278"/>
      <c r="S228" s="278"/>
      <c r="T228" s="278"/>
    </row>
    <row r="229" spans="1:28" s="305" customFormat="1" hidden="1" outlineLevel="1" x14ac:dyDescent="0.25">
      <c r="A229" s="278"/>
      <c r="B229" s="279" t="str">
        <f t="shared" si="82"/>
        <v/>
      </c>
      <c r="C229" s="278"/>
      <c r="D229" s="278"/>
      <c r="E229" s="278"/>
      <c r="F229" s="278"/>
      <c r="G229" s="278"/>
      <c r="H229" s="290"/>
      <c r="I229" s="280">
        <f t="shared" si="85"/>
        <v>0</v>
      </c>
      <c r="J229" s="281">
        <f t="shared" si="84"/>
        <v>0</v>
      </c>
      <c r="K229" s="282">
        <f>IF(Notes!$B$9="Domestic",I229, IF(Notes!$B$9="Commercial",J229))*$K$221</f>
        <v>0</v>
      </c>
      <c r="L229" s="283">
        <f>IF(SUM(O229:Q229)=0,0,(SUM(O229:Q229)+(K229+SUM(M229:Q229))*(INDEX($U$221:$AB$221,MATCH(Notes!$C$16,$U$3:$AB$3,0))-100%))*$L$221)</f>
        <v>0</v>
      </c>
      <c r="M229" s="286"/>
      <c r="N229" s="286"/>
      <c r="O229" s="285"/>
      <c r="P229" s="285"/>
      <c r="Q229" s="285"/>
      <c r="R229" s="278"/>
      <c r="S229" s="278"/>
      <c r="T229" s="278"/>
    </row>
    <row r="230" spans="1:28" s="305" customFormat="1" hidden="1" outlineLevel="1" x14ac:dyDescent="0.25">
      <c r="A230" s="278"/>
      <c r="B230" s="279" t="str">
        <f t="shared" si="82"/>
        <v/>
      </c>
      <c r="C230" s="278"/>
      <c r="D230" s="278"/>
      <c r="E230" s="278"/>
      <c r="F230" s="278"/>
      <c r="G230" s="278"/>
      <c r="H230" s="290"/>
      <c r="I230" s="280">
        <f t="shared" si="85"/>
        <v>0</v>
      </c>
      <c r="J230" s="281">
        <f t="shared" si="84"/>
        <v>0</v>
      </c>
      <c r="K230" s="282">
        <f>IF(Notes!$B$9="Domestic",I230, IF(Notes!$B$9="Commercial",J230))*$K$221</f>
        <v>0</v>
      </c>
      <c r="L230" s="283">
        <f>IF(SUM(O230:Q230)=0,0,(SUM(O230:Q230)+(K230+SUM(M230:Q230))*(INDEX($U$221:$AB$221,MATCH(Notes!$C$16,$U$3:$AB$3,0))-100%))*$L$221)</f>
        <v>0</v>
      </c>
      <c r="M230" s="286"/>
      <c r="N230" s="286"/>
      <c r="O230" s="285"/>
      <c r="P230" s="285"/>
      <c r="Q230" s="285"/>
      <c r="R230" s="278"/>
      <c r="S230" s="278"/>
      <c r="T230" s="278"/>
    </row>
    <row r="231" spans="1:28" s="305" customFormat="1" hidden="1" outlineLevel="1" x14ac:dyDescent="0.25">
      <c r="A231" s="278"/>
      <c r="B231" s="279" t="str">
        <f t="shared" si="82"/>
        <v/>
      </c>
      <c r="C231" s="278"/>
      <c r="D231" s="278"/>
      <c r="E231" s="278"/>
      <c r="F231" s="278"/>
      <c r="G231" s="278"/>
      <c r="H231" s="290"/>
      <c r="I231" s="280">
        <f t="shared" si="85"/>
        <v>0</v>
      </c>
      <c r="J231" s="281">
        <f t="shared" si="84"/>
        <v>0</v>
      </c>
      <c r="K231" s="282">
        <f>IF(Notes!$B$9="Domestic",I231, IF(Notes!$B$9="Commercial",J231))*$K$221</f>
        <v>0</v>
      </c>
      <c r="L231" s="283">
        <f>IF(SUM(O231:Q231)=0,0,(SUM(O231:Q231)+(K231+SUM(M231:Q231))*(INDEX($U$221:$AB$221,MATCH(Notes!$C$16,$U$3:$AB$3,0))-100%))*$L$221)</f>
        <v>0</v>
      </c>
      <c r="M231" s="286"/>
      <c r="N231" s="286"/>
      <c r="O231" s="285"/>
      <c r="P231" s="285"/>
      <c r="Q231" s="285"/>
      <c r="R231" s="278"/>
      <c r="S231" s="278"/>
      <c r="T231" s="278"/>
    </row>
    <row r="232" spans="1:28" ht="21" hidden="1" outlineLevel="1" x14ac:dyDescent="0.25">
      <c r="A232" s="299"/>
      <c r="B232" s="299"/>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row>
    <row r="233" spans="1:28" ht="15.75" hidden="1" outlineLevel="1" x14ac:dyDescent="0.25">
      <c r="A233" s="291"/>
      <c r="B233" s="291"/>
      <c r="C233" s="291"/>
      <c r="D233" s="291"/>
      <c r="E233" s="291"/>
      <c r="F233" s="291"/>
      <c r="G233" s="291"/>
      <c r="H233" s="291"/>
      <c r="I233" s="291"/>
      <c r="J233" s="291"/>
      <c r="K233" s="291">
        <f>K$2</f>
        <v>1</v>
      </c>
      <c r="L233" s="291">
        <f>L$2</f>
        <v>1</v>
      </c>
      <c r="M233" s="291"/>
      <c r="N233" s="291"/>
      <c r="O233" s="303"/>
      <c r="P233" s="303"/>
      <c r="Q233" s="303"/>
      <c r="R233" s="291"/>
      <c r="S233" s="291"/>
      <c r="T233" s="291"/>
      <c r="U233" s="291">
        <f>U$2</f>
        <v>1</v>
      </c>
      <c r="V233" s="291">
        <f>V$2</f>
        <v>1</v>
      </c>
      <c r="W233" s="291">
        <f t="shared" ref="W233:AB233" si="86">W$2</f>
        <v>1</v>
      </c>
      <c r="X233" s="291">
        <f t="shared" si="86"/>
        <v>1</v>
      </c>
      <c r="Y233" s="291">
        <f t="shared" si="86"/>
        <v>1</v>
      </c>
      <c r="Z233" s="291">
        <f t="shared" si="86"/>
        <v>1</v>
      </c>
      <c r="AA233" s="291">
        <f t="shared" si="86"/>
        <v>1</v>
      </c>
      <c r="AB233" s="291">
        <f t="shared" si="86"/>
        <v>1</v>
      </c>
    </row>
    <row r="234" spans="1:28" s="305" customFormat="1" hidden="1" outlineLevel="1" x14ac:dyDescent="0.25">
      <c r="A234" s="278"/>
      <c r="B234" s="279" t="str">
        <f>C234&amp;D234&amp;E234&amp;F234</f>
        <v/>
      </c>
      <c r="C234" s="278"/>
      <c r="D234" s="278"/>
      <c r="E234" s="278"/>
      <c r="F234" s="278"/>
      <c r="G234" s="278"/>
      <c r="H234" s="290"/>
      <c r="I234" s="280">
        <f>$I$2*H234</f>
        <v>0</v>
      </c>
      <c r="J234" s="281">
        <f>$J$2*H234</f>
        <v>0</v>
      </c>
      <c r="K234" s="282">
        <f>IF(Notes!$B$9="Domestic",I234, IF(Notes!$B$9="Commercial",J234))*$K$233</f>
        <v>0</v>
      </c>
      <c r="L234" s="283">
        <f>IF(SUM(O234:Q234)=0,0,(SUM(O234:Q234)+(K234+SUM(M234:Q234))*(INDEX($U$233:$AB$233,MATCH(Notes!$C$16,$U$3:$AB$3,0))-100%))*$L$233)</f>
        <v>0</v>
      </c>
      <c r="M234" s="286"/>
      <c r="N234" s="286"/>
      <c r="O234" s="285"/>
      <c r="P234" s="285"/>
      <c r="Q234" s="285"/>
      <c r="R234" s="278"/>
      <c r="S234" s="278"/>
      <c r="T234" s="278"/>
    </row>
    <row r="235" spans="1:28" s="305" customFormat="1" hidden="1" outlineLevel="1" x14ac:dyDescent="0.25">
      <c r="A235" s="278"/>
      <c r="B235" s="279" t="str">
        <f t="shared" ref="B235:B243" si="87">C235&amp;D235&amp;E235&amp;F235</f>
        <v/>
      </c>
      <c r="C235" s="278"/>
      <c r="D235" s="278"/>
      <c r="E235" s="278"/>
      <c r="F235" s="278"/>
      <c r="G235" s="278"/>
      <c r="H235" s="290"/>
      <c r="I235" s="280">
        <f t="shared" ref="I235:I243" si="88">$I$2*H235</f>
        <v>0</v>
      </c>
      <c r="J235" s="281">
        <f t="shared" ref="J235:J243" si="89">$J$2*H235</f>
        <v>0</v>
      </c>
      <c r="K235" s="282">
        <f>IF(Notes!$B$9="Domestic",I235, IF(Notes!$B$9="Commercial",J235))*$K$233</f>
        <v>0</v>
      </c>
      <c r="L235" s="283">
        <f>IF(SUM(O235:Q235)=0,0,(SUM(O235:Q235)+(K235+SUM(M235:Q235))*(INDEX($U$233:$AB$233,MATCH(Notes!$C$16,$U$3:$AB$3,0))-100%))*$L$233)</f>
        <v>0</v>
      </c>
      <c r="M235" s="286"/>
      <c r="N235" s="286"/>
      <c r="O235" s="285"/>
      <c r="P235" s="285"/>
      <c r="Q235" s="285"/>
      <c r="R235" s="278"/>
      <c r="S235" s="278"/>
      <c r="T235" s="278"/>
    </row>
    <row r="236" spans="1:28" s="305" customFormat="1" hidden="1" outlineLevel="1" x14ac:dyDescent="0.25">
      <c r="A236" s="278"/>
      <c r="B236" s="279" t="str">
        <f t="shared" si="87"/>
        <v/>
      </c>
      <c r="C236" s="278"/>
      <c r="D236" s="278"/>
      <c r="E236" s="278"/>
      <c r="F236" s="278"/>
      <c r="G236" s="278"/>
      <c r="H236" s="290"/>
      <c r="I236" s="280">
        <f t="shared" si="88"/>
        <v>0</v>
      </c>
      <c r="J236" s="281">
        <f t="shared" si="89"/>
        <v>0</v>
      </c>
      <c r="K236" s="282">
        <f>IF(Notes!$B$9="Domestic",I236, IF(Notes!$B$9="Commercial",J236))*$K$233</f>
        <v>0</v>
      </c>
      <c r="L236" s="283">
        <f>IF(SUM(O236:Q236)=0,0,(SUM(O236:Q236)+(K236+SUM(M236:Q236))*(INDEX($U$233:$AB$233,MATCH(Notes!$C$16,$U$3:$AB$3,0))-100%))*$L$233)</f>
        <v>0</v>
      </c>
      <c r="M236" s="286"/>
      <c r="N236" s="286"/>
      <c r="O236" s="285"/>
      <c r="P236" s="285"/>
      <c r="Q236" s="285"/>
      <c r="R236" s="278"/>
      <c r="S236" s="278"/>
      <c r="T236" s="278"/>
    </row>
    <row r="237" spans="1:28" s="305" customFormat="1" hidden="1" outlineLevel="1" x14ac:dyDescent="0.25">
      <c r="A237" s="278"/>
      <c r="B237" s="279" t="str">
        <f t="shared" si="87"/>
        <v/>
      </c>
      <c r="C237" s="278"/>
      <c r="D237" s="278"/>
      <c r="E237" s="278"/>
      <c r="F237" s="278"/>
      <c r="G237" s="278"/>
      <c r="H237" s="290"/>
      <c r="I237" s="280">
        <f t="shared" si="88"/>
        <v>0</v>
      </c>
      <c r="J237" s="281">
        <f t="shared" si="89"/>
        <v>0</v>
      </c>
      <c r="K237" s="282">
        <f>IF(Notes!$B$9="Domestic",I237, IF(Notes!$B$9="Commercial",J237))*$K$233</f>
        <v>0</v>
      </c>
      <c r="L237" s="283">
        <f>IF(SUM(O237:Q237)=0,0,(SUM(O237:Q237)+(K237+SUM(M237:Q237))*(INDEX($U$233:$AB$233,MATCH(Notes!$C$16,$U$3:$AB$3,0))-100%))*$L$233)</f>
        <v>0</v>
      </c>
      <c r="M237" s="286"/>
      <c r="N237" s="286"/>
      <c r="O237" s="285"/>
      <c r="P237" s="285"/>
      <c r="Q237" s="285"/>
      <c r="R237" s="278"/>
      <c r="S237" s="278"/>
      <c r="T237" s="278"/>
    </row>
    <row r="238" spans="1:28" s="305" customFormat="1" hidden="1" outlineLevel="1" x14ac:dyDescent="0.25">
      <c r="A238" s="278"/>
      <c r="B238" s="279" t="str">
        <f t="shared" si="87"/>
        <v/>
      </c>
      <c r="C238" s="278"/>
      <c r="D238" s="278"/>
      <c r="E238" s="278"/>
      <c r="F238" s="278"/>
      <c r="G238" s="278"/>
      <c r="H238" s="290"/>
      <c r="I238" s="280">
        <f>$I$2*H238</f>
        <v>0</v>
      </c>
      <c r="J238" s="281">
        <f t="shared" si="89"/>
        <v>0</v>
      </c>
      <c r="K238" s="282">
        <f>IF(Notes!$B$9="Domestic",I238, IF(Notes!$B$9="Commercial",J238))*$K$233</f>
        <v>0</v>
      </c>
      <c r="L238" s="283">
        <f>IF(SUM(O238:Q238)=0,0,(SUM(O238:Q238)+(K238+SUM(M238:Q238))*(INDEX($U$233:$AB$233,MATCH(Notes!$C$16,$U$3:$AB$3,0))-100%))*$L$233)</f>
        <v>0</v>
      </c>
      <c r="M238" s="286"/>
      <c r="N238" s="286"/>
      <c r="O238" s="285"/>
      <c r="P238" s="285"/>
      <c r="Q238" s="285"/>
      <c r="R238" s="278"/>
      <c r="S238" s="278"/>
      <c r="T238" s="278"/>
    </row>
    <row r="239" spans="1:28" s="305" customFormat="1" hidden="1" outlineLevel="1" x14ac:dyDescent="0.25">
      <c r="A239" s="278"/>
      <c r="B239" s="279" t="str">
        <f t="shared" si="87"/>
        <v/>
      </c>
      <c r="C239" s="278"/>
      <c r="D239" s="278"/>
      <c r="E239" s="278"/>
      <c r="F239" s="278"/>
      <c r="G239" s="278"/>
      <c r="H239" s="290"/>
      <c r="I239" s="280">
        <f t="shared" si="88"/>
        <v>0</v>
      </c>
      <c r="J239" s="281">
        <f t="shared" si="89"/>
        <v>0</v>
      </c>
      <c r="K239" s="282">
        <f>IF(Notes!$B$9="Domestic",I239, IF(Notes!$B$9="Commercial",J239))*$K$233</f>
        <v>0</v>
      </c>
      <c r="L239" s="283">
        <f>IF(SUM(O239:Q239)=0,0,(SUM(O239:Q239)+(K239+SUM(M239:Q239))*(INDEX($U$233:$AB$233,MATCH(Notes!$C$16,$U$3:$AB$3,0))-100%))*$L$233)</f>
        <v>0</v>
      </c>
      <c r="M239" s="286"/>
      <c r="N239" s="286"/>
      <c r="O239" s="285"/>
      <c r="P239" s="285"/>
      <c r="Q239" s="285"/>
      <c r="R239" s="278"/>
      <c r="S239" s="278"/>
      <c r="T239" s="278"/>
    </row>
    <row r="240" spans="1:28" s="305" customFormat="1" hidden="1" outlineLevel="1" x14ac:dyDescent="0.25">
      <c r="A240" s="278"/>
      <c r="B240" s="279" t="str">
        <f t="shared" si="87"/>
        <v/>
      </c>
      <c r="C240" s="278"/>
      <c r="D240" s="278"/>
      <c r="E240" s="278"/>
      <c r="F240" s="278"/>
      <c r="G240" s="278"/>
      <c r="H240" s="290"/>
      <c r="I240" s="280">
        <f t="shared" si="88"/>
        <v>0</v>
      </c>
      <c r="J240" s="281">
        <f t="shared" si="89"/>
        <v>0</v>
      </c>
      <c r="K240" s="282">
        <f>IF(Notes!$B$9="Domestic",I240, IF(Notes!$B$9="Commercial",J240))*$K$233</f>
        <v>0</v>
      </c>
      <c r="L240" s="283">
        <f>IF(SUM(O240:Q240)=0,0,(SUM(O240:Q240)+(K240+SUM(M240:Q240))*(INDEX($U$233:$AB$233,MATCH(Notes!$C$16,$U$3:$AB$3,0))-100%))*$L$233)</f>
        <v>0</v>
      </c>
      <c r="M240" s="286"/>
      <c r="N240" s="286"/>
      <c r="O240" s="285"/>
      <c r="P240" s="285"/>
      <c r="Q240" s="285"/>
      <c r="R240" s="278"/>
      <c r="S240" s="278"/>
      <c r="T240" s="278"/>
    </row>
    <row r="241" spans="1:20" s="305" customFormat="1" hidden="1" outlineLevel="1" x14ac:dyDescent="0.25">
      <c r="A241" s="278"/>
      <c r="B241" s="279" t="str">
        <f t="shared" si="87"/>
        <v/>
      </c>
      <c r="C241" s="278"/>
      <c r="D241" s="278"/>
      <c r="E241" s="278"/>
      <c r="F241" s="278"/>
      <c r="G241" s="278"/>
      <c r="H241" s="290"/>
      <c r="I241" s="280">
        <f t="shared" si="88"/>
        <v>0</v>
      </c>
      <c r="J241" s="281">
        <f t="shared" si="89"/>
        <v>0</v>
      </c>
      <c r="K241" s="282">
        <f>IF(Notes!$B$9="Domestic",I241, IF(Notes!$B$9="Commercial",J241))*$K$233</f>
        <v>0</v>
      </c>
      <c r="L241" s="283">
        <f>IF(SUM(O241:Q241)=0,0,(SUM(O241:Q241)+(K241+SUM(M241:Q241))*(INDEX($U$233:$AB$233,MATCH(Notes!$C$16,$U$3:$AB$3,0))-100%))*$L$233)</f>
        <v>0</v>
      </c>
      <c r="M241" s="286"/>
      <c r="N241" s="286"/>
      <c r="O241" s="285"/>
      <c r="P241" s="285"/>
      <c r="Q241" s="285"/>
      <c r="R241" s="278"/>
      <c r="S241" s="278"/>
      <c r="T241" s="278"/>
    </row>
    <row r="242" spans="1:20" s="305" customFormat="1" hidden="1" outlineLevel="1" x14ac:dyDescent="0.25">
      <c r="A242" s="278"/>
      <c r="B242" s="279" t="str">
        <f t="shared" si="87"/>
        <v/>
      </c>
      <c r="C242" s="278"/>
      <c r="D242" s="278"/>
      <c r="E242" s="278"/>
      <c r="F242" s="278"/>
      <c r="G242" s="278"/>
      <c r="H242" s="290"/>
      <c r="I242" s="280">
        <f t="shared" si="88"/>
        <v>0</v>
      </c>
      <c r="J242" s="281">
        <f t="shared" si="89"/>
        <v>0</v>
      </c>
      <c r="K242" s="282">
        <f>IF(Notes!$B$9="Domestic",I242, IF(Notes!$B$9="Commercial",J242))*$K$233</f>
        <v>0</v>
      </c>
      <c r="L242" s="283">
        <f>IF(SUM(O242:Q242)=0,0,(SUM(O242:Q242)+(K242+SUM(M242:Q242))*(INDEX($U$233:$AB$233,MATCH(Notes!$C$16,$U$3:$AB$3,0))-100%))*$L$233)</f>
        <v>0</v>
      </c>
      <c r="M242" s="286"/>
      <c r="N242" s="286"/>
      <c r="O242" s="285"/>
      <c r="P242" s="285"/>
      <c r="Q242" s="285"/>
      <c r="R242" s="278"/>
      <c r="S242" s="278"/>
      <c r="T242" s="278"/>
    </row>
    <row r="243" spans="1:20" s="305" customFormat="1" hidden="1" outlineLevel="1" x14ac:dyDescent="0.25">
      <c r="A243" s="278"/>
      <c r="B243" s="279" t="str">
        <f t="shared" si="87"/>
        <v/>
      </c>
      <c r="C243" s="278"/>
      <c r="D243" s="278"/>
      <c r="E243" s="278"/>
      <c r="F243" s="278"/>
      <c r="G243" s="278"/>
      <c r="H243" s="290"/>
      <c r="I243" s="280">
        <f t="shared" si="88"/>
        <v>0</v>
      </c>
      <c r="J243" s="281">
        <f t="shared" si="89"/>
        <v>0</v>
      </c>
      <c r="K243" s="282">
        <f>IF(Notes!$B$9="Domestic",I243, IF(Notes!$B$9="Commercial",J243))*$K$233</f>
        <v>0</v>
      </c>
      <c r="L243" s="283">
        <f>IF(SUM(O243:Q243)=0,0,(SUM(O243:Q243)+(K243+SUM(M243:Q243))*(INDEX($U$233:$AB$233,MATCH(Notes!$C$16,$U$3:$AB$3,0))-100%))*$L$233)</f>
        <v>0</v>
      </c>
      <c r="M243" s="286"/>
      <c r="N243" s="286"/>
      <c r="O243" s="285"/>
      <c r="P243" s="285"/>
      <c r="Q243" s="285"/>
      <c r="R243" s="278"/>
      <c r="S243" s="278"/>
      <c r="T243" s="278"/>
    </row>
    <row r="244" spans="1:20" hidden="1" outlineLevel="1" x14ac:dyDescent="0.25">
      <c r="A244" s="284" t="str">
        <f>C244&amp;D244&amp;E244</f>
        <v/>
      </c>
      <c r="B244" s="284"/>
      <c r="C244" s="284"/>
      <c r="D244" s="284"/>
      <c r="E244" s="284"/>
      <c r="F244" s="284"/>
      <c r="G244" s="284"/>
      <c r="H244" s="284"/>
      <c r="I244" s="284"/>
      <c r="J244" s="284"/>
      <c r="K244" s="284"/>
      <c r="L244" s="284"/>
      <c r="M244" s="284"/>
      <c r="N244" s="284"/>
      <c r="O244" s="284"/>
      <c r="P244" s="284"/>
      <c r="Q244" s="284"/>
      <c r="R244" s="284"/>
      <c r="S244" s="284"/>
      <c r="T244" s="284"/>
    </row>
    <row r="245" spans="1:20" hidden="1" outlineLevel="1" x14ac:dyDescent="0.25"/>
    <row r="246" spans="1:20" hidden="1" outlineLevel="1" x14ac:dyDescent="0.25"/>
    <row r="247" spans="1:20" collapsed="1" x14ac:dyDescent="0.25"/>
  </sheetData>
  <sheetProtection algorithmName="SHA-512" hashValue="OJwVfXbQd7zFHC8vBKZwb1+1ik8j4+R5/H3pkW4d3zttsc+9y8kPuJ32fYyQNLlycMKlbj/ffu955mkWlUZOew==" saltValue="Fnp1oOXOHzlV1ZcD5P0t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sheetPr>
  <dimension ref="A1:V156"/>
  <sheetViews>
    <sheetView showGridLines="0" view="pageBreakPreview" zoomScaleSheetLayoutView="100" workbookViewId="0">
      <selection activeCell="B49" sqref="B49:E49"/>
    </sheetView>
  </sheetViews>
  <sheetFormatPr defaultColWidth="8.85546875" defaultRowHeight="21" x14ac:dyDescent="0.35"/>
  <cols>
    <col min="1" max="1" width="12.42578125" style="177" customWidth="1"/>
    <col min="2" max="2" width="60.42578125" style="177" customWidth="1"/>
    <col min="3" max="3" width="13.42578125" style="177" customWidth="1"/>
    <col min="4" max="4" width="9.5703125" style="177" customWidth="1"/>
    <col min="5" max="5" width="48.42578125" style="380" customWidth="1"/>
    <col min="6" max="6" width="7.85546875" style="177" customWidth="1"/>
    <col min="7" max="8" width="8.85546875" style="177"/>
    <col min="9" max="9" width="27.5703125" style="177" bestFit="1" customWidth="1"/>
    <col min="10" max="16384" width="8.85546875" style="177"/>
  </cols>
  <sheetData>
    <row r="1" spans="1:22" ht="22.5" customHeight="1" x14ac:dyDescent="0.25">
      <c r="A1" s="551"/>
      <c r="B1" s="552"/>
      <c r="C1" s="557" t="s">
        <v>577</v>
      </c>
      <c r="D1" s="592"/>
      <c r="E1" s="592"/>
      <c r="F1" s="558"/>
      <c r="G1" s="355"/>
      <c r="H1" s="356"/>
      <c r="J1" s="356"/>
      <c r="K1" s="356"/>
      <c r="L1" s="356"/>
      <c r="M1" s="356"/>
      <c r="N1" s="356"/>
      <c r="O1" s="356"/>
      <c r="P1" s="356"/>
      <c r="U1" s="418"/>
      <c r="V1" s="418"/>
    </row>
    <row r="2" spans="1:22" ht="15" customHeight="1" x14ac:dyDescent="0.25">
      <c r="A2" s="553"/>
      <c r="B2" s="554"/>
      <c r="C2" s="559"/>
      <c r="D2" s="593"/>
      <c r="E2" s="593"/>
      <c r="F2" s="560"/>
      <c r="G2" s="355"/>
      <c r="L2" s="356"/>
      <c r="M2" s="356"/>
      <c r="N2" s="356"/>
      <c r="O2" s="356"/>
      <c r="P2" s="356"/>
      <c r="U2" s="418"/>
      <c r="V2" s="418"/>
    </row>
    <row r="3" spans="1:22" ht="15" x14ac:dyDescent="0.25">
      <c r="A3" s="553"/>
      <c r="B3" s="554"/>
      <c r="C3" s="559"/>
      <c r="D3" s="593"/>
      <c r="E3" s="593"/>
      <c r="F3" s="560"/>
      <c r="G3" s="355"/>
      <c r="H3" s="356"/>
      <c r="J3" s="356"/>
      <c r="K3" s="356"/>
      <c r="L3" s="356"/>
      <c r="M3" s="356"/>
      <c r="N3" s="356"/>
      <c r="O3" s="356"/>
      <c r="P3" s="356"/>
      <c r="U3" s="418"/>
      <c r="V3" s="418"/>
    </row>
    <row r="4" spans="1:22" ht="23.25" customHeight="1" thickBot="1" x14ac:dyDescent="0.3">
      <c r="A4" s="555"/>
      <c r="B4" s="556"/>
      <c r="C4" s="561"/>
      <c r="D4" s="594"/>
      <c r="E4" s="594"/>
      <c r="F4" s="562"/>
      <c r="G4" s="355"/>
      <c r="H4" s="356"/>
      <c r="J4" s="356"/>
      <c r="K4" s="356"/>
      <c r="L4" s="356"/>
      <c r="M4" s="356"/>
      <c r="N4" s="356"/>
      <c r="O4" s="356"/>
      <c r="P4" s="356"/>
      <c r="U4" s="418"/>
      <c r="V4" s="418"/>
    </row>
    <row r="5" spans="1:22" s="361" customFormat="1" ht="24.95" customHeight="1" thickBot="1" x14ac:dyDescent="0.35">
      <c r="A5" s="419" t="s">
        <v>12</v>
      </c>
      <c r="B5" s="590" t="s">
        <v>2308</v>
      </c>
      <c r="C5" s="590"/>
      <c r="D5" s="590"/>
      <c r="E5" s="590"/>
      <c r="F5" s="360"/>
    </row>
    <row r="6" spans="1:22" s="361" customFormat="1" ht="24.95" customHeight="1" thickTop="1" thickBot="1" x14ac:dyDescent="0.35">
      <c r="A6" s="359" t="s">
        <v>13</v>
      </c>
      <c r="B6" s="591" t="s">
        <v>2309</v>
      </c>
      <c r="C6" s="591"/>
      <c r="D6" s="591"/>
      <c r="E6" s="591"/>
      <c r="F6" s="360"/>
    </row>
    <row r="7" spans="1:22" ht="20.100000000000001" customHeight="1" thickTop="1" x14ac:dyDescent="0.25">
      <c r="A7" s="362"/>
      <c r="B7" s="564" t="s">
        <v>31</v>
      </c>
      <c r="C7" s="565"/>
      <c r="D7" s="565"/>
      <c r="E7" s="565"/>
      <c r="F7" s="363"/>
    </row>
    <row r="8" spans="1:22" ht="15.75" x14ac:dyDescent="0.25">
      <c r="A8" s="364"/>
      <c r="B8" s="541" t="s">
        <v>232</v>
      </c>
      <c r="C8" s="569"/>
      <c r="D8" s="569"/>
      <c r="E8" s="542"/>
      <c r="F8" s="367"/>
    </row>
    <row r="9" spans="1:22" ht="15.75" x14ac:dyDescent="0.25">
      <c r="A9" s="420" t="s">
        <v>231</v>
      </c>
      <c r="B9" s="539" t="s">
        <v>825</v>
      </c>
      <c r="C9" s="568"/>
      <c r="D9" s="568"/>
      <c r="E9" s="540"/>
      <c r="F9" s="367"/>
    </row>
    <row r="10" spans="1:22" ht="15.75" x14ac:dyDescent="0.25">
      <c r="A10" s="422" t="s">
        <v>233</v>
      </c>
      <c r="B10" s="539">
        <v>1</v>
      </c>
      <c r="C10" s="568"/>
      <c r="D10" s="568"/>
      <c r="E10" s="540"/>
      <c r="F10" s="367"/>
    </row>
    <row r="11" spans="1:22" ht="15.75" hidden="1" customHeight="1" x14ac:dyDescent="0.25">
      <c r="A11" s="422" t="s">
        <v>234</v>
      </c>
      <c r="B11" s="539"/>
      <c r="C11" s="568"/>
      <c r="D11" s="568"/>
      <c r="E11" s="540"/>
      <c r="F11" s="367"/>
    </row>
    <row r="12" spans="1:22" ht="15.75" x14ac:dyDescent="0.25">
      <c r="A12" s="364"/>
      <c r="B12" s="539"/>
      <c r="C12" s="568"/>
      <c r="D12" s="568"/>
      <c r="E12" s="540"/>
      <c r="F12" s="367"/>
    </row>
    <row r="13" spans="1:22" ht="15.75" x14ac:dyDescent="0.25">
      <c r="A13" s="364"/>
      <c r="B13" s="539" t="s">
        <v>880</v>
      </c>
      <c r="C13" s="568"/>
      <c r="D13" s="568"/>
      <c r="E13" s="540"/>
      <c r="F13" s="367"/>
    </row>
    <row r="14" spans="1:22" ht="15.75" x14ac:dyDescent="0.25">
      <c r="A14" s="364"/>
      <c r="B14" s="541" t="s">
        <v>19</v>
      </c>
      <c r="C14" s="569"/>
      <c r="D14" s="569"/>
      <c r="E14" s="542"/>
      <c r="F14" s="367" t="s">
        <v>16</v>
      </c>
    </row>
    <row r="15" spans="1:22" ht="15.75" x14ac:dyDescent="0.25">
      <c r="A15" s="364"/>
      <c r="B15" s="539" t="s">
        <v>61</v>
      </c>
      <c r="C15" s="568"/>
      <c r="D15" s="568"/>
      <c r="E15" s="540"/>
      <c r="F15" s="367"/>
    </row>
    <row r="16" spans="1:22" ht="15.75" x14ac:dyDescent="0.25">
      <c r="A16" s="364"/>
      <c r="B16" s="423" t="s">
        <v>880</v>
      </c>
      <c r="C16" s="424" t="s">
        <v>867</v>
      </c>
      <c r="D16" s="595"/>
      <c r="E16" s="596"/>
      <c r="F16" s="367"/>
    </row>
    <row r="17" spans="1:6" ht="15.75" x14ac:dyDescent="0.25">
      <c r="A17" s="364"/>
      <c r="B17" s="423" t="s">
        <v>2310</v>
      </c>
      <c r="C17" s="424">
        <v>1.1499999999999999</v>
      </c>
      <c r="D17" s="595"/>
      <c r="E17" s="596"/>
      <c r="F17" s="367"/>
    </row>
    <row r="18" spans="1:6" ht="15.75" x14ac:dyDescent="0.25">
      <c r="A18" s="364"/>
      <c r="B18" s="423" t="s">
        <v>802</v>
      </c>
      <c r="C18" s="424" t="s">
        <v>496</v>
      </c>
      <c r="D18" s="595"/>
      <c r="E18" s="596"/>
      <c r="F18" s="367"/>
    </row>
    <row r="19" spans="1:6" ht="15.75" x14ac:dyDescent="0.25">
      <c r="A19" s="364"/>
      <c r="B19" s="539"/>
      <c r="C19" s="568"/>
      <c r="D19" s="568"/>
      <c r="E19" s="540"/>
      <c r="F19" s="367"/>
    </row>
    <row r="20" spans="1:6" ht="15.75" x14ac:dyDescent="0.25">
      <c r="A20" s="364"/>
      <c r="B20" s="539"/>
      <c r="C20" s="568"/>
      <c r="D20" s="568"/>
      <c r="E20" s="540"/>
      <c r="F20" s="367"/>
    </row>
    <row r="21" spans="1:6" ht="15.75" x14ac:dyDescent="0.25">
      <c r="A21" s="364"/>
      <c r="B21" s="549" t="s">
        <v>17</v>
      </c>
      <c r="C21" s="586"/>
      <c r="D21" s="586"/>
      <c r="E21" s="550"/>
      <c r="F21" s="367"/>
    </row>
    <row r="22" spans="1:6" ht="25.5" x14ac:dyDescent="0.25">
      <c r="A22" s="364"/>
      <c r="B22" s="425" t="s">
        <v>33</v>
      </c>
      <c r="C22" s="426" t="s">
        <v>60</v>
      </c>
      <c r="D22" s="425" t="s">
        <v>59</v>
      </c>
      <c r="E22" s="425" t="s">
        <v>58</v>
      </c>
      <c r="F22" s="367"/>
    </row>
    <row r="23" spans="1:6" ht="15.75" x14ac:dyDescent="0.25">
      <c r="A23" s="364"/>
      <c r="B23" s="427" t="s">
        <v>57</v>
      </c>
      <c r="C23" s="428"/>
      <c r="D23" s="429">
        <f ca="1">IF((SUM('SUMMARY (inc)'!C10:C38)+'SUMMARY (inc)'!C8+IFERROR(SUM(Civil!F3:F7),0))&lt;90000,12,IF(Notes!$B$9="Domestic",VLOOKUP((SUM('SUMMARY (inc)'!C10:C38)+'SUMMARY (inc)'!C8+IFERROR(SUM(Civil!F3:F7),0))*1.1,'Construction Time'!B:E,4,TRUE),IF(Notes!$B$9="Commercial",VLOOKUP((SUM('SUMMARY (inc)'!C10:C38)+'SUMMARY (inc)'!C8+IFERROR(SUM(Civil!F3:F7),0))*1.1,'Construction Time'!B:E,3,TRUE))))</f>
        <v>12</v>
      </c>
      <c r="E23" s="429"/>
      <c r="F23" s="367"/>
    </row>
    <row r="24" spans="1:6" ht="15.75" x14ac:dyDescent="0.25">
      <c r="A24" s="364"/>
      <c r="B24" s="430" t="s">
        <v>56</v>
      </c>
      <c r="C24" s="431">
        <v>0</v>
      </c>
      <c r="D24" s="432">
        <f t="shared" ref="D24:D32" ca="1" si="0">ROUNDUP(D$23*C24,0)</f>
        <v>0</v>
      </c>
      <c r="E24" s="433">
        <f>200000/52</f>
        <v>3846.1538461538462</v>
      </c>
      <c r="F24" s="367"/>
    </row>
    <row r="25" spans="1:6" ht="15.75" x14ac:dyDescent="0.25">
      <c r="A25" s="364"/>
      <c r="B25" s="430" t="s">
        <v>55</v>
      </c>
      <c r="C25" s="431">
        <f>IF(Notes!$B$9="Domestic",0,IF(Notes!$B$9="Commercial",0.25))</f>
        <v>0.25</v>
      </c>
      <c r="D25" s="432">
        <f t="shared" ca="1" si="0"/>
        <v>3</v>
      </c>
      <c r="E25" s="433">
        <f>170000/52</f>
        <v>3269.2307692307691</v>
      </c>
      <c r="F25" s="367"/>
    </row>
    <row r="26" spans="1:6" ht="15.75" x14ac:dyDescent="0.25">
      <c r="A26" s="364"/>
      <c r="B26" s="430" t="s">
        <v>54</v>
      </c>
      <c r="C26" s="431">
        <f>IF(Notes!$B$9="Domestic",0,IF(Notes!$B$9="Commercial",1))</f>
        <v>1</v>
      </c>
      <c r="D26" s="432">
        <f t="shared" ca="1" si="0"/>
        <v>12</v>
      </c>
      <c r="E26" s="433">
        <f>111800/52</f>
        <v>2150</v>
      </c>
      <c r="F26" s="367"/>
    </row>
    <row r="27" spans="1:6" ht="15.75" x14ac:dyDescent="0.25">
      <c r="A27" s="364"/>
      <c r="B27" s="430" t="s">
        <v>53</v>
      </c>
      <c r="C27" s="434">
        <f>IF(Notes!$B$9="Domestic",0.5,IF(Notes!$B$9="Commercial",1))</f>
        <v>1</v>
      </c>
      <c r="D27" s="432">
        <f t="shared" ca="1" si="0"/>
        <v>12</v>
      </c>
      <c r="E27" s="433">
        <f>130000/52</f>
        <v>2500</v>
      </c>
      <c r="F27" s="367"/>
    </row>
    <row r="28" spans="1:6" ht="15.75" x14ac:dyDescent="0.25">
      <c r="A28" s="364"/>
      <c r="B28" s="430" t="s">
        <v>52</v>
      </c>
      <c r="C28" s="434">
        <v>0</v>
      </c>
      <c r="D28" s="432">
        <f ca="1">ROUNDUP(D$23*C28,0)</f>
        <v>0</v>
      </c>
      <c r="E28" s="433">
        <f>109200/52</f>
        <v>2100</v>
      </c>
      <c r="F28" s="367"/>
    </row>
    <row r="29" spans="1:6" ht="15.75" x14ac:dyDescent="0.25">
      <c r="A29" s="364"/>
      <c r="B29" s="430" t="s">
        <v>51</v>
      </c>
      <c r="C29" s="434">
        <v>0</v>
      </c>
      <c r="D29" s="432">
        <f ca="1">ROUNDUP(D$23*C29,0)</f>
        <v>0</v>
      </c>
      <c r="E29" s="433">
        <f>67600/52</f>
        <v>1300</v>
      </c>
      <c r="F29" s="367"/>
    </row>
    <row r="30" spans="1:6" ht="15.75" x14ac:dyDescent="0.25">
      <c r="A30" s="364"/>
      <c r="B30" s="430" t="s">
        <v>803</v>
      </c>
      <c r="C30" s="434">
        <v>0</v>
      </c>
      <c r="D30" s="432">
        <f ca="1">ROUNDUP(D$23*C30,0)</f>
        <v>0</v>
      </c>
      <c r="E30" s="433">
        <v>2115</v>
      </c>
      <c r="F30" s="367"/>
    </row>
    <row r="31" spans="1:6" ht="15.75" x14ac:dyDescent="0.25">
      <c r="A31" s="364"/>
      <c r="B31" s="430" t="s">
        <v>50</v>
      </c>
      <c r="C31" s="431">
        <f>IF(Notes!$B$9="Domestic",0,IF(Notes!$B$9="Commercial",0.25))</f>
        <v>0.25</v>
      </c>
      <c r="D31" s="432">
        <f ca="1">ROUNDUP(D$23*C31,0)</f>
        <v>3</v>
      </c>
      <c r="E31" s="433">
        <f>80000/52</f>
        <v>1538.4615384615386</v>
      </c>
      <c r="F31" s="367"/>
    </row>
    <row r="32" spans="1:6" ht="15.75" x14ac:dyDescent="0.25">
      <c r="A32" s="364"/>
      <c r="B32" s="430" t="s">
        <v>49</v>
      </c>
      <c r="C32" s="431">
        <f>IF(Notes!$B$9="Domestic",0,IF(Notes!$B$9="Commercial",1))</f>
        <v>1</v>
      </c>
      <c r="D32" s="432">
        <f t="shared" ca="1" si="0"/>
        <v>12</v>
      </c>
      <c r="E32" s="433">
        <f>38000/52</f>
        <v>730.76923076923072</v>
      </c>
      <c r="F32" s="367"/>
    </row>
    <row r="33" spans="1:6" ht="26.25" x14ac:dyDescent="0.25">
      <c r="A33" s="364"/>
      <c r="B33" s="435" t="s">
        <v>48</v>
      </c>
      <c r="C33" s="436">
        <v>0.4</v>
      </c>
      <c r="D33" s="437">
        <f ca="1">ROUNDUP(D$23*C33,0)</f>
        <v>5</v>
      </c>
      <c r="E33" s="438">
        <f>IFERROR(Scaffolding!#REF!/Scaffolding!#REF!,0)</f>
        <v>0</v>
      </c>
      <c r="F33" s="367"/>
    </row>
    <row r="34" spans="1:6" ht="15.75" x14ac:dyDescent="0.25">
      <c r="A34" s="364"/>
      <c r="B34" s="439"/>
      <c r="C34" s="440"/>
      <c r="D34" s="440"/>
      <c r="E34" s="441"/>
      <c r="F34" s="367"/>
    </row>
    <row r="35" spans="1:6" ht="15.75" x14ac:dyDescent="0.25">
      <c r="A35" s="364"/>
      <c r="B35" s="439"/>
      <c r="C35" s="440"/>
      <c r="D35" s="440"/>
      <c r="E35" s="441"/>
      <c r="F35" s="367"/>
    </row>
    <row r="36" spans="1:6" ht="15.75" x14ac:dyDescent="0.25">
      <c r="A36" s="364"/>
      <c r="B36" s="541" t="s">
        <v>209</v>
      </c>
      <c r="C36" s="569"/>
      <c r="D36" s="569"/>
      <c r="E36" s="542"/>
      <c r="F36" s="367"/>
    </row>
    <row r="37" spans="1:6" ht="15.75" x14ac:dyDescent="0.25">
      <c r="A37" s="364"/>
      <c r="B37" s="587" t="str">
        <f>'Roofing &amp; Metal Cladding'!B27</f>
        <v>Roof Safety System (Provisional Sum)</v>
      </c>
      <c r="C37" s="588"/>
      <c r="D37" s="589"/>
      <c r="E37" s="442">
        <f>'Roofing &amp; Metal Cladding'!F27</f>
        <v>0</v>
      </c>
      <c r="F37" s="367"/>
    </row>
    <row r="38" spans="1:6" ht="15.75" x14ac:dyDescent="0.25">
      <c r="A38" s="364"/>
      <c r="B38" s="587" t="str">
        <f>'Structural Steel'!B3</f>
        <v>Structural Steel Framing (No Design Available) (Provisional Sum)</v>
      </c>
      <c r="C38" s="588"/>
      <c r="D38" s="589"/>
      <c r="E38" s="442">
        <f>'Structural Steel'!F3</f>
        <v>0</v>
      </c>
      <c r="F38" s="367"/>
    </row>
    <row r="39" spans="1:6" ht="15.75" x14ac:dyDescent="0.25">
      <c r="A39" s="364"/>
      <c r="B39" s="587" t="str">
        <f>Plumbing!B3</f>
        <v>Plumbing &amp; Drainage (Provisional Sum)</v>
      </c>
      <c r="C39" s="588"/>
      <c r="D39" s="589"/>
      <c r="E39" s="442">
        <f>Plumbing!F3</f>
        <v>0</v>
      </c>
      <c r="F39" s="367"/>
    </row>
    <row r="40" spans="1:6" ht="15.75" x14ac:dyDescent="0.25">
      <c r="A40" s="364"/>
      <c r="B40" s="587" t="str">
        <f>Plumbing!B23</f>
        <v>Demolition of Existing Plumbing Services (Provisional Sum)</v>
      </c>
      <c r="C40" s="588"/>
      <c r="D40" s="589"/>
      <c r="E40" s="442">
        <f>Plumbing!F23</f>
        <v>0</v>
      </c>
      <c r="F40" s="367"/>
    </row>
    <row r="41" spans="1:6" ht="15.75" x14ac:dyDescent="0.25">
      <c r="A41" s="364"/>
      <c r="B41" s="587" t="str">
        <f>'Plumbing PC Item'!B3</f>
        <v>Sanitary Fixtures &amp; Tapware (PC item)</v>
      </c>
      <c r="C41" s="588"/>
      <c r="D41" s="589"/>
      <c r="E41" s="442">
        <f>'Plumbing PC Item'!F3</f>
        <v>0</v>
      </c>
      <c r="F41" s="367"/>
    </row>
    <row r="42" spans="1:6" ht="15.75" x14ac:dyDescent="0.25">
      <c r="A42" s="364"/>
      <c r="B42" s="587" t="str">
        <f>Electrical!B3</f>
        <v>Electrical &amp; Communication (Provisional Sum)</v>
      </c>
      <c r="C42" s="588"/>
      <c r="D42" s="589"/>
      <c r="E42" s="442">
        <f>Electrical!F3</f>
        <v>0</v>
      </c>
      <c r="F42" s="367"/>
    </row>
    <row r="43" spans="1:6" ht="15.75" x14ac:dyDescent="0.25">
      <c r="A43" s="364"/>
      <c r="B43" s="587" t="str">
        <f>Electrical!B20</f>
        <v>Demolition of Existing Electrical Services (Provisional Sum)</v>
      </c>
      <c r="C43" s="588"/>
      <c r="D43" s="589"/>
      <c r="E43" s="442">
        <f>Electrical!F20</f>
        <v>0</v>
      </c>
      <c r="F43" s="367"/>
    </row>
    <row r="44" spans="1:6" ht="15.75" x14ac:dyDescent="0.25">
      <c r="A44" s="364"/>
      <c r="B44" s="587" t="str">
        <f>'Electrical PC Item'!B3</f>
        <v>Light Fittings &amp; Fans (PC item)</v>
      </c>
      <c r="C44" s="588"/>
      <c r="D44" s="589"/>
      <c r="E44" s="442">
        <f>'Electrical PC Item'!F3</f>
        <v>0</v>
      </c>
      <c r="F44" s="367"/>
    </row>
    <row r="45" spans="1:6" ht="15.75" x14ac:dyDescent="0.25">
      <c r="A45" s="364"/>
      <c r="B45" s="587" t="str">
        <f>Mechanical!B3</f>
        <v>Mechanical - HVAC (Elemental Estimating) (Provisional Sum)</v>
      </c>
      <c r="C45" s="588"/>
      <c r="D45" s="589"/>
      <c r="E45" s="442">
        <f>Mechanical!F3</f>
        <v>0</v>
      </c>
      <c r="F45" s="367"/>
    </row>
    <row r="46" spans="1:6" ht="15.75" x14ac:dyDescent="0.25">
      <c r="A46" s="364"/>
      <c r="B46" s="587" t="str">
        <f>Fire!B3</f>
        <v>Fire Protection (Elemental Estimating) (Including Relocation of FHR) (Provisional Sum)</v>
      </c>
      <c r="C46" s="588"/>
      <c r="D46" s="589"/>
      <c r="E46" s="442">
        <f>Fire!F3</f>
        <v>0</v>
      </c>
      <c r="F46" s="367"/>
    </row>
    <row r="47" spans="1:6" ht="15.75" x14ac:dyDescent="0.25">
      <c r="A47" s="364"/>
      <c r="B47" s="539"/>
      <c r="C47" s="568"/>
      <c r="D47" s="568"/>
      <c r="E47" s="540"/>
      <c r="F47" s="367"/>
    </row>
    <row r="48" spans="1:6" ht="15.75" x14ac:dyDescent="0.25">
      <c r="A48" s="364"/>
      <c r="B48" s="539"/>
      <c r="C48" s="568"/>
      <c r="D48" s="568"/>
      <c r="E48" s="540"/>
      <c r="F48" s="367"/>
    </row>
    <row r="49" spans="1:6" ht="15.75" x14ac:dyDescent="0.25">
      <c r="A49" s="364"/>
      <c r="B49" s="541" t="s">
        <v>20</v>
      </c>
      <c r="C49" s="569"/>
      <c r="D49" s="569"/>
      <c r="E49" s="542"/>
      <c r="F49" s="367"/>
    </row>
    <row r="50" spans="1:6" ht="15.75" x14ac:dyDescent="0.25">
      <c r="A50" s="364"/>
      <c r="B50" s="539" t="s">
        <v>47</v>
      </c>
      <c r="C50" s="568"/>
      <c r="D50" s="568"/>
      <c r="E50" s="540"/>
      <c r="F50" s="367"/>
    </row>
    <row r="51" spans="1:6" ht="15.75" x14ac:dyDescent="0.25">
      <c r="A51" s="364"/>
      <c r="B51" s="539" t="s">
        <v>46</v>
      </c>
      <c r="C51" s="568"/>
      <c r="D51" s="568"/>
      <c r="E51" s="540"/>
      <c r="F51" s="367"/>
    </row>
    <row r="52" spans="1:6" s="443" customFormat="1" ht="15.75" x14ac:dyDescent="0.25">
      <c r="A52" s="364"/>
      <c r="B52" s="539" t="s">
        <v>2322</v>
      </c>
      <c r="C52" s="568"/>
      <c r="D52" s="568"/>
      <c r="E52" s="540"/>
      <c r="F52" s="367"/>
    </row>
    <row r="53" spans="1:6" s="443" customFormat="1" ht="15.75" x14ac:dyDescent="0.25">
      <c r="A53" s="364"/>
      <c r="B53" s="539" t="s">
        <v>2391</v>
      </c>
      <c r="C53" s="568"/>
      <c r="D53" s="568"/>
      <c r="E53" s="540"/>
      <c r="F53" s="367"/>
    </row>
    <row r="54" spans="1:6" s="443" customFormat="1" ht="15.75" x14ac:dyDescent="0.25">
      <c r="A54" s="364"/>
      <c r="B54" s="539" t="s">
        <v>2392</v>
      </c>
      <c r="C54" s="568"/>
      <c r="D54" s="568"/>
      <c r="E54" s="540"/>
      <c r="F54" s="367"/>
    </row>
    <row r="55" spans="1:6" ht="15.75" x14ac:dyDescent="0.25">
      <c r="A55" s="364"/>
      <c r="B55" s="539"/>
      <c r="C55" s="568"/>
      <c r="D55" s="568"/>
      <c r="E55" s="540"/>
      <c r="F55" s="367"/>
    </row>
    <row r="56" spans="1:6" ht="15.75" x14ac:dyDescent="0.25">
      <c r="A56" s="364"/>
      <c r="B56" s="541" t="s">
        <v>21</v>
      </c>
      <c r="C56" s="569"/>
      <c r="D56" s="569"/>
      <c r="E56" s="542"/>
      <c r="F56" s="367"/>
    </row>
    <row r="57" spans="1:6" ht="15.75" x14ac:dyDescent="0.25">
      <c r="A57" s="364"/>
      <c r="B57" s="580" t="s">
        <v>568</v>
      </c>
      <c r="C57" s="581"/>
      <c r="D57" s="581"/>
      <c r="E57" s="582"/>
      <c r="F57" s="367"/>
    </row>
    <row r="58" spans="1:6" ht="15.75" x14ac:dyDescent="0.25">
      <c r="A58" s="364"/>
      <c r="B58" s="539" t="s">
        <v>167</v>
      </c>
      <c r="C58" s="568"/>
      <c r="D58" s="568"/>
      <c r="E58" s="540"/>
      <c r="F58" s="367"/>
    </row>
    <row r="59" spans="1:6" ht="15.75" x14ac:dyDescent="0.25">
      <c r="A59" s="364"/>
      <c r="B59" s="539" t="s">
        <v>2356</v>
      </c>
      <c r="C59" s="568"/>
      <c r="D59" s="568"/>
      <c r="E59" s="540"/>
      <c r="F59" s="367"/>
    </row>
    <row r="60" spans="1:6" ht="15.75" x14ac:dyDescent="0.25">
      <c r="A60" s="364"/>
      <c r="B60" s="539"/>
      <c r="C60" s="568"/>
      <c r="D60" s="568"/>
      <c r="E60" s="540"/>
      <c r="F60" s="367"/>
    </row>
    <row r="61" spans="1:6" ht="15.75" x14ac:dyDescent="0.25">
      <c r="A61" s="364"/>
      <c r="B61" s="580" t="s">
        <v>2325</v>
      </c>
      <c r="C61" s="581"/>
      <c r="D61" s="581"/>
      <c r="E61" s="582"/>
      <c r="F61" s="367"/>
    </row>
    <row r="62" spans="1:6" s="443" customFormat="1" ht="15.75" x14ac:dyDescent="0.25">
      <c r="A62" s="364"/>
      <c r="B62" s="539" t="s">
        <v>2326</v>
      </c>
      <c r="C62" s="568"/>
      <c r="D62" s="568"/>
      <c r="E62" s="540"/>
      <c r="F62" s="367"/>
    </row>
    <row r="63" spans="1:6" s="443" customFormat="1" ht="15.75" x14ac:dyDescent="0.25">
      <c r="A63" s="364"/>
      <c r="B63" s="539" t="s">
        <v>2327</v>
      </c>
      <c r="C63" s="568"/>
      <c r="D63" s="568"/>
      <c r="E63" s="540"/>
      <c r="F63" s="367"/>
    </row>
    <row r="64" spans="1:6" ht="15.75" x14ac:dyDescent="0.25">
      <c r="A64" s="364"/>
      <c r="B64" s="539"/>
      <c r="C64" s="568"/>
      <c r="D64" s="568"/>
      <c r="E64" s="540"/>
      <c r="F64" s="367"/>
    </row>
    <row r="65" spans="1:6" ht="15.75" x14ac:dyDescent="0.25">
      <c r="A65" s="364"/>
      <c r="B65" s="580" t="s">
        <v>481</v>
      </c>
      <c r="C65" s="581"/>
      <c r="D65" s="581"/>
      <c r="E65" s="582"/>
      <c r="F65" s="367"/>
    </row>
    <row r="66" spans="1:6" ht="15.75" x14ac:dyDescent="0.25">
      <c r="A66" s="364"/>
      <c r="B66" s="539" t="s">
        <v>482</v>
      </c>
      <c r="C66" s="568"/>
      <c r="D66" s="568"/>
      <c r="E66" s="540"/>
      <c r="F66" s="367"/>
    </row>
    <row r="67" spans="1:6" ht="15.75" x14ac:dyDescent="0.25">
      <c r="A67" s="364"/>
      <c r="B67" s="539" t="s">
        <v>486</v>
      </c>
      <c r="C67" s="568"/>
      <c r="D67" s="568"/>
      <c r="E67" s="540"/>
      <c r="F67" s="367"/>
    </row>
    <row r="68" spans="1:6" ht="15.75" x14ac:dyDescent="0.25">
      <c r="A68" s="364"/>
      <c r="B68" s="389"/>
      <c r="C68" s="421"/>
      <c r="D68" s="421"/>
      <c r="E68" s="390"/>
      <c r="F68" s="367"/>
    </row>
    <row r="69" spans="1:6" ht="15.75" x14ac:dyDescent="0.25">
      <c r="A69" s="364"/>
      <c r="B69" s="580" t="s">
        <v>483</v>
      </c>
      <c r="C69" s="581"/>
      <c r="D69" s="581"/>
      <c r="E69" s="582"/>
      <c r="F69" s="367"/>
    </row>
    <row r="70" spans="1:6" ht="15.75" x14ac:dyDescent="0.25">
      <c r="A70" s="364"/>
      <c r="B70" s="539" t="s">
        <v>2429</v>
      </c>
      <c r="C70" s="568"/>
      <c r="D70" s="568"/>
      <c r="E70" s="540"/>
      <c r="F70" s="367"/>
    </row>
    <row r="71" spans="1:6" ht="15.75" x14ac:dyDescent="0.25">
      <c r="A71" s="364"/>
      <c r="B71" s="539" t="s">
        <v>2431</v>
      </c>
      <c r="C71" s="568"/>
      <c r="D71" s="568"/>
      <c r="E71" s="540"/>
      <c r="F71" s="367"/>
    </row>
    <row r="72" spans="1:6" ht="15.75" x14ac:dyDescent="0.25">
      <c r="A72" s="364"/>
      <c r="B72" s="539" t="s">
        <v>2430</v>
      </c>
      <c r="C72" s="568"/>
      <c r="D72" s="568"/>
      <c r="E72" s="540"/>
      <c r="F72" s="367"/>
    </row>
    <row r="73" spans="1:6" ht="15.75" x14ac:dyDescent="0.25">
      <c r="A73" s="364"/>
      <c r="B73" s="539" t="s">
        <v>2432</v>
      </c>
      <c r="C73" s="568"/>
      <c r="D73" s="568"/>
      <c r="E73" s="540"/>
      <c r="F73" s="367"/>
    </row>
    <row r="74" spans="1:6" ht="15.75" x14ac:dyDescent="0.25">
      <c r="A74" s="364"/>
      <c r="B74" s="539" t="s">
        <v>484</v>
      </c>
      <c r="C74" s="568"/>
      <c r="D74" s="568"/>
      <c r="E74" s="540"/>
      <c r="F74" s="367"/>
    </row>
    <row r="75" spans="1:6" ht="15.75" x14ac:dyDescent="0.25">
      <c r="A75" s="364"/>
      <c r="B75" s="539" t="s">
        <v>2433</v>
      </c>
      <c r="C75" s="568"/>
      <c r="D75" s="568"/>
      <c r="E75" s="540"/>
      <c r="F75" s="367"/>
    </row>
    <row r="76" spans="1:6" ht="15.75" x14ac:dyDescent="0.25">
      <c r="A76" s="364"/>
      <c r="B76" s="539" t="s">
        <v>485</v>
      </c>
      <c r="C76" s="568"/>
      <c r="D76" s="568"/>
      <c r="E76" s="540"/>
      <c r="F76" s="367"/>
    </row>
    <row r="77" spans="1:6" ht="15.75" x14ac:dyDescent="0.25">
      <c r="A77" s="364"/>
      <c r="B77" s="539"/>
      <c r="C77" s="568"/>
      <c r="D77" s="568"/>
      <c r="E77" s="540"/>
      <c r="F77" s="367"/>
    </row>
    <row r="78" spans="1:6" ht="15.75" x14ac:dyDescent="0.25">
      <c r="A78" s="364"/>
      <c r="B78" s="580" t="s">
        <v>487</v>
      </c>
      <c r="C78" s="581"/>
      <c r="D78" s="581"/>
      <c r="E78" s="582"/>
      <c r="F78" s="367"/>
    </row>
    <row r="79" spans="1:6" s="443" customFormat="1" ht="15.75" x14ac:dyDescent="0.25">
      <c r="A79" s="364"/>
      <c r="B79" s="539" t="s">
        <v>2349</v>
      </c>
      <c r="C79" s="568"/>
      <c r="D79" s="568"/>
      <c r="E79" s="540"/>
      <c r="F79" s="367"/>
    </row>
    <row r="80" spans="1:6" s="443" customFormat="1" ht="15.75" x14ac:dyDescent="0.25">
      <c r="A80" s="364"/>
      <c r="B80" s="539" t="s">
        <v>2350</v>
      </c>
      <c r="C80" s="568"/>
      <c r="D80" s="568"/>
      <c r="E80" s="540"/>
      <c r="F80" s="367"/>
    </row>
    <row r="81" spans="1:6" ht="15.75" x14ac:dyDescent="0.25">
      <c r="A81" s="364"/>
      <c r="B81" s="539" t="s">
        <v>738</v>
      </c>
      <c r="C81" s="568"/>
      <c r="D81" s="568"/>
      <c r="E81" s="540"/>
      <c r="F81" s="367"/>
    </row>
    <row r="82" spans="1:6" ht="15.75" x14ac:dyDescent="0.25">
      <c r="A82" s="364"/>
      <c r="B82" s="539" t="s">
        <v>739</v>
      </c>
      <c r="C82" s="568"/>
      <c r="D82" s="568"/>
      <c r="E82" s="540"/>
      <c r="F82" s="367"/>
    </row>
    <row r="83" spans="1:6" ht="15.75" x14ac:dyDescent="0.25">
      <c r="A83" s="364"/>
      <c r="B83" s="539" t="s">
        <v>613</v>
      </c>
      <c r="C83" s="568"/>
      <c r="D83" s="568"/>
      <c r="E83" s="540"/>
      <c r="F83" s="367"/>
    </row>
    <row r="84" spans="1:6" ht="15.75" x14ac:dyDescent="0.25">
      <c r="A84" s="364"/>
      <c r="B84" s="539" t="s">
        <v>614</v>
      </c>
      <c r="C84" s="568"/>
      <c r="D84" s="568"/>
      <c r="E84" s="540"/>
      <c r="F84" s="367"/>
    </row>
    <row r="85" spans="1:6" s="443" customFormat="1" ht="15.75" x14ac:dyDescent="0.25">
      <c r="A85" s="364"/>
      <c r="B85" s="389" t="s">
        <v>2312</v>
      </c>
      <c r="C85" s="421"/>
      <c r="D85" s="421"/>
      <c r="E85" s="390"/>
      <c r="F85" s="367"/>
    </row>
    <row r="86" spans="1:6" ht="15.75" x14ac:dyDescent="0.25">
      <c r="A86" s="364"/>
      <c r="B86" s="539"/>
      <c r="C86" s="568"/>
      <c r="D86" s="568"/>
      <c r="E86" s="540"/>
      <c r="F86" s="367"/>
    </row>
    <row r="87" spans="1:6" ht="15.75" x14ac:dyDescent="0.25">
      <c r="A87" s="364"/>
      <c r="B87" s="580" t="s">
        <v>1040</v>
      </c>
      <c r="C87" s="581"/>
      <c r="D87" s="581"/>
      <c r="E87" s="582"/>
      <c r="F87" s="367"/>
    </row>
    <row r="88" spans="1:6" ht="15.75" x14ac:dyDescent="0.25">
      <c r="A88" s="364"/>
      <c r="B88" s="539" t="s">
        <v>1041</v>
      </c>
      <c r="C88" s="568"/>
      <c r="D88" s="568"/>
      <c r="E88" s="540"/>
      <c r="F88" s="367"/>
    </row>
    <row r="89" spans="1:6" ht="15.75" x14ac:dyDescent="0.25">
      <c r="A89" s="364"/>
      <c r="B89" s="539"/>
      <c r="C89" s="568"/>
      <c r="D89" s="568"/>
      <c r="E89" s="540"/>
      <c r="F89" s="367"/>
    </row>
    <row r="90" spans="1:6" ht="15.75" x14ac:dyDescent="0.25">
      <c r="A90" s="364"/>
      <c r="B90" s="580" t="s">
        <v>573</v>
      </c>
      <c r="C90" s="581"/>
      <c r="D90" s="581"/>
      <c r="E90" s="582"/>
      <c r="F90" s="367"/>
    </row>
    <row r="91" spans="1:6" ht="15.75" x14ac:dyDescent="0.25">
      <c r="A91" s="364"/>
      <c r="B91" s="539" t="s">
        <v>574</v>
      </c>
      <c r="C91" s="568"/>
      <c r="D91" s="568"/>
      <c r="E91" s="540"/>
      <c r="F91" s="367"/>
    </row>
    <row r="92" spans="1:6" ht="15.75" x14ac:dyDescent="0.25">
      <c r="A92" s="364"/>
      <c r="B92" s="539" t="s">
        <v>602</v>
      </c>
      <c r="C92" s="568"/>
      <c r="D92" s="568"/>
      <c r="E92" s="540"/>
      <c r="F92" s="367"/>
    </row>
    <row r="93" spans="1:6" s="443" customFormat="1" ht="15.75" x14ac:dyDescent="0.25">
      <c r="A93" s="364"/>
      <c r="B93" s="539" t="s">
        <v>2330</v>
      </c>
      <c r="C93" s="568"/>
      <c r="D93" s="568"/>
      <c r="E93" s="540"/>
      <c r="F93" s="367"/>
    </row>
    <row r="94" spans="1:6" ht="15.75" x14ac:dyDescent="0.25">
      <c r="A94" s="364"/>
      <c r="B94" s="389"/>
      <c r="C94" s="421"/>
      <c r="D94" s="421"/>
      <c r="E94" s="390"/>
      <c r="F94" s="367"/>
    </row>
    <row r="95" spans="1:6" ht="15.75" x14ac:dyDescent="0.25">
      <c r="A95" s="364"/>
      <c r="B95" s="389"/>
      <c r="C95" s="421"/>
      <c r="D95" s="421"/>
      <c r="E95" s="390"/>
      <c r="F95" s="367"/>
    </row>
    <row r="96" spans="1:6" ht="15.75" x14ac:dyDescent="0.25">
      <c r="A96" s="364"/>
      <c r="B96" s="539"/>
      <c r="C96" s="568"/>
      <c r="D96" s="568"/>
      <c r="E96" s="540"/>
      <c r="F96" s="367"/>
    </row>
    <row r="97" spans="1:7" ht="15.75" x14ac:dyDescent="0.25">
      <c r="A97" s="364"/>
      <c r="B97" s="539"/>
      <c r="C97" s="568"/>
      <c r="D97" s="568"/>
      <c r="E97" s="540"/>
      <c r="F97" s="367"/>
    </row>
    <row r="98" spans="1:7" ht="15.75" x14ac:dyDescent="0.25">
      <c r="A98" s="444"/>
      <c r="B98" s="549" t="s">
        <v>702</v>
      </c>
      <c r="C98" s="586"/>
      <c r="D98" s="586"/>
      <c r="E98" s="550"/>
      <c r="F98" s="445"/>
    </row>
    <row r="99" spans="1:7" ht="15.75" x14ac:dyDescent="0.25">
      <c r="A99" s="444"/>
      <c r="B99" s="579" t="s">
        <v>719</v>
      </c>
      <c r="C99" s="579"/>
      <c r="D99" s="579"/>
      <c r="E99" s="579"/>
      <c r="F99" s="445"/>
    </row>
    <row r="100" spans="1:7" ht="15.75" x14ac:dyDescent="0.25">
      <c r="A100" s="444"/>
      <c r="B100" s="579" t="s">
        <v>718</v>
      </c>
      <c r="C100" s="579"/>
      <c r="D100" s="579"/>
      <c r="E100" s="579"/>
      <c r="F100" s="445"/>
    </row>
    <row r="101" spans="1:7" ht="15.75" x14ac:dyDescent="0.25">
      <c r="A101" s="364"/>
      <c r="B101" s="573" t="s">
        <v>703</v>
      </c>
      <c r="C101" s="574"/>
      <c r="D101" s="575"/>
      <c r="E101" s="425" t="s">
        <v>704</v>
      </c>
      <c r="F101" s="367"/>
    </row>
    <row r="102" spans="1:7" ht="15.75" x14ac:dyDescent="0.25">
      <c r="A102" s="364"/>
      <c r="B102" s="570" t="str">
        <f ca="1">SUMMARY!B6</f>
        <v>PRELIMINARIES</v>
      </c>
      <c r="C102" s="571"/>
      <c r="D102" s="572"/>
      <c r="E102" s="446">
        <f>IFERROR('Labour Rates'!D4,0)</f>
        <v>80.84</v>
      </c>
      <c r="F102" s="367"/>
    </row>
    <row r="103" spans="1:7" ht="15.75" x14ac:dyDescent="0.25">
      <c r="A103" s="364"/>
      <c r="B103" s="570" t="str">
        <f ca="1">SUMMARY!B7</f>
        <v>SCAFFOLDING</v>
      </c>
      <c r="C103" s="571"/>
      <c r="D103" s="572"/>
      <c r="E103" s="446">
        <f>IFERROR('Labour Rates'!D5,0)</f>
        <v>80.84</v>
      </c>
      <c r="F103" s="367"/>
    </row>
    <row r="104" spans="1:7" ht="15.75" x14ac:dyDescent="0.25">
      <c r="A104" s="364"/>
      <c r="B104" s="570" t="str">
        <f ca="1">SUMMARY!B8</f>
        <v>DEMOLITION</v>
      </c>
      <c r="C104" s="571"/>
      <c r="D104" s="572"/>
      <c r="E104" s="446">
        <f>IFERROR('Labour Rates'!D6,0)</f>
        <v>70.55</v>
      </c>
      <c r="F104" s="367"/>
    </row>
    <row r="105" spans="1:7" ht="15.75" x14ac:dyDescent="0.25">
      <c r="A105" s="364"/>
      <c r="B105" s="570" t="str">
        <f ca="1">SUMMARY!B9</f>
        <v>CIVIL</v>
      </c>
      <c r="C105" s="571"/>
      <c r="D105" s="572"/>
      <c r="E105" s="446">
        <f>IFERROR('Labour Rates'!D7,0)</f>
        <v>80.84</v>
      </c>
      <c r="F105" s="367"/>
    </row>
    <row r="106" spans="1:7" ht="15.75" x14ac:dyDescent="0.25">
      <c r="A106" s="364"/>
      <c r="B106" s="570" t="str">
        <f ca="1">SUMMARY!B10</f>
        <v>DETAILED EXCAVATION</v>
      </c>
      <c r="C106" s="571"/>
      <c r="D106" s="572"/>
      <c r="E106" s="446">
        <f>IFERROR('Labour Rates'!D8,0)</f>
        <v>80.84</v>
      </c>
      <c r="F106" s="367"/>
      <c r="G106" s="416"/>
    </row>
    <row r="107" spans="1:7" ht="15.75" x14ac:dyDescent="0.25">
      <c r="A107" s="364"/>
      <c r="B107" s="570" t="str">
        <f ca="1">SUMMARY!B11</f>
        <v>CONCRETE</v>
      </c>
      <c r="C107" s="571"/>
      <c r="D107" s="572"/>
      <c r="E107" s="446">
        <f>IFERROR('Labour Rates'!D9,0)</f>
        <v>80.84</v>
      </c>
      <c r="F107" s="367"/>
      <c r="G107" s="416"/>
    </row>
    <row r="108" spans="1:7" ht="15.75" x14ac:dyDescent="0.25">
      <c r="A108" s="364"/>
      <c r="B108" s="570" t="str">
        <f ca="1">SUMMARY!B12</f>
        <v>FORMWORK</v>
      </c>
      <c r="C108" s="571"/>
      <c r="D108" s="572"/>
      <c r="E108" s="446">
        <f>IFERROR('Labour Rates'!D10,0)</f>
        <v>80.84</v>
      </c>
      <c r="F108" s="367"/>
      <c r="G108" s="416"/>
    </row>
    <row r="109" spans="1:7" ht="15.75" x14ac:dyDescent="0.25">
      <c r="A109" s="364"/>
      <c r="B109" s="570" t="str">
        <f ca="1">SUMMARY!B13</f>
        <v>REINFORCEMENT</v>
      </c>
      <c r="C109" s="571"/>
      <c r="D109" s="572"/>
      <c r="E109" s="446">
        <f>IFERROR('Labour Rates'!D11,0)</f>
        <v>80.84</v>
      </c>
      <c r="F109" s="367"/>
      <c r="G109" s="416"/>
    </row>
    <row r="110" spans="1:7" ht="15.75" x14ac:dyDescent="0.25">
      <c r="A110" s="364"/>
      <c r="B110" s="570" t="str">
        <f ca="1">SUMMARY!B14</f>
        <v>TERMITE PROTECTION</v>
      </c>
      <c r="C110" s="571"/>
      <c r="D110" s="572"/>
      <c r="E110" s="446">
        <f>IFERROR('Labour Rates'!D12,0)</f>
        <v>80.84</v>
      </c>
      <c r="F110" s="367"/>
      <c r="G110" s="416"/>
    </row>
    <row r="111" spans="1:7" ht="15.75" x14ac:dyDescent="0.25">
      <c r="A111" s="364"/>
      <c r="B111" s="570" t="str">
        <f ca="1">SUMMARY!B15</f>
        <v>ROOFING &amp; METAL CLADDING</v>
      </c>
      <c r="C111" s="571"/>
      <c r="D111" s="572"/>
      <c r="E111" s="446">
        <f>IFERROR('Labour Rates'!D13,0)</f>
        <v>97.75</v>
      </c>
      <c r="F111" s="367"/>
      <c r="G111" s="416"/>
    </row>
    <row r="112" spans="1:7" ht="15.75" x14ac:dyDescent="0.25">
      <c r="A112" s="364"/>
      <c r="B112" s="570" t="str">
        <f ca="1">SUMMARY!B16</f>
        <v>EXTERNAL CLADDING</v>
      </c>
      <c r="C112" s="571"/>
      <c r="D112" s="572"/>
      <c r="E112" s="446">
        <f>IFERROR('Labour Rates'!D14,0)</f>
        <v>91.43</v>
      </c>
      <c r="F112" s="367"/>
      <c r="G112" s="416"/>
    </row>
    <row r="113" spans="1:7" ht="15.75" x14ac:dyDescent="0.25">
      <c r="A113" s="364"/>
      <c r="B113" s="570" t="str">
        <f ca="1">SUMMARY!B17</f>
        <v>CEILINGS &amp; PARTITIONS</v>
      </c>
      <c r="C113" s="571"/>
      <c r="D113" s="572"/>
      <c r="E113" s="446">
        <f>IFERROR('Labour Rates'!D15,0)</f>
        <v>86.05</v>
      </c>
      <c r="F113" s="367"/>
      <c r="G113" s="416"/>
    </row>
    <row r="114" spans="1:7" ht="15.75" x14ac:dyDescent="0.25">
      <c r="A114" s="364"/>
      <c r="B114" s="570" t="str">
        <f ca="1">SUMMARY!B18</f>
        <v>CARPENTRY</v>
      </c>
      <c r="C114" s="571"/>
      <c r="D114" s="572"/>
      <c r="E114" s="446">
        <f>IFERROR('Labour Rates'!D16,0)</f>
        <v>91.43</v>
      </c>
      <c r="F114" s="367"/>
      <c r="G114" s="416"/>
    </row>
    <row r="115" spans="1:7" ht="15.75" x14ac:dyDescent="0.25">
      <c r="A115" s="364"/>
      <c r="B115" s="570" t="str">
        <f ca="1">SUMMARY!B19</f>
        <v>STRUCTURAL STEEL</v>
      </c>
      <c r="C115" s="571"/>
      <c r="D115" s="572"/>
      <c r="E115" s="446">
        <f>IFERROR('Labour Rates'!D17,0)</f>
        <v>91.43</v>
      </c>
      <c r="F115" s="367"/>
      <c r="G115" s="416"/>
    </row>
    <row r="116" spans="1:7" ht="15.75" x14ac:dyDescent="0.25">
      <c r="A116" s="364"/>
      <c r="B116" s="570" t="str">
        <f ca="1">SUMMARY!B20</f>
        <v>METALWORK</v>
      </c>
      <c r="C116" s="571"/>
      <c r="D116" s="572"/>
      <c r="E116" s="446">
        <f>IFERROR('Labour Rates'!D18,0)</f>
        <v>80.84</v>
      </c>
      <c r="F116" s="367"/>
      <c r="G116" s="416"/>
    </row>
    <row r="117" spans="1:7" ht="15.75" x14ac:dyDescent="0.25">
      <c r="A117" s="364"/>
      <c r="B117" s="570" t="str">
        <f ca="1">SUMMARY!B21</f>
        <v>PLUMBING</v>
      </c>
      <c r="C117" s="571"/>
      <c r="D117" s="572"/>
      <c r="E117" s="446">
        <f>IFERROR('Labour Rates'!D19,0)</f>
        <v>100.05</v>
      </c>
      <c r="F117" s="367"/>
      <c r="G117" s="416"/>
    </row>
    <row r="118" spans="1:7" ht="15.75" hidden="1" x14ac:dyDescent="0.25">
      <c r="A118" s="364"/>
      <c r="B118" s="570" t="str">
        <f ca="1">SUMMARY!B22</f>
        <v>PLUMBING PC ITEM</v>
      </c>
      <c r="C118" s="571"/>
      <c r="D118" s="572"/>
      <c r="E118" s="446">
        <f>IFERROR('Labour Rates'!D20,0)</f>
        <v>0</v>
      </c>
      <c r="F118" s="367"/>
      <c r="G118" s="416"/>
    </row>
    <row r="119" spans="1:7" ht="15.75" x14ac:dyDescent="0.25">
      <c r="A119" s="364"/>
      <c r="B119" s="570" t="str">
        <f ca="1">SUMMARY!B23</f>
        <v>ELECTRICAL</v>
      </c>
      <c r="C119" s="571"/>
      <c r="D119" s="572"/>
      <c r="E119" s="446">
        <f>IFERROR('Labour Rates'!D21,0)</f>
        <v>98.49</v>
      </c>
      <c r="F119" s="367"/>
      <c r="G119" s="416"/>
    </row>
    <row r="120" spans="1:7" ht="15.75" hidden="1" x14ac:dyDescent="0.25">
      <c r="A120" s="364"/>
      <c r="B120" s="570" t="str">
        <f ca="1">SUMMARY!B24</f>
        <v>ELECTRICAL PC ITEM</v>
      </c>
      <c r="C120" s="571"/>
      <c r="D120" s="572"/>
      <c r="E120" s="446">
        <f>IFERROR('Labour Rates'!D22,0)</f>
        <v>0</v>
      </c>
      <c r="F120" s="367"/>
      <c r="G120" s="416"/>
    </row>
    <row r="121" spans="1:7" ht="15.75" x14ac:dyDescent="0.25">
      <c r="A121" s="364"/>
      <c r="B121" s="570" t="str">
        <f ca="1">SUMMARY!B25</f>
        <v>MECHANICAL</v>
      </c>
      <c r="C121" s="571"/>
      <c r="D121" s="572"/>
      <c r="E121" s="446">
        <f>IFERROR('Labour Rates'!D23,0)</f>
        <v>108.1</v>
      </c>
      <c r="F121" s="367"/>
    </row>
    <row r="122" spans="1:7" ht="15.75" x14ac:dyDescent="0.25">
      <c r="A122" s="364"/>
      <c r="B122" s="570" t="str">
        <f ca="1">SUMMARY!B26</f>
        <v>FIRE</v>
      </c>
      <c r="C122" s="571"/>
      <c r="D122" s="572"/>
      <c r="E122" s="446">
        <f>IFERROR('Labour Rates'!D24,0)</f>
        <v>100.05</v>
      </c>
      <c r="F122" s="367"/>
      <c r="G122" s="416"/>
    </row>
    <row r="123" spans="1:7" ht="15.75" x14ac:dyDescent="0.25">
      <c r="A123" s="364"/>
      <c r="B123" s="570" t="str">
        <f ca="1">SUMMARY!B27</f>
        <v>BLOCKWORK</v>
      </c>
      <c r="C123" s="571"/>
      <c r="D123" s="572"/>
      <c r="E123" s="446">
        <f>IFERROR('Labour Rates'!D25,0)</f>
        <v>95.58</v>
      </c>
      <c r="F123" s="367"/>
    </row>
    <row r="124" spans="1:7" ht="15.75" x14ac:dyDescent="0.25">
      <c r="A124" s="364"/>
      <c r="B124" s="570" t="str">
        <f ca="1">SUMMARY!B28</f>
        <v>RENDERING</v>
      </c>
      <c r="C124" s="571"/>
      <c r="D124" s="572"/>
      <c r="E124" s="446">
        <f>IFERROR('Labour Rates'!D26,0)</f>
        <v>83.7</v>
      </c>
      <c r="F124" s="367"/>
    </row>
    <row r="125" spans="1:7" ht="15.75" x14ac:dyDescent="0.25">
      <c r="A125" s="364"/>
      <c r="B125" s="570" t="str">
        <f ca="1">SUMMARY!B29</f>
        <v>PAINTING</v>
      </c>
      <c r="C125" s="571"/>
      <c r="D125" s="572"/>
      <c r="E125" s="446">
        <f>IFERROR('Labour Rates'!D27,0)</f>
        <v>79.77</v>
      </c>
      <c r="F125" s="367"/>
    </row>
    <row r="126" spans="1:7" ht="15.75" x14ac:dyDescent="0.25">
      <c r="A126" s="364"/>
      <c r="B126" s="570" t="str">
        <f ca="1">SUMMARY!B30</f>
        <v>JOINERY</v>
      </c>
      <c r="C126" s="571"/>
      <c r="D126" s="572"/>
      <c r="E126" s="446">
        <f>IFERROR('Labour Rates'!D28,0)</f>
        <v>91.43</v>
      </c>
      <c r="F126" s="367"/>
    </row>
    <row r="127" spans="1:7" ht="15.75" x14ac:dyDescent="0.25">
      <c r="A127" s="364"/>
      <c r="B127" s="570" t="str">
        <f ca="1">SUMMARY!B31</f>
        <v>WINDOWS &amp; DOORS</v>
      </c>
      <c r="C127" s="571"/>
      <c r="D127" s="572"/>
      <c r="E127" s="446">
        <f>IFERROR('Labour Rates'!D29,0)</f>
        <v>91.43</v>
      </c>
      <c r="F127" s="367"/>
    </row>
    <row r="128" spans="1:7" ht="15.75" x14ac:dyDescent="0.25">
      <c r="A128" s="364"/>
      <c r="B128" s="570" t="str">
        <f ca="1">SUMMARY!B32</f>
        <v>WATERPROOFING</v>
      </c>
      <c r="C128" s="571"/>
      <c r="D128" s="572"/>
      <c r="E128" s="446">
        <f>IFERROR('Labour Rates'!D30,0)</f>
        <v>83.18</v>
      </c>
      <c r="F128" s="367"/>
    </row>
    <row r="129" spans="1:10" ht="15.75" x14ac:dyDescent="0.25">
      <c r="A129" s="364"/>
      <c r="B129" s="570" t="str">
        <f ca="1">SUMMARY!B33</f>
        <v>TILING</v>
      </c>
      <c r="C129" s="571"/>
      <c r="D129" s="572"/>
      <c r="E129" s="446">
        <f>IFERROR('Labour Rates'!D31,0)</f>
        <v>83.18</v>
      </c>
      <c r="F129" s="367"/>
    </row>
    <row r="130" spans="1:10" ht="15.75" x14ac:dyDescent="0.25">
      <c r="A130" s="364"/>
      <c r="B130" s="570" t="str">
        <f ca="1">SUMMARY!B34</f>
        <v>FLOOR FINISHES</v>
      </c>
      <c r="C130" s="571"/>
      <c r="D130" s="572"/>
      <c r="E130" s="446">
        <f>IFERROR('Labour Rates'!D32,0)</f>
        <v>58.87</v>
      </c>
      <c r="F130" s="367"/>
    </row>
    <row r="131" spans="1:10" ht="15.75" x14ac:dyDescent="0.25">
      <c r="A131" s="364"/>
      <c r="B131" s="570" t="str">
        <f ca="1">SUMMARY!B35</f>
        <v>LIFT</v>
      </c>
      <c r="C131" s="571"/>
      <c r="D131" s="572"/>
      <c r="E131" s="446">
        <f>IFERROR('Labour Rates'!D33,0)</f>
        <v>98.49</v>
      </c>
      <c r="F131" s="367"/>
    </row>
    <row r="132" spans="1:10" ht="15.75" x14ac:dyDescent="0.25">
      <c r="A132" s="364"/>
      <c r="B132" s="570" t="str">
        <f ca="1">SUMMARY!B36</f>
        <v>LANDSCAPING</v>
      </c>
      <c r="C132" s="571"/>
      <c r="D132" s="572"/>
      <c r="E132" s="446">
        <f>IFERROR('Labour Rates'!D34,0)</f>
        <v>80.84</v>
      </c>
      <c r="F132" s="367"/>
    </row>
    <row r="133" spans="1:10" ht="15.75" x14ac:dyDescent="0.25">
      <c r="A133" s="364"/>
      <c r="B133" s="570" t="str">
        <f ca="1">SUMMARY!B37</f>
        <v>FENCING</v>
      </c>
      <c r="C133" s="571"/>
      <c r="D133" s="572"/>
      <c r="E133" s="446">
        <f>IFERROR('Labour Rates'!D35,0)</f>
        <v>80.84</v>
      </c>
      <c r="F133" s="367"/>
    </row>
    <row r="134" spans="1:10" ht="15.75" x14ac:dyDescent="0.25">
      <c r="A134" s="364"/>
      <c r="B134" s="570" t="str">
        <f ca="1">SUMMARY!B38</f>
        <v>MISCELLANEOUS</v>
      </c>
      <c r="C134" s="571"/>
      <c r="D134" s="572"/>
      <c r="E134" s="446">
        <f>IFERROR('Labour Rates'!D36,0)</f>
        <v>80.84</v>
      </c>
      <c r="F134" s="367"/>
    </row>
    <row r="135" spans="1:10" ht="15.75" x14ac:dyDescent="0.25">
      <c r="A135" s="364"/>
      <c r="B135" s="576"/>
      <c r="C135" s="577"/>
      <c r="D135" s="577"/>
      <c r="E135" s="578"/>
      <c r="F135" s="367"/>
    </row>
    <row r="136" spans="1:10" ht="15.75" x14ac:dyDescent="0.25">
      <c r="A136" s="364"/>
      <c r="B136" s="541" t="s">
        <v>45</v>
      </c>
      <c r="C136" s="569"/>
      <c r="D136" s="569"/>
      <c r="E136" s="542"/>
      <c r="F136" s="367"/>
    </row>
    <row r="137" spans="1:10" ht="15.75" x14ac:dyDescent="0.25">
      <c r="A137" s="364"/>
      <c r="B137" s="539"/>
      <c r="C137" s="568"/>
      <c r="D137" s="568"/>
      <c r="E137" s="540"/>
      <c r="F137" s="367"/>
    </row>
    <row r="138" spans="1:10" ht="33" customHeight="1" x14ac:dyDescent="0.25">
      <c r="A138" s="364"/>
      <c r="B138" s="566" t="s">
        <v>2306</v>
      </c>
      <c r="C138" s="567"/>
      <c r="D138" s="567"/>
      <c r="E138" s="540"/>
      <c r="F138" s="367"/>
    </row>
    <row r="139" spans="1:10" ht="49.5" customHeight="1" x14ac:dyDescent="0.25">
      <c r="A139" s="364"/>
      <c r="B139" s="566" t="s">
        <v>2305</v>
      </c>
      <c r="C139" s="567"/>
      <c r="D139" s="567"/>
      <c r="E139" s="540"/>
      <c r="F139" s="367"/>
      <c r="J139" s="416"/>
    </row>
    <row r="140" spans="1:10" ht="48" customHeight="1" x14ac:dyDescent="0.25">
      <c r="A140" s="364"/>
      <c r="B140" s="566" t="s">
        <v>2304</v>
      </c>
      <c r="C140" s="567"/>
      <c r="D140" s="567"/>
      <c r="E140" s="540"/>
      <c r="F140" s="367"/>
      <c r="J140" s="416"/>
    </row>
    <row r="141" spans="1:10" ht="49.5" customHeight="1" x14ac:dyDescent="0.25">
      <c r="A141" s="364"/>
      <c r="B141" s="566" t="s">
        <v>2303</v>
      </c>
      <c r="C141" s="568"/>
      <c r="D141" s="568"/>
      <c r="E141" s="540"/>
      <c r="F141" s="367"/>
      <c r="J141" s="416"/>
    </row>
    <row r="142" spans="1:10" ht="18.75" customHeight="1" x14ac:dyDescent="0.25">
      <c r="A142" s="364"/>
      <c r="B142" s="585" t="s">
        <v>162</v>
      </c>
      <c r="C142" s="569"/>
      <c r="D142" s="569"/>
      <c r="E142" s="542"/>
      <c r="F142" s="367"/>
    </row>
    <row r="143" spans="1:10" ht="66" customHeight="1" x14ac:dyDescent="0.25">
      <c r="A143" s="364"/>
      <c r="B143" s="539" t="s">
        <v>44</v>
      </c>
      <c r="C143" s="568"/>
      <c r="D143" s="568"/>
      <c r="E143" s="540"/>
      <c r="F143" s="367"/>
    </row>
    <row r="144" spans="1:10" ht="49.5" customHeight="1" x14ac:dyDescent="0.25">
      <c r="A144" s="364"/>
      <c r="B144" s="539" t="s">
        <v>720</v>
      </c>
      <c r="C144" s="568"/>
      <c r="D144" s="568"/>
      <c r="E144" s="540"/>
      <c r="F144" s="367"/>
    </row>
    <row r="145" spans="1:6" ht="35.25" customHeight="1" x14ac:dyDescent="0.25">
      <c r="A145" s="364"/>
      <c r="B145" s="539" t="s">
        <v>43</v>
      </c>
      <c r="C145" s="568"/>
      <c r="D145" s="568"/>
      <c r="E145" s="540"/>
      <c r="F145" s="367"/>
    </row>
    <row r="146" spans="1:6" ht="49.5" customHeight="1" x14ac:dyDescent="0.25">
      <c r="A146" s="364"/>
      <c r="B146" s="539" t="s">
        <v>163</v>
      </c>
      <c r="C146" s="568"/>
      <c r="D146" s="568"/>
      <c r="E146" s="540"/>
      <c r="F146" s="367"/>
    </row>
    <row r="147" spans="1:6" ht="21" customHeight="1" x14ac:dyDescent="0.25">
      <c r="A147" s="364"/>
      <c r="B147" s="539"/>
      <c r="C147" s="568"/>
      <c r="D147" s="568"/>
      <c r="E147" s="540"/>
      <c r="F147" s="367"/>
    </row>
    <row r="148" spans="1:6" x14ac:dyDescent="0.25">
      <c r="A148" s="374"/>
      <c r="B148" s="375"/>
      <c r="C148" s="375"/>
      <c r="D148" s="375"/>
      <c r="E148" s="376"/>
      <c r="F148" s="377"/>
    </row>
    <row r="149" spans="1:6" ht="21" customHeight="1" x14ac:dyDescent="0.25">
      <c r="B149" s="583"/>
      <c r="C149" s="583"/>
      <c r="D149" s="583"/>
      <c r="E149" s="583"/>
    </row>
    <row r="150" spans="1:6" ht="33" customHeight="1" x14ac:dyDescent="0.25">
      <c r="B150" s="545"/>
      <c r="C150" s="545"/>
      <c r="D150" s="545"/>
      <c r="E150" s="545"/>
    </row>
    <row r="151" spans="1:6" ht="27.75" customHeight="1" x14ac:dyDescent="0.25">
      <c r="B151" s="545"/>
      <c r="C151" s="545"/>
      <c r="D151" s="545"/>
      <c r="E151" s="545"/>
    </row>
    <row r="152" spans="1:6" ht="16.5" customHeight="1" x14ac:dyDescent="0.25">
      <c r="B152" s="391"/>
      <c r="C152" s="391"/>
      <c r="D152" s="391"/>
      <c r="E152" s="391"/>
    </row>
    <row r="153" spans="1:6" ht="15" x14ac:dyDescent="0.25">
      <c r="B153" s="584"/>
      <c r="C153" s="584"/>
      <c r="D153" s="584"/>
      <c r="E153" s="584"/>
    </row>
    <row r="154" spans="1:6" ht="38.25" customHeight="1" x14ac:dyDescent="0.25">
      <c r="B154" s="545"/>
      <c r="C154" s="545"/>
      <c r="D154" s="545"/>
      <c r="E154" s="545"/>
    </row>
    <row r="155" spans="1:6" ht="45" customHeight="1" x14ac:dyDescent="0.25">
      <c r="B155" s="545"/>
      <c r="C155" s="545"/>
      <c r="D155" s="545"/>
      <c r="E155" s="545"/>
    </row>
    <row r="156" spans="1:6" ht="38.25" customHeight="1" x14ac:dyDescent="0.25">
      <c r="B156" s="545"/>
      <c r="C156" s="545"/>
      <c r="D156" s="545"/>
      <c r="E156" s="545"/>
    </row>
  </sheetData>
  <mergeCells count="134">
    <mergeCell ref="B40:D40"/>
    <mergeCell ref="B43:D43"/>
    <mergeCell ref="B133:D133"/>
    <mergeCell ref="B119:D119"/>
    <mergeCell ref="B121:D121"/>
    <mergeCell ref="B126:D126"/>
    <mergeCell ref="B118:D118"/>
    <mergeCell ref="B120:D120"/>
    <mergeCell ref="B132:D132"/>
    <mergeCell ref="B102:D102"/>
    <mergeCell ref="B127:D127"/>
    <mergeCell ref="B128:D128"/>
    <mergeCell ref="B129:D129"/>
    <mergeCell ref="B130:D130"/>
    <mergeCell ref="B131:D131"/>
    <mergeCell ref="B114:D114"/>
    <mergeCell ref="B115:D115"/>
    <mergeCell ref="B116:D116"/>
    <mergeCell ref="B117:D117"/>
    <mergeCell ref="B61:E61"/>
    <mergeCell ref="B62:E62"/>
    <mergeCell ref="B64:E64"/>
    <mergeCell ref="B63:E63"/>
    <mergeCell ref="B109:D109"/>
    <mergeCell ref="B54:E54"/>
    <mergeCell ref="B103:D103"/>
    <mergeCell ref="B98:E98"/>
    <mergeCell ref="B93:E93"/>
    <mergeCell ref="B122:D122"/>
    <mergeCell ref="B105:D105"/>
    <mergeCell ref="B42:D42"/>
    <mergeCell ref="B41:D41"/>
    <mergeCell ref="B71:E71"/>
    <mergeCell ref="B74:E74"/>
    <mergeCell ref="B81:E81"/>
    <mergeCell ref="B112:D112"/>
    <mergeCell ref="B113:D113"/>
    <mergeCell ref="B100:E100"/>
    <mergeCell ref="B69:E69"/>
    <mergeCell ref="B72:E72"/>
    <mergeCell ref="B91:E91"/>
    <mergeCell ref="B60:E60"/>
    <mergeCell ref="B90:E90"/>
    <mergeCell ref="B65:E65"/>
    <mergeCell ref="B88:E88"/>
    <mergeCell ref="B79:E79"/>
    <mergeCell ref="B59:E59"/>
    <mergeCell ref="B89:E89"/>
    <mergeCell ref="A1:B4"/>
    <mergeCell ref="B5:E5"/>
    <mergeCell ref="B6:E6"/>
    <mergeCell ref="C1:F4"/>
    <mergeCell ref="B7:E7"/>
    <mergeCell ref="B8:E8"/>
    <mergeCell ref="B14:E14"/>
    <mergeCell ref="B15:E15"/>
    <mergeCell ref="B20:E20"/>
    <mergeCell ref="B10:E10"/>
    <mergeCell ref="B11:E11"/>
    <mergeCell ref="B9:E9"/>
    <mergeCell ref="B12:E12"/>
    <mergeCell ref="B13:E13"/>
    <mergeCell ref="D17:E17"/>
    <mergeCell ref="B19:E19"/>
    <mergeCell ref="D16:E16"/>
    <mergeCell ref="D18:E18"/>
    <mergeCell ref="B21:E21"/>
    <mergeCell ref="B37:D37"/>
    <mergeCell ref="B38:D38"/>
    <mergeCell ref="B73:E73"/>
    <mergeCell ref="B49:E49"/>
    <mergeCell ref="B50:E50"/>
    <mergeCell ref="B84:E84"/>
    <mergeCell ref="B66:E66"/>
    <mergeCell ref="B82:E82"/>
    <mergeCell ref="B75:E75"/>
    <mergeCell ref="B46:D46"/>
    <mergeCell ref="B53:E53"/>
    <mergeCell ref="B58:E58"/>
    <mergeCell ref="B48:E48"/>
    <mergeCell ref="B51:E51"/>
    <mergeCell ref="B36:E36"/>
    <mergeCell ref="B39:D39"/>
    <mergeCell ref="B57:E57"/>
    <mergeCell ref="B56:E56"/>
    <mergeCell ref="B44:D44"/>
    <mergeCell ref="B45:D45"/>
    <mergeCell ref="B55:E55"/>
    <mergeCell ref="B47:E47"/>
    <mergeCell ref="B52:E52"/>
    <mergeCell ref="B156:E156"/>
    <mergeCell ref="B149:E149"/>
    <mergeCell ref="B140:E140"/>
    <mergeCell ref="B141:E141"/>
    <mergeCell ref="B150:E150"/>
    <mergeCell ref="B143:E143"/>
    <mergeCell ref="B155:E155"/>
    <mergeCell ref="B151:E151"/>
    <mergeCell ref="B145:E145"/>
    <mergeCell ref="B153:E153"/>
    <mergeCell ref="B147:E147"/>
    <mergeCell ref="B154:E154"/>
    <mergeCell ref="B144:E144"/>
    <mergeCell ref="B146:E146"/>
    <mergeCell ref="B142:E142"/>
    <mergeCell ref="B67:E67"/>
    <mergeCell ref="B83:E83"/>
    <mergeCell ref="B80:E80"/>
    <mergeCell ref="B92:E92"/>
    <mergeCell ref="B76:E76"/>
    <mergeCell ref="B70:E70"/>
    <mergeCell ref="B77:E77"/>
    <mergeCell ref="B78:E78"/>
    <mergeCell ref="B86:E86"/>
    <mergeCell ref="B87:E87"/>
    <mergeCell ref="B139:E139"/>
    <mergeCell ref="B137:E137"/>
    <mergeCell ref="B96:E96"/>
    <mergeCell ref="B136:E136"/>
    <mergeCell ref="B97:E97"/>
    <mergeCell ref="B123:D123"/>
    <mergeCell ref="B124:D124"/>
    <mergeCell ref="B125:D125"/>
    <mergeCell ref="B138:E138"/>
    <mergeCell ref="B107:D107"/>
    <mergeCell ref="B106:D106"/>
    <mergeCell ref="B110:D110"/>
    <mergeCell ref="B104:D104"/>
    <mergeCell ref="B101:D101"/>
    <mergeCell ref="B135:E135"/>
    <mergeCell ref="B111:D111"/>
    <mergeCell ref="B134:D134"/>
    <mergeCell ref="B108:D108"/>
    <mergeCell ref="B99:E99"/>
  </mergeCells>
  <conditionalFormatting sqref="B5:E5">
    <cfRule type="containsText" dxfId="241" priority="4" operator="containsText" text="Project Name">
      <formula>NOT(ISERROR(SEARCH("Project Name",B5)))</formula>
    </cfRule>
  </conditionalFormatting>
  <conditionalFormatting sqref="B6:E6">
    <cfRule type="containsText" dxfId="240" priority="3" operator="containsText" text="Site Address">
      <formula>NOT(ISERROR(SEARCH("Site Address",B6)))</formula>
    </cfRule>
  </conditionalFormatting>
  <dataValidations count="5">
    <dataValidation type="list" allowBlank="1" showInputMessage="1" showErrorMessage="1" sqref="B9:E9" xr:uid="{00000000-0002-0000-0200-000000000000}">
      <formula1>"Domestic,Commercial"</formula1>
    </dataValidation>
    <dataValidation type="list" allowBlank="1" showInputMessage="1" showErrorMessage="1" sqref="B10:E10" xr:uid="{00000000-0002-0000-0200-000001000000}">
      <formula1>"1,2,3,4,5,6,7,8,9,10,11,12,13,14,15,16,17,18,19,20"</formula1>
    </dataValidation>
    <dataValidation type="list" allowBlank="1" showInputMessage="1" showErrorMessage="1" sqref="B11:E11" xr:uid="{406B9183-11E3-46CF-8A2E-434648FBA094}">
      <formula1>"1,2,3,4,5,6,7,8,9"</formula1>
    </dataValidation>
    <dataValidation type="list" allowBlank="1" showInputMessage="1" showErrorMessage="1" sqref="C18" xr:uid="{A40D114E-F42D-4F01-B51C-C55CF96E7C70}">
      <formula1>"Average,Quality,Prestige"</formula1>
    </dataValidation>
    <dataValidation type="list" allowBlank="1" showInputMessage="1" showErrorMessage="1" sqref="C16" xr:uid="{BF040892-57A6-4AF0-B09C-C5219AADAAC6}">
      <formula1>"SA,QLD,VIC,WA,NSW,ACT,NT,TAS"</formula1>
    </dataValidation>
  </dataValidations>
  <pageMargins left="0.70866141732283472" right="0.70866141732283472" top="0.74803149606299213" bottom="0.74803149606299213" header="0.31496062992125984" footer="0.31496062992125984"/>
  <pageSetup scale="50" orientation="portrait" r:id="rId1"/>
  <rowBreaks count="1" manualBreakCount="1">
    <brk id="55" max="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rgb="FF00B050"/>
  </sheetPr>
  <dimension ref="A1:S104"/>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x14ac:dyDescent="0.25"/>
  <cols>
    <col min="1" max="1" width="12.42578125" style="25" bestFit="1" customWidth="1"/>
    <col min="2" max="2" width="59.1406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col min="12" max="12" width="17.5703125" style="25" customWidth="1"/>
    <col min="13" max="13" width="33.42578125" style="88" customWidth="1"/>
    <col min="14" max="14" width="18.5703125" style="88" customWidth="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'Ceilings &amp; Partitions'!A2+1</f>
        <v>13</v>
      </c>
      <c r="B2" s="73" t="s" cm="1">
        <v>2443</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13.01</v>
      </c>
      <c r="B3" s="163" t="s">
        <v>652</v>
      </c>
      <c r="C3" s="83">
        <v>15</v>
      </c>
      <c r="D3" s="29" t="s">
        <v>5</v>
      </c>
      <c r="E3" s="85"/>
      <c r="F3" s="86">
        <f>IF(E3="inc",0,IF(C3="",0,C3*E3))</f>
        <v>0</v>
      </c>
      <c r="G3" s="208"/>
      <c r="H3" s="30"/>
      <c r="I3" s="30"/>
      <c r="J3" s="30"/>
      <c r="K3" s="30"/>
      <c r="L3" s="30"/>
      <c r="M3" s="87"/>
      <c r="N3" s="88"/>
      <c r="O3" s="25"/>
      <c r="P3" s="25"/>
      <c r="Q3" s="25"/>
      <c r="R3" s="25"/>
      <c r="S3" s="25"/>
    </row>
    <row r="4" spans="1:19" s="94" customFormat="1" ht="15.75" customHeight="1" x14ac:dyDescent="0.25">
      <c r="A4" s="24"/>
      <c r="B4" s="113" t="s">
        <v>2444</v>
      </c>
      <c r="C4" s="32">
        <v>15</v>
      </c>
      <c r="D4" s="32" t="s">
        <v>5</v>
      </c>
      <c r="E4" s="26"/>
      <c r="F4" s="33"/>
      <c r="G4" s="210"/>
      <c r="H4" s="26"/>
      <c r="I4" s="26"/>
      <c r="J4" s="26"/>
      <c r="K4" s="26"/>
      <c r="L4" s="26"/>
      <c r="M4" s="34"/>
      <c r="N4" s="32"/>
      <c r="O4" s="44"/>
    </row>
    <row r="5" spans="1:19" s="94" customFormat="1" ht="15.75" customHeight="1" x14ac:dyDescent="0.25">
      <c r="A5" s="24"/>
      <c r="B5" s="113"/>
      <c r="C5" s="32" t="s">
        <v>2346</v>
      </c>
      <c r="D5" s="32">
        <v>0</v>
      </c>
      <c r="E5" s="26"/>
      <c r="F5" s="33"/>
      <c r="G5" s="210"/>
      <c r="H5" s="26"/>
      <c r="I5" s="26"/>
      <c r="J5" s="26"/>
      <c r="K5" s="26"/>
      <c r="L5" s="26"/>
      <c r="M5" s="34"/>
      <c r="N5" s="32"/>
      <c r="O5" s="44"/>
    </row>
    <row r="6" spans="1:19" s="90" customFormat="1" ht="18.75" x14ac:dyDescent="0.25">
      <c r="A6" s="82">
        <f ca="1">IF(C6&gt;0,MAX($A$1:OFFSET(A6,-1,0))+0.01,"")</f>
        <v>13.02</v>
      </c>
      <c r="B6" s="114" t="s">
        <v>800</v>
      </c>
      <c r="C6" s="83">
        <v>1</v>
      </c>
      <c r="D6" s="29" t="s">
        <v>24</v>
      </c>
      <c r="E6" s="85"/>
      <c r="F6" s="86">
        <f>IF(E6="inc",0,IF(C6="",0,C6*E6))</f>
        <v>0</v>
      </c>
      <c r="G6" s="208"/>
      <c r="H6" s="30"/>
      <c r="I6" s="30"/>
      <c r="J6" s="30"/>
      <c r="K6" s="30"/>
      <c r="L6" s="30"/>
      <c r="M6" s="87"/>
      <c r="N6" s="88"/>
      <c r="O6" s="25"/>
      <c r="P6" s="25"/>
      <c r="Q6" s="25"/>
      <c r="R6" s="25"/>
      <c r="S6" s="25"/>
    </row>
    <row r="7" spans="1:19" s="94" customFormat="1" ht="15.75" x14ac:dyDescent="0.25">
      <c r="A7" s="24"/>
      <c r="B7" s="113" t="s">
        <v>2445</v>
      </c>
      <c r="C7" s="32">
        <v>5.4</v>
      </c>
      <c r="D7" s="32" t="s">
        <v>15</v>
      </c>
      <c r="E7" s="26"/>
      <c r="F7" s="33"/>
      <c r="G7" s="210"/>
      <c r="H7" s="26"/>
      <c r="I7" s="26"/>
      <c r="J7" s="26"/>
      <c r="K7" s="26"/>
      <c r="L7" s="26"/>
      <c r="M7" s="34"/>
      <c r="N7" s="32"/>
      <c r="O7" s="44"/>
    </row>
    <row r="8" spans="1:19" s="94" customFormat="1" ht="15.75" x14ac:dyDescent="0.25">
      <c r="A8" s="24"/>
      <c r="B8" s="113"/>
      <c r="C8" s="32" t="s">
        <v>2346</v>
      </c>
      <c r="D8" s="32">
        <v>0</v>
      </c>
      <c r="E8" s="26"/>
      <c r="F8" s="33"/>
      <c r="G8" s="210"/>
      <c r="H8" s="26"/>
      <c r="I8" s="26"/>
      <c r="J8" s="26"/>
      <c r="K8" s="26"/>
      <c r="L8" s="26"/>
      <c r="M8" s="34"/>
      <c r="N8" s="32"/>
      <c r="O8" s="44"/>
    </row>
    <row r="9" spans="1:19" s="90" customFormat="1" ht="18.75" x14ac:dyDescent="0.25">
      <c r="A9" s="82">
        <f ca="1">IF(C9&gt;0,MAX($A$1:OFFSET(A9,-1,0))+0.01,"")</f>
        <v>13.03</v>
      </c>
      <c r="B9" s="114" t="s">
        <v>801</v>
      </c>
      <c r="C9" s="83">
        <v>1</v>
      </c>
      <c r="D9" s="29" t="s">
        <v>24</v>
      </c>
      <c r="E9" s="85"/>
      <c r="F9" s="86">
        <f>IF(E9="inc",0,IF(C9="",0,C9*E9))</f>
        <v>0</v>
      </c>
      <c r="G9" s="208"/>
      <c r="H9" s="30"/>
      <c r="I9" s="30"/>
      <c r="J9" s="30"/>
      <c r="K9" s="30"/>
      <c r="L9" s="30"/>
      <c r="M9" s="87"/>
      <c r="N9" s="88"/>
      <c r="O9" s="25"/>
      <c r="P9" s="25"/>
      <c r="Q9" s="25"/>
      <c r="R9" s="25"/>
      <c r="S9" s="25"/>
    </row>
    <row r="10" spans="1:19" s="94" customFormat="1" ht="15.75" customHeight="1" x14ac:dyDescent="0.25">
      <c r="A10" s="24"/>
      <c r="B10" s="393" t="s">
        <v>2371</v>
      </c>
      <c r="C10" s="32">
        <v>1.7999999999999998</v>
      </c>
      <c r="D10" s="32" t="s">
        <v>15</v>
      </c>
      <c r="E10" s="26"/>
      <c r="F10" s="33"/>
      <c r="G10" s="210"/>
      <c r="H10" s="26"/>
      <c r="I10" s="26"/>
      <c r="J10" s="26"/>
      <c r="K10" s="26"/>
      <c r="L10" s="26"/>
      <c r="M10" s="34"/>
      <c r="N10" s="32"/>
      <c r="O10" s="44"/>
    </row>
    <row r="11" spans="1:19" s="94" customFormat="1" ht="15.75" customHeight="1" x14ac:dyDescent="0.25">
      <c r="A11" s="24"/>
      <c r="B11" s="113" t="s">
        <v>2372</v>
      </c>
      <c r="C11" s="32">
        <v>0.9</v>
      </c>
      <c r="D11" s="32" t="s">
        <v>15</v>
      </c>
      <c r="E11" s="26"/>
      <c r="F11" s="33"/>
      <c r="G11" s="210"/>
      <c r="H11" s="26"/>
      <c r="I11" s="26"/>
      <c r="J11" s="26"/>
      <c r="K11" s="26"/>
      <c r="L11" s="26"/>
      <c r="M11" s="34"/>
      <c r="N11" s="32"/>
      <c r="O11" s="44"/>
    </row>
    <row r="12" spans="1:19" s="94" customFormat="1" ht="15.75" customHeight="1" x14ac:dyDescent="0.25">
      <c r="A12" s="24"/>
      <c r="B12" s="113" t="s">
        <v>2372</v>
      </c>
      <c r="C12" s="32">
        <v>0.93</v>
      </c>
      <c r="D12" s="32" t="s">
        <v>15</v>
      </c>
      <c r="E12" s="26"/>
      <c r="F12" s="33"/>
      <c r="G12" s="210"/>
      <c r="H12" s="26"/>
      <c r="I12" s="26"/>
      <c r="J12" s="26"/>
      <c r="K12" s="26"/>
      <c r="L12" s="26"/>
      <c r="M12" s="34"/>
      <c r="N12" s="32"/>
      <c r="O12" s="44"/>
    </row>
    <row r="13" spans="1:19" s="94" customFormat="1" ht="15.75" customHeight="1" x14ac:dyDescent="0.25">
      <c r="A13" s="24"/>
      <c r="B13" s="113" t="s">
        <v>2372</v>
      </c>
      <c r="C13" s="32">
        <v>1.8</v>
      </c>
      <c r="D13" s="32" t="s">
        <v>15</v>
      </c>
      <c r="E13" s="26"/>
      <c r="F13" s="33"/>
      <c r="G13" s="210"/>
      <c r="H13" s="26"/>
      <c r="I13" s="26"/>
      <c r="J13" s="26"/>
      <c r="K13" s="26"/>
      <c r="L13" s="26"/>
      <c r="M13" s="34"/>
      <c r="N13" s="32"/>
      <c r="O13" s="44"/>
    </row>
    <row r="14" spans="1:19" s="94" customFormat="1" ht="15.75" customHeight="1" x14ac:dyDescent="0.25">
      <c r="A14" s="24"/>
      <c r="B14" s="113" t="s">
        <v>2373</v>
      </c>
      <c r="C14" s="32">
        <v>0.94</v>
      </c>
      <c r="D14" s="32" t="s">
        <v>15</v>
      </c>
      <c r="E14" s="26"/>
      <c r="F14" s="33"/>
      <c r="G14" s="210"/>
      <c r="H14" s="26"/>
      <c r="I14" s="26"/>
      <c r="J14" s="26"/>
      <c r="K14" s="26"/>
      <c r="L14" s="26"/>
      <c r="M14" s="34"/>
      <c r="N14" s="32"/>
      <c r="O14" s="44"/>
    </row>
    <row r="15" spans="1:19" s="94" customFormat="1" ht="15.75" customHeight="1" x14ac:dyDescent="0.25">
      <c r="A15" s="24"/>
      <c r="B15" s="113" t="s">
        <v>2373</v>
      </c>
      <c r="C15" s="32">
        <v>1.62</v>
      </c>
      <c r="D15" s="32" t="s">
        <v>15</v>
      </c>
      <c r="E15" s="26"/>
      <c r="F15" s="33"/>
      <c r="G15" s="210"/>
      <c r="H15" s="26"/>
      <c r="I15" s="26"/>
      <c r="J15" s="26"/>
      <c r="K15" s="26"/>
      <c r="L15" s="26"/>
      <c r="M15" s="34"/>
      <c r="N15" s="32"/>
      <c r="O15" s="44"/>
    </row>
    <row r="16" spans="1:19" s="94" customFormat="1" ht="15.75" customHeight="1" x14ac:dyDescent="0.25">
      <c r="A16" s="24"/>
      <c r="B16" s="113" t="s">
        <v>2374</v>
      </c>
      <c r="C16" s="32">
        <v>6.48</v>
      </c>
      <c r="D16" s="32" t="s">
        <v>15</v>
      </c>
      <c r="E16" s="26"/>
      <c r="F16" s="33"/>
      <c r="G16" s="210"/>
      <c r="H16" s="26"/>
      <c r="I16" s="26"/>
      <c r="J16" s="26"/>
      <c r="K16" s="26"/>
      <c r="L16" s="26"/>
      <c r="M16" s="34"/>
      <c r="N16" s="32"/>
      <c r="O16" s="44"/>
    </row>
    <row r="17" spans="1:19" s="94" customFormat="1" ht="15.75" x14ac:dyDescent="0.25">
      <c r="A17" s="24"/>
      <c r="B17" s="113"/>
      <c r="C17" s="32" t="s">
        <v>2346</v>
      </c>
      <c r="D17" s="32">
        <v>0</v>
      </c>
      <c r="E17" s="26"/>
      <c r="F17" s="33"/>
      <c r="G17" s="210"/>
      <c r="H17" s="26"/>
      <c r="I17" s="26"/>
      <c r="J17" s="26"/>
      <c r="K17" s="26"/>
      <c r="L17" s="26"/>
      <c r="M17" s="34"/>
      <c r="N17" s="32"/>
      <c r="O17" s="44"/>
    </row>
    <row r="18" spans="1:19" s="90" customFormat="1" ht="18.75" x14ac:dyDescent="0.25">
      <c r="A18" s="82">
        <f ca="1">IF(C18&gt;0,MAX($A$1:OFFSET(A18,-1,0))+0.01,"")</f>
        <v>13.04</v>
      </c>
      <c r="B18" s="114" t="s">
        <v>270</v>
      </c>
      <c r="C18" s="98">
        <v>189.67500000000001</v>
      </c>
      <c r="D18" s="29" t="s">
        <v>11</v>
      </c>
      <c r="E18" s="85"/>
      <c r="F18" s="86">
        <f>IF(E18="inc",0,IF(C18="",0,C18*E18))</f>
        <v>0</v>
      </c>
      <c r="G18" s="208"/>
      <c r="H18" s="30"/>
      <c r="I18" s="30"/>
      <c r="J18" s="30"/>
      <c r="K18" s="30"/>
      <c r="L18" s="30"/>
      <c r="M18" s="87"/>
      <c r="N18" s="88"/>
      <c r="O18" s="25"/>
      <c r="P18" s="25"/>
      <c r="Q18" s="25"/>
      <c r="R18" s="25"/>
      <c r="S18" s="25"/>
    </row>
    <row r="19" spans="1:19" s="94" customFormat="1" ht="15.75" x14ac:dyDescent="0.25">
      <c r="A19" s="24"/>
      <c r="B19" s="113" t="s">
        <v>858</v>
      </c>
      <c r="C19" s="32">
        <v>189.67500000000001</v>
      </c>
      <c r="D19" s="32" t="s">
        <v>11</v>
      </c>
      <c r="E19" s="26"/>
      <c r="F19" s="33"/>
      <c r="G19" s="210"/>
      <c r="H19" s="26"/>
      <c r="I19" s="26"/>
      <c r="J19" s="26"/>
      <c r="K19" s="26"/>
      <c r="L19" s="26"/>
      <c r="M19" s="34"/>
      <c r="N19" s="32"/>
      <c r="O19" s="44"/>
    </row>
    <row r="20" spans="1:19" s="94" customFormat="1" ht="15.75" x14ac:dyDescent="0.25">
      <c r="A20" s="24"/>
      <c r="B20" s="113"/>
      <c r="C20" s="32" t="s">
        <v>2346</v>
      </c>
      <c r="D20" s="32">
        <v>0</v>
      </c>
      <c r="E20" s="26"/>
      <c r="F20" s="33"/>
      <c r="G20" s="210"/>
      <c r="H20" s="26"/>
      <c r="I20" s="26"/>
      <c r="J20" s="26"/>
      <c r="K20" s="26"/>
      <c r="L20" s="26"/>
      <c r="M20" s="34"/>
      <c r="N20" s="32"/>
      <c r="O20" s="44"/>
    </row>
    <row r="21" spans="1:19" s="90" customFormat="1" ht="18.75" x14ac:dyDescent="0.25">
      <c r="A21" s="82">
        <f ca="1">IF(C21&gt;0,MAX($A$1:OFFSET(A21,-1,0))+0.01,"")</f>
        <v>13.049999999999999</v>
      </c>
      <c r="B21" s="114" t="s">
        <v>271</v>
      </c>
      <c r="C21" s="98">
        <v>70.781000000000006</v>
      </c>
      <c r="D21" s="29" t="s">
        <v>11</v>
      </c>
      <c r="E21" s="85"/>
      <c r="F21" s="86">
        <f>IF(E21="inc",0,IF(C21="",0,C21*E21))</f>
        <v>0</v>
      </c>
      <c r="G21" s="208"/>
      <c r="H21" s="30"/>
      <c r="I21" s="30"/>
      <c r="J21" s="30"/>
      <c r="K21" s="30"/>
      <c r="L21" s="30"/>
      <c r="M21" s="87"/>
      <c r="N21" s="88"/>
      <c r="O21" s="25"/>
      <c r="P21" s="25"/>
      <c r="Q21" s="25"/>
      <c r="R21" s="25"/>
      <c r="S21" s="25"/>
    </row>
    <row r="22" spans="1:19" s="94" customFormat="1" ht="15.75" x14ac:dyDescent="0.25">
      <c r="A22" s="24"/>
      <c r="B22" s="113" t="s">
        <v>858</v>
      </c>
      <c r="C22" s="32">
        <v>70.781000000000006</v>
      </c>
      <c r="D22" s="32" t="s">
        <v>11</v>
      </c>
      <c r="E22" s="26"/>
      <c r="F22" s="33"/>
      <c r="G22" s="210"/>
      <c r="H22" s="26"/>
      <c r="I22" s="26"/>
      <c r="J22" s="26"/>
      <c r="K22" s="26"/>
      <c r="L22" s="26"/>
      <c r="M22" s="34"/>
      <c r="N22" s="32"/>
      <c r="O22" s="44"/>
    </row>
    <row r="23" spans="1:19" s="94" customFormat="1" ht="15.75" x14ac:dyDescent="0.25">
      <c r="A23" s="24"/>
      <c r="B23" s="113"/>
      <c r="C23" s="32" t="s">
        <v>2346</v>
      </c>
      <c r="D23" s="32">
        <v>0</v>
      </c>
      <c r="E23" s="26"/>
      <c r="F23" s="33"/>
      <c r="G23" s="210"/>
      <c r="H23" s="26"/>
      <c r="I23" s="26"/>
      <c r="J23" s="26"/>
      <c r="K23" s="26"/>
      <c r="L23" s="26"/>
      <c r="M23" s="34"/>
      <c r="N23" s="32"/>
      <c r="O23" s="44"/>
    </row>
    <row r="24" spans="1:19" s="90" customFormat="1" ht="18.75" x14ac:dyDescent="0.25">
      <c r="A24" s="82">
        <f ca="1">IF(C24&gt;0,MAX($A$1:OFFSET(A24,-1,0))+0.01,"")</f>
        <v>13.059999999999999</v>
      </c>
      <c r="B24" s="114" t="s">
        <v>175</v>
      </c>
      <c r="C24" s="98">
        <v>77.400999999999996</v>
      </c>
      <c r="D24" s="29" t="s">
        <v>15</v>
      </c>
      <c r="E24" s="85"/>
      <c r="F24" s="86">
        <f>IF(E24="inc",0,IF(C24="",0,C24*E24))</f>
        <v>0</v>
      </c>
      <c r="G24" s="208"/>
      <c r="H24" s="30"/>
      <c r="I24" s="30"/>
      <c r="J24" s="30"/>
      <c r="K24" s="30"/>
      <c r="L24" s="30"/>
      <c r="M24" s="87"/>
      <c r="N24" s="88"/>
      <c r="O24" s="25"/>
      <c r="P24" s="25"/>
      <c r="Q24" s="25"/>
      <c r="R24" s="25"/>
      <c r="S24" s="25"/>
    </row>
    <row r="25" spans="1:19" s="94" customFormat="1" ht="15.75" x14ac:dyDescent="0.25">
      <c r="A25" s="24"/>
      <c r="B25" s="113"/>
      <c r="C25" s="32">
        <v>77.400999999999996</v>
      </c>
      <c r="D25" s="32" t="s">
        <v>15</v>
      </c>
      <c r="E25" s="26"/>
      <c r="F25" s="33"/>
      <c r="G25" s="210"/>
      <c r="H25" s="26"/>
      <c r="I25" s="26"/>
      <c r="J25" s="26"/>
      <c r="K25" s="26"/>
      <c r="L25" s="26"/>
      <c r="M25" s="34"/>
      <c r="N25" s="32"/>
      <c r="O25" s="44"/>
    </row>
    <row r="26" spans="1:19" s="94" customFormat="1" ht="15.75" x14ac:dyDescent="0.25">
      <c r="A26" s="24"/>
      <c r="B26" s="113"/>
      <c r="C26" s="32" t="s">
        <v>2346</v>
      </c>
      <c r="D26" s="32">
        <v>0</v>
      </c>
      <c r="E26" s="26"/>
      <c r="F26" s="33"/>
      <c r="G26" s="210"/>
      <c r="H26" s="26"/>
      <c r="I26" s="26"/>
      <c r="J26" s="26"/>
      <c r="K26" s="26"/>
      <c r="L26" s="26"/>
      <c r="M26" s="34"/>
      <c r="N26" s="32"/>
      <c r="O26" s="44"/>
    </row>
    <row r="27" spans="1:19" s="90" customFormat="1" ht="18.75" x14ac:dyDescent="0.25">
      <c r="A27" s="82">
        <f ca="1">IF(C27&gt;0,MAX($A$1:OFFSET(A27,-1,0))+0.01,"")</f>
        <v>13.069999999999999</v>
      </c>
      <c r="B27" s="114" t="s">
        <v>132</v>
      </c>
      <c r="C27" s="98">
        <v>45.05</v>
      </c>
      <c r="D27" s="29" t="e">
        <v>#REF!</v>
      </c>
      <c r="E27" s="85"/>
      <c r="F27" s="86">
        <f>IF(E27="inc",0,IF(C27="",0,C27*E27))</f>
        <v>0</v>
      </c>
      <c r="G27" s="208"/>
      <c r="H27" s="30"/>
      <c r="I27" s="30"/>
      <c r="J27" s="30"/>
      <c r="K27" s="30"/>
      <c r="L27" s="30"/>
      <c r="M27" s="87"/>
      <c r="N27" s="88"/>
      <c r="O27" s="25"/>
      <c r="P27" s="25"/>
      <c r="Q27" s="25"/>
      <c r="R27" s="25"/>
      <c r="S27" s="25"/>
    </row>
    <row r="28" spans="1:19" s="94" customFormat="1" ht="15.75" customHeight="1" x14ac:dyDescent="0.25">
      <c r="A28" s="24"/>
      <c r="B28" s="354" t="s">
        <v>132</v>
      </c>
      <c r="C28" s="32">
        <v>45.05</v>
      </c>
      <c r="D28" s="32" t="s">
        <v>11</v>
      </c>
      <c r="E28" s="26"/>
      <c r="F28" s="33"/>
      <c r="G28" s="210"/>
      <c r="H28" s="26"/>
      <c r="I28" s="26"/>
      <c r="J28" s="26"/>
      <c r="K28" s="26"/>
      <c r="L28" s="26"/>
      <c r="M28" s="34"/>
      <c r="N28" s="32"/>
      <c r="O28" s="44"/>
    </row>
    <row r="29" spans="1:19" s="94" customFormat="1" ht="15.75" customHeight="1" x14ac:dyDescent="0.25">
      <c r="A29" s="24"/>
      <c r="B29" s="113"/>
      <c r="C29" s="32" t="s">
        <v>2346</v>
      </c>
      <c r="D29" s="32">
        <v>0</v>
      </c>
      <c r="E29" s="26"/>
      <c r="F29" s="33"/>
      <c r="G29" s="210"/>
      <c r="H29" s="26"/>
      <c r="I29" s="26"/>
      <c r="J29" s="26"/>
      <c r="K29" s="26"/>
      <c r="L29" s="26"/>
      <c r="M29" s="34"/>
      <c r="N29" s="32"/>
      <c r="O29" s="44"/>
    </row>
    <row r="30" spans="1:19" s="90" customFormat="1" ht="18.75" x14ac:dyDescent="0.25">
      <c r="A30" s="82">
        <f ca="1">IF(C30&gt;0,MAX($A$1:OFFSET(A30,-1,0))+0.01,"")</f>
        <v>13.079999999999998</v>
      </c>
      <c r="B30" s="114" t="s">
        <v>2141</v>
      </c>
      <c r="C30" s="98">
        <v>1</v>
      </c>
      <c r="D30" s="29" t="s">
        <v>24</v>
      </c>
      <c r="E30" s="85"/>
      <c r="F30" s="86">
        <f>IF(E30="inc",0,IF(C30="",0,C30*E30))</f>
        <v>0</v>
      </c>
      <c r="G30" s="208"/>
      <c r="H30" s="30"/>
      <c r="I30" s="30"/>
      <c r="J30" s="30"/>
      <c r="K30" s="30"/>
      <c r="L30" s="30"/>
      <c r="M30" s="87"/>
      <c r="N30" s="88"/>
      <c r="O30" s="25"/>
      <c r="P30" s="25"/>
      <c r="Q30" s="25"/>
      <c r="R30" s="25"/>
      <c r="S30" s="25"/>
    </row>
    <row r="31" spans="1:19" s="94" customFormat="1" ht="15.75" customHeight="1" x14ac:dyDescent="0.25">
      <c r="A31" s="24"/>
      <c r="B31" s="354" t="s">
        <v>2138</v>
      </c>
      <c r="C31" s="32">
        <v>1</v>
      </c>
      <c r="D31" s="32" t="s">
        <v>5</v>
      </c>
      <c r="E31" s="26"/>
      <c r="F31" s="33"/>
      <c r="G31" s="210"/>
      <c r="H31" s="26"/>
      <c r="I31" s="26"/>
      <c r="J31" s="26"/>
      <c r="K31" s="26"/>
      <c r="L31" s="26"/>
      <c r="M31" s="34"/>
      <c r="N31" s="32"/>
      <c r="O31" s="44"/>
    </row>
    <row r="32" spans="1:19" s="94" customFormat="1" ht="15.75" customHeight="1" x14ac:dyDescent="0.25">
      <c r="A32" s="24"/>
      <c r="B32" s="113"/>
      <c r="C32" s="32" t="s">
        <v>2346</v>
      </c>
      <c r="D32" s="32">
        <v>0</v>
      </c>
      <c r="E32" s="26"/>
      <c r="F32" s="33"/>
      <c r="G32" s="210"/>
      <c r="H32" s="26"/>
      <c r="I32" s="26"/>
      <c r="J32" s="26"/>
      <c r="K32" s="26"/>
      <c r="L32" s="26"/>
      <c r="M32" s="34"/>
      <c r="N32" s="32"/>
      <c r="O32" s="44"/>
    </row>
    <row r="33" spans="1:19" s="90" customFormat="1" ht="18.75" x14ac:dyDescent="0.25">
      <c r="A33" s="82">
        <f ca="1">IF(C33&gt;0,MAX($A$1:OFFSET(A33,-1,0))+0.01,"")</f>
        <v>13.089999999999998</v>
      </c>
      <c r="B33" s="164" t="s">
        <v>2142</v>
      </c>
      <c r="C33" s="97">
        <v>1</v>
      </c>
      <c r="D33" s="29" t="s">
        <v>24</v>
      </c>
      <c r="E33" s="85"/>
      <c r="F33" s="86">
        <f>IF(E33="inc",0,IF(C33="",0,C33*E33))</f>
        <v>0</v>
      </c>
      <c r="G33" s="208"/>
      <c r="H33" s="30"/>
      <c r="I33" s="30"/>
      <c r="J33" s="30"/>
      <c r="K33" s="30"/>
      <c r="L33" s="30"/>
      <c r="M33" s="87"/>
      <c r="N33" s="88"/>
      <c r="O33" s="25"/>
      <c r="P33" s="25"/>
      <c r="Q33" s="25"/>
      <c r="R33" s="25"/>
      <c r="S33" s="25"/>
    </row>
    <row r="34" spans="1:19" s="94" customFormat="1" ht="15.75" customHeight="1" x14ac:dyDescent="0.25">
      <c r="A34" s="24"/>
      <c r="B34" s="24" t="s">
        <v>2144</v>
      </c>
      <c r="C34" s="32">
        <v>1</v>
      </c>
      <c r="D34" s="32" t="s">
        <v>5</v>
      </c>
      <c r="E34" s="26"/>
      <c r="F34" s="33"/>
      <c r="G34" s="210"/>
      <c r="H34" s="26"/>
      <c r="I34" s="26"/>
      <c r="J34" s="26"/>
      <c r="K34" s="26"/>
      <c r="L34" s="26"/>
      <c r="M34" s="34"/>
      <c r="N34" s="32"/>
      <c r="O34" s="44"/>
    </row>
    <row r="35" spans="1:19" s="94" customFormat="1" ht="15.75" x14ac:dyDescent="0.25">
      <c r="A35" s="24"/>
      <c r="B35" s="113"/>
      <c r="C35" s="32" t="s">
        <v>2346</v>
      </c>
      <c r="D35" s="32">
        <v>0</v>
      </c>
      <c r="E35" s="26"/>
      <c r="F35" s="33"/>
      <c r="G35" s="210"/>
      <c r="H35" s="26"/>
      <c r="I35" s="26"/>
      <c r="J35" s="26"/>
      <c r="K35" s="26"/>
      <c r="L35" s="26"/>
      <c r="M35" s="34"/>
      <c r="N35" s="32"/>
      <c r="O35" s="44"/>
    </row>
    <row r="36" spans="1:19" s="90" customFormat="1" ht="18.75" x14ac:dyDescent="0.25">
      <c r="A36" s="82">
        <f ca="1">IF(C36&gt;0,MAX($A$1:OFFSET(A36,-1,0))+0.01,"")</f>
        <v>13.099999999999998</v>
      </c>
      <c r="B36" s="164" t="s">
        <v>797</v>
      </c>
      <c r="C36" s="97">
        <v>51.6</v>
      </c>
      <c r="D36" s="29" t="s">
        <v>15</v>
      </c>
      <c r="E36" s="85"/>
      <c r="F36" s="86">
        <f>IF(E36="inc",0,IF(C36="",0,C36*E36))</f>
        <v>0</v>
      </c>
      <c r="G36" s="208"/>
      <c r="H36" s="30"/>
      <c r="I36" s="30"/>
      <c r="J36" s="30"/>
      <c r="K36" s="30"/>
      <c r="L36" s="30"/>
      <c r="M36" s="87"/>
      <c r="N36" s="88"/>
      <c r="O36" s="25"/>
      <c r="P36" s="25"/>
      <c r="Q36" s="25"/>
      <c r="R36" s="25"/>
      <c r="S36" s="25"/>
    </row>
    <row r="37" spans="1:19" s="94" customFormat="1" ht="15.75" customHeight="1" x14ac:dyDescent="0.25">
      <c r="A37" s="24"/>
      <c r="B37" s="113" t="s">
        <v>2446</v>
      </c>
      <c r="C37" s="32">
        <v>51.6</v>
      </c>
      <c r="D37" s="32" t="s">
        <v>15</v>
      </c>
      <c r="E37" s="26"/>
      <c r="F37" s="33"/>
      <c r="G37" s="210"/>
      <c r="H37" s="26"/>
      <c r="I37" s="26"/>
      <c r="J37" s="26"/>
      <c r="K37" s="26"/>
      <c r="L37" s="26"/>
      <c r="M37" s="34"/>
      <c r="N37" s="32"/>
      <c r="O37" s="44"/>
    </row>
    <row r="38" spans="1:19" s="94" customFormat="1" ht="15.75" x14ac:dyDescent="0.25">
      <c r="A38" s="24"/>
      <c r="B38" s="113"/>
      <c r="C38" s="32" t="s">
        <v>2346</v>
      </c>
      <c r="D38" s="32">
        <v>0</v>
      </c>
      <c r="E38" s="26"/>
      <c r="F38" s="33"/>
      <c r="G38" s="210"/>
      <c r="H38" s="26"/>
      <c r="I38" s="26"/>
      <c r="J38" s="26"/>
      <c r="K38" s="26"/>
      <c r="L38" s="26"/>
      <c r="M38" s="34"/>
      <c r="N38" s="32"/>
      <c r="O38" s="44"/>
    </row>
    <row r="39" spans="1:19" s="90" customFormat="1" ht="18.75" x14ac:dyDescent="0.25">
      <c r="A39" s="82">
        <f ca="1">IF(C39&gt;0,MAX($A$1:OFFSET(A39,-1,0))+0.01,"")</f>
        <v>13.109999999999998</v>
      </c>
      <c r="B39" s="114" t="s">
        <v>793</v>
      </c>
      <c r="C39" s="98">
        <v>5</v>
      </c>
      <c r="D39" s="29" t="s">
        <v>5</v>
      </c>
      <c r="E39" s="85"/>
      <c r="F39" s="86">
        <f>IF(E39="inc",0,IF(C39="",0,C39*E39))</f>
        <v>0</v>
      </c>
      <c r="G39" s="208"/>
      <c r="H39" s="30"/>
      <c r="I39" s="30"/>
      <c r="J39" s="30"/>
      <c r="K39" s="30"/>
      <c r="L39" s="30"/>
      <c r="M39" s="87"/>
      <c r="N39" s="88"/>
      <c r="O39" s="240" t="s">
        <v>538</v>
      </c>
      <c r="P39" s="240" t="s">
        <v>559</v>
      </c>
      <c r="Q39" s="94"/>
      <c r="R39" s="25"/>
      <c r="S39" s="25"/>
    </row>
    <row r="40" spans="1:19" s="94" customFormat="1" ht="15.75" x14ac:dyDescent="0.25">
      <c r="A40" s="24"/>
      <c r="B40" s="113" t="s">
        <v>2447</v>
      </c>
      <c r="C40" s="32">
        <v>1</v>
      </c>
      <c r="D40" s="32" t="s">
        <v>5</v>
      </c>
      <c r="E40" s="26"/>
      <c r="F40" s="33"/>
      <c r="G40" s="210"/>
      <c r="H40" s="26"/>
      <c r="I40" s="26"/>
      <c r="J40" s="26"/>
      <c r="K40" s="26"/>
      <c r="L40" s="26"/>
      <c r="M40" s="34"/>
      <c r="N40" s="32"/>
      <c r="O40" s="240" t="e">
        <f>IF(#REF!="up to 820mm",820,IF(#REF!="821mm to 920mm",920,IF(#REF!="921mm to 1220mm",1220,0)))</f>
        <v>#REF!</v>
      </c>
      <c r="P40" s="240" t="e">
        <f>IF(#REF!="2100mm",2100,IF(#REF!="2400mm",2400,IF(#REF!="2700mm",2700,0)))</f>
        <v>#REF!</v>
      </c>
    </row>
    <row r="41" spans="1:19" s="94" customFormat="1" ht="15.75" x14ac:dyDescent="0.25">
      <c r="A41" s="24"/>
      <c r="B41" s="113" t="s">
        <v>2448</v>
      </c>
      <c r="C41" s="32">
        <v>1</v>
      </c>
      <c r="D41" s="32" t="s">
        <v>5</v>
      </c>
      <c r="E41" s="26"/>
      <c r="F41" s="33"/>
      <c r="G41" s="210"/>
      <c r="H41" s="26"/>
      <c r="I41" s="26"/>
      <c r="J41" s="26"/>
      <c r="K41" s="26"/>
      <c r="L41" s="26"/>
      <c r="M41" s="34"/>
      <c r="N41" s="32"/>
      <c r="O41" s="240" t="e">
        <f>IF(#REF!="up to 820mm",820,IF(#REF!="821mm to 920mm",920,IF(#REF!="921mm to 1220mm",1220,0)))</f>
        <v>#REF!</v>
      </c>
      <c r="P41" s="240" t="e">
        <f>IF(#REF!="2100mm",2100,IF(#REF!="2400mm",2400,IF(#REF!="2700mm",2700,0)))</f>
        <v>#REF!</v>
      </c>
    </row>
    <row r="42" spans="1:19" s="94" customFormat="1" ht="47.25" x14ac:dyDescent="0.25">
      <c r="A42" s="24" t="s">
        <v>2375</v>
      </c>
      <c r="B42" s="113" t="s">
        <v>2448</v>
      </c>
      <c r="C42" s="32">
        <v>2</v>
      </c>
      <c r="D42" s="32" t="s">
        <v>5</v>
      </c>
      <c r="E42" s="26"/>
      <c r="F42" s="33"/>
      <c r="G42" s="210"/>
      <c r="H42" s="26"/>
      <c r="I42" s="26"/>
      <c r="J42" s="26"/>
      <c r="K42" s="26"/>
      <c r="L42" s="26"/>
      <c r="M42" s="34"/>
      <c r="N42" s="32"/>
      <c r="O42" s="240" t="e">
        <f>IF(#REF!="up to 820mm",820,IF(#REF!="821mm to 920mm",920,IF(#REF!="921mm to 1220mm",1220,0)))</f>
        <v>#REF!</v>
      </c>
      <c r="P42" s="240" t="e">
        <f>IF(#REF!="2100mm",2100,IF(#REF!="2400mm",2400,IF(#REF!="2700mm",2700,0)))</f>
        <v>#REF!</v>
      </c>
    </row>
    <row r="43" spans="1:19" s="94" customFormat="1" ht="47.25" x14ac:dyDescent="0.25">
      <c r="A43" s="24" t="s">
        <v>2376</v>
      </c>
      <c r="B43" s="113" t="s">
        <v>2448</v>
      </c>
      <c r="C43" s="32">
        <v>1</v>
      </c>
      <c r="D43" s="32" t="s">
        <v>5</v>
      </c>
      <c r="E43" s="26"/>
      <c r="F43" s="33"/>
      <c r="G43" s="210"/>
      <c r="H43" s="26"/>
      <c r="I43" s="26"/>
      <c r="J43" s="26"/>
      <c r="K43" s="26"/>
      <c r="L43" s="26"/>
      <c r="M43" s="34"/>
      <c r="N43" s="32"/>
      <c r="O43" s="240" t="e">
        <f>IF(#REF!="up to 820mm",820,IF(#REF!="821mm to 920mm",920,IF(#REF!="921mm to 1220mm",1220,0)))</f>
        <v>#REF!</v>
      </c>
      <c r="P43" s="240" t="e">
        <f>IF(#REF!="2100mm",2100,IF(#REF!="2400mm",2400,IF(#REF!="2700mm",2700,0)))</f>
        <v>#REF!</v>
      </c>
    </row>
    <row r="44" spans="1:19" s="94" customFormat="1" ht="15.75" x14ac:dyDescent="0.25">
      <c r="A44" s="24"/>
      <c r="B44" s="113"/>
      <c r="C44" s="32" t="s">
        <v>2346</v>
      </c>
      <c r="D44" s="32" t="s">
        <v>2346</v>
      </c>
      <c r="E44" s="26"/>
      <c r="F44" s="33"/>
      <c r="G44" s="210"/>
      <c r="H44" s="26"/>
      <c r="I44" s="26"/>
      <c r="J44" s="26"/>
      <c r="K44" s="26"/>
      <c r="L44" s="26"/>
      <c r="M44" s="34"/>
      <c r="N44" s="32"/>
      <c r="O44" s="240" t="e">
        <f>IF(#REF!="up to 820mm",820,IF(#REF!="821mm to 920mm",920,IF(#REF!="921mm to 1220mm",1220,0)))</f>
        <v>#REF!</v>
      </c>
      <c r="P44" s="240" t="e">
        <f>IF(#REF!="2100mm",2100,IF(#REF!="2400mm",2400,IF(#REF!="2700mm",2700,0)))</f>
        <v>#REF!</v>
      </c>
    </row>
    <row r="45" spans="1:19" s="90" customFormat="1" ht="18.75" x14ac:dyDescent="0.25">
      <c r="A45" s="82">
        <f ca="1">IF(C45&gt;0,MAX($A$1:OFFSET(A45,-1,0))+0.01,"")</f>
        <v>13.119999999999997</v>
      </c>
      <c r="B45" s="114" t="s">
        <v>794</v>
      </c>
      <c r="C45" s="98">
        <v>1</v>
      </c>
      <c r="D45" s="29" t="s">
        <v>5</v>
      </c>
      <c r="E45" s="85"/>
      <c r="F45" s="86">
        <f>IF(E45="inc",0,IF(C45="",0,C45*E45))</f>
        <v>0</v>
      </c>
      <c r="G45" s="208"/>
      <c r="H45" s="30"/>
      <c r="I45" s="30"/>
      <c r="J45" s="30"/>
      <c r="K45" s="30"/>
      <c r="L45" s="30"/>
      <c r="M45" s="87"/>
      <c r="N45" s="88"/>
      <c r="O45" s="240"/>
      <c r="P45" s="240"/>
      <c r="Q45" s="25"/>
      <c r="R45" s="25"/>
      <c r="S45" s="25"/>
    </row>
    <row r="46" spans="1:19" s="94" customFormat="1" ht="47.25" x14ac:dyDescent="0.25">
      <c r="A46" s="24" t="s">
        <v>2375</v>
      </c>
      <c r="B46" s="113" t="s">
        <v>2448</v>
      </c>
      <c r="C46" s="32">
        <v>1</v>
      </c>
      <c r="D46" s="32" t="s">
        <v>5</v>
      </c>
      <c r="E46" s="26"/>
      <c r="F46" s="33"/>
      <c r="G46" s="210"/>
      <c r="H46" s="26"/>
      <c r="I46" s="26"/>
      <c r="J46" s="26"/>
      <c r="K46" s="26"/>
      <c r="L46" s="26"/>
      <c r="M46" s="34"/>
      <c r="N46" s="32"/>
      <c r="O46" s="240" t="e">
        <f>IF(#REF!="up to 820mm",820,IF(#REF!="821mm to 920mm",920,IF(#REF!="921mm to 1220mm",1220,0)))</f>
        <v>#REF!</v>
      </c>
      <c r="P46" s="240" t="e">
        <f>IF(#REF!="2100mm",2100,IF(#REF!="2400mm",2400,IF(#REF!="2700mm",2700,0)))</f>
        <v>#REF!</v>
      </c>
    </row>
    <row r="47" spans="1:19" s="94" customFormat="1" ht="15.75" x14ac:dyDescent="0.25">
      <c r="A47" s="24"/>
      <c r="B47" s="113"/>
      <c r="C47" s="32" t="s">
        <v>2346</v>
      </c>
      <c r="D47" s="32" t="s">
        <v>2346</v>
      </c>
      <c r="E47" s="26"/>
      <c r="F47" s="33"/>
      <c r="G47" s="210"/>
      <c r="H47" s="26"/>
      <c r="I47" s="26"/>
      <c r="J47" s="26"/>
      <c r="K47" s="26"/>
      <c r="L47" s="26"/>
      <c r="M47" s="34"/>
      <c r="N47" s="32"/>
      <c r="O47" s="240" t="e">
        <f>IF(#REF!="up to 820mm",820,IF(#REF!="821mm to 920mm",920,IF(#REF!="921mm to 1220mm",1220,0)))</f>
        <v>#REF!</v>
      </c>
      <c r="P47" s="240" t="e">
        <f>IF(#REF!="2100mm",2100,IF(#REF!="2400mm",2400,IF(#REF!="2700mm",2700,0)))</f>
        <v>#REF!</v>
      </c>
    </row>
    <row r="48" spans="1:19" s="90" customFormat="1" ht="18.75" x14ac:dyDescent="0.25">
      <c r="A48" s="82">
        <f ca="1">IF(C48&gt;0,MAX($A$1:OFFSET(A48,-1,0))+0.01,"")</f>
        <v>13.129999999999997</v>
      </c>
      <c r="B48" s="114" t="s">
        <v>795</v>
      </c>
      <c r="C48" s="98">
        <v>6</v>
      </c>
      <c r="D48" s="29" t="s">
        <v>5</v>
      </c>
      <c r="E48" s="85"/>
      <c r="F48" s="86">
        <f>IF(E48="inc",0,IF(C48="",0,C48*E48))</f>
        <v>0</v>
      </c>
      <c r="G48" s="208"/>
      <c r="H48" s="30"/>
      <c r="I48" s="30"/>
      <c r="J48" s="30"/>
      <c r="K48" s="30"/>
      <c r="L48" s="30"/>
      <c r="M48" s="87"/>
      <c r="N48" s="88"/>
      <c r="O48" s="25"/>
      <c r="P48" s="25"/>
      <c r="Q48" s="25"/>
      <c r="R48" s="25"/>
      <c r="S48" s="25"/>
    </row>
    <row r="49" spans="1:19" s="94" customFormat="1" ht="15.75" x14ac:dyDescent="0.25">
      <c r="A49" s="24"/>
      <c r="B49" s="113" t="s">
        <v>2447</v>
      </c>
      <c r="C49" s="32">
        <v>1</v>
      </c>
      <c r="D49" s="32" t="s">
        <v>5</v>
      </c>
      <c r="E49" s="26"/>
      <c r="F49" s="33"/>
      <c r="G49" s="210"/>
      <c r="H49" s="26"/>
      <c r="I49" s="26"/>
      <c r="J49" s="26"/>
      <c r="K49" s="26"/>
      <c r="L49" s="26"/>
      <c r="M49" s="34"/>
      <c r="N49" s="32"/>
      <c r="O49" s="44"/>
    </row>
    <row r="50" spans="1:19" s="94" customFormat="1" ht="15.75" x14ac:dyDescent="0.25">
      <c r="A50" s="24"/>
      <c r="B50" s="113" t="s">
        <v>2448</v>
      </c>
      <c r="C50" s="32">
        <v>5</v>
      </c>
      <c r="D50" s="32" t="s">
        <v>5</v>
      </c>
      <c r="E50" s="26"/>
      <c r="F50" s="33"/>
      <c r="G50" s="210"/>
      <c r="H50" s="26"/>
      <c r="I50" s="26"/>
      <c r="J50" s="26"/>
      <c r="K50" s="26"/>
      <c r="L50" s="26"/>
      <c r="M50" s="34"/>
      <c r="N50" s="32"/>
      <c r="O50" s="44"/>
    </row>
    <row r="51" spans="1:19" s="94" customFormat="1" ht="15.75" x14ac:dyDescent="0.25">
      <c r="A51" s="24"/>
      <c r="B51" s="113"/>
      <c r="C51" s="32" t="s">
        <v>2346</v>
      </c>
      <c r="D51" s="32">
        <v>0</v>
      </c>
      <c r="E51" s="26"/>
      <c r="F51" s="33"/>
      <c r="G51" s="210"/>
      <c r="H51" s="26"/>
      <c r="I51" s="26"/>
      <c r="J51" s="26"/>
      <c r="K51" s="26"/>
      <c r="L51" s="26"/>
      <c r="M51" s="34"/>
      <c r="N51" s="32"/>
      <c r="O51" s="44"/>
    </row>
    <row r="52" spans="1:19" s="90" customFormat="1" ht="18.75" x14ac:dyDescent="0.25">
      <c r="A52" s="82">
        <f ca="1">IF(C52&gt;0,MAX($A$1:OFFSET(A52,-1,0))+0.01,"")</f>
        <v>13.139999999999997</v>
      </c>
      <c r="B52" s="114" t="s">
        <v>790</v>
      </c>
      <c r="C52" s="98">
        <v>3</v>
      </c>
      <c r="D52" s="29" t="s">
        <v>5</v>
      </c>
      <c r="E52" s="85"/>
      <c r="F52" s="86">
        <f>IF(E52="inc",0,IF(C52="",0,C52*E52))</f>
        <v>0</v>
      </c>
      <c r="G52" s="208"/>
      <c r="H52" s="30"/>
      <c r="I52" s="30"/>
      <c r="J52" s="30"/>
      <c r="K52" s="30"/>
      <c r="L52" s="30"/>
      <c r="M52" s="87"/>
      <c r="N52" s="88"/>
      <c r="O52" s="25"/>
      <c r="P52" s="25"/>
      <c r="Q52" s="25"/>
      <c r="R52" s="25"/>
      <c r="S52" s="25"/>
    </row>
    <row r="53" spans="1:19" s="94" customFormat="1" ht="15.75" x14ac:dyDescent="0.25">
      <c r="A53" s="24"/>
      <c r="B53" s="113" t="s">
        <v>2449</v>
      </c>
      <c r="C53" s="32">
        <v>3</v>
      </c>
      <c r="D53" s="32" t="s">
        <v>5</v>
      </c>
      <c r="E53" s="26"/>
      <c r="F53" s="33"/>
      <c r="G53" s="210"/>
      <c r="H53" s="26"/>
      <c r="I53" s="26"/>
      <c r="J53" s="26"/>
      <c r="K53" s="26"/>
      <c r="L53" s="26"/>
      <c r="M53" s="34"/>
      <c r="N53" s="32"/>
      <c r="O53" s="44"/>
    </row>
    <row r="54" spans="1:19" s="94" customFormat="1" ht="15.75" x14ac:dyDescent="0.25">
      <c r="A54" s="24"/>
      <c r="B54" s="113"/>
      <c r="C54" s="32" t="s">
        <v>2346</v>
      </c>
      <c r="D54" s="32">
        <v>0</v>
      </c>
      <c r="E54" s="26"/>
      <c r="F54" s="33"/>
      <c r="G54" s="210"/>
      <c r="H54" s="26"/>
      <c r="I54" s="26"/>
      <c r="J54" s="26"/>
      <c r="K54" s="26"/>
      <c r="L54" s="26"/>
      <c r="M54" s="34"/>
      <c r="N54" s="32"/>
      <c r="O54" s="44"/>
    </row>
    <row r="55" spans="1:19" s="90" customFormat="1" ht="18.75" x14ac:dyDescent="0.25">
      <c r="A55" s="82">
        <f ca="1">IF(C55&gt;0,MAX($A$1:OFFSET(A55,-1,0))+0.01,"")</f>
        <v>13.149999999999997</v>
      </c>
      <c r="B55" s="114" t="s">
        <v>791</v>
      </c>
      <c r="C55" s="98">
        <v>3</v>
      </c>
      <c r="D55" s="29" t="s">
        <v>5</v>
      </c>
      <c r="E55" s="85"/>
      <c r="F55" s="86">
        <f>IF(E55="inc",0,IF(C55="",0,C55*E55))</f>
        <v>0</v>
      </c>
      <c r="G55" s="208"/>
      <c r="H55" s="30"/>
      <c r="I55" s="30"/>
      <c r="J55" s="30"/>
      <c r="K55" s="30"/>
      <c r="L55" s="30"/>
      <c r="M55" s="87"/>
      <c r="N55" s="88"/>
      <c r="O55" s="25"/>
      <c r="P55" s="25"/>
      <c r="Q55" s="25"/>
      <c r="R55" s="25"/>
      <c r="S55" s="25"/>
    </row>
    <row r="56" spans="1:19" s="94" customFormat="1" ht="15.75" x14ac:dyDescent="0.25">
      <c r="A56" s="24"/>
      <c r="B56" s="113" t="s">
        <v>2450</v>
      </c>
      <c r="C56" s="32">
        <v>3</v>
      </c>
      <c r="D56" s="32" t="s">
        <v>5</v>
      </c>
      <c r="E56" s="26"/>
      <c r="F56" s="33"/>
      <c r="G56" s="210"/>
      <c r="H56" s="26"/>
      <c r="I56" s="26"/>
      <c r="J56" s="26"/>
      <c r="K56" s="26"/>
      <c r="L56" s="26"/>
      <c r="M56" s="34"/>
      <c r="N56" s="32"/>
      <c r="O56" s="44"/>
    </row>
    <row r="57" spans="1:19" s="94" customFormat="1" ht="15.75" x14ac:dyDescent="0.25">
      <c r="A57" s="24"/>
      <c r="B57" s="113"/>
      <c r="C57" s="32" t="s">
        <v>2346</v>
      </c>
      <c r="D57" s="32">
        <v>0</v>
      </c>
      <c r="E57" s="26"/>
      <c r="F57" s="33"/>
      <c r="G57" s="210"/>
      <c r="H57" s="26"/>
      <c r="I57" s="26"/>
      <c r="J57" s="26"/>
      <c r="K57" s="26"/>
      <c r="L57" s="26"/>
      <c r="M57" s="34"/>
      <c r="N57" s="32"/>
      <c r="O57" s="44"/>
    </row>
    <row r="58" spans="1:19" s="90" customFormat="1" ht="18.75" x14ac:dyDescent="0.25">
      <c r="A58" s="82">
        <f ca="1">IF(C58&gt;0,MAX($A$1:OFFSET(A58,-1,0))+0.01,"")</f>
        <v>13.159999999999997</v>
      </c>
      <c r="B58" s="114" t="s">
        <v>796</v>
      </c>
      <c r="C58" s="98">
        <v>6</v>
      </c>
      <c r="D58" s="29" t="s">
        <v>5</v>
      </c>
      <c r="E58" s="85"/>
      <c r="F58" s="86">
        <f>IF(E58="inc",0,IF(C58="",0,C58*E58))</f>
        <v>0</v>
      </c>
      <c r="G58" s="208"/>
      <c r="H58" s="30"/>
      <c r="I58" s="30"/>
      <c r="J58" s="30"/>
      <c r="K58" s="30"/>
      <c r="L58" s="30"/>
      <c r="M58" s="87"/>
      <c r="N58" s="88"/>
      <c r="O58" s="25"/>
      <c r="P58" s="25"/>
      <c r="Q58" s="25"/>
      <c r="R58" s="25"/>
      <c r="S58" s="25"/>
    </row>
    <row r="59" spans="1:19" s="94" customFormat="1" ht="15.75" x14ac:dyDescent="0.25">
      <c r="A59" s="24"/>
      <c r="B59" s="113" t="s">
        <v>2161</v>
      </c>
      <c r="C59" s="32">
        <v>6</v>
      </c>
      <c r="D59" s="32" t="s">
        <v>5</v>
      </c>
      <c r="E59" s="26"/>
      <c r="F59" s="33"/>
      <c r="G59" s="210"/>
      <c r="H59" s="26"/>
      <c r="I59" s="26"/>
      <c r="J59" s="26"/>
      <c r="K59" s="26"/>
      <c r="L59" s="26"/>
      <c r="M59" s="34"/>
      <c r="N59" s="32"/>
      <c r="O59" s="44"/>
    </row>
    <row r="60" spans="1:19" s="94" customFormat="1" ht="15.75" x14ac:dyDescent="0.25">
      <c r="A60" s="24"/>
      <c r="B60" s="113"/>
      <c r="C60" s="32" t="s">
        <v>2346</v>
      </c>
      <c r="D60" s="32">
        <v>0</v>
      </c>
      <c r="E60" s="26"/>
      <c r="F60" s="33"/>
      <c r="G60" s="210"/>
      <c r="H60" s="26"/>
      <c r="I60" s="26"/>
      <c r="J60" s="26"/>
      <c r="K60" s="26"/>
      <c r="L60" s="26"/>
      <c r="M60" s="34"/>
      <c r="N60" s="32"/>
      <c r="O60" s="44"/>
    </row>
    <row r="61" spans="1:19" s="90" customFormat="1" ht="18.75" x14ac:dyDescent="0.25">
      <c r="A61" s="82">
        <f ca="1">IF(C61&gt;0,MAX($A$1:OFFSET(A61,-1,0))+0.01,"")</f>
        <v>13.169999999999996</v>
      </c>
      <c r="B61" s="114" t="s">
        <v>238</v>
      </c>
      <c r="C61" s="83">
        <v>1</v>
      </c>
      <c r="D61" s="29" t="s">
        <v>24</v>
      </c>
      <c r="E61" s="85"/>
      <c r="F61" s="86">
        <f>IF(E61="inc",0,IF(C61="",0,C61*E61))</f>
        <v>0</v>
      </c>
      <c r="G61" s="208"/>
      <c r="H61" s="30"/>
      <c r="I61" s="30"/>
      <c r="J61" s="30"/>
      <c r="K61" s="30"/>
      <c r="L61" s="30"/>
      <c r="M61" s="87"/>
      <c r="N61" s="88"/>
      <c r="O61" s="25"/>
      <c r="P61" s="25"/>
      <c r="Q61" s="25"/>
      <c r="R61" s="25"/>
      <c r="S61" s="25"/>
    </row>
    <row r="62" spans="1:19" s="94" customFormat="1" ht="15.75" customHeight="1" x14ac:dyDescent="0.25">
      <c r="A62" s="112" t="str">
        <f>IF(C62="","Commercial","")</f>
        <v/>
      </c>
      <c r="B62" s="113" t="s">
        <v>2382</v>
      </c>
      <c r="C62" s="32">
        <v>1</v>
      </c>
      <c r="D62" s="32" t="s">
        <v>5</v>
      </c>
      <c r="E62" s="26"/>
      <c r="F62" s="33"/>
      <c r="G62" s="210"/>
      <c r="H62" s="26"/>
      <c r="I62" s="26"/>
      <c r="J62" s="26"/>
      <c r="K62" s="26"/>
      <c r="L62" s="26"/>
      <c r="M62" s="34"/>
      <c r="N62" s="32"/>
      <c r="O62" s="44"/>
    </row>
    <row r="63" spans="1:19" s="94" customFormat="1" ht="15.75" customHeight="1" x14ac:dyDescent="0.25">
      <c r="A63" s="112" t="str">
        <f>IF(C63="","Commercial","")</f>
        <v/>
      </c>
      <c r="B63" s="113" t="s">
        <v>2383</v>
      </c>
      <c r="C63" s="32">
        <v>1</v>
      </c>
      <c r="D63" s="32" t="s">
        <v>5</v>
      </c>
      <c r="E63" s="26"/>
      <c r="F63" s="33"/>
      <c r="G63" s="210"/>
      <c r="H63" s="26"/>
      <c r="I63" s="26"/>
      <c r="J63" s="26"/>
      <c r="K63" s="26"/>
      <c r="L63" s="26"/>
      <c r="M63" s="34"/>
      <c r="N63" s="32"/>
      <c r="O63" s="44"/>
    </row>
    <row r="64" spans="1:19" s="94" customFormat="1" ht="15.75" customHeight="1" x14ac:dyDescent="0.25">
      <c r="A64" s="112" t="str">
        <f t="shared" ref="A64:A72" si="0">IF(C64="","Commercial","")</f>
        <v/>
      </c>
      <c r="B64" s="113" t="s">
        <v>2377</v>
      </c>
      <c r="C64" s="32">
        <v>2</v>
      </c>
      <c r="D64" s="32" t="s">
        <v>5</v>
      </c>
      <c r="E64" s="26"/>
      <c r="F64" s="33"/>
      <c r="G64" s="210"/>
      <c r="H64" s="26"/>
      <c r="I64" s="26"/>
      <c r="J64" s="26"/>
      <c r="K64" s="26"/>
      <c r="L64" s="26"/>
      <c r="M64" s="34"/>
      <c r="N64" s="32"/>
      <c r="O64" s="44"/>
    </row>
    <row r="65" spans="1:15" s="94" customFormat="1" ht="15.75" customHeight="1" x14ac:dyDescent="0.25">
      <c r="A65" s="112" t="str">
        <f t="shared" ref="A65" si="1">IF(C65="","Domestic","")</f>
        <v/>
      </c>
      <c r="B65" s="113" t="s">
        <v>2388</v>
      </c>
      <c r="C65" s="32">
        <v>1</v>
      </c>
      <c r="D65" s="32" t="s">
        <v>5</v>
      </c>
      <c r="E65" s="26"/>
      <c r="F65" s="33"/>
      <c r="G65" s="210"/>
      <c r="H65" s="26"/>
      <c r="I65" s="26"/>
      <c r="J65" s="26"/>
      <c r="K65" s="26"/>
      <c r="L65" s="26"/>
      <c r="M65" s="34"/>
      <c r="N65" s="32"/>
      <c r="O65" s="44"/>
    </row>
    <row r="66" spans="1:15" s="94" customFormat="1" ht="15.75" customHeight="1" x14ac:dyDescent="0.25">
      <c r="A66" s="112" t="str">
        <f t="shared" si="0"/>
        <v/>
      </c>
      <c r="B66" s="113" t="s">
        <v>2389</v>
      </c>
      <c r="C66" s="32">
        <v>1</v>
      </c>
      <c r="D66" s="32" t="s">
        <v>5</v>
      </c>
      <c r="E66" s="26"/>
      <c r="F66" s="33"/>
      <c r="G66" s="210"/>
      <c r="H66" s="26"/>
      <c r="I66" s="26"/>
      <c r="J66" s="26"/>
      <c r="K66" s="26"/>
      <c r="L66" s="26"/>
      <c r="M66" s="34"/>
      <c r="N66" s="32"/>
      <c r="O66" s="44"/>
    </row>
    <row r="67" spans="1:15" s="94" customFormat="1" ht="15.75" customHeight="1" x14ac:dyDescent="0.25">
      <c r="A67" s="112" t="str">
        <f t="shared" ref="A67" si="2">IF(C67="","Commercial","")</f>
        <v/>
      </c>
      <c r="B67" s="113" t="s">
        <v>2390</v>
      </c>
      <c r="C67" s="32">
        <v>1</v>
      </c>
      <c r="D67" s="32" t="s">
        <v>5</v>
      </c>
      <c r="E67" s="26"/>
      <c r="F67" s="33"/>
      <c r="G67" s="210"/>
      <c r="H67" s="26"/>
      <c r="I67" s="26"/>
      <c r="J67" s="26"/>
      <c r="K67" s="26"/>
      <c r="L67" s="26"/>
      <c r="M67" s="34"/>
      <c r="N67" s="32"/>
      <c r="O67" s="44"/>
    </row>
    <row r="68" spans="1:15" s="94" customFormat="1" ht="15.75" customHeight="1" x14ac:dyDescent="0.25">
      <c r="A68" s="112" t="str">
        <f t="shared" si="0"/>
        <v/>
      </c>
      <c r="B68" s="113" t="s">
        <v>2381</v>
      </c>
      <c r="C68" s="32">
        <v>2</v>
      </c>
      <c r="D68" s="32" t="s">
        <v>5</v>
      </c>
      <c r="E68" s="26"/>
      <c r="F68" s="33"/>
      <c r="G68" s="210"/>
      <c r="H68" s="26"/>
      <c r="I68" s="26"/>
      <c r="J68" s="26"/>
      <c r="K68" s="26"/>
      <c r="L68" s="26"/>
      <c r="M68" s="34"/>
      <c r="N68" s="32"/>
      <c r="O68" s="44"/>
    </row>
    <row r="69" spans="1:15" s="94" customFormat="1" ht="15.75" customHeight="1" x14ac:dyDescent="0.25">
      <c r="A69" s="112" t="str">
        <f t="shared" si="0"/>
        <v/>
      </c>
      <c r="B69" s="113" t="s">
        <v>2378</v>
      </c>
      <c r="C69" s="32">
        <v>1</v>
      </c>
      <c r="D69" s="32" t="s">
        <v>5</v>
      </c>
      <c r="E69" s="26"/>
      <c r="F69" s="33"/>
      <c r="G69" s="210"/>
      <c r="H69" s="26"/>
      <c r="I69" s="26"/>
      <c r="J69" s="26"/>
      <c r="K69" s="26"/>
      <c r="L69" s="26"/>
      <c r="M69" s="34"/>
      <c r="N69" s="32"/>
      <c r="O69" s="44"/>
    </row>
    <row r="70" spans="1:15" s="94" customFormat="1" ht="15.75" customHeight="1" x14ac:dyDescent="0.25">
      <c r="A70" s="112" t="str">
        <f t="shared" ref="A70" si="3">IF(C70="","Commercial","")</f>
        <v/>
      </c>
      <c r="B70" s="113" t="s">
        <v>2379</v>
      </c>
      <c r="C70" s="32">
        <v>1</v>
      </c>
      <c r="D70" s="32" t="s">
        <v>5</v>
      </c>
      <c r="E70" s="26"/>
      <c r="F70" s="33"/>
      <c r="G70" s="210"/>
      <c r="H70" s="26"/>
      <c r="I70" s="26"/>
      <c r="J70" s="26"/>
      <c r="K70" s="26"/>
      <c r="L70" s="26"/>
      <c r="M70" s="34"/>
      <c r="N70" s="32"/>
      <c r="O70" s="44"/>
    </row>
    <row r="71" spans="1:15" s="94" customFormat="1" ht="15.75" customHeight="1" x14ac:dyDescent="0.25">
      <c r="A71" s="112" t="str">
        <f t="shared" ref="A71" si="4">IF(C71="","Commercial","")</f>
        <v/>
      </c>
      <c r="B71" s="113" t="s">
        <v>2380</v>
      </c>
      <c r="C71" s="32">
        <v>1</v>
      </c>
      <c r="D71" s="32" t="s">
        <v>5</v>
      </c>
      <c r="E71" s="26"/>
      <c r="F71" s="33"/>
      <c r="G71" s="210"/>
      <c r="H71" s="26"/>
      <c r="I71" s="26"/>
      <c r="J71" s="26"/>
      <c r="K71" s="26"/>
      <c r="L71" s="26"/>
      <c r="M71" s="34"/>
      <c r="N71" s="32"/>
      <c r="O71" s="44"/>
    </row>
    <row r="72" spans="1:15" s="94" customFormat="1" ht="15.75" customHeight="1" x14ac:dyDescent="0.25">
      <c r="A72" s="112" t="str">
        <f t="shared" si="0"/>
        <v/>
      </c>
      <c r="B72" s="113" t="s">
        <v>2384</v>
      </c>
      <c r="C72" s="32">
        <v>1</v>
      </c>
      <c r="D72" s="32" t="s">
        <v>5</v>
      </c>
      <c r="E72" s="26"/>
      <c r="F72" s="33"/>
      <c r="G72" s="210"/>
      <c r="H72" s="26"/>
      <c r="I72" s="26"/>
      <c r="J72" s="26"/>
      <c r="K72" s="26"/>
      <c r="L72" s="26"/>
      <c r="M72" s="34"/>
      <c r="N72" s="32"/>
      <c r="O72" s="44"/>
    </row>
    <row r="73" spans="1:15" s="94" customFormat="1" ht="15.75" customHeight="1" x14ac:dyDescent="0.25">
      <c r="A73" s="112" t="str">
        <f t="shared" ref="A73:A75" si="5">IF(C73="","Domestic","")</f>
        <v/>
      </c>
      <c r="B73" s="113" t="s">
        <v>2386</v>
      </c>
      <c r="C73" s="32">
        <v>2</v>
      </c>
      <c r="D73" s="32" t="s">
        <v>5</v>
      </c>
      <c r="E73" s="26"/>
      <c r="F73" s="33"/>
      <c r="G73" s="210"/>
      <c r="H73" s="26"/>
      <c r="I73" s="26"/>
      <c r="J73" s="26"/>
      <c r="K73" s="26"/>
      <c r="L73" s="26"/>
      <c r="M73" s="34"/>
      <c r="N73" s="32"/>
      <c r="O73" s="44"/>
    </row>
    <row r="74" spans="1:15" s="94" customFormat="1" ht="15.75" customHeight="1" x14ac:dyDescent="0.25">
      <c r="A74" s="112" t="str">
        <f t="shared" si="5"/>
        <v/>
      </c>
      <c r="B74" s="113" t="s">
        <v>2385</v>
      </c>
      <c r="C74" s="32">
        <v>1</v>
      </c>
      <c r="D74" s="32" t="s">
        <v>5</v>
      </c>
      <c r="E74" s="26"/>
      <c r="F74" s="33"/>
      <c r="G74" s="210"/>
      <c r="H74" s="26"/>
      <c r="I74" s="26"/>
      <c r="J74" s="26"/>
      <c r="K74" s="26"/>
      <c r="L74" s="26"/>
      <c r="M74" s="34"/>
      <c r="N74" s="32"/>
      <c r="O74" s="44"/>
    </row>
    <row r="75" spans="1:15" s="94" customFormat="1" ht="15.75" customHeight="1" x14ac:dyDescent="0.25">
      <c r="A75" s="112" t="str">
        <f t="shared" si="5"/>
        <v/>
      </c>
      <c r="B75" s="113" t="s">
        <v>2387</v>
      </c>
      <c r="C75" s="32">
        <v>1</v>
      </c>
      <c r="D75" s="32" t="s">
        <v>5</v>
      </c>
      <c r="E75" s="26"/>
      <c r="F75" s="33"/>
      <c r="G75" s="210"/>
      <c r="H75" s="26"/>
      <c r="I75" s="26"/>
      <c r="J75" s="26"/>
      <c r="K75" s="26"/>
      <c r="L75" s="26"/>
      <c r="M75" s="34"/>
      <c r="N75" s="32"/>
      <c r="O75" s="44"/>
    </row>
    <row r="76" spans="1:15" s="94" customFormat="1" ht="15.75" customHeight="1" x14ac:dyDescent="0.25">
      <c r="A76" s="24"/>
      <c r="B76" s="113"/>
      <c r="C76" s="32" t="s">
        <v>2346</v>
      </c>
      <c r="D76" s="32">
        <v>0</v>
      </c>
      <c r="E76" s="26"/>
      <c r="F76" s="33"/>
      <c r="G76" s="210"/>
      <c r="H76" s="26"/>
      <c r="I76" s="26"/>
      <c r="J76" s="26"/>
      <c r="K76" s="26"/>
      <c r="L76" s="26"/>
      <c r="M76" s="34"/>
      <c r="N76" s="32"/>
      <c r="O76" s="44"/>
    </row>
    <row r="77" spans="1:15" s="79" customFormat="1" ht="21.75" thickBot="1" x14ac:dyDescent="0.4">
      <c r="A77" s="99"/>
      <c r="B77" s="394" t="s">
        <v>4</v>
      </c>
      <c r="C77" s="395"/>
      <c r="D77" s="396"/>
      <c r="E77" s="100"/>
      <c r="F77" s="101">
        <f ca="1">SUM(F$2:OFFSET(F77,-1,0))</f>
        <v>0</v>
      </c>
      <c r="G77" s="214"/>
      <c r="H77" s="213"/>
      <c r="I77" s="100"/>
      <c r="J77" s="100"/>
      <c r="K77" s="100"/>
      <c r="L77" s="100"/>
      <c r="M77" s="102"/>
      <c r="N77" s="103"/>
    </row>
    <row r="78" spans="1:15" s="94" customFormat="1" ht="15.75" x14ac:dyDescent="0.25">
      <c r="A78" s="105"/>
      <c r="B78" s="25"/>
      <c r="C78" s="106"/>
      <c r="D78" s="32"/>
      <c r="E78" s="92"/>
      <c r="F78" s="107"/>
      <c r="G78" s="211"/>
      <c r="H78" s="25"/>
      <c r="I78" s="25"/>
      <c r="J78" s="25"/>
      <c r="K78" s="25"/>
      <c r="L78" s="25"/>
      <c r="M78" s="88"/>
      <c r="N78" s="88"/>
    </row>
    <row r="79" spans="1:15" x14ac:dyDescent="0.25">
      <c r="C79" s="106"/>
    </row>
    <row r="82" spans="1:19" x14ac:dyDescent="0.25">
      <c r="F82" s="108" t="e">
        <f ca="1">F77-#REF!</f>
        <v>#REF!</v>
      </c>
    </row>
    <row r="92" spans="1:19" s="110" customFormat="1" x14ac:dyDescent="0.25">
      <c r="A92" s="25"/>
      <c r="B92" s="25"/>
      <c r="D92" s="36"/>
      <c r="E92" s="25"/>
      <c r="F92" s="108"/>
      <c r="G92" s="212"/>
      <c r="H92" s="25"/>
      <c r="I92" s="25"/>
      <c r="J92" s="25"/>
      <c r="K92" s="25"/>
      <c r="L92" s="25"/>
      <c r="M92" s="88"/>
      <c r="N92" s="88"/>
      <c r="O92" s="25"/>
      <c r="P92" s="25"/>
      <c r="Q92" s="25"/>
      <c r="R92" s="25"/>
      <c r="S92" s="25"/>
    </row>
    <row r="93" spans="1:19" s="110" customFormat="1" x14ac:dyDescent="0.25">
      <c r="A93" s="25"/>
      <c r="B93" s="25"/>
      <c r="D93" s="36"/>
      <c r="E93" s="25"/>
      <c r="F93" s="108"/>
      <c r="G93" s="212"/>
      <c r="H93" s="25"/>
      <c r="I93" s="25"/>
      <c r="J93" s="25"/>
      <c r="K93" s="25"/>
      <c r="L93" s="25"/>
      <c r="M93" s="88"/>
      <c r="N93" s="88"/>
      <c r="O93" s="25"/>
      <c r="P93" s="25"/>
      <c r="Q93" s="25"/>
      <c r="R93" s="25"/>
      <c r="S93" s="25"/>
    </row>
    <row r="94" spans="1:19" s="110" customFormat="1" x14ac:dyDescent="0.25">
      <c r="A94" s="25"/>
      <c r="B94" s="25"/>
      <c r="D94" s="36"/>
      <c r="E94" s="25"/>
      <c r="F94" s="108"/>
      <c r="G94" s="212"/>
      <c r="H94" s="25"/>
      <c r="I94" s="25"/>
      <c r="J94" s="25"/>
      <c r="K94" s="25"/>
      <c r="L94" s="25"/>
      <c r="M94" s="88"/>
      <c r="N94" s="88"/>
      <c r="O94" s="25"/>
      <c r="P94" s="25"/>
      <c r="Q94" s="25"/>
      <c r="R94" s="25"/>
      <c r="S94" s="25"/>
    </row>
    <row r="95" spans="1:19" s="110" customFormat="1" x14ac:dyDescent="0.25">
      <c r="A95" s="25"/>
      <c r="B95" s="25"/>
      <c r="D95" s="36"/>
      <c r="E95" s="25"/>
      <c r="F95" s="108"/>
      <c r="G95" s="212"/>
      <c r="H95" s="25"/>
      <c r="I95" s="25"/>
      <c r="J95" s="25"/>
      <c r="K95" s="25"/>
      <c r="L95" s="25"/>
      <c r="M95" s="88"/>
      <c r="N95" s="88"/>
      <c r="O95" s="25"/>
      <c r="P95" s="25"/>
      <c r="Q95" s="25"/>
      <c r="R95" s="25"/>
      <c r="S95" s="25"/>
    </row>
    <row r="96" spans="1:19" s="110" customFormat="1" x14ac:dyDescent="0.25">
      <c r="A96" s="25"/>
      <c r="B96" s="25"/>
      <c r="D96" s="36"/>
      <c r="E96" s="25"/>
      <c r="F96" s="108"/>
      <c r="G96" s="212"/>
      <c r="H96" s="25"/>
      <c r="I96" s="25"/>
      <c r="J96" s="25"/>
      <c r="K96" s="25"/>
      <c r="L96" s="25"/>
      <c r="M96" s="88"/>
      <c r="N96" s="88"/>
      <c r="O96" s="25"/>
      <c r="P96" s="25"/>
      <c r="Q96" s="25"/>
      <c r="R96" s="25"/>
      <c r="S96" s="25"/>
    </row>
    <row r="97" spans="1:19" s="110" customFormat="1" x14ac:dyDescent="0.25">
      <c r="A97" s="25"/>
      <c r="B97" s="25"/>
      <c r="D97" s="36"/>
      <c r="E97" s="25"/>
      <c r="F97" s="108"/>
      <c r="G97" s="212"/>
      <c r="H97" s="25"/>
      <c r="I97" s="25"/>
      <c r="J97" s="25"/>
      <c r="K97" s="25"/>
      <c r="L97" s="25"/>
      <c r="M97" s="88"/>
      <c r="N97" s="88"/>
      <c r="O97" s="25"/>
      <c r="P97" s="25"/>
      <c r="Q97" s="25"/>
      <c r="R97" s="25"/>
      <c r="S97" s="25"/>
    </row>
    <row r="98" spans="1:19" s="110" customFormat="1" x14ac:dyDescent="0.25">
      <c r="A98" s="25"/>
      <c r="B98" s="25"/>
      <c r="D98" s="36"/>
      <c r="E98" s="25"/>
      <c r="F98" s="108"/>
      <c r="G98" s="212"/>
      <c r="H98" s="25"/>
      <c r="I98" s="25"/>
      <c r="J98" s="25"/>
      <c r="K98" s="25"/>
      <c r="L98" s="25"/>
      <c r="M98" s="88"/>
      <c r="N98" s="88"/>
      <c r="O98" s="25"/>
      <c r="P98" s="25"/>
      <c r="Q98" s="25"/>
      <c r="R98" s="25"/>
      <c r="S98" s="25"/>
    </row>
    <row r="99" spans="1:19" s="110" customFormat="1" x14ac:dyDescent="0.25">
      <c r="A99" s="25"/>
      <c r="B99" s="25"/>
      <c r="D99" s="36"/>
      <c r="E99" s="25"/>
      <c r="F99" s="108"/>
      <c r="G99" s="212"/>
      <c r="H99" s="25"/>
      <c r="I99" s="25"/>
      <c r="J99" s="25"/>
      <c r="K99" s="25"/>
      <c r="L99" s="25"/>
      <c r="M99" s="88"/>
      <c r="N99" s="88"/>
      <c r="O99" s="25"/>
      <c r="P99" s="25"/>
      <c r="Q99" s="25"/>
      <c r="R99" s="25"/>
      <c r="S99" s="25"/>
    </row>
    <row r="100" spans="1:19" s="110" customFormat="1" x14ac:dyDescent="0.25">
      <c r="A100" s="25"/>
      <c r="B100" s="25"/>
      <c r="D100" s="36"/>
      <c r="E100" s="25"/>
      <c r="F100" s="108"/>
      <c r="G100" s="212"/>
      <c r="H100" s="25"/>
      <c r="I100" s="25"/>
      <c r="J100" s="25"/>
      <c r="K100" s="25"/>
      <c r="L100" s="25"/>
      <c r="M100" s="88"/>
      <c r="N100" s="88"/>
      <c r="O100" s="25"/>
      <c r="P100" s="25"/>
      <c r="Q100" s="25"/>
      <c r="R100" s="25"/>
      <c r="S100" s="25"/>
    </row>
    <row r="101" spans="1:19" s="110" customFormat="1" x14ac:dyDescent="0.25">
      <c r="A101" s="25"/>
      <c r="B101" s="25"/>
      <c r="D101" s="36"/>
      <c r="E101" s="25"/>
      <c r="F101" s="108"/>
      <c r="G101" s="212"/>
      <c r="H101" s="25"/>
      <c r="I101" s="25"/>
      <c r="J101" s="25"/>
      <c r="K101" s="25"/>
      <c r="L101" s="25"/>
      <c r="M101" s="88"/>
      <c r="N101" s="88"/>
      <c r="O101" s="25"/>
      <c r="P101" s="25"/>
      <c r="Q101" s="25"/>
      <c r="R101" s="25"/>
      <c r="S101" s="25"/>
    </row>
    <row r="102" spans="1:19" s="110" customFormat="1" x14ac:dyDescent="0.25">
      <c r="A102" s="25"/>
      <c r="B102" s="25"/>
      <c r="D102" s="36"/>
      <c r="E102" s="25"/>
      <c r="F102" s="108"/>
      <c r="G102" s="212"/>
      <c r="H102" s="25"/>
      <c r="I102" s="25"/>
      <c r="J102" s="25"/>
      <c r="K102" s="25"/>
      <c r="L102" s="25"/>
      <c r="M102" s="88"/>
      <c r="N102" s="88"/>
      <c r="O102" s="25"/>
      <c r="P102" s="25"/>
      <c r="Q102" s="25"/>
      <c r="R102" s="25"/>
      <c r="S102" s="25"/>
    </row>
    <row r="103" spans="1:19" s="110" customFormat="1" x14ac:dyDescent="0.25">
      <c r="A103" s="25"/>
      <c r="B103" s="25"/>
      <c r="D103" s="36"/>
      <c r="E103" s="25"/>
      <c r="F103" s="108"/>
      <c r="G103" s="212"/>
      <c r="H103" s="25"/>
      <c r="I103" s="25"/>
      <c r="J103" s="25"/>
      <c r="K103" s="25"/>
      <c r="L103" s="25"/>
      <c r="M103" s="88"/>
      <c r="N103" s="88"/>
      <c r="O103" s="25"/>
      <c r="P103" s="25"/>
      <c r="Q103" s="25"/>
      <c r="R103" s="25"/>
      <c r="S103" s="25"/>
    </row>
    <row r="104" spans="1:19" s="110" customFormat="1" x14ac:dyDescent="0.25">
      <c r="A104" s="25"/>
      <c r="B104" s="25"/>
      <c r="D104" s="36"/>
      <c r="E104" s="25"/>
      <c r="F104" s="108"/>
      <c r="G104" s="212"/>
      <c r="H104" s="25"/>
      <c r="I104" s="25"/>
      <c r="J104" s="25"/>
      <c r="K104" s="25"/>
      <c r="L104" s="25"/>
      <c r="M104" s="88"/>
      <c r="N104" s="88"/>
      <c r="O104" s="25"/>
      <c r="P104" s="25"/>
      <c r="Q104" s="25"/>
      <c r="R104" s="25"/>
      <c r="S104" s="25"/>
    </row>
  </sheetData>
  <mergeCells count="1">
    <mergeCell ref="H1:L1"/>
  </mergeCells>
  <phoneticPr fontId="32" type="noConversion"/>
  <conditionalFormatting sqref="D4:D5 D7:D8 D10:D17 D19:D20 D22:D23 D25:D26 D28:D29 D31:D32 D34:D35 D37:D38 D40:D44 D46:D47 D49:D51 D53:D54 D56:D57 D59:D60 D62:D76">
    <cfRule type="cellIs" dxfId="30" priority="796" operator="equal">
      <formula>0</formula>
    </cfRule>
  </conditionalFormatting>
  <dataValidations count="1">
    <dataValidation type="list" allowBlank="1" showInputMessage="1" sqref="H3:L3 H6:L6 H9:L9 H18:L18 H21:L21 H24:L24 H27:L27 H30:L30 H36:L36 H39:L39 H45:L45 H48:L48 H52:L52 H55:L55 H58:L58 H33:L33 H61:L61" xr:uid="{27DAFE3B-B0DA-4CA0-BA10-31D8D0B2D5BF}">
      <formula1>"inc"</formula1>
    </dataValidation>
  </dataValidations>
  <pageMargins left="0.70866141732283472" right="0.70866141732283472" top="0.74803149606299213" bottom="0.74803149606299213" header="0.31496062992125984" footer="0.31496062992125984"/>
  <pageSetup scale="2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00000000-0002-0000-1600-000000000000}">
          <x14:formula1>
            <xm:f>Unit!$A$4:$A$11</xm:f>
          </x14:formula1>
          <xm:sqref>D3 D48 D39 D21 D18 D6 D24 D45 D52 D55 D58 D36 D9 D33 D61</xm:sqref>
        </x14:dataValidation>
        <x14:dataValidation type="list" allowBlank="1" showInputMessage="1" error="Please select units from the dropdown box" xr:uid="{A04E2446-453E-41E2-BCEE-DA25777D3587}">
          <x14:formula1>
            <xm:f>Unit!$A$4:$A$11</xm:f>
          </x14:formula1>
          <xm:sqref>D27 D30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AD27-9036-4B89-9F5D-79C0D5B42BED}">
  <sheetPr>
    <tabColor rgb="FF00B0F0"/>
  </sheetPr>
  <dimension ref="A1:AB1716"/>
  <sheetViews>
    <sheetView zoomScale="85" zoomScaleNormal="85" workbookViewId="0">
      <pane ySplit="3" topLeftCell="A4" activePane="bottomLeft" state="frozen"/>
      <selection activeCell="L81" sqref="L81"/>
      <selection pane="bottomLeft"/>
    </sheetView>
  </sheetViews>
  <sheetFormatPr defaultColWidth="8.5703125" defaultRowHeight="15" outlineLevelRow="2" x14ac:dyDescent="0.25"/>
  <cols>
    <col min="1" max="1" width="15.5703125" style="273" customWidth="1"/>
    <col min="2" max="2" width="17.5703125" style="273" customWidth="1"/>
    <col min="3" max="6" width="15.140625" style="273" customWidth="1"/>
    <col min="7" max="7" width="8.140625" style="273" customWidth="1"/>
    <col min="8" max="8" width="8.5703125" style="346"/>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1864</v>
      </c>
      <c r="B1" s="295"/>
      <c r="C1" s="295"/>
      <c r="D1" s="295"/>
      <c r="E1" s="295"/>
      <c r="F1" s="295"/>
      <c r="G1" s="295"/>
      <c r="H1" s="345"/>
      <c r="I1" s="653" t="s">
        <v>824</v>
      </c>
      <c r="J1" s="654"/>
      <c r="K1" s="295"/>
      <c r="L1" s="295"/>
      <c r="M1" s="295"/>
      <c r="N1" s="295"/>
      <c r="O1" s="295"/>
      <c r="P1" s="295"/>
      <c r="Q1" s="295"/>
      <c r="R1" s="295"/>
      <c r="S1" s="296" t="s">
        <v>888</v>
      </c>
      <c r="T1" s="301">
        <v>44867</v>
      </c>
      <c r="U1" s="301"/>
      <c r="V1" s="301"/>
      <c r="W1" s="301"/>
      <c r="X1" s="301"/>
      <c r="Y1" s="301"/>
      <c r="Z1" s="301"/>
      <c r="AA1" s="301"/>
      <c r="AB1" s="301"/>
    </row>
    <row r="2" spans="1:28" ht="15.75" x14ac:dyDescent="0.25">
      <c r="I2" s="292">
        <v>80.62</v>
      </c>
      <c r="J2" s="293">
        <v>91.43</v>
      </c>
      <c r="K2" s="291">
        <v>1</v>
      </c>
      <c r="L2" s="291">
        <v>1</v>
      </c>
      <c r="U2" s="291">
        <f>43.3/42</f>
        <v>1.0309523809523808</v>
      </c>
      <c r="V2" s="291">
        <f>42/42</f>
        <v>1</v>
      </c>
      <c r="W2" s="291">
        <f>39.1*115%/42</f>
        <v>1.0705952380952379</v>
      </c>
      <c r="X2" s="291">
        <f>39.2*120%/42</f>
        <v>1.1199999999999999</v>
      </c>
      <c r="Y2" s="291">
        <f>44.4/42</f>
        <v>1.0571428571428572</v>
      </c>
      <c r="Z2" s="291">
        <f>39.9*113%/39.9</f>
        <v>1.1299999999999999</v>
      </c>
      <c r="AA2" s="291">
        <f>43/39.9</f>
        <v>1.0776942355889725</v>
      </c>
      <c r="AB2" s="291">
        <f>41.2/39.9</f>
        <v>1.0325814536340854</v>
      </c>
    </row>
    <row r="3" spans="1:28" ht="45" hidden="1" outlineLevel="1" x14ac:dyDescent="0.25">
      <c r="A3" s="287" t="s">
        <v>14</v>
      </c>
      <c r="B3" s="287" t="s">
        <v>911</v>
      </c>
      <c r="C3" s="287" t="s">
        <v>826</v>
      </c>
      <c r="D3" s="287" t="s">
        <v>827</v>
      </c>
      <c r="E3" s="287" t="s">
        <v>828</v>
      </c>
      <c r="F3" s="287" t="s">
        <v>900</v>
      </c>
      <c r="G3" s="287" t="s">
        <v>149</v>
      </c>
      <c r="H3" s="347"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1871</v>
      </c>
      <c r="B4" s="299"/>
      <c r="C4" s="299"/>
      <c r="D4" s="299"/>
      <c r="E4" s="299"/>
      <c r="F4" s="299"/>
      <c r="G4" s="299"/>
      <c r="H4" s="348"/>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325"/>
      <c r="I5" s="291"/>
      <c r="J5" s="291"/>
      <c r="K5" s="291">
        <v>2</v>
      </c>
      <c r="L5" s="291">
        <f>L$2</f>
        <v>1</v>
      </c>
      <c r="M5" s="291"/>
      <c r="N5" s="291"/>
      <c r="O5" s="303"/>
      <c r="P5" s="303"/>
      <c r="Q5" s="303"/>
      <c r="R5" s="291"/>
      <c r="S5" s="291"/>
      <c r="T5" s="291"/>
      <c r="U5" s="381">
        <f>U$2</f>
        <v>1.0309523809523808</v>
      </c>
      <c r="V5" s="381">
        <f>V$2</f>
        <v>1</v>
      </c>
      <c r="W5" s="381">
        <f t="shared" ref="W5:AB5" si="0">W$2</f>
        <v>1.0705952380952379</v>
      </c>
      <c r="X5" s="381">
        <f t="shared" si="0"/>
        <v>1.1199999999999999</v>
      </c>
      <c r="Y5" s="381">
        <f t="shared" si="0"/>
        <v>1.0571428571428572</v>
      </c>
      <c r="Z5" s="381">
        <f t="shared" si="0"/>
        <v>1.1299999999999999</v>
      </c>
      <c r="AA5" s="381">
        <f t="shared" si="0"/>
        <v>1.0776942355889725</v>
      </c>
      <c r="AB5" s="381">
        <f t="shared" si="0"/>
        <v>1.0325814536340854</v>
      </c>
    </row>
    <row r="6" spans="1:28" s="305" customFormat="1" ht="14.45" hidden="1" customHeight="1" outlineLevel="2" x14ac:dyDescent="0.25">
      <c r="A6" s="278"/>
      <c r="B6" s="279" t="str">
        <f>C6&amp;D6&amp;E6&amp;F6</f>
        <v>450mmup to 3600mm&lt;= 25 deg.</v>
      </c>
      <c r="C6" s="278" t="s">
        <v>1865</v>
      </c>
      <c r="D6" s="278" t="s">
        <v>578</v>
      </c>
      <c r="E6" s="278" t="s">
        <v>587</v>
      </c>
      <c r="F6" s="278"/>
      <c r="G6" s="278" t="s">
        <v>11</v>
      </c>
      <c r="H6" s="310">
        <v>0.16</v>
      </c>
      <c r="I6" s="280">
        <f t="shared" ref="I6:I13" si="1">$I$2*H6</f>
        <v>12.8992</v>
      </c>
      <c r="J6" s="281">
        <f>$J$2*H6</f>
        <v>14.628800000000002</v>
      </c>
      <c r="K6" s="282">
        <f>IF(Notes!$B$9="Domestic",I6, IF(Notes!$B$9="Commercial",J6))*$K$5</f>
        <v>29.257600000000004</v>
      </c>
      <c r="L6" s="283">
        <f>(SUM(O6:Q6)+(K6+SUM(M6:Q6))*(INDEX($U$5:$AB$5,MATCH(Notes!$C$16,$U$3:$AB$3,0))-100%))*$L$5</f>
        <v>95.06</v>
      </c>
      <c r="M6" s="286"/>
      <c r="N6" s="286"/>
      <c r="O6" s="285">
        <v>95.06</v>
      </c>
      <c r="P6" s="285"/>
      <c r="Q6" s="285"/>
      <c r="R6" s="278"/>
      <c r="S6" s="278"/>
      <c r="T6" s="278"/>
      <c r="U6" s="304"/>
    </row>
    <row r="7" spans="1:28" s="305" customFormat="1" ht="14.45" hidden="1" customHeight="1" outlineLevel="2" x14ac:dyDescent="0.25">
      <c r="A7" s="278"/>
      <c r="B7" s="279" t="str">
        <f t="shared" ref="B7:B13" si="2">C7&amp;D7&amp;E7&amp;F7</f>
        <v>450mm3601mm to 4800mm&lt;= 25 deg.</v>
      </c>
      <c r="C7" s="278" t="s">
        <v>1865</v>
      </c>
      <c r="D7" s="278" t="s">
        <v>579</v>
      </c>
      <c r="E7" s="278" t="s">
        <v>587</v>
      </c>
      <c r="F7" s="278"/>
      <c r="G7" s="278" t="s">
        <v>11</v>
      </c>
      <c r="H7" s="310">
        <v>0.16</v>
      </c>
      <c r="I7" s="280">
        <f t="shared" si="1"/>
        <v>12.8992</v>
      </c>
      <c r="J7" s="281">
        <f t="shared" ref="J7:J13" si="3">$J$2*H7</f>
        <v>14.628800000000002</v>
      </c>
      <c r="K7" s="282">
        <f>IF(Notes!$B$9="Domestic",I7, IF(Notes!$B$9="Commercial",J7))*$K$5</f>
        <v>29.257600000000004</v>
      </c>
      <c r="L7" s="283">
        <f>(SUM(O7:Q7)+(K7+SUM(M7:Q7))*(INDEX($U$5:$AB$5,MATCH(Notes!$C$16,$U$3:$AB$3,0))-100%))*$L$5</f>
        <v>91.33</v>
      </c>
      <c r="M7" s="286"/>
      <c r="N7" s="286"/>
      <c r="O7" s="285">
        <v>91.33</v>
      </c>
      <c r="P7" s="285"/>
      <c r="Q7" s="285"/>
      <c r="R7" s="278"/>
      <c r="S7" s="278"/>
      <c r="T7" s="278"/>
      <c r="U7" s="304"/>
    </row>
    <row r="8" spans="1:28" s="305" customFormat="1" ht="14.45" hidden="1" customHeight="1" outlineLevel="2" x14ac:dyDescent="0.25">
      <c r="A8" s="278"/>
      <c r="B8" s="279" t="str">
        <f t="shared" si="2"/>
        <v>450mm4801mm to 6000mm&lt;= 25 deg.</v>
      </c>
      <c r="C8" s="278" t="s">
        <v>1865</v>
      </c>
      <c r="D8" s="278" t="s">
        <v>580</v>
      </c>
      <c r="E8" s="278" t="s">
        <v>587</v>
      </c>
      <c r="F8" s="278"/>
      <c r="G8" s="278" t="s">
        <v>11</v>
      </c>
      <c r="H8" s="310">
        <v>0.15</v>
      </c>
      <c r="I8" s="280">
        <f t="shared" si="1"/>
        <v>12.093</v>
      </c>
      <c r="J8" s="281">
        <f t="shared" si="3"/>
        <v>13.714500000000001</v>
      </c>
      <c r="K8" s="282">
        <f>IF(Notes!$B$9="Domestic",I8, IF(Notes!$B$9="Commercial",J8))*$K$5</f>
        <v>27.429000000000002</v>
      </c>
      <c r="L8" s="283">
        <f>(SUM(O8:Q8)+(K8+SUM(M8:Q8))*(INDEX($U$5:$AB$5,MATCH(Notes!$C$16,$U$3:$AB$3,0))-100%))*$L$5</f>
        <v>87.74</v>
      </c>
      <c r="M8" s="286"/>
      <c r="N8" s="286"/>
      <c r="O8" s="285">
        <v>87.74</v>
      </c>
      <c r="P8" s="285"/>
      <c r="Q8" s="285"/>
      <c r="R8" s="278"/>
      <c r="S8" s="278"/>
      <c r="T8" s="278"/>
      <c r="U8" s="304"/>
    </row>
    <row r="9" spans="1:28" s="305" customFormat="1" ht="14.45" hidden="1" customHeight="1" outlineLevel="2" x14ac:dyDescent="0.25">
      <c r="A9" s="278"/>
      <c r="B9" s="279" t="str">
        <f t="shared" si="2"/>
        <v>450mm6001mm to 7200mm&lt;= 25 deg.</v>
      </c>
      <c r="C9" s="278" t="s">
        <v>1865</v>
      </c>
      <c r="D9" s="278" t="s">
        <v>581</v>
      </c>
      <c r="E9" s="278" t="s">
        <v>587</v>
      </c>
      <c r="F9" s="278"/>
      <c r="G9" s="278" t="s">
        <v>11</v>
      </c>
      <c r="H9" s="310">
        <v>0.15</v>
      </c>
      <c r="I9" s="280">
        <f t="shared" si="1"/>
        <v>12.093</v>
      </c>
      <c r="J9" s="281">
        <f t="shared" si="3"/>
        <v>13.714500000000001</v>
      </c>
      <c r="K9" s="282">
        <f>IF(Notes!$B$9="Domestic",I9, IF(Notes!$B$9="Commercial",J9))*$K$5</f>
        <v>27.429000000000002</v>
      </c>
      <c r="L9" s="283">
        <f>(SUM(O9:Q9)+(K9+SUM(M9:Q9))*(INDEX($U$5:$AB$5,MATCH(Notes!$C$16,$U$3:$AB$3,0))-100%))*$L$5</f>
        <v>73.89</v>
      </c>
      <c r="M9" s="286"/>
      <c r="N9" s="286"/>
      <c r="O9" s="285">
        <v>73.89</v>
      </c>
      <c r="P9" s="285"/>
      <c r="Q9" s="285"/>
      <c r="R9" s="278"/>
      <c r="S9" s="278"/>
      <c r="T9" s="278"/>
    </row>
    <row r="10" spans="1:28" s="305" customFormat="1" ht="14.45" hidden="1" customHeight="1" outlineLevel="2" x14ac:dyDescent="0.25">
      <c r="A10" s="278"/>
      <c r="B10" s="279" t="str">
        <f t="shared" si="2"/>
        <v>450mm7201mm to 9000mm&lt;= 25 deg.</v>
      </c>
      <c r="C10" s="278" t="s">
        <v>1865</v>
      </c>
      <c r="D10" s="278" t="s">
        <v>582</v>
      </c>
      <c r="E10" s="278" t="s">
        <v>587</v>
      </c>
      <c r="F10" s="278"/>
      <c r="G10" s="278" t="s">
        <v>11</v>
      </c>
      <c r="H10" s="310">
        <v>0.14000000000000001</v>
      </c>
      <c r="I10" s="280">
        <f t="shared" si="1"/>
        <v>11.286800000000001</v>
      </c>
      <c r="J10" s="281">
        <f t="shared" si="3"/>
        <v>12.800200000000002</v>
      </c>
      <c r="K10" s="282">
        <f>IF(Notes!$B$9="Domestic",I10, IF(Notes!$B$9="Commercial",J10))*$K$5</f>
        <v>25.600400000000004</v>
      </c>
      <c r="L10" s="283">
        <f>(SUM(O10:Q10)+(K10+SUM(M10:Q10))*(INDEX($U$5:$AB$5,MATCH(Notes!$C$16,$U$3:$AB$3,0))-100%))*$L$5</f>
        <v>73.709999999999994</v>
      </c>
      <c r="M10" s="286"/>
      <c r="N10" s="286"/>
      <c r="O10" s="285">
        <v>73.709999999999994</v>
      </c>
      <c r="P10" s="285"/>
      <c r="Q10" s="285"/>
      <c r="R10" s="278"/>
      <c r="S10" s="278"/>
      <c r="T10" s="278"/>
    </row>
    <row r="11" spans="1:28" s="305" customFormat="1" hidden="1" outlineLevel="2" x14ac:dyDescent="0.25">
      <c r="A11" s="278"/>
      <c r="B11" s="279" t="str">
        <f t="shared" si="2"/>
        <v>450mm9001mm to 12000mm&lt;= 25 deg.</v>
      </c>
      <c r="C11" s="278" t="s">
        <v>1865</v>
      </c>
      <c r="D11" s="278" t="s">
        <v>583</v>
      </c>
      <c r="E11" s="278" t="s">
        <v>587</v>
      </c>
      <c r="F11" s="278"/>
      <c r="G11" s="278" t="s">
        <v>11</v>
      </c>
      <c r="H11" s="310">
        <v>0.14000000000000001</v>
      </c>
      <c r="I11" s="280">
        <f t="shared" si="1"/>
        <v>11.286800000000001</v>
      </c>
      <c r="J11" s="281">
        <f t="shared" si="3"/>
        <v>12.800200000000002</v>
      </c>
      <c r="K11" s="282">
        <f>IF(Notes!$B$9="Domestic",I11, IF(Notes!$B$9="Commercial",J11))*$K$5</f>
        <v>25.600400000000004</v>
      </c>
      <c r="L11" s="283">
        <f>(SUM(O11:Q11)+(K11+SUM(M11:Q11))*(INDEX($U$5:$AB$5,MATCH(Notes!$C$16,$U$3:$AB$3,0))-100%))*$L$5</f>
        <v>71.959999999999994</v>
      </c>
      <c r="M11" s="286"/>
      <c r="N11" s="286"/>
      <c r="O11" s="285">
        <v>71.959999999999994</v>
      </c>
      <c r="P11" s="285"/>
      <c r="Q11" s="285"/>
      <c r="R11" s="278"/>
      <c r="S11" s="278"/>
      <c r="T11" s="278"/>
    </row>
    <row r="12" spans="1:28" s="305" customFormat="1" hidden="1" outlineLevel="2" x14ac:dyDescent="0.25">
      <c r="A12" s="278"/>
      <c r="B12" s="279" t="str">
        <f t="shared" si="2"/>
        <v>450mm12000mm plus&lt;= 25 deg.</v>
      </c>
      <c r="C12" s="278" t="s">
        <v>1865</v>
      </c>
      <c r="D12" s="278" t="s">
        <v>584</v>
      </c>
      <c r="E12" s="278" t="s">
        <v>587</v>
      </c>
      <c r="F12" s="278"/>
      <c r="G12" s="278" t="s">
        <v>11</v>
      </c>
      <c r="H12" s="309">
        <f>H11</f>
        <v>0.14000000000000001</v>
      </c>
      <c r="I12" s="280">
        <f t="shared" si="1"/>
        <v>11.286800000000001</v>
      </c>
      <c r="J12" s="281">
        <f t="shared" si="3"/>
        <v>12.800200000000002</v>
      </c>
      <c r="K12" s="282">
        <f>IF(Notes!$B$9="Domestic",I12, IF(Notes!$B$9="Commercial",J12))*$K$5</f>
        <v>25.600400000000004</v>
      </c>
      <c r="L12" s="283">
        <f>(SUM(O12:Q12)+(K12+SUM(M12:Q12))*(INDEX($U$5:$AB$5,MATCH(Notes!$C$16,$U$3:$AB$3,0))-100%))*$L$5</f>
        <v>71.959999999999994</v>
      </c>
      <c r="M12" s="286"/>
      <c r="N12" s="286"/>
      <c r="O12" s="311">
        <f>O11</f>
        <v>71.959999999999994</v>
      </c>
      <c r="P12" s="285"/>
      <c r="Q12" s="285"/>
      <c r="R12" s="278"/>
      <c r="S12" s="278"/>
      <c r="T12" s="278"/>
    </row>
    <row r="13" spans="1:28" s="305" customFormat="1" hidden="1" outlineLevel="2" x14ac:dyDescent="0.25">
      <c r="A13" s="278"/>
      <c r="B13" s="279" t="str">
        <f t="shared" si="2"/>
        <v>450mmup to 3600mm&gt; 25 deg.</v>
      </c>
      <c r="C13" s="278" t="s">
        <v>1865</v>
      </c>
      <c r="D13" s="278" t="s">
        <v>578</v>
      </c>
      <c r="E13" s="278" t="s">
        <v>588</v>
      </c>
      <c r="F13" s="278"/>
      <c r="G13" s="278" t="s">
        <v>11</v>
      </c>
      <c r="H13" s="310">
        <v>0.26</v>
      </c>
      <c r="I13" s="280">
        <f t="shared" si="1"/>
        <v>20.961200000000002</v>
      </c>
      <c r="J13" s="281">
        <f t="shared" si="3"/>
        <v>23.771800000000002</v>
      </c>
      <c r="K13" s="282">
        <f>IF(Notes!$B$9="Domestic",I13, IF(Notes!$B$9="Commercial",J13))*$K$5</f>
        <v>47.543600000000005</v>
      </c>
      <c r="L13" s="283">
        <f>(SUM(O13:Q13)+(K13+SUM(M13:Q13))*(INDEX($U$5:$AB$5,MATCH(Notes!$C$16,$U$3:$AB$3,0))-100%))*$L$5</f>
        <v>99.06</v>
      </c>
      <c r="M13" s="286"/>
      <c r="N13" s="286"/>
      <c r="O13" s="285">
        <v>99.06</v>
      </c>
      <c r="P13" s="285"/>
      <c r="Q13" s="285"/>
      <c r="R13" s="278"/>
      <c r="S13" s="278"/>
      <c r="T13" s="278"/>
    </row>
    <row r="14" spans="1:28" s="305" customFormat="1" hidden="1" outlineLevel="2" x14ac:dyDescent="0.25">
      <c r="A14" s="278"/>
      <c r="B14" s="279" t="str">
        <f t="shared" ref="B14:B34" si="4">C14&amp;D14&amp;E14&amp;F14</f>
        <v>450mm3601mm to 4800mm&gt; 25 deg.</v>
      </c>
      <c r="C14" s="278" t="s">
        <v>1865</v>
      </c>
      <c r="D14" s="278" t="s">
        <v>579</v>
      </c>
      <c r="E14" s="278" t="s">
        <v>588</v>
      </c>
      <c r="F14" s="278"/>
      <c r="G14" s="278" t="s">
        <v>11</v>
      </c>
      <c r="H14" s="310">
        <v>0.24</v>
      </c>
      <c r="I14" s="280">
        <f t="shared" ref="I14:I34" si="5">$I$2*H14</f>
        <v>19.348800000000001</v>
      </c>
      <c r="J14" s="281">
        <f t="shared" ref="J14:J34" si="6">$J$2*H14</f>
        <v>21.943200000000001</v>
      </c>
      <c r="K14" s="282">
        <f>IF(Notes!$B$9="Domestic",I14, IF(Notes!$B$9="Commercial",J14))*$K$5</f>
        <v>43.886400000000002</v>
      </c>
      <c r="L14" s="283">
        <f>(SUM(O14:Q14)+(K14+SUM(M14:Q14))*(INDEX($U$5:$AB$5,MATCH(Notes!$C$16,$U$3:$AB$3,0))-100%))*$L$5</f>
        <v>95.43</v>
      </c>
      <c r="M14" s="286"/>
      <c r="N14" s="286"/>
      <c r="O14" s="285">
        <v>95.43</v>
      </c>
      <c r="P14" s="285"/>
      <c r="Q14" s="285"/>
      <c r="R14" s="278"/>
      <c r="S14" s="278"/>
      <c r="T14" s="278"/>
    </row>
    <row r="15" spans="1:28" s="305" customFormat="1" hidden="1" outlineLevel="2" x14ac:dyDescent="0.25">
      <c r="A15" s="278"/>
      <c r="B15" s="279" t="str">
        <f t="shared" si="4"/>
        <v>450mm4801mm to 6000mm&gt; 25 deg.</v>
      </c>
      <c r="C15" s="278" t="s">
        <v>1865</v>
      </c>
      <c r="D15" s="278" t="s">
        <v>580</v>
      </c>
      <c r="E15" s="278" t="s">
        <v>588</v>
      </c>
      <c r="F15" s="278"/>
      <c r="G15" s="278" t="s">
        <v>11</v>
      </c>
      <c r="H15" s="310">
        <v>0.22</v>
      </c>
      <c r="I15" s="280">
        <f t="shared" si="5"/>
        <v>17.7364</v>
      </c>
      <c r="J15" s="281">
        <f t="shared" si="6"/>
        <v>20.114600000000003</v>
      </c>
      <c r="K15" s="282">
        <f>IF(Notes!$B$9="Domestic",I15, IF(Notes!$B$9="Commercial",J15))*$K$5</f>
        <v>40.229200000000006</v>
      </c>
      <c r="L15" s="283">
        <f>(SUM(O15:Q15)+(K15+SUM(M15:Q15))*(INDEX($U$5:$AB$5,MATCH(Notes!$C$16,$U$3:$AB$3,0))-100%))*$L$5</f>
        <v>93.87</v>
      </c>
      <c r="M15" s="286"/>
      <c r="N15" s="286"/>
      <c r="O15" s="285">
        <v>93.87</v>
      </c>
      <c r="P15" s="285"/>
      <c r="Q15" s="285"/>
      <c r="R15" s="278"/>
      <c r="S15" s="278"/>
      <c r="T15" s="278"/>
    </row>
    <row r="16" spans="1:28" s="305" customFormat="1" hidden="1" outlineLevel="2" x14ac:dyDescent="0.25">
      <c r="A16" s="278"/>
      <c r="B16" s="279" t="str">
        <f t="shared" si="4"/>
        <v>450mm6001mm to 7200mm&gt; 25 deg.</v>
      </c>
      <c r="C16" s="278" t="s">
        <v>1865</v>
      </c>
      <c r="D16" s="278" t="s">
        <v>581</v>
      </c>
      <c r="E16" s="278" t="s">
        <v>588</v>
      </c>
      <c r="F16" s="278"/>
      <c r="G16" s="278" t="s">
        <v>11</v>
      </c>
      <c r="H16" s="310">
        <v>0.21</v>
      </c>
      <c r="I16" s="280">
        <f t="shared" si="5"/>
        <v>16.930199999999999</v>
      </c>
      <c r="J16" s="281">
        <f t="shared" si="6"/>
        <v>19.200300000000002</v>
      </c>
      <c r="K16" s="282">
        <f>IF(Notes!$B$9="Domestic",I16, IF(Notes!$B$9="Commercial",J16))*$K$5</f>
        <v>38.400600000000004</v>
      </c>
      <c r="L16" s="283">
        <f>(SUM(O16:Q16)+(K16+SUM(M16:Q16))*(INDEX($U$5:$AB$5,MATCH(Notes!$C$16,$U$3:$AB$3,0))-100%))*$L$5</f>
        <v>88.25</v>
      </c>
      <c r="M16" s="286"/>
      <c r="N16" s="286"/>
      <c r="O16" s="285">
        <v>88.25</v>
      </c>
      <c r="P16" s="285"/>
      <c r="Q16" s="285"/>
      <c r="R16" s="278"/>
      <c r="S16" s="278"/>
      <c r="T16" s="278"/>
    </row>
    <row r="17" spans="1:20" s="305" customFormat="1" hidden="1" outlineLevel="2" x14ac:dyDescent="0.25">
      <c r="A17" s="278"/>
      <c r="B17" s="279" t="str">
        <f t="shared" si="4"/>
        <v>450mm7201mm to 9000mm&gt; 25 deg.</v>
      </c>
      <c r="C17" s="278" t="s">
        <v>1865</v>
      </c>
      <c r="D17" s="278" t="s">
        <v>582</v>
      </c>
      <c r="E17" s="278" t="s">
        <v>588</v>
      </c>
      <c r="F17" s="278"/>
      <c r="G17" s="278" t="s">
        <v>11</v>
      </c>
      <c r="H17" s="310">
        <v>0.19</v>
      </c>
      <c r="I17" s="280">
        <f t="shared" si="5"/>
        <v>15.317800000000002</v>
      </c>
      <c r="J17" s="281">
        <f t="shared" si="6"/>
        <v>17.371700000000001</v>
      </c>
      <c r="K17" s="282">
        <f>IF(Notes!$B$9="Domestic",I17, IF(Notes!$B$9="Commercial",J17))*$K$5</f>
        <v>34.743400000000001</v>
      </c>
      <c r="L17" s="283">
        <f>(SUM(O17:Q17)+(K17+SUM(M17:Q17))*(INDEX($U$5:$AB$5,MATCH(Notes!$C$16,$U$3:$AB$3,0))-100%))*$L$5</f>
        <v>84.02</v>
      </c>
      <c r="M17" s="286"/>
      <c r="N17" s="286"/>
      <c r="O17" s="285">
        <v>84.02</v>
      </c>
      <c r="P17" s="285"/>
      <c r="Q17" s="285"/>
      <c r="R17" s="278"/>
      <c r="S17" s="278"/>
      <c r="T17" s="278"/>
    </row>
    <row r="18" spans="1:20" s="305" customFormat="1" hidden="1" outlineLevel="2" x14ac:dyDescent="0.25">
      <c r="A18" s="278"/>
      <c r="B18" s="279" t="str">
        <f t="shared" si="4"/>
        <v>450mm9001mm to 12000mm&gt; 25 deg.</v>
      </c>
      <c r="C18" s="278" t="s">
        <v>1865</v>
      </c>
      <c r="D18" s="278" t="s">
        <v>583</v>
      </c>
      <c r="E18" s="278" t="s">
        <v>588</v>
      </c>
      <c r="F18" s="278"/>
      <c r="G18" s="278" t="s">
        <v>11</v>
      </c>
      <c r="H18" s="310">
        <v>0.17</v>
      </c>
      <c r="I18" s="280">
        <f t="shared" si="5"/>
        <v>13.705400000000001</v>
      </c>
      <c r="J18" s="281">
        <f t="shared" si="6"/>
        <v>15.543100000000003</v>
      </c>
      <c r="K18" s="282">
        <f>IF(Notes!$B$9="Domestic",I18, IF(Notes!$B$9="Commercial",J18))*$K$5</f>
        <v>31.086200000000005</v>
      </c>
      <c r="L18" s="283">
        <f>(SUM(O18:Q18)+(K18+SUM(M18:Q18))*(INDEX($U$5:$AB$5,MATCH(Notes!$C$16,$U$3:$AB$3,0))-100%))*$L$5</f>
        <v>82.35</v>
      </c>
      <c r="M18" s="286"/>
      <c r="N18" s="286"/>
      <c r="O18" s="285">
        <v>82.35</v>
      </c>
      <c r="P18" s="285"/>
      <c r="Q18" s="285"/>
      <c r="R18" s="278"/>
      <c r="S18" s="278"/>
      <c r="T18" s="278"/>
    </row>
    <row r="19" spans="1:20" s="305" customFormat="1" hidden="1" outlineLevel="2" x14ac:dyDescent="0.25">
      <c r="A19" s="278"/>
      <c r="B19" s="279" t="str">
        <f t="shared" si="4"/>
        <v>450mm12000mm plus&gt; 25 deg.</v>
      </c>
      <c r="C19" s="278" t="s">
        <v>1865</v>
      </c>
      <c r="D19" s="278" t="s">
        <v>584</v>
      </c>
      <c r="E19" s="278" t="s">
        <v>588</v>
      </c>
      <c r="F19" s="278"/>
      <c r="G19" s="278" t="s">
        <v>11</v>
      </c>
      <c r="H19" s="309">
        <f>H18</f>
        <v>0.17</v>
      </c>
      <c r="I19" s="280">
        <f t="shared" si="5"/>
        <v>13.705400000000001</v>
      </c>
      <c r="J19" s="281">
        <f t="shared" si="6"/>
        <v>15.543100000000003</v>
      </c>
      <c r="K19" s="282">
        <f>IF(Notes!$B$9="Domestic",I19, IF(Notes!$B$9="Commercial",J19))*$K$5</f>
        <v>31.086200000000005</v>
      </c>
      <c r="L19" s="283">
        <f>(SUM(O19:Q19)+(K19+SUM(M19:Q19))*(INDEX($U$5:$AB$5,MATCH(Notes!$C$16,$U$3:$AB$3,0))-100%))*$L$5</f>
        <v>82.35</v>
      </c>
      <c r="M19" s="286"/>
      <c r="N19" s="286"/>
      <c r="O19" s="311">
        <f>O18</f>
        <v>82.35</v>
      </c>
      <c r="P19" s="285"/>
      <c r="Q19" s="285"/>
      <c r="R19" s="278"/>
      <c r="S19" s="278"/>
      <c r="T19" s="278"/>
    </row>
    <row r="20" spans="1:20" s="305" customFormat="1" hidden="1" outlineLevel="2" x14ac:dyDescent="0.25">
      <c r="A20" s="278"/>
      <c r="B20" s="279" t="str">
        <f t="shared" si="4"/>
        <v>600mmup to 3600mm&lt;= 25 deg.</v>
      </c>
      <c r="C20" s="278" t="s">
        <v>770</v>
      </c>
      <c r="D20" s="278" t="s">
        <v>578</v>
      </c>
      <c r="E20" s="278" t="s">
        <v>587</v>
      </c>
      <c r="F20" s="278"/>
      <c r="G20" s="278" t="s">
        <v>11</v>
      </c>
      <c r="H20" s="310">
        <v>0.12</v>
      </c>
      <c r="I20" s="280">
        <f t="shared" si="5"/>
        <v>9.6744000000000003</v>
      </c>
      <c r="J20" s="281">
        <f t="shared" si="6"/>
        <v>10.9716</v>
      </c>
      <c r="K20" s="282">
        <f>IF(Notes!$B$9="Domestic",I20, IF(Notes!$B$9="Commercial",J20))*$K$5</f>
        <v>21.943200000000001</v>
      </c>
      <c r="L20" s="283">
        <f>(SUM(O20:Q20)+(K20+SUM(M20:Q20))*(INDEX($U$5:$AB$5,MATCH(Notes!$C$16,$U$3:$AB$3,0))-100%))*$L$5</f>
        <v>72.290000000000006</v>
      </c>
      <c r="M20" s="286"/>
      <c r="N20" s="286"/>
      <c r="O20" s="285">
        <v>72.290000000000006</v>
      </c>
      <c r="P20" s="285"/>
      <c r="Q20" s="285"/>
      <c r="R20" s="278"/>
      <c r="S20" s="278"/>
      <c r="T20" s="278"/>
    </row>
    <row r="21" spans="1:20" s="305" customFormat="1" hidden="1" outlineLevel="2" x14ac:dyDescent="0.25">
      <c r="A21" s="278"/>
      <c r="B21" s="279" t="str">
        <f t="shared" si="4"/>
        <v>600mm3601mm to 4800mm&lt;= 25 deg.</v>
      </c>
      <c r="C21" s="278" t="s">
        <v>770</v>
      </c>
      <c r="D21" s="278" t="s">
        <v>579</v>
      </c>
      <c r="E21" s="278" t="s">
        <v>587</v>
      </c>
      <c r="F21" s="278"/>
      <c r="G21" s="278" t="s">
        <v>11</v>
      </c>
      <c r="H21" s="310">
        <v>0.12</v>
      </c>
      <c r="I21" s="280">
        <f t="shared" si="5"/>
        <v>9.6744000000000003</v>
      </c>
      <c r="J21" s="281">
        <f t="shared" si="6"/>
        <v>10.9716</v>
      </c>
      <c r="K21" s="282">
        <f>IF(Notes!$B$9="Domestic",I21, IF(Notes!$B$9="Commercial",J21))*$K$5</f>
        <v>21.943200000000001</v>
      </c>
      <c r="L21" s="283">
        <f>(SUM(O21:Q21)+(K21+SUM(M21:Q21))*(INDEX($U$5:$AB$5,MATCH(Notes!$C$16,$U$3:$AB$3,0))-100%))*$L$5</f>
        <v>69.010000000000005</v>
      </c>
      <c r="M21" s="286"/>
      <c r="N21" s="286"/>
      <c r="O21" s="285">
        <v>69.010000000000005</v>
      </c>
      <c r="P21" s="285"/>
      <c r="Q21" s="285"/>
      <c r="R21" s="278"/>
      <c r="S21" s="278"/>
      <c r="T21" s="278"/>
    </row>
    <row r="22" spans="1:20" s="305" customFormat="1" hidden="1" outlineLevel="2" x14ac:dyDescent="0.25">
      <c r="A22" s="278"/>
      <c r="B22" s="279" t="str">
        <f t="shared" si="4"/>
        <v>600mm4801mm to 6000mm&lt;= 25 deg.</v>
      </c>
      <c r="C22" s="278" t="s">
        <v>770</v>
      </c>
      <c r="D22" s="278" t="s">
        <v>580</v>
      </c>
      <c r="E22" s="278" t="s">
        <v>587</v>
      </c>
      <c r="F22" s="278"/>
      <c r="G22" s="278" t="s">
        <v>11</v>
      </c>
      <c r="H22" s="310">
        <v>0.12</v>
      </c>
      <c r="I22" s="280">
        <f t="shared" si="5"/>
        <v>9.6744000000000003</v>
      </c>
      <c r="J22" s="281">
        <f t="shared" si="6"/>
        <v>10.9716</v>
      </c>
      <c r="K22" s="282">
        <f>IF(Notes!$B$9="Domestic",I22, IF(Notes!$B$9="Commercial",J22))*$K$5</f>
        <v>21.943200000000001</v>
      </c>
      <c r="L22" s="283">
        <f>(SUM(O22:Q22)+(K22+SUM(M22:Q22))*(INDEX($U$5:$AB$5,MATCH(Notes!$C$16,$U$3:$AB$3,0))-100%))*$L$5</f>
        <v>66.290000000000006</v>
      </c>
      <c r="M22" s="286"/>
      <c r="N22" s="286"/>
      <c r="O22" s="285">
        <v>66.290000000000006</v>
      </c>
      <c r="P22" s="285"/>
      <c r="Q22" s="285"/>
      <c r="R22" s="278"/>
      <c r="S22" s="278"/>
      <c r="T22" s="278"/>
    </row>
    <row r="23" spans="1:20" s="305" customFormat="1" hidden="1" outlineLevel="2" x14ac:dyDescent="0.25">
      <c r="A23" s="278"/>
      <c r="B23" s="279" t="str">
        <f t="shared" si="4"/>
        <v>600mm6001mm to 7200mm&lt;= 25 deg.</v>
      </c>
      <c r="C23" s="278" t="s">
        <v>770</v>
      </c>
      <c r="D23" s="278" t="s">
        <v>581</v>
      </c>
      <c r="E23" s="278" t="s">
        <v>587</v>
      </c>
      <c r="F23" s="278"/>
      <c r="G23" s="278" t="s">
        <v>11</v>
      </c>
      <c r="H23" s="310">
        <v>0.12</v>
      </c>
      <c r="I23" s="280">
        <f t="shared" si="5"/>
        <v>9.6744000000000003</v>
      </c>
      <c r="J23" s="281">
        <f t="shared" si="6"/>
        <v>10.9716</v>
      </c>
      <c r="K23" s="282">
        <f>IF(Notes!$B$9="Domestic",I23, IF(Notes!$B$9="Commercial",J23))*$K$5</f>
        <v>21.943200000000001</v>
      </c>
      <c r="L23" s="283">
        <f>(SUM(O23:Q23)+(K23+SUM(M23:Q23))*(INDEX($U$5:$AB$5,MATCH(Notes!$C$16,$U$3:$AB$3,0))-100%))*$L$5</f>
        <v>55.83</v>
      </c>
      <c r="M23" s="286"/>
      <c r="N23" s="286"/>
      <c r="O23" s="285">
        <v>55.83</v>
      </c>
      <c r="P23" s="285"/>
      <c r="Q23" s="285"/>
      <c r="R23" s="278"/>
      <c r="S23" s="278"/>
      <c r="T23" s="278"/>
    </row>
    <row r="24" spans="1:20" s="305" customFormat="1" hidden="1" outlineLevel="2" x14ac:dyDescent="0.25">
      <c r="A24" s="278"/>
      <c r="B24" s="279" t="str">
        <f t="shared" si="4"/>
        <v>600mm7201mm to 9000mm&lt;= 25 deg.</v>
      </c>
      <c r="C24" s="278" t="s">
        <v>770</v>
      </c>
      <c r="D24" s="278" t="s">
        <v>582</v>
      </c>
      <c r="E24" s="278" t="s">
        <v>587</v>
      </c>
      <c r="F24" s="278"/>
      <c r="G24" s="278" t="s">
        <v>11</v>
      </c>
      <c r="H24" s="310">
        <v>0.11</v>
      </c>
      <c r="I24" s="280">
        <f t="shared" si="5"/>
        <v>8.8681999999999999</v>
      </c>
      <c r="J24" s="281">
        <f t="shared" si="6"/>
        <v>10.057300000000001</v>
      </c>
      <c r="K24" s="282">
        <f>IF(Notes!$B$9="Domestic",I24, IF(Notes!$B$9="Commercial",J24))*$K$5</f>
        <v>20.114600000000003</v>
      </c>
      <c r="L24" s="283">
        <f>(SUM(O24:Q24)+(K24+SUM(M24:Q24))*(INDEX($U$5:$AB$5,MATCH(Notes!$C$16,$U$3:$AB$3,0))-100%))*$L$5</f>
        <v>55.69</v>
      </c>
      <c r="M24" s="286"/>
      <c r="N24" s="286"/>
      <c r="O24" s="285">
        <v>55.69</v>
      </c>
      <c r="P24" s="285"/>
      <c r="Q24" s="285"/>
      <c r="R24" s="278"/>
      <c r="S24" s="278"/>
      <c r="T24" s="278"/>
    </row>
    <row r="25" spans="1:20" s="305" customFormat="1" hidden="1" outlineLevel="2" x14ac:dyDescent="0.25">
      <c r="A25" s="278"/>
      <c r="B25" s="279" t="str">
        <f t="shared" si="4"/>
        <v>600mm9001mm to 12000mm&lt;= 25 deg.</v>
      </c>
      <c r="C25" s="278" t="s">
        <v>770</v>
      </c>
      <c r="D25" s="278" t="s">
        <v>583</v>
      </c>
      <c r="E25" s="278" t="s">
        <v>587</v>
      </c>
      <c r="F25" s="278"/>
      <c r="G25" s="278" t="s">
        <v>11</v>
      </c>
      <c r="H25" s="310">
        <v>0.11</v>
      </c>
      <c r="I25" s="280">
        <f t="shared" si="5"/>
        <v>8.8681999999999999</v>
      </c>
      <c r="J25" s="281">
        <f t="shared" si="6"/>
        <v>10.057300000000001</v>
      </c>
      <c r="K25" s="282">
        <f>IF(Notes!$B$9="Domestic",I25, IF(Notes!$B$9="Commercial",J25))*$K$5</f>
        <v>20.114600000000003</v>
      </c>
      <c r="L25" s="283">
        <f>(SUM(O25:Q25)+(K25+SUM(M25:Q25))*(INDEX($U$5:$AB$5,MATCH(Notes!$C$16,$U$3:$AB$3,0))-100%))*$L$5</f>
        <v>54.37</v>
      </c>
      <c r="M25" s="286"/>
      <c r="N25" s="286"/>
      <c r="O25" s="285">
        <v>54.37</v>
      </c>
      <c r="P25" s="285"/>
      <c r="Q25" s="285"/>
      <c r="R25" s="278"/>
      <c r="S25" s="278"/>
      <c r="T25" s="278"/>
    </row>
    <row r="26" spans="1:20" s="305" customFormat="1" hidden="1" outlineLevel="2" x14ac:dyDescent="0.25">
      <c r="A26" s="278"/>
      <c r="B26" s="279" t="str">
        <f t="shared" si="4"/>
        <v>600mm12000mm plus&lt;= 25 deg.</v>
      </c>
      <c r="C26" s="278" t="s">
        <v>770</v>
      </c>
      <c r="D26" s="278" t="s">
        <v>584</v>
      </c>
      <c r="E26" s="278" t="s">
        <v>587</v>
      </c>
      <c r="F26" s="278"/>
      <c r="G26" s="278" t="s">
        <v>11</v>
      </c>
      <c r="H26" s="309">
        <f>H25</f>
        <v>0.11</v>
      </c>
      <c r="I26" s="280">
        <f t="shared" si="5"/>
        <v>8.8681999999999999</v>
      </c>
      <c r="J26" s="281">
        <f t="shared" si="6"/>
        <v>10.057300000000001</v>
      </c>
      <c r="K26" s="282">
        <f>IF(Notes!$B$9="Domestic",I26, IF(Notes!$B$9="Commercial",J26))*$K$5</f>
        <v>20.114600000000003</v>
      </c>
      <c r="L26" s="283">
        <f>(SUM(O26:Q26)+(K26+SUM(M26:Q26))*(INDEX($U$5:$AB$5,MATCH(Notes!$C$16,$U$3:$AB$3,0))-100%))*$L$5</f>
        <v>54.37</v>
      </c>
      <c r="M26" s="286"/>
      <c r="N26" s="286"/>
      <c r="O26" s="311">
        <f>O25</f>
        <v>54.37</v>
      </c>
      <c r="P26" s="285"/>
      <c r="Q26" s="285"/>
      <c r="R26" s="278"/>
      <c r="S26" s="278"/>
      <c r="T26" s="278"/>
    </row>
    <row r="27" spans="1:20" s="305" customFormat="1" hidden="1" outlineLevel="2" x14ac:dyDescent="0.25">
      <c r="A27" s="278"/>
      <c r="B27" s="279" t="str">
        <f t="shared" si="4"/>
        <v>600mmup to 3600mm&gt; 25 deg.</v>
      </c>
      <c r="C27" s="278" t="s">
        <v>770</v>
      </c>
      <c r="D27" s="278" t="s">
        <v>578</v>
      </c>
      <c r="E27" s="278" t="s">
        <v>588</v>
      </c>
      <c r="F27" s="278"/>
      <c r="G27" s="278" t="s">
        <v>11</v>
      </c>
      <c r="H27" s="310">
        <v>0.2</v>
      </c>
      <c r="I27" s="280">
        <f t="shared" si="5"/>
        <v>16.124000000000002</v>
      </c>
      <c r="J27" s="281">
        <f t="shared" si="6"/>
        <v>18.286000000000001</v>
      </c>
      <c r="K27" s="282">
        <f>IF(Notes!$B$9="Domestic",I27, IF(Notes!$B$9="Commercial",J27))*$K$5</f>
        <v>36.572000000000003</v>
      </c>
      <c r="L27" s="283">
        <f>(SUM(O27:Q27)+(K27+SUM(M27:Q27))*(INDEX($U$5:$AB$5,MATCH(Notes!$C$16,$U$3:$AB$3,0))-100%))*$L$5</f>
        <v>75.31</v>
      </c>
      <c r="M27" s="286"/>
      <c r="N27" s="286"/>
      <c r="O27" s="285">
        <v>75.31</v>
      </c>
      <c r="P27" s="285"/>
      <c r="Q27" s="285"/>
      <c r="R27" s="278"/>
      <c r="S27" s="278"/>
      <c r="T27" s="278"/>
    </row>
    <row r="28" spans="1:20" s="305" customFormat="1" hidden="1" outlineLevel="2" x14ac:dyDescent="0.25">
      <c r="A28" s="278"/>
      <c r="B28" s="279" t="str">
        <f t="shared" si="4"/>
        <v>600mm3601mm to 4800mm&gt; 25 deg.</v>
      </c>
      <c r="C28" s="278" t="s">
        <v>770</v>
      </c>
      <c r="D28" s="278" t="s">
        <v>579</v>
      </c>
      <c r="E28" s="278" t="s">
        <v>588</v>
      </c>
      <c r="F28" s="278"/>
      <c r="G28" s="278" t="s">
        <v>11</v>
      </c>
      <c r="H28" s="310">
        <v>0.18</v>
      </c>
      <c r="I28" s="280">
        <f t="shared" si="5"/>
        <v>14.5116</v>
      </c>
      <c r="J28" s="281">
        <f t="shared" si="6"/>
        <v>16.4574</v>
      </c>
      <c r="K28" s="282">
        <f>IF(Notes!$B$9="Domestic",I28, IF(Notes!$B$9="Commercial",J28))*$K$5</f>
        <v>32.9148</v>
      </c>
      <c r="L28" s="283">
        <f>(SUM(O28:Q28)+(K28+SUM(M28:Q28))*(INDEX($U$5:$AB$5,MATCH(Notes!$C$16,$U$3:$AB$3,0))-100%))*$L$5</f>
        <v>72.099999999999994</v>
      </c>
      <c r="M28" s="286"/>
      <c r="N28" s="286"/>
      <c r="O28" s="285">
        <v>72.099999999999994</v>
      </c>
      <c r="P28" s="285"/>
      <c r="Q28" s="285"/>
      <c r="R28" s="278"/>
      <c r="S28" s="278"/>
      <c r="T28" s="278"/>
    </row>
    <row r="29" spans="1:20" s="305" customFormat="1" hidden="1" outlineLevel="2" x14ac:dyDescent="0.25">
      <c r="A29" s="278"/>
      <c r="B29" s="279" t="str">
        <f t="shared" si="4"/>
        <v>600mm4801mm to 6000mm&gt; 25 deg.</v>
      </c>
      <c r="C29" s="278" t="s">
        <v>770</v>
      </c>
      <c r="D29" s="278" t="s">
        <v>580</v>
      </c>
      <c r="E29" s="278" t="s">
        <v>588</v>
      </c>
      <c r="F29" s="278"/>
      <c r="G29" s="278" t="s">
        <v>11</v>
      </c>
      <c r="H29" s="310">
        <v>0.17</v>
      </c>
      <c r="I29" s="280">
        <f t="shared" si="5"/>
        <v>13.705400000000001</v>
      </c>
      <c r="J29" s="281">
        <f t="shared" si="6"/>
        <v>15.543100000000003</v>
      </c>
      <c r="K29" s="282">
        <f>IF(Notes!$B$9="Domestic",I29, IF(Notes!$B$9="Commercial",J29))*$K$5</f>
        <v>31.086200000000005</v>
      </c>
      <c r="L29" s="283">
        <f>(SUM(O29:Q29)+(K29+SUM(M29:Q29))*(INDEX($U$5:$AB$5,MATCH(Notes!$C$16,$U$3:$AB$3,0))-100%))*$L$5</f>
        <v>70.930000000000007</v>
      </c>
      <c r="M29" s="286"/>
      <c r="N29" s="286"/>
      <c r="O29" s="285">
        <v>70.930000000000007</v>
      </c>
      <c r="P29" s="285"/>
      <c r="Q29" s="285"/>
      <c r="R29" s="278"/>
      <c r="S29" s="278"/>
      <c r="T29" s="278"/>
    </row>
    <row r="30" spans="1:20" s="305" customFormat="1" hidden="1" outlineLevel="2" x14ac:dyDescent="0.25">
      <c r="A30" s="278"/>
      <c r="B30" s="279" t="str">
        <f t="shared" si="4"/>
        <v>600mm6001mm to 7200mm&gt; 25 deg.</v>
      </c>
      <c r="C30" s="278" t="s">
        <v>770</v>
      </c>
      <c r="D30" s="278" t="s">
        <v>581</v>
      </c>
      <c r="E30" s="278" t="s">
        <v>588</v>
      </c>
      <c r="F30" s="278"/>
      <c r="G30" s="278" t="s">
        <v>11</v>
      </c>
      <c r="H30" s="310">
        <v>0.16</v>
      </c>
      <c r="I30" s="280">
        <f t="shared" si="5"/>
        <v>12.8992</v>
      </c>
      <c r="J30" s="281">
        <f t="shared" si="6"/>
        <v>14.628800000000002</v>
      </c>
      <c r="K30" s="282">
        <f>IF(Notes!$B$9="Domestic",I30, IF(Notes!$B$9="Commercial",J30))*$K$5</f>
        <v>29.257600000000004</v>
      </c>
      <c r="L30" s="283">
        <f>(SUM(O30:Q30)+(K30+SUM(M30:Q30))*(INDEX($U$5:$AB$5,MATCH(Notes!$C$16,$U$3:$AB$3,0))-100%))*$L$5</f>
        <v>66.12</v>
      </c>
      <c r="M30" s="286"/>
      <c r="N30" s="286"/>
      <c r="O30" s="285">
        <v>66.12</v>
      </c>
      <c r="P30" s="285"/>
      <c r="Q30" s="285"/>
      <c r="R30" s="278"/>
      <c r="S30" s="278"/>
      <c r="T30" s="278"/>
    </row>
    <row r="31" spans="1:20" s="305" customFormat="1" hidden="1" outlineLevel="2" x14ac:dyDescent="0.25">
      <c r="A31" s="278"/>
      <c r="B31" s="279" t="str">
        <f t="shared" si="4"/>
        <v>600mm7201mm to 9000mm&gt; 25 deg.</v>
      </c>
      <c r="C31" s="278" t="s">
        <v>770</v>
      </c>
      <c r="D31" s="278" t="s">
        <v>582</v>
      </c>
      <c r="E31" s="278" t="s">
        <v>588</v>
      </c>
      <c r="F31" s="278"/>
      <c r="G31" s="278" t="s">
        <v>11</v>
      </c>
      <c r="H31" s="310">
        <v>0.15</v>
      </c>
      <c r="I31" s="280">
        <f t="shared" si="5"/>
        <v>12.093</v>
      </c>
      <c r="J31" s="281">
        <f t="shared" si="6"/>
        <v>13.714500000000001</v>
      </c>
      <c r="K31" s="282">
        <f>IF(Notes!$B$9="Domestic",I31, IF(Notes!$B$9="Commercial",J31))*$K$5</f>
        <v>27.429000000000002</v>
      </c>
      <c r="L31" s="283">
        <f>(SUM(O31:Q31)+(K31+SUM(M31:Q31))*(INDEX($U$5:$AB$5,MATCH(Notes!$C$16,$U$3:$AB$3,0))-100%))*$L$5</f>
        <v>63.48</v>
      </c>
      <c r="M31" s="286"/>
      <c r="N31" s="286"/>
      <c r="O31" s="285">
        <v>63.48</v>
      </c>
      <c r="P31" s="285"/>
      <c r="Q31" s="285"/>
      <c r="R31" s="278"/>
      <c r="S31" s="278"/>
      <c r="T31" s="278"/>
    </row>
    <row r="32" spans="1:20" s="305" customFormat="1" hidden="1" outlineLevel="2" x14ac:dyDescent="0.25">
      <c r="A32" s="278"/>
      <c r="B32" s="279" t="str">
        <f t="shared" si="4"/>
        <v>600mm9001mm to 12000mm&gt; 25 deg.</v>
      </c>
      <c r="C32" s="278" t="s">
        <v>770</v>
      </c>
      <c r="D32" s="278" t="s">
        <v>583</v>
      </c>
      <c r="E32" s="278" t="s">
        <v>588</v>
      </c>
      <c r="F32" s="278"/>
      <c r="G32" s="278" t="s">
        <v>11</v>
      </c>
      <c r="H32" s="310">
        <v>0.13</v>
      </c>
      <c r="I32" s="280">
        <f t="shared" si="5"/>
        <v>10.480600000000001</v>
      </c>
      <c r="J32" s="281">
        <f t="shared" si="6"/>
        <v>11.885900000000001</v>
      </c>
      <c r="K32" s="282">
        <f>IF(Notes!$B$9="Domestic",I32, IF(Notes!$B$9="Commercial",J32))*$K$5</f>
        <v>23.771800000000002</v>
      </c>
      <c r="L32" s="283">
        <f>(SUM(O32:Q32)+(K32+SUM(M32:Q32))*(INDEX($U$5:$AB$5,MATCH(Notes!$C$16,$U$3:$AB$3,0))-100%))*$L$5</f>
        <v>62.51</v>
      </c>
      <c r="M32" s="286"/>
      <c r="N32" s="286"/>
      <c r="O32" s="285">
        <v>62.51</v>
      </c>
      <c r="P32" s="285"/>
      <c r="Q32" s="285"/>
      <c r="R32" s="278"/>
      <c r="S32" s="278"/>
      <c r="T32" s="278"/>
    </row>
    <row r="33" spans="1:28" s="305" customFormat="1" hidden="1" outlineLevel="2" x14ac:dyDescent="0.25">
      <c r="A33" s="278"/>
      <c r="B33" s="279" t="str">
        <f t="shared" si="4"/>
        <v>600mm12000mm plus&gt; 25 deg.</v>
      </c>
      <c r="C33" s="278" t="s">
        <v>770</v>
      </c>
      <c r="D33" s="278" t="s">
        <v>584</v>
      </c>
      <c r="E33" s="278" t="s">
        <v>588</v>
      </c>
      <c r="F33" s="278"/>
      <c r="G33" s="278" t="s">
        <v>11</v>
      </c>
      <c r="H33" s="309">
        <f>H32</f>
        <v>0.13</v>
      </c>
      <c r="I33" s="280">
        <f t="shared" si="5"/>
        <v>10.480600000000001</v>
      </c>
      <c r="J33" s="281">
        <f t="shared" si="6"/>
        <v>11.885900000000001</v>
      </c>
      <c r="K33" s="282">
        <f>IF(Notes!$B$9="Domestic",I33, IF(Notes!$B$9="Commercial",J33))*$K$5</f>
        <v>23.771800000000002</v>
      </c>
      <c r="L33" s="283">
        <f>(SUM(O33:Q33)+(K33+SUM(M33:Q33))*(INDEX($U$5:$AB$5,MATCH(Notes!$C$16,$U$3:$AB$3,0))-100%))*$L$5</f>
        <v>62.51</v>
      </c>
      <c r="M33" s="286"/>
      <c r="N33" s="286"/>
      <c r="O33" s="311">
        <f>O32</f>
        <v>62.51</v>
      </c>
      <c r="P33" s="285"/>
      <c r="Q33" s="285"/>
      <c r="R33" s="278"/>
      <c r="S33" s="278"/>
      <c r="T33" s="278"/>
    </row>
    <row r="34" spans="1:28" s="305" customFormat="1" hidden="1" outlineLevel="2" x14ac:dyDescent="0.25">
      <c r="A34" s="278"/>
      <c r="B34" s="279" t="str">
        <f t="shared" si="4"/>
        <v>900mmup to 3600mm&lt;= 25 deg.</v>
      </c>
      <c r="C34" s="278" t="s">
        <v>772</v>
      </c>
      <c r="D34" s="278" t="s">
        <v>578</v>
      </c>
      <c r="E34" s="278" t="s">
        <v>587</v>
      </c>
      <c r="F34" s="278"/>
      <c r="G34" s="278" t="s">
        <v>11</v>
      </c>
      <c r="H34" s="310">
        <v>0.11</v>
      </c>
      <c r="I34" s="280">
        <f t="shared" si="5"/>
        <v>8.8681999999999999</v>
      </c>
      <c r="J34" s="281">
        <f t="shared" si="6"/>
        <v>10.057300000000001</v>
      </c>
      <c r="K34" s="282">
        <f>IF(Notes!$B$9="Domestic",I34, IF(Notes!$B$9="Commercial",J34))*$K$5</f>
        <v>20.114600000000003</v>
      </c>
      <c r="L34" s="283">
        <f>(SUM(O34:Q34)+(K34+SUM(M34:Q34))*(INDEX($U$5:$AB$5,MATCH(Notes!$C$16,$U$3:$AB$3,0))-100%))*$L$5</f>
        <v>56.14</v>
      </c>
      <c r="M34" s="286"/>
      <c r="N34" s="286"/>
      <c r="O34" s="285">
        <v>56.14</v>
      </c>
      <c r="P34" s="285"/>
      <c r="Q34" s="285"/>
      <c r="R34" s="278"/>
      <c r="S34" s="278"/>
      <c r="T34" s="278"/>
    </row>
    <row r="35" spans="1:28" s="305" customFormat="1" hidden="1" outlineLevel="2" x14ac:dyDescent="0.25">
      <c r="A35" s="278"/>
      <c r="B35" s="279" t="str">
        <f t="shared" ref="B35:B47" si="7">C35&amp;D35&amp;E35&amp;F35</f>
        <v>900mm3601mm to 4800mm&lt;= 25 deg.</v>
      </c>
      <c r="C35" s="278" t="s">
        <v>772</v>
      </c>
      <c r="D35" s="278" t="s">
        <v>579</v>
      </c>
      <c r="E35" s="278" t="s">
        <v>587</v>
      </c>
      <c r="F35" s="278"/>
      <c r="G35" s="278" t="s">
        <v>11</v>
      </c>
      <c r="H35" s="310">
        <v>0.11</v>
      </c>
      <c r="I35" s="280">
        <f t="shared" ref="I35:I47" si="8">$I$2*H35</f>
        <v>8.8681999999999999</v>
      </c>
      <c r="J35" s="281">
        <f t="shared" ref="J35:J47" si="9">$J$2*H35</f>
        <v>10.057300000000001</v>
      </c>
      <c r="K35" s="282">
        <f>IF(Notes!$B$9="Domestic",I35, IF(Notes!$B$9="Commercial",J35))*$K$5</f>
        <v>20.114600000000003</v>
      </c>
      <c r="L35" s="283">
        <f>(SUM(O35:Q35)+(K35+SUM(M35:Q35))*(INDEX($U$5:$AB$5,MATCH(Notes!$C$16,$U$3:$AB$3,0))-100%))*$L$5</f>
        <v>54.3</v>
      </c>
      <c r="M35" s="286"/>
      <c r="N35" s="286"/>
      <c r="O35" s="285">
        <v>54.3</v>
      </c>
      <c r="P35" s="285"/>
      <c r="Q35" s="285"/>
      <c r="R35" s="278"/>
      <c r="S35" s="278"/>
      <c r="T35" s="278"/>
    </row>
    <row r="36" spans="1:28" s="305" customFormat="1" hidden="1" outlineLevel="2" x14ac:dyDescent="0.25">
      <c r="A36" s="278"/>
      <c r="B36" s="279" t="str">
        <f t="shared" si="7"/>
        <v>900mm4801mm to 6000mm&lt;= 25 deg.</v>
      </c>
      <c r="C36" s="278" t="s">
        <v>772</v>
      </c>
      <c r="D36" s="278" t="s">
        <v>580</v>
      </c>
      <c r="E36" s="278" t="s">
        <v>587</v>
      </c>
      <c r="F36" s="278"/>
      <c r="G36" s="278" t="s">
        <v>11</v>
      </c>
      <c r="H36" s="310">
        <v>0.11</v>
      </c>
      <c r="I36" s="280">
        <f t="shared" si="8"/>
        <v>8.8681999999999999</v>
      </c>
      <c r="J36" s="281">
        <f t="shared" si="9"/>
        <v>10.057300000000001</v>
      </c>
      <c r="K36" s="282">
        <f>IF(Notes!$B$9="Domestic",I36, IF(Notes!$B$9="Commercial",J36))*$K$5</f>
        <v>20.114600000000003</v>
      </c>
      <c r="L36" s="283">
        <f>(SUM(O36:Q36)+(K36+SUM(M36:Q36))*(INDEX($U$5:$AB$5,MATCH(Notes!$C$16,$U$3:$AB$3,0))-100%))*$L$5</f>
        <v>52.47</v>
      </c>
      <c r="M36" s="286"/>
      <c r="N36" s="286"/>
      <c r="O36" s="285">
        <v>52.47</v>
      </c>
      <c r="P36" s="285"/>
      <c r="Q36" s="285"/>
      <c r="R36" s="278"/>
      <c r="S36" s="278"/>
      <c r="T36" s="278"/>
    </row>
    <row r="37" spans="1:28" s="305" customFormat="1" hidden="1" outlineLevel="2" x14ac:dyDescent="0.25">
      <c r="A37" s="278"/>
      <c r="B37" s="279" t="str">
        <f t="shared" si="7"/>
        <v>900mm6001mm to 7200mm&lt;= 25 deg.</v>
      </c>
      <c r="C37" s="278" t="s">
        <v>772</v>
      </c>
      <c r="D37" s="278" t="s">
        <v>581</v>
      </c>
      <c r="E37" s="278" t="s">
        <v>587</v>
      </c>
      <c r="F37" s="278"/>
      <c r="G37" s="278" t="s">
        <v>11</v>
      </c>
      <c r="H37" s="310">
        <v>0.11</v>
      </c>
      <c r="I37" s="280">
        <f t="shared" si="8"/>
        <v>8.8681999999999999</v>
      </c>
      <c r="J37" s="281">
        <f t="shared" si="9"/>
        <v>10.057300000000001</v>
      </c>
      <c r="K37" s="282">
        <f>IF(Notes!$B$9="Domestic",I37, IF(Notes!$B$9="Commercial",J37))*$K$5</f>
        <v>20.114600000000003</v>
      </c>
      <c r="L37" s="283">
        <f>(SUM(O37:Q37)+(K37+SUM(M37:Q37))*(INDEX($U$5:$AB$5,MATCH(Notes!$C$16,$U$3:$AB$3,0))-100%))*$L$5</f>
        <v>45.39</v>
      </c>
      <c r="M37" s="286"/>
      <c r="N37" s="286"/>
      <c r="O37" s="285">
        <v>45.39</v>
      </c>
      <c r="P37" s="285"/>
      <c r="Q37" s="285"/>
      <c r="R37" s="278"/>
      <c r="S37" s="278"/>
      <c r="T37" s="278"/>
    </row>
    <row r="38" spans="1:28" s="305" customFormat="1" hidden="1" outlineLevel="2" x14ac:dyDescent="0.25">
      <c r="A38" s="278"/>
      <c r="B38" s="279" t="str">
        <f t="shared" si="7"/>
        <v>900mm7201mm to 9000mm&lt;= 25 deg.</v>
      </c>
      <c r="C38" s="278" t="s">
        <v>772</v>
      </c>
      <c r="D38" s="278" t="s">
        <v>582</v>
      </c>
      <c r="E38" s="278" t="s">
        <v>587</v>
      </c>
      <c r="F38" s="278"/>
      <c r="G38" s="278" t="s">
        <v>11</v>
      </c>
      <c r="H38" s="310">
        <v>0.11</v>
      </c>
      <c r="I38" s="280">
        <f t="shared" si="8"/>
        <v>8.8681999999999999</v>
      </c>
      <c r="J38" s="281">
        <f t="shared" si="9"/>
        <v>10.057300000000001</v>
      </c>
      <c r="K38" s="282">
        <f>IF(Notes!$B$9="Domestic",I38, IF(Notes!$B$9="Commercial",J38))*$K$5</f>
        <v>20.114600000000003</v>
      </c>
      <c r="L38" s="283">
        <f>(SUM(O38:Q38)+(K38+SUM(M38:Q38))*(INDEX($U$5:$AB$5,MATCH(Notes!$C$16,$U$3:$AB$3,0))-100%))*$L$5</f>
        <v>45.3</v>
      </c>
      <c r="M38" s="286"/>
      <c r="N38" s="286"/>
      <c r="O38" s="285">
        <v>45.3</v>
      </c>
      <c r="P38" s="285"/>
      <c r="Q38" s="285"/>
      <c r="R38" s="278"/>
      <c r="S38" s="278"/>
      <c r="T38" s="278"/>
    </row>
    <row r="39" spans="1:28" s="305" customFormat="1" hidden="1" outlineLevel="2" x14ac:dyDescent="0.25">
      <c r="A39" s="278"/>
      <c r="B39" s="279" t="str">
        <f t="shared" si="7"/>
        <v>900mm9001mm to 12000mm&lt;= 25 deg.</v>
      </c>
      <c r="C39" s="278" t="s">
        <v>772</v>
      </c>
      <c r="D39" s="278" t="s">
        <v>583</v>
      </c>
      <c r="E39" s="278" t="s">
        <v>587</v>
      </c>
      <c r="F39" s="278"/>
      <c r="G39" s="278" t="s">
        <v>11</v>
      </c>
      <c r="H39" s="310">
        <v>0.11</v>
      </c>
      <c r="I39" s="280">
        <f t="shared" si="8"/>
        <v>8.8681999999999999</v>
      </c>
      <c r="J39" s="281">
        <f t="shared" si="9"/>
        <v>10.057300000000001</v>
      </c>
      <c r="K39" s="282">
        <f>IF(Notes!$B$9="Domestic",I39, IF(Notes!$B$9="Commercial",J39))*$K$5</f>
        <v>20.114600000000003</v>
      </c>
      <c r="L39" s="283">
        <f>(SUM(O39:Q39)+(K39+SUM(M39:Q39))*(INDEX($U$5:$AB$5,MATCH(Notes!$C$16,$U$3:$AB$3,0))-100%))*$L$5</f>
        <v>44.4</v>
      </c>
      <c r="M39" s="286"/>
      <c r="N39" s="286"/>
      <c r="O39" s="285">
        <v>44.4</v>
      </c>
      <c r="P39" s="285"/>
      <c r="Q39" s="285"/>
      <c r="R39" s="278"/>
      <c r="S39" s="278"/>
      <c r="T39" s="278"/>
    </row>
    <row r="40" spans="1:28" s="305" customFormat="1" hidden="1" outlineLevel="2" x14ac:dyDescent="0.25">
      <c r="A40" s="278"/>
      <c r="B40" s="279" t="str">
        <f t="shared" si="7"/>
        <v>900mm12000mm plus&lt;= 25 deg.</v>
      </c>
      <c r="C40" s="278" t="s">
        <v>772</v>
      </c>
      <c r="D40" s="278" t="s">
        <v>584</v>
      </c>
      <c r="E40" s="278" t="s">
        <v>587</v>
      </c>
      <c r="F40" s="278"/>
      <c r="G40" s="278" t="s">
        <v>11</v>
      </c>
      <c r="H40" s="309">
        <f>H39</f>
        <v>0.11</v>
      </c>
      <c r="I40" s="280">
        <f t="shared" si="8"/>
        <v>8.8681999999999999</v>
      </c>
      <c r="J40" s="281">
        <f t="shared" si="9"/>
        <v>10.057300000000001</v>
      </c>
      <c r="K40" s="282">
        <f>IF(Notes!$B$9="Domestic",I40, IF(Notes!$B$9="Commercial",J40))*$K$5</f>
        <v>20.114600000000003</v>
      </c>
      <c r="L40" s="283">
        <f>(SUM(O40:Q40)+(K40+SUM(M40:Q40))*(INDEX($U$5:$AB$5,MATCH(Notes!$C$16,$U$3:$AB$3,0))-100%))*$L$5</f>
        <v>44.4</v>
      </c>
      <c r="M40" s="286"/>
      <c r="N40" s="286"/>
      <c r="O40" s="311">
        <f>O39</f>
        <v>44.4</v>
      </c>
      <c r="P40" s="285"/>
      <c r="Q40" s="285"/>
      <c r="R40" s="278"/>
      <c r="S40" s="278"/>
      <c r="T40" s="278"/>
    </row>
    <row r="41" spans="1:28" s="305" customFormat="1" hidden="1" outlineLevel="2" x14ac:dyDescent="0.25">
      <c r="A41" s="278"/>
      <c r="B41" s="279" t="str">
        <f t="shared" si="7"/>
        <v>900mmup to 3600mm&gt; 25 deg.</v>
      </c>
      <c r="C41" s="278" t="s">
        <v>772</v>
      </c>
      <c r="D41" s="278" t="s">
        <v>578</v>
      </c>
      <c r="E41" s="278" t="s">
        <v>588</v>
      </c>
      <c r="F41" s="278"/>
      <c r="G41" s="278" t="s">
        <v>11</v>
      </c>
      <c r="H41" s="310">
        <v>0.16</v>
      </c>
      <c r="I41" s="280">
        <f t="shared" si="8"/>
        <v>12.8992</v>
      </c>
      <c r="J41" s="281">
        <f t="shared" si="9"/>
        <v>14.628800000000002</v>
      </c>
      <c r="K41" s="282">
        <f>IF(Notes!$B$9="Domestic",I41, IF(Notes!$B$9="Commercial",J41))*$K$5</f>
        <v>29.257600000000004</v>
      </c>
      <c r="L41" s="283">
        <f>(SUM(O41:Q41)+(K41+SUM(M41:Q41))*(INDEX($U$5:$AB$5,MATCH(Notes!$C$16,$U$3:$AB$3,0))-100%))*$L$5</f>
        <v>58.19</v>
      </c>
      <c r="M41" s="286"/>
      <c r="N41" s="286"/>
      <c r="O41" s="285">
        <v>58.19</v>
      </c>
      <c r="P41" s="285"/>
      <c r="Q41" s="285"/>
      <c r="R41" s="278"/>
      <c r="S41" s="278"/>
      <c r="T41" s="278"/>
    </row>
    <row r="42" spans="1:28" s="305" customFormat="1" hidden="1" outlineLevel="2" x14ac:dyDescent="0.25">
      <c r="A42" s="278"/>
      <c r="B42" s="279" t="str">
        <f t="shared" si="7"/>
        <v>900mm3601mm to 4800mm&gt; 25 deg.</v>
      </c>
      <c r="C42" s="278" t="s">
        <v>772</v>
      </c>
      <c r="D42" s="278" t="s">
        <v>579</v>
      </c>
      <c r="E42" s="278" t="s">
        <v>588</v>
      </c>
      <c r="F42" s="278"/>
      <c r="G42" s="278" t="s">
        <v>11</v>
      </c>
      <c r="H42" s="310">
        <v>0.15</v>
      </c>
      <c r="I42" s="280">
        <f t="shared" si="8"/>
        <v>12.093</v>
      </c>
      <c r="J42" s="281">
        <f t="shared" si="9"/>
        <v>13.714500000000001</v>
      </c>
      <c r="K42" s="282">
        <f>IF(Notes!$B$9="Domestic",I42, IF(Notes!$B$9="Commercial",J42))*$K$5</f>
        <v>27.429000000000002</v>
      </c>
      <c r="L42" s="283">
        <f>(SUM(O42:Q42)+(K42+SUM(M42:Q42))*(INDEX($U$5:$AB$5,MATCH(Notes!$C$16,$U$3:$AB$3,0))-100%))*$L$5</f>
        <v>56.4</v>
      </c>
      <c r="M42" s="286"/>
      <c r="N42" s="286"/>
      <c r="O42" s="285">
        <v>56.4</v>
      </c>
      <c r="P42" s="285"/>
      <c r="Q42" s="285"/>
      <c r="R42" s="278"/>
      <c r="S42" s="278"/>
      <c r="T42" s="278"/>
    </row>
    <row r="43" spans="1:28" s="305" customFormat="1" hidden="1" outlineLevel="2" x14ac:dyDescent="0.25">
      <c r="A43" s="278"/>
      <c r="B43" s="279" t="str">
        <f t="shared" si="7"/>
        <v>900mm4801mm to 6000mm&gt; 25 deg.</v>
      </c>
      <c r="C43" s="278" t="s">
        <v>772</v>
      </c>
      <c r="D43" s="278" t="s">
        <v>580</v>
      </c>
      <c r="E43" s="278" t="s">
        <v>588</v>
      </c>
      <c r="F43" s="278"/>
      <c r="G43" s="278" t="s">
        <v>11</v>
      </c>
      <c r="H43" s="310">
        <v>0.14000000000000001</v>
      </c>
      <c r="I43" s="280">
        <f t="shared" si="8"/>
        <v>11.286800000000001</v>
      </c>
      <c r="J43" s="281">
        <f t="shared" si="9"/>
        <v>12.800200000000002</v>
      </c>
      <c r="K43" s="282">
        <f>IF(Notes!$B$9="Domestic",I43, IF(Notes!$B$9="Commercial",J43))*$K$5</f>
        <v>25.600400000000004</v>
      </c>
      <c r="L43" s="283">
        <f>(SUM(O43:Q43)+(K43+SUM(M43:Q43))*(INDEX($U$5:$AB$5,MATCH(Notes!$C$16,$U$3:$AB$3,0))-100%))*$L$5</f>
        <v>55.6</v>
      </c>
      <c r="M43" s="286"/>
      <c r="N43" s="286"/>
      <c r="O43" s="285">
        <v>55.6</v>
      </c>
      <c r="P43" s="285"/>
      <c r="Q43" s="285"/>
      <c r="R43" s="278"/>
      <c r="S43" s="278"/>
      <c r="T43" s="278"/>
    </row>
    <row r="44" spans="1:28" s="305" customFormat="1" hidden="1" outlineLevel="2" x14ac:dyDescent="0.25">
      <c r="A44" s="278"/>
      <c r="B44" s="279" t="str">
        <f t="shared" si="7"/>
        <v>900mm6001mm to 7200mm&gt; 25 deg.</v>
      </c>
      <c r="C44" s="278" t="s">
        <v>772</v>
      </c>
      <c r="D44" s="278" t="s">
        <v>581</v>
      </c>
      <c r="E44" s="278" t="s">
        <v>588</v>
      </c>
      <c r="F44" s="278"/>
      <c r="G44" s="278" t="s">
        <v>11</v>
      </c>
      <c r="H44" s="310">
        <v>0.14000000000000001</v>
      </c>
      <c r="I44" s="280">
        <f t="shared" si="8"/>
        <v>11.286800000000001</v>
      </c>
      <c r="J44" s="281">
        <f t="shared" si="9"/>
        <v>12.800200000000002</v>
      </c>
      <c r="K44" s="282">
        <f>IF(Notes!$B$9="Domestic",I44, IF(Notes!$B$9="Commercial",J44))*$K$5</f>
        <v>25.600400000000004</v>
      </c>
      <c r="L44" s="283">
        <f>(SUM(O44:Q44)+(K44+SUM(M44:Q44))*(INDEX($U$5:$AB$5,MATCH(Notes!$C$16,$U$3:$AB$3,0))-100%))*$L$5</f>
        <v>53.62</v>
      </c>
      <c r="M44" s="286"/>
      <c r="N44" s="286"/>
      <c r="O44" s="285">
        <v>53.62</v>
      </c>
      <c r="P44" s="285"/>
      <c r="Q44" s="285"/>
      <c r="R44" s="278"/>
      <c r="S44" s="278"/>
      <c r="T44" s="278"/>
    </row>
    <row r="45" spans="1:28" s="305" customFormat="1" hidden="1" outlineLevel="2" x14ac:dyDescent="0.25">
      <c r="A45" s="278"/>
      <c r="B45" s="279" t="str">
        <f t="shared" si="7"/>
        <v>900mm7201mm to 9000mm&gt; 25 deg.</v>
      </c>
      <c r="C45" s="278" t="s">
        <v>772</v>
      </c>
      <c r="D45" s="278" t="s">
        <v>582</v>
      </c>
      <c r="E45" s="278" t="s">
        <v>588</v>
      </c>
      <c r="F45" s="278"/>
      <c r="G45" s="278" t="s">
        <v>11</v>
      </c>
      <c r="H45" s="310">
        <v>0.13</v>
      </c>
      <c r="I45" s="280">
        <f t="shared" si="8"/>
        <v>10.480600000000001</v>
      </c>
      <c r="J45" s="281">
        <f t="shared" si="9"/>
        <v>11.885900000000001</v>
      </c>
      <c r="K45" s="282">
        <f>IF(Notes!$B$9="Domestic",I45, IF(Notes!$B$9="Commercial",J45))*$K$5</f>
        <v>23.771800000000002</v>
      </c>
      <c r="L45" s="283">
        <f>(SUM(O45:Q45)+(K45+SUM(M45:Q45))*(INDEX($U$5:$AB$5,MATCH(Notes!$C$16,$U$3:$AB$3,0))-100%))*$L$5</f>
        <v>51.57</v>
      </c>
      <c r="M45" s="286"/>
      <c r="N45" s="286"/>
      <c r="O45" s="285">
        <v>51.57</v>
      </c>
      <c r="P45" s="285"/>
      <c r="Q45" s="285"/>
      <c r="R45" s="278"/>
      <c r="S45" s="278"/>
      <c r="T45" s="278"/>
    </row>
    <row r="46" spans="1:28" s="305" customFormat="1" hidden="1" outlineLevel="2" x14ac:dyDescent="0.25">
      <c r="A46" s="278"/>
      <c r="B46" s="279" t="str">
        <f t="shared" si="7"/>
        <v>900mm9001mm to 12000mm&gt; 25 deg.</v>
      </c>
      <c r="C46" s="278" t="s">
        <v>772</v>
      </c>
      <c r="D46" s="278" t="s">
        <v>583</v>
      </c>
      <c r="E46" s="278" t="s">
        <v>588</v>
      </c>
      <c r="F46" s="278"/>
      <c r="G46" s="278" t="s">
        <v>11</v>
      </c>
      <c r="H46" s="310">
        <v>0.12</v>
      </c>
      <c r="I46" s="280">
        <f t="shared" si="8"/>
        <v>9.6744000000000003</v>
      </c>
      <c r="J46" s="281">
        <f t="shared" si="9"/>
        <v>10.9716</v>
      </c>
      <c r="K46" s="282">
        <f>IF(Notes!$B$9="Domestic",I46, IF(Notes!$B$9="Commercial",J46))*$K$5</f>
        <v>21.943200000000001</v>
      </c>
      <c r="L46" s="283">
        <f>(SUM(O46:Q46)+(K46+SUM(M46:Q46))*(INDEX($U$5:$AB$5,MATCH(Notes!$C$16,$U$3:$AB$3,0))-100%))*$L$5</f>
        <v>50.29</v>
      </c>
      <c r="M46" s="286"/>
      <c r="N46" s="286"/>
      <c r="O46" s="285">
        <v>50.29</v>
      </c>
      <c r="P46" s="285"/>
      <c r="Q46" s="285"/>
      <c r="R46" s="278"/>
      <c r="S46" s="278"/>
      <c r="T46" s="278"/>
    </row>
    <row r="47" spans="1:28" s="305" customFormat="1" hidden="1" outlineLevel="2" x14ac:dyDescent="0.25">
      <c r="A47" s="278"/>
      <c r="B47" s="279" t="str">
        <f t="shared" si="7"/>
        <v>900mm12000mm plus&gt; 25 deg.</v>
      </c>
      <c r="C47" s="278" t="s">
        <v>772</v>
      </c>
      <c r="D47" s="278" t="s">
        <v>584</v>
      </c>
      <c r="E47" s="278" t="s">
        <v>588</v>
      </c>
      <c r="F47" s="278"/>
      <c r="G47" s="278" t="s">
        <v>11</v>
      </c>
      <c r="H47" s="309">
        <f>H46</f>
        <v>0.12</v>
      </c>
      <c r="I47" s="280">
        <f t="shared" si="8"/>
        <v>9.6744000000000003</v>
      </c>
      <c r="J47" s="281">
        <f t="shared" si="9"/>
        <v>10.9716</v>
      </c>
      <c r="K47" s="282">
        <f>IF(Notes!$B$9="Domestic",I47, IF(Notes!$B$9="Commercial",J47))*$K$5</f>
        <v>21.943200000000001</v>
      </c>
      <c r="L47" s="283">
        <f>(SUM(O47:Q47)+(K47+SUM(M47:Q47))*(INDEX($U$5:$AB$5,MATCH(Notes!$C$16,$U$3:$AB$3,0))-100%))*$L$5</f>
        <v>50.29</v>
      </c>
      <c r="M47" s="286"/>
      <c r="N47" s="286"/>
      <c r="O47" s="311">
        <f>O46</f>
        <v>50.29</v>
      </c>
      <c r="P47" s="285"/>
      <c r="Q47" s="285"/>
      <c r="R47" s="278"/>
      <c r="S47" s="278"/>
      <c r="T47" s="278"/>
    </row>
    <row r="48" spans="1:28" ht="21" hidden="1" outlineLevel="1" collapsed="1" x14ac:dyDescent="0.25">
      <c r="A48" s="299" t="s">
        <v>1879</v>
      </c>
      <c r="B48" s="299"/>
      <c r="C48" s="299"/>
      <c r="D48" s="299"/>
      <c r="E48" s="299"/>
      <c r="F48" s="299"/>
      <c r="G48" s="299"/>
      <c r="H48" s="348"/>
      <c r="I48" s="299"/>
      <c r="J48" s="299"/>
      <c r="K48" s="299"/>
      <c r="L48" s="299"/>
      <c r="M48" s="299"/>
      <c r="N48" s="299"/>
      <c r="O48" s="299"/>
      <c r="P48" s="299"/>
      <c r="Q48" s="299"/>
      <c r="R48" s="299"/>
      <c r="S48" s="299"/>
      <c r="T48" s="299"/>
      <c r="U48" s="299"/>
      <c r="V48" s="299"/>
      <c r="W48" s="299"/>
      <c r="X48" s="299"/>
      <c r="Y48" s="299"/>
      <c r="Z48" s="299"/>
      <c r="AA48" s="299"/>
      <c r="AB48" s="299"/>
    </row>
    <row r="49" spans="1:28" ht="15.75" hidden="1" outlineLevel="1" x14ac:dyDescent="0.25">
      <c r="A49" s="291"/>
      <c r="B49" s="291"/>
      <c r="C49" s="291"/>
      <c r="D49" s="291"/>
      <c r="E49" s="291"/>
      <c r="F49" s="291"/>
      <c r="G49" s="291"/>
      <c r="H49" s="325"/>
      <c r="I49" s="291"/>
      <c r="J49" s="291"/>
      <c r="K49" s="291">
        <v>2</v>
      </c>
      <c r="L49" s="291">
        <f>L$2</f>
        <v>1</v>
      </c>
      <c r="M49" s="291"/>
      <c r="N49" s="291"/>
      <c r="O49" s="303"/>
      <c r="P49" s="303"/>
      <c r="Q49" s="303"/>
      <c r="R49" s="291"/>
      <c r="S49" s="291"/>
      <c r="T49" s="291"/>
      <c r="U49" s="381">
        <f>U$2</f>
        <v>1.0309523809523808</v>
      </c>
      <c r="V49" s="381">
        <f>V$2</f>
        <v>1</v>
      </c>
      <c r="W49" s="381">
        <f t="shared" ref="W49:AB49" si="10">W$2</f>
        <v>1.0705952380952379</v>
      </c>
      <c r="X49" s="381">
        <f t="shared" si="10"/>
        <v>1.1199999999999999</v>
      </c>
      <c r="Y49" s="381">
        <f t="shared" si="10"/>
        <v>1.0571428571428572</v>
      </c>
      <c r="Z49" s="381">
        <f t="shared" si="10"/>
        <v>1.1299999999999999</v>
      </c>
      <c r="AA49" s="381">
        <f t="shared" si="10"/>
        <v>1.0776942355889725</v>
      </c>
      <c r="AB49" s="381">
        <f t="shared" si="10"/>
        <v>1.0325814536340854</v>
      </c>
    </row>
    <row r="50" spans="1:28" s="305" customFormat="1" ht="14.45" hidden="1" customHeight="1" outlineLevel="2" x14ac:dyDescent="0.25">
      <c r="A50" s="278"/>
      <c r="B50" s="279" t="str">
        <f>C50&amp;D50&amp;E50&amp;F50</f>
        <v>up to 4800mm&lt;= 25 deg.</v>
      </c>
      <c r="C50" s="278"/>
      <c r="D50" s="278" t="s">
        <v>585</v>
      </c>
      <c r="E50" s="278" t="s">
        <v>587</v>
      </c>
      <c r="F50" s="278"/>
      <c r="G50" s="278" t="s">
        <v>11</v>
      </c>
      <c r="H50" s="310">
        <v>0.56999999999999995</v>
      </c>
      <c r="I50" s="280">
        <f>$I$2*H50</f>
        <v>45.953400000000002</v>
      </c>
      <c r="J50" s="281">
        <f>$J$2*H50</f>
        <v>52.115099999999998</v>
      </c>
      <c r="K50" s="282">
        <f>IF(Notes!$B$9="Domestic",I50, IF(Notes!$B$9="Commercial",J50))*$K$49</f>
        <v>104.2302</v>
      </c>
      <c r="L50" s="283">
        <f>(SUM(O50:Q50)+(K50+SUM(M50:Q50))*(INDEX($U$49:$AB$49,MATCH(Notes!$C$16,$U$3:$AB$3,0))-100%))*$L$49</f>
        <v>112.17</v>
      </c>
      <c r="M50" s="286"/>
      <c r="N50" s="286"/>
      <c r="O50" s="285">
        <v>112.17</v>
      </c>
      <c r="P50" s="285"/>
      <c r="Q50" s="285"/>
      <c r="R50" s="278"/>
      <c r="S50" s="278"/>
      <c r="T50" s="278"/>
      <c r="U50" s="304"/>
    </row>
    <row r="51" spans="1:28" s="305" customFormat="1" ht="14.45" hidden="1" customHeight="1" outlineLevel="2" x14ac:dyDescent="0.25">
      <c r="A51" s="278"/>
      <c r="B51" s="279" t="str">
        <f t="shared" ref="B51:B59" si="11">C51&amp;D51&amp;E51&amp;F51</f>
        <v>4801mm to 6000mm&lt;= 25 deg.</v>
      </c>
      <c r="C51" s="278"/>
      <c r="D51" s="278" t="s">
        <v>580</v>
      </c>
      <c r="E51" s="278" t="s">
        <v>587</v>
      </c>
      <c r="F51" s="278"/>
      <c r="G51" s="278" t="s">
        <v>11</v>
      </c>
      <c r="H51" s="310">
        <v>0.53</v>
      </c>
      <c r="I51" s="280">
        <f>$I$2*H51</f>
        <v>42.728600000000007</v>
      </c>
      <c r="J51" s="281">
        <f t="shared" ref="J51:J59" si="12">$J$2*H51</f>
        <v>48.457900000000009</v>
      </c>
      <c r="K51" s="282">
        <f>IF(Notes!$B$9="Domestic",I51, IF(Notes!$B$9="Commercial",J51))*$K$49</f>
        <v>96.915800000000019</v>
      </c>
      <c r="L51" s="283">
        <f>(SUM(O51:Q51)+(K51+SUM(M51:Q51))*(INDEX($U$49:$AB$49,MATCH(Notes!$C$16,$U$3:$AB$3,0))-100%))*$L$49</f>
        <v>84.45</v>
      </c>
      <c r="M51" s="286"/>
      <c r="N51" s="286"/>
      <c r="O51" s="285">
        <v>84.45</v>
      </c>
      <c r="P51" s="285"/>
      <c r="Q51" s="285"/>
      <c r="R51" s="278"/>
      <c r="S51" s="278"/>
      <c r="T51" s="278"/>
      <c r="U51" s="304"/>
    </row>
    <row r="52" spans="1:28" s="305" customFormat="1" ht="14.45" hidden="1" customHeight="1" outlineLevel="2" x14ac:dyDescent="0.25">
      <c r="A52" s="278"/>
      <c r="B52" s="279" t="str">
        <f t="shared" si="11"/>
        <v>6001mm to 9000mm&lt;= 25 deg.</v>
      </c>
      <c r="C52" s="278"/>
      <c r="D52" s="278" t="s">
        <v>586</v>
      </c>
      <c r="E52" s="278" t="s">
        <v>587</v>
      </c>
      <c r="F52" s="278"/>
      <c r="G52" s="278" t="s">
        <v>11</v>
      </c>
      <c r="H52" s="310">
        <v>0.36</v>
      </c>
      <c r="I52" s="280">
        <f t="shared" ref="I52:I59" si="13">$I$2*H52</f>
        <v>29.023199999999999</v>
      </c>
      <c r="J52" s="281">
        <f t="shared" si="12"/>
        <v>32.9148</v>
      </c>
      <c r="K52" s="282">
        <f>IF(Notes!$B$9="Domestic",I52, IF(Notes!$B$9="Commercial",J52))*$K$49</f>
        <v>65.829599999999999</v>
      </c>
      <c r="L52" s="283">
        <f>(SUM(O52:Q52)+(K52+SUM(M52:Q52))*(INDEX($U$49:$AB$49,MATCH(Notes!$C$16,$U$3:$AB$3,0))-100%))*$L$49</f>
        <v>73.45</v>
      </c>
      <c r="M52" s="286"/>
      <c r="N52" s="286"/>
      <c r="O52" s="285">
        <v>73.45</v>
      </c>
      <c r="P52" s="285"/>
      <c r="Q52" s="285"/>
      <c r="R52" s="278"/>
      <c r="S52" s="278"/>
      <c r="T52" s="278"/>
      <c r="U52" s="304"/>
    </row>
    <row r="53" spans="1:28" s="305" customFormat="1" hidden="1" outlineLevel="2" x14ac:dyDescent="0.25">
      <c r="A53" s="278"/>
      <c r="B53" s="279" t="str">
        <f t="shared" si="11"/>
        <v>9001mm to 12000mm&lt;= 25 deg.</v>
      </c>
      <c r="C53" s="278"/>
      <c r="D53" s="278" t="s">
        <v>583</v>
      </c>
      <c r="E53" s="278" t="s">
        <v>587</v>
      </c>
      <c r="F53" s="278"/>
      <c r="G53" s="278" t="s">
        <v>11</v>
      </c>
      <c r="H53" s="310">
        <v>0.31</v>
      </c>
      <c r="I53" s="280">
        <f t="shared" si="13"/>
        <v>24.9922</v>
      </c>
      <c r="J53" s="281">
        <f t="shared" si="12"/>
        <v>28.343300000000003</v>
      </c>
      <c r="K53" s="282">
        <f>IF(Notes!$B$9="Domestic",I53, IF(Notes!$B$9="Commercial",J53))*$K$49</f>
        <v>56.686600000000006</v>
      </c>
      <c r="L53" s="283">
        <f>(SUM(O53:Q53)+(K53+SUM(M53:Q53))*(INDEX($U$49:$AB$49,MATCH(Notes!$C$16,$U$3:$AB$3,0))-100%))*$L$49</f>
        <v>54.5</v>
      </c>
      <c r="M53" s="286"/>
      <c r="N53" s="286"/>
      <c r="O53" s="285">
        <v>54.5</v>
      </c>
      <c r="P53" s="285"/>
      <c r="Q53" s="285"/>
      <c r="R53" s="278"/>
      <c r="S53" s="278"/>
      <c r="T53" s="278"/>
    </row>
    <row r="54" spans="1:28" s="305" customFormat="1" hidden="1" outlineLevel="2" x14ac:dyDescent="0.25">
      <c r="A54" s="278"/>
      <c r="B54" s="279" t="str">
        <f t="shared" si="11"/>
        <v>12000mm plus&lt;= 25 deg.</v>
      </c>
      <c r="C54" s="278"/>
      <c r="D54" s="278" t="s">
        <v>584</v>
      </c>
      <c r="E54" s="278" t="s">
        <v>587</v>
      </c>
      <c r="F54" s="278"/>
      <c r="G54" s="278" t="s">
        <v>11</v>
      </c>
      <c r="H54" s="309">
        <f>H53</f>
        <v>0.31</v>
      </c>
      <c r="I54" s="280">
        <f>$I$2*H54</f>
        <v>24.9922</v>
      </c>
      <c r="J54" s="281">
        <f t="shared" si="12"/>
        <v>28.343300000000003</v>
      </c>
      <c r="K54" s="282">
        <f>IF(Notes!$B$9="Domestic",I54, IF(Notes!$B$9="Commercial",J54))*$K$49</f>
        <v>56.686600000000006</v>
      </c>
      <c r="L54" s="283">
        <f>(SUM(O54:Q54)+(K54+SUM(M54:Q54))*(INDEX($U$49:$AB$49,MATCH(Notes!$C$16,$U$3:$AB$3,0))-100%))*$L$49</f>
        <v>54.5</v>
      </c>
      <c r="M54" s="286"/>
      <c r="N54" s="286"/>
      <c r="O54" s="311">
        <f>O53</f>
        <v>54.5</v>
      </c>
      <c r="P54" s="285"/>
      <c r="Q54" s="285"/>
      <c r="R54" s="278"/>
      <c r="S54" s="278"/>
      <c r="T54" s="278"/>
    </row>
    <row r="55" spans="1:28" s="305" customFormat="1" hidden="1" outlineLevel="2" x14ac:dyDescent="0.25">
      <c r="A55" s="278"/>
      <c r="B55" s="279" t="str">
        <f t="shared" si="11"/>
        <v>up to 4800mm&gt; 25 deg.</v>
      </c>
      <c r="C55" s="278"/>
      <c r="D55" s="278" t="s">
        <v>585</v>
      </c>
      <c r="E55" s="278" t="s">
        <v>588</v>
      </c>
      <c r="F55" s="278"/>
      <c r="G55" s="278" t="s">
        <v>11</v>
      </c>
      <c r="H55" s="310">
        <v>0.65</v>
      </c>
      <c r="I55" s="280">
        <f t="shared" si="13"/>
        <v>52.403000000000006</v>
      </c>
      <c r="J55" s="281">
        <f t="shared" si="12"/>
        <v>59.429500000000004</v>
      </c>
      <c r="K55" s="282">
        <f>IF(Notes!$B$9="Domestic",I55, IF(Notes!$B$9="Commercial",J55))*$K$49</f>
        <v>118.85900000000001</v>
      </c>
      <c r="L55" s="283">
        <f>(SUM(O55:Q55)+(K55+SUM(M55:Q55))*(INDEX($U$49:$AB$49,MATCH(Notes!$C$16,$U$3:$AB$3,0))-100%))*$L$49</f>
        <v>118.13</v>
      </c>
      <c r="M55" s="286"/>
      <c r="N55" s="286"/>
      <c r="O55" s="285">
        <v>118.13</v>
      </c>
      <c r="P55" s="285"/>
      <c r="Q55" s="285"/>
      <c r="R55" s="278"/>
      <c r="S55" s="278"/>
      <c r="T55" s="278"/>
    </row>
    <row r="56" spans="1:28" s="305" customFormat="1" hidden="1" outlineLevel="2" x14ac:dyDescent="0.25">
      <c r="A56" s="278"/>
      <c r="B56" s="279" t="str">
        <f t="shared" si="11"/>
        <v>4801mm to 6000mm&gt; 25 deg.</v>
      </c>
      <c r="C56" s="278"/>
      <c r="D56" s="278" t="s">
        <v>580</v>
      </c>
      <c r="E56" s="278" t="s">
        <v>588</v>
      </c>
      <c r="F56" s="278"/>
      <c r="G56" s="278" t="s">
        <v>11</v>
      </c>
      <c r="H56" s="310">
        <v>0.59</v>
      </c>
      <c r="I56" s="280">
        <f t="shared" si="13"/>
        <v>47.565800000000003</v>
      </c>
      <c r="J56" s="281">
        <f t="shared" si="12"/>
        <v>53.9437</v>
      </c>
      <c r="K56" s="282">
        <f>IF(Notes!$B$9="Domestic",I56, IF(Notes!$B$9="Commercial",J56))*$K$49</f>
        <v>107.8874</v>
      </c>
      <c r="L56" s="283">
        <f>(SUM(O56:Q56)+(K56+SUM(M56:Q56))*(INDEX($U$49:$AB$49,MATCH(Notes!$C$16,$U$3:$AB$3,0))-100%))*$L$49</f>
        <v>97.59</v>
      </c>
      <c r="M56" s="286"/>
      <c r="N56" s="286"/>
      <c r="O56" s="285">
        <v>97.59</v>
      </c>
      <c r="P56" s="285"/>
      <c r="Q56" s="285"/>
      <c r="R56" s="278"/>
      <c r="S56" s="278"/>
      <c r="T56" s="278"/>
    </row>
    <row r="57" spans="1:28" s="305" customFormat="1" hidden="1" outlineLevel="2" x14ac:dyDescent="0.25">
      <c r="A57" s="278"/>
      <c r="B57" s="279" t="str">
        <f t="shared" si="11"/>
        <v>6001mm to 9000mm&gt; 25 deg.</v>
      </c>
      <c r="C57" s="278"/>
      <c r="D57" s="278" t="s">
        <v>586</v>
      </c>
      <c r="E57" s="278" t="s">
        <v>588</v>
      </c>
      <c r="F57" s="278"/>
      <c r="G57" s="278" t="s">
        <v>11</v>
      </c>
      <c r="H57" s="310">
        <v>0.39</v>
      </c>
      <c r="I57" s="280">
        <f t="shared" si="13"/>
        <v>31.441800000000004</v>
      </c>
      <c r="J57" s="281">
        <f t="shared" si="12"/>
        <v>35.657700000000006</v>
      </c>
      <c r="K57" s="282">
        <f>IF(Notes!$B$9="Domestic",I57, IF(Notes!$B$9="Commercial",J57))*$K$49</f>
        <v>71.315400000000011</v>
      </c>
      <c r="L57" s="283">
        <f>(SUM(O57:Q57)+(K57+SUM(M57:Q57))*(INDEX($U$49:$AB$49,MATCH(Notes!$C$16,$U$3:$AB$3,0))-100%))*$L$49</f>
        <v>76.31</v>
      </c>
      <c r="M57" s="286"/>
      <c r="N57" s="286"/>
      <c r="O57" s="285">
        <v>76.31</v>
      </c>
      <c r="P57" s="285"/>
      <c r="Q57" s="285"/>
      <c r="R57" s="278"/>
      <c r="S57" s="278"/>
      <c r="T57" s="278"/>
    </row>
    <row r="58" spans="1:28" s="305" customFormat="1" hidden="1" outlineLevel="2" x14ac:dyDescent="0.25">
      <c r="A58" s="278"/>
      <c r="B58" s="279" t="str">
        <f t="shared" si="11"/>
        <v>9001mm to 12000mm&gt; 25 deg.</v>
      </c>
      <c r="C58" s="278"/>
      <c r="D58" s="278" t="s">
        <v>583</v>
      </c>
      <c r="E58" s="278" t="s">
        <v>588</v>
      </c>
      <c r="F58" s="278"/>
      <c r="G58" s="278" t="s">
        <v>11</v>
      </c>
      <c r="H58" s="310">
        <v>0.32</v>
      </c>
      <c r="I58" s="280">
        <f>$I$2*H58</f>
        <v>25.798400000000001</v>
      </c>
      <c r="J58" s="281">
        <f t="shared" si="12"/>
        <v>29.257600000000004</v>
      </c>
      <c r="K58" s="282">
        <f>IF(Notes!$B$9="Domestic",I58, IF(Notes!$B$9="Commercial",J58))*$K$49</f>
        <v>58.515200000000007</v>
      </c>
      <c r="L58" s="283">
        <f>(SUM(O58:Q58)+(K58+SUM(M58:Q58))*(INDEX($U$49:$AB$49,MATCH(Notes!$C$16,$U$3:$AB$3,0))-100%))*$L$49</f>
        <v>56.06</v>
      </c>
      <c r="M58" s="286"/>
      <c r="N58" s="286"/>
      <c r="O58" s="285">
        <v>56.06</v>
      </c>
      <c r="P58" s="285"/>
      <c r="Q58" s="285"/>
      <c r="R58" s="278"/>
      <c r="S58" s="278"/>
      <c r="T58" s="278"/>
    </row>
    <row r="59" spans="1:28" s="305" customFormat="1" hidden="1" outlineLevel="2" x14ac:dyDescent="0.25">
      <c r="A59" s="278"/>
      <c r="B59" s="279" t="str">
        <f t="shared" si="11"/>
        <v>12000mm plus&gt; 25 deg.</v>
      </c>
      <c r="C59" s="278"/>
      <c r="D59" s="278" t="s">
        <v>584</v>
      </c>
      <c r="E59" s="278" t="s">
        <v>588</v>
      </c>
      <c r="F59" s="278"/>
      <c r="G59" s="278" t="s">
        <v>11</v>
      </c>
      <c r="H59" s="309">
        <f>H58</f>
        <v>0.32</v>
      </c>
      <c r="I59" s="280">
        <f t="shared" si="13"/>
        <v>25.798400000000001</v>
      </c>
      <c r="J59" s="281">
        <f t="shared" si="12"/>
        <v>29.257600000000004</v>
      </c>
      <c r="K59" s="282">
        <f>IF(Notes!$B$9="Domestic",I59, IF(Notes!$B$9="Commercial",J59))*$K$49</f>
        <v>58.515200000000007</v>
      </c>
      <c r="L59" s="283">
        <f>(SUM(O59:Q59)+(K59+SUM(M59:Q59))*(INDEX($U$49:$AB$49,MATCH(Notes!$C$16,$U$3:$AB$3,0))-100%))*$L$49</f>
        <v>56.06</v>
      </c>
      <c r="M59" s="286"/>
      <c r="N59" s="286"/>
      <c r="O59" s="311">
        <f>O58</f>
        <v>56.06</v>
      </c>
      <c r="P59" s="285"/>
      <c r="Q59" s="285"/>
      <c r="R59" s="278"/>
      <c r="S59" s="278"/>
      <c r="T59" s="278"/>
    </row>
    <row r="60" spans="1:28" ht="21" hidden="1" outlineLevel="1" collapsed="1" x14ac:dyDescent="0.25">
      <c r="A60" s="299" t="s">
        <v>1870</v>
      </c>
      <c r="B60" s="299"/>
      <c r="C60" s="299"/>
      <c r="D60" s="299"/>
      <c r="E60" s="299"/>
      <c r="F60" s="299"/>
      <c r="G60" s="299"/>
      <c r="H60" s="348"/>
      <c r="I60" s="299"/>
      <c r="J60" s="299"/>
      <c r="K60" s="299"/>
      <c r="L60" s="299"/>
      <c r="M60" s="299"/>
      <c r="N60" s="299"/>
      <c r="O60" s="299"/>
      <c r="P60" s="299"/>
      <c r="Q60" s="299"/>
      <c r="R60" s="299"/>
      <c r="S60" s="299"/>
      <c r="T60" s="299"/>
      <c r="U60" s="299"/>
      <c r="V60" s="299"/>
      <c r="W60" s="299"/>
      <c r="X60" s="299"/>
      <c r="Y60" s="299"/>
      <c r="Z60" s="299"/>
      <c r="AA60" s="299"/>
      <c r="AB60" s="299"/>
    </row>
    <row r="61" spans="1:28" ht="15.75" hidden="1" outlineLevel="1" x14ac:dyDescent="0.25">
      <c r="A61" s="291"/>
      <c r="B61" s="291"/>
      <c r="C61" s="291"/>
      <c r="D61" s="291"/>
      <c r="E61" s="291"/>
      <c r="F61" s="291"/>
      <c r="G61" s="291"/>
      <c r="H61" s="325"/>
      <c r="I61" s="291"/>
      <c r="J61" s="291"/>
      <c r="K61" s="291">
        <v>2</v>
      </c>
      <c r="L61" s="291">
        <f>L$2</f>
        <v>1</v>
      </c>
      <c r="M61" s="291"/>
      <c r="N61" s="291"/>
      <c r="O61" s="303"/>
      <c r="P61" s="303"/>
      <c r="Q61" s="303"/>
      <c r="R61" s="291"/>
      <c r="S61" s="291"/>
      <c r="T61" s="291"/>
      <c r="U61" s="381">
        <f>U$2</f>
        <v>1.0309523809523808</v>
      </c>
      <c r="V61" s="381">
        <f>V$2</f>
        <v>1</v>
      </c>
      <c r="W61" s="381">
        <f t="shared" ref="W61:AB61" si="14">W$2</f>
        <v>1.0705952380952379</v>
      </c>
      <c r="X61" s="381">
        <f t="shared" si="14"/>
        <v>1.1199999999999999</v>
      </c>
      <c r="Y61" s="381">
        <f t="shared" si="14"/>
        <v>1.0571428571428572</v>
      </c>
      <c r="Z61" s="381">
        <f t="shared" si="14"/>
        <v>1.1299999999999999</v>
      </c>
      <c r="AA61" s="381">
        <f t="shared" si="14"/>
        <v>1.0776942355889725</v>
      </c>
      <c r="AB61" s="381">
        <f t="shared" si="14"/>
        <v>1.0325814536340854</v>
      </c>
    </row>
    <row r="62" spans="1:28" s="305" customFormat="1" ht="14.45" hidden="1" customHeight="1" outlineLevel="2" x14ac:dyDescent="0.25">
      <c r="A62" s="278"/>
      <c r="B62" s="279" t="str">
        <f>C62&amp;D62&amp;E62&amp;F62</f>
        <v>standard trussup to 3600mm&lt;= 25 deg.</v>
      </c>
      <c r="C62" s="278" t="s">
        <v>2123</v>
      </c>
      <c r="D62" s="278" t="s">
        <v>578</v>
      </c>
      <c r="E62" s="278" t="s">
        <v>587</v>
      </c>
      <c r="F62" s="278"/>
      <c r="G62" s="278" t="s">
        <v>5</v>
      </c>
      <c r="H62" s="310">
        <v>0.25</v>
      </c>
      <c r="I62" s="280">
        <f>$I$2*H62</f>
        <v>20.155000000000001</v>
      </c>
      <c r="J62" s="281">
        <f>$J$2*H62</f>
        <v>22.857500000000002</v>
      </c>
      <c r="K62" s="282">
        <f>IF(Notes!$B$9="Domestic",I62, IF(Notes!$B$9="Commercial",J62))*$K$61</f>
        <v>45.715000000000003</v>
      </c>
      <c r="L62" s="283">
        <f>(SUM(O62:Q62)+(K62+SUM(M62:Q62))*(INDEX($U$61:$AB$61,MATCH(Notes!$C$16,$U$3:$AB$3,0))-100%))*$L$61</f>
        <v>96.2</v>
      </c>
      <c r="M62" s="286"/>
      <c r="N62" s="286"/>
      <c r="O62" s="285">
        <v>96.2</v>
      </c>
      <c r="P62" s="285"/>
      <c r="Q62" s="285"/>
      <c r="R62" s="278"/>
      <c r="S62" s="278"/>
      <c r="T62" s="278"/>
      <c r="U62" s="304"/>
    </row>
    <row r="63" spans="1:28" s="305" customFormat="1" ht="14.45" hidden="1" customHeight="1" outlineLevel="2" x14ac:dyDescent="0.25">
      <c r="A63" s="278"/>
      <c r="B63" s="279" t="str">
        <f t="shared" ref="B63:B64" si="15">C63&amp;D63&amp;E63&amp;F63</f>
        <v>standard truss3601mm to 4800mm&lt;= 25 deg.</v>
      </c>
      <c r="C63" s="278" t="s">
        <v>2123</v>
      </c>
      <c r="D63" s="278" t="s">
        <v>579</v>
      </c>
      <c r="E63" s="278" t="s">
        <v>587</v>
      </c>
      <c r="F63" s="278"/>
      <c r="G63" s="278" t="s">
        <v>5</v>
      </c>
      <c r="H63" s="310">
        <v>0.25</v>
      </c>
      <c r="I63" s="280">
        <f t="shared" ref="I63" si="16">$I$2*H63</f>
        <v>20.155000000000001</v>
      </c>
      <c r="J63" s="281">
        <f t="shared" ref="J63:J64" si="17">$J$2*H63</f>
        <v>22.857500000000002</v>
      </c>
      <c r="K63" s="282">
        <f>IF(Notes!$B$9="Domestic",I63, IF(Notes!$B$9="Commercial",J63))*$K$61</f>
        <v>45.715000000000003</v>
      </c>
      <c r="L63" s="283">
        <f>(SUM(O63:Q63)+(K63+SUM(M63:Q63))*(INDEX($U$61:$AB$61,MATCH(Notes!$C$16,$U$3:$AB$3,0))-100%))*$L$61</f>
        <v>149.4</v>
      </c>
      <c r="M63" s="286"/>
      <c r="N63" s="286"/>
      <c r="O63" s="285">
        <v>149.4</v>
      </c>
      <c r="P63" s="285"/>
      <c r="Q63" s="285"/>
      <c r="R63" s="278"/>
      <c r="S63" s="278"/>
      <c r="T63" s="278"/>
      <c r="U63" s="304"/>
    </row>
    <row r="64" spans="1:28" s="305" customFormat="1" ht="14.45" hidden="1" customHeight="1" outlineLevel="2" x14ac:dyDescent="0.25">
      <c r="A64" s="278"/>
      <c r="B64" s="279" t="str">
        <f t="shared" si="15"/>
        <v>standard truss4801mm to 6000mm&lt;= 25 deg.</v>
      </c>
      <c r="C64" s="278" t="s">
        <v>2123</v>
      </c>
      <c r="D64" s="278" t="s">
        <v>580</v>
      </c>
      <c r="E64" s="278" t="s">
        <v>587</v>
      </c>
      <c r="F64" s="278"/>
      <c r="G64" s="278" t="s">
        <v>5</v>
      </c>
      <c r="H64" s="310">
        <v>0.25</v>
      </c>
      <c r="I64" s="280">
        <f>$I$2*H64</f>
        <v>20.155000000000001</v>
      </c>
      <c r="J64" s="281">
        <f t="shared" si="17"/>
        <v>22.857500000000002</v>
      </c>
      <c r="K64" s="282">
        <f>IF(Notes!$B$9="Domestic",I64, IF(Notes!$B$9="Commercial",J64))*$K$61</f>
        <v>45.715000000000003</v>
      </c>
      <c r="L64" s="283">
        <f>(SUM(O64:Q64)+(K64+SUM(M64:Q64))*(INDEX($U$61:$AB$61,MATCH(Notes!$C$16,$U$3:$AB$3,0))-100%))*$L$61</f>
        <v>188.53</v>
      </c>
      <c r="M64" s="286"/>
      <c r="N64" s="286"/>
      <c r="O64" s="285">
        <v>188.53</v>
      </c>
      <c r="P64" s="285"/>
      <c r="Q64" s="285"/>
      <c r="R64" s="278"/>
      <c r="S64" s="278"/>
      <c r="T64" s="278"/>
      <c r="U64" s="304"/>
    </row>
    <row r="65" spans="1:28" s="305" customFormat="1" ht="14.45" hidden="1" customHeight="1" outlineLevel="2" x14ac:dyDescent="0.25">
      <c r="A65" s="278"/>
      <c r="B65" s="279" t="str">
        <f t="shared" ref="B65:B75" si="18">C65&amp;D65&amp;E65&amp;F65</f>
        <v>standard truss6001mm to 7200mm&lt;= 25 deg.</v>
      </c>
      <c r="C65" s="278" t="s">
        <v>2123</v>
      </c>
      <c r="D65" s="278" t="s">
        <v>581</v>
      </c>
      <c r="E65" s="278" t="s">
        <v>587</v>
      </c>
      <c r="F65" s="278"/>
      <c r="G65" s="278" t="s">
        <v>5</v>
      </c>
      <c r="H65" s="310">
        <v>0.4</v>
      </c>
      <c r="I65" s="280">
        <f t="shared" ref="I65:I75" si="19">$I$2*H65</f>
        <v>32.248000000000005</v>
      </c>
      <c r="J65" s="281">
        <f t="shared" ref="J65:J75" si="20">$J$2*H65</f>
        <v>36.572000000000003</v>
      </c>
      <c r="K65" s="282">
        <f>IF(Notes!$B$9="Domestic",I65, IF(Notes!$B$9="Commercial",J65))*$K$61</f>
        <v>73.144000000000005</v>
      </c>
      <c r="L65" s="283">
        <f>(SUM(O65:Q65)+(K65+SUM(M65:Q65))*(INDEX($U$61:$AB$61,MATCH(Notes!$C$16,$U$3:$AB$3,0))-100%))*$L$61</f>
        <v>190.38</v>
      </c>
      <c r="M65" s="286"/>
      <c r="N65" s="286"/>
      <c r="O65" s="285">
        <v>190.38</v>
      </c>
      <c r="P65" s="285"/>
      <c r="Q65" s="285"/>
      <c r="R65" s="278"/>
      <c r="S65" s="278"/>
      <c r="T65" s="278"/>
      <c r="U65" s="304"/>
    </row>
    <row r="66" spans="1:28" s="305" customFormat="1" ht="14.45" hidden="1" customHeight="1" outlineLevel="2" x14ac:dyDescent="0.25">
      <c r="A66" s="278"/>
      <c r="B66" s="279" t="str">
        <f t="shared" si="18"/>
        <v>standard truss7201mm to 9000mm&lt;= 25 deg.</v>
      </c>
      <c r="C66" s="278" t="s">
        <v>2123</v>
      </c>
      <c r="D66" s="278" t="s">
        <v>582</v>
      </c>
      <c r="E66" s="278" t="s">
        <v>587</v>
      </c>
      <c r="F66" s="278"/>
      <c r="G66" s="278" t="s">
        <v>5</v>
      </c>
      <c r="H66" s="310">
        <v>0.5</v>
      </c>
      <c r="I66" s="280">
        <f t="shared" si="19"/>
        <v>40.31</v>
      </c>
      <c r="J66" s="281">
        <f t="shared" si="20"/>
        <v>45.715000000000003</v>
      </c>
      <c r="K66" s="282">
        <f>IF(Notes!$B$9="Domestic",I66, IF(Notes!$B$9="Commercial",J66))*$K$61</f>
        <v>91.43</v>
      </c>
      <c r="L66" s="283">
        <f>(SUM(O66:Q66)+(K66+SUM(M66:Q66))*(INDEX($U$61:$AB$61,MATCH(Notes!$C$16,$U$3:$AB$3,0))-100%))*$L$61</f>
        <v>250.12</v>
      </c>
      <c r="M66" s="286"/>
      <c r="N66" s="286"/>
      <c r="O66" s="285">
        <v>250.12</v>
      </c>
      <c r="P66" s="285"/>
      <c r="Q66" s="285"/>
      <c r="R66" s="278"/>
      <c r="S66" s="278"/>
      <c r="T66" s="278"/>
      <c r="U66" s="304"/>
    </row>
    <row r="67" spans="1:28" s="305" customFormat="1" ht="14.45" hidden="1" customHeight="1" outlineLevel="2" x14ac:dyDescent="0.25">
      <c r="A67" s="278"/>
      <c r="B67" s="279" t="str">
        <f t="shared" si="18"/>
        <v>standard truss9001mm to 12000mm&lt;= 25 deg.</v>
      </c>
      <c r="C67" s="278" t="s">
        <v>2123</v>
      </c>
      <c r="D67" s="278" t="s">
        <v>583</v>
      </c>
      <c r="E67" s="278" t="s">
        <v>587</v>
      </c>
      <c r="F67" s="278"/>
      <c r="G67" s="278" t="s">
        <v>5</v>
      </c>
      <c r="H67" s="310">
        <v>0.75</v>
      </c>
      <c r="I67" s="280">
        <f t="shared" si="19"/>
        <v>60.465000000000003</v>
      </c>
      <c r="J67" s="281">
        <f t="shared" si="20"/>
        <v>68.572500000000005</v>
      </c>
      <c r="K67" s="282">
        <f>IF(Notes!$B$9="Domestic",I67, IF(Notes!$B$9="Commercial",J67))*$K$61</f>
        <v>137.14500000000001</v>
      </c>
      <c r="L67" s="283">
        <f>(SUM(O67:Q67)+(K67+SUM(M67:Q67))*(INDEX($U$61:$AB$61,MATCH(Notes!$C$16,$U$3:$AB$3,0))-100%))*$L$61</f>
        <v>338.34</v>
      </c>
      <c r="M67" s="286"/>
      <c r="N67" s="286"/>
      <c r="O67" s="285">
        <v>338.34</v>
      </c>
      <c r="P67" s="285"/>
      <c r="Q67" s="285"/>
      <c r="R67" s="278"/>
      <c r="S67" s="278"/>
      <c r="T67" s="278"/>
      <c r="U67" s="304"/>
    </row>
    <row r="68" spans="1:28" s="305" customFormat="1" ht="14.45" hidden="1" customHeight="1" outlineLevel="2" x14ac:dyDescent="0.25">
      <c r="A68" s="278"/>
      <c r="B68" s="279" t="str">
        <f t="shared" si="18"/>
        <v>standard truss12000mm plus&lt;= 25 deg.</v>
      </c>
      <c r="C68" s="278" t="s">
        <v>2123</v>
      </c>
      <c r="D68" s="278" t="s">
        <v>584</v>
      </c>
      <c r="E68" s="278" t="s">
        <v>587</v>
      </c>
      <c r="F68" s="278"/>
      <c r="G68" s="278" t="s">
        <v>5</v>
      </c>
      <c r="H68" s="309">
        <f>H67</f>
        <v>0.75</v>
      </c>
      <c r="I68" s="280">
        <f t="shared" si="19"/>
        <v>60.465000000000003</v>
      </c>
      <c r="J68" s="281">
        <f t="shared" si="20"/>
        <v>68.572500000000005</v>
      </c>
      <c r="K68" s="282">
        <f>IF(Notes!$B$9="Domestic",I68, IF(Notes!$B$9="Commercial",J68))*$K$61</f>
        <v>137.14500000000001</v>
      </c>
      <c r="L68" s="283">
        <f>(SUM(O68:Q68)+(K68+SUM(M68:Q68))*(INDEX($U$61:$AB$61,MATCH(Notes!$C$16,$U$3:$AB$3,0))-100%))*$L$61</f>
        <v>537.76</v>
      </c>
      <c r="M68" s="286"/>
      <c r="N68" s="286"/>
      <c r="O68" s="285">
        <v>537.76</v>
      </c>
      <c r="P68" s="285"/>
      <c r="Q68" s="285"/>
      <c r="R68" s="329"/>
      <c r="S68" s="278"/>
      <c r="T68" s="278"/>
      <c r="U68" s="304"/>
    </row>
    <row r="69" spans="1:28" s="305" customFormat="1" ht="14.45" hidden="1" customHeight="1" outlineLevel="2" x14ac:dyDescent="0.25">
      <c r="A69" s="278"/>
      <c r="B69" s="279" t="str">
        <f t="shared" si="18"/>
        <v>standard trussup to 3600mm&gt; 25 deg.</v>
      </c>
      <c r="C69" s="278" t="s">
        <v>2123</v>
      </c>
      <c r="D69" s="278" t="s">
        <v>578</v>
      </c>
      <c r="E69" s="278" t="s">
        <v>588</v>
      </c>
      <c r="F69" s="278"/>
      <c r="G69" s="278" t="s">
        <v>5</v>
      </c>
      <c r="H69" s="310">
        <v>0.25</v>
      </c>
      <c r="I69" s="280">
        <f t="shared" si="19"/>
        <v>20.155000000000001</v>
      </c>
      <c r="J69" s="281">
        <f t="shared" si="20"/>
        <v>22.857500000000002</v>
      </c>
      <c r="K69" s="282">
        <f>IF(Notes!$B$9="Domestic",I69, IF(Notes!$B$9="Commercial",J69))*$K$61</f>
        <v>45.715000000000003</v>
      </c>
      <c r="L69" s="283">
        <f>(SUM(O69:Q69)+(K69+SUM(M69:Q69))*(INDEX($U$61:$AB$61,MATCH(Notes!$C$16,$U$3:$AB$3,0))-100%))*$L$61</f>
        <v>102.6</v>
      </c>
      <c r="M69" s="286"/>
      <c r="N69" s="286"/>
      <c r="O69" s="285">
        <v>102.6</v>
      </c>
      <c r="P69" s="285"/>
      <c r="Q69" s="285"/>
      <c r="R69" s="278"/>
      <c r="S69" s="278"/>
      <c r="T69" s="278"/>
      <c r="U69" s="304"/>
    </row>
    <row r="70" spans="1:28" s="305" customFormat="1" ht="14.45" hidden="1" customHeight="1" outlineLevel="2" x14ac:dyDescent="0.25">
      <c r="A70" s="278"/>
      <c r="B70" s="279" t="str">
        <f t="shared" si="18"/>
        <v>standard truss3601mm to 4800mm&gt; 25 deg.</v>
      </c>
      <c r="C70" s="278" t="s">
        <v>2123</v>
      </c>
      <c r="D70" s="278" t="s">
        <v>579</v>
      </c>
      <c r="E70" s="278" t="s">
        <v>588</v>
      </c>
      <c r="F70" s="278"/>
      <c r="G70" s="278" t="s">
        <v>5</v>
      </c>
      <c r="H70" s="310">
        <v>0.25</v>
      </c>
      <c r="I70" s="280">
        <f t="shared" si="19"/>
        <v>20.155000000000001</v>
      </c>
      <c r="J70" s="281">
        <f t="shared" si="20"/>
        <v>22.857500000000002</v>
      </c>
      <c r="K70" s="282">
        <f>IF(Notes!$B$9="Domestic",I70, IF(Notes!$B$9="Commercial",J70))*$K$61</f>
        <v>45.715000000000003</v>
      </c>
      <c r="L70" s="283">
        <f>(SUM(O70:Q70)+(K70+SUM(M70:Q70))*(INDEX($U$61:$AB$61,MATCH(Notes!$C$16,$U$3:$AB$3,0))-100%))*$L$61</f>
        <v>153.47999999999999</v>
      </c>
      <c r="M70" s="286"/>
      <c r="N70" s="286"/>
      <c r="O70" s="285">
        <v>153.47999999999999</v>
      </c>
      <c r="P70" s="285"/>
      <c r="Q70" s="285"/>
      <c r="R70" s="278"/>
      <c r="S70" s="278"/>
      <c r="T70" s="278"/>
      <c r="U70" s="304"/>
    </row>
    <row r="71" spans="1:28" s="305" customFormat="1" ht="14.45" hidden="1" customHeight="1" outlineLevel="2" x14ac:dyDescent="0.25">
      <c r="A71" s="278"/>
      <c r="B71" s="279" t="str">
        <f t="shared" si="18"/>
        <v>standard truss4801mm to 6000mm&gt; 25 deg.</v>
      </c>
      <c r="C71" s="278" t="s">
        <v>2123</v>
      </c>
      <c r="D71" s="278" t="s">
        <v>580</v>
      </c>
      <c r="E71" s="278" t="s">
        <v>588</v>
      </c>
      <c r="F71" s="278"/>
      <c r="G71" s="278" t="s">
        <v>5</v>
      </c>
      <c r="H71" s="310">
        <v>0.25</v>
      </c>
      <c r="I71" s="280">
        <f t="shared" si="19"/>
        <v>20.155000000000001</v>
      </c>
      <c r="J71" s="281">
        <f t="shared" si="20"/>
        <v>22.857500000000002</v>
      </c>
      <c r="K71" s="282">
        <f>IF(Notes!$B$9="Domestic",I71, IF(Notes!$B$9="Commercial",J71))*$K$61</f>
        <v>45.715000000000003</v>
      </c>
      <c r="L71" s="283">
        <f>(SUM(O71:Q71)+(K71+SUM(M71:Q71))*(INDEX($U$61:$AB$61,MATCH(Notes!$C$16,$U$3:$AB$3,0))-100%))*$L$61</f>
        <v>200.23</v>
      </c>
      <c r="M71" s="286"/>
      <c r="N71" s="286"/>
      <c r="O71" s="285">
        <v>200.23</v>
      </c>
      <c r="P71" s="285"/>
      <c r="Q71" s="285"/>
      <c r="R71" s="278"/>
      <c r="S71" s="278"/>
      <c r="T71" s="278"/>
      <c r="U71" s="304"/>
    </row>
    <row r="72" spans="1:28" s="305" customFormat="1" ht="14.45" hidden="1" customHeight="1" outlineLevel="2" x14ac:dyDescent="0.25">
      <c r="A72" s="278"/>
      <c r="B72" s="279" t="str">
        <f t="shared" si="18"/>
        <v>standard truss6001mm to 7200mm&gt; 25 deg.</v>
      </c>
      <c r="C72" s="278" t="s">
        <v>2123</v>
      </c>
      <c r="D72" s="278" t="s">
        <v>581</v>
      </c>
      <c r="E72" s="278" t="s">
        <v>588</v>
      </c>
      <c r="F72" s="278"/>
      <c r="G72" s="278" t="s">
        <v>5</v>
      </c>
      <c r="H72" s="310">
        <v>0.4</v>
      </c>
      <c r="I72" s="280">
        <f t="shared" si="19"/>
        <v>32.248000000000005</v>
      </c>
      <c r="J72" s="281">
        <f t="shared" si="20"/>
        <v>36.572000000000003</v>
      </c>
      <c r="K72" s="282">
        <f>IF(Notes!$B$9="Domestic",I72, IF(Notes!$B$9="Commercial",J72))*$K$61</f>
        <v>73.144000000000005</v>
      </c>
      <c r="L72" s="283">
        <f>(SUM(O72:Q72)+(K72+SUM(M72:Q72))*(INDEX($U$61:$AB$61,MATCH(Notes!$C$16,$U$3:$AB$3,0))-100%))*$L$61</f>
        <v>205.35</v>
      </c>
      <c r="M72" s="286"/>
      <c r="N72" s="286"/>
      <c r="O72" s="285">
        <v>205.35</v>
      </c>
      <c r="P72" s="285"/>
      <c r="Q72" s="285"/>
      <c r="R72" s="278"/>
      <c r="S72" s="278"/>
      <c r="T72" s="278"/>
      <c r="U72" s="304"/>
    </row>
    <row r="73" spans="1:28" s="305" customFormat="1" ht="14.45" hidden="1" customHeight="1" outlineLevel="2" x14ac:dyDescent="0.25">
      <c r="A73" s="278"/>
      <c r="B73" s="279" t="str">
        <f t="shared" si="18"/>
        <v>standard truss7201mm to 9000mm&gt; 25 deg.</v>
      </c>
      <c r="C73" s="278" t="s">
        <v>2123</v>
      </c>
      <c r="D73" s="278" t="s">
        <v>582</v>
      </c>
      <c r="E73" s="278" t="s">
        <v>588</v>
      </c>
      <c r="F73" s="278"/>
      <c r="G73" s="278" t="s">
        <v>5</v>
      </c>
      <c r="H73" s="310">
        <v>0.5</v>
      </c>
      <c r="I73" s="280">
        <f t="shared" si="19"/>
        <v>40.31</v>
      </c>
      <c r="J73" s="281">
        <f t="shared" si="20"/>
        <v>45.715000000000003</v>
      </c>
      <c r="K73" s="282">
        <f>IF(Notes!$B$9="Domestic",I73, IF(Notes!$B$9="Commercial",J73))*$K$61</f>
        <v>91.43</v>
      </c>
      <c r="L73" s="283">
        <f>(SUM(O73:Q73)+(K73+SUM(M73:Q73))*(INDEX($U$61:$AB$61,MATCH(Notes!$C$16,$U$3:$AB$3,0))-100%))*$L$61</f>
        <v>285.88</v>
      </c>
      <c r="M73" s="286"/>
      <c r="N73" s="286"/>
      <c r="O73" s="285">
        <v>285.88</v>
      </c>
      <c r="P73" s="285"/>
      <c r="Q73" s="285"/>
      <c r="R73" s="278"/>
      <c r="S73" s="278"/>
      <c r="T73" s="278"/>
      <c r="U73" s="304"/>
    </row>
    <row r="74" spans="1:28" s="305" customFormat="1" ht="14.45" hidden="1" customHeight="1" outlineLevel="2" x14ac:dyDescent="0.25">
      <c r="A74" s="278"/>
      <c r="B74" s="279" t="str">
        <f t="shared" si="18"/>
        <v>standard truss9001mm to 12000mm&gt; 25 deg.</v>
      </c>
      <c r="C74" s="278" t="s">
        <v>2123</v>
      </c>
      <c r="D74" s="278" t="s">
        <v>583</v>
      </c>
      <c r="E74" s="278" t="s">
        <v>588</v>
      </c>
      <c r="F74" s="278"/>
      <c r="G74" s="278" t="s">
        <v>5</v>
      </c>
      <c r="H74" s="310">
        <v>0.75</v>
      </c>
      <c r="I74" s="280">
        <f t="shared" si="19"/>
        <v>60.465000000000003</v>
      </c>
      <c r="J74" s="281">
        <f t="shared" si="20"/>
        <v>68.572500000000005</v>
      </c>
      <c r="K74" s="282">
        <f>IF(Notes!$B$9="Domestic",I74, IF(Notes!$B$9="Commercial",J74))*$K$61</f>
        <v>137.14500000000001</v>
      </c>
      <c r="L74" s="283">
        <f>(SUM(O74:Q74)+(K74+SUM(M74:Q74))*(INDEX($U$61:$AB$61,MATCH(Notes!$C$16,$U$3:$AB$3,0))-100%))*$L$61</f>
        <v>426.34</v>
      </c>
      <c r="M74" s="286"/>
      <c r="N74" s="286"/>
      <c r="O74" s="285">
        <v>426.34</v>
      </c>
      <c r="P74" s="285"/>
      <c r="Q74" s="285"/>
      <c r="R74" s="278"/>
      <c r="S74" s="278"/>
      <c r="T74" s="278"/>
      <c r="U74" s="304"/>
    </row>
    <row r="75" spans="1:28" s="305" customFormat="1" ht="14.45" hidden="1" customHeight="1" outlineLevel="2" x14ac:dyDescent="0.25">
      <c r="A75" s="278"/>
      <c r="B75" s="279" t="str">
        <f t="shared" si="18"/>
        <v>standard truss12000mm plus&gt; 25 deg.</v>
      </c>
      <c r="C75" s="278" t="s">
        <v>2123</v>
      </c>
      <c r="D75" s="278" t="s">
        <v>584</v>
      </c>
      <c r="E75" s="278" t="s">
        <v>588</v>
      </c>
      <c r="F75" s="278"/>
      <c r="G75" s="278" t="s">
        <v>5</v>
      </c>
      <c r="H75" s="309">
        <f>H74</f>
        <v>0.75</v>
      </c>
      <c r="I75" s="280">
        <f t="shared" si="19"/>
        <v>60.465000000000003</v>
      </c>
      <c r="J75" s="281">
        <f t="shared" si="20"/>
        <v>68.572500000000005</v>
      </c>
      <c r="K75" s="282">
        <f>IF(Notes!$B$9="Domestic",I75, IF(Notes!$B$9="Commercial",J75))*$K$61</f>
        <v>137.14500000000001</v>
      </c>
      <c r="L75" s="283">
        <f>(SUM(O75:Q75)+(K75+SUM(M75:Q75))*(INDEX($U$61:$AB$61,MATCH(Notes!$C$16,$U$3:$AB$3,0))-100%))*$L$61</f>
        <v>657.78</v>
      </c>
      <c r="M75" s="286"/>
      <c r="N75" s="286"/>
      <c r="O75" s="285">
        <v>657.78</v>
      </c>
      <c r="P75" s="285"/>
      <c r="Q75" s="285"/>
      <c r="R75" s="278"/>
      <c r="S75" s="278"/>
      <c r="T75" s="278"/>
      <c r="U75" s="304"/>
    </row>
    <row r="76" spans="1:28" ht="21" hidden="1" outlineLevel="1" collapsed="1" x14ac:dyDescent="0.25">
      <c r="A76" s="299" t="s">
        <v>1866</v>
      </c>
      <c r="B76" s="299"/>
      <c r="C76" s="299"/>
      <c r="D76" s="299"/>
      <c r="E76" s="299"/>
      <c r="F76" s="299"/>
      <c r="G76" s="299"/>
      <c r="H76" s="348"/>
      <c r="I76" s="299"/>
      <c r="J76" s="299"/>
      <c r="K76" s="299"/>
      <c r="L76" s="299"/>
      <c r="M76" s="299"/>
      <c r="N76" s="299"/>
      <c r="O76" s="299"/>
      <c r="P76" s="299"/>
      <c r="Q76" s="299"/>
      <c r="R76" s="299"/>
      <c r="S76" s="299"/>
      <c r="T76" s="299"/>
      <c r="U76" s="299"/>
      <c r="V76" s="299"/>
      <c r="W76" s="299"/>
      <c r="X76" s="299"/>
      <c r="Y76" s="299"/>
      <c r="Z76" s="299"/>
      <c r="AA76" s="299"/>
      <c r="AB76" s="299"/>
    </row>
    <row r="77" spans="1:28" ht="15.75" hidden="1" outlineLevel="1" x14ac:dyDescent="0.25">
      <c r="A77" s="291"/>
      <c r="B77" s="291"/>
      <c r="C77" s="291"/>
      <c r="D77" s="291"/>
      <c r="E77" s="291"/>
      <c r="F77" s="291"/>
      <c r="G77" s="291"/>
      <c r="H77" s="325"/>
      <c r="I77" s="291"/>
      <c r="J77" s="291"/>
      <c r="K77" s="291">
        <v>2</v>
      </c>
      <c r="L77" s="291">
        <f>L$2</f>
        <v>1</v>
      </c>
      <c r="M77" s="291"/>
      <c r="N77" s="291"/>
      <c r="O77" s="303"/>
      <c r="P77" s="303"/>
      <c r="Q77" s="303"/>
      <c r="R77" s="291"/>
      <c r="S77" s="291"/>
      <c r="T77" s="291"/>
      <c r="U77" s="381">
        <f>U$2</f>
        <v>1.0309523809523808</v>
      </c>
      <c r="V77" s="381">
        <f>V$2</f>
        <v>1</v>
      </c>
      <c r="W77" s="381">
        <f t="shared" ref="W77:AB77" si="21">W$2</f>
        <v>1.0705952380952379</v>
      </c>
      <c r="X77" s="381">
        <f t="shared" si="21"/>
        <v>1.1199999999999999</v>
      </c>
      <c r="Y77" s="381">
        <f t="shared" si="21"/>
        <v>1.0571428571428572</v>
      </c>
      <c r="Z77" s="381">
        <f t="shared" si="21"/>
        <v>1.1299999999999999</v>
      </c>
      <c r="AA77" s="381">
        <f t="shared" si="21"/>
        <v>1.0776942355889725</v>
      </c>
      <c r="AB77" s="381">
        <f t="shared" si="21"/>
        <v>1.0325814536340854</v>
      </c>
    </row>
    <row r="78" spans="1:28" s="305" customFormat="1" ht="14.45" hidden="1" customHeight="1" outlineLevel="2" x14ac:dyDescent="0.25">
      <c r="A78" s="278"/>
      <c r="B78" s="279" t="str">
        <f t="shared" ref="B78:B87" si="22">C78&amp;D78&amp;E78&amp;F78</f>
        <v>truncated trussup to 4800mm&lt;= 25 deg.</v>
      </c>
      <c r="C78" s="278" t="s">
        <v>2124</v>
      </c>
      <c r="D78" s="278" t="s">
        <v>585</v>
      </c>
      <c r="E78" s="278" t="s">
        <v>587</v>
      </c>
      <c r="F78" s="278"/>
      <c r="G78" s="278" t="s">
        <v>5</v>
      </c>
      <c r="H78" s="310">
        <v>0.25</v>
      </c>
      <c r="I78" s="280">
        <f t="shared" ref="I78" si="23">$I$2*H78</f>
        <v>20.155000000000001</v>
      </c>
      <c r="J78" s="281">
        <f t="shared" ref="J78:J87" si="24">$J$2*H78</f>
        <v>22.857500000000002</v>
      </c>
      <c r="K78" s="282">
        <f>IF(Notes!$B$9="Domestic",I78, IF(Notes!$B$9="Commercial",J78))*$K$77</f>
        <v>45.715000000000003</v>
      </c>
      <c r="L78" s="283">
        <f>(SUM(O78:Q78)+(K78+SUM(M78:Q78))*(INDEX($U$77:$AB$77,MATCH(Notes!$C$16,$U$3:$AB$3,0))-100%))*$L$77</f>
        <v>135.28</v>
      </c>
      <c r="M78" s="286"/>
      <c r="N78" s="286"/>
      <c r="O78" s="285">
        <v>135.28</v>
      </c>
      <c r="P78" s="285"/>
      <c r="Q78" s="285"/>
      <c r="R78" s="278"/>
      <c r="S78" s="278"/>
      <c r="T78" s="278"/>
      <c r="U78" s="304"/>
    </row>
    <row r="79" spans="1:28" s="305" customFormat="1" ht="14.45" hidden="1" customHeight="1" outlineLevel="2" x14ac:dyDescent="0.25">
      <c r="A79" s="278"/>
      <c r="B79" s="279" t="str">
        <f t="shared" si="22"/>
        <v>truncated truss4801mm to 6000mm&lt;= 25 deg.</v>
      </c>
      <c r="C79" s="278" t="s">
        <v>2124</v>
      </c>
      <c r="D79" s="278" t="s">
        <v>580</v>
      </c>
      <c r="E79" s="278" t="s">
        <v>587</v>
      </c>
      <c r="F79" s="278"/>
      <c r="G79" s="278" t="s">
        <v>5</v>
      </c>
      <c r="H79" s="310">
        <v>0.25</v>
      </c>
      <c r="I79" s="280">
        <f>$I$2*H79</f>
        <v>20.155000000000001</v>
      </c>
      <c r="J79" s="281">
        <f t="shared" si="24"/>
        <v>22.857500000000002</v>
      </c>
      <c r="K79" s="282">
        <f>IF(Notes!$B$9="Domestic",I79, IF(Notes!$B$9="Commercial",J79))*$K$77</f>
        <v>45.715000000000003</v>
      </c>
      <c r="L79" s="283">
        <f>(SUM(O79:Q79)+(K79+SUM(M79:Q79))*(INDEX($U$77:$AB$77,MATCH(Notes!$C$16,$U$3:$AB$3,0))-100%))*$L$77</f>
        <v>149.97999999999999</v>
      </c>
      <c r="M79" s="286"/>
      <c r="N79" s="286"/>
      <c r="O79" s="285">
        <v>149.97999999999999</v>
      </c>
      <c r="P79" s="285"/>
      <c r="Q79" s="285"/>
      <c r="R79" s="278"/>
      <c r="S79" s="278"/>
      <c r="T79" s="278"/>
      <c r="U79" s="304"/>
    </row>
    <row r="80" spans="1:28" s="305" customFormat="1" ht="14.45" hidden="1" customHeight="1" outlineLevel="2" x14ac:dyDescent="0.25">
      <c r="A80" s="278"/>
      <c r="B80" s="279" t="str">
        <f t="shared" si="22"/>
        <v>truncated truss6001mm to 9000mm&lt;= 25 deg.</v>
      </c>
      <c r="C80" s="278" t="s">
        <v>2124</v>
      </c>
      <c r="D80" s="278" t="s">
        <v>586</v>
      </c>
      <c r="E80" s="278" t="s">
        <v>587</v>
      </c>
      <c r="F80" s="278"/>
      <c r="G80" s="278" t="s">
        <v>5</v>
      </c>
      <c r="H80" s="310">
        <v>0.5</v>
      </c>
      <c r="I80" s="280">
        <f t="shared" ref="I80:I87" si="25">$I$2*H80</f>
        <v>40.31</v>
      </c>
      <c r="J80" s="281">
        <f t="shared" si="24"/>
        <v>45.715000000000003</v>
      </c>
      <c r="K80" s="282">
        <f>IF(Notes!$B$9="Domestic",I80, IF(Notes!$B$9="Commercial",J80))*$K$77</f>
        <v>91.43</v>
      </c>
      <c r="L80" s="283">
        <f>(SUM(O80:Q80)+(K80+SUM(M80:Q80))*(INDEX($U$77:$AB$77,MATCH(Notes!$C$16,$U$3:$AB$3,0))-100%))*$L$77</f>
        <v>261.98</v>
      </c>
      <c r="M80" s="286"/>
      <c r="N80" s="286"/>
      <c r="O80" s="285">
        <v>261.98</v>
      </c>
      <c r="P80" s="285"/>
      <c r="Q80" s="285"/>
      <c r="R80" s="278"/>
      <c r="S80" s="278"/>
      <c r="T80" s="278"/>
      <c r="U80" s="304"/>
    </row>
    <row r="81" spans="1:28" s="305" customFormat="1" ht="14.45" hidden="1" customHeight="1" outlineLevel="2" x14ac:dyDescent="0.25">
      <c r="A81" s="278"/>
      <c r="B81" s="279" t="str">
        <f t="shared" si="22"/>
        <v>truncated truss9001mm to 12000mm&lt;= 25 deg.</v>
      </c>
      <c r="C81" s="278" t="s">
        <v>2124</v>
      </c>
      <c r="D81" s="278" t="s">
        <v>583</v>
      </c>
      <c r="E81" s="278" t="s">
        <v>587</v>
      </c>
      <c r="F81" s="278"/>
      <c r="G81" s="278" t="s">
        <v>5</v>
      </c>
      <c r="H81" s="310">
        <v>0.75</v>
      </c>
      <c r="I81" s="280">
        <f t="shared" si="25"/>
        <v>60.465000000000003</v>
      </c>
      <c r="J81" s="281">
        <f t="shared" si="24"/>
        <v>68.572500000000005</v>
      </c>
      <c r="K81" s="282">
        <f>IF(Notes!$B$9="Domestic",I81, IF(Notes!$B$9="Commercial",J81))*$K$77</f>
        <v>137.14500000000001</v>
      </c>
      <c r="L81" s="283">
        <f>(SUM(O81:Q81)+(K81+SUM(M81:Q81))*(INDEX($U$77:$AB$77,MATCH(Notes!$C$16,$U$3:$AB$3,0))-100%))*$L$77</f>
        <v>393.27</v>
      </c>
      <c r="M81" s="286"/>
      <c r="N81" s="286"/>
      <c r="O81" s="285">
        <v>393.27</v>
      </c>
      <c r="P81" s="285"/>
      <c r="Q81" s="285"/>
      <c r="R81" s="278"/>
      <c r="S81" s="278"/>
      <c r="T81" s="278"/>
      <c r="U81" s="304"/>
    </row>
    <row r="82" spans="1:28" s="305" customFormat="1" ht="14.45" hidden="1" customHeight="1" outlineLevel="2" x14ac:dyDescent="0.25">
      <c r="A82" s="278"/>
      <c r="B82" s="279" t="str">
        <f t="shared" si="22"/>
        <v>truncated truss12000mm plus&lt;= 25 deg.</v>
      </c>
      <c r="C82" s="278" t="s">
        <v>2124</v>
      </c>
      <c r="D82" s="278" t="s">
        <v>584</v>
      </c>
      <c r="E82" s="278" t="s">
        <v>587</v>
      </c>
      <c r="F82" s="278"/>
      <c r="G82" s="278" t="s">
        <v>5</v>
      </c>
      <c r="H82" s="309">
        <f>H81</f>
        <v>0.75</v>
      </c>
      <c r="I82" s="280">
        <f t="shared" si="25"/>
        <v>60.465000000000003</v>
      </c>
      <c r="J82" s="281">
        <f t="shared" si="24"/>
        <v>68.572500000000005</v>
      </c>
      <c r="K82" s="282">
        <f>IF(Notes!$B$9="Domestic",I82, IF(Notes!$B$9="Commercial",J82))*$K$77</f>
        <v>137.14500000000001</v>
      </c>
      <c r="L82" s="283">
        <f>(SUM(O82:Q82)+(K82+SUM(M82:Q82))*(INDEX($U$77:$AB$77,MATCH(Notes!$C$16,$U$3:$AB$3,0))-100%))*$L$77</f>
        <v>609.56849999999997</v>
      </c>
      <c r="M82" s="286"/>
      <c r="N82" s="286"/>
      <c r="O82" s="311">
        <f>O81*1.55</f>
        <v>609.56849999999997</v>
      </c>
      <c r="P82" s="285"/>
      <c r="Q82" s="285"/>
      <c r="R82" s="278"/>
      <c r="S82" s="278"/>
      <c r="T82" s="278"/>
      <c r="U82" s="304"/>
    </row>
    <row r="83" spans="1:28" s="305" customFormat="1" ht="14.45" hidden="1" customHeight="1" outlineLevel="2" x14ac:dyDescent="0.25">
      <c r="A83" s="278"/>
      <c r="B83" s="279" t="str">
        <f t="shared" si="22"/>
        <v>truncated trussup to 4800mm&gt; 25 deg.</v>
      </c>
      <c r="C83" s="278" t="s">
        <v>2124</v>
      </c>
      <c r="D83" s="278" t="s">
        <v>585</v>
      </c>
      <c r="E83" s="278" t="s">
        <v>588</v>
      </c>
      <c r="F83" s="278"/>
      <c r="G83" s="278" t="s">
        <v>5</v>
      </c>
      <c r="H83" s="310">
        <v>0.25</v>
      </c>
      <c r="I83" s="280">
        <f t="shared" si="25"/>
        <v>20.155000000000001</v>
      </c>
      <c r="J83" s="281">
        <f t="shared" si="24"/>
        <v>22.857500000000002</v>
      </c>
      <c r="K83" s="282">
        <f>IF(Notes!$B$9="Domestic",I83, IF(Notes!$B$9="Commercial",J83))*$K$77</f>
        <v>45.715000000000003</v>
      </c>
      <c r="L83" s="283">
        <f>(SUM(O83:Q83)+(K83+SUM(M83:Q83))*(INDEX($U$77:$AB$77,MATCH(Notes!$C$16,$U$3:$AB$3,0))-100%))*$L$77</f>
        <v>143.93</v>
      </c>
      <c r="M83" s="286"/>
      <c r="N83" s="286"/>
      <c r="O83" s="285">
        <v>143.93</v>
      </c>
      <c r="P83" s="285"/>
      <c r="Q83" s="285"/>
      <c r="R83" s="278"/>
      <c r="S83" s="278"/>
      <c r="T83" s="278"/>
      <c r="U83" s="304"/>
    </row>
    <row r="84" spans="1:28" s="305" customFormat="1" ht="14.45" hidden="1" customHeight="1" outlineLevel="2" x14ac:dyDescent="0.25">
      <c r="A84" s="278"/>
      <c r="B84" s="279" t="str">
        <f t="shared" si="22"/>
        <v>truncated truss4801mm to 6000mm&gt; 25 deg.</v>
      </c>
      <c r="C84" s="278" t="s">
        <v>2124</v>
      </c>
      <c r="D84" s="278" t="s">
        <v>580</v>
      </c>
      <c r="E84" s="278" t="s">
        <v>588</v>
      </c>
      <c r="F84" s="278"/>
      <c r="G84" s="278" t="s">
        <v>5</v>
      </c>
      <c r="H84" s="310">
        <v>0.25</v>
      </c>
      <c r="I84" s="280">
        <f t="shared" si="25"/>
        <v>20.155000000000001</v>
      </c>
      <c r="J84" s="281">
        <f t="shared" si="24"/>
        <v>22.857500000000002</v>
      </c>
      <c r="K84" s="282">
        <f>IF(Notes!$B$9="Domestic",I84, IF(Notes!$B$9="Commercial",J84))*$K$77</f>
        <v>45.715000000000003</v>
      </c>
      <c r="L84" s="283">
        <f>(SUM(O84:Q84)+(K84+SUM(M84:Q84))*(INDEX($U$77:$AB$77,MATCH(Notes!$C$16,$U$3:$AB$3,0))-100%))*$L$77</f>
        <v>210.5</v>
      </c>
      <c r="M84" s="286"/>
      <c r="N84" s="286"/>
      <c r="O84" s="285">
        <v>210.5</v>
      </c>
      <c r="P84" s="285"/>
      <c r="Q84" s="285"/>
      <c r="R84" s="278"/>
      <c r="S84" s="278"/>
      <c r="T84" s="278"/>
      <c r="U84" s="304"/>
    </row>
    <row r="85" spans="1:28" s="305" customFormat="1" ht="14.45" hidden="1" customHeight="1" outlineLevel="2" x14ac:dyDescent="0.25">
      <c r="A85" s="278"/>
      <c r="B85" s="279" t="str">
        <f t="shared" si="22"/>
        <v>truncated truss6001mm to 9000mm&gt; 25 deg.</v>
      </c>
      <c r="C85" s="278" t="s">
        <v>2124</v>
      </c>
      <c r="D85" s="278" t="s">
        <v>586</v>
      </c>
      <c r="E85" s="278" t="s">
        <v>588</v>
      </c>
      <c r="F85" s="278"/>
      <c r="G85" s="278" t="s">
        <v>5</v>
      </c>
      <c r="H85" s="310">
        <v>0.5</v>
      </c>
      <c r="I85" s="280">
        <f t="shared" si="25"/>
        <v>40.31</v>
      </c>
      <c r="J85" s="281">
        <f t="shared" si="24"/>
        <v>45.715000000000003</v>
      </c>
      <c r="K85" s="282">
        <f>IF(Notes!$B$9="Domestic",I85, IF(Notes!$B$9="Commercial",J85))*$K$77</f>
        <v>91.43</v>
      </c>
      <c r="L85" s="283">
        <f>(SUM(O85:Q85)+(K85+SUM(M85:Q85))*(INDEX($U$77:$AB$77,MATCH(Notes!$C$16,$U$3:$AB$3,0))-100%))*$L$77</f>
        <v>279.43</v>
      </c>
      <c r="M85" s="286"/>
      <c r="N85" s="286"/>
      <c r="O85" s="285">
        <v>279.43</v>
      </c>
      <c r="P85" s="285"/>
      <c r="Q85" s="285"/>
      <c r="R85" s="278"/>
      <c r="S85" s="278"/>
      <c r="T85" s="278"/>
      <c r="U85" s="304"/>
    </row>
    <row r="86" spans="1:28" s="305" customFormat="1" ht="14.45" hidden="1" customHeight="1" outlineLevel="2" x14ac:dyDescent="0.25">
      <c r="A86" s="278"/>
      <c r="B86" s="279" t="str">
        <f t="shared" si="22"/>
        <v>truncated truss9001mm to 12000mm&gt; 25 deg.</v>
      </c>
      <c r="C86" s="278" t="s">
        <v>2124</v>
      </c>
      <c r="D86" s="278" t="s">
        <v>583</v>
      </c>
      <c r="E86" s="278" t="s">
        <v>588</v>
      </c>
      <c r="F86" s="278"/>
      <c r="G86" s="278" t="s">
        <v>5</v>
      </c>
      <c r="H86" s="310">
        <v>0.75</v>
      </c>
      <c r="I86" s="280">
        <f t="shared" si="25"/>
        <v>60.465000000000003</v>
      </c>
      <c r="J86" s="281">
        <f t="shared" si="24"/>
        <v>68.572500000000005</v>
      </c>
      <c r="K86" s="282">
        <f>IF(Notes!$B$9="Domestic",I86, IF(Notes!$B$9="Commercial",J86))*$K$77</f>
        <v>137.14500000000001</v>
      </c>
      <c r="L86" s="283">
        <f>(SUM(O86:Q86)+(K86+SUM(M86:Q86))*(INDEX($U$77:$AB$77,MATCH(Notes!$C$16,$U$3:$AB$3,0))-100%))*$L$77</f>
        <v>411.4</v>
      </c>
      <c r="M86" s="286"/>
      <c r="N86" s="286"/>
      <c r="O86" s="285">
        <v>411.4</v>
      </c>
      <c r="P86" s="285"/>
      <c r="Q86" s="285"/>
      <c r="R86" s="278"/>
      <c r="S86" s="278"/>
      <c r="T86" s="278"/>
      <c r="U86" s="304"/>
    </row>
    <row r="87" spans="1:28" s="305" customFormat="1" ht="14.45" hidden="1" customHeight="1" outlineLevel="2" x14ac:dyDescent="0.25">
      <c r="A87" s="278"/>
      <c r="B87" s="279" t="str">
        <f t="shared" si="22"/>
        <v>truncated truss12000mm plus&gt; 25 deg.</v>
      </c>
      <c r="C87" s="278" t="s">
        <v>2124</v>
      </c>
      <c r="D87" s="278" t="s">
        <v>584</v>
      </c>
      <c r="E87" s="278" t="s">
        <v>588</v>
      </c>
      <c r="F87" s="278"/>
      <c r="G87" s="278" t="s">
        <v>5</v>
      </c>
      <c r="H87" s="309">
        <f>H86</f>
        <v>0.75</v>
      </c>
      <c r="I87" s="280">
        <f t="shared" si="25"/>
        <v>60.465000000000003</v>
      </c>
      <c r="J87" s="281">
        <f t="shared" si="24"/>
        <v>68.572500000000005</v>
      </c>
      <c r="K87" s="282">
        <f>IF(Notes!$B$9="Domestic",I87, IF(Notes!$B$9="Commercial",J87))*$K$77</f>
        <v>137.14500000000001</v>
      </c>
      <c r="L87" s="283">
        <f>(SUM(O87:Q87)+(K87+SUM(M87:Q87))*(INDEX($U$77:$AB$77,MATCH(Notes!$C$16,$U$3:$AB$3,0))-100%))*$L$77</f>
        <v>637.66999999999996</v>
      </c>
      <c r="M87" s="286"/>
      <c r="N87" s="286"/>
      <c r="O87" s="311">
        <f>O86*1.55</f>
        <v>637.66999999999996</v>
      </c>
      <c r="P87" s="285"/>
      <c r="Q87" s="285"/>
      <c r="R87" s="278"/>
      <c r="S87" s="278"/>
      <c r="T87" s="278"/>
      <c r="U87" s="304"/>
    </row>
    <row r="88" spans="1:28" ht="21" hidden="1" outlineLevel="1" collapsed="1" x14ac:dyDescent="0.25">
      <c r="A88" s="299" t="s">
        <v>1868</v>
      </c>
      <c r="B88" s="299"/>
      <c r="C88" s="299"/>
      <c r="D88" s="299"/>
      <c r="E88" s="299"/>
      <c r="F88" s="299"/>
      <c r="G88" s="299"/>
      <c r="H88" s="348"/>
      <c r="I88" s="299"/>
      <c r="J88" s="299"/>
      <c r="K88" s="299"/>
      <c r="L88" s="299"/>
      <c r="M88" s="299"/>
      <c r="N88" s="299"/>
      <c r="O88" s="299"/>
      <c r="P88" s="299"/>
      <c r="Q88" s="299"/>
      <c r="R88" s="299"/>
      <c r="S88" s="299"/>
      <c r="T88" s="299"/>
      <c r="U88" s="299"/>
      <c r="V88" s="299"/>
      <c r="W88" s="299"/>
      <c r="X88" s="299"/>
      <c r="Y88" s="299"/>
      <c r="Z88" s="299"/>
      <c r="AA88" s="299"/>
      <c r="AB88" s="299"/>
    </row>
    <row r="89" spans="1:28" ht="15.75" hidden="1" outlineLevel="1" x14ac:dyDescent="0.25">
      <c r="A89" s="291"/>
      <c r="B89" s="291"/>
      <c r="C89" s="291"/>
      <c r="D89" s="291"/>
      <c r="E89" s="291"/>
      <c r="F89" s="291"/>
      <c r="G89" s="291"/>
      <c r="H89" s="325"/>
      <c r="I89" s="291"/>
      <c r="J89" s="291"/>
      <c r="K89" s="291">
        <v>2</v>
      </c>
      <c r="L89" s="291">
        <f>L$2</f>
        <v>1</v>
      </c>
      <c r="M89" s="291"/>
      <c r="N89" s="291"/>
      <c r="O89" s="303"/>
      <c r="P89" s="303"/>
      <c r="Q89" s="303"/>
      <c r="R89" s="291"/>
      <c r="S89" s="291"/>
      <c r="T89" s="291"/>
      <c r="U89" s="381">
        <f>U$2</f>
        <v>1.0309523809523808</v>
      </c>
      <c r="V89" s="381">
        <f>V$2</f>
        <v>1</v>
      </c>
      <c r="W89" s="381">
        <f t="shared" ref="W89:AB89" si="26">W$2</f>
        <v>1.0705952380952379</v>
      </c>
      <c r="X89" s="381">
        <f t="shared" si="26"/>
        <v>1.1199999999999999</v>
      </c>
      <c r="Y89" s="381">
        <f t="shared" si="26"/>
        <v>1.0571428571428572</v>
      </c>
      <c r="Z89" s="381">
        <f t="shared" si="26"/>
        <v>1.1299999999999999</v>
      </c>
      <c r="AA89" s="381">
        <f t="shared" si="26"/>
        <v>1.0776942355889725</v>
      </c>
      <c r="AB89" s="381">
        <f t="shared" si="26"/>
        <v>1.0325814536340854</v>
      </c>
    </row>
    <row r="90" spans="1:28" s="305" customFormat="1" ht="14.45" hidden="1" customHeight="1" outlineLevel="2" x14ac:dyDescent="0.25">
      <c r="A90" s="278"/>
      <c r="B90" s="279" t="str">
        <f>C90&amp;D90&amp;E90&amp;F90</f>
        <v>girder trussup to 4800mm&lt;= 25 deg.</v>
      </c>
      <c r="C90" s="278" t="s">
        <v>2125</v>
      </c>
      <c r="D90" s="278" t="s">
        <v>585</v>
      </c>
      <c r="E90" s="278" t="s">
        <v>587</v>
      </c>
      <c r="F90" s="278"/>
      <c r="G90" s="278" t="s">
        <v>5</v>
      </c>
      <c r="H90" s="310">
        <v>0.5</v>
      </c>
      <c r="I90" s="280">
        <f>$I$2*H90</f>
        <v>40.31</v>
      </c>
      <c r="J90" s="281">
        <f>$J$2*H90</f>
        <v>45.715000000000003</v>
      </c>
      <c r="K90" s="282">
        <f>IF(Notes!$B$9="Domestic",I90, IF(Notes!$B$9="Commercial",J90))*$K$89</f>
        <v>91.43</v>
      </c>
      <c r="L90" s="283">
        <f>(SUM(O90:Q90)+(K90+SUM(M90:Q90))*(INDEX($U$89:$AB$89,MATCH(Notes!$C$16,$U$3:$AB$3,0))-100%))*$L$89</f>
        <v>222.6</v>
      </c>
      <c r="M90" s="286"/>
      <c r="N90" s="286"/>
      <c r="O90" s="285">
        <v>222.6</v>
      </c>
      <c r="P90" s="285"/>
      <c r="Q90" s="285"/>
      <c r="R90" s="278"/>
      <c r="S90" s="278"/>
      <c r="T90" s="278"/>
      <c r="U90" s="304"/>
    </row>
    <row r="91" spans="1:28" s="305" customFormat="1" ht="14.45" hidden="1" customHeight="1" outlineLevel="2" x14ac:dyDescent="0.25">
      <c r="A91" s="278"/>
      <c r="B91" s="279" t="str">
        <f t="shared" ref="B91:B99" si="27">C91&amp;D91&amp;E91&amp;F91</f>
        <v>girder truss4801mm to 6000mm&lt;= 25 deg.</v>
      </c>
      <c r="C91" s="278" t="s">
        <v>2125</v>
      </c>
      <c r="D91" s="278" t="s">
        <v>580</v>
      </c>
      <c r="E91" s="278" t="s">
        <v>587</v>
      </c>
      <c r="F91" s="278"/>
      <c r="G91" s="278" t="s">
        <v>5</v>
      </c>
      <c r="H91" s="310">
        <v>0.75</v>
      </c>
      <c r="I91" s="280">
        <f t="shared" ref="I91:I99" si="28">$I$2*H91</f>
        <v>60.465000000000003</v>
      </c>
      <c r="J91" s="281">
        <f t="shared" ref="J91:J99" si="29">$J$2*H91</f>
        <v>68.572500000000005</v>
      </c>
      <c r="K91" s="282">
        <f>IF(Notes!$B$9="Domestic",I91, IF(Notes!$B$9="Commercial",J91))*$K$89</f>
        <v>137.14500000000001</v>
      </c>
      <c r="L91" s="283">
        <f>(SUM(O91:Q91)+(K91+SUM(M91:Q91))*(INDEX($U$89:$AB$89,MATCH(Notes!$C$16,$U$3:$AB$3,0))-100%))*$L$89</f>
        <v>256.11</v>
      </c>
      <c r="M91" s="286"/>
      <c r="N91" s="286"/>
      <c r="O91" s="285">
        <v>256.11</v>
      </c>
      <c r="P91" s="285"/>
      <c r="Q91" s="285"/>
      <c r="R91" s="278"/>
      <c r="S91" s="278"/>
      <c r="T91" s="278"/>
      <c r="U91" s="304"/>
    </row>
    <row r="92" spans="1:28" s="305" customFormat="1" ht="14.45" hidden="1" customHeight="1" outlineLevel="2" x14ac:dyDescent="0.25">
      <c r="A92" s="278"/>
      <c r="B92" s="279" t="str">
        <f t="shared" si="27"/>
        <v>girder truss6001mm to 9000mm&lt;= 25 deg.</v>
      </c>
      <c r="C92" s="278" t="s">
        <v>2125</v>
      </c>
      <c r="D92" s="278" t="s">
        <v>586</v>
      </c>
      <c r="E92" s="278" t="s">
        <v>587</v>
      </c>
      <c r="F92" s="278"/>
      <c r="G92" s="278" t="s">
        <v>5</v>
      </c>
      <c r="H92" s="310">
        <v>1</v>
      </c>
      <c r="I92" s="280">
        <f t="shared" si="28"/>
        <v>80.62</v>
      </c>
      <c r="J92" s="281">
        <f t="shared" si="29"/>
        <v>91.43</v>
      </c>
      <c r="K92" s="282">
        <f>IF(Notes!$B$9="Domestic",I92, IF(Notes!$B$9="Commercial",J92))*$K$89</f>
        <v>182.86</v>
      </c>
      <c r="L92" s="283">
        <f>(SUM(O92:Q92)+(K92+SUM(M92:Q92))*(INDEX($U$89:$AB$89,MATCH(Notes!$C$16,$U$3:$AB$3,0))-100%))*$L$89</f>
        <v>368.62</v>
      </c>
      <c r="M92" s="286"/>
      <c r="N92" s="286"/>
      <c r="O92" s="285">
        <v>368.62</v>
      </c>
      <c r="P92" s="285"/>
      <c r="Q92" s="285"/>
      <c r="R92" s="278"/>
      <c r="S92" s="278"/>
      <c r="T92" s="278"/>
      <c r="U92" s="304"/>
    </row>
    <row r="93" spans="1:28" s="305" customFormat="1" hidden="1" outlineLevel="2" x14ac:dyDescent="0.25">
      <c r="A93" s="278"/>
      <c r="B93" s="279" t="str">
        <f t="shared" si="27"/>
        <v>girder truss9001mm to 12000mm&lt;= 25 deg.</v>
      </c>
      <c r="C93" s="278" t="s">
        <v>2125</v>
      </c>
      <c r="D93" s="278" t="s">
        <v>583</v>
      </c>
      <c r="E93" s="278" t="s">
        <v>587</v>
      </c>
      <c r="F93" s="278"/>
      <c r="G93" s="278" t="s">
        <v>5</v>
      </c>
      <c r="H93" s="310">
        <v>1.5</v>
      </c>
      <c r="I93" s="280">
        <f t="shared" si="28"/>
        <v>120.93</v>
      </c>
      <c r="J93" s="281">
        <f t="shared" si="29"/>
        <v>137.14500000000001</v>
      </c>
      <c r="K93" s="282">
        <f>IF(Notes!$B$9="Domestic",I93, IF(Notes!$B$9="Commercial",J93))*$K$89</f>
        <v>274.29000000000002</v>
      </c>
      <c r="L93" s="283">
        <f>(SUM(O93:Q93)+(K93+SUM(M93:Q93))*(INDEX($U$89:$AB$89,MATCH(Notes!$C$16,$U$3:$AB$3,0))-100%))*$L$89</f>
        <v>448.8</v>
      </c>
      <c r="M93" s="286"/>
      <c r="N93" s="286"/>
      <c r="O93" s="285">
        <v>448.8</v>
      </c>
      <c r="P93" s="285"/>
      <c r="Q93" s="285"/>
      <c r="R93" s="278"/>
      <c r="S93" s="278"/>
      <c r="T93" s="278"/>
    </row>
    <row r="94" spans="1:28" s="305" customFormat="1" hidden="1" outlineLevel="2" x14ac:dyDescent="0.25">
      <c r="A94" s="278"/>
      <c r="B94" s="279" t="str">
        <f t="shared" si="27"/>
        <v>girder truss12000mm plus&lt;= 25 deg.</v>
      </c>
      <c r="C94" s="278" t="s">
        <v>2125</v>
      </c>
      <c r="D94" s="278" t="s">
        <v>584</v>
      </c>
      <c r="E94" s="278" t="s">
        <v>587</v>
      </c>
      <c r="F94" s="278"/>
      <c r="G94" s="278" t="s">
        <v>5</v>
      </c>
      <c r="H94" s="310">
        <v>1.75</v>
      </c>
      <c r="I94" s="280">
        <f>$I$2*H94</f>
        <v>141.08500000000001</v>
      </c>
      <c r="J94" s="281">
        <f t="shared" si="29"/>
        <v>160.0025</v>
      </c>
      <c r="K94" s="282">
        <f>IF(Notes!$B$9="Domestic",I94, IF(Notes!$B$9="Commercial",J94))*$K$89</f>
        <v>320.005</v>
      </c>
      <c r="L94" s="283">
        <f>(SUM(O94:Q94)+(K94+SUM(M94:Q94))*(INDEX($U$89:$AB$89,MATCH(Notes!$C$16,$U$3:$AB$3,0))-100%))*$L$89</f>
        <v>695.64</v>
      </c>
      <c r="M94" s="286"/>
      <c r="N94" s="286"/>
      <c r="O94" s="311">
        <f>O93*1.55</f>
        <v>695.64</v>
      </c>
      <c r="P94" s="285"/>
      <c r="Q94" s="285"/>
      <c r="R94" s="278"/>
      <c r="S94" s="278"/>
      <c r="T94" s="278"/>
    </row>
    <row r="95" spans="1:28" s="305" customFormat="1" hidden="1" outlineLevel="2" x14ac:dyDescent="0.25">
      <c r="A95" s="278"/>
      <c r="B95" s="279" t="str">
        <f t="shared" si="27"/>
        <v>girder trussup to 4800mm&gt; 25 deg.</v>
      </c>
      <c r="C95" s="278" t="s">
        <v>2125</v>
      </c>
      <c r="D95" s="278" t="s">
        <v>585</v>
      </c>
      <c r="E95" s="278" t="s">
        <v>588</v>
      </c>
      <c r="F95" s="278"/>
      <c r="G95" s="278" t="s">
        <v>5</v>
      </c>
      <c r="H95" s="309">
        <f>H90</f>
        <v>0.5</v>
      </c>
      <c r="I95" s="280">
        <f t="shared" si="28"/>
        <v>40.31</v>
      </c>
      <c r="J95" s="281">
        <f t="shared" si="29"/>
        <v>45.715000000000003</v>
      </c>
      <c r="K95" s="282">
        <f>IF(Notes!$B$9="Domestic",I95, IF(Notes!$B$9="Commercial",J95))*$K$89</f>
        <v>91.43</v>
      </c>
      <c r="L95" s="283">
        <f>(SUM(O95:Q95)+(K95+SUM(M95:Q95))*(INDEX($U$89:$AB$89,MATCH(Notes!$C$16,$U$3:$AB$3,0))-100%))*$L$89</f>
        <v>288.43</v>
      </c>
      <c r="M95" s="286"/>
      <c r="N95" s="286"/>
      <c r="O95" s="285">
        <v>288.43</v>
      </c>
      <c r="P95" s="285"/>
      <c r="Q95" s="285"/>
      <c r="R95" s="278"/>
      <c r="S95" s="278"/>
      <c r="T95" s="278"/>
    </row>
    <row r="96" spans="1:28" s="305" customFormat="1" hidden="1" outlineLevel="2" x14ac:dyDescent="0.25">
      <c r="A96" s="278"/>
      <c r="B96" s="279" t="str">
        <f t="shared" si="27"/>
        <v>girder truss4801mm to 6000mm&gt; 25 deg.</v>
      </c>
      <c r="C96" s="278" t="s">
        <v>2125</v>
      </c>
      <c r="D96" s="278" t="s">
        <v>580</v>
      </c>
      <c r="E96" s="278" t="s">
        <v>588</v>
      </c>
      <c r="F96" s="278"/>
      <c r="G96" s="278" t="s">
        <v>5</v>
      </c>
      <c r="H96" s="309">
        <f t="shared" ref="H96:H99" si="30">H91</f>
        <v>0.75</v>
      </c>
      <c r="I96" s="280">
        <f t="shared" si="28"/>
        <v>60.465000000000003</v>
      </c>
      <c r="J96" s="281">
        <f t="shared" si="29"/>
        <v>68.572500000000005</v>
      </c>
      <c r="K96" s="282">
        <f>IF(Notes!$B$9="Domestic",I96, IF(Notes!$B$9="Commercial",J96))*$K$89</f>
        <v>137.14500000000001</v>
      </c>
      <c r="L96" s="283">
        <f>(SUM(O96:Q96)+(K96+SUM(M96:Q96))*(INDEX($U$89:$AB$89,MATCH(Notes!$C$16,$U$3:$AB$3,0))-100%))*$L$89</f>
        <v>338.69</v>
      </c>
      <c r="M96" s="286"/>
      <c r="N96" s="286"/>
      <c r="O96" s="285">
        <v>338.69</v>
      </c>
      <c r="P96" s="285"/>
      <c r="Q96" s="285"/>
      <c r="R96" s="278"/>
      <c r="S96" s="278"/>
      <c r="T96" s="278"/>
    </row>
    <row r="97" spans="1:28" s="305" customFormat="1" hidden="1" outlineLevel="2" x14ac:dyDescent="0.25">
      <c r="A97" s="278"/>
      <c r="B97" s="279" t="str">
        <f t="shared" si="27"/>
        <v>girder truss6001mm to 9000mm&gt; 25 deg.</v>
      </c>
      <c r="C97" s="278" t="s">
        <v>2125</v>
      </c>
      <c r="D97" s="278" t="s">
        <v>586</v>
      </c>
      <c r="E97" s="278" t="s">
        <v>588</v>
      </c>
      <c r="F97" s="278"/>
      <c r="G97" s="278" t="s">
        <v>5</v>
      </c>
      <c r="H97" s="309">
        <f t="shared" si="30"/>
        <v>1</v>
      </c>
      <c r="I97" s="280">
        <f t="shared" si="28"/>
        <v>80.62</v>
      </c>
      <c r="J97" s="281">
        <f t="shared" si="29"/>
        <v>91.43</v>
      </c>
      <c r="K97" s="282">
        <f>IF(Notes!$B$9="Domestic",I97, IF(Notes!$B$9="Commercial",J97))*$K$89</f>
        <v>182.86</v>
      </c>
      <c r="L97" s="283">
        <f>(SUM(O97:Q97)+(K97+SUM(M97:Q97))*(INDEX($U$89:$AB$89,MATCH(Notes!$C$16,$U$3:$AB$3,0))-100%))*$L$89</f>
        <v>671.4</v>
      </c>
      <c r="M97" s="286"/>
      <c r="N97" s="286"/>
      <c r="O97" s="285">
        <v>671.4</v>
      </c>
      <c r="P97" s="285"/>
      <c r="Q97" s="285"/>
      <c r="R97" s="278"/>
      <c r="S97" s="278"/>
      <c r="T97" s="278"/>
    </row>
    <row r="98" spans="1:28" s="305" customFormat="1" hidden="1" outlineLevel="2" x14ac:dyDescent="0.25">
      <c r="A98" s="278"/>
      <c r="B98" s="279" t="str">
        <f t="shared" si="27"/>
        <v>girder truss9001mm to 12000mm&gt; 25 deg.</v>
      </c>
      <c r="C98" s="278" t="s">
        <v>2125</v>
      </c>
      <c r="D98" s="278" t="s">
        <v>583</v>
      </c>
      <c r="E98" s="278" t="s">
        <v>588</v>
      </c>
      <c r="F98" s="278"/>
      <c r="G98" s="278" t="s">
        <v>5</v>
      </c>
      <c r="H98" s="309">
        <f t="shared" si="30"/>
        <v>1.5</v>
      </c>
      <c r="I98" s="280">
        <f t="shared" si="28"/>
        <v>120.93</v>
      </c>
      <c r="J98" s="281">
        <f t="shared" si="29"/>
        <v>137.14500000000001</v>
      </c>
      <c r="K98" s="282">
        <f>IF(Notes!$B$9="Domestic",I98, IF(Notes!$B$9="Commercial",J98))*$K$89</f>
        <v>274.29000000000002</v>
      </c>
      <c r="L98" s="283">
        <f>(SUM(O98:Q98)+(K98+SUM(M98:Q98))*(INDEX($U$89:$AB$89,MATCH(Notes!$C$16,$U$3:$AB$3,0))-100%))*$L$89</f>
        <v>824.6</v>
      </c>
      <c r="M98" s="286"/>
      <c r="N98" s="286"/>
      <c r="O98" s="285">
        <v>824.6</v>
      </c>
      <c r="P98" s="285"/>
      <c r="Q98" s="285"/>
      <c r="R98" s="278"/>
      <c r="S98" s="278"/>
      <c r="T98" s="278"/>
    </row>
    <row r="99" spans="1:28" s="305" customFormat="1" hidden="1" outlineLevel="2" x14ac:dyDescent="0.25">
      <c r="A99" s="278"/>
      <c r="B99" s="279" t="str">
        <f t="shared" si="27"/>
        <v>girder truss12000mm plus&gt; 25 deg.</v>
      </c>
      <c r="C99" s="278" t="s">
        <v>2125</v>
      </c>
      <c r="D99" s="278" t="s">
        <v>584</v>
      </c>
      <c r="E99" s="278" t="s">
        <v>588</v>
      </c>
      <c r="F99" s="278"/>
      <c r="G99" s="278" t="s">
        <v>5</v>
      </c>
      <c r="H99" s="309">
        <f t="shared" si="30"/>
        <v>1.75</v>
      </c>
      <c r="I99" s="280">
        <f t="shared" si="28"/>
        <v>141.08500000000001</v>
      </c>
      <c r="J99" s="281">
        <f t="shared" si="29"/>
        <v>160.0025</v>
      </c>
      <c r="K99" s="282">
        <f>IF(Notes!$B$9="Domestic",I99, IF(Notes!$B$9="Commercial",J99))*$K$89</f>
        <v>320.005</v>
      </c>
      <c r="L99" s="283">
        <f>(SUM(O99:Q99)+(K99+SUM(M99:Q99))*(INDEX($U$89:$AB$89,MATCH(Notes!$C$16,$U$3:$AB$3,0))-100%))*$L$89</f>
        <v>1278.1300000000001</v>
      </c>
      <c r="M99" s="286"/>
      <c r="N99" s="286"/>
      <c r="O99" s="311">
        <f>O98*1.55</f>
        <v>1278.1300000000001</v>
      </c>
      <c r="P99" s="285"/>
      <c r="Q99" s="285"/>
      <c r="R99" s="278"/>
      <c r="S99" s="278"/>
      <c r="T99" s="278"/>
    </row>
    <row r="100" spans="1:28" ht="21" hidden="1" outlineLevel="1" collapsed="1" x14ac:dyDescent="0.25">
      <c r="A100" s="299" t="s">
        <v>1867</v>
      </c>
      <c r="B100" s="299"/>
      <c r="C100" s="299"/>
      <c r="D100" s="299"/>
      <c r="E100" s="299"/>
      <c r="F100" s="299"/>
      <c r="G100" s="299"/>
      <c r="H100" s="348"/>
      <c r="I100" s="299"/>
      <c r="J100" s="299"/>
      <c r="K100" s="299"/>
      <c r="L100" s="299"/>
      <c r="M100" s="299"/>
      <c r="N100" s="299"/>
      <c r="O100" s="299"/>
      <c r="P100" s="299"/>
      <c r="Q100" s="299"/>
      <c r="R100" s="299"/>
      <c r="S100" s="299"/>
      <c r="T100" s="299"/>
      <c r="U100" s="299"/>
      <c r="V100" s="299"/>
      <c r="W100" s="299"/>
      <c r="X100" s="299"/>
      <c r="Y100" s="299"/>
      <c r="Z100" s="299"/>
      <c r="AA100" s="299"/>
      <c r="AB100" s="299"/>
    </row>
    <row r="101" spans="1:28" ht="15.75" hidden="1" outlineLevel="1" x14ac:dyDescent="0.25">
      <c r="A101" s="291"/>
      <c r="B101" s="291"/>
      <c r="C101" s="291"/>
      <c r="D101" s="291"/>
      <c r="E101" s="291"/>
      <c r="F101" s="291"/>
      <c r="G101" s="291"/>
      <c r="H101" s="325"/>
      <c r="I101" s="291"/>
      <c r="J101" s="291"/>
      <c r="K101" s="291">
        <v>2</v>
      </c>
      <c r="L101" s="291">
        <f>L$2</f>
        <v>1</v>
      </c>
      <c r="M101" s="291"/>
      <c r="N101" s="291"/>
      <c r="O101" s="303"/>
      <c r="P101" s="303"/>
      <c r="Q101" s="303"/>
      <c r="R101" s="291"/>
      <c r="S101" s="291"/>
      <c r="T101" s="291"/>
      <c r="U101" s="381">
        <f>U$2</f>
        <v>1.0309523809523808</v>
      </c>
      <c r="V101" s="381">
        <f>V$2</f>
        <v>1</v>
      </c>
      <c r="W101" s="381">
        <f t="shared" ref="W101:AB101" si="31">W$2</f>
        <v>1.0705952380952379</v>
      </c>
      <c r="X101" s="381">
        <f t="shared" si="31"/>
        <v>1.1199999999999999</v>
      </c>
      <c r="Y101" s="381">
        <f t="shared" si="31"/>
        <v>1.0571428571428572</v>
      </c>
      <c r="Z101" s="381">
        <f t="shared" si="31"/>
        <v>1.1299999999999999</v>
      </c>
      <c r="AA101" s="381">
        <f t="shared" si="31"/>
        <v>1.0776942355889725</v>
      </c>
      <c r="AB101" s="381">
        <f t="shared" si="31"/>
        <v>1.0325814536340854</v>
      </c>
    </row>
    <row r="102" spans="1:28" s="305" customFormat="1" ht="14.45" hidden="1" customHeight="1" outlineLevel="2" x14ac:dyDescent="0.25">
      <c r="A102" s="278"/>
      <c r="B102" s="279" t="str">
        <f>C102&amp;D102&amp;E102&amp;F102</f>
        <v>truncated girder trussup to 4800mm&lt;= 25 deg.</v>
      </c>
      <c r="C102" s="278" t="s">
        <v>2126</v>
      </c>
      <c r="D102" s="278" t="s">
        <v>585</v>
      </c>
      <c r="E102" s="278" t="s">
        <v>587</v>
      </c>
      <c r="F102" s="278"/>
      <c r="G102" s="278" t="s">
        <v>5</v>
      </c>
      <c r="H102" s="310">
        <v>0.5</v>
      </c>
      <c r="I102" s="280">
        <f>$I$2*H102</f>
        <v>40.31</v>
      </c>
      <c r="J102" s="281">
        <f>$J$2*H102</f>
        <v>45.715000000000003</v>
      </c>
      <c r="K102" s="282">
        <f>IF(Notes!$B$9="Domestic",I102, IF(Notes!$B$9="Commercial",J102))*$K$101</f>
        <v>91.43</v>
      </c>
      <c r="L102" s="283">
        <f>(SUM(O102:Q102)+(K102+SUM(M102:Q102))*(INDEX($U$101:$AB$101,MATCH(Notes!$C$16,$U$3:$AB$3,0))-100%))*$L$101</f>
        <v>278.14</v>
      </c>
      <c r="M102" s="286"/>
      <c r="N102" s="286"/>
      <c r="O102" s="285">
        <v>278.14</v>
      </c>
      <c r="P102" s="285"/>
      <c r="Q102" s="285"/>
      <c r="R102" s="278"/>
      <c r="S102" s="278"/>
      <c r="T102" s="278"/>
      <c r="U102" s="304"/>
    </row>
    <row r="103" spans="1:28" s="305" customFormat="1" ht="14.45" hidden="1" customHeight="1" outlineLevel="2" x14ac:dyDescent="0.25">
      <c r="A103" s="278"/>
      <c r="B103" s="279" t="str">
        <f t="shared" ref="B103:B111" si="32">C103&amp;D103&amp;E103&amp;F103</f>
        <v>truncated girder truss4801mm to 6000mm&lt;= 25 deg.</v>
      </c>
      <c r="C103" s="278" t="s">
        <v>2126</v>
      </c>
      <c r="D103" s="278" t="s">
        <v>580</v>
      </c>
      <c r="E103" s="278" t="s">
        <v>587</v>
      </c>
      <c r="F103" s="278"/>
      <c r="G103" s="278" t="s">
        <v>5</v>
      </c>
      <c r="H103" s="310">
        <v>0.75</v>
      </c>
      <c r="I103" s="280">
        <f t="shared" ref="I103:I105" si="33">$I$2*H103</f>
        <v>60.465000000000003</v>
      </c>
      <c r="J103" s="281">
        <f t="shared" ref="J103:J111" si="34">$J$2*H103</f>
        <v>68.572500000000005</v>
      </c>
      <c r="K103" s="282">
        <f>IF(Notes!$B$9="Domestic",I103, IF(Notes!$B$9="Commercial",J103))*$K$101</f>
        <v>137.14500000000001</v>
      </c>
      <c r="L103" s="283">
        <f>(SUM(O103:Q103)+(K103+SUM(M103:Q103))*(INDEX($U$101:$AB$101,MATCH(Notes!$C$16,$U$3:$AB$3,0))-100%))*$L$101</f>
        <v>308.36</v>
      </c>
      <c r="M103" s="286"/>
      <c r="N103" s="286"/>
      <c r="O103" s="285">
        <v>308.36</v>
      </c>
      <c r="P103" s="285"/>
      <c r="Q103" s="285"/>
      <c r="R103" s="278"/>
      <c r="S103" s="278"/>
      <c r="T103" s="278"/>
      <c r="U103" s="304"/>
    </row>
    <row r="104" spans="1:28" s="305" customFormat="1" ht="14.45" hidden="1" customHeight="1" outlineLevel="2" x14ac:dyDescent="0.25">
      <c r="A104" s="278"/>
      <c r="B104" s="279" t="str">
        <f t="shared" si="32"/>
        <v>truncated girder truss6001mm to 9000mm&lt;= 25 deg.</v>
      </c>
      <c r="C104" s="278" t="s">
        <v>2126</v>
      </c>
      <c r="D104" s="278" t="s">
        <v>586</v>
      </c>
      <c r="E104" s="278" t="s">
        <v>587</v>
      </c>
      <c r="F104" s="278"/>
      <c r="G104" s="278" t="s">
        <v>5</v>
      </c>
      <c r="H104" s="310">
        <v>1</v>
      </c>
      <c r="I104" s="280">
        <f t="shared" si="33"/>
        <v>80.62</v>
      </c>
      <c r="J104" s="281">
        <f t="shared" si="34"/>
        <v>91.43</v>
      </c>
      <c r="K104" s="282">
        <f>IF(Notes!$B$9="Domestic",I104, IF(Notes!$B$9="Commercial",J104))*$K$101</f>
        <v>182.86</v>
      </c>
      <c r="L104" s="283">
        <f>(SUM(O104:Q104)+(K104+SUM(M104:Q104))*(INDEX($U$101:$AB$101,MATCH(Notes!$C$16,$U$3:$AB$3,0))-100%))*$L$101</f>
        <v>538.63</v>
      </c>
      <c r="M104" s="286"/>
      <c r="N104" s="286"/>
      <c r="O104" s="285">
        <v>538.63</v>
      </c>
      <c r="P104" s="285"/>
      <c r="Q104" s="285"/>
      <c r="R104" s="278"/>
      <c r="S104" s="278"/>
      <c r="T104" s="278"/>
      <c r="U104" s="304"/>
    </row>
    <row r="105" spans="1:28" s="305" customFormat="1" hidden="1" outlineLevel="2" x14ac:dyDescent="0.25">
      <c r="A105" s="278"/>
      <c r="B105" s="279" t="str">
        <f t="shared" si="32"/>
        <v>truncated girder truss9001mm to 12000mm&lt;= 25 deg.</v>
      </c>
      <c r="C105" s="278" t="s">
        <v>2126</v>
      </c>
      <c r="D105" s="278" t="s">
        <v>583</v>
      </c>
      <c r="E105" s="278" t="s">
        <v>587</v>
      </c>
      <c r="F105" s="278"/>
      <c r="G105" s="278" t="s">
        <v>5</v>
      </c>
      <c r="H105" s="310">
        <v>1.5</v>
      </c>
      <c r="I105" s="280">
        <f t="shared" si="33"/>
        <v>120.93</v>
      </c>
      <c r="J105" s="281">
        <f t="shared" si="34"/>
        <v>137.14500000000001</v>
      </c>
      <c r="K105" s="282">
        <f>IF(Notes!$B$9="Domestic",I105, IF(Notes!$B$9="Commercial",J105))*$K$101</f>
        <v>274.29000000000002</v>
      </c>
      <c r="L105" s="283">
        <f>(SUM(O105:Q105)+(K105+SUM(M105:Q105))*(INDEX($U$101:$AB$101,MATCH(Notes!$C$16,$U$3:$AB$3,0))-100%))*$L$101</f>
        <v>761.95</v>
      </c>
      <c r="M105" s="286"/>
      <c r="N105" s="286"/>
      <c r="O105" s="285">
        <v>761.95</v>
      </c>
      <c r="P105" s="285"/>
      <c r="Q105" s="285"/>
      <c r="R105" s="278"/>
      <c r="S105" s="278"/>
      <c r="T105" s="278"/>
    </row>
    <row r="106" spans="1:28" s="305" customFormat="1" hidden="1" outlineLevel="2" x14ac:dyDescent="0.25">
      <c r="A106" s="278"/>
      <c r="B106" s="279" t="str">
        <f t="shared" si="32"/>
        <v>truncated girder truss12000mm plus&lt;= 25 deg.</v>
      </c>
      <c r="C106" s="278" t="s">
        <v>2126</v>
      </c>
      <c r="D106" s="278" t="s">
        <v>584</v>
      </c>
      <c r="E106" s="278" t="s">
        <v>587</v>
      </c>
      <c r="F106" s="278"/>
      <c r="G106" s="278" t="s">
        <v>5</v>
      </c>
      <c r="H106" s="310">
        <v>1.75</v>
      </c>
      <c r="I106" s="280">
        <f>$I$2*H106</f>
        <v>141.08500000000001</v>
      </c>
      <c r="J106" s="281">
        <f t="shared" si="34"/>
        <v>160.0025</v>
      </c>
      <c r="K106" s="282">
        <f>IF(Notes!$B$9="Domestic",I106, IF(Notes!$B$9="Commercial",J106))*$K$101</f>
        <v>320.005</v>
      </c>
      <c r="L106" s="283">
        <f>(SUM(O106:Q106)+(K106+SUM(M106:Q106))*(INDEX($U$101:$AB$101,MATCH(Notes!$C$16,$U$3:$AB$3,0))-100%))*$L$101</f>
        <v>1181.0225</v>
      </c>
      <c r="M106" s="286"/>
      <c r="N106" s="286"/>
      <c r="O106" s="311">
        <f>O105*1.55</f>
        <v>1181.0225</v>
      </c>
      <c r="P106" s="285"/>
      <c r="Q106" s="285"/>
      <c r="R106" s="278"/>
      <c r="S106" s="278"/>
      <c r="T106" s="278"/>
    </row>
    <row r="107" spans="1:28" s="305" customFormat="1" hidden="1" outlineLevel="2" x14ac:dyDescent="0.25">
      <c r="A107" s="278"/>
      <c r="B107" s="279" t="str">
        <f t="shared" si="32"/>
        <v>truncated girder trussup to 4800mm&gt; 25 deg.</v>
      </c>
      <c r="C107" s="278" t="s">
        <v>2126</v>
      </c>
      <c r="D107" s="278" t="s">
        <v>585</v>
      </c>
      <c r="E107" s="278" t="s">
        <v>588</v>
      </c>
      <c r="F107" s="278"/>
      <c r="G107" s="278" t="s">
        <v>5</v>
      </c>
      <c r="H107" s="309">
        <f>H102</f>
        <v>0.5</v>
      </c>
      <c r="I107" s="280">
        <f t="shared" ref="I107:I111" si="35">$I$2*H107</f>
        <v>40.31</v>
      </c>
      <c r="J107" s="281">
        <f t="shared" si="34"/>
        <v>45.715000000000003</v>
      </c>
      <c r="K107" s="282">
        <f>IF(Notes!$B$9="Domestic",I107, IF(Notes!$B$9="Commercial",J107))*$K$101</f>
        <v>91.43</v>
      </c>
      <c r="L107" s="283">
        <f>(SUM(O107:Q107)+(K107+SUM(M107:Q107))*(INDEX($U$101:$AB$101,MATCH(Notes!$C$16,$U$3:$AB$3,0))-100%))*$L$101</f>
        <v>295.92</v>
      </c>
      <c r="M107" s="286"/>
      <c r="N107" s="286"/>
      <c r="O107" s="285">
        <v>295.92</v>
      </c>
      <c r="P107" s="285"/>
      <c r="Q107" s="285"/>
      <c r="R107" s="278"/>
      <c r="S107" s="278"/>
      <c r="T107" s="278"/>
    </row>
    <row r="108" spans="1:28" s="305" customFormat="1" hidden="1" outlineLevel="2" x14ac:dyDescent="0.25">
      <c r="A108" s="278"/>
      <c r="B108" s="279" t="str">
        <f t="shared" si="32"/>
        <v>truncated girder truss4801mm to 6000mm&gt; 25 deg.</v>
      </c>
      <c r="C108" s="278" t="s">
        <v>2126</v>
      </c>
      <c r="D108" s="278" t="s">
        <v>580</v>
      </c>
      <c r="E108" s="278" t="s">
        <v>588</v>
      </c>
      <c r="F108" s="278"/>
      <c r="G108" s="278" t="s">
        <v>5</v>
      </c>
      <c r="H108" s="309">
        <f t="shared" ref="H108:H111" si="36">H103</f>
        <v>0.75</v>
      </c>
      <c r="I108" s="280">
        <f t="shared" si="35"/>
        <v>60.465000000000003</v>
      </c>
      <c r="J108" s="281">
        <f t="shared" si="34"/>
        <v>68.572500000000005</v>
      </c>
      <c r="K108" s="282">
        <f>IF(Notes!$B$9="Domestic",I108, IF(Notes!$B$9="Commercial",J108))*$K$101</f>
        <v>137.14500000000001</v>
      </c>
      <c r="L108" s="283">
        <f>(SUM(O108:Q108)+(K108+SUM(M108:Q108))*(INDEX($U$101:$AB$101,MATCH(Notes!$C$16,$U$3:$AB$3,0))-100%))*$L$101</f>
        <v>432.79</v>
      </c>
      <c r="M108" s="286"/>
      <c r="N108" s="286"/>
      <c r="O108" s="285">
        <v>432.79</v>
      </c>
      <c r="P108" s="285"/>
      <c r="Q108" s="285"/>
      <c r="R108" s="278"/>
      <c r="S108" s="278"/>
      <c r="T108" s="278"/>
    </row>
    <row r="109" spans="1:28" s="305" customFormat="1" hidden="1" outlineLevel="2" x14ac:dyDescent="0.25">
      <c r="A109" s="278"/>
      <c r="B109" s="279" t="str">
        <f t="shared" si="32"/>
        <v>truncated girder truss6001mm to 9000mm&gt; 25 deg.</v>
      </c>
      <c r="C109" s="278" t="s">
        <v>2126</v>
      </c>
      <c r="D109" s="278" t="s">
        <v>586</v>
      </c>
      <c r="E109" s="278" t="s">
        <v>588</v>
      </c>
      <c r="F109" s="278"/>
      <c r="G109" s="278" t="s">
        <v>5</v>
      </c>
      <c r="H109" s="309">
        <f t="shared" si="36"/>
        <v>1</v>
      </c>
      <c r="I109" s="280">
        <f t="shared" si="35"/>
        <v>80.62</v>
      </c>
      <c r="J109" s="281">
        <f t="shared" si="34"/>
        <v>91.43</v>
      </c>
      <c r="K109" s="282">
        <f>IF(Notes!$B$9="Domestic",I109, IF(Notes!$B$9="Commercial",J109))*$K$101</f>
        <v>182.86</v>
      </c>
      <c r="L109" s="283">
        <f>(SUM(O109:Q109)+(K109+SUM(M109:Q109))*(INDEX($U$101:$AB$101,MATCH(Notes!$C$16,$U$3:$AB$3,0))-100%))*$L$101</f>
        <v>574.51</v>
      </c>
      <c r="M109" s="286"/>
      <c r="N109" s="286"/>
      <c r="O109" s="285">
        <v>574.51</v>
      </c>
      <c r="P109" s="285"/>
      <c r="Q109" s="285"/>
      <c r="R109" s="278"/>
      <c r="S109" s="278"/>
      <c r="T109" s="278"/>
    </row>
    <row r="110" spans="1:28" s="305" customFormat="1" hidden="1" outlineLevel="2" x14ac:dyDescent="0.25">
      <c r="A110" s="278"/>
      <c r="B110" s="279" t="str">
        <f t="shared" si="32"/>
        <v>truncated girder truss9001mm to 12000mm&gt; 25 deg.</v>
      </c>
      <c r="C110" s="278" t="s">
        <v>2126</v>
      </c>
      <c r="D110" s="278" t="s">
        <v>583</v>
      </c>
      <c r="E110" s="278" t="s">
        <v>588</v>
      </c>
      <c r="F110" s="278"/>
      <c r="G110" s="278" t="s">
        <v>5</v>
      </c>
      <c r="H110" s="309">
        <f t="shared" si="36"/>
        <v>1.5</v>
      </c>
      <c r="I110" s="280">
        <f t="shared" si="35"/>
        <v>120.93</v>
      </c>
      <c r="J110" s="281">
        <f t="shared" si="34"/>
        <v>137.14500000000001</v>
      </c>
      <c r="K110" s="282">
        <f>IF(Notes!$B$9="Domestic",I110, IF(Notes!$B$9="Commercial",J110))*$K$101</f>
        <v>274.29000000000002</v>
      </c>
      <c r="L110" s="283">
        <f>(SUM(O110:Q110)+(K110+SUM(M110:Q110))*(INDEX($U$101:$AB$101,MATCH(Notes!$C$16,$U$3:$AB$3,0))-100%))*$L$101</f>
        <v>796.91</v>
      </c>
      <c r="M110" s="286"/>
      <c r="N110" s="286"/>
      <c r="O110" s="285">
        <v>796.91</v>
      </c>
      <c r="P110" s="285"/>
      <c r="Q110" s="285"/>
      <c r="R110" s="278"/>
      <c r="S110" s="278"/>
      <c r="T110" s="278"/>
    </row>
    <row r="111" spans="1:28" s="305" customFormat="1" hidden="1" outlineLevel="2" x14ac:dyDescent="0.25">
      <c r="A111" s="278"/>
      <c r="B111" s="279" t="str">
        <f t="shared" si="32"/>
        <v>truncated girder truss12000mm plus&gt; 25 deg.</v>
      </c>
      <c r="C111" s="278" t="s">
        <v>2126</v>
      </c>
      <c r="D111" s="278" t="s">
        <v>584</v>
      </c>
      <c r="E111" s="278" t="s">
        <v>588</v>
      </c>
      <c r="F111" s="278"/>
      <c r="G111" s="278" t="s">
        <v>5</v>
      </c>
      <c r="H111" s="309">
        <f t="shared" si="36"/>
        <v>1.75</v>
      </c>
      <c r="I111" s="280">
        <f t="shared" si="35"/>
        <v>141.08500000000001</v>
      </c>
      <c r="J111" s="281">
        <f t="shared" si="34"/>
        <v>160.0025</v>
      </c>
      <c r="K111" s="282">
        <f>IF(Notes!$B$9="Domestic",I111, IF(Notes!$B$9="Commercial",J111))*$K$101</f>
        <v>320.005</v>
      </c>
      <c r="L111" s="283">
        <f>(SUM(O111:Q111)+(K111+SUM(M111:Q111))*(INDEX($U$101:$AB$101,MATCH(Notes!$C$16,$U$3:$AB$3,0))-100%))*$L$101</f>
        <v>1235.2104999999999</v>
      </c>
      <c r="M111" s="286"/>
      <c r="N111" s="286"/>
      <c r="O111" s="311">
        <f>O110*1.55</f>
        <v>1235.2104999999999</v>
      </c>
      <c r="P111" s="285"/>
      <c r="Q111" s="285"/>
      <c r="R111" s="278"/>
      <c r="S111" s="278"/>
      <c r="T111" s="278"/>
    </row>
    <row r="112" spans="1:28" ht="21" hidden="1" outlineLevel="1" collapsed="1" x14ac:dyDescent="0.25">
      <c r="A112" s="299" t="s">
        <v>2130</v>
      </c>
      <c r="B112" s="299"/>
      <c r="C112" s="299"/>
      <c r="D112" s="299"/>
      <c r="E112" s="299"/>
      <c r="F112" s="299"/>
      <c r="G112" s="299"/>
      <c r="H112" s="348"/>
      <c r="I112" s="299"/>
      <c r="J112" s="299"/>
      <c r="K112" s="299"/>
      <c r="L112" s="299"/>
      <c r="M112" s="299"/>
      <c r="N112" s="299"/>
      <c r="O112" s="299"/>
      <c r="P112" s="299"/>
      <c r="Q112" s="299"/>
      <c r="R112" s="299"/>
      <c r="S112" s="299"/>
      <c r="T112" s="299"/>
      <c r="U112" s="299"/>
      <c r="V112" s="299"/>
      <c r="W112" s="299"/>
      <c r="X112" s="299"/>
      <c r="Y112" s="299"/>
      <c r="Z112" s="299"/>
      <c r="AA112" s="299"/>
      <c r="AB112" s="299"/>
    </row>
    <row r="113" spans="1:28" ht="15.75" hidden="1" outlineLevel="1" x14ac:dyDescent="0.25">
      <c r="A113" s="291"/>
      <c r="B113" s="291"/>
      <c r="C113" s="291"/>
      <c r="D113" s="291"/>
      <c r="E113" s="291"/>
      <c r="F113" s="291"/>
      <c r="G113" s="291"/>
      <c r="H113" s="325"/>
      <c r="I113" s="291"/>
      <c r="J113" s="291"/>
      <c r="K113" s="291">
        <v>2</v>
      </c>
      <c r="L113" s="291">
        <f>L$2</f>
        <v>1</v>
      </c>
      <c r="M113" s="291"/>
      <c r="N113" s="291"/>
      <c r="O113" s="303"/>
      <c r="P113" s="303"/>
      <c r="Q113" s="303"/>
      <c r="R113" s="291"/>
      <c r="S113" s="291"/>
      <c r="T113" s="291"/>
      <c r="U113" s="381">
        <f>U$2</f>
        <v>1.0309523809523808</v>
      </c>
      <c r="V113" s="381">
        <f>V$2</f>
        <v>1</v>
      </c>
      <c r="W113" s="381">
        <f t="shared" ref="W113:AB113" si="37">W$2</f>
        <v>1.0705952380952379</v>
      </c>
      <c r="X113" s="381">
        <f t="shared" si="37"/>
        <v>1.1199999999999999</v>
      </c>
      <c r="Y113" s="381">
        <f t="shared" si="37"/>
        <v>1.0571428571428572</v>
      </c>
      <c r="Z113" s="381">
        <f t="shared" si="37"/>
        <v>1.1299999999999999</v>
      </c>
      <c r="AA113" s="381">
        <f t="shared" si="37"/>
        <v>1.0776942355889725</v>
      </c>
      <c r="AB113" s="381">
        <f t="shared" si="37"/>
        <v>1.0325814536340854</v>
      </c>
    </row>
    <row r="114" spans="1:28" s="305" customFormat="1" ht="14.45" hidden="1" customHeight="1" outlineLevel="2" x14ac:dyDescent="0.25">
      <c r="A114" s="278"/>
      <c r="B114" s="279" t="str">
        <f>C114&amp;D114&amp;E114&amp;F114</f>
        <v>saddle trussup to 3600mm&lt;= 25 deg.</v>
      </c>
      <c r="C114" s="278" t="s">
        <v>2131</v>
      </c>
      <c r="D114" s="278" t="s">
        <v>578</v>
      </c>
      <c r="E114" s="278" t="s">
        <v>587</v>
      </c>
      <c r="F114" s="278"/>
      <c r="G114" s="278" t="s">
        <v>5</v>
      </c>
      <c r="H114" s="309">
        <f>H62</f>
        <v>0.25</v>
      </c>
      <c r="I114" s="280">
        <f>$I$2*H114</f>
        <v>20.155000000000001</v>
      </c>
      <c r="J114" s="281">
        <f>$J$2*H114</f>
        <v>22.857500000000002</v>
      </c>
      <c r="K114" s="282">
        <f>IF(Notes!$B$9="Domestic",I114, IF(Notes!$B$9="Commercial",J114))*$K$113</f>
        <v>45.715000000000003</v>
      </c>
      <c r="L114" s="283">
        <f>(SUM(O114:Q114)+(K114+SUM(M114:Q114))*(INDEX($U$113:$AB$113,MATCH(Notes!$C$16,$U$3:$AB$3,0))-100%))*$L$113</f>
        <v>96.2</v>
      </c>
      <c r="M114" s="286"/>
      <c r="N114" s="286"/>
      <c r="O114" s="311">
        <f>O62</f>
        <v>96.2</v>
      </c>
      <c r="P114" s="285"/>
      <c r="Q114" s="285"/>
      <c r="R114" s="278"/>
      <c r="S114" s="278"/>
      <c r="T114" s="278"/>
      <c r="U114" s="304"/>
    </row>
    <row r="115" spans="1:28" s="305" customFormat="1" ht="14.45" hidden="1" customHeight="1" outlineLevel="2" x14ac:dyDescent="0.25">
      <c r="A115" s="278"/>
      <c r="B115" s="279" t="str">
        <f t="shared" ref="B115:B127" si="38">C115&amp;D115&amp;E115&amp;F115</f>
        <v>saddle truss3601mm to 4800mm&lt;= 25 deg.</v>
      </c>
      <c r="C115" s="278" t="s">
        <v>2131</v>
      </c>
      <c r="D115" s="278" t="s">
        <v>579</v>
      </c>
      <c r="E115" s="278" t="s">
        <v>587</v>
      </c>
      <c r="F115" s="278"/>
      <c r="G115" s="278" t="s">
        <v>5</v>
      </c>
      <c r="H115" s="309">
        <f t="shared" ref="H115:H127" si="39">H63</f>
        <v>0.25</v>
      </c>
      <c r="I115" s="280">
        <f t="shared" ref="I115" si="40">$I$2*H115</f>
        <v>20.155000000000001</v>
      </c>
      <c r="J115" s="281">
        <f t="shared" ref="J115:J127" si="41">$J$2*H115</f>
        <v>22.857500000000002</v>
      </c>
      <c r="K115" s="282">
        <f>IF(Notes!$B$9="Domestic",I115, IF(Notes!$B$9="Commercial",J115))*$K$113</f>
        <v>45.715000000000003</v>
      </c>
      <c r="L115" s="283">
        <f>(SUM(O115:Q115)+(K115+SUM(M115:Q115))*(INDEX($U$113:$AB$113,MATCH(Notes!$C$16,$U$3:$AB$3,0))-100%))*$L$113</f>
        <v>149.4</v>
      </c>
      <c r="M115" s="286"/>
      <c r="N115" s="286"/>
      <c r="O115" s="311">
        <f t="shared" ref="O115:O127" si="42">O63</f>
        <v>149.4</v>
      </c>
      <c r="P115" s="285"/>
      <c r="Q115" s="285"/>
      <c r="R115" s="278"/>
      <c r="S115" s="278"/>
      <c r="T115" s="278"/>
      <c r="U115" s="304"/>
    </row>
    <row r="116" spans="1:28" s="305" customFormat="1" ht="14.45" hidden="1" customHeight="1" outlineLevel="2" x14ac:dyDescent="0.25">
      <c r="A116" s="278"/>
      <c r="B116" s="279" t="str">
        <f t="shared" si="38"/>
        <v>saddle truss4801mm to 6000mm&lt;= 25 deg.</v>
      </c>
      <c r="C116" s="278" t="s">
        <v>2131</v>
      </c>
      <c r="D116" s="278" t="s">
        <v>580</v>
      </c>
      <c r="E116" s="278" t="s">
        <v>587</v>
      </c>
      <c r="F116" s="278"/>
      <c r="G116" s="278" t="s">
        <v>5</v>
      </c>
      <c r="H116" s="309">
        <f t="shared" si="39"/>
        <v>0.25</v>
      </c>
      <c r="I116" s="280">
        <f>$I$2*H116</f>
        <v>20.155000000000001</v>
      </c>
      <c r="J116" s="281">
        <f t="shared" si="41"/>
        <v>22.857500000000002</v>
      </c>
      <c r="K116" s="282">
        <f>IF(Notes!$B$9="Domestic",I116, IF(Notes!$B$9="Commercial",J116))*$K$113</f>
        <v>45.715000000000003</v>
      </c>
      <c r="L116" s="283">
        <f>(SUM(O116:Q116)+(K116+SUM(M116:Q116))*(INDEX($U$113:$AB$113,MATCH(Notes!$C$16,$U$3:$AB$3,0))-100%))*$L$113</f>
        <v>188.53</v>
      </c>
      <c r="M116" s="286"/>
      <c r="N116" s="286"/>
      <c r="O116" s="311">
        <f t="shared" si="42"/>
        <v>188.53</v>
      </c>
      <c r="P116" s="285"/>
      <c r="Q116" s="285"/>
      <c r="R116" s="278"/>
      <c r="S116" s="278"/>
      <c r="T116" s="278"/>
      <c r="U116" s="304"/>
    </row>
    <row r="117" spans="1:28" s="305" customFormat="1" ht="14.45" hidden="1" customHeight="1" outlineLevel="2" x14ac:dyDescent="0.25">
      <c r="A117" s="278"/>
      <c r="B117" s="279" t="str">
        <f t="shared" si="38"/>
        <v>saddle truss6001mm to 7200mm&lt;= 25 deg.</v>
      </c>
      <c r="C117" s="278" t="s">
        <v>2131</v>
      </c>
      <c r="D117" s="278" t="s">
        <v>581</v>
      </c>
      <c r="E117" s="278" t="s">
        <v>587</v>
      </c>
      <c r="F117" s="278"/>
      <c r="G117" s="278" t="s">
        <v>5</v>
      </c>
      <c r="H117" s="309">
        <f t="shared" si="39"/>
        <v>0.4</v>
      </c>
      <c r="I117" s="280">
        <f t="shared" ref="I117:I127" si="43">$I$2*H117</f>
        <v>32.248000000000005</v>
      </c>
      <c r="J117" s="281">
        <f t="shared" si="41"/>
        <v>36.572000000000003</v>
      </c>
      <c r="K117" s="282">
        <f>IF(Notes!$B$9="Domestic",I117, IF(Notes!$B$9="Commercial",J117))*$K$113</f>
        <v>73.144000000000005</v>
      </c>
      <c r="L117" s="283">
        <f>(SUM(O117:Q117)+(K117+SUM(M117:Q117))*(INDEX($U$113:$AB$113,MATCH(Notes!$C$16,$U$3:$AB$3,0))-100%))*$L$113</f>
        <v>190.38</v>
      </c>
      <c r="M117" s="286"/>
      <c r="N117" s="286"/>
      <c r="O117" s="311">
        <f t="shared" si="42"/>
        <v>190.38</v>
      </c>
      <c r="P117" s="285"/>
      <c r="Q117" s="285"/>
      <c r="R117" s="278"/>
      <c r="S117" s="278"/>
      <c r="T117" s="278"/>
      <c r="U117" s="304"/>
    </row>
    <row r="118" spans="1:28" s="305" customFormat="1" ht="14.45" hidden="1" customHeight="1" outlineLevel="2" x14ac:dyDescent="0.25">
      <c r="A118" s="278"/>
      <c r="B118" s="279" t="str">
        <f t="shared" si="38"/>
        <v>saddle truss7201mm to 9000mm&lt;= 25 deg.</v>
      </c>
      <c r="C118" s="278" t="s">
        <v>2131</v>
      </c>
      <c r="D118" s="278" t="s">
        <v>582</v>
      </c>
      <c r="E118" s="278" t="s">
        <v>587</v>
      </c>
      <c r="F118" s="278"/>
      <c r="G118" s="278" t="s">
        <v>5</v>
      </c>
      <c r="H118" s="309">
        <f t="shared" si="39"/>
        <v>0.5</v>
      </c>
      <c r="I118" s="280">
        <f t="shared" si="43"/>
        <v>40.31</v>
      </c>
      <c r="J118" s="281">
        <f t="shared" si="41"/>
        <v>45.715000000000003</v>
      </c>
      <c r="K118" s="282">
        <f>IF(Notes!$B$9="Domestic",I118, IF(Notes!$B$9="Commercial",J118))*$K$113</f>
        <v>91.43</v>
      </c>
      <c r="L118" s="283">
        <f>(SUM(O118:Q118)+(K118+SUM(M118:Q118))*(INDEX($U$113:$AB$113,MATCH(Notes!$C$16,$U$3:$AB$3,0))-100%))*$L$113</f>
        <v>250.12</v>
      </c>
      <c r="M118" s="286"/>
      <c r="N118" s="286"/>
      <c r="O118" s="311">
        <f t="shared" si="42"/>
        <v>250.12</v>
      </c>
      <c r="P118" s="285"/>
      <c r="Q118" s="285"/>
      <c r="R118" s="278"/>
      <c r="S118" s="278"/>
      <c r="T118" s="278"/>
      <c r="U118" s="304"/>
    </row>
    <row r="119" spans="1:28" s="305" customFormat="1" ht="14.45" hidden="1" customHeight="1" outlineLevel="2" x14ac:dyDescent="0.25">
      <c r="A119" s="278"/>
      <c r="B119" s="279" t="str">
        <f t="shared" si="38"/>
        <v>saddle truss9001mm to 12000mm&lt;= 25 deg.</v>
      </c>
      <c r="C119" s="278" t="s">
        <v>2131</v>
      </c>
      <c r="D119" s="278" t="s">
        <v>583</v>
      </c>
      <c r="E119" s="278" t="s">
        <v>587</v>
      </c>
      <c r="F119" s="278"/>
      <c r="G119" s="278" t="s">
        <v>5</v>
      </c>
      <c r="H119" s="309">
        <f t="shared" si="39"/>
        <v>0.75</v>
      </c>
      <c r="I119" s="280">
        <f t="shared" si="43"/>
        <v>60.465000000000003</v>
      </c>
      <c r="J119" s="281">
        <f t="shared" si="41"/>
        <v>68.572500000000005</v>
      </c>
      <c r="K119" s="282">
        <f>IF(Notes!$B$9="Domestic",I119, IF(Notes!$B$9="Commercial",J119))*$K$113</f>
        <v>137.14500000000001</v>
      </c>
      <c r="L119" s="283">
        <f>(SUM(O119:Q119)+(K119+SUM(M119:Q119))*(INDEX($U$113:$AB$113,MATCH(Notes!$C$16,$U$3:$AB$3,0))-100%))*$L$113</f>
        <v>338.34</v>
      </c>
      <c r="M119" s="286"/>
      <c r="N119" s="286"/>
      <c r="O119" s="311">
        <f t="shared" si="42"/>
        <v>338.34</v>
      </c>
      <c r="P119" s="285"/>
      <c r="Q119" s="285"/>
      <c r="R119" s="278"/>
      <c r="S119" s="278"/>
      <c r="T119" s="278"/>
      <c r="U119" s="304"/>
    </row>
    <row r="120" spans="1:28" s="305" customFormat="1" ht="14.45" hidden="1" customHeight="1" outlineLevel="2" x14ac:dyDescent="0.25">
      <c r="A120" s="278"/>
      <c r="B120" s="279" t="str">
        <f t="shared" si="38"/>
        <v>saddle truss12000mm plus&lt;= 25 deg.</v>
      </c>
      <c r="C120" s="278" t="s">
        <v>2131</v>
      </c>
      <c r="D120" s="278" t="s">
        <v>584</v>
      </c>
      <c r="E120" s="278" t="s">
        <v>587</v>
      </c>
      <c r="F120" s="278"/>
      <c r="G120" s="278" t="s">
        <v>5</v>
      </c>
      <c r="H120" s="309">
        <f t="shared" si="39"/>
        <v>0.75</v>
      </c>
      <c r="I120" s="280">
        <f t="shared" si="43"/>
        <v>60.465000000000003</v>
      </c>
      <c r="J120" s="281">
        <f t="shared" si="41"/>
        <v>68.572500000000005</v>
      </c>
      <c r="K120" s="282">
        <f>IF(Notes!$B$9="Domestic",I120, IF(Notes!$B$9="Commercial",J120))*$K$113</f>
        <v>137.14500000000001</v>
      </c>
      <c r="L120" s="283">
        <f>(SUM(O120:Q120)+(K120+SUM(M120:Q120))*(INDEX($U$113:$AB$113,MATCH(Notes!$C$16,$U$3:$AB$3,0))-100%))*$L$113</f>
        <v>537.76</v>
      </c>
      <c r="M120" s="286"/>
      <c r="N120" s="286"/>
      <c r="O120" s="311">
        <f t="shared" si="42"/>
        <v>537.76</v>
      </c>
      <c r="P120" s="285"/>
      <c r="Q120" s="285"/>
      <c r="R120" s="329"/>
      <c r="S120" s="278"/>
      <c r="T120" s="278"/>
      <c r="U120" s="304"/>
    </row>
    <row r="121" spans="1:28" s="305" customFormat="1" ht="14.45" hidden="1" customHeight="1" outlineLevel="2" x14ac:dyDescent="0.25">
      <c r="A121" s="278"/>
      <c r="B121" s="279" t="str">
        <f t="shared" si="38"/>
        <v>saddle trussup to 3600mm&gt; 25 deg.</v>
      </c>
      <c r="C121" s="278" t="s">
        <v>2131</v>
      </c>
      <c r="D121" s="278" t="s">
        <v>578</v>
      </c>
      <c r="E121" s="278" t="s">
        <v>588</v>
      </c>
      <c r="F121" s="278"/>
      <c r="G121" s="278" t="s">
        <v>5</v>
      </c>
      <c r="H121" s="309">
        <f t="shared" si="39"/>
        <v>0.25</v>
      </c>
      <c r="I121" s="280">
        <f t="shared" si="43"/>
        <v>20.155000000000001</v>
      </c>
      <c r="J121" s="281">
        <f t="shared" si="41"/>
        <v>22.857500000000002</v>
      </c>
      <c r="K121" s="282">
        <f>IF(Notes!$B$9="Domestic",I121, IF(Notes!$B$9="Commercial",J121))*$K$113</f>
        <v>45.715000000000003</v>
      </c>
      <c r="L121" s="283">
        <f>(SUM(O121:Q121)+(K121+SUM(M121:Q121))*(INDEX($U$113:$AB$113,MATCH(Notes!$C$16,$U$3:$AB$3,0))-100%))*$L$113</f>
        <v>102.6</v>
      </c>
      <c r="M121" s="286"/>
      <c r="N121" s="286"/>
      <c r="O121" s="311">
        <f t="shared" si="42"/>
        <v>102.6</v>
      </c>
      <c r="P121" s="285"/>
      <c r="Q121" s="285"/>
      <c r="R121" s="278"/>
      <c r="S121" s="278"/>
      <c r="T121" s="278"/>
      <c r="U121" s="304"/>
    </row>
    <row r="122" spans="1:28" s="305" customFormat="1" ht="14.45" hidden="1" customHeight="1" outlineLevel="2" x14ac:dyDescent="0.25">
      <c r="A122" s="278"/>
      <c r="B122" s="279" t="str">
        <f t="shared" si="38"/>
        <v>saddle truss3601mm to 4800mm&gt; 25 deg.</v>
      </c>
      <c r="C122" s="278" t="s">
        <v>2131</v>
      </c>
      <c r="D122" s="278" t="s">
        <v>579</v>
      </c>
      <c r="E122" s="278" t="s">
        <v>588</v>
      </c>
      <c r="F122" s="278"/>
      <c r="G122" s="278" t="s">
        <v>5</v>
      </c>
      <c r="H122" s="309">
        <f t="shared" si="39"/>
        <v>0.25</v>
      </c>
      <c r="I122" s="280">
        <f t="shared" si="43"/>
        <v>20.155000000000001</v>
      </c>
      <c r="J122" s="281">
        <f t="shared" si="41"/>
        <v>22.857500000000002</v>
      </c>
      <c r="K122" s="282">
        <f>IF(Notes!$B$9="Domestic",I122, IF(Notes!$B$9="Commercial",J122))*$K$113</f>
        <v>45.715000000000003</v>
      </c>
      <c r="L122" s="283">
        <f>(SUM(O122:Q122)+(K122+SUM(M122:Q122))*(INDEX($U$113:$AB$113,MATCH(Notes!$C$16,$U$3:$AB$3,0))-100%))*$L$113</f>
        <v>153.47999999999999</v>
      </c>
      <c r="M122" s="286"/>
      <c r="N122" s="286"/>
      <c r="O122" s="311">
        <f t="shared" si="42"/>
        <v>153.47999999999999</v>
      </c>
      <c r="P122" s="285"/>
      <c r="Q122" s="285"/>
      <c r="R122" s="278"/>
      <c r="S122" s="278"/>
      <c r="T122" s="278"/>
      <c r="U122" s="304"/>
    </row>
    <row r="123" spans="1:28" s="305" customFormat="1" ht="14.45" hidden="1" customHeight="1" outlineLevel="2" x14ac:dyDescent="0.25">
      <c r="A123" s="278"/>
      <c r="B123" s="279" t="str">
        <f t="shared" si="38"/>
        <v>saddle truss4801mm to 6000mm&gt; 25 deg.</v>
      </c>
      <c r="C123" s="278" t="s">
        <v>2131</v>
      </c>
      <c r="D123" s="278" t="s">
        <v>580</v>
      </c>
      <c r="E123" s="278" t="s">
        <v>588</v>
      </c>
      <c r="F123" s="278"/>
      <c r="G123" s="278" t="s">
        <v>5</v>
      </c>
      <c r="H123" s="309">
        <f t="shared" si="39"/>
        <v>0.25</v>
      </c>
      <c r="I123" s="280">
        <f t="shared" si="43"/>
        <v>20.155000000000001</v>
      </c>
      <c r="J123" s="281">
        <f t="shared" si="41"/>
        <v>22.857500000000002</v>
      </c>
      <c r="K123" s="282">
        <f>IF(Notes!$B$9="Domestic",I123, IF(Notes!$B$9="Commercial",J123))*$K$113</f>
        <v>45.715000000000003</v>
      </c>
      <c r="L123" s="283">
        <f>(SUM(O123:Q123)+(K123+SUM(M123:Q123))*(INDEX($U$113:$AB$113,MATCH(Notes!$C$16,$U$3:$AB$3,0))-100%))*$L$113</f>
        <v>200.23</v>
      </c>
      <c r="M123" s="286"/>
      <c r="N123" s="286"/>
      <c r="O123" s="311">
        <f t="shared" si="42"/>
        <v>200.23</v>
      </c>
      <c r="P123" s="285"/>
      <c r="Q123" s="285"/>
      <c r="R123" s="278"/>
      <c r="S123" s="278"/>
      <c r="T123" s="278"/>
      <c r="U123" s="304"/>
    </row>
    <row r="124" spans="1:28" s="305" customFormat="1" ht="14.45" hidden="1" customHeight="1" outlineLevel="2" x14ac:dyDescent="0.25">
      <c r="A124" s="278"/>
      <c r="B124" s="279" t="str">
        <f t="shared" si="38"/>
        <v>saddle truss6001mm to 7200mm&gt; 25 deg.</v>
      </c>
      <c r="C124" s="278" t="s">
        <v>2131</v>
      </c>
      <c r="D124" s="278" t="s">
        <v>581</v>
      </c>
      <c r="E124" s="278" t="s">
        <v>588</v>
      </c>
      <c r="F124" s="278"/>
      <c r="G124" s="278" t="s">
        <v>5</v>
      </c>
      <c r="H124" s="309">
        <f t="shared" si="39"/>
        <v>0.4</v>
      </c>
      <c r="I124" s="280">
        <f t="shared" si="43"/>
        <v>32.248000000000005</v>
      </c>
      <c r="J124" s="281">
        <f t="shared" si="41"/>
        <v>36.572000000000003</v>
      </c>
      <c r="K124" s="282">
        <f>IF(Notes!$B$9="Domestic",I124, IF(Notes!$B$9="Commercial",J124))*$K$113</f>
        <v>73.144000000000005</v>
      </c>
      <c r="L124" s="283">
        <f>(SUM(O124:Q124)+(K124+SUM(M124:Q124))*(INDEX($U$113:$AB$113,MATCH(Notes!$C$16,$U$3:$AB$3,0))-100%))*$L$113</f>
        <v>205.35</v>
      </c>
      <c r="M124" s="286"/>
      <c r="N124" s="286"/>
      <c r="O124" s="311">
        <f t="shared" si="42"/>
        <v>205.35</v>
      </c>
      <c r="P124" s="285"/>
      <c r="Q124" s="285"/>
      <c r="R124" s="278"/>
      <c r="S124" s="278"/>
      <c r="T124" s="278"/>
      <c r="U124" s="304"/>
    </row>
    <row r="125" spans="1:28" s="305" customFormat="1" ht="14.45" hidden="1" customHeight="1" outlineLevel="2" x14ac:dyDescent="0.25">
      <c r="A125" s="278"/>
      <c r="B125" s="279" t="str">
        <f t="shared" si="38"/>
        <v>saddle truss7201mm to 9000mm&gt; 25 deg.</v>
      </c>
      <c r="C125" s="278" t="s">
        <v>2131</v>
      </c>
      <c r="D125" s="278" t="s">
        <v>582</v>
      </c>
      <c r="E125" s="278" t="s">
        <v>588</v>
      </c>
      <c r="F125" s="278"/>
      <c r="G125" s="278" t="s">
        <v>5</v>
      </c>
      <c r="H125" s="309">
        <f t="shared" si="39"/>
        <v>0.5</v>
      </c>
      <c r="I125" s="280">
        <f t="shared" si="43"/>
        <v>40.31</v>
      </c>
      <c r="J125" s="281">
        <f t="shared" si="41"/>
        <v>45.715000000000003</v>
      </c>
      <c r="K125" s="282">
        <f>IF(Notes!$B$9="Domestic",I125, IF(Notes!$B$9="Commercial",J125))*$K$113</f>
        <v>91.43</v>
      </c>
      <c r="L125" s="283">
        <f>(SUM(O125:Q125)+(K125+SUM(M125:Q125))*(INDEX($U$113:$AB$113,MATCH(Notes!$C$16,$U$3:$AB$3,0))-100%))*$L$113</f>
        <v>285.88</v>
      </c>
      <c r="M125" s="286"/>
      <c r="N125" s="286"/>
      <c r="O125" s="311">
        <f t="shared" si="42"/>
        <v>285.88</v>
      </c>
      <c r="P125" s="285"/>
      <c r="Q125" s="285"/>
      <c r="R125" s="278"/>
      <c r="S125" s="278"/>
      <c r="T125" s="278"/>
      <c r="U125" s="304"/>
    </row>
    <row r="126" spans="1:28" s="305" customFormat="1" ht="14.45" hidden="1" customHeight="1" outlineLevel="2" x14ac:dyDescent="0.25">
      <c r="A126" s="278"/>
      <c r="B126" s="279" t="str">
        <f t="shared" si="38"/>
        <v>saddle truss9001mm to 12000mm&gt; 25 deg.</v>
      </c>
      <c r="C126" s="278" t="s">
        <v>2131</v>
      </c>
      <c r="D126" s="278" t="s">
        <v>583</v>
      </c>
      <c r="E126" s="278" t="s">
        <v>588</v>
      </c>
      <c r="F126" s="278"/>
      <c r="G126" s="278" t="s">
        <v>5</v>
      </c>
      <c r="H126" s="309">
        <f t="shared" si="39"/>
        <v>0.75</v>
      </c>
      <c r="I126" s="280">
        <f t="shared" si="43"/>
        <v>60.465000000000003</v>
      </c>
      <c r="J126" s="281">
        <f t="shared" si="41"/>
        <v>68.572500000000005</v>
      </c>
      <c r="K126" s="282">
        <f>IF(Notes!$B$9="Domestic",I126, IF(Notes!$B$9="Commercial",J126))*$K$113</f>
        <v>137.14500000000001</v>
      </c>
      <c r="L126" s="283">
        <f>(SUM(O126:Q126)+(K126+SUM(M126:Q126))*(INDEX($U$113:$AB$113,MATCH(Notes!$C$16,$U$3:$AB$3,0))-100%))*$L$113</f>
        <v>426.34</v>
      </c>
      <c r="M126" s="286"/>
      <c r="N126" s="286"/>
      <c r="O126" s="311">
        <f t="shared" si="42"/>
        <v>426.34</v>
      </c>
      <c r="P126" s="285"/>
      <c r="Q126" s="285"/>
      <c r="R126" s="278"/>
      <c r="S126" s="278"/>
      <c r="T126" s="278"/>
      <c r="U126" s="304"/>
    </row>
    <row r="127" spans="1:28" s="305" customFormat="1" ht="14.45" hidden="1" customHeight="1" outlineLevel="2" x14ac:dyDescent="0.25">
      <c r="A127" s="278"/>
      <c r="B127" s="279" t="str">
        <f t="shared" si="38"/>
        <v>saddle truss12000mm plus&gt; 25 deg.</v>
      </c>
      <c r="C127" s="278" t="s">
        <v>2131</v>
      </c>
      <c r="D127" s="278" t="s">
        <v>584</v>
      </c>
      <c r="E127" s="278" t="s">
        <v>588</v>
      </c>
      <c r="F127" s="278"/>
      <c r="G127" s="278" t="s">
        <v>5</v>
      </c>
      <c r="H127" s="309">
        <f t="shared" si="39"/>
        <v>0.75</v>
      </c>
      <c r="I127" s="280">
        <f t="shared" si="43"/>
        <v>60.465000000000003</v>
      </c>
      <c r="J127" s="281">
        <f t="shared" si="41"/>
        <v>68.572500000000005</v>
      </c>
      <c r="K127" s="282">
        <f>IF(Notes!$B$9="Domestic",I127, IF(Notes!$B$9="Commercial",J127))*$K$113</f>
        <v>137.14500000000001</v>
      </c>
      <c r="L127" s="283">
        <f>(SUM(O127:Q127)+(K127+SUM(M127:Q127))*(INDEX($U$113:$AB$113,MATCH(Notes!$C$16,$U$3:$AB$3,0))-100%))*$L$113</f>
        <v>657.78</v>
      </c>
      <c r="M127" s="286"/>
      <c r="N127" s="286"/>
      <c r="O127" s="311">
        <f t="shared" si="42"/>
        <v>657.78</v>
      </c>
      <c r="P127" s="285"/>
      <c r="Q127" s="285"/>
      <c r="R127" s="278"/>
      <c r="S127" s="278"/>
      <c r="T127" s="278"/>
      <c r="U127" s="304"/>
    </row>
    <row r="128" spans="1:28" ht="21" hidden="1" outlineLevel="1" collapsed="1" x14ac:dyDescent="0.25">
      <c r="A128" s="299" t="s">
        <v>1880</v>
      </c>
      <c r="B128" s="299"/>
      <c r="C128" s="299"/>
      <c r="D128" s="299"/>
      <c r="E128" s="299"/>
      <c r="F128" s="299"/>
      <c r="G128" s="299"/>
      <c r="H128" s="348"/>
      <c r="I128" s="299"/>
      <c r="J128" s="299"/>
      <c r="K128" s="299"/>
      <c r="L128" s="299"/>
      <c r="M128" s="299"/>
      <c r="N128" s="299"/>
      <c r="O128" s="299"/>
      <c r="P128" s="299"/>
      <c r="Q128" s="299"/>
      <c r="R128" s="299"/>
      <c r="S128" s="299"/>
      <c r="T128" s="299"/>
      <c r="U128" s="299"/>
      <c r="V128" s="299"/>
      <c r="W128" s="299"/>
      <c r="X128" s="299"/>
      <c r="Y128" s="299"/>
      <c r="Z128" s="299"/>
      <c r="AA128" s="299"/>
      <c r="AB128" s="299"/>
    </row>
    <row r="129" spans="1:28" ht="15.75" hidden="1" outlineLevel="1" x14ac:dyDescent="0.25">
      <c r="A129" s="291"/>
      <c r="B129" s="291"/>
      <c r="C129" s="291"/>
      <c r="D129" s="291"/>
      <c r="E129" s="291"/>
      <c r="F129" s="291"/>
      <c r="G129" s="291"/>
      <c r="H129" s="325"/>
      <c r="I129" s="291"/>
      <c r="J129" s="291"/>
      <c r="K129" s="291">
        <v>2</v>
      </c>
      <c r="L129" s="291">
        <f>L$2</f>
        <v>1</v>
      </c>
      <c r="M129" s="291"/>
      <c r="N129" s="291"/>
      <c r="O129" s="303"/>
      <c r="P129" s="303"/>
      <c r="Q129" s="303"/>
      <c r="R129" s="291"/>
      <c r="S129" s="291"/>
      <c r="T129" s="291"/>
      <c r="U129" s="381">
        <f>U$2</f>
        <v>1.0309523809523808</v>
      </c>
      <c r="V129" s="381">
        <f>V$2</f>
        <v>1</v>
      </c>
      <c r="W129" s="381">
        <f t="shared" ref="W129:AB129" si="44">W$2</f>
        <v>1.0705952380952379</v>
      </c>
      <c r="X129" s="381">
        <f t="shared" si="44"/>
        <v>1.1199999999999999</v>
      </c>
      <c r="Y129" s="381">
        <f t="shared" si="44"/>
        <v>1.0571428571428572</v>
      </c>
      <c r="Z129" s="381">
        <f t="shared" si="44"/>
        <v>1.1299999999999999</v>
      </c>
      <c r="AA129" s="381">
        <f t="shared" si="44"/>
        <v>1.0776942355889725</v>
      </c>
      <c r="AB129" s="381">
        <f t="shared" si="44"/>
        <v>1.0325814536340854</v>
      </c>
    </row>
    <row r="130" spans="1:28" s="305" customFormat="1" ht="14.45" hidden="1" customHeight="1" outlineLevel="2" x14ac:dyDescent="0.25">
      <c r="A130" s="278"/>
      <c r="B130" s="279" t="str">
        <f>C130&amp;D130&amp;E130&amp;F130</f>
        <v>hip trussup to 4800mm&lt;= 25 deg.</v>
      </c>
      <c r="C130" s="278" t="s">
        <v>2127</v>
      </c>
      <c r="D130" s="278" t="s">
        <v>585</v>
      </c>
      <c r="E130" s="278" t="s">
        <v>587</v>
      </c>
      <c r="F130" s="278"/>
      <c r="G130" s="278" t="s">
        <v>5</v>
      </c>
      <c r="H130" s="310">
        <v>0.25</v>
      </c>
      <c r="I130" s="280">
        <f>$I$2*H130</f>
        <v>20.155000000000001</v>
      </c>
      <c r="J130" s="281">
        <f>$J$2*H130</f>
        <v>22.857500000000002</v>
      </c>
      <c r="K130" s="282">
        <f>IF(Notes!$B$9="Domestic",I130, IF(Notes!$B$9="Commercial",J130))*$K$129</f>
        <v>45.715000000000003</v>
      </c>
      <c r="L130" s="283">
        <f>(SUM(O130:Q130)+(K130+SUM(M130:Q130))*(INDEX($U$129:$AB$129,MATCH(Notes!$C$16,$U$3:$AB$3,0))-100%))*$L$129</f>
        <v>651.02</v>
      </c>
      <c r="M130" s="286"/>
      <c r="N130" s="286"/>
      <c r="O130" s="285">
        <v>651.02</v>
      </c>
      <c r="P130" s="285"/>
      <c r="Q130" s="285"/>
      <c r="R130" s="278"/>
      <c r="S130" s="278"/>
      <c r="T130" s="278"/>
      <c r="U130" s="304"/>
    </row>
    <row r="131" spans="1:28" s="305" customFormat="1" ht="14.45" hidden="1" customHeight="1" outlineLevel="2" x14ac:dyDescent="0.25">
      <c r="A131" s="278"/>
      <c r="B131" s="279" t="str">
        <f t="shared" ref="B131:B139" si="45">C131&amp;D131&amp;E131&amp;F131</f>
        <v>hip truss4801mm to 6000mm&lt;= 25 deg.</v>
      </c>
      <c r="C131" s="278" t="s">
        <v>2127</v>
      </c>
      <c r="D131" s="278" t="s">
        <v>580</v>
      </c>
      <c r="E131" s="278" t="s">
        <v>587</v>
      </c>
      <c r="F131" s="278"/>
      <c r="G131" s="278" t="s">
        <v>5</v>
      </c>
      <c r="H131" s="310">
        <v>0.25</v>
      </c>
      <c r="I131" s="280">
        <f t="shared" ref="I131:I139" si="46">$I$2*H131</f>
        <v>20.155000000000001</v>
      </c>
      <c r="J131" s="281">
        <f t="shared" ref="J131:J139" si="47">$J$2*H131</f>
        <v>22.857500000000002</v>
      </c>
      <c r="K131" s="282">
        <f>IF(Notes!$B$9="Domestic",I131, IF(Notes!$B$9="Commercial",J131))*$K$129</f>
        <v>45.715000000000003</v>
      </c>
      <c r="L131" s="283">
        <f>(SUM(O131:Q131)+(K131+SUM(M131:Q131))*(INDEX($U$129:$AB$129,MATCH(Notes!$C$16,$U$3:$AB$3,0))-100%))*$L$129</f>
        <v>719.16</v>
      </c>
      <c r="M131" s="286"/>
      <c r="N131" s="286"/>
      <c r="O131" s="285">
        <v>719.16</v>
      </c>
      <c r="P131" s="285"/>
      <c r="Q131" s="285"/>
      <c r="R131" s="278"/>
      <c r="S131" s="278"/>
      <c r="T131" s="278"/>
      <c r="U131" s="304"/>
    </row>
    <row r="132" spans="1:28" s="305" customFormat="1" ht="14.45" hidden="1" customHeight="1" outlineLevel="2" x14ac:dyDescent="0.25">
      <c r="A132" s="278"/>
      <c r="B132" s="279" t="str">
        <f t="shared" si="45"/>
        <v>hip truss6001mm to 9000mm&lt;= 25 deg.</v>
      </c>
      <c r="C132" s="278" t="s">
        <v>2127</v>
      </c>
      <c r="D132" s="278" t="s">
        <v>586</v>
      </c>
      <c r="E132" s="278" t="s">
        <v>587</v>
      </c>
      <c r="F132" s="278"/>
      <c r="G132" s="278" t="s">
        <v>5</v>
      </c>
      <c r="H132" s="310">
        <v>0.5</v>
      </c>
      <c r="I132" s="280">
        <f t="shared" si="46"/>
        <v>40.31</v>
      </c>
      <c r="J132" s="281">
        <f t="shared" si="47"/>
        <v>45.715000000000003</v>
      </c>
      <c r="K132" s="282">
        <f>IF(Notes!$B$9="Domestic",I132, IF(Notes!$B$9="Commercial",J132))*$K$129</f>
        <v>91.43</v>
      </c>
      <c r="L132" s="283">
        <f>(SUM(O132:Q132)+(K132+SUM(M132:Q132))*(INDEX($U$129:$AB$129,MATCH(Notes!$C$16,$U$3:$AB$3,0))-100%))*$L$129</f>
        <v>782.44499999999994</v>
      </c>
      <c r="M132" s="286"/>
      <c r="N132" s="286"/>
      <c r="O132" s="285">
        <f>(O131+O133)/2</f>
        <v>782.44499999999994</v>
      </c>
      <c r="P132" s="285"/>
      <c r="Q132" s="285"/>
      <c r="R132" s="278"/>
      <c r="S132" s="278"/>
      <c r="T132" s="278"/>
      <c r="U132" s="304"/>
    </row>
    <row r="133" spans="1:28" s="305" customFormat="1" ht="14.45" hidden="1" customHeight="1" outlineLevel="2" x14ac:dyDescent="0.25">
      <c r="A133" s="278"/>
      <c r="B133" s="279" t="str">
        <f t="shared" si="45"/>
        <v>hip truss9001mm to 12000mm&lt;= 25 deg.</v>
      </c>
      <c r="C133" s="278" t="s">
        <v>2127</v>
      </c>
      <c r="D133" s="278" t="s">
        <v>583</v>
      </c>
      <c r="E133" s="278" t="s">
        <v>587</v>
      </c>
      <c r="F133" s="278"/>
      <c r="G133" s="278" t="s">
        <v>5</v>
      </c>
      <c r="H133" s="310">
        <v>0.75</v>
      </c>
      <c r="I133" s="280">
        <f t="shared" si="46"/>
        <v>60.465000000000003</v>
      </c>
      <c r="J133" s="281">
        <f t="shared" si="47"/>
        <v>68.572500000000005</v>
      </c>
      <c r="K133" s="282">
        <f>IF(Notes!$B$9="Domestic",I133, IF(Notes!$B$9="Commercial",J133))*$K$129</f>
        <v>137.14500000000001</v>
      </c>
      <c r="L133" s="283">
        <f>(SUM(O133:Q133)+(K133+SUM(M133:Q133))*(INDEX($U$129:$AB$129,MATCH(Notes!$C$16,$U$3:$AB$3,0))-100%))*$L$129</f>
        <v>845.73</v>
      </c>
      <c r="M133" s="286"/>
      <c r="N133" s="286"/>
      <c r="O133" s="285">
        <v>845.73</v>
      </c>
      <c r="P133" s="285"/>
      <c r="Q133" s="285"/>
      <c r="R133" s="278"/>
      <c r="S133" s="278"/>
      <c r="T133" s="278"/>
    </row>
    <row r="134" spans="1:28" s="305" customFormat="1" hidden="1" outlineLevel="2" x14ac:dyDescent="0.25">
      <c r="A134" s="278"/>
      <c r="B134" s="279" t="str">
        <f t="shared" si="45"/>
        <v>hip truss12000mm plus&lt;= 25 deg.</v>
      </c>
      <c r="C134" s="278" t="s">
        <v>2127</v>
      </c>
      <c r="D134" s="278" t="s">
        <v>584</v>
      </c>
      <c r="E134" s="278" t="s">
        <v>587</v>
      </c>
      <c r="F134" s="278"/>
      <c r="G134" s="278" t="s">
        <v>5</v>
      </c>
      <c r="H134" s="310">
        <v>1</v>
      </c>
      <c r="I134" s="280">
        <f>$I$2*H134</f>
        <v>80.62</v>
      </c>
      <c r="J134" s="281">
        <f t="shared" si="47"/>
        <v>91.43</v>
      </c>
      <c r="K134" s="282">
        <f>IF(Notes!$B$9="Domestic",I134, IF(Notes!$B$9="Commercial",J134))*$K$129</f>
        <v>182.86</v>
      </c>
      <c r="L134" s="283">
        <f>(SUM(O134:Q134)+(K134+SUM(M134:Q134))*(INDEX($U$129:$AB$129,MATCH(Notes!$C$16,$U$3:$AB$3,0))-100%))*$L$129</f>
        <v>1310.8815</v>
      </c>
      <c r="M134" s="286"/>
      <c r="N134" s="286"/>
      <c r="O134" s="311">
        <f>O133*1.55</f>
        <v>1310.8815</v>
      </c>
      <c r="P134" s="285"/>
      <c r="Q134" s="285"/>
      <c r="R134" s="278"/>
      <c r="S134" s="278"/>
      <c r="T134" s="278"/>
    </row>
    <row r="135" spans="1:28" s="305" customFormat="1" hidden="1" outlineLevel="2" x14ac:dyDescent="0.25">
      <c r="A135" s="278"/>
      <c r="B135" s="279" t="str">
        <f t="shared" si="45"/>
        <v>hip trussup to 4800mm&gt; 25 deg.</v>
      </c>
      <c r="C135" s="278" t="s">
        <v>2127</v>
      </c>
      <c r="D135" s="278" t="s">
        <v>585</v>
      </c>
      <c r="E135" s="278" t="s">
        <v>588</v>
      </c>
      <c r="F135" s="278"/>
      <c r="G135" s="278" t="s">
        <v>5</v>
      </c>
      <c r="H135" s="310">
        <v>0.25</v>
      </c>
      <c r="I135" s="280">
        <f t="shared" si="46"/>
        <v>20.155000000000001</v>
      </c>
      <c r="J135" s="281">
        <f t="shared" si="47"/>
        <v>22.857500000000002</v>
      </c>
      <c r="K135" s="282">
        <f>IF(Notes!$B$9="Domestic",I135, IF(Notes!$B$9="Commercial",J135))*$K$129</f>
        <v>45.715000000000003</v>
      </c>
      <c r="L135" s="283">
        <f>(SUM(O135:Q135)+(K135+SUM(M135:Q135))*(INDEX($U$129:$AB$129,MATCH(Notes!$C$16,$U$3:$AB$3,0))-100%))*$L$129</f>
        <v>693.24</v>
      </c>
      <c r="M135" s="286"/>
      <c r="N135" s="286"/>
      <c r="O135" s="285">
        <v>693.24</v>
      </c>
      <c r="P135" s="285"/>
      <c r="Q135" s="285"/>
      <c r="R135" s="278"/>
      <c r="S135" s="278"/>
      <c r="T135" s="278"/>
    </row>
    <row r="136" spans="1:28" s="305" customFormat="1" hidden="1" outlineLevel="2" x14ac:dyDescent="0.25">
      <c r="A136" s="278"/>
      <c r="B136" s="279" t="str">
        <f t="shared" si="45"/>
        <v>hip truss4801mm to 6000mm&gt; 25 deg.</v>
      </c>
      <c r="C136" s="278" t="s">
        <v>2127</v>
      </c>
      <c r="D136" s="278" t="s">
        <v>580</v>
      </c>
      <c r="E136" s="278" t="s">
        <v>588</v>
      </c>
      <c r="F136" s="278"/>
      <c r="G136" s="278" t="s">
        <v>5</v>
      </c>
      <c r="H136" s="310">
        <v>0.25</v>
      </c>
      <c r="I136" s="280">
        <f t="shared" si="46"/>
        <v>20.155000000000001</v>
      </c>
      <c r="J136" s="281">
        <f t="shared" si="47"/>
        <v>22.857500000000002</v>
      </c>
      <c r="K136" s="282">
        <f>IF(Notes!$B$9="Domestic",I136, IF(Notes!$B$9="Commercial",J136))*$K$129</f>
        <v>45.715000000000003</v>
      </c>
      <c r="L136" s="283">
        <f>(SUM(O136:Q136)+(K136+SUM(M136:Q136))*(INDEX($U$129:$AB$129,MATCH(Notes!$C$16,$U$3:$AB$3,0))-100%))*$L$129</f>
        <v>770.74</v>
      </c>
      <c r="M136" s="286"/>
      <c r="N136" s="286"/>
      <c r="O136" s="285">
        <v>770.74</v>
      </c>
      <c r="P136" s="285"/>
      <c r="Q136" s="285"/>
      <c r="R136" s="278"/>
      <c r="S136" s="278"/>
      <c r="T136" s="278"/>
    </row>
    <row r="137" spans="1:28" s="305" customFormat="1" hidden="1" outlineLevel="2" x14ac:dyDescent="0.25">
      <c r="A137" s="278"/>
      <c r="B137" s="279" t="str">
        <f t="shared" si="45"/>
        <v>hip truss6001mm to 9000mm&gt; 25 deg.</v>
      </c>
      <c r="C137" s="278" t="s">
        <v>2127</v>
      </c>
      <c r="D137" s="278" t="s">
        <v>586</v>
      </c>
      <c r="E137" s="278" t="s">
        <v>588</v>
      </c>
      <c r="F137" s="278"/>
      <c r="G137" s="278" t="s">
        <v>5</v>
      </c>
      <c r="H137" s="310">
        <v>0.5</v>
      </c>
      <c r="I137" s="280">
        <f t="shared" si="46"/>
        <v>40.31</v>
      </c>
      <c r="J137" s="281">
        <f t="shared" si="47"/>
        <v>45.715000000000003</v>
      </c>
      <c r="K137" s="282">
        <f>IF(Notes!$B$9="Domestic",I137, IF(Notes!$B$9="Commercial",J137))*$K$129</f>
        <v>91.43</v>
      </c>
      <c r="L137" s="283">
        <f>(SUM(O137:Q137)+(K137+SUM(M137:Q137))*(INDEX($U$129:$AB$129,MATCH(Notes!$C$16,$U$3:$AB$3,0))-100%))*$L$129</f>
        <v>825.505</v>
      </c>
      <c r="M137" s="286"/>
      <c r="N137" s="286"/>
      <c r="O137" s="285">
        <f>(O136+O138)/2</f>
        <v>825.505</v>
      </c>
      <c r="P137" s="285"/>
      <c r="Q137" s="285"/>
      <c r="R137" s="278"/>
      <c r="S137" s="278"/>
      <c r="T137" s="278"/>
    </row>
    <row r="138" spans="1:28" s="305" customFormat="1" hidden="1" outlineLevel="2" x14ac:dyDescent="0.25">
      <c r="A138" s="278"/>
      <c r="B138" s="279" t="str">
        <f t="shared" si="45"/>
        <v>hip truss9001mm to 12000mm&gt; 25 deg.</v>
      </c>
      <c r="C138" s="278" t="s">
        <v>2127</v>
      </c>
      <c r="D138" s="278" t="s">
        <v>583</v>
      </c>
      <c r="E138" s="278" t="s">
        <v>588</v>
      </c>
      <c r="F138" s="278"/>
      <c r="G138" s="278" t="s">
        <v>5</v>
      </c>
      <c r="H138" s="310">
        <v>0.75</v>
      </c>
      <c r="I138" s="280">
        <f t="shared" si="46"/>
        <v>60.465000000000003</v>
      </c>
      <c r="J138" s="281">
        <f t="shared" si="47"/>
        <v>68.572500000000005</v>
      </c>
      <c r="K138" s="282">
        <f>IF(Notes!$B$9="Domestic",I138, IF(Notes!$B$9="Commercial",J138))*$K$129</f>
        <v>137.14500000000001</v>
      </c>
      <c r="L138" s="283">
        <f>(SUM(O138:Q138)+(K138+SUM(M138:Q138))*(INDEX($U$129:$AB$129,MATCH(Notes!$C$16,$U$3:$AB$3,0))-100%))*$L$129</f>
        <v>880.27</v>
      </c>
      <c r="M138" s="286"/>
      <c r="N138" s="286"/>
      <c r="O138" s="285">
        <v>880.27</v>
      </c>
      <c r="P138" s="285"/>
      <c r="Q138" s="285"/>
      <c r="R138" s="278"/>
      <c r="S138" s="278"/>
      <c r="T138" s="278"/>
    </row>
    <row r="139" spans="1:28" s="305" customFormat="1" hidden="1" outlineLevel="2" x14ac:dyDescent="0.25">
      <c r="A139" s="278"/>
      <c r="B139" s="279" t="str">
        <f t="shared" si="45"/>
        <v>hip truss12000mm plus&gt; 25 deg.</v>
      </c>
      <c r="C139" s="278" t="s">
        <v>2127</v>
      </c>
      <c r="D139" s="278" t="s">
        <v>584</v>
      </c>
      <c r="E139" s="278" t="s">
        <v>588</v>
      </c>
      <c r="F139" s="278"/>
      <c r="G139" s="278" t="s">
        <v>5</v>
      </c>
      <c r="H139" s="310">
        <v>1</v>
      </c>
      <c r="I139" s="280">
        <f t="shared" si="46"/>
        <v>80.62</v>
      </c>
      <c r="J139" s="281">
        <f t="shared" si="47"/>
        <v>91.43</v>
      </c>
      <c r="K139" s="282">
        <f>IF(Notes!$B$9="Domestic",I139, IF(Notes!$B$9="Commercial",J139))*$K$129</f>
        <v>182.86</v>
      </c>
      <c r="L139" s="283">
        <f>(SUM(O139:Q139)+(K139+SUM(M139:Q139))*(INDEX($U$129:$AB$129,MATCH(Notes!$C$16,$U$3:$AB$3,0))-100%))*$L$129</f>
        <v>1364.4185</v>
      </c>
      <c r="M139" s="286"/>
      <c r="N139" s="286"/>
      <c r="O139" s="311">
        <f>O138*1.55</f>
        <v>1364.4185</v>
      </c>
      <c r="P139" s="285"/>
      <c r="Q139" s="285"/>
      <c r="R139" s="278"/>
      <c r="S139" s="278"/>
      <c r="T139" s="278"/>
    </row>
    <row r="140" spans="1:28" ht="21" hidden="1" outlineLevel="1" collapsed="1" x14ac:dyDescent="0.25">
      <c r="A140" s="299" t="s">
        <v>1869</v>
      </c>
      <c r="B140" s="299"/>
      <c r="C140" s="299"/>
      <c r="D140" s="299"/>
      <c r="E140" s="299"/>
      <c r="F140" s="299"/>
      <c r="G140" s="299"/>
      <c r="H140" s="348"/>
      <c r="I140" s="299"/>
      <c r="J140" s="299"/>
      <c r="K140" s="299"/>
      <c r="L140" s="299"/>
      <c r="M140" s="299"/>
      <c r="N140" s="299"/>
      <c r="O140" s="299"/>
      <c r="P140" s="299"/>
      <c r="Q140" s="299"/>
      <c r="R140" s="299"/>
      <c r="S140" s="299"/>
      <c r="T140" s="299"/>
      <c r="U140" s="299"/>
      <c r="V140" s="299"/>
      <c r="W140" s="299"/>
      <c r="X140" s="299"/>
      <c r="Y140" s="299"/>
      <c r="Z140" s="299"/>
      <c r="AA140" s="299"/>
      <c r="AB140" s="299"/>
    </row>
    <row r="141" spans="1:28" ht="15.75" hidden="1" outlineLevel="1" x14ac:dyDescent="0.25">
      <c r="A141" s="291"/>
      <c r="B141" s="291"/>
      <c r="C141" s="291"/>
      <c r="D141" s="291"/>
      <c r="E141" s="291"/>
      <c r="F141" s="291"/>
      <c r="G141" s="291"/>
      <c r="H141" s="325"/>
      <c r="I141" s="291"/>
      <c r="J141" s="291"/>
      <c r="K141" s="291">
        <v>2</v>
      </c>
      <c r="L141" s="291">
        <f>L$2</f>
        <v>1</v>
      </c>
      <c r="M141" s="291"/>
      <c r="N141" s="291"/>
      <c r="O141" s="303"/>
      <c r="P141" s="303"/>
      <c r="Q141" s="303"/>
      <c r="R141" s="291"/>
      <c r="S141" s="291"/>
      <c r="T141" s="291"/>
      <c r="U141" s="381">
        <f>U$2</f>
        <v>1.0309523809523808</v>
      </c>
      <c r="V141" s="381">
        <f>V$2</f>
        <v>1</v>
      </c>
      <c r="W141" s="381">
        <f t="shared" ref="W141:AB141" si="48">W$2</f>
        <v>1.0705952380952379</v>
      </c>
      <c r="X141" s="381">
        <f t="shared" si="48"/>
        <v>1.1199999999999999</v>
      </c>
      <c r="Y141" s="381">
        <f t="shared" si="48"/>
        <v>1.0571428571428572</v>
      </c>
      <c r="Z141" s="381">
        <f t="shared" si="48"/>
        <v>1.1299999999999999</v>
      </c>
      <c r="AA141" s="381">
        <f t="shared" si="48"/>
        <v>1.0776942355889725</v>
      </c>
      <c r="AB141" s="381">
        <f t="shared" si="48"/>
        <v>1.0325814536340854</v>
      </c>
    </row>
    <row r="142" spans="1:28" s="305" customFormat="1" ht="14.45" hidden="1" customHeight="1" outlineLevel="2" x14ac:dyDescent="0.25">
      <c r="A142" s="278"/>
      <c r="B142" s="279" t="str">
        <f>C142&amp;D142&amp;E142&amp;F142</f>
        <v>half trussup to 2400mm</v>
      </c>
      <c r="C142" s="278" t="s">
        <v>2128</v>
      </c>
      <c r="D142" s="278" t="s">
        <v>648</v>
      </c>
      <c r="E142" s="278"/>
      <c r="F142" s="278"/>
      <c r="G142" s="278" t="s">
        <v>5</v>
      </c>
      <c r="H142" s="310">
        <v>0.17</v>
      </c>
      <c r="I142" s="280">
        <f>$I$2*H142</f>
        <v>13.705400000000001</v>
      </c>
      <c r="J142" s="281">
        <f>$J$2*H142</f>
        <v>15.543100000000003</v>
      </c>
      <c r="K142" s="282">
        <f>IF(Notes!$B$9="Domestic",I142, IF(Notes!$B$9="Commercial",J142))*$K$141</f>
        <v>31.086200000000005</v>
      </c>
      <c r="L142" s="283">
        <f>(SUM(O142:Q142)+(K142+SUM(M142:Q142))*(INDEX($U$141:$AB$141,MATCH(Notes!$C$16,$U$3:$AB$3,0))-100%))*$L$141</f>
        <v>94.11</v>
      </c>
      <c r="M142" s="286"/>
      <c r="N142" s="286"/>
      <c r="O142" s="285">
        <v>94.11</v>
      </c>
      <c r="P142" s="285"/>
      <c r="Q142" s="285"/>
      <c r="R142" s="278"/>
      <c r="S142" s="278"/>
      <c r="T142" s="278"/>
      <c r="U142" s="304"/>
    </row>
    <row r="143" spans="1:28" s="305" customFormat="1" ht="14.45" hidden="1" customHeight="1" outlineLevel="2" x14ac:dyDescent="0.25">
      <c r="A143" s="278"/>
      <c r="B143" s="279" t="str">
        <f t="shared" ref="B143:B147" si="49">C143&amp;D143&amp;E143&amp;F143</f>
        <v>half truss2401mm to 3000mm</v>
      </c>
      <c r="C143" s="278" t="s">
        <v>2128</v>
      </c>
      <c r="D143" s="278" t="s">
        <v>649</v>
      </c>
      <c r="E143" s="278"/>
      <c r="F143" s="278"/>
      <c r="G143" s="278" t="s">
        <v>5</v>
      </c>
      <c r="H143" s="310">
        <v>0.17</v>
      </c>
      <c r="I143" s="280">
        <f t="shared" ref="I143:I147" si="50">$I$2*H143</f>
        <v>13.705400000000001</v>
      </c>
      <c r="J143" s="281">
        <f t="shared" ref="J143:J147" si="51">$J$2*H143</f>
        <v>15.543100000000003</v>
      </c>
      <c r="K143" s="282">
        <f>IF(Notes!$B$9="Domestic",I143, IF(Notes!$B$9="Commercial",J143))*$K$141</f>
        <v>31.086200000000005</v>
      </c>
      <c r="L143" s="283">
        <f>(SUM(O143:Q143)+(K143+SUM(M143:Q143))*(INDEX($U$141:$AB$141,MATCH(Notes!$C$16,$U$3:$AB$3,0))-100%))*$L$141</f>
        <v>118.56</v>
      </c>
      <c r="M143" s="286"/>
      <c r="N143" s="286"/>
      <c r="O143" s="285">
        <v>118.56</v>
      </c>
      <c r="P143" s="285"/>
      <c r="Q143" s="285"/>
      <c r="R143" s="278"/>
      <c r="S143" s="278"/>
      <c r="T143" s="278"/>
      <c r="U143" s="304"/>
    </row>
    <row r="144" spans="1:28" s="305" customFormat="1" ht="14.45" hidden="1" customHeight="1" outlineLevel="2" x14ac:dyDescent="0.25">
      <c r="A144" s="278"/>
      <c r="B144" s="279" t="str">
        <f t="shared" si="49"/>
        <v>half truss3001mm to 4800mm</v>
      </c>
      <c r="C144" s="278" t="s">
        <v>2128</v>
      </c>
      <c r="D144" s="278" t="s">
        <v>650</v>
      </c>
      <c r="E144" s="278"/>
      <c r="F144" s="278"/>
      <c r="G144" s="278" t="s">
        <v>5</v>
      </c>
      <c r="H144" s="310">
        <v>0.25</v>
      </c>
      <c r="I144" s="280">
        <f t="shared" si="50"/>
        <v>20.155000000000001</v>
      </c>
      <c r="J144" s="281">
        <f t="shared" si="51"/>
        <v>22.857500000000002</v>
      </c>
      <c r="K144" s="282">
        <f>IF(Notes!$B$9="Domestic",I144, IF(Notes!$B$9="Commercial",J144))*$K$141</f>
        <v>45.715000000000003</v>
      </c>
      <c r="L144" s="283">
        <f>(SUM(O144:Q144)+(K144+SUM(M144:Q144))*(INDEX($U$141:$AB$141,MATCH(Notes!$C$16,$U$3:$AB$3,0))-100%))*$L$141</f>
        <v>181.82</v>
      </c>
      <c r="M144" s="286"/>
      <c r="N144" s="286"/>
      <c r="O144" s="285">
        <v>181.82</v>
      </c>
      <c r="P144" s="285"/>
      <c r="Q144" s="285"/>
      <c r="R144" s="278"/>
      <c r="S144" s="278"/>
      <c r="T144" s="278"/>
      <c r="U144" s="304"/>
    </row>
    <row r="145" spans="1:28" s="305" customFormat="1" ht="14.45" hidden="1" customHeight="1" outlineLevel="2" x14ac:dyDescent="0.25">
      <c r="A145" s="278"/>
      <c r="B145" s="279" t="str">
        <f t="shared" si="49"/>
        <v>half truss4801mm to 6000mm</v>
      </c>
      <c r="C145" s="278" t="s">
        <v>2128</v>
      </c>
      <c r="D145" s="278" t="s">
        <v>580</v>
      </c>
      <c r="E145" s="278"/>
      <c r="F145" s="278"/>
      <c r="G145" s="278" t="s">
        <v>5</v>
      </c>
      <c r="H145" s="310">
        <v>0.25</v>
      </c>
      <c r="I145" s="280">
        <f t="shared" si="50"/>
        <v>20.155000000000001</v>
      </c>
      <c r="J145" s="281">
        <f t="shared" si="51"/>
        <v>22.857500000000002</v>
      </c>
      <c r="K145" s="282">
        <f>IF(Notes!$B$9="Domestic",I145, IF(Notes!$B$9="Commercial",J145))*$K$141</f>
        <v>45.715000000000003</v>
      </c>
      <c r="L145" s="283">
        <f>(SUM(O145:Q145)+(K145+SUM(M145:Q145))*(INDEX($U$141:$AB$141,MATCH(Notes!$C$16,$U$3:$AB$3,0))-100%))*$L$141</f>
        <v>206.09</v>
      </c>
      <c r="M145" s="286"/>
      <c r="N145" s="286"/>
      <c r="O145" s="285">
        <v>206.09</v>
      </c>
      <c r="P145" s="285"/>
      <c r="Q145" s="285"/>
      <c r="R145" s="278"/>
      <c r="S145" s="278"/>
      <c r="T145" s="278"/>
    </row>
    <row r="146" spans="1:28" s="305" customFormat="1" ht="14.45" hidden="1" customHeight="1" outlineLevel="2" x14ac:dyDescent="0.25">
      <c r="A146" s="278"/>
      <c r="B146" s="279" t="str">
        <f t="shared" si="49"/>
        <v>half truss6001mm to 9000mm</v>
      </c>
      <c r="C146" s="278" t="s">
        <v>2128</v>
      </c>
      <c r="D146" s="278" t="s">
        <v>586</v>
      </c>
      <c r="E146" s="278"/>
      <c r="F146" s="278"/>
      <c r="G146" s="278" t="s">
        <v>5</v>
      </c>
      <c r="H146" s="310">
        <v>0.5</v>
      </c>
      <c r="I146" s="280">
        <f>$I$2*H146</f>
        <v>40.31</v>
      </c>
      <c r="J146" s="281">
        <f t="shared" si="51"/>
        <v>45.715000000000003</v>
      </c>
      <c r="K146" s="282">
        <f>IF(Notes!$B$9="Domestic",I146, IF(Notes!$B$9="Commercial",J146))*$K$141</f>
        <v>91.43</v>
      </c>
      <c r="L146" s="283">
        <f>(SUM(O146:Q146)+(K146+SUM(M146:Q146))*(INDEX($U$141:$AB$141,MATCH(Notes!$C$16,$U$3:$AB$3,0))-100%))*$L$141</f>
        <v>321.94</v>
      </c>
      <c r="M146" s="286"/>
      <c r="N146" s="286"/>
      <c r="O146" s="285">
        <v>321.94</v>
      </c>
      <c r="P146" s="285"/>
      <c r="Q146" s="285"/>
      <c r="R146" s="278"/>
      <c r="S146" s="278"/>
      <c r="T146" s="278"/>
    </row>
    <row r="147" spans="1:28" s="305" customFormat="1" ht="14.45" hidden="1" customHeight="1" outlineLevel="2" x14ac:dyDescent="0.25">
      <c r="A147" s="278"/>
      <c r="B147" s="279" t="str">
        <f t="shared" si="49"/>
        <v>half truss9000mm plus</v>
      </c>
      <c r="C147" s="278" t="s">
        <v>2128</v>
      </c>
      <c r="D147" s="278" t="s">
        <v>651</v>
      </c>
      <c r="E147" s="278"/>
      <c r="F147" s="278"/>
      <c r="G147" s="278" t="s">
        <v>5</v>
      </c>
      <c r="H147" s="310">
        <v>0.75</v>
      </c>
      <c r="I147" s="280">
        <f t="shared" si="50"/>
        <v>60.465000000000003</v>
      </c>
      <c r="J147" s="281">
        <f t="shared" si="51"/>
        <v>68.572500000000005</v>
      </c>
      <c r="K147" s="282">
        <f>IF(Notes!$B$9="Domestic",I147, IF(Notes!$B$9="Commercial",J147))*$K$141</f>
        <v>137.14500000000001</v>
      </c>
      <c r="L147" s="283">
        <f>(SUM(O147:Q147)+(K147+SUM(M147:Q147))*(INDEX($U$141:$AB$141,MATCH(Notes!$C$16,$U$3:$AB$3,0))-100%))*$L$141</f>
        <v>499.00700000000001</v>
      </c>
      <c r="M147" s="286"/>
      <c r="N147" s="286"/>
      <c r="O147" s="311">
        <f>O146*1.55</f>
        <v>499.00700000000001</v>
      </c>
      <c r="P147" s="285"/>
      <c r="Q147" s="285"/>
      <c r="R147" s="278"/>
      <c r="S147" s="278"/>
      <c r="T147" s="278"/>
    </row>
    <row r="148" spans="1:28" ht="21" hidden="1" outlineLevel="1" collapsed="1" x14ac:dyDescent="0.25">
      <c r="A148" s="299" t="s">
        <v>1872</v>
      </c>
      <c r="B148" s="299"/>
      <c r="C148" s="299"/>
      <c r="D148" s="299"/>
      <c r="E148" s="299"/>
      <c r="F148" s="299"/>
      <c r="G148" s="299"/>
      <c r="H148" s="348"/>
      <c r="I148" s="299"/>
      <c r="J148" s="299"/>
      <c r="K148" s="299"/>
      <c r="L148" s="299"/>
      <c r="M148" s="299"/>
      <c r="N148" s="299"/>
      <c r="O148" s="299"/>
      <c r="P148" s="299"/>
      <c r="Q148" s="299"/>
      <c r="R148" s="299"/>
      <c r="S148" s="299"/>
      <c r="T148" s="299"/>
      <c r="U148" s="299"/>
      <c r="V148" s="299"/>
      <c r="W148" s="299"/>
      <c r="X148" s="299"/>
      <c r="Y148" s="299"/>
      <c r="Z148" s="299"/>
      <c r="AA148" s="299"/>
      <c r="AB148" s="299"/>
    </row>
    <row r="149" spans="1:28" ht="15.75" hidden="1" outlineLevel="1" x14ac:dyDescent="0.25">
      <c r="A149" s="291"/>
      <c r="B149" s="291"/>
      <c r="C149" s="291"/>
      <c r="D149" s="291"/>
      <c r="E149" s="291"/>
      <c r="F149" s="291"/>
      <c r="G149" s="291"/>
      <c r="H149" s="325"/>
      <c r="I149" s="291"/>
      <c r="J149" s="291"/>
      <c r="K149" s="291">
        <v>2</v>
      </c>
      <c r="L149" s="291">
        <f>L$2</f>
        <v>1</v>
      </c>
      <c r="M149" s="291"/>
      <c r="N149" s="291"/>
      <c r="O149" s="303"/>
      <c r="P149" s="303"/>
      <c r="Q149" s="303"/>
      <c r="R149" s="291"/>
      <c r="S149" s="291"/>
      <c r="T149" s="291"/>
      <c r="U149" s="381">
        <f>U$2</f>
        <v>1.0309523809523808</v>
      </c>
      <c r="V149" s="381">
        <f>V$2</f>
        <v>1</v>
      </c>
      <c r="W149" s="381">
        <f t="shared" ref="W149:AB149" si="52">W$2</f>
        <v>1.0705952380952379</v>
      </c>
      <c r="X149" s="381">
        <f t="shared" si="52"/>
        <v>1.1199999999999999</v>
      </c>
      <c r="Y149" s="381">
        <f t="shared" si="52"/>
        <v>1.0571428571428572</v>
      </c>
      <c r="Z149" s="381">
        <f t="shared" si="52"/>
        <v>1.1299999999999999</v>
      </c>
      <c r="AA149" s="381">
        <f t="shared" si="52"/>
        <v>1.0776942355889725</v>
      </c>
      <c r="AB149" s="381">
        <f t="shared" si="52"/>
        <v>1.0325814536340854</v>
      </c>
    </row>
    <row r="150" spans="1:28" s="305" customFormat="1" hidden="1" outlineLevel="2" x14ac:dyDescent="0.25">
      <c r="A150" s="278"/>
      <c r="B150" s="279" t="str">
        <f>C150&amp;D150&amp;E150&amp;F150</f>
        <v>450mm90x45mm&lt;= 25 deg.</v>
      </c>
      <c r="C150" s="278" t="s">
        <v>1865</v>
      </c>
      <c r="D150" s="278" t="s">
        <v>1938</v>
      </c>
      <c r="E150" s="278" t="s">
        <v>587</v>
      </c>
      <c r="F150" s="278"/>
      <c r="G150" s="278" t="s">
        <v>11</v>
      </c>
      <c r="H150" s="310">
        <v>0.12</v>
      </c>
      <c r="I150" s="280">
        <f>$I$2*H150</f>
        <v>9.6744000000000003</v>
      </c>
      <c r="J150" s="281">
        <f>$J$2*H150</f>
        <v>10.9716</v>
      </c>
      <c r="K150" s="282">
        <f>IF(Notes!$B$9="Domestic",I150, IF(Notes!$B$9="Commercial",J150))*$K$149</f>
        <v>21.943200000000001</v>
      </c>
      <c r="L150" s="283">
        <f>(SUM(O150:Q150)+(K150+SUM(M150:Q150))*(INDEX($U$149:$AB$149,MATCH(Notes!$C$16,$U$3:$AB$3,0))-100%))*$L$149</f>
        <v>100.78</v>
      </c>
      <c r="M150" s="286"/>
      <c r="N150" s="286"/>
      <c r="O150" s="285">
        <v>100.78</v>
      </c>
      <c r="P150" s="285"/>
      <c r="Q150" s="285"/>
      <c r="R150" s="278"/>
      <c r="S150" s="278"/>
      <c r="T150" s="278"/>
    </row>
    <row r="151" spans="1:28" s="305" customFormat="1" hidden="1" outlineLevel="2" x14ac:dyDescent="0.25">
      <c r="A151" s="278"/>
      <c r="B151" s="279" t="str">
        <f t="shared" ref="B151:B156" si="53">C151&amp;D151&amp;E151&amp;F151</f>
        <v>450mm120x45mm&lt;= 25 deg.</v>
      </c>
      <c r="C151" s="278" t="s">
        <v>1865</v>
      </c>
      <c r="D151" s="278" t="s">
        <v>2037</v>
      </c>
      <c r="E151" s="278" t="s">
        <v>587</v>
      </c>
      <c r="F151" s="278"/>
      <c r="G151" s="278" t="s">
        <v>11</v>
      </c>
      <c r="H151" s="310">
        <v>0.12</v>
      </c>
      <c r="I151" s="280">
        <f t="shared" ref="I151:I156" si="54">$I$2*H151</f>
        <v>9.6744000000000003</v>
      </c>
      <c r="J151" s="281">
        <f t="shared" ref="J151:J156" si="55">$J$2*H151</f>
        <v>10.9716</v>
      </c>
      <c r="K151" s="282">
        <f>IF(Notes!$B$9="Domestic",I151, IF(Notes!$B$9="Commercial",J151))*$K$149</f>
        <v>21.943200000000001</v>
      </c>
      <c r="L151" s="283">
        <f>(SUM(O151:Q151)+(K151+SUM(M151:Q151))*(INDEX($U$149:$AB$149,MATCH(Notes!$C$16,$U$3:$AB$3,0))-100%))*$L$149</f>
        <v>130.66</v>
      </c>
      <c r="M151" s="286"/>
      <c r="N151" s="286"/>
      <c r="O151" s="285">
        <v>130.66</v>
      </c>
      <c r="P151" s="285"/>
      <c r="Q151" s="285"/>
      <c r="R151" s="278"/>
      <c r="S151" s="278"/>
      <c r="T151" s="278"/>
    </row>
    <row r="152" spans="1:28" s="305" customFormat="1" hidden="1" outlineLevel="2" x14ac:dyDescent="0.25">
      <c r="A152" s="278"/>
      <c r="B152" s="279" t="str">
        <f t="shared" si="53"/>
        <v>450mm130x45mm&lt;= 25 deg.</v>
      </c>
      <c r="C152" s="278" t="s">
        <v>1865</v>
      </c>
      <c r="D152" s="278" t="s">
        <v>1959</v>
      </c>
      <c r="E152" s="278" t="s">
        <v>587</v>
      </c>
      <c r="F152" s="278"/>
      <c r="G152" s="278" t="s">
        <v>11</v>
      </c>
      <c r="H152" s="310">
        <v>0.12</v>
      </c>
      <c r="I152" s="280">
        <f t="shared" si="54"/>
        <v>9.6744000000000003</v>
      </c>
      <c r="J152" s="281">
        <f t="shared" si="55"/>
        <v>10.9716</v>
      </c>
      <c r="K152" s="282">
        <f>IF(Notes!$B$9="Domestic",I152, IF(Notes!$B$9="Commercial",J152))*$K$149</f>
        <v>21.943200000000001</v>
      </c>
      <c r="L152" s="283">
        <f>(SUM(O152:Q152)+(K152+SUM(M152:Q152))*(INDEX($U$149:$AB$149,MATCH(Notes!$C$16,$U$3:$AB$3,0))-100%))*$L$149</f>
        <v>131.9666</v>
      </c>
      <c r="M152" s="286"/>
      <c r="N152" s="286"/>
      <c r="O152" s="311">
        <f>O151*1.01</f>
        <v>131.9666</v>
      </c>
      <c r="P152" s="285"/>
      <c r="Q152" s="285"/>
      <c r="R152" s="278"/>
      <c r="S152" s="278"/>
      <c r="T152" s="278"/>
    </row>
    <row r="153" spans="1:28" s="305" customFormat="1" hidden="1" outlineLevel="2" x14ac:dyDescent="0.25">
      <c r="A153" s="278"/>
      <c r="B153" s="279" t="str">
        <f t="shared" si="53"/>
        <v>450mm140x45mm&lt;= 25 deg.</v>
      </c>
      <c r="C153" s="278" t="s">
        <v>1865</v>
      </c>
      <c r="D153" s="278" t="s">
        <v>1940</v>
      </c>
      <c r="E153" s="278" t="s">
        <v>587</v>
      </c>
      <c r="F153" s="278"/>
      <c r="G153" s="278" t="s">
        <v>11</v>
      </c>
      <c r="H153" s="310">
        <v>0.12</v>
      </c>
      <c r="I153" s="280">
        <f t="shared" si="54"/>
        <v>9.6744000000000003</v>
      </c>
      <c r="J153" s="281">
        <f t="shared" si="55"/>
        <v>10.9716</v>
      </c>
      <c r="K153" s="282">
        <f>IF(Notes!$B$9="Domestic",I153, IF(Notes!$B$9="Commercial",J153))*$K$149</f>
        <v>21.943200000000001</v>
      </c>
      <c r="L153" s="283">
        <f>(SUM(O153:Q153)+(K153+SUM(M153:Q153))*(INDEX($U$149:$AB$149,MATCH(Notes!$C$16,$U$3:$AB$3,0))-100%))*$L$149</f>
        <v>145.93</v>
      </c>
      <c r="M153" s="286"/>
      <c r="N153" s="286"/>
      <c r="O153" s="285">
        <v>145.93</v>
      </c>
      <c r="P153" s="285"/>
      <c r="Q153" s="285"/>
      <c r="R153" s="278"/>
      <c r="S153" s="278"/>
      <c r="T153" s="278"/>
    </row>
    <row r="154" spans="1:28" s="305" customFormat="1" hidden="1" outlineLevel="2" x14ac:dyDescent="0.25">
      <c r="A154" s="278"/>
      <c r="B154" s="279" t="str">
        <f t="shared" si="53"/>
        <v>450mm150x45mm&lt;= 25 deg.</v>
      </c>
      <c r="C154" s="278" t="s">
        <v>1865</v>
      </c>
      <c r="D154" s="278" t="s">
        <v>1962</v>
      </c>
      <c r="E154" s="278" t="s">
        <v>587</v>
      </c>
      <c r="F154" s="278"/>
      <c r="G154" s="278" t="s">
        <v>11</v>
      </c>
      <c r="H154" s="310">
        <v>0.12</v>
      </c>
      <c r="I154" s="280">
        <f>$I$2*H154</f>
        <v>9.6744000000000003</v>
      </c>
      <c r="J154" s="281">
        <f t="shared" si="55"/>
        <v>10.9716</v>
      </c>
      <c r="K154" s="282">
        <f>IF(Notes!$B$9="Domestic",I154, IF(Notes!$B$9="Commercial",J154))*$K$149</f>
        <v>21.943200000000001</v>
      </c>
      <c r="L154" s="283">
        <f>(SUM(O154:Q154)+(K154+SUM(M154:Q154))*(INDEX($U$149:$AB$149,MATCH(Notes!$C$16,$U$3:$AB$3,0))-100%))*$L$149</f>
        <v>147.38930000000002</v>
      </c>
      <c r="M154" s="286"/>
      <c r="N154" s="286"/>
      <c r="O154" s="311">
        <f>O153*1.01</f>
        <v>147.38930000000002</v>
      </c>
      <c r="P154" s="285"/>
      <c r="Q154" s="285"/>
      <c r="R154" s="278"/>
      <c r="S154" s="278"/>
      <c r="T154" s="278"/>
    </row>
    <row r="155" spans="1:28" s="305" customFormat="1" hidden="1" outlineLevel="2" x14ac:dyDescent="0.25">
      <c r="A155" s="278"/>
      <c r="B155" s="279" t="str">
        <f t="shared" si="53"/>
        <v>450mm170x45mm&lt;= 25 deg.</v>
      </c>
      <c r="C155" s="278" t="s">
        <v>1865</v>
      </c>
      <c r="D155" s="278" t="s">
        <v>1965</v>
      </c>
      <c r="E155" s="278" t="s">
        <v>587</v>
      </c>
      <c r="F155" s="278"/>
      <c r="G155" s="278" t="s">
        <v>11</v>
      </c>
      <c r="H155" s="310">
        <v>0.12</v>
      </c>
      <c r="I155" s="280">
        <f t="shared" si="54"/>
        <v>9.6744000000000003</v>
      </c>
      <c r="J155" s="281">
        <f t="shared" si="55"/>
        <v>10.9716</v>
      </c>
      <c r="K155" s="282">
        <f>IF(Notes!$B$9="Domestic",I155, IF(Notes!$B$9="Commercial",J155))*$K$149</f>
        <v>21.943200000000001</v>
      </c>
      <c r="L155" s="283">
        <f>(SUM(O155:Q155)+(K155+SUM(M155:Q155))*(INDEX($U$149:$AB$149,MATCH(Notes!$C$16,$U$3:$AB$3,0))-100%))*$L$149</f>
        <v>160.86000000000001</v>
      </c>
      <c r="M155" s="286"/>
      <c r="N155" s="286"/>
      <c r="O155" s="285">
        <v>160.86000000000001</v>
      </c>
      <c r="P155" s="285"/>
      <c r="Q155" s="285"/>
      <c r="R155" s="278"/>
      <c r="S155" s="278"/>
      <c r="T155" s="278"/>
    </row>
    <row r="156" spans="1:28" s="305" customFormat="1" hidden="1" outlineLevel="2" x14ac:dyDescent="0.25">
      <c r="A156" s="278"/>
      <c r="B156" s="279" t="str">
        <f t="shared" si="53"/>
        <v>450mm200x45mm&lt;= 25 deg.</v>
      </c>
      <c r="C156" s="278" t="s">
        <v>1865</v>
      </c>
      <c r="D156" s="278" t="s">
        <v>1945</v>
      </c>
      <c r="E156" s="278" t="s">
        <v>587</v>
      </c>
      <c r="F156" s="278"/>
      <c r="G156" s="278" t="s">
        <v>11</v>
      </c>
      <c r="H156" s="310">
        <v>0.14000000000000001</v>
      </c>
      <c r="I156" s="280">
        <f t="shared" si="54"/>
        <v>11.286800000000001</v>
      </c>
      <c r="J156" s="281">
        <f t="shared" si="55"/>
        <v>12.800200000000002</v>
      </c>
      <c r="K156" s="282">
        <f>IF(Notes!$B$9="Domestic",I156, IF(Notes!$B$9="Commercial",J156))*$K$149</f>
        <v>25.600400000000004</v>
      </c>
      <c r="L156" s="283">
        <f>(SUM(O156:Q156)+(K156+SUM(M156:Q156))*(INDEX($U$149:$AB$149,MATCH(Notes!$C$16,$U$3:$AB$3,0))-100%))*$L$149</f>
        <v>183.53</v>
      </c>
      <c r="M156" s="286"/>
      <c r="N156" s="286"/>
      <c r="O156" s="285">
        <v>183.53</v>
      </c>
      <c r="P156" s="285"/>
      <c r="Q156" s="285"/>
      <c r="R156" s="278"/>
      <c r="S156" s="278"/>
      <c r="T156" s="278"/>
    </row>
    <row r="157" spans="1:28" s="305" customFormat="1" hidden="1" outlineLevel="2" x14ac:dyDescent="0.25">
      <c r="A157" s="278"/>
      <c r="B157" s="279" t="str">
        <f t="shared" ref="B157:B220" si="56">C157&amp;D157&amp;E157&amp;F157</f>
        <v>450mm240x45mm&lt;= 25 deg.</v>
      </c>
      <c r="C157" s="278" t="s">
        <v>1865</v>
      </c>
      <c r="D157" s="278" t="s">
        <v>1943</v>
      </c>
      <c r="E157" s="278" t="s">
        <v>587</v>
      </c>
      <c r="F157" s="278"/>
      <c r="G157" s="278" t="s">
        <v>11</v>
      </c>
      <c r="H157" s="310">
        <v>0.14000000000000001</v>
      </c>
      <c r="I157" s="280">
        <f t="shared" ref="I157:I220" si="57">$I$2*H157</f>
        <v>11.286800000000001</v>
      </c>
      <c r="J157" s="281">
        <f t="shared" ref="J157:J220" si="58">$J$2*H157</f>
        <v>12.800200000000002</v>
      </c>
      <c r="K157" s="282">
        <f>IF(Notes!$B$9="Domestic",I157, IF(Notes!$B$9="Commercial",J157))*$K$149</f>
        <v>25.600400000000004</v>
      </c>
      <c r="L157" s="283">
        <f>(SUM(O157:Q157)+(K157+SUM(M157:Q157))*(INDEX($U$149:$AB$149,MATCH(Notes!$C$16,$U$3:$AB$3,0))-100%))*$L$149</f>
        <v>213.95</v>
      </c>
      <c r="M157" s="286"/>
      <c r="N157" s="286"/>
      <c r="O157" s="285">
        <v>213.95</v>
      </c>
      <c r="P157" s="285"/>
      <c r="Q157" s="285"/>
      <c r="R157" s="278"/>
      <c r="S157" s="278"/>
      <c r="T157" s="278"/>
    </row>
    <row r="158" spans="1:28" s="305" customFormat="1" hidden="1" outlineLevel="2" x14ac:dyDescent="0.25">
      <c r="A158" s="278"/>
      <c r="B158" s="279" t="str">
        <f t="shared" si="56"/>
        <v>450mm300x45mm&lt;= 25 deg.</v>
      </c>
      <c r="C158" s="278" t="s">
        <v>1865</v>
      </c>
      <c r="D158" s="278" t="s">
        <v>1950</v>
      </c>
      <c r="E158" s="278" t="s">
        <v>587</v>
      </c>
      <c r="F158" s="278"/>
      <c r="G158" s="278" t="s">
        <v>11</v>
      </c>
      <c r="H158" s="310">
        <v>0.14000000000000001</v>
      </c>
      <c r="I158" s="280">
        <f t="shared" si="57"/>
        <v>11.286800000000001</v>
      </c>
      <c r="J158" s="281">
        <f t="shared" si="58"/>
        <v>12.800200000000002</v>
      </c>
      <c r="K158" s="282">
        <f>IF(Notes!$B$9="Domestic",I158, IF(Notes!$B$9="Commercial",J158))*$K$149</f>
        <v>25.600400000000004</v>
      </c>
      <c r="L158" s="283">
        <f>(SUM(O158:Q158)+(K158+SUM(M158:Q158))*(INDEX($U$149:$AB$149,MATCH(Notes!$C$16,$U$3:$AB$3,0))-100%))*$L$149</f>
        <v>259.19</v>
      </c>
      <c r="M158" s="286"/>
      <c r="N158" s="286"/>
      <c r="O158" s="285">
        <v>259.19</v>
      </c>
      <c r="P158" s="285"/>
      <c r="Q158" s="285"/>
      <c r="R158" s="278"/>
      <c r="S158" s="278"/>
      <c r="T158" s="278"/>
    </row>
    <row r="159" spans="1:28" s="305" customFormat="1" hidden="1" outlineLevel="2" x14ac:dyDescent="0.25">
      <c r="A159" s="278"/>
      <c r="B159" s="279" t="str">
        <f t="shared" si="56"/>
        <v>450mm300x64mm&lt;= 25 deg.</v>
      </c>
      <c r="C159" s="278" t="s">
        <v>1865</v>
      </c>
      <c r="D159" s="278" t="s">
        <v>2038</v>
      </c>
      <c r="E159" s="278" t="s">
        <v>587</v>
      </c>
      <c r="F159" s="278"/>
      <c r="G159" s="278" t="s">
        <v>11</v>
      </c>
      <c r="H159" s="310">
        <v>0.14000000000000001</v>
      </c>
      <c r="I159" s="280">
        <f t="shared" si="57"/>
        <v>11.286800000000001</v>
      </c>
      <c r="J159" s="281">
        <f t="shared" si="58"/>
        <v>12.800200000000002</v>
      </c>
      <c r="K159" s="282">
        <f>IF(Notes!$B$9="Domestic",I159, IF(Notes!$B$9="Commercial",J159))*$K$149</f>
        <v>25.600400000000004</v>
      </c>
      <c r="L159" s="283">
        <f>(SUM(O159:Q159)+(K159+SUM(M159:Q159))*(INDEX($U$149:$AB$149,MATCH(Notes!$C$16,$U$3:$AB$3,0))-100%))*$L$149</f>
        <v>344.82</v>
      </c>
      <c r="M159" s="286"/>
      <c r="N159" s="286"/>
      <c r="O159" s="285">
        <v>344.82</v>
      </c>
      <c r="P159" s="285"/>
      <c r="Q159" s="285"/>
      <c r="R159" s="278"/>
      <c r="S159" s="278"/>
      <c r="T159" s="278"/>
    </row>
    <row r="160" spans="1:28" s="305" customFormat="1" hidden="1" outlineLevel="2" x14ac:dyDescent="0.25">
      <c r="A160" s="278"/>
      <c r="B160" s="279" t="str">
        <f t="shared" si="56"/>
        <v>450mm360x45mm&lt;= 25 deg.</v>
      </c>
      <c r="C160" s="278" t="s">
        <v>1865</v>
      </c>
      <c r="D160" s="278" t="s">
        <v>1971</v>
      </c>
      <c r="E160" s="278" t="s">
        <v>587</v>
      </c>
      <c r="F160" s="278"/>
      <c r="G160" s="278" t="s">
        <v>11</v>
      </c>
      <c r="H160" s="310">
        <v>0.14000000000000001</v>
      </c>
      <c r="I160" s="280">
        <f t="shared" si="57"/>
        <v>11.286800000000001</v>
      </c>
      <c r="J160" s="281">
        <f t="shared" si="58"/>
        <v>12.800200000000002</v>
      </c>
      <c r="K160" s="282">
        <f>IF(Notes!$B$9="Domestic",I160, IF(Notes!$B$9="Commercial",J160))*$K$149</f>
        <v>25.600400000000004</v>
      </c>
      <c r="L160" s="283">
        <f>(SUM(O160:Q160)+(K160+SUM(M160:Q160))*(INDEX($U$149:$AB$149,MATCH(Notes!$C$16,$U$3:$AB$3,0))-100%))*$L$149</f>
        <v>304.06</v>
      </c>
      <c r="M160" s="286"/>
      <c r="N160" s="286"/>
      <c r="O160" s="285">
        <v>304.06</v>
      </c>
      <c r="P160" s="285"/>
      <c r="Q160" s="285"/>
      <c r="R160" s="278"/>
      <c r="S160" s="278"/>
      <c r="T160" s="278"/>
    </row>
    <row r="161" spans="1:20" s="305" customFormat="1" hidden="1" outlineLevel="2" x14ac:dyDescent="0.25">
      <c r="A161" s="278"/>
      <c r="B161" s="279" t="str">
        <f t="shared" si="56"/>
        <v>450mm360x63mm&lt;= 25 deg.</v>
      </c>
      <c r="C161" s="278" t="s">
        <v>1865</v>
      </c>
      <c r="D161" s="278" t="s">
        <v>1953</v>
      </c>
      <c r="E161" s="278" t="s">
        <v>587</v>
      </c>
      <c r="F161" s="278"/>
      <c r="G161" s="278" t="s">
        <v>11</v>
      </c>
      <c r="H161" s="310">
        <v>0.14000000000000001</v>
      </c>
      <c r="I161" s="280">
        <f t="shared" si="57"/>
        <v>11.286800000000001</v>
      </c>
      <c r="J161" s="281">
        <f t="shared" si="58"/>
        <v>12.800200000000002</v>
      </c>
      <c r="K161" s="282">
        <f>IF(Notes!$B$9="Domestic",I161, IF(Notes!$B$9="Commercial",J161))*$K$149</f>
        <v>25.600400000000004</v>
      </c>
      <c r="L161" s="283">
        <f>(SUM(O161:Q161)+(K161+SUM(M161:Q161))*(INDEX($U$149:$AB$149,MATCH(Notes!$C$16,$U$3:$AB$3,0))-100%))*$L$149</f>
        <v>407.16</v>
      </c>
      <c r="M161" s="286"/>
      <c r="N161" s="286"/>
      <c r="O161" s="285">
        <v>407.16</v>
      </c>
      <c r="P161" s="285"/>
      <c r="Q161" s="285"/>
      <c r="R161" s="278"/>
      <c r="S161" s="278"/>
      <c r="T161" s="278"/>
    </row>
    <row r="162" spans="1:20" s="305" customFormat="1" hidden="1" outlineLevel="2" x14ac:dyDescent="0.25">
      <c r="A162" s="278"/>
      <c r="B162" s="279" t="str">
        <f t="shared" si="56"/>
        <v>450mm400x45mm&lt;= 25 deg.</v>
      </c>
      <c r="C162" s="278" t="s">
        <v>1865</v>
      </c>
      <c r="D162" s="278" t="s">
        <v>1972</v>
      </c>
      <c r="E162" s="278" t="s">
        <v>587</v>
      </c>
      <c r="F162" s="278"/>
      <c r="G162" s="278" t="s">
        <v>11</v>
      </c>
      <c r="H162" s="310">
        <v>0.14000000000000001</v>
      </c>
      <c r="I162" s="280">
        <f t="shared" si="57"/>
        <v>11.286800000000001</v>
      </c>
      <c r="J162" s="281">
        <f t="shared" si="58"/>
        <v>12.800200000000002</v>
      </c>
      <c r="K162" s="282">
        <f>IF(Notes!$B$9="Domestic",I162, IF(Notes!$B$9="Commercial",J162))*$K$149</f>
        <v>25.600400000000004</v>
      </c>
      <c r="L162" s="283">
        <f>(SUM(O162:Q162)+(K162+SUM(M162:Q162))*(INDEX($U$149:$AB$149,MATCH(Notes!$C$16,$U$3:$AB$3,0))-100%))*$L$149</f>
        <v>333.97</v>
      </c>
      <c r="M162" s="286"/>
      <c r="N162" s="286"/>
      <c r="O162" s="285">
        <v>333.97</v>
      </c>
      <c r="P162" s="285"/>
      <c r="Q162" s="285"/>
      <c r="R162" s="278"/>
      <c r="S162" s="278"/>
      <c r="T162" s="278"/>
    </row>
    <row r="163" spans="1:20" s="305" customFormat="1" hidden="1" outlineLevel="2" x14ac:dyDescent="0.25">
      <c r="A163" s="278"/>
      <c r="B163" s="279" t="str">
        <f t="shared" si="56"/>
        <v>450mm400x75mm&lt;= 25 deg.</v>
      </c>
      <c r="C163" s="278" t="s">
        <v>1865</v>
      </c>
      <c r="D163" s="278" t="s">
        <v>1974</v>
      </c>
      <c r="E163" s="278" t="s">
        <v>587</v>
      </c>
      <c r="F163" s="278"/>
      <c r="G163" s="278" t="s">
        <v>11</v>
      </c>
      <c r="H163" s="310">
        <v>0.14000000000000001</v>
      </c>
      <c r="I163" s="280">
        <f t="shared" si="57"/>
        <v>11.286800000000001</v>
      </c>
      <c r="J163" s="281">
        <f t="shared" si="58"/>
        <v>12.800200000000002</v>
      </c>
      <c r="K163" s="282">
        <f>IF(Notes!$B$9="Domestic",I163, IF(Notes!$B$9="Commercial",J163))*$K$149</f>
        <v>25.600400000000004</v>
      </c>
      <c r="L163" s="283">
        <f>(SUM(O163:Q163)+(K163+SUM(M163:Q163))*(INDEX($U$149:$AB$149,MATCH(Notes!$C$16,$U$3:$AB$3,0))-100%))*$L$149</f>
        <v>594.75</v>
      </c>
      <c r="M163" s="286"/>
      <c r="N163" s="286"/>
      <c r="O163" s="285">
        <v>594.75</v>
      </c>
      <c r="P163" s="285"/>
      <c r="Q163" s="285"/>
      <c r="R163" s="278"/>
      <c r="S163" s="278"/>
      <c r="T163" s="278"/>
    </row>
    <row r="164" spans="1:20" s="305" customFormat="1" hidden="1" outlineLevel="2" x14ac:dyDescent="0.25">
      <c r="A164" s="278"/>
      <c r="B164" s="279" t="str">
        <f t="shared" si="56"/>
        <v>450mm90x45mm&gt; 25 deg.</v>
      </c>
      <c r="C164" s="278" t="s">
        <v>1865</v>
      </c>
      <c r="D164" s="278" t="s">
        <v>1938</v>
      </c>
      <c r="E164" s="278" t="s">
        <v>588</v>
      </c>
      <c r="F164" s="278"/>
      <c r="G164" s="278" t="s">
        <v>11</v>
      </c>
      <c r="H164" s="310">
        <v>0.13</v>
      </c>
      <c r="I164" s="280">
        <f t="shared" si="57"/>
        <v>10.480600000000001</v>
      </c>
      <c r="J164" s="281">
        <f t="shared" si="58"/>
        <v>11.885900000000001</v>
      </c>
      <c r="K164" s="282">
        <f>IF(Notes!$B$9="Domestic",I164, IF(Notes!$B$9="Commercial",J164))*$K$149</f>
        <v>23.771800000000002</v>
      </c>
      <c r="L164" s="283">
        <f>(SUM(O164:Q164)+(K164+SUM(M164:Q164))*(INDEX($U$149:$AB$149,MATCH(Notes!$C$16,$U$3:$AB$3,0))-100%))*$L$149</f>
        <v>112.6</v>
      </c>
      <c r="M164" s="286"/>
      <c r="N164" s="286"/>
      <c r="O164" s="285">
        <v>112.6</v>
      </c>
      <c r="P164" s="285"/>
      <c r="Q164" s="285"/>
      <c r="R164" s="278"/>
      <c r="S164" s="278"/>
      <c r="T164" s="278"/>
    </row>
    <row r="165" spans="1:20" s="305" customFormat="1" hidden="1" outlineLevel="2" x14ac:dyDescent="0.25">
      <c r="A165" s="278"/>
      <c r="B165" s="279" t="str">
        <f t="shared" si="56"/>
        <v>450mm120x45mm&gt; 25 deg.</v>
      </c>
      <c r="C165" s="278" t="s">
        <v>1865</v>
      </c>
      <c r="D165" s="278" t="s">
        <v>2037</v>
      </c>
      <c r="E165" s="278" t="s">
        <v>588</v>
      </c>
      <c r="F165" s="278"/>
      <c r="G165" s="278" t="s">
        <v>11</v>
      </c>
      <c r="H165" s="310">
        <v>0.13</v>
      </c>
      <c r="I165" s="280">
        <f t="shared" si="57"/>
        <v>10.480600000000001</v>
      </c>
      <c r="J165" s="281">
        <f t="shared" si="58"/>
        <v>11.885900000000001</v>
      </c>
      <c r="K165" s="282">
        <f>IF(Notes!$B$9="Domestic",I165, IF(Notes!$B$9="Commercial",J165))*$K$149</f>
        <v>23.771800000000002</v>
      </c>
      <c r="L165" s="283">
        <f>(SUM(O165:Q165)+(K165+SUM(M165:Q165))*(INDEX($U$149:$AB$149,MATCH(Notes!$C$16,$U$3:$AB$3,0))-100%))*$L$149</f>
        <v>145.87</v>
      </c>
      <c r="M165" s="286"/>
      <c r="N165" s="286"/>
      <c r="O165" s="285">
        <v>145.87</v>
      </c>
      <c r="P165" s="285"/>
      <c r="Q165" s="285"/>
      <c r="R165" s="278"/>
      <c r="S165" s="278"/>
      <c r="T165" s="278"/>
    </row>
    <row r="166" spans="1:20" s="305" customFormat="1" hidden="1" outlineLevel="2" x14ac:dyDescent="0.25">
      <c r="A166" s="278"/>
      <c r="B166" s="279" t="str">
        <f t="shared" si="56"/>
        <v>450mm130x45mm&gt; 25 deg.</v>
      </c>
      <c r="C166" s="278" t="s">
        <v>1865</v>
      </c>
      <c r="D166" s="278" t="s">
        <v>1959</v>
      </c>
      <c r="E166" s="278" t="s">
        <v>588</v>
      </c>
      <c r="F166" s="278"/>
      <c r="G166" s="278" t="s">
        <v>11</v>
      </c>
      <c r="H166" s="310">
        <v>0.13</v>
      </c>
      <c r="I166" s="280">
        <f t="shared" si="57"/>
        <v>10.480600000000001</v>
      </c>
      <c r="J166" s="281">
        <f t="shared" si="58"/>
        <v>11.885900000000001</v>
      </c>
      <c r="K166" s="282">
        <f>IF(Notes!$B$9="Domestic",I166, IF(Notes!$B$9="Commercial",J166))*$K$149</f>
        <v>23.771800000000002</v>
      </c>
      <c r="L166" s="283">
        <f>(SUM(O166:Q166)+(K166+SUM(M166:Q166))*(INDEX($U$149:$AB$149,MATCH(Notes!$C$16,$U$3:$AB$3,0))-100%))*$L$149</f>
        <v>147.3287</v>
      </c>
      <c r="M166" s="286"/>
      <c r="N166" s="286"/>
      <c r="O166" s="311">
        <f>O165*1.01</f>
        <v>147.3287</v>
      </c>
      <c r="P166" s="285"/>
      <c r="Q166" s="285"/>
      <c r="R166" s="278"/>
      <c r="S166" s="278"/>
      <c r="T166" s="278"/>
    </row>
    <row r="167" spans="1:20" s="305" customFormat="1" hidden="1" outlineLevel="2" x14ac:dyDescent="0.25">
      <c r="A167" s="278"/>
      <c r="B167" s="279" t="str">
        <f t="shared" si="56"/>
        <v>450mm140x45mm&gt; 25 deg.</v>
      </c>
      <c r="C167" s="278" t="s">
        <v>1865</v>
      </c>
      <c r="D167" s="278" t="s">
        <v>1940</v>
      </c>
      <c r="E167" s="278" t="s">
        <v>588</v>
      </c>
      <c r="F167" s="278"/>
      <c r="G167" s="278" t="s">
        <v>11</v>
      </c>
      <c r="H167" s="310">
        <v>0.13</v>
      </c>
      <c r="I167" s="280">
        <f t="shared" si="57"/>
        <v>10.480600000000001</v>
      </c>
      <c r="J167" s="281">
        <f t="shared" si="58"/>
        <v>11.885900000000001</v>
      </c>
      <c r="K167" s="282">
        <f>IF(Notes!$B$9="Domestic",I167, IF(Notes!$B$9="Commercial",J167))*$K$149</f>
        <v>23.771800000000002</v>
      </c>
      <c r="L167" s="283">
        <f>(SUM(O167:Q167)+(K167+SUM(M167:Q167))*(INDEX($U$149:$AB$149,MATCH(Notes!$C$16,$U$3:$AB$3,0))-100%))*$L$149</f>
        <v>162.86000000000001</v>
      </c>
      <c r="M167" s="286"/>
      <c r="N167" s="286"/>
      <c r="O167" s="285">
        <v>162.86000000000001</v>
      </c>
      <c r="P167" s="285"/>
      <c r="Q167" s="285"/>
      <c r="R167" s="278"/>
      <c r="S167" s="278"/>
      <c r="T167" s="278"/>
    </row>
    <row r="168" spans="1:20" s="305" customFormat="1" hidden="1" outlineLevel="2" x14ac:dyDescent="0.25">
      <c r="A168" s="278"/>
      <c r="B168" s="279" t="str">
        <f t="shared" si="56"/>
        <v>450mm150x45mm&gt; 25 deg.</v>
      </c>
      <c r="C168" s="278" t="s">
        <v>1865</v>
      </c>
      <c r="D168" s="278" t="s">
        <v>1962</v>
      </c>
      <c r="E168" s="278" t="s">
        <v>588</v>
      </c>
      <c r="F168" s="278"/>
      <c r="G168" s="278" t="s">
        <v>11</v>
      </c>
      <c r="H168" s="310">
        <v>0.13</v>
      </c>
      <c r="I168" s="280">
        <f t="shared" si="57"/>
        <v>10.480600000000001</v>
      </c>
      <c r="J168" s="281">
        <f t="shared" si="58"/>
        <v>11.885900000000001</v>
      </c>
      <c r="K168" s="282">
        <f>IF(Notes!$B$9="Domestic",I168, IF(Notes!$B$9="Commercial",J168))*$K$149</f>
        <v>23.771800000000002</v>
      </c>
      <c r="L168" s="283">
        <f>(SUM(O168:Q168)+(K168+SUM(M168:Q168))*(INDEX($U$149:$AB$149,MATCH(Notes!$C$16,$U$3:$AB$3,0))-100%))*$L$149</f>
        <v>164.48860000000002</v>
      </c>
      <c r="M168" s="286"/>
      <c r="N168" s="286"/>
      <c r="O168" s="311">
        <f>O167*1.01</f>
        <v>164.48860000000002</v>
      </c>
      <c r="P168" s="285"/>
      <c r="Q168" s="285"/>
      <c r="R168" s="278"/>
      <c r="S168" s="278"/>
      <c r="T168" s="278"/>
    </row>
    <row r="169" spans="1:20" s="305" customFormat="1" hidden="1" outlineLevel="2" x14ac:dyDescent="0.25">
      <c r="A169" s="278"/>
      <c r="B169" s="279" t="str">
        <f t="shared" si="56"/>
        <v>450mm170x45mm&gt; 25 deg.</v>
      </c>
      <c r="C169" s="278" t="s">
        <v>1865</v>
      </c>
      <c r="D169" s="278" t="s">
        <v>1965</v>
      </c>
      <c r="E169" s="278" t="s">
        <v>588</v>
      </c>
      <c r="F169" s="278"/>
      <c r="G169" s="278" t="s">
        <v>11</v>
      </c>
      <c r="H169" s="310">
        <v>0.13</v>
      </c>
      <c r="I169" s="280">
        <f t="shared" si="57"/>
        <v>10.480600000000001</v>
      </c>
      <c r="J169" s="281">
        <f t="shared" si="58"/>
        <v>11.885900000000001</v>
      </c>
      <c r="K169" s="282">
        <f>IF(Notes!$B$9="Domestic",I169, IF(Notes!$B$9="Commercial",J169))*$K$149</f>
        <v>23.771800000000002</v>
      </c>
      <c r="L169" s="283">
        <f>(SUM(O169:Q169)+(K169+SUM(M169:Q169))*(INDEX($U$149:$AB$149,MATCH(Notes!$C$16,$U$3:$AB$3,0))-100%))*$L$149</f>
        <v>179.48</v>
      </c>
      <c r="M169" s="286"/>
      <c r="N169" s="286"/>
      <c r="O169" s="285">
        <v>179.48</v>
      </c>
      <c r="P169" s="285"/>
      <c r="Q169" s="285"/>
      <c r="R169" s="278"/>
      <c r="S169" s="278"/>
      <c r="T169" s="278"/>
    </row>
    <row r="170" spans="1:20" s="305" customFormat="1" hidden="1" outlineLevel="2" x14ac:dyDescent="0.25">
      <c r="A170" s="278"/>
      <c r="B170" s="279" t="str">
        <f t="shared" si="56"/>
        <v>450mm200x45mm&gt; 25 deg.</v>
      </c>
      <c r="C170" s="278" t="s">
        <v>1865</v>
      </c>
      <c r="D170" s="278" t="s">
        <v>1945</v>
      </c>
      <c r="E170" s="278" t="s">
        <v>588</v>
      </c>
      <c r="F170" s="278"/>
      <c r="G170" s="278" t="s">
        <v>11</v>
      </c>
      <c r="H170" s="310">
        <v>0.15</v>
      </c>
      <c r="I170" s="280">
        <f t="shared" si="57"/>
        <v>12.093</v>
      </c>
      <c r="J170" s="281">
        <f t="shared" si="58"/>
        <v>13.714500000000001</v>
      </c>
      <c r="K170" s="282">
        <f>IF(Notes!$B$9="Domestic",I170, IF(Notes!$B$9="Commercial",J170))*$K$149</f>
        <v>27.429000000000002</v>
      </c>
      <c r="L170" s="283">
        <f>(SUM(O170:Q170)+(K170+SUM(M170:Q170))*(INDEX($U$149:$AB$149,MATCH(Notes!$C$16,$U$3:$AB$3,0))-100%))*$L$149</f>
        <v>204.72</v>
      </c>
      <c r="M170" s="286"/>
      <c r="N170" s="286"/>
      <c r="O170" s="285">
        <v>204.72</v>
      </c>
      <c r="P170" s="285"/>
      <c r="Q170" s="285"/>
      <c r="R170" s="278"/>
      <c r="S170" s="278"/>
      <c r="T170" s="278"/>
    </row>
    <row r="171" spans="1:20" s="305" customFormat="1" hidden="1" outlineLevel="2" x14ac:dyDescent="0.25">
      <c r="A171" s="278"/>
      <c r="B171" s="279" t="str">
        <f t="shared" si="56"/>
        <v>450mm240x45mm&gt; 25 deg.</v>
      </c>
      <c r="C171" s="278" t="s">
        <v>1865</v>
      </c>
      <c r="D171" s="278" t="s">
        <v>1943</v>
      </c>
      <c r="E171" s="278" t="s">
        <v>588</v>
      </c>
      <c r="F171" s="278"/>
      <c r="G171" s="278" t="s">
        <v>11</v>
      </c>
      <c r="H171" s="310">
        <v>0.15</v>
      </c>
      <c r="I171" s="280">
        <f t="shared" si="57"/>
        <v>12.093</v>
      </c>
      <c r="J171" s="281">
        <f t="shared" si="58"/>
        <v>13.714500000000001</v>
      </c>
      <c r="K171" s="282">
        <f>IF(Notes!$B$9="Domestic",I171, IF(Notes!$B$9="Commercial",J171))*$K$149</f>
        <v>27.429000000000002</v>
      </c>
      <c r="L171" s="283">
        <f>(SUM(O171:Q171)+(K171+SUM(M171:Q171))*(INDEX($U$149:$AB$149,MATCH(Notes!$C$16,$U$3:$AB$3,0))-100%))*$L$149</f>
        <v>238.59</v>
      </c>
      <c r="M171" s="286"/>
      <c r="N171" s="286"/>
      <c r="O171" s="285">
        <v>238.59</v>
      </c>
      <c r="P171" s="285"/>
      <c r="Q171" s="285"/>
      <c r="R171" s="278"/>
      <c r="S171" s="278"/>
      <c r="T171" s="278"/>
    </row>
    <row r="172" spans="1:20" s="305" customFormat="1" hidden="1" outlineLevel="2" x14ac:dyDescent="0.25">
      <c r="A172" s="278"/>
      <c r="B172" s="279" t="str">
        <f t="shared" si="56"/>
        <v>450mm300x45mm&gt; 25 deg.</v>
      </c>
      <c r="C172" s="278" t="s">
        <v>1865</v>
      </c>
      <c r="D172" s="278" t="s">
        <v>1950</v>
      </c>
      <c r="E172" s="278" t="s">
        <v>588</v>
      </c>
      <c r="F172" s="278"/>
      <c r="G172" s="278" t="s">
        <v>11</v>
      </c>
      <c r="H172" s="310">
        <v>0.15</v>
      </c>
      <c r="I172" s="280">
        <f t="shared" si="57"/>
        <v>12.093</v>
      </c>
      <c r="J172" s="281">
        <f t="shared" si="58"/>
        <v>13.714500000000001</v>
      </c>
      <c r="K172" s="282">
        <f>IF(Notes!$B$9="Domestic",I172, IF(Notes!$B$9="Commercial",J172))*$K$149</f>
        <v>27.429000000000002</v>
      </c>
      <c r="L172" s="283">
        <f>(SUM(O172:Q172)+(K172+SUM(M172:Q172))*(INDEX($U$149:$AB$149,MATCH(Notes!$C$16,$U$3:$AB$3,0))-100%))*$L$149</f>
        <v>288.94</v>
      </c>
      <c r="M172" s="286"/>
      <c r="N172" s="286"/>
      <c r="O172" s="285">
        <v>288.94</v>
      </c>
      <c r="P172" s="285"/>
      <c r="Q172" s="285"/>
      <c r="R172" s="278"/>
      <c r="S172" s="278"/>
      <c r="T172" s="278"/>
    </row>
    <row r="173" spans="1:20" s="305" customFormat="1" hidden="1" outlineLevel="2" x14ac:dyDescent="0.25">
      <c r="A173" s="278"/>
      <c r="B173" s="279" t="str">
        <f t="shared" si="56"/>
        <v>450mm300x64mm&gt; 25 deg.</v>
      </c>
      <c r="C173" s="278" t="s">
        <v>1865</v>
      </c>
      <c r="D173" s="278" t="s">
        <v>2038</v>
      </c>
      <c r="E173" s="278" t="s">
        <v>588</v>
      </c>
      <c r="F173" s="278"/>
      <c r="G173" s="278" t="s">
        <v>11</v>
      </c>
      <c r="H173" s="310">
        <v>0.15</v>
      </c>
      <c r="I173" s="280">
        <f t="shared" si="57"/>
        <v>12.093</v>
      </c>
      <c r="J173" s="281">
        <f t="shared" si="58"/>
        <v>13.714500000000001</v>
      </c>
      <c r="K173" s="282">
        <f>IF(Notes!$B$9="Domestic",I173, IF(Notes!$B$9="Commercial",J173))*$K$149</f>
        <v>27.429000000000002</v>
      </c>
      <c r="L173" s="283">
        <f>(SUM(O173:Q173)+(K173+SUM(M173:Q173))*(INDEX($U$149:$AB$149,MATCH(Notes!$C$16,$U$3:$AB$3,0))-100%))*$L$149</f>
        <v>384.28</v>
      </c>
      <c r="M173" s="286"/>
      <c r="N173" s="286"/>
      <c r="O173" s="285">
        <v>384.28</v>
      </c>
      <c r="P173" s="285"/>
      <c r="Q173" s="285"/>
      <c r="R173" s="278"/>
      <c r="S173" s="278"/>
      <c r="T173" s="278"/>
    </row>
    <row r="174" spans="1:20" s="305" customFormat="1" hidden="1" outlineLevel="2" x14ac:dyDescent="0.25">
      <c r="A174" s="278"/>
      <c r="B174" s="279" t="str">
        <f t="shared" si="56"/>
        <v>450mm360x45mm&gt; 25 deg.</v>
      </c>
      <c r="C174" s="278" t="s">
        <v>1865</v>
      </c>
      <c r="D174" s="278" t="s">
        <v>1971</v>
      </c>
      <c r="E174" s="278" t="s">
        <v>588</v>
      </c>
      <c r="F174" s="278"/>
      <c r="G174" s="278" t="s">
        <v>11</v>
      </c>
      <c r="H174" s="310">
        <v>0.15</v>
      </c>
      <c r="I174" s="280">
        <f t="shared" si="57"/>
        <v>12.093</v>
      </c>
      <c r="J174" s="281">
        <f t="shared" si="58"/>
        <v>13.714500000000001</v>
      </c>
      <c r="K174" s="282">
        <f>IF(Notes!$B$9="Domestic",I174, IF(Notes!$B$9="Commercial",J174))*$K$149</f>
        <v>27.429000000000002</v>
      </c>
      <c r="L174" s="283">
        <f>(SUM(O174:Q174)+(K174+SUM(M174:Q174))*(INDEX($U$149:$AB$149,MATCH(Notes!$C$16,$U$3:$AB$3,0))-100%))*$L$149</f>
        <v>338.89</v>
      </c>
      <c r="M174" s="286"/>
      <c r="N174" s="286"/>
      <c r="O174" s="285">
        <v>338.89</v>
      </c>
      <c r="P174" s="285"/>
      <c r="Q174" s="285"/>
      <c r="R174" s="278"/>
      <c r="S174" s="278"/>
      <c r="T174" s="278"/>
    </row>
    <row r="175" spans="1:20" s="305" customFormat="1" hidden="1" outlineLevel="2" x14ac:dyDescent="0.25">
      <c r="A175" s="278"/>
      <c r="B175" s="279" t="str">
        <f t="shared" si="56"/>
        <v>450mm360x63mm&gt; 25 deg.</v>
      </c>
      <c r="C175" s="278" t="s">
        <v>1865</v>
      </c>
      <c r="D175" s="278" t="s">
        <v>1953</v>
      </c>
      <c r="E175" s="278" t="s">
        <v>588</v>
      </c>
      <c r="F175" s="278"/>
      <c r="G175" s="278" t="s">
        <v>11</v>
      </c>
      <c r="H175" s="310">
        <v>0.15</v>
      </c>
      <c r="I175" s="280">
        <f t="shared" si="57"/>
        <v>12.093</v>
      </c>
      <c r="J175" s="281">
        <f t="shared" si="58"/>
        <v>13.714500000000001</v>
      </c>
      <c r="K175" s="282">
        <f>IF(Notes!$B$9="Domestic",I175, IF(Notes!$B$9="Commercial",J175))*$K$149</f>
        <v>27.429000000000002</v>
      </c>
      <c r="L175" s="283">
        <f>(SUM(O175:Q175)+(K175+SUM(M175:Q175))*(INDEX($U$149:$AB$149,MATCH(Notes!$C$16,$U$3:$AB$3,0))-100%))*$L$149</f>
        <v>453.68</v>
      </c>
      <c r="M175" s="286"/>
      <c r="N175" s="286"/>
      <c r="O175" s="285">
        <v>453.68</v>
      </c>
      <c r="P175" s="285"/>
      <c r="Q175" s="285"/>
      <c r="R175" s="278"/>
      <c r="S175" s="278"/>
      <c r="T175" s="278"/>
    </row>
    <row r="176" spans="1:20" s="305" customFormat="1" hidden="1" outlineLevel="2" x14ac:dyDescent="0.25">
      <c r="A176" s="278"/>
      <c r="B176" s="279" t="str">
        <f t="shared" si="56"/>
        <v>450mm400x45mm&gt; 25 deg.</v>
      </c>
      <c r="C176" s="278" t="s">
        <v>1865</v>
      </c>
      <c r="D176" s="278" t="s">
        <v>1972</v>
      </c>
      <c r="E176" s="278" t="s">
        <v>588</v>
      </c>
      <c r="F176" s="278"/>
      <c r="G176" s="278" t="s">
        <v>11</v>
      </c>
      <c r="H176" s="310">
        <v>0.15</v>
      </c>
      <c r="I176" s="280">
        <f t="shared" si="57"/>
        <v>12.093</v>
      </c>
      <c r="J176" s="281">
        <f t="shared" si="58"/>
        <v>13.714500000000001</v>
      </c>
      <c r="K176" s="282">
        <f>IF(Notes!$B$9="Domestic",I176, IF(Notes!$B$9="Commercial",J176))*$K$149</f>
        <v>27.429000000000002</v>
      </c>
      <c r="L176" s="283">
        <f>(SUM(O176:Q176)+(K176+SUM(M176:Q176))*(INDEX($U$149:$AB$149,MATCH(Notes!$C$16,$U$3:$AB$3,0))-100%))*$L$149</f>
        <v>372.19</v>
      </c>
      <c r="M176" s="286"/>
      <c r="N176" s="286"/>
      <c r="O176" s="285">
        <v>372.19</v>
      </c>
      <c r="P176" s="285"/>
      <c r="Q176" s="285"/>
      <c r="R176" s="278"/>
      <c r="S176" s="278"/>
      <c r="T176" s="278"/>
    </row>
    <row r="177" spans="1:20" s="305" customFormat="1" hidden="1" outlineLevel="2" x14ac:dyDescent="0.25">
      <c r="A177" s="278"/>
      <c r="B177" s="279" t="str">
        <f t="shared" si="56"/>
        <v>450mm400x75mm&gt; 25 deg.</v>
      </c>
      <c r="C177" s="278" t="s">
        <v>1865</v>
      </c>
      <c r="D177" s="278" t="s">
        <v>1974</v>
      </c>
      <c r="E177" s="278" t="s">
        <v>588</v>
      </c>
      <c r="F177" s="278"/>
      <c r="G177" s="278" t="s">
        <v>11</v>
      </c>
      <c r="H177" s="310">
        <v>0.15</v>
      </c>
      <c r="I177" s="280">
        <f t="shared" si="57"/>
        <v>12.093</v>
      </c>
      <c r="J177" s="281">
        <f t="shared" si="58"/>
        <v>13.714500000000001</v>
      </c>
      <c r="K177" s="282">
        <f>IF(Notes!$B$9="Domestic",I177, IF(Notes!$B$9="Commercial",J177))*$K$149</f>
        <v>27.429000000000002</v>
      </c>
      <c r="L177" s="283">
        <f>(SUM(O177:Q177)+(K177+SUM(M177:Q177))*(INDEX($U$149:$AB$149,MATCH(Notes!$C$16,$U$3:$AB$3,0))-100%))*$L$149</f>
        <v>662.5</v>
      </c>
      <c r="M177" s="286"/>
      <c r="N177" s="286"/>
      <c r="O177" s="285">
        <v>662.5</v>
      </c>
      <c r="P177" s="285"/>
      <c r="Q177" s="285"/>
      <c r="R177" s="278"/>
      <c r="S177" s="278"/>
      <c r="T177" s="278"/>
    </row>
    <row r="178" spans="1:20" s="305" customFormat="1" hidden="1" outlineLevel="2" x14ac:dyDescent="0.25">
      <c r="A178" s="278"/>
      <c r="B178" s="279" t="str">
        <f t="shared" si="56"/>
        <v>600mm90x45mm&lt;= 25 deg.</v>
      </c>
      <c r="C178" s="278" t="s">
        <v>770</v>
      </c>
      <c r="D178" s="278" t="s">
        <v>1938</v>
      </c>
      <c r="E178" s="278" t="s">
        <v>587</v>
      </c>
      <c r="F178" s="278"/>
      <c r="G178" s="278" t="s">
        <v>11</v>
      </c>
      <c r="H178" s="310">
        <v>0.1</v>
      </c>
      <c r="I178" s="280">
        <f t="shared" si="57"/>
        <v>8.0620000000000012</v>
      </c>
      <c r="J178" s="281">
        <f t="shared" si="58"/>
        <v>9.1430000000000007</v>
      </c>
      <c r="K178" s="282">
        <f>IF(Notes!$B$9="Domestic",I178, IF(Notes!$B$9="Commercial",J178))*$K$149</f>
        <v>18.286000000000001</v>
      </c>
      <c r="L178" s="283">
        <f>(SUM(O178:Q178)+(K178+SUM(M178:Q178))*(INDEX($U$149:$AB$149,MATCH(Notes!$C$16,$U$3:$AB$3,0))-100%))*$L$149</f>
        <v>85.13</v>
      </c>
      <c r="M178" s="286"/>
      <c r="N178" s="286"/>
      <c r="O178" s="285">
        <v>85.13</v>
      </c>
      <c r="P178" s="285"/>
      <c r="Q178" s="285"/>
      <c r="R178" s="278"/>
      <c r="S178" s="278"/>
      <c r="T178" s="278"/>
    </row>
    <row r="179" spans="1:20" s="305" customFormat="1" hidden="1" outlineLevel="2" x14ac:dyDescent="0.25">
      <c r="A179" s="278"/>
      <c r="B179" s="279" t="str">
        <f t="shared" si="56"/>
        <v>600mm120x45mm&lt;= 25 deg.</v>
      </c>
      <c r="C179" s="278" t="s">
        <v>770</v>
      </c>
      <c r="D179" s="278" t="s">
        <v>2037</v>
      </c>
      <c r="E179" s="278" t="s">
        <v>587</v>
      </c>
      <c r="F179" s="278"/>
      <c r="G179" s="278" t="s">
        <v>11</v>
      </c>
      <c r="H179" s="310">
        <v>0.1</v>
      </c>
      <c r="I179" s="280">
        <f t="shared" si="57"/>
        <v>8.0620000000000012</v>
      </c>
      <c r="J179" s="281">
        <f t="shared" si="58"/>
        <v>9.1430000000000007</v>
      </c>
      <c r="K179" s="282">
        <f>IF(Notes!$B$9="Domestic",I179, IF(Notes!$B$9="Commercial",J179))*$K$149</f>
        <v>18.286000000000001</v>
      </c>
      <c r="L179" s="283">
        <f>(SUM(O179:Q179)+(K179+SUM(M179:Q179))*(INDEX($U$149:$AB$149,MATCH(Notes!$C$16,$U$3:$AB$3,0))-100%))*$L$149</f>
        <v>108.17</v>
      </c>
      <c r="M179" s="286"/>
      <c r="N179" s="286"/>
      <c r="O179" s="285">
        <v>108.17</v>
      </c>
      <c r="P179" s="285"/>
      <c r="Q179" s="285"/>
      <c r="R179" s="278"/>
      <c r="S179" s="278"/>
      <c r="T179" s="278"/>
    </row>
    <row r="180" spans="1:20" s="305" customFormat="1" hidden="1" outlineLevel="2" x14ac:dyDescent="0.25">
      <c r="A180" s="278"/>
      <c r="B180" s="279" t="str">
        <f t="shared" si="56"/>
        <v>600mm130x45mm&lt;= 25 deg.</v>
      </c>
      <c r="C180" s="278" t="s">
        <v>770</v>
      </c>
      <c r="D180" s="278" t="s">
        <v>1959</v>
      </c>
      <c r="E180" s="278" t="s">
        <v>587</v>
      </c>
      <c r="F180" s="278"/>
      <c r="G180" s="278" t="s">
        <v>11</v>
      </c>
      <c r="H180" s="310">
        <v>0.1</v>
      </c>
      <c r="I180" s="280">
        <f t="shared" si="57"/>
        <v>8.0620000000000012</v>
      </c>
      <c r="J180" s="281">
        <f t="shared" si="58"/>
        <v>9.1430000000000007</v>
      </c>
      <c r="K180" s="282">
        <f>IF(Notes!$B$9="Domestic",I180, IF(Notes!$B$9="Commercial",J180))*$K$149</f>
        <v>18.286000000000001</v>
      </c>
      <c r="L180" s="283">
        <f>(SUM(O180:Q180)+(K180+SUM(M180:Q180))*(INDEX($U$149:$AB$149,MATCH(Notes!$C$16,$U$3:$AB$3,0))-100%))*$L$149</f>
        <v>109.2517</v>
      </c>
      <c r="M180" s="286"/>
      <c r="N180" s="286"/>
      <c r="O180" s="311">
        <f>O179*1.01</f>
        <v>109.2517</v>
      </c>
      <c r="P180" s="285"/>
      <c r="Q180" s="285"/>
      <c r="R180" s="278"/>
      <c r="S180" s="278"/>
      <c r="T180" s="278"/>
    </row>
    <row r="181" spans="1:20" s="305" customFormat="1" hidden="1" outlineLevel="2" x14ac:dyDescent="0.25">
      <c r="A181" s="278"/>
      <c r="B181" s="279" t="str">
        <f t="shared" si="56"/>
        <v>600mm140x45mm&lt;= 25 deg.</v>
      </c>
      <c r="C181" s="278" t="s">
        <v>770</v>
      </c>
      <c r="D181" s="278" t="s">
        <v>1940</v>
      </c>
      <c r="E181" s="278" t="s">
        <v>587</v>
      </c>
      <c r="F181" s="278"/>
      <c r="G181" s="278" t="s">
        <v>11</v>
      </c>
      <c r="H181" s="310">
        <v>0.1</v>
      </c>
      <c r="I181" s="280">
        <f t="shared" si="57"/>
        <v>8.0620000000000012</v>
      </c>
      <c r="J181" s="281">
        <f t="shared" si="58"/>
        <v>9.1430000000000007</v>
      </c>
      <c r="K181" s="282">
        <f>IF(Notes!$B$9="Domestic",I181, IF(Notes!$B$9="Commercial",J181))*$K$149</f>
        <v>18.286000000000001</v>
      </c>
      <c r="L181" s="283">
        <f>(SUM(O181:Q181)+(K181+SUM(M181:Q181))*(INDEX($U$149:$AB$149,MATCH(Notes!$C$16,$U$3:$AB$3,0))-100%))*$L$149</f>
        <v>119.95</v>
      </c>
      <c r="M181" s="286"/>
      <c r="N181" s="286"/>
      <c r="O181" s="285">
        <v>119.95</v>
      </c>
      <c r="P181" s="285"/>
      <c r="Q181" s="285"/>
      <c r="R181" s="278"/>
      <c r="S181" s="278"/>
      <c r="T181" s="278"/>
    </row>
    <row r="182" spans="1:20" s="305" customFormat="1" hidden="1" outlineLevel="2" x14ac:dyDescent="0.25">
      <c r="A182" s="278"/>
      <c r="B182" s="279" t="str">
        <f t="shared" si="56"/>
        <v>600mm150x45mm&lt;= 25 deg.</v>
      </c>
      <c r="C182" s="278" t="s">
        <v>770</v>
      </c>
      <c r="D182" s="278" t="s">
        <v>1962</v>
      </c>
      <c r="E182" s="278" t="s">
        <v>587</v>
      </c>
      <c r="F182" s="278"/>
      <c r="G182" s="278" t="s">
        <v>11</v>
      </c>
      <c r="H182" s="310">
        <v>0.1</v>
      </c>
      <c r="I182" s="280">
        <f t="shared" si="57"/>
        <v>8.0620000000000012</v>
      </c>
      <c r="J182" s="281">
        <f t="shared" si="58"/>
        <v>9.1430000000000007</v>
      </c>
      <c r="K182" s="282">
        <f>IF(Notes!$B$9="Domestic",I182, IF(Notes!$B$9="Commercial",J182))*$K$149</f>
        <v>18.286000000000001</v>
      </c>
      <c r="L182" s="283">
        <f>(SUM(O182:Q182)+(K182+SUM(M182:Q182))*(INDEX($U$149:$AB$149,MATCH(Notes!$C$16,$U$3:$AB$3,0))-100%))*$L$149</f>
        <v>121.1495</v>
      </c>
      <c r="M182" s="286"/>
      <c r="N182" s="286"/>
      <c r="O182" s="311">
        <f>O181*1.01</f>
        <v>121.1495</v>
      </c>
      <c r="P182" s="285"/>
      <c r="Q182" s="285"/>
      <c r="R182" s="278"/>
      <c r="S182" s="278"/>
      <c r="T182" s="278"/>
    </row>
    <row r="183" spans="1:20" s="305" customFormat="1" hidden="1" outlineLevel="2" x14ac:dyDescent="0.25">
      <c r="A183" s="278"/>
      <c r="B183" s="279" t="str">
        <f t="shared" si="56"/>
        <v>600mm170x45mm&lt;= 25 deg.</v>
      </c>
      <c r="C183" s="278" t="s">
        <v>770</v>
      </c>
      <c r="D183" s="278" t="s">
        <v>1965</v>
      </c>
      <c r="E183" s="278" t="s">
        <v>587</v>
      </c>
      <c r="F183" s="278"/>
      <c r="G183" s="278" t="s">
        <v>11</v>
      </c>
      <c r="H183" s="310">
        <v>0.1</v>
      </c>
      <c r="I183" s="280">
        <f t="shared" si="57"/>
        <v>8.0620000000000012</v>
      </c>
      <c r="J183" s="281">
        <f t="shared" si="58"/>
        <v>9.1430000000000007</v>
      </c>
      <c r="K183" s="282">
        <f>IF(Notes!$B$9="Domestic",I183, IF(Notes!$B$9="Commercial",J183))*$K$149</f>
        <v>18.286000000000001</v>
      </c>
      <c r="L183" s="283">
        <f>(SUM(O183:Q183)+(K183+SUM(M183:Q183))*(INDEX($U$149:$AB$149,MATCH(Notes!$C$16,$U$3:$AB$3,0))-100%))*$L$149</f>
        <v>131.46</v>
      </c>
      <c r="M183" s="286"/>
      <c r="N183" s="286"/>
      <c r="O183" s="285">
        <v>131.46</v>
      </c>
      <c r="P183" s="285"/>
      <c r="Q183" s="285"/>
      <c r="R183" s="278"/>
      <c r="S183" s="278"/>
      <c r="T183" s="278"/>
    </row>
    <row r="184" spans="1:20" s="305" customFormat="1" hidden="1" outlineLevel="2" x14ac:dyDescent="0.25">
      <c r="A184" s="278"/>
      <c r="B184" s="279" t="str">
        <f t="shared" si="56"/>
        <v>600mm200x45mm&lt;= 25 deg.</v>
      </c>
      <c r="C184" s="278" t="s">
        <v>770</v>
      </c>
      <c r="D184" s="278" t="s">
        <v>1945</v>
      </c>
      <c r="E184" s="278" t="s">
        <v>587</v>
      </c>
      <c r="F184" s="278"/>
      <c r="G184" s="278" t="s">
        <v>11</v>
      </c>
      <c r="H184" s="310">
        <v>0.11</v>
      </c>
      <c r="I184" s="280">
        <f t="shared" si="57"/>
        <v>8.8681999999999999</v>
      </c>
      <c r="J184" s="281">
        <f t="shared" si="58"/>
        <v>10.057300000000001</v>
      </c>
      <c r="K184" s="282">
        <f>IF(Notes!$B$9="Domestic",I184, IF(Notes!$B$9="Commercial",J184))*$K$149</f>
        <v>20.114600000000003</v>
      </c>
      <c r="L184" s="283">
        <f>(SUM(O184:Q184)+(K184+SUM(M184:Q184))*(INDEX($U$149:$AB$149,MATCH(Notes!$C$16,$U$3:$AB$3,0))-100%))*$L$149</f>
        <v>148.94</v>
      </c>
      <c r="M184" s="286"/>
      <c r="N184" s="286"/>
      <c r="O184" s="285">
        <v>148.94</v>
      </c>
      <c r="P184" s="285"/>
      <c r="Q184" s="285"/>
      <c r="R184" s="278"/>
      <c r="S184" s="278"/>
      <c r="T184" s="278"/>
    </row>
    <row r="185" spans="1:20" s="305" customFormat="1" hidden="1" outlineLevel="2" x14ac:dyDescent="0.25">
      <c r="A185" s="278"/>
      <c r="B185" s="279" t="str">
        <f t="shared" si="56"/>
        <v>600mm240x45mm&lt;= 25 deg.</v>
      </c>
      <c r="C185" s="278" t="s">
        <v>770</v>
      </c>
      <c r="D185" s="278" t="s">
        <v>1943</v>
      </c>
      <c r="E185" s="278" t="s">
        <v>587</v>
      </c>
      <c r="F185" s="278"/>
      <c r="G185" s="278" t="s">
        <v>11</v>
      </c>
      <c r="H185" s="310">
        <v>0.11</v>
      </c>
      <c r="I185" s="280">
        <f t="shared" si="57"/>
        <v>8.8681999999999999</v>
      </c>
      <c r="J185" s="281">
        <f t="shared" si="58"/>
        <v>10.057300000000001</v>
      </c>
      <c r="K185" s="282">
        <f>IF(Notes!$B$9="Domestic",I185, IF(Notes!$B$9="Commercial",J185))*$K$149</f>
        <v>20.114600000000003</v>
      </c>
      <c r="L185" s="283">
        <f>(SUM(O185:Q185)+(K185+SUM(M185:Q185))*(INDEX($U$149:$AB$149,MATCH(Notes!$C$16,$U$3:$AB$3,0))-100%))*$L$149</f>
        <v>172.4</v>
      </c>
      <c r="M185" s="286"/>
      <c r="N185" s="286"/>
      <c r="O185" s="285">
        <v>172.4</v>
      </c>
      <c r="P185" s="285"/>
      <c r="Q185" s="285"/>
      <c r="R185" s="278"/>
      <c r="S185" s="278"/>
      <c r="T185" s="278"/>
    </row>
    <row r="186" spans="1:20" s="305" customFormat="1" hidden="1" outlineLevel="2" x14ac:dyDescent="0.25">
      <c r="A186" s="278"/>
      <c r="B186" s="279" t="str">
        <f t="shared" si="56"/>
        <v>600mm300x45mm&lt;= 25 deg.</v>
      </c>
      <c r="C186" s="278" t="s">
        <v>770</v>
      </c>
      <c r="D186" s="278" t="s">
        <v>1950</v>
      </c>
      <c r="E186" s="278" t="s">
        <v>587</v>
      </c>
      <c r="F186" s="278"/>
      <c r="G186" s="278" t="s">
        <v>11</v>
      </c>
      <c r="H186" s="310">
        <v>0.11</v>
      </c>
      <c r="I186" s="280">
        <f t="shared" si="57"/>
        <v>8.8681999999999999</v>
      </c>
      <c r="J186" s="281">
        <f t="shared" si="58"/>
        <v>10.057300000000001</v>
      </c>
      <c r="K186" s="282">
        <f>IF(Notes!$B$9="Domestic",I186, IF(Notes!$B$9="Commercial",J186))*$K$149</f>
        <v>20.114600000000003</v>
      </c>
      <c r="L186" s="283">
        <f>(SUM(O186:Q186)+(K186+SUM(M186:Q186))*(INDEX($U$149:$AB$149,MATCH(Notes!$C$16,$U$3:$AB$3,0))-100%))*$L$149</f>
        <v>207.29</v>
      </c>
      <c r="M186" s="286"/>
      <c r="N186" s="286"/>
      <c r="O186" s="285">
        <v>207.29</v>
      </c>
      <c r="P186" s="285"/>
      <c r="Q186" s="285"/>
      <c r="R186" s="278"/>
      <c r="S186" s="278"/>
      <c r="T186" s="278"/>
    </row>
    <row r="187" spans="1:20" s="305" customFormat="1" hidden="1" outlineLevel="2" x14ac:dyDescent="0.25">
      <c r="A187" s="278"/>
      <c r="B187" s="279" t="str">
        <f t="shared" si="56"/>
        <v>600mm300x64mm&lt;= 25 deg.</v>
      </c>
      <c r="C187" s="278" t="s">
        <v>770</v>
      </c>
      <c r="D187" s="278" t="s">
        <v>2038</v>
      </c>
      <c r="E187" s="278" t="s">
        <v>587</v>
      </c>
      <c r="F187" s="278"/>
      <c r="G187" s="278" t="s">
        <v>11</v>
      </c>
      <c r="H187" s="310">
        <v>0.11</v>
      </c>
      <c r="I187" s="280">
        <f t="shared" si="57"/>
        <v>8.8681999999999999</v>
      </c>
      <c r="J187" s="281">
        <f t="shared" si="58"/>
        <v>10.057300000000001</v>
      </c>
      <c r="K187" s="282">
        <f>IF(Notes!$B$9="Domestic",I187, IF(Notes!$B$9="Commercial",J187))*$K$149</f>
        <v>20.114600000000003</v>
      </c>
      <c r="L187" s="283">
        <f>(SUM(O187:Q187)+(K187+SUM(M187:Q187))*(INDEX($U$149:$AB$149,MATCH(Notes!$C$16,$U$3:$AB$3,0))-100%))*$L$149</f>
        <v>273.33</v>
      </c>
      <c r="M187" s="286"/>
      <c r="N187" s="286"/>
      <c r="O187" s="285">
        <v>273.33</v>
      </c>
      <c r="P187" s="285"/>
      <c r="Q187" s="285"/>
      <c r="R187" s="278"/>
      <c r="S187" s="278"/>
      <c r="T187" s="278"/>
    </row>
    <row r="188" spans="1:20" s="305" customFormat="1" hidden="1" outlineLevel="2" x14ac:dyDescent="0.25">
      <c r="A188" s="278"/>
      <c r="B188" s="279" t="str">
        <f t="shared" si="56"/>
        <v>600mm360x45mm&lt;= 25 deg.</v>
      </c>
      <c r="C188" s="278" t="s">
        <v>770</v>
      </c>
      <c r="D188" s="278" t="s">
        <v>1971</v>
      </c>
      <c r="E188" s="278" t="s">
        <v>587</v>
      </c>
      <c r="F188" s="278"/>
      <c r="G188" s="278" t="s">
        <v>11</v>
      </c>
      <c r="H188" s="310">
        <v>0.11</v>
      </c>
      <c r="I188" s="280">
        <f t="shared" si="57"/>
        <v>8.8681999999999999</v>
      </c>
      <c r="J188" s="281">
        <f t="shared" si="58"/>
        <v>10.057300000000001</v>
      </c>
      <c r="K188" s="282">
        <f>IF(Notes!$B$9="Domestic",I188, IF(Notes!$B$9="Commercial",J188))*$K$149</f>
        <v>20.114600000000003</v>
      </c>
      <c r="L188" s="283">
        <f>(SUM(O188:Q188)+(K188+SUM(M188:Q188))*(INDEX($U$149:$AB$149,MATCH(Notes!$C$16,$U$3:$AB$3,0))-100%))*$L$149</f>
        <v>241.89</v>
      </c>
      <c r="M188" s="286"/>
      <c r="N188" s="286"/>
      <c r="O188" s="285">
        <v>241.89</v>
      </c>
      <c r="P188" s="285"/>
      <c r="Q188" s="285"/>
      <c r="R188" s="278"/>
      <c r="S188" s="278"/>
      <c r="T188" s="278"/>
    </row>
    <row r="189" spans="1:20" s="305" customFormat="1" hidden="1" outlineLevel="2" x14ac:dyDescent="0.25">
      <c r="A189" s="278"/>
      <c r="B189" s="279" t="str">
        <f t="shared" si="56"/>
        <v>600mm360x63mm&lt;= 25 deg.</v>
      </c>
      <c r="C189" s="278" t="s">
        <v>770</v>
      </c>
      <c r="D189" s="278" t="s">
        <v>1953</v>
      </c>
      <c r="E189" s="278" t="s">
        <v>587</v>
      </c>
      <c r="F189" s="278"/>
      <c r="G189" s="278" t="s">
        <v>11</v>
      </c>
      <c r="H189" s="310">
        <v>0.11</v>
      </c>
      <c r="I189" s="280">
        <f t="shared" si="57"/>
        <v>8.8681999999999999</v>
      </c>
      <c r="J189" s="281">
        <f t="shared" si="58"/>
        <v>10.057300000000001</v>
      </c>
      <c r="K189" s="282">
        <f>IF(Notes!$B$9="Domestic",I189, IF(Notes!$B$9="Commercial",J189))*$K$149</f>
        <v>20.114600000000003</v>
      </c>
      <c r="L189" s="283">
        <f>(SUM(O189:Q189)+(K189+SUM(M189:Q189))*(INDEX($U$149:$AB$149,MATCH(Notes!$C$16,$U$3:$AB$3,0))-100%))*$L$149</f>
        <v>321.39999999999998</v>
      </c>
      <c r="M189" s="286"/>
      <c r="N189" s="286"/>
      <c r="O189" s="285">
        <v>321.39999999999998</v>
      </c>
      <c r="P189" s="285"/>
      <c r="Q189" s="285"/>
      <c r="R189" s="278"/>
      <c r="S189" s="278"/>
      <c r="T189" s="278"/>
    </row>
    <row r="190" spans="1:20" s="305" customFormat="1" hidden="1" outlineLevel="2" x14ac:dyDescent="0.25">
      <c r="A190" s="278"/>
      <c r="B190" s="279" t="str">
        <f t="shared" si="56"/>
        <v>600mm400x45mm&lt;= 25 deg.</v>
      </c>
      <c r="C190" s="278" t="s">
        <v>770</v>
      </c>
      <c r="D190" s="278" t="s">
        <v>1972</v>
      </c>
      <c r="E190" s="278" t="s">
        <v>587</v>
      </c>
      <c r="F190" s="278"/>
      <c r="G190" s="278" t="s">
        <v>11</v>
      </c>
      <c r="H190" s="310">
        <v>0.11</v>
      </c>
      <c r="I190" s="280">
        <f t="shared" si="57"/>
        <v>8.8681999999999999</v>
      </c>
      <c r="J190" s="281">
        <f t="shared" si="58"/>
        <v>10.057300000000001</v>
      </c>
      <c r="K190" s="282">
        <f>IF(Notes!$B$9="Domestic",I190, IF(Notes!$B$9="Commercial",J190))*$K$149</f>
        <v>20.114600000000003</v>
      </c>
      <c r="L190" s="283">
        <f>(SUM(O190:Q190)+(K190+SUM(M190:Q190))*(INDEX($U$149:$AB$149,MATCH(Notes!$C$16,$U$3:$AB$3,0))-100%))*$L$149</f>
        <v>264.95999999999998</v>
      </c>
      <c r="M190" s="286"/>
      <c r="N190" s="286"/>
      <c r="O190" s="285">
        <v>264.95999999999998</v>
      </c>
      <c r="P190" s="285"/>
      <c r="Q190" s="285"/>
      <c r="R190" s="278"/>
      <c r="S190" s="278"/>
      <c r="T190" s="278"/>
    </row>
    <row r="191" spans="1:20" s="305" customFormat="1" hidden="1" outlineLevel="2" x14ac:dyDescent="0.25">
      <c r="A191" s="278"/>
      <c r="B191" s="279" t="str">
        <f t="shared" si="56"/>
        <v>600mm400x75mm&lt;= 25 deg.</v>
      </c>
      <c r="C191" s="278" t="s">
        <v>770</v>
      </c>
      <c r="D191" s="278" t="s">
        <v>1974</v>
      </c>
      <c r="E191" s="278" t="s">
        <v>587</v>
      </c>
      <c r="F191" s="278"/>
      <c r="G191" s="278" t="s">
        <v>11</v>
      </c>
      <c r="H191" s="310">
        <v>0.11</v>
      </c>
      <c r="I191" s="280">
        <f t="shared" si="57"/>
        <v>8.8681999999999999</v>
      </c>
      <c r="J191" s="281">
        <f t="shared" si="58"/>
        <v>10.057300000000001</v>
      </c>
      <c r="K191" s="282">
        <f>IF(Notes!$B$9="Domestic",I191, IF(Notes!$B$9="Commercial",J191))*$K$149</f>
        <v>20.114600000000003</v>
      </c>
      <c r="L191" s="283">
        <f>(SUM(O191:Q191)+(K191+SUM(M191:Q191))*(INDEX($U$149:$AB$149,MATCH(Notes!$C$16,$U$3:$AB$3,0))-100%))*$L$149</f>
        <v>466.06</v>
      </c>
      <c r="M191" s="286"/>
      <c r="N191" s="286"/>
      <c r="O191" s="285">
        <v>466.06</v>
      </c>
      <c r="P191" s="285"/>
      <c r="Q191" s="285"/>
      <c r="R191" s="278"/>
      <c r="S191" s="278"/>
      <c r="T191" s="278"/>
    </row>
    <row r="192" spans="1:20" s="305" customFormat="1" hidden="1" outlineLevel="2" x14ac:dyDescent="0.25">
      <c r="A192" s="278"/>
      <c r="B192" s="279" t="str">
        <f t="shared" si="56"/>
        <v>600mm90x45mm&gt; 25 deg.</v>
      </c>
      <c r="C192" s="278" t="s">
        <v>770</v>
      </c>
      <c r="D192" s="278" t="s">
        <v>1938</v>
      </c>
      <c r="E192" s="278" t="s">
        <v>588</v>
      </c>
      <c r="F192" s="278"/>
      <c r="G192" s="278" t="s">
        <v>11</v>
      </c>
      <c r="H192" s="310">
        <v>0.1</v>
      </c>
      <c r="I192" s="280">
        <f t="shared" si="57"/>
        <v>8.0620000000000012</v>
      </c>
      <c r="J192" s="281">
        <f t="shared" si="58"/>
        <v>9.1430000000000007</v>
      </c>
      <c r="K192" s="282">
        <f>IF(Notes!$B$9="Domestic",I192, IF(Notes!$B$9="Commercial",J192))*$K$149</f>
        <v>18.286000000000001</v>
      </c>
      <c r="L192" s="283">
        <f>(SUM(O192:Q192)+(K192+SUM(M192:Q192))*(INDEX($U$149:$AB$149,MATCH(Notes!$C$16,$U$3:$AB$3,0))-100%))*$L$149</f>
        <v>95.08</v>
      </c>
      <c r="M192" s="286"/>
      <c r="N192" s="286"/>
      <c r="O192" s="285">
        <v>95.08</v>
      </c>
      <c r="P192" s="285"/>
      <c r="Q192" s="285"/>
      <c r="R192" s="278"/>
      <c r="S192" s="278"/>
      <c r="T192" s="278"/>
    </row>
    <row r="193" spans="1:20" s="305" customFormat="1" hidden="1" outlineLevel="2" x14ac:dyDescent="0.25">
      <c r="A193" s="278"/>
      <c r="B193" s="279" t="str">
        <f t="shared" si="56"/>
        <v>600mm120x45mm&gt; 25 deg.</v>
      </c>
      <c r="C193" s="278" t="s">
        <v>770</v>
      </c>
      <c r="D193" s="278" t="s">
        <v>2037</v>
      </c>
      <c r="E193" s="278" t="s">
        <v>588</v>
      </c>
      <c r="F193" s="278"/>
      <c r="G193" s="278" t="s">
        <v>11</v>
      </c>
      <c r="H193" s="310">
        <v>0.1</v>
      </c>
      <c r="I193" s="280">
        <f t="shared" si="57"/>
        <v>8.0620000000000012</v>
      </c>
      <c r="J193" s="281">
        <f t="shared" si="58"/>
        <v>9.1430000000000007</v>
      </c>
      <c r="K193" s="282">
        <f>IF(Notes!$B$9="Domestic",I193, IF(Notes!$B$9="Commercial",J193))*$K$149</f>
        <v>18.286000000000001</v>
      </c>
      <c r="L193" s="283">
        <f>(SUM(O193:Q193)+(K193+SUM(M193:Q193))*(INDEX($U$149:$AB$149,MATCH(Notes!$C$16,$U$3:$AB$3,0))-100%))*$L$149</f>
        <v>120.73</v>
      </c>
      <c r="M193" s="286"/>
      <c r="N193" s="286"/>
      <c r="O193" s="285">
        <v>120.73</v>
      </c>
      <c r="P193" s="285"/>
      <c r="Q193" s="285"/>
      <c r="R193" s="278"/>
      <c r="S193" s="278"/>
      <c r="T193" s="278"/>
    </row>
    <row r="194" spans="1:20" s="305" customFormat="1" hidden="1" outlineLevel="2" x14ac:dyDescent="0.25">
      <c r="A194" s="278"/>
      <c r="B194" s="279" t="str">
        <f t="shared" si="56"/>
        <v>600mm130x45mm&gt; 25 deg.</v>
      </c>
      <c r="C194" s="278" t="s">
        <v>770</v>
      </c>
      <c r="D194" s="278" t="s">
        <v>1959</v>
      </c>
      <c r="E194" s="278" t="s">
        <v>588</v>
      </c>
      <c r="F194" s="278"/>
      <c r="G194" s="278" t="s">
        <v>11</v>
      </c>
      <c r="H194" s="310">
        <v>0.1</v>
      </c>
      <c r="I194" s="280">
        <f t="shared" si="57"/>
        <v>8.0620000000000012</v>
      </c>
      <c r="J194" s="281">
        <f t="shared" si="58"/>
        <v>9.1430000000000007</v>
      </c>
      <c r="K194" s="282">
        <f>IF(Notes!$B$9="Domestic",I194, IF(Notes!$B$9="Commercial",J194))*$K$149</f>
        <v>18.286000000000001</v>
      </c>
      <c r="L194" s="283">
        <f>(SUM(O194:Q194)+(K194+SUM(M194:Q194))*(INDEX($U$149:$AB$149,MATCH(Notes!$C$16,$U$3:$AB$3,0))-100%))*$L$149</f>
        <v>121.93730000000001</v>
      </c>
      <c r="M194" s="286"/>
      <c r="N194" s="286"/>
      <c r="O194" s="311">
        <f>O193*1.01</f>
        <v>121.93730000000001</v>
      </c>
      <c r="P194" s="285"/>
      <c r="Q194" s="285"/>
      <c r="R194" s="278"/>
      <c r="S194" s="278"/>
      <c r="T194" s="278"/>
    </row>
    <row r="195" spans="1:20" s="305" customFormat="1" hidden="1" outlineLevel="2" x14ac:dyDescent="0.25">
      <c r="A195" s="278"/>
      <c r="B195" s="279" t="str">
        <f t="shared" si="56"/>
        <v>600mm140x45mm&gt; 25 deg.</v>
      </c>
      <c r="C195" s="278" t="s">
        <v>770</v>
      </c>
      <c r="D195" s="278" t="s">
        <v>1940</v>
      </c>
      <c r="E195" s="278" t="s">
        <v>588</v>
      </c>
      <c r="F195" s="278"/>
      <c r="G195" s="278" t="s">
        <v>11</v>
      </c>
      <c r="H195" s="310">
        <v>0.1</v>
      </c>
      <c r="I195" s="280">
        <f t="shared" si="57"/>
        <v>8.0620000000000012</v>
      </c>
      <c r="J195" s="281">
        <f t="shared" si="58"/>
        <v>9.1430000000000007</v>
      </c>
      <c r="K195" s="282">
        <f>IF(Notes!$B$9="Domestic",I195, IF(Notes!$B$9="Commercial",J195))*$K$149</f>
        <v>18.286000000000001</v>
      </c>
      <c r="L195" s="283">
        <f>(SUM(O195:Q195)+(K195+SUM(M195:Q195))*(INDEX($U$149:$AB$149,MATCH(Notes!$C$16,$U$3:$AB$3,0))-100%))*$L$149</f>
        <v>133.84</v>
      </c>
      <c r="M195" s="286"/>
      <c r="N195" s="286"/>
      <c r="O195" s="285">
        <v>133.84</v>
      </c>
      <c r="P195" s="285"/>
      <c r="Q195" s="285"/>
      <c r="R195" s="278"/>
      <c r="S195" s="278"/>
      <c r="T195" s="278"/>
    </row>
    <row r="196" spans="1:20" s="305" customFormat="1" hidden="1" outlineLevel="2" x14ac:dyDescent="0.25">
      <c r="A196" s="278"/>
      <c r="B196" s="279" t="str">
        <f t="shared" si="56"/>
        <v>600mm150x45mm&gt; 25 deg.</v>
      </c>
      <c r="C196" s="278" t="s">
        <v>770</v>
      </c>
      <c r="D196" s="278" t="s">
        <v>1962</v>
      </c>
      <c r="E196" s="278" t="s">
        <v>588</v>
      </c>
      <c r="F196" s="278"/>
      <c r="G196" s="278" t="s">
        <v>11</v>
      </c>
      <c r="H196" s="310">
        <v>0.1</v>
      </c>
      <c r="I196" s="280">
        <f t="shared" si="57"/>
        <v>8.0620000000000012</v>
      </c>
      <c r="J196" s="281">
        <f t="shared" si="58"/>
        <v>9.1430000000000007</v>
      </c>
      <c r="K196" s="282">
        <f>IF(Notes!$B$9="Domestic",I196, IF(Notes!$B$9="Commercial",J196))*$K$149</f>
        <v>18.286000000000001</v>
      </c>
      <c r="L196" s="283">
        <f>(SUM(O196:Q196)+(K196+SUM(M196:Q196))*(INDEX($U$149:$AB$149,MATCH(Notes!$C$16,$U$3:$AB$3,0))-100%))*$L$149</f>
        <v>135.17840000000001</v>
      </c>
      <c r="M196" s="286"/>
      <c r="N196" s="286"/>
      <c r="O196" s="311">
        <f>O195*1.01</f>
        <v>135.17840000000001</v>
      </c>
      <c r="P196" s="285"/>
      <c r="Q196" s="285"/>
      <c r="R196" s="278"/>
      <c r="S196" s="278"/>
      <c r="T196" s="278"/>
    </row>
    <row r="197" spans="1:20" s="305" customFormat="1" hidden="1" outlineLevel="2" x14ac:dyDescent="0.25">
      <c r="A197" s="278"/>
      <c r="B197" s="279" t="str">
        <f t="shared" si="56"/>
        <v>600mm170x45mm&gt; 25 deg.</v>
      </c>
      <c r="C197" s="278" t="s">
        <v>770</v>
      </c>
      <c r="D197" s="278" t="s">
        <v>1965</v>
      </c>
      <c r="E197" s="278" t="s">
        <v>588</v>
      </c>
      <c r="F197" s="278"/>
      <c r="G197" s="278" t="s">
        <v>11</v>
      </c>
      <c r="H197" s="310">
        <v>0.1</v>
      </c>
      <c r="I197" s="280">
        <f t="shared" si="57"/>
        <v>8.0620000000000012</v>
      </c>
      <c r="J197" s="281">
        <f t="shared" si="58"/>
        <v>9.1430000000000007</v>
      </c>
      <c r="K197" s="282">
        <f>IF(Notes!$B$9="Domestic",I197, IF(Notes!$B$9="Commercial",J197))*$K$149</f>
        <v>18.286000000000001</v>
      </c>
      <c r="L197" s="283">
        <f>(SUM(O197:Q197)+(K197+SUM(M197:Q197))*(INDEX($U$149:$AB$149,MATCH(Notes!$C$16,$U$3:$AB$3,0))-100%))*$L$149</f>
        <v>146.66</v>
      </c>
      <c r="M197" s="286"/>
      <c r="N197" s="286"/>
      <c r="O197" s="285">
        <v>146.66</v>
      </c>
      <c r="P197" s="285"/>
      <c r="Q197" s="285"/>
      <c r="R197" s="278"/>
      <c r="S197" s="278"/>
      <c r="T197" s="278"/>
    </row>
    <row r="198" spans="1:20" s="305" customFormat="1" hidden="1" outlineLevel="2" x14ac:dyDescent="0.25">
      <c r="A198" s="278"/>
      <c r="B198" s="279" t="str">
        <f t="shared" si="56"/>
        <v>600mm200x45mm&gt; 25 deg.</v>
      </c>
      <c r="C198" s="278" t="s">
        <v>770</v>
      </c>
      <c r="D198" s="278" t="s">
        <v>1945</v>
      </c>
      <c r="E198" s="278" t="s">
        <v>588</v>
      </c>
      <c r="F198" s="278"/>
      <c r="G198" s="278" t="s">
        <v>11</v>
      </c>
      <c r="H198" s="310">
        <v>0.12</v>
      </c>
      <c r="I198" s="280">
        <f t="shared" si="57"/>
        <v>9.6744000000000003</v>
      </c>
      <c r="J198" s="281">
        <f t="shared" si="58"/>
        <v>10.9716</v>
      </c>
      <c r="K198" s="282">
        <f>IF(Notes!$B$9="Domestic",I198, IF(Notes!$B$9="Commercial",J198))*$K$149</f>
        <v>21.943200000000001</v>
      </c>
      <c r="L198" s="283">
        <f>(SUM(O198:Q198)+(K198+SUM(M198:Q198))*(INDEX($U$149:$AB$149,MATCH(Notes!$C$16,$U$3:$AB$3,0))-100%))*$L$149</f>
        <v>166.12</v>
      </c>
      <c r="M198" s="286"/>
      <c r="N198" s="286"/>
      <c r="O198" s="285">
        <v>166.12</v>
      </c>
      <c r="P198" s="285"/>
      <c r="Q198" s="285"/>
      <c r="R198" s="278"/>
      <c r="S198" s="278"/>
      <c r="T198" s="278"/>
    </row>
    <row r="199" spans="1:20" s="305" customFormat="1" hidden="1" outlineLevel="2" x14ac:dyDescent="0.25">
      <c r="A199" s="278"/>
      <c r="B199" s="279" t="str">
        <f t="shared" si="56"/>
        <v>600mm240x45mm&gt; 25 deg.</v>
      </c>
      <c r="C199" s="278" t="s">
        <v>770</v>
      </c>
      <c r="D199" s="278" t="s">
        <v>1943</v>
      </c>
      <c r="E199" s="278" t="s">
        <v>588</v>
      </c>
      <c r="F199" s="278"/>
      <c r="G199" s="278" t="s">
        <v>11</v>
      </c>
      <c r="H199" s="310">
        <v>0.12</v>
      </c>
      <c r="I199" s="280">
        <f t="shared" si="57"/>
        <v>9.6744000000000003</v>
      </c>
      <c r="J199" s="281">
        <f t="shared" si="58"/>
        <v>10.9716</v>
      </c>
      <c r="K199" s="282">
        <f>IF(Notes!$B$9="Domestic",I199, IF(Notes!$B$9="Commercial",J199))*$K$149</f>
        <v>21.943200000000001</v>
      </c>
      <c r="L199" s="283">
        <f>(SUM(O199:Q199)+(K199+SUM(M199:Q199))*(INDEX($U$149:$AB$149,MATCH(Notes!$C$16,$U$3:$AB$3,0))-100%))*$L$149</f>
        <v>192.24</v>
      </c>
      <c r="M199" s="286"/>
      <c r="N199" s="286"/>
      <c r="O199" s="285">
        <v>192.24</v>
      </c>
      <c r="P199" s="285"/>
      <c r="Q199" s="285"/>
      <c r="R199" s="278"/>
      <c r="S199" s="278"/>
      <c r="T199" s="278"/>
    </row>
    <row r="200" spans="1:20" s="305" customFormat="1" hidden="1" outlineLevel="2" x14ac:dyDescent="0.25">
      <c r="A200" s="278"/>
      <c r="B200" s="279" t="str">
        <f t="shared" si="56"/>
        <v>600mm300x45mm&gt; 25 deg.</v>
      </c>
      <c r="C200" s="278" t="s">
        <v>770</v>
      </c>
      <c r="D200" s="278" t="s">
        <v>1950</v>
      </c>
      <c r="E200" s="278" t="s">
        <v>588</v>
      </c>
      <c r="F200" s="278"/>
      <c r="G200" s="278" t="s">
        <v>11</v>
      </c>
      <c r="H200" s="310">
        <v>0.12</v>
      </c>
      <c r="I200" s="280">
        <f t="shared" si="57"/>
        <v>9.6744000000000003</v>
      </c>
      <c r="J200" s="281">
        <f t="shared" si="58"/>
        <v>10.9716</v>
      </c>
      <c r="K200" s="282">
        <f>IF(Notes!$B$9="Domestic",I200, IF(Notes!$B$9="Commercial",J200))*$K$149</f>
        <v>21.943200000000001</v>
      </c>
      <c r="L200" s="283">
        <f>(SUM(O200:Q200)+(K200+SUM(M200:Q200))*(INDEX($U$149:$AB$149,MATCH(Notes!$C$16,$U$3:$AB$3,0))-100%))*$L$149</f>
        <v>231.07</v>
      </c>
      <c r="M200" s="286"/>
      <c r="N200" s="286"/>
      <c r="O200" s="285">
        <v>231.07</v>
      </c>
      <c r="P200" s="285"/>
      <c r="Q200" s="285"/>
      <c r="R200" s="278"/>
      <c r="S200" s="278"/>
      <c r="T200" s="278"/>
    </row>
    <row r="201" spans="1:20" s="305" customFormat="1" hidden="1" outlineLevel="2" x14ac:dyDescent="0.25">
      <c r="A201" s="278"/>
      <c r="B201" s="279" t="str">
        <f t="shared" si="56"/>
        <v>600mm300x64mm&gt; 25 deg.</v>
      </c>
      <c r="C201" s="278" t="s">
        <v>770</v>
      </c>
      <c r="D201" s="278" t="s">
        <v>2038</v>
      </c>
      <c r="E201" s="278" t="s">
        <v>588</v>
      </c>
      <c r="F201" s="278"/>
      <c r="G201" s="278" t="s">
        <v>11</v>
      </c>
      <c r="H201" s="310">
        <v>0.12</v>
      </c>
      <c r="I201" s="280">
        <f t="shared" si="57"/>
        <v>9.6744000000000003</v>
      </c>
      <c r="J201" s="281">
        <f t="shared" si="58"/>
        <v>10.9716</v>
      </c>
      <c r="K201" s="282">
        <f>IF(Notes!$B$9="Domestic",I201, IF(Notes!$B$9="Commercial",J201))*$K$149</f>
        <v>21.943200000000001</v>
      </c>
      <c r="L201" s="283">
        <f>(SUM(O201:Q201)+(K201+SUM(M201:Q201))*(INDEX($U$149:$AB$149,MATCH(Notes!$C$16,$U$3:$AB$3,0))-100%))*$L$149</f>
        <v>304.58999999999997</v>
      </c>
      <c r="M201" s="286"/>
      <c r="N201" s="286"/>
      <c r="O201" s="285">
        <v>304.58999999999997</v>
      </c>
      <c r="P201" s="285"/>
      <c r="Q201" s="285"/>
      <c r="R201" s="278"/>
      <c r="S201" s="278"/>
      <c r="T201" s="278"/>
    </row>
    <row r="202" spans="1:20" s="305" customFormat="1" hidden="1" outlineLevel="2" x14ac:dyDescent="0.25">
      <c r="A202" s="278"/>
      <c r="B202" s="279" t="str">
        <f t="shared" si="56"/>
        <v>600mm360x45mm&gt; 25 deg.</v>
      </c>
      <c r="C202" s="278" t="s">
        <v>770</v>
      </c>
      <c r="D202" s="278" t="s">
        <v>1971</v>
      </c>
      <c r="E202" s="278" t="s">
        <v>588</v>
      </c>
      <c r="F202" s="278"/>
      <c r="G202" s="278" t="s">
        <v>11</v>
      </c>
      <c r="H202" s="310">
        <v>0.12</v>
      </c>
      <c r="I202" s="280">
        <f t="shared" si="57"/>
        <v>9.6744000000000003</v>
      </c>
      <c r="J202" s="281">
        <f t="shared" si="58"/>
        <v>10.9716</v>
      </c>
      <c r="K202" s="282">
        <f>IF(Notes!$B$9="Domestic",I202, IF(Notes!$B$9="Commercial",J202))*$K$149</f>
        <v>21.943200000000001</v>
      </c>
      <c r="L202" s="283">
        <f>(SUM(O202:Q202)+(K202+SUM(M202:Q202))*(INDEX($U$149:$AB$149,MATCH(Notes!$C$16,$U$3:$AB$3,0))-100%))*$L$149</f>
        <v>269.58999999999997</v>
      </c>
      <c r="M202" s="286"/>
      <c r="N202" s="286"/>
      <c r="O202" s="285">
        <v>269.58999999999997</v>
      </c>
      <c r="P202" s="285"/>
      <c r="Q202" s="285"/>
      <c r="R202" s="278"/>
      <c r="S202" s="278"/>
      <c r="T202" s="278"/>
    </row>
    <row r="203" spans="1:20" s="305" customFormat="1" hidden="1" outlineLevel="2" x14ac:dyDescent="0.25">
      <c r="A203" s="278"/>
      <c r="B203" s="279" t="str">
        <f t="shared" si="56"/>
        <v>600mm360x63mm&gt; 25 deg.</v>
      </c>
      <c r="C203" s="278" t="s">
        <v>770</v>
      </c>
      <c r="D203" s="278" t="s">
        <v>1953</v>
      </c>
      <c r="E203" s="278" t="s">
        <v>588</v>
      </c>
      <c r="F203" s="278"/>
      <c r="G203" s="278" t="s">
        <v>11</v>
      </c>
      <c r="H203" s="310">
        <v>0.12</v>
      </c>
      <c r="I203" s="280">
        <f t="shared" si="57"/>
        <v>9.6744000000000003</v>
      </c>
      <c r="J203" s="281">
        <f t="shared" si="58"/>
        <v>10.9716</v>
      </c>
      <c r="K203" s="282">
        <f>IF(Notes!$B$9="Domestic",I203, IF(Notes!$B$9="Commercial",J203))*$K$149</f>
        <v>21.943200000000001</v>
      </c>
      <c r="L203" s="283">
        <f>(SUM(O203:Q203)+(K203+SUM(M203:Q203))*(INDEX($U$149:$AB$149,MATCH(Notes!$C$16,$U$3:$AB$3,0))-100%))*$L$149</f>
        <v>358.11</v>
      </c>
      <c r="M203" s="286"/>
      <c r="N203" s="286"/>
      <c r="O203" s="285">
        <v>358.11</v>
      </c>
      <c r="P203" s="285"/>
      <c r="Q203" s="285"/>
      <c r="R203" s="278"/>
      <c r="S203" s="278"/>
      <c r="T203" s="278"/>
    </row>
    <row r="204" spans="1:20" s="305" customFormat="1" hidden="1" outlineLevel="2" x14ac:dyDescent="0.25">
      <c r="A204" s="278"/>
      <c r="B204" s="279" t="str">
        <f t="shared" si="56"/>
        <v>600mm400x45mm&gt; 25 deg.</v>
      </c>
      <c r="C204" s="278" t="s">
        <v>770</v>
      </c>
      <c r="D204" s="278" t="s">
        <v>1972</v>
      </c>
      <c r="E204" s="278" t="s">
        <v>588</v>
      </c>
      <c r="F204" s="278"/>
      <c r="G204" s="278" t="s">
        <v>11</v>
      </c>
      <c r="H204" s="310">
        <v>0.12</v>
      </c>
      <c r="I204" s="280">
        <f t="shared" si="57"/>
        <v>9.6744000000000003</v>
      </c>
      <c r="J204" s="281">
        <f t="shared" si="58"/>
        <v>10.9716</v>
      </c>
      <c r="K204" s="282">
        <f>IF(Notes!$B$9="Domestic",I204, IF(Notes!$B$9="Commercial",J204))*$K$149</f>
        <v>21.943200000000001</v>
      </c>
      <c r="L204" s="283">
        <f>(SUM(O204:Q204)+(K204+SUM(M204:Q204))*(INDEX($U$149:$AB$149,MATCH(Notes!$C$16,$U$3:$AB$3,0))-100%))*$L$149</f>
        <v>295.27</v>
      </c>
      <c r="M204" s="286"/>
      <c r="N204" s="286"/>
      <c r="O204" s="285">
        <v>295.27</v>
      </c>
      <c r="P204" s="285"/>
      <c r="Q204" s="285"/>
      <c r="R204" s="278"/>
      <c r="S204" s="278"/>
      <c r="T204" s="278"/>
    </row>
    <row r="205" spans="1:20" s="305" customFormat="1" hidden="1" outlineLevel="2" x14ac:dyDescent="0.25">
      <c r="A205" s="278"/>
      <c r="B205" s="279" t="str">
        <f t="shared" si="56"/>
        <v>600mm400x75mm&gt; 25 deg.</v>
      </c>
      <c r="C205" s="278" t="s">
        <v>770</v>
      </c>
      <c r="D205" s="278" t="s">
        <v>1974</v>
      </c>
      <c r="E205" s="278" t="s">
        <v>588</v>
      </c>
      <c r="F205" s="278"/>
      <c r="G205" s="278" t="s">
        <v>11</v>
      </c>
      <c r="H205" s="310">
        <v>0.12</v>
      </c>
      <c r="I205" s="280">
        <f t="shared" si="57"/>
        <v>9.6744000000000003</v>
      </c>
      <c r="J205" s="281">
        <f t="shared" si="58"/>
        <v>10.9716</v>
      </c>
      <c r="K205" s="282">
        <f>IF(Notes!$B$9="Domestic",I205, IF(Notes!$B$9="Commercial",J205))*$K$149</f>
        <v>21.943200000000001</v>
      </c>
      <c r="L205" s="283">
        <f>(SUM(O205:Q205)+(K205+SUM(M205:Q205))*(INDEX($U$149:$AB$149,MATCH(Notes!$C$16,$U$3:$AB$3,0))-100%))*$L$149</f>
        <v>519.42999999999995</v>
      </c>
      <c r="M205" s="286"/>
      <c r="N205" s="286"/>
      <c r="O205" s="285">
        <v>519.42999999999995</v>
      </c>
      <c r="P205" s="285"/>
      <c r="Q205" s="285"/>
      <c r="R205" s="278"/>
      <c r="S205" s="278"/>
      <c r="T205" s="278"/>
    </row>
    <row r="206" spans="1:20" s="305" customFormat="1" hidden="1" outlineLevel="2" x14ac:dyDescent="0.25">
      <c r="A206" s="278"/>
      <c r="B206" s="279" t="str">
        <f t="shared" si="56"/>
        <v>900mm90x45mm&lt;= 25 deg.</v>
      </c>
      <c r="C206" s="278" t="s">
        <v>772</v>
      </c>
      <c r="D206" s="278" t="s">
        <v>1938</v>
      </c>
      <c r="E206" s="278" t="s">
        <v>587</v>
      </c>
      <c r="F206" s="278"/>
      <c r="G206" s="278" t="s">
        <v>11</v>
      </c>
      <c r="H206" s="310">
        <v>7.0000000000000007E-2</v>
      </c>
      <c r="I206" s="280">
        <f t="shared" si="57"/>
        <v>5.6434000000000006</v>
      </c>
      <c r="J206" s="281">
        <f t="shared" si="58"/>
        <v>6.400100000000001</v>
      </c>
      <c r="K206" s="282">
        <f>IF(Notes!$B$9="Domestic",I206, IF(Notes!$B$9="Commercial",J206))*$K$149</f>
        <v>12.800200000000002</v>
      </c>
      <c r="L206" s="283">
        <f>(SUM(O206:Q206)+(K206+SUM(M206:Q206))*(INDEX($U$149:$AB$149,MATCH(Notes!$C$16,$U$3:$AB$3,0))-100%))*$L$149</f>
        <v>69.489999999999995</v>
      </c>
      <c r="M206" s="286"/>
      <c r="N206" s="286"/>
      <c r="O206" s="285">
        <v>69.489999999999995</v>
      </c>
      <c r="P206" s="285"/>
      <c r="Q206" s="285"/>
      <c r="R206" s="278"/>
      <c r="S206" s="278"/>
      <c r="T206" s="278"/>
    </row>
    <row r="207" spans="1:20" s="305" customFormat="1" hidden="1" outlineLevel="2" x14ac:dyDescent="0.25">
      <c r="A207" s="278"/>
      <c r="B207" s="279" t="str">
        <f t="shared" si="56"/>
        <v>900mm120x45mm&lt;= 25 deg.</v>
      </c>
      <c r="C207" s="278" t="s">
        <v>772</v>
      </c>
      <c r="D207" s="278" t="s">
        <v>2037</v>
      </c>
      <c r="E207" s="278" t="s">
        <v>587</v>
      </c>
      <c r="F207" s="278"/>
      <c r="G207" s="278" t="s">
        <v>11</v>
      </c>
      <c r="H207" s="310">
        <v>7.0000000000000007E-2</v>
      </c>
      <c r="I207" s="280">
        <f t="shared" si="57"/>
        <v>5.6434000000000006</v>
      </c>
      <c r="J207" s="281">
        <f t="shared" si="58"/>
        <v>6.400100000000001</v>
      </c>
      <c r="K207" s="282">
        <f>IF(Notes!$B$9="Domestic",I207, IF(Notes!$B$9="Commercial",J207))*$K$149</f>
        <v>12.800200000000002</v>
      </c>
      <c r="L207" s="283">
        <f>(SUM(O207:Q207)+(K207+SUM(M207:Q207))*(INDEX($U$149:$AB$149,MATCH(Notes!$C$16,$U$3:$AB$3,0))-100%))*$L$149</f>
        <v>85.69</v>
      </c>
      <c r="M207" s="286"/>
      <c r="N207" s="286"/>
      <c r="O207" s="285">
        <v>85.69</v>
      </c>
      <c r="P207" s="285"/>
      <c r="Q207" s="285"/>
      <c r="R207" s="278"/>
      <c r="S207" s="278"/>
      <c r="T207" s="278"/>
    </row>
    <row r="208" spans="1:20" s="305" customFormat="1" hidden="1" outlineLevel="2" x14ac:dyDescent="0.25">
      <c r="A208" s="278"/>
      <c r="B208" s="279" t="str">
        <f t="shared" si="56"/>
        <v>900mm130x45mm&lt;= 25 deg.</v>
      </c>
      <c r="C208" s="278" t="s">
        <v>772</v>
      </c>
      <c r="D208" s="278" t="s">
        <v>1959</v>
      </c>
      <c r="E208" s="278" t="s">
        <v>587</v>
      </c>
      <c r="F208" s="278"/>
      <c r="G208" s="278" t="s">
        <v>11</v>
      </c>
      <c r="H208" s="310">
        <v>7.0000000000000007E-2</v>
      </c>
      <c r="I208" s="280">
        <f t="shared" si="57"/>
        <v>5.6434000000000006</v>
      </c>
      <c r="J208" s="281">
        <f t="shared" si="58"/>
        <v>6.400100000000001</v>
      </c>
      <c r="K208" s="282">
        <f>IF(Notes!$B$9="Domestic",I208, IF(Notes!$B$9="Commercial",J208))*$K$149</f>
        <v>12.800200000000002</v>
      </c>
      <c r="L208" s="283">
        <f>(SUM(O208:Q208)+(K208+SUM(M208:Q208))*(INDEX($U$149:$AB$149,MATCH(Notes!$C$16,$U$3:$AB$3,0))-100%))*$L$149</f>
        <v>86.546899999999994</v>
      </c>
      <c r="M208" s="286"/>
      <c r="N208" s="286"/>
      <c r="O208" s="311">
        <f>O207*1.01</f>
        <v>86.546899999999994</v>
      </c>
      <c r="P208" s="285"/>
      <c r="Q208" s="285"/>
      <c r="R208" s="278"/>
      <c r="S208" s="278"/>
      <c r="T208" s="278"/>
    </row>
    <row r="209" spans="1:20" s="305" customFormat="1" hidden="1" outlineLevel="2" x14ac:dyDescent="0.25">
      <c r="A209" s="278"/>
      <c r="B209" s="279" t="str">
        <f t="shared" si="56"/>
        <v>900mm140x45mm&lt;= 25 deg.</v>
      </c>
      <c r="C209" s="278" t="s">
        <v>772</v>
      </c>
      <c r="D209" s="278" t="s">
        <v>1940</v>
      </c>
      <c r="E209" s="278" t="s">
        <v>587</v>
      </c>
      <c r="F209" s="278"/>
      <c r="G209" s="278" t="s">
        <v>11</v>
      </c>
      <c r="H209" s="310">
        <v>7.0000000000000007E-2</v>
      </c>
      <c r="I209" s="280">
        <f t="shared" si="57"/>
        <v>5.6434000000000006</v>
      </c>
      <c r="J209" s="281">
        <f t="shared" si="58"/>
        <v>6.400100000000001</v>
      </c>
      <c r="K209" s="282">
        <f>IF(Notes!$B$9="Domestic",I209, IF(Notes!$B$9="Commercial",J209))*$K$149</f>
        <v>12.800200000000002</v>
      </c>
      <c r="L209" s="283">
        <f>(SUM(O209:Q209)+(K209+SUM(M209:Q209))*(INDEX($U$149:$AB$149,MATCH(Notes!$C$16,$U$3:$AB$3,0))-100%))*$L$149</f>
        <v>93.97</v>
      </c>
      <c r="M209" s="286"/>
      <c r="N209" s="286"/>
      <c r="O209" s="285">
        <v>93.97</v>
      </c>
      <c r="P209" s="285"/>
      <c r="Q209" s="285"/>
      <c r="R209" s="278"/>
      <c r="S209" s="278"/>
      <c r="T209" s="278"/>
    </row>
    <row r="210" spans="1:20" s="305" customFormat="1" hidden="1" outlineLevel="2" x14ac:dyDescent="0.25">
      <c r="A210" s="278"/>
      <c r="B210" s="279" t="str">
        <f t="shared" si="56"/>
        <v>900mm150x45mm&lt;= 25 deg.</v>
      </c>
      <c r="C210" s="278" t="s">
        <v>772</v>
      </c>
      <c r="D210" s="278" t="s">
        <v>1962</v>
      </c>
      <c r="E210" s="278" t="s">
        <v>587</v>
      </c>
      <c r="F210" s="278"/>
      <c r="G210" s="278" t="s">
        <v>11</v>
      </c>
      <c r="H210" s="310">
        <v>7.0000000000000007E-2</v>
      </c>
      <c r="I210" s="280">
        <f t="shared" si="57"/>
        <v>5.6434000000000006</v>
      </c>
      <c r="J210" s="281">
        <f t="shared" si="58"/>
        <v>6.400100000000001</v>
      </c>
      <c r="K210" s="282">
        <f>IF(Notes!$B$9="Domestic",I210, IF(Notes!$B$9="Commercial",J210))*$K$149</f>
        <v>12.800200000000002</v>
      </c>
      <c r="L210" s="283">
        <f>(SUM(O210:Q210)+(K210+SUM(M210:Q210))*(INDEX($U$149:$AB$149,MATCH(Notes!$C$16,$U$3:$AB$3,0))-100%))*$L$149</f>
        <v>94.909700000000001</v>
      </c>
      <c r="M210" s="286"/>
      <c r="N210" s="286"/>
      <c r="O210" s="311">
        <f>O209*1.01</f>
        <v>94.909700000000001</v>
      </c>
      <c r="P210" s="285"/>
      <c r="Q210" s="285"/>
      <c r="R210" s="278"/>
      <c r="S210" s="278"/>
      <c r="T210" s="278"/>
    </row>
    <row r="211" spans="1:20" s="305" customFormat="1" hidden="1" outlineLevel="2" x14ac:dyDescent="0.25">
      <c r="A211" s="278"/>
      <c r="B211" s="279" t="str">
        <f t="shared" si="56"/>
        <v>900mm170x45mm&lt;= 25 deg.</v>
      </c>
      <c r="C211" s="278" t="s">
        <v>772</v>
      </c>
      <c r="D211" s="278" t="s">
        <v>1965</v>
      </c>
      <c r="E211" s="278" t="s">
        <v>587</v>
      </c>
      <c r="F211" s="278"/>
      <c r="G211" s="278" t="s">
        <v>11</v>
      </c>
      <c r="H211" s="310">
        <v>7.0000000000000007E-2</v>
      </c>
      <c r="I211" s="280">
        <f t="shared" si="57"/>
        <v>5.6434000000000006</v>
      </c>
      <c r="J211" s="281">
        <f t="shared" si="58"/>
        <v>6.400100000000001</v>
      </c>
      <c r="K211" s="282">
        <f>IF(Notes!$B$9="Domestic",I211, IF(Notes!$B$9="Commercial",J211))*$K$149</f>
        <v>12.800200000000002</v>
      </c>
      <c r="L211" s="283">
        <f>(SUM(O211:Q211)+(K211+SUM(M211:Q211))*(INDEX($U$149:$AB$149,MATCH(Notes!$C$16,$U$3:$AB$3,0))-100%))*$L$149</f>
        <v>102.06</v>
      </c>
      <c r="M211" s="286"/>
      <c r="N211" s="286"/>
      <c r="O211" s="285">
        <v>102.06</v>
      </c>
      <c r="P211" s="285"/>
      <c r="Q211" s="285"/>
      <c r="R211" s="278"/>
      <c r="S211" s="278"/>
      <c r="T211" s="278"/>
    </row>
    <row r="212" spans="1:20" s="305" customFormat="1" hidden="1" outlineLevel="2" x14ac:dyDescent="0.25">
      <c r="A212" s="278"/>
      <c r="B212" s="279" t="str">
        <f t="shared" si="56"/>
        <v>900mm200x45mm&lt;= 25 deg.</v>
      </c>
      <c r="C212" s="278" t="s">
        <v>772</v>
      </c>
      <c r="D212" s="278" t="s">
        <v>1945</v>
      </c>
      <c r="E212" s="278" t="s">
        <v>587</v>
      </c>
      <c r="F212" s="278"/>
      <c r="G212" s="278" t="s">
        <v>11</v>
      </c>
      <c r="H212" s="310">
        <v>0.08</v>
      </c>
      <c r="I212" s="280">
        <f t="shared" si="57"/>
        <v>6.4496000000000002</v>
      </c>
      <c r="J212" s="281">
        <f t="shared" si="58"/>
        <v>7.3144000000000009</v>
      </c>
      <c r="K212" s="282">
        <f>IF(Notes!$B$9="Domestic",I212, IF(Notes!$B$9="Commercial",J212))*$K$149</f>
        <v>14.628800000000002</v>
      </c>
      <c r="L212" s="283">
        <f>(SUM(O212:Q212)+(K212+SUM(M212:Q212))*(INDEX($U$149:$AB$149,MATCH(Notes!$C$16,$U$3:$AB$3,0))-100%))*$L$149</f>
        <v>114.35</v>
      </c>
      <c r="M212" s="286"/>
      <c r="N212" s="286"/>
      <c r="O212" s="285">
        <v>114.35</v>
      </c>
      <c r="P212" s="285"/>
      <c r="Q212" s="285"/>
      <c r="R212" s="278"/>
      <c r="S212" s="278"/>
      <c r="T212" s="278"/>
    </row>
    <row r="213" spans="1:20" s="305" customFormat="1" hidden="1" outlineLevel="2" x14ac:dyDescent="0.25">
      <c r="A213" s="278"/>
      <c r="B213" s="279" t="str">
        <f t="shared" si="56"/>
        <v>900mm240x45mm&lt;= 25 deg.</v>
      </c>
      <c r="C213" s="278" t="s">
        <v>772</v>
      </c>
      <c r="D213" s="278" t="s">
        <v>1943</v>
      </c>
      <c r="E213" s="278" t="s">
        <v>587</v>
      </c>
      <c r="F213" s="278"/>
      <c r="G213" s="278" t="s">
        <v>11</v>
      </c>
      <c r="H213" s="310">
        <v>0.08</v>
      </c>
      <c r="I213" s="280">
        <f t="shared" si="57"/>
        <v>6.4496000000000002</v>
      </c>
      <c r="J213" s="281">
        <f t="shared" si="58"/>
        <v>7.3144000000000009</v>
      </c>
      <c r="K213" s="282">
        <f>IF(Notes!$B$9="Domestic",I213, IF(Notes!$B$9="Commercial",J213))*$K$149</f>
        <v>14.628800000000002</v>
      </c>
      <c r="L213" s="283">
        <f>(SUM(O213:Q213)+(K213+SUM(M213:Q213))*(INDEX($U$149:$AB$149,MATCH(Notes!$C$16,$U$3:$AB$3,0))-100%))*$L$149</f>
        <v>130.84</v>
      </c>
      <c r="M213" s="286"/>
      <c r="N213" s="286"/>
      <c r="O213" s="285">
        <v>130.84</v>
      </c>
      <c r="P213" s="285"/>
      <c r="Q213" s="285"/>
      <c r="R213" s="278"/>
      <c r="S213" s="278"/>
      <c r="T213" s="278"/>
    </row>
    <row r="214" spans="1:20" s="305" customFormat="1" hidden="1" outlineLevel="2" x14ac:dyDescent="0.25">
      <c r="A214" s="278"/>
      <c r="B214" s="279" t="str">
        <f t="shared" si="56"/>
        <v>900mm300x45mm&lt;= 25 deg.</v>
      </c>
      <c r="C214" s="278" t="s">
        <v>772</v>
      </c>
      <c r="D214" s="278" t="s">
        <v>1950</v>
      </c>
      <c r="E214" s="278" t="s">
        <v>587</v>
      </c>
      <c r="F214" s="278"/>
      <c r="G214" s="278" t="s">
        <v>11</v>
      </c>
      <c r="H214" s="310">
        <v>0.08</v>
      </c>
      <c r="I214" s="280">
        <f t="shared" si="57"/>
        <v>6.4496000000000002</v>
      </c>
      <c r="J214" s="281">
        <f t="shared" si="58"/>
        <v>7.3144000000000009</v>
      </c>
      <c r="K214" s="282">
        <f>IF(Notes!$B$9="Domestic",I214, IF(Notes!$B$9="Commercial",J214))*$K$149</f>
        <v>14.628800000000002</v>
      </c>
      <c r="L214" s="283">
        <f>(SUM(O214:Q214)+(K214+SUM(M214:Q214))*(INDEX($U$149:$AB$149,MATCH(Notes!$C$16,$U$3:$AB$3,0))-100%))*$L$149</f>
        <v>155.36000000000001</v>
      </c>
      <c r="M214" s="286"/>
      <c r="N214" s="286"/>
      <c r="O214" s="285">
        <v>155.36000000000001</v>
      </c>
      <c r="P214" s="285"/>
      <c r="Q214" s="285"/>
      <c r="R214" s="278"/>
      <c r="S214" s="278"/>
      <c r="T214" s="278"/>
    </row>
    <row r="215" spans="1:20" s="305" customFormat="1" hidden="1" outlineLevel="2" x14ac:dyDescent="0.25">
      <c r="A215" s="278"/>
      <c r="B215" s="279" t="str">
        <f t="shared" si="56"/>
        <v>900mm300x64mm&lt;= 25 deg.</v>
      </c>
      <c r="C215" s="278" t="s">
        <v>772</v>
      </c>
      <c r="D215" s="278" t="s">
        <v>2038</v>
      </c>
      <c r="E215" s="278" t="s">
        <v>587</v>
      </c>
      <c r="F215" s="278"/>
      <c r="G215" s="278" t="s">
        <v>11</v>
      </c>
      <c r="H215" s="310">
        <v>0.08</v>
      </c>
      <c r="I215" s="280">
        <f t="shared" si="57"/>
        <v>6.4496000000000002</v>
      </c>
      <c r="J215" s="281">
        <f t="shared" si="58"/>
        <v>7.3144000000000009</v>
      </c>
      <c r="K215" s="282">
        <f>IF(Notes!$B$9="Domestic",I215, IF(Notes!$B$9="Commercial",J215))*$K$149</f>
        <v>14.628800000000002</v>
      </c>
      <c r="L215" s="283">
        <f>(SUM(O215:Q215)+(K215+SUM(M215:Q215))*(INDEX($U$149:$AB$149,MATCH(Notes!$C$16,$U$3:$AB$3,0))-100%))*$L$149</f>
        <v>201.79</v>
      </c>
      <c r="M215" s="286"/>
      <c r="N215" s="286"/>
      <c r="O215" s="285">
        <v>201.79</v>
      </c>
      <c r="P215" s="285"/>
      <c r="Q215" s="285"/>
      <c r="R215" s="278"/>
      <c r="S215" s="278"/>
      <c r="T215" s="278"/>
    </row>
    <row r="216" spans="1:20" s="305" customFormat="1" hidden="1" outlineLevel="2" x14ac:dyDescent="0.25">
      <c r="A216" s="278"/>
      <c r="B216" s="279" t="str">
        <f t="shared" si="56"/>
        <v>900mm360x45mm&lt;= 25 deg.</v>
      </c>
      <c r="C216" s="278" t="s">
        <v>772</v>
      </c>
      <c r="D216" s="278" t="s">
        <v>1971</v>
      </c>
      <c r="E216" s="278" t="s">
        <v>587</v>
      </c>
      <c r="F216" s="278"/>
      <c r="G216" s="278" t="s">
        <v>11</v>
      </c>
      <c r="H216" s="310">
        <v>0.08</v>
      </c>
      <c r="I216" s="280">
        <f t="shared" si="57"/>
        <v>6.4496000000000002</v>
      </c>
      <c r="J216" s="281">
        <f t="shared" si="58"/>
        <v>7.3144000000000009</v>
      </c>
      <c r="K216" s="282">
        <f>IF(Notes!$B$9="Domestic",I216, IF(Notes!$B$9="Commercial",J216))*$K$149</f>
        <v>14.628800000000002</v>
      </c>
      <c r="L216" s="283">
        <f>(SUM(O216:Q216)+(K216+SUM(M216:Q216))*(INDEX($U$149:$AB$149,MATCH(Notes!$C$16,$U$3:$AB$3,0))-100%))*$L$149</f>
        <v>179.69</v>
      </c>
      <c r="M216" s="286"/>
      <c r="N216" s="286"/>
      <c r="O216" s="285">
        <v>179.69</v>
      </c>
      <c r="P216" s="285"/>
      <c r="Q216" s="285"/>
      <c r="R216" s="278"/>
      <c r="S216" s="278"/>
      <c r="T216" s="278"/>
    </row>
    <row r="217" spans="1:20" s="305" customFormat="1" hidden="1" outlineLevel="2" x14ac:dyDescent="0.25">
      <c r="A217" s="278"/>
      <c r="B217" s="279" t="str">
        <f t="shared" si="56"/>
        <v>900mm360x63mm&lt;= 25 deg.</v>
      </c>
      <c r="C217" s="278" t="s">
        <v>772</v>
      </c>
      <c r="D217" s="278" t="s">
        <v>1953</v>
      </c>
      <c r="E217" s="278" t="s">
        <v>587</v>
      </c>
      <c r="F217" s="278"/>
      <c r="G217" s="278" t="s">
        <v>11</v>
      </c>
      <c r="H217" s="310">
        <v>0.08</v>
      </c>
      <c r="I217" s="280">
        <f t="shared" si="57"/>
        <v>6.4496000000000002</v>
      </c>
      <c r="J217" s="281">
        <f t="shared" si="58"/>
        <v>7.3144000000000009</v>
      </c>
      <c r="K217" s="282">
        <f>IF(Notes!$B$9="Domestic",I217, IF(Notes!$B$9="Commercial",J217))*$K$149</f>
        <v>14.628800000000002</v>
      </c>
      <c r="L217" s="283">
        <f>(SUM(O217:Q217)+(K217+SUM(M217:Q217))*(INDEX($U$149:$AB$149,MATCH(Notes!$C$16,$U$3:$AB$3,0))-100%))*$L$149</f>
        <v>235.58</v>
      </c>
      <c r="M217" s="286"/>
      <c r="N217" s="286"/>
      <c r="O217" s="285">
        <v>235.58</v>
      </c>
      <c r="P217" s="285"/>
      <c r="Q217" s="285"/>
      <c r="R217" s="278"/>
      <c r="S217" s="278"/>
      <c r="T217" s="278"/>
    </row>
    <row r="218" spans="1:20" s="305" customFormat="1" hidden="1" outlineLevel="2" x14ac:dyDescent="0.25">
      <c r="A218" s="278"/>
      <c r="B218" s="279" t="str">
        <f t="shared" si="56"/>
        <v>900mm400x45mm&lt;= 25 deg.</v>
      </c>
      <c r="C218" s="278" t="s">
        <v>772</v>
      </c>
      <c r="D218" s="278" t="s">
        <v>1972</v>
      </c>
      <c r="E218" s="278" t="s">
        <v>587</v>
      </c>
      <c r="F218" s="278"/>
      <c r="G218" s="278" t="s">
        <v>11</v>
      </c>
      <c r="H218" s="310">
        <v>0.08</v>
      </c>
      <c r="I218" s="280">
        <f t="shared" si="57"/>
        <v>6.4496000000000002</v>
      </c>
      <c r="J218" s="281">
        <f t="shared" si="58"/>
        <v>7.3144000000000009</v>
      </c>
      <c r="K218" s="282">
        <f>IF(Notes!$B$9="Domestic",I218, IF(Notes!$B$9="Commercial",J218))*$K$149</f>
        <v>14.628800000000002</v>
      </c>
      <c r="L218" s="283">
        <f>(SUM(O218:Q218)+(K218+SUM(M218:Q218))*(INDEX($U$149:$AB$149,MATCH(Notes!$C$16,$U$3:$AB$3,0))-100%))*$L$149</f>
        <v>195.9</v>
      </c>
      <c r="M218" s="286"/>
      <c r="N218" s="286"/>
      <c r="O218" s="285">
        <v>195.9</v>
      </c>
      <c r="P218" s="285"/>
      <c r="Q218" s="285"/>
      <c r="R218" s="278"/>
      <c r="S218" s="278"/>
      <c r="T218" s="278"/>
    </row>
    <row r="219" spans="1:20" s="305" customFormat="1" hidden="1" outlineLevel="2" x14ac:dyDescent="0.25">
      <c r="A219" s="278"/>
      <c r="B219" s="279" t="str">
        <f t="shared" si="56"/>
        <v>900mm400x75mm&lt;= 25 deg.</v>
      </c>
      <c r="C219" s="278" t="s">
        <v>772</v>
      </c>
      <c r="D219" s="278" t="s">
        <v>1974</v>
      </c>
      <c r="E219" s="278" t="s">
        <v>587</v>
      </c>
      <c r="F219" s="278"/>
      <c r="G219" s="278" t="s">
        <v>11</v>
      </c>
      <c r="H219" s="310">
        <v>0.08</v>
      </c>
      <c r="I219" s="280">
        <f t="shared" si="57"/>
        <v>6.4496000000000002</v>
      </c>
      <c r="J219" s="281">
        <f t="shared" si="58"/>
        <v>7.3144000000000009</v>
      </c>
      <c r="K219" s="282">
        <f>IF(Notes!$B$9="Domestic",I219, IF(Notes!$B$9="Commercial",J219))*$K$149</f>
        <v>14.628800000000002</v>
      </c>
      <c r="L219" s="283">
        <f>(SUM(O219:Q219)+(K219+SUM(M219:Q219))*(INDEX($U$149:$AB$149,MATCH(Notes!$C$16,$U$3:$AB$3,0))-100%))*$L$149</f>
        <v>337.27</v>
      </c>
      <c r="M219" s="286"/>
      <c r="N219" s="286"/>
      <c r="O219" s="285">
        <v>337.27</v>
      </c>
      <c r="P219" s="285"/>
      <c r="Q219" s="285"/>
      <c r="R219" s="278"/>
      <c r="S219" s="278"/>
      <c r="T219" s="278"/>
    </row>
    <row r="220" spans="1:20" s="305" customFormat="1" hidden="1" outlineLevel="2" x14ac:dyDescent="0.25">
      <c r="A220" s="278"/>
      <c r="B220" s="279" t="str">
        <f t="shared" si="56"/>
        <v>900mm90x45mm&gt; 25 deg.</v>
      </c>
      <c r="C220" s="278" t="s">
        <v>772</v>
      </c>
      <c r="D220" s="278" t="s">
        <v>1938</v>
      </c>
      <c r="E220" s="278" t="s">
        <v>588</v>
      </c>
      <c r="F220" s="278"/>
      <c r="G220" s="278" t="s">
        <v>11</v>
      </c>
      <c r="H220" s="310">
        <v>0.08</v>
      </c>
      <c r="I220" s="280">
        <f t="shared" si="57"/>
        <v>6.4496000000000002</v>
      </c>
      <c r="J220" s="281">
        <f t="shared" si="58"/>
        <v>7.3144000000000009</v>
      </c>
      <c r="K220" s="282">
        <f>IF(Notes!$B$9="Domestic",I220, IF(Notes!$B$9="Commercial",J220))*$K$149</f>
        <v>14.628800000000002</v>
      </c>
      <c r="L220" s="283">
        <f>(SUM(O220:Q220)+(K220+SUM(M220:Q220))*(INDEX($U$149:$AB$149,MATCH(Notes!$C$16,$U$3:$AB$3,0))-100%))*$L$149</f>
        <v>77.5</v>
      </c>
      <c r="M220" s="286"/>
      <c r="N220" s="286"/>
      <c r="O220" s="285">
        <v>77.5</v>
      </c>
      <c r="P220" s="285"/>
      <c r="Q220" s="285"/>
      <c r="R220" s="278"/>
      <c r="S220" s="278"/>
      <c r="T220" s="278"/>
    </row>
    <row r="221" spans="1:20" s="305" customFormat="1" hidden="1" outlineLevel="2" x14ac:dyDescent="0.25">
      <c r="A221" s="278"/>
      <c r="B221" s="279" t="str">
        <f t="shared" ref="B221:B233" si="59">C221&amp;D221&amp;E221&amp;F221</f>
        <v>900mm120x45mm&gt; 25 deg.</v>
      </c>
      <c r="C221" s="278" t="s">
        <v>772</v>
      </c>
      <c r="D221" s="278" t="s">
        <v>2037</v>
      </c>
      <c r="E221" s="278" t="s">
        <v>588</v>
      </c>
      <c r="F221" s="278"/>
      <c r="G221" s="278" t="s">
        <v>11</v>
      </c>
      <c r="H221" s="310">
        <v>0.08</v>
      </c>
      <c r="I221" s="280">
        <f t="shared" ref="I221:I233" si="60">$I$2*H221</f>
        <v>6.4496000000000002</v>
      </c>
      <c r="J221" s="281">
        <f t="shared" ref="J221:J233" si="61">$J$2*H221</f>
        <v>7.3144000000000009</v>
      </c>
      <c r="K221" s="282">
        <f>IF(Notes!$B$9="Domestic",I221, IF(Notes!$B$9="Commercial",J221))*$K$149</f>
        <v>14.628800000000002</v>
      </c>
      <c r="L221" s="283">
        <f>(SUM(O221:Q221)+(K221+SUM(M221:Q221))*(INDEX($U$149:$AB$149,MATCH(Notes!$C$16,$U$3:$AB$3,0))-100%))*$L$149</f>
        <v>95.43</v>
      </c>
      <c r="M221" s="286"/>
      <c r="N221" s="286"/>
      <c r="O221" s="285">
        <v>95.43</v>
      </c>
      <c r="P221" s="285"/>
      <c r="Q221" s="285"/>
      <c r="R221" s="278"/>
      <c r="S221" s="278"/>
      <c r="T221" s="278"/>
    </row>
    <row r="222" spans="1:20" s="305" customFormat="1" hidden="1" outlineLevel="2" x14ac:dyDescent="0.25">
      <c r="A222" s="278"/>
      <c r="B222" s="279" t="str">
        <f t="shared" si="59"/>
        <v>900mm130x45mm&gt; 25 deg.</v>
      </c>
      <c r="C222" s="278" t="s">
        <v>772</v>
      </c>
      <c r="D222" s="278" t="s">
        <v>1959</v>
      </c>
      <c r="E222" s="278" t="s">
        <v>588</v>
      </c>
      <c r="F222" s="278"/>
      <c r="G222" s="278" t="s">
        <v>11</v>
      </c>
      <c r="H222" s="310">
        <v>0.08</v>
      </c>
      <c r="I222" s="280">
        <f t="shared" si="60"/>
        <v>6.4496000000000002</v>
      </c>
      <c r="J222" s="281">
        <f t="shared" si="61"/>
        <v>7.3144000000000009</v>
      </c>
      <c r="K222" s="282">
        <f>IF(Notes!$B$9="Domestic",I222, IF(Notes!$B$9="Commercial",J222))*$K$149</f>
        <v>14.628800000000002</v>
      </c>
      <c r="L222" s="283">
        <f>(SUM(O222:Q222)+(K222+SUM(M222:Q222))*(INDEX($U$149:$AB$149,MATCH(Notes!$C$16,$U$3:$AB$3,0))-100%))*$L$149</f>
        <v>96.38430000000001</v>
      </c>
      <c r="M222" s="286"/>
      <c r="N222" s="286"/>
      <c r="O222" s="311">
        <f>O221*1.01</f>
        <v>96.38430000000001</v>
      </c>
      <c r="P222" s="285"/>
      <c r="Q222" s="285"/>
      <c r="R222" s="278"/>
      <c r="S222" s="278"/>
      <c r="T222" s="278"/>
    </row>
    <row r="223" spans="1:20" s="305" customFormat="1" hidden="1" outlineLevel="2" x14ac:dyDescent="0.25">
      <c r="A223" s="278"/>
      <c r="B223" s="279" t="str">
        <f t="shared" si="59"/>
        <v>900mm140x45mm&gt; 25 deg.</v>
      </c>
      <c r="C223" s="278" t="s">
        <v>772</v>
      </c>
      <c r="D223" s="278" t="s">
        <v>1940</v>
      </c>
      <c r="E223" s="278" t="s">
        <v>588</v>
      </c>
      <c r="F223" s="278"/>
      <c r="G223" s="278" t="s">
        <v>11</v>
      </c>
      <c r="H223" s="310">
        <v>0.08</v>
      </c>
      <c r="I223" s="280">
        <f t="shared" si="60"/>
        <v>6.4496000000000002</v>
      </c>
      <c r="J223" s="281">
        <f t="shared" si="61"/>
        <v>7.3144000000000009</v>
      </c>
      <c r="K223" s="282">
        <f>IF(Notes!$B$9="Domestic",I223, IF(Notes!$B$9="Commercial",J223))*$K$149</f>
        <v>14.628800000000002</v>
      </c>
      <c r="L223" s="283">
        <f>(SUM(O223:Q223)+(K223+SUM(M223:Q223))*(INDEX($U$149:$AB$149,MATCH(Notes!$C$16,$U$3:$AB$3,0))-100%))*$L$149</f>
        <v>104.58</v>
      </c>
      <c r="M223" s="286"/>
      <c r="N223" s="286"/>
      <c r="O223" s="285">
        <v>104.58</v>
      </c>
      <c r="P223" s="285"/>
      <c r="Q223" s="285"/>
      <c r="R223" s="278"/>
      <c r="S223" s="278"/>
      <c r="T223" s="278"/>
    </row>
    <row r="224" spans="1:20" s="305" customFormat="1" hidden="1" outlineLevel="2" x14ac:dyDescent="0.25">
      <c r="A224" s="278"/>
      <c r="B224" s="279" t="str">
        <f t="shared" si="59"/>
        <v>900mm150x45mm&gt; 25 deg.</v>
      </c>
      <c r="C224" s="278" t="s">
        <v>772</v>
      </c>
      <c r="D224" s="278" t="s">
        <v>1962</v>
      </c>
      <c r="E224" s="278" t="s">
        <v>588</v>
      </c>
      <c r="F224" s="278"/>
      <c r="G224" s="278" t="s">
        <v>11</v>
      </c>
      <c r="H224" s="310">
        <v>0.08</v>
      </c>
      <c r="I224" s="280">
        <f t="shared" si="60"/>
        <v>6.4496000000000002</v>
      </c>
      <c r="J224" s="281">
        <f t="shared" si="61"/>
        <v>7.3144000000000009</v>
      </c>
      <c r="K224" s="282">
        <f>IF(Notes!$B$9="Domestic",I224, IF(Notes!$B$9="Commercial",J224))*$K$149</f>
        <v>14.628800000000002</v>
      </c>
      <c r="L224" s="283">
        <f>(SUM(O224:Q224)+(K224+SUM(M224:Q224))*(INDEX($U$149:$AB$149,MATCH(Notes!$C$16,$U$3:$AB$3,0))-100%))*$L$149</f>
        <v>105.6258</v>
      </c>
      <c r="M224" s="286"/>
      <c r="N224" s="286"/>
      <c r="O224" s="311">
        <f>O223*1.01</f>
        <v>105.6258</v>
      </c>
      <c r="P224" s="285"/>
      <c r="Q224" s="285"/>
      <c r="R224" s="278"/>
      <c r="S224" s="278"/>
      <c r="T224" s="278"/>
    </row>
    <row r="225" spans="1:28" s="305" customFormat="1" hidden="1" outlineLevel="2" x14ac:dyDescent="0.25">
      <c r="A225" s="278"/>
      <c r="B225" s="279" t="str">
        <f t="shared" si="59"/>
        <v>900mm170x45mm&gt; 25 deg.</v>
      </c>
      <c r="C225" s="278" t="s">
        <v>772</v>
      </c>
      <c r="D225" s="278" t="s">
        <v>1965</v>
      </c>
      <c r="E225" s="278" t="s">
        <v>588</v>
      </c>
      <c r="F225" s="278"/>
      <c r="G225" s="278" t="s">
        <v>11</v>
      </c>
      <c r="H225" s="310">
        <v>0.08</v>
      </c>
      <c r="I225" s="280">
        <f t="shared" si="60"/>
        <v>6.4496000000000002</v>
      </c>
      <c r="J225" s="281">
        <f t="shared" si="61"/>
        <v>7.3144000000000009</v>
      </c>
      <c r="K225" s="282">
        <f>IF(Notes!$B$9="Domestic",I225, IF(Notes!$B$9="Commercial",J225))*$K$149</f>
        <v>14.628800000000002</v>
      </c>
      <c r="L225" s="283">
        <f>(SUM(O225:Q225)+(K225+SUM(M225:Q225))*(INDEX($U$149:$AB$149,MATCH(Notes!$C$16,$U$3:$AB$3,0))-100%))*$L$149</f>
        <v>113.54</v>
      </c>
      <c r="M225" s="286"/>
      <c r="N225" s="286"/>
      <c r="O225" s="285">
        <v>113.54</v>
      </c>
      <c r="P225" s="285"/>
      <c r="Q225" s="285"/>
      <c r="R225" s="278"/>
      <c r="S225" s="278"/>
      <c r="T225" s="278"/>
    </row>
    <row r="226" spans="1:28" s="305" customFormat="1" hidden="1" outlineLevel="2" x14ac:dyDescent="0.25">
      <c r="A226" s="278"/>
      <c r="B226" s="279" t="str">
        <f t="shared" si="59"/>
        <v>900mm200x45mm&gt; 25 deg.</v>
      </c>
      <c r="C226" s="278" t="s">
        <v>772</v>
      </c>
      <c r="D226" s="278" t="s">
        <v>1945</v>
      </c>
      <c r="E226" s="278" t="s">
        <v>588</v>
      </c>
      <c r="F226" s="278"/>
      <c r="G226" s="278" t="s">
        <v>11</v>
      </c>
      <c r="H226" s="310">
        <v>0.09</v>
      </c>
      <c r="I226" s="280">
        <f t="shared" si="60"/>
        <v>7.2557999999999998</v>
      </c>
      <c r="J226" s="281">
        <f t="shared" si="61"/>
        <v>8.2286999999999999</v>
      </c>
      <c r="K226" s="282">
        <f>IF(Notes!$B$9="Domestic",I226, IF(Notes!$B$9="Commercial",J226))*$K$149</f>
        <v>16.4574</v>
      </c>
      <c r="L226" s="283">
        <f>(SUM(O226:Q226)+(K226+SUM(M226:Q226))*(INDEX($U$149:$AB$149,MATCH(Notes!$C$16,$U$3:$AB$3,0))-100%))*$L$149</f>
        <v>127.14</v>
      </c>
      <c r="M226" s="286"/>
      <c r="N226" s="286"/>
      <c r="O226" s="285">
        <v>127.14</v>
      </c>
      <c r="P226" s="285"/>
      <c r="Q226" s="285"/>
      <c r="R226" s="278"/>
      <c r="S226" s="278"/>
      <c r="T226" s="278"/>
    </row>
    <row r="227" spans="1:28" s="305" customFormat="1" hidden="1" outlineLevel="2" x14ac:dyDescent="0.25">
      <c r="A227" s="278"/>
      <c r="B227" s="279" t="str">
        <f t="shared" si="59"/>
        <v>900mm240x45mm&gt; 25 deg.</v>
      </c>
      <c r="C227" s="278" t="s">
        <v>772</v>
      </c>
      <c r="D227" s="278" t="s">
        <v>1943</v>
      </c>
      <c r="E227" s="278" t="s">
        <v>588</v>
      </c>
      <c r="F227" s="278"/>
      <c r="G227" s="278" t="s">
        <v>11</v>
      </c>
      <c r="H227" s="310">
        <v>0.09</v>
      </c>
      <c r="I227" s="280">
        <f t="shared" si="60"/>
        <v>7.2557999999999998</v>
      </c>
      <c r="J227" s="281">
        <f t="shared" si="61"/>
        <v>8.2286999999999999</v>
      </c>
      <c r="K227" s="282">
        <f>IF(Notes!$B$9="Domestic",I227, IF(Notes!$B$9="Commercial",J227))*$K$149</f>
        <v>16.4574</v>
      </c>
      <c r="L227" s="283">
        <f>(SUM(O227:Q227)+(K227+SUM(M227:Q227))*(INDEX($U$149:$AB$149,MATCH(Notes!$C$16,$U$3:$AB$3,0))-100%))*$L$149</f>
        <v>145.38</v>
      </c>
      <c r="M227" s="286"/>
      <c r="N227" s="286"/>
      <c r="O227" s="285">
        <v>145.38</v>
      </c>
      <c r="P227" s="285"/>
      <c r="Q227" s="285"/>
      <c r="R227" s="278"/>
      <c r="S227" s="278"/>
      <c r="T227" s="278"/>
    </row>
    <row r="228" spans="1:28" s="305" customFormat="1" hidden="1" outlineLevel="2" x14ac:dyDescent="0.25">
      <c r="A228" s="278"/>
      <c r="B228" s="279" t="str">
        <f t="shared" si="59"/>
        <v>900mm300x45mm&gt; 25 deg.</v>
      </c>
      <c r="C228" s="278" t="s">
        <v>772</v>
      </c>
      <c r="D228" s="278" t="s">
        <v>1950</v>
      </c>
      <c r="E228" s="278" t="s">
        <v>588</v>
      </c>
      <c r="F228" s="278"/>
      <c r="G228" s="278" t="s">
        <v>11</v>
      </c>
      <c r="H228" s="310">
        <v>0.09</v>
      </c>
      <c r="I228" s="280">
        <f t="shared" si="60"/>
        <v>7.2557999999999998</v>
      </c>
      <c r="J228" s="281">
        <f t="shared" si="61"/>
        <v>8.2286999999999999</v>
      </c>
      <c r="K228" s="282">
        <f>IF(Notes!$B$9="Domestic",I228, IF(Notes!$B$9="Commercial",J228))*$K$149</f>
        <v>16.4574</v>
      </c>
      <c r="L228" s="283">
        <f>(SUM(O228:Q228)+(K228+SUM(M228:Q228))*(INDEX($U$149:$AB$149,MATCH(Notes!$C$16,$U$3:$AB$3,0))-100%))*$L$149</f>
        <v>172.51</v>
      </c>
      <c r="M228" s="286"/>
      <c r="N228" s="286"/>
      <c r="O228" s="285">
        <v>172.51</v>
      </c>
      <c r="P228" s="285"/>
      <c r="Q228" s="285"/>
      <c r="R228" s="278"/>
      <c r="S228" s="278"/>
      <c r="T228" s="278"/>
    </row>
    <row r="229" spans="1:28" s="305" customFormat="1" hidden="1" outlineLevel="2" x14ac:dyDescent="0.25">
      <c r="A229" s="278"/>
      <c r="B229" s="279" t="str">
        <f t="shared" si="59"/>
        <v>900mm300x64mm&gt; 25 deg.</v>
      </c>
      <c r="C229" s="278" t="s">
        <v>772</v>
      </c>
      <c r="D229" s="278" t="s">
        <v>2038</v>
      </c>
      <c r="E229" s="278" t="s">
        <v>588</v>
      </c>
      <c r="F229" s="278"/>
      <c r="G229" s="278" t="s">
        <v>11</v>
      </c>
      <c r="H229" s="310">
        <v>0.09</v>
      </c>
      <c r="I229" s="280">
        <f t="shared" si="60"/>
        <v>7.2557999999999998</v>
      </c>
      <c r="J229" s="281">
        <f t="shared" si="61"/>
        <v>8.2286999999999999</v>
      </c>
      <c r="K229" s="282">
        <f>IF(Notes!$B$9="Domestic",I229, IF(Notes!$B$9="Commercial",J229))*$K$149</f>
        <v>16.4574</v>
      </c>
      <c r="L229" s="283">
        <f>(SUM(O229:Q229)+(K229+SUM(M229:Q229))*(INDEX($U$149:$AB$149,MATCH(Notes!$C$16,$U$3:$AB$3,0))-100%))*$L$149</f>
        <v>223.87</v>
      </c>
      <c r="M229" s="286"/>
      <c r="N229" s="286"/>
      <c r="O229" s="285">
        <v>223.87</v>
      </c>
      <c r="P229" s="285"/>
      <c r="Q229" s="285"/>
      <c r="R229" s="278"/>
      <c r="S229" s="278"/>
      <c r="T229" s="278"/>
    </row>
    <row r="230" spans="1:28" s="305" customFormat="1" hidden="1" outlineLevel="2" x14ac:dyDescent="0.25">
      <c r="A230" s="278"/>
      <c r="B230" s="279" t="str">
        <f t="shared" si="59"/>
        <v>900mm360x45mm&gt; 25 deg.</v>
      </c>
      <c r="C230" s="278" t="s">
        <v>772</v>
      </c>
      <c r="D230" s="278" t="s">
        <v>1971</v>
      </c>
      <c r="E230" s="278" t="s">
        <v>588</v>
      </c>
      <c r="F230" s="278"/>
      <c r="G230" s="278" t="s">
        <v>11</v>
      </c>
      <c r="H230" s="310">
        <v>0.09</v>
      </c>
      <c r="I230" s="280">
        <f t="shared" si="60"/>
        <v>7.2557999999999998</v>
      </c>
      <c r="J230" s="281">
        <f t="shared" si="61"/>
        <v>8.2286999999999999</v>
      </c>
      <c r="K230" s="282">
        <f>IF(Notes!$B$9="Domestic",I230, IF(Notes!$B$9="Commercial",J230))*$K$149</f>
        <v>16.4574</v>
      </c>
      <c r="L230" s="283">
        <f>(SUM(O230:Q230)+(K230+SUM(M230:Q230))*(INDEX($U$149:$AB$149,MATCH(Notes!$C$16,$U$3:$AB$3,0))-100%))*$L$149</f>
        <v>199.42</v>
      </c>
      <c r="M230" s="286"/>
      <c r="N230" s="286"/>
      <c r="O230" s="285">
        <v>199.42</v>
      </c>
      <c r="P230" s="285"/>
      <c r="Q230" s="285"/>
      <c r="R230" s="278"/>
      <c r="S230" s="278"/>
      <c r="T230" s="278"/>
    </row>
    <row r="231" spans="1:28" s="305" customFormat="1" hidden="1" outlineLevel="2" x14ac:dyDescent="0.25">
      <c r="A231" s="278"/>
      <c r="B231" s="279" t="str">
        <f t="shared" si="59"/>
        <v>900mm360x63mm&gt; 25 deg.</v>
      </c>
      <c r="C231" s="278" t="s">
        <v>772</v>
      </c>
      <c r="D231" s="278" t="s">
        <v>1953</v>
      </c>
      <c r="E231" s="278" t="s">
        <v>588</v>
      </c>
      <c r="F231" s="278"/>
      <c r="G231" s="278" t="s">
        <v>11</v>
      </c>
      <c r="H231" s="310">
        <v>0.09</v>
      </c>
      <c r="I231" s="280">
        <f t="shared" si="60"/>
        <v>7.2557999999999998</v>
      </c>
      <c r="J231" s="281">
        <f t="shared" si="61"/>
        <v>8.2286999999999999</v>
      </c>
      <c r="K231" s="282">
        <f>IF(Notes!$B$9="Domestic",I231, IF(Notes!$B$9="Commercial",J231))*$K$149</f>
        <v>16.4574</v>
      </c>
      <c r="L231" s="283">
        <f>(SUM(O231:Q231)+(K231+SUM(M231:Q231))*(INDEX($U$149:$AB$149,MATCH(Notes!$C$16,$U$3:$AB$3,0))-100%))*$L$149</f>
        <v>261.26</v>
      </c>
      <c r="M231" s="286"/>
      <c r="N231" s="286"/>
      <c r="O231" s="285">
        <v>261.26</v>
      </c>
      <c r="P231" s="285"/>
      <c r="Q231" s="285"/>
      <c r="R231" s="278"/>
      <c r="S231" s="278"/>
      <c r="T231" s="278"/>
    </row>
    <row r="232" spans="1:28" s="305" customFormat="1" hidden="1" outlineLevel="2" x14ac:dyDescent="0.25">
      <c r="A232" s="278"/>
      <c r="B232" s="279" t="str">
        <f t="shared" si="59"/>
        <v>900mm400x45mm&gt; 25 deg.</v>
      </c>
      <c r="C232" s="278" t="s">
        <v>772</v>
      </c>
      <c r="D232" s="278" t="s">
        <v>1972</v>
      </c>
      <c r="E232" s="278" t="s">
        <v>588</v>
      </c>
      <c r="F232" s="278"/>
      <c r="G232" s="278" t="s">
        <v>11</v>
      </c>
      <c r="H232" s="310">
        <v>0.09</v>
      </c>
      <c r="I232" s="280">
        <f t="shared" si="60"/>
        <v>7.2557999999999998</v>
      </c>
      <c r="J232" s="281">
        <f t="shared" si="61"/>
        <v>8.2286999999999999</v>
      </c>
      <c r="K232" s="282">
        <f>IF(Notes!$B$9="Domestic",I232, IF(Notes!$B$9="Commercial",J232))*$K$149</f>
        <v>16.4574</v>
      </c>
      <c r="L232" s="283">
        <f>(SUM(O232:Q232)+(K232+SUM(M232:Q232))*(INDEX($U$149:$AB$149,MATCH(Notes!$C$16,$U$3:$AB$3,0))-100%))*$L$149</f>
        <v>217.36</v>
      </c>
      <c r="M232" s="286"/>
      <c r="N232" s="286"/>
      <c r="O232" s="285">
        <v>217.36</v>
      </c>
      <c r="P232" s="285"/>
      <c r="Q232" s="285"/>
      <c r="R232" s="278"/>
      <c r="S232" s="278"/>
      <c r="T232" s="278"/>
    </row>
    <row r="233" spans="1:28" s="305" customFormat="1" hidden="1" outlineLevel="2" x14ac:dyDescent="0.25">
      <c r="A233" s="278"/>
      <c r="B233" s="279" t="str">
        <f t="shared" si="59"/>
        <v>900mm400x75mm&gt; 25 deg.</v>
      </c>
      <c r="C233" s="278" t="s">
        <v>772</v>
      </c>
      <c r="D233" s="278" t="s">
        <v>1974</v>
      </c>
      <c r="E233" s="278" t="s">
        <v>588</v>
      </c>
      <c r="F233" s="278"/>
      <c r="G233" s="278" t="s">
        <v>11</v>
      </c>
      <c r="H233" s="310">
        <v>0.09</v>
      </c>
      <c r="I233" s="280">
        <f t="shared" si="60"/>
        <v>7.2557999999999998</v>
      </c>
      <c r="J233" s="281">
        <f t="shared" si="61"/>
        <v>8.2286999999999999</v>
      </c>
      <c r="K233" s="282">
        <f>IF(Notes!$B$9="Domestic",I233, IF(Notes!$B$9="Commercial",J233))*$K$149</f>
        <v>16.4574</v>
      </c>
      <c r="L233" s="283">
        <f>(SUM(O233:Q233)+(K233+SUM(M233:Q233))*(INDEX($U$149:$AB$149,MATCH(Notes!$C$16,$U$3:$AB$3,0))-100%))*$L$149</f>
        <v>373.77</v>
      </c>
      <c r="M233" s="286"/>
      <c r="N233" s="286"/>
      <c r="O233" s="285">
        <v>373.77</v>
      </c>
      <c r="P233" s="285"/>
      <c r="Q233" s="285"/>
      <c r="R233" s="278"/>
      <c r="S233" s="278"/>
      <c r="T233" s="278"/>
    </row>
    <row r="234" spans="1:28" ht="21" hidden="1" outlineLevel="1" collapsed="1" x14ac:dyDescent="0.25">
      <c r="A234" s="299" t="s">
        <v>1889</v>
      </c>
      <c r="B234" s="299"/>
      <c r="C234" s="299"/>
      <c r="D234" s="299"/>
      <c r="E234" s="299"/>
      <c r="F234" s="299"/>
      <c r="G234" s="299"/>
      <c r="H234" s="348"/>
      <c r="I234" s="299"/>
      <c r="J234" s="299"/>
      <c r="K234" s="299"/>
      <c r="L234" s="299"/>
      <c r="M234" s="299"/>
      <c r="N234" s="299"/>
      <c r="O234" s="299"/>
      <c r="P234" s="299"/>
      <c r="Q234" s="299"/>
      <c r="R234" s="299"/>
      <c r="S234" s="299"/>
      <c r="T234" s="299"/>
      <c r="U234" s="299"/>
      <c r="V234" s="299"/>
      <c r="W234" s="299"/>
      <c r="X234" s="299"/>
      <c r="Y234" s="299"/>
      <c r="Z234" s="299"/>
      <c r="AA234" s="299"/>
      <c r="AB234" s="299"/>
    </row>
    <row r="235" spans="1:28" ht="15.75" hidden="1" outlineLevel="1" x14ac:dyDescent="0.25">
      <c r="A235" s="291"/>
      <c r="B235" s="291"/>
      <c r="C235" s="291"/>
      <c r="D235" s="291"/>
      <c r="E235" s="291"/>
      <c r="F235" s="291"/>
      <c r="G235" s="291"/>
      <c r="H235" s="325"/>
      <c r="I235" s="291"/>
      <c r="J235" s="291"/>
      <c r="K235" s="291">
        <v>2</v>
      </c>
      <c r="L235" s="291">
        <f>L$2</f>
        <v>1</v>
      </c>
      <c r="M235" s="291"/>
      <c r="N235" s="291"/>
      <c r="O235" s="303"/>
      <c r="P235" s="303"/>
      <c r="Q235" s="303"/>
      <c r="R235" s="291"/>
      <c r="S235" s="291"/>
      <c r="T235" s="291"/>
      <c r="U235" s="381">
        <f>U$2</f>
        <v>1.0309523809523808</v>
      </c>
      <c r="V235" s="381">
        <f>V$2</f>
        <v>1</v>
      </c>
      <c r="W235" s="381">
        <f t="shared" ref="W235:AB235" si="62">W$2</f>
        <v>1.0705952380952379</v>
      </c>
      <c r="X235" s="381">
        <f t="shared" si="62"/>
        <v>1.1199999999999999</v>
      </c>
      <c r="Y235" s="381">
        <f t="shared" si="62"/>
        <v>1.0571428571428572</v>
      </c>
      <c r="Z235" s="381">
        <f t="shared" si="62"/>
        <v>1.1299999999999999</v>
      </c>
      <c r="AA235" s="381">
        <f t="shared" si="62"/>
        <v>1.0776942355889725</v>
      </c>
      <c r="AB235" s="381">
        <f t="shared" si="62"/>
        <v>1.0325814536340854</v>
      </c>
    </row>
    <row r="236" spans="1:28" s="305" customFormat="1" hidden="1" outlineLevel="2" x14ac:dyDescent="0.25">
      <c r="A236" s="278"/>
      <c r="B236" s="279" t="str">
        <f>C236&amp;D236&amp;E236&amp;F236</f>
        <v>work into existing roof</v>
      </c>
      <c r="C236" s="278" t="s">
        <v>1890</v>
      </c>
      <c r="D236" s="278"/>
      <c r="E236" s="278"/>
      <c r="F236" s="278"/>
      <c r="G236" s="278" t="s">
        <v>5</v>
      </c>
      <c r="H236" s="310">
        <v>4</v>
      </c>
      <c r="I236" s="280">
        <f>$I$2*H236</f>
        <v>322.48</v>
      </c>
      <c r="J236" s="281">
        <f>$J$2*H236</f>
        <v>365.72</v>
      </c>
      <c r="K236" s="282">
        <f>IF(Notes!$B$9="Domestic",I236, IF(Notes!$B$9="Commercial",J236))*$K$235</f>
        <v>731.44</v>
      </c>
      <c r="L236" s="283">
        <f>(SUM(O236:Q236)+(K236+SUM(M236:Q236))*(INDEX($U$235:$AB$235,MATCH(Notes!$C$16,$U$3:$AB$3,0))-100%))*$L$235</f>
        <v>200</v>
      </c>
      <c r="M236" s="286"/>
      <c r="N236" s="286"/>
      <c r="O236" s="285">
        <v>200</v>
      </c>
      <c r="P236" s="285"/>
      <c r="Q236" s="285"/>
      <c r="R236" s="278"/>
      <c r="S236" s="278"/>
      <c r="T236" s="278"/>
    </row>
    <row r="237" spans="1:28" ht="21" hidden="1" outlineLevel="1" collapsed="1" x14ac:dyDescent="0.25">
      <c r="A237" s="299" t="s">
        <v>1873</v>
      </c>
      <c r="B237" s="299"/>
      <c r="C237" s="299"/>
      <c r="D237" s="299"/>
      <c r="E237" s="299"/>
      <c r="F237" s="299"/>
      <c r="G237" s="299"/>
      <c r="H237" s="348"/>
      <c r="I237" s="299"/>
      <c r="J237" s="299"/>
      <c r="K237" s="299"/>
      <c r="L237" s="299"/>
      <c r="M237" s="299"/>
      <c r="N237" s="299"/>
      <c r="O237" s="299"/>
      <c r="P237" s="299"/>
      <c r="Q237" s="299"/>
      <c r="R237" s="299"/>
      <c r="S237" s="299"/>
      <c r="T237" s="299"/>
      <c r="U237" s="299"/>
      <c r="V237" s="299"/>
      <c r="W237" s="299"/>
      <c r="X237" s="299"/>
      <c r="Y237" s="299"/>
      <c r="Z237" s="299"/>
      <c r="AA237" s="299"/>
      <c r="AB237" s="299"/>
    </row>
    <row r="238" spans="1:28" ht="15.75" hidden="1" outlineLevel="1" x14ac:dyDescent="0.25">
      <c r="A238" s="291"/>
      <c r="B238" s="291"/>
      <c r="C238" s="291"/>
      <c r="D238" s="291"/>
      <c r="E238" s="291"/>
      <c r="F238" s="291"/>
      <c r="G238" s="291"/>
      <c r="H238" s="325"/>
      <c r="I238" s="291"/>
      <c r="J238" s="291"/>
      <c r="K238" s="291">
        <v>2</v>
      </c>
      <c r="L238" s="291">
        <f>L$2</f>
        <v>1</v>
      </c>
      <c r="M238" s="291"/>
      <c r="N238" s="291"/>
      <c r="O238" s="303"/>
      <c r="P238" s="303"/>
      <c r="Q238" s="303"/>
      <c r="R238" s="291"/>
      <c r="S238" s="291"/>
      <c r="T238" s="291"/>
      <c r="U238" s="381">
        <f>U$2</f>
        <v>1.0309523809523808</v>
      </c>
      <c r="V238" s="381">
        <f>V$2</f>
        <v>1</v>
      </c>
      <c r="W238" s="381">
        <f t="shared" ref="W238:AB238" si="63">W$2</f>
        <v>1.0705952380952379</v>
      </c>
      <c r="X238" s="381">
        <f t="shared" si="63"/>
        <v>1.1199999999999999</v>
      </c>
      <c r="Y238" s="381">
        <f t="shared" si="63"/>
        <v>1.0571428571428572</v>
      </c>
      <c r="Z238" s="381">
        <f t="shared" si="63"/>
        <v>1.1299999999999999</v>
      </c>
      <c r="AA238" s="381">
        <f t="shared" si="63"/>
        <v>1.0776942355889725</v>
      </c>
      <c r="AB238" s="381">
        <f t="shared" si="63"/>
        <v>1.0325814536340854</v>
      </c>
    </row>
    <row r="239" spans="1:28" s="305" customFormat="1" hidden="1" outlineLevel="2" x14ac:dyDescent="0.25">
      <c r="A239" s="278"/>
      <c r="B239" s="279" t="str">
        <f>C239&amp;D239&amp;E239&amp;F239</f>
        <v>rafter/joist/lintel45x35mmMGP10</v>
      </c>
      <c r="C239" s="278" t="s">
        <v>1875</v>
      </c>
      <c r="D239" s="278" t="s">
        <v>1934</v>
      </c>
      <c r="E239" s="278" t="s">
        <v>505</v>
      </c>
      <c r="F239" s="278"/>
      <c r="G239" s="278" t="s">
        <v>15</v>
      </c>
      <c r="H239" s="310">
        <v>0.03</v>
      </c>
      <c r="I239" s="280">
        <f>$I$2*H239</f>
        <v>2.4186000000000001</v>
      </c>
      <c r="J239" s="281">
        <f>$J$2*H239</f>
        <v>2.7429000000000001</v>
      </c>
      <c r="K239" s="282">
        <f>IF(Notes!$B$9="Domestic",I239, IF(Notes!$B$9="Commercial",J239))*$K$238</f>
        <v>5.4858000000000002</v>
      </c>
      <c r="L239" s="283">
        <f>(SUM(O239:Q239)+(K239+SUM(M239:Q239))*(INDEX($U$238:$AB$238,MATCH(Notes!$C$16,$U$3:$AB$3,0))-100%))*$L$238</f>
        <v>3.01</v>
      </c>
      <c r="M239" s="286"/>
      <c r="N239" s="286"/>
      <c r="O239" s="285">
        <v>3.01</v>
      </c>
      <c r="P239" s="285"/>
      <c r="Q239" s="285"/>
      <c r="R239" s="278"/>
      <c r="S239" s="278"/>
      <c r="T239" s="278"/>
    </row>
    <row r="240" spans="1:28" s="305" customFormat="1" hidden="1" outlineLevel="2" x14ac:dyDescent="0.25">
      <c r="A240" s="278"/>
      <c r="B240" s="279" t="str">
        <f t="shared" ref="B240" si="64">C240&amp;D240&amp;E240&amp;F240</f>
        <v>rafter/joist/lintel70x35mmMGP10</v>
      </c>
      <c r="C240" s="278" t="s">
        <v>1875</v>
      </c>
      <c r="D240" s="278" t="s">
        <v>1935</v>
      </c>
      <c r="E240" s="278" t="s">
        <v>505</v>
      </c>
      <c r="F240" s="278"/>
      <c r="G240" s="278" t="s">
        <v>15</v>
      </c>
      <c r="H240" s="310">
        <v>0.03</v>
      </c>
      <c r="I240" s="280">
        <f t="shared" ref="I240" si="65">$I$2*H240</f>
        <v>2.4186000000000001</v>
      </c>
      <c r="J240" s="281">
        <f t="shared" ref="J240" si="66">$J$2*H240</f>
        <v>2.7429000000000001</v>
      </c>
      <c r="K240" s="282">
        <f>IF(Notes!$B$9="Domestic",I240, IF(Notes!$B$9="Commercial",J240))*$K$238</f>
        <v>5.4858000000000002</v>
      </c>
      <c r="L240" s="283">
        <f>(SUM(O240:Q240)+(K240+SUM(M240:Q240))*(INDEX($U$238:$AB$238,MATCH(Notes!$C$16,$U$3:$AB$3,0))-100%))*$L$238</f>
        <v>5.64</v>
      </c>
      <c r="M240" s="286"/>
      <c r="N240" s="286"/>
      <c r="O240" s="285">
        <v>5.64</v>
      </c>
      <c r="P240" s="285"/>
      <c r="Q240" s="285"/>
      <c r="R240" s="278"/>
      <c r="S240" s="278"/>
      <c r="T240" s="278"/>
    </row>
    <row r="241" spans="1:20" s="305" customFormat="1" hidden="1" outlineLevel="2" x14ac:dyDescent="0.25">
      <c r="A241" s="278"/>
      <c r="B241" s="279" t="str">
        <f t="shared" ref="B241:B326" si="67">C241&amp;D241&amp;E241&amp;F241</f>
        <v>rafter/joist/lintel70x45mmMGP10</v>
      </c>
      <c r="C241" s="278" t="s">
        <v>1875</v>
      </c>
      <c r="D241" s="278" t="s">
        <v>1936</v>
      </c>
      <c r="E241" s="278" t="s">
        <v>505</v>
      </c>
      <c r="F241" s="278"/>
      <c r="G241" s="278" t="s">
        <v>15</v>
      </c>
      <c r="H241" s="310">
        <v>0.03</v>
      </c>
      <c r="I241" s="280">
        <f t="shared" ref="I241:I326" si="68">$I$2*H241</f>
        <v>2.4186000000000001</v>
      </c>
      <c r="J241" s="281">
        <f t="shared" ref="J241:J326" si="69">$J$2*H241</f>
        <v>2.7429000000000001</v>
      </c>
      <c r="K241" s="282">
        <f>IF(Notes!$B$9="Domestic",I241, IF(Notes!$B$9="Commercial",J241))*$K$238</f>
        <v>5.4858000000000002</v>
      </c>
      <c r="L241" s="283">
        <f>(SUM(O241:Q241)+(K241+SUM(M241:Q241))*(INDEX($U$238:$AB$238,MATCH(Notes!$C$16,$U$3:$AB$3,0))-100%))*$L$238</f>
        <v>6.64</v>
      </c>
      <c r="M241" s="286"/>
      <c r="N241" s="286"/>
      <c r="O241" s="285">
        <v>6.64</v>
      </c>
      <c r="P241" s="285"/>
      <c r="Q241" s="285"/>
      <c r="R241" s="278"/>
      <c r="S241" s="329"/>
      <c r="T241" s="278"/>
    </row>
    <row r="242" spans="1:20" s="305" customFormat="1" hidden="1" outlineLevel="2" x14ac:dyDescent="0.25">
      <c r="A242" s="278"/>
      <c r="B242" s="279" t="str">
        <f t="shared" si="67"/>
        <v>rafter/joist/lintel90x35mmMGP10</v>
      </c>
      <c r="C242" s="278" t="s">
        <v>1875</v>
      </c>
      <c r="D242" s="278" t="s">
        <v>1937</v>
      </c>
      <c r="E242" s="278" t="s">
        <v>505</v>
      </c>
      <c r="F242" s="278"/>
      <c r="G242" s="278" t="s">
        <v>15</v>
      </c>
      <c r="H242" s="310">
        <v>0.03</v>
      </c>
      <c r="I242" s="280">
        <f t="shared" si="68"/>
        <v>2.4186000000000001</v>
      </c>
      <c r="J242" s="281">
        <f t="shared" si="69"/>
        <v>2.7429000000000001</v>
      </c>
      <c r="K242" s="282">
        <f>IF(Notes!$B$9="Domestic",I242, IF(Notes!$B$9="Commercial",J242))*$K$238</f>
        <v>5.4858000000000002</v>
      </c>
      <c r="L242" s="283">
        <f>(SUM(O242:Q242)+(K242+SUM(M242:Q242))*(INDEX($U$238:$AB$238,MATCH(Notes!$C$16,$U$3:$AB$3,0))-100%))*$L$238</f>
        <v>6.46</v>
      </c>
      <c r="M242" s="286"/>
      <c r="N242" s="286"/>
      <c r="O242" s="285">
        <v>6.46</v>
      </c>
      <c r="P242" s="285"/>
      <c r="Q242" s="285"/>
      <c r="R242" s="278"/>
      <c r="S242" s="329"/>
      <c r="T242" s="278"/>
    </row>
    <row r="243" spans="1:20" s="305" customFormat="1" hidden="1" outlineLevel="2" x14ac:dyDescent="0.25">
      <c r="A243" s="278"/>
      <c r="B243" s="279" t="str">
        <f t="shared" si="67"/>
        <v>rafter/joist/lintel90x45mmMGP10</v>
      </c>
      <c r="C243" s="278" t="s">
        <v>1875</v>
      </c>
      <c r="D243" s="278" t="s">
        <v>1938</v>
      </c>
      <c r="E243" s="278" t="s">
        <v>505</v>
      </c>
      <c r="F243" s="278"/>
      <c r="G243" s="278" t="s">
        <v>15</v>
      </c>
      <c r="H243" s="310">
        <v>0.03</v>
      </c>
      <c r="I243" s="280">
        <f t="shared" si="68"/>
        <v>2.4186000000000001</v>
      </c>
      <c r="J243" s="281">
        <f t="shared" si="69"/>
        <v>2.7429000000000001</v>
      </c>
      <c r="K243" s="282">
        <f>IF(Notes!$B$9="Domestic",I243, IF(Notes!$B$9="Commercial",J243))*$K$238</f>
        <v>5.4858000000000002</v>
      </c>
      <c r="L243" s="283">
        <f>(SUM(O243:Q243)+(K243+SUM(M243:Q243))*(INDEX($U$238:$AB$238,MATCH(Notes!$C$16,$U$3:$AB$3,0))-100%))*$L$238</f>
        <v>8.82</v>
      </c>
      <c r="M243" s="286"/>
      <c r="N243" s="286"/>
      <c r="O243" s="285">
        <v>8.82</v>
      </c>
      <c r="P243" s="285"/>
      <c r="Q243" s="285"/>
      <c r="R243" s="278"/>
      <c r="S243" s="329"/>
      <c r="T243" s="278"/>
    </row>
    <row r="244" spans="1:20" s="305" customFormat="1" hidden="1" outlineLevel="2" x14ac:dyDescent="0.25">
      <c r="A244" s="278"/>
      <c r="B244" s="279" t="str">
        <f t="shared" si="67"/>
        <v>rafter/joist/lintel140x35mmMGP10</v>
      </c>
      <c r="C244" s="278" t="s">
        <v>1875</v>
      </c>
      <c r="D244" s="278" t="s">
        <v>1939</v>
      </c>
      <c r="E244" s="278" t="s">
        <v>505</v>
      </c>
      <c r="F244" s="278"/>
      <c r="G244" s="278" t="s">
        <v>15</v>
      </c>
      <c r="H244" s="310">
        <v>0.03</v>
      </c>
      <c r="I244" s="280">
        <f t="shared" si="68"/>
        <v>2.4186000000000001</v>
      </c>
      <c r="J244" s="281">
        <f t="shared" si="69"/>
        <v>2.7429000000000001</v>
      </c>
      <c r="K244" s="282">
        <f>IF(Notes!$B$9="Domestic",I244, IF(Notes!$B$9="Commercial",J244))*$K$238</f>
        <v>5.4858000000000002</v>
      </c>
      <c r="L244" s="283">
        <f>(SUM(O244:Q244)+(K244+SUM(M244:Q244))*(INDEX($U$238:$AB$238,MATCH(Notes!$C$16,$U$3:$AB$3,0))-100%))*$L$238</f>
        <v>9.14</v>
      </c>
      <c r="M244" s="286"/>
      <c r="N244" s="286"/>
      <c r="O244" s="285">
        <v>9.14</v>
      </c>
      <c r="P244" s="285"/>
      <c r="Q244" s="285"/>
      <c r="R244" s="278"/>
      <c r="S244" s="329"/>
      <c r="T244" s="278"/>
    </row>
    <row r="245" spans="1:20" s="305" customFormat="1" hidden="1" outlineLevel="2" x14ac:dyDescent="0.25">
      <c r="A245" s="278"/>
      <c r="B245" s="279" t="str">
        <f t="shared" si="67"/>
        <v>rafter/joist/lintel140x45mmMGP10</v>
      </c>
      <c r="C245" s="278" t="s">
        <v>1875</v>
      </c>
      <c r="D245" s="278" t="s">
        <v>1940</v>
      </c>
      <c r="E245" s="278" t="s">
        <v>505</v>
      </c>
      <c r="F245" s="278"/>
      <c r="G245" s="278" t="s">
        <v>15</v>
      </c>
      <c r="H245" s="310">
        <v>0.03</v>
      </c>
      <c r="I245" s="280">
        <f t="shared" si="68"/>
        <v>2.4186000000000001</v>
      </c>
      <c r="J245" s="281">
        <f t="shared" si="69"/>
        <v>2.7429000000000001</v>
      </c>
      <c r="K245" s="282">
        <f>IF(Notes!$B$9="Domestic",I245, IF(Notes!$B$9="Commercial",J245))*$K$238</f>
        <v>5.4858000000000002</v>
      </c>
      <c r="L245" s="283">
        <f>(SUM(O245:Q245)+(K245+SUM(M245:Q245))*(INDEX($U$238:$AB$238,MATCH(Notes!$C$16,$U$3:$AB$3,0))-100%))*$L$238</f>
        <v>13.08</v>
      </c>
      <c r="M245" s="286"/>
      <c r="N245" s="286"/>
      <c r="O245" s="285">
        <v>13.08</v>
      </c>
      <c r="P245" s="285"/>
      <c r="Q245" s="285"/>
      <c r="R245" s="278"/>
      <c r="S245" s="329"/>
      <c r="T245" s="278"/>
    </row>
    <row r="246" spans="1:20" s="305" customFormat="1" hidden="1" outlineLevel="2" x14ac:dyDescent="0.25">
      <c r="A246" s="278"/>
      <c r="B246" s="279" t="str">
        <f t="shared" si="67"/>
        <v>rafter/joist/lintel190x35mmMGP10</v>
      </c>
      <c r="C246" s="278" t="s">
        <v>1875</v>
      </c>
      <c r="D246" s="278" t="s">
        <v>1941</v>
      </c>
      <c r="E246" s="278" t="s">
        <v>505</v>
      </c>
      <c r="F246" s="278"/>
      <c r="G246" s="278" t="s">
        <v>15</v>
      </c>
      <c r="H246" s="310">
        <v>0.03</v>
      </c>
      <c r="I246" s="280">
        <f t="shared" si="68"/>
        <v>2.4186000000000001</v>
      </c>
      <c r="J246" s="281">
        <f t="shared" si="69"/>
        <v>2.7429000000000001</v>
      </c>
      <c r="K246" s="282">
        <f>IF(Notes!$B$9="Domestic",I246, IF(Notes!$B$9="Commercial",J246))*$K$238</f>
        <v>5.4858000000000002</v>
      </c>
      <c r="L246" s="283">
        <f>(SUM(O246:Q246)+(K246+SUM(M246:Q246))*(INDEX($U$238:$AB$238,MATCH(Notes!$C$16,$U$3:$AB$3,0))-100%))*$L$238</f>
        <v>14.5</v>
      </c>
      <c r="M246" s="286"/>
      <c r="N246" s="286"/>
      <c r="O246" s="285">
        <v>14.5</v>
      </c>
      <c r="P246" s="285"/>
      <c r="Q246" s="285"/>
      <c r="R246" s="278"/>
      <c r="S246" s="329"/>
      <c r="T246" s="278"/>
    </row>
    <row r="247" spans="1:20" s="305" customFormat="1" hidden="1" outlineLevel="2" x14ac:dyDescent="0.25">
      <c r="A247" s="278"/>
      <c r="B247" s="279" t="str">
        <f t="shared" si="67"/>
        <v>rafter/joist/lintel190x45mmMGP10</v>
      </c>
      <c r="C247" s="278" t="s">
        <v>1875</v>
      </c>
      <c r="D247" s="278" t="s">
        <v>1942</v>
      </c>
      <c r="E247" s="278" t="s">
        <v>505</v>
      </c>
      <c r="F247" s="278"/>
      <c r="G247" s="278" t="s">
        <v>15</v>
      </c>
      <c r="H247" s="310">
        <v>0.03</v>
      </c>
      <c r="I247" s="280">
        <f t="shared" si="68"/>
        <v>2.4186000000000001</v>
      </c>
      <c r="J247" s="281">
        <f t="shared" si="69"/>
        <v>2.7429000000000001</v>
      </c>
      <c r="K247" s="282">
        <f>IF(Notes!$B$9="Domestic",I247, IF(Notes!$B$9="Commercial",J247))*$K$238</f>
        <v>5.4858000000000002</v>
      </c>
      <c r="L247" s="283">
        <f>(SUM(O247:Q247)+(K247+SUM(M247:Q247))*(INDEX($U$238:$AB$238,MATCH(Notes!$C$16,$U$3:$AB$3,0))-100%))*$L$238</f>
        <v>17.7</v>
      </c>
      <c r="M247" s="286"/>
      <c r="N247" s="286"/>
      <c r="O247" s="285">
        <v>17.7</v>
      </c>
      <c r="P247" s="285"/>
      <c r="Q247" s="285"/>
      <c r="R247" s="278"/>
      <c r="S247" s="329"/>
      <c r="T247" s="278"/>
    </row>
    <row r="248" spans="1:20" s="305" customFormat="1" hidden="1" outlineLevel="2" x14ac:dyDescent="0.25">
      <c r="A248" s="278"/>
      <c r="B248" s="279" t="str">
        <f t="shared" si="67"/>
        <v>rafter/joist/lintel240x45mmMGP10</v>
      </c>
      <c r="C248" s="278" t="s">
        <v>1875</v>
      </c>
      <c r="D248" s="278" t="s">
        <v>1943</v>
      </c>
      <c r="E248" s="278" t="s">
        <v>505</v>
      </c>
      <c r="F248" s="278"/>
      <c r="G248" s="278" t="s">
        <v>15</v>
      </c>
      <c r="H248" s="310">
        <v>0.04</v>
      </c>
      <c r="I248" s="280">
        <f t="shared" si="68"/>
        <v>3.2248000000000001</v>
      </c>
      <c r="J248" s="281">
        <f t="shared" si="69"/>
        <v>3.6572000000000005</v>
      </c>
      <c r="K248" s="282">
        <f>IF(Notes!$B$9="Domestic",I248, IF(Notes!$B$9="Commercial",J248))*$K$238</f>
        <v>7.3144000000000009</v>
      </c>
      <c r="L248" s="283">
        <f>(SUM(O248:Q248)+(K248+SUM(M248:Q248))*(INDEX($U$238:$AB$238,MATCH(Notes!$C$16,$U$3:$AB$3,0))-100%))*$L$238</f>
        <v>24.55</v>
      </c>
      <c r="M248" s="286"/>
      <c r="N248" s="286"/>
      <c r="O248" s="285">
        <v>24.55</v>
      </c>
      <c r="P248" s="285"/>
      <c r="Q248" s="285"/>
      <c r="R248" s="278"/>
      <c r="S248" s="329"/>
      <c r="T248" s="278"/>
    </row>
    <row r="249" spans="1:20" s="305" customFormat="1" hidden="1" outlineLevel="2" x14ac:dyDescent="0.25">
      <c r="A249" s="278"/>
      <c r="B249" s="279" t="str">
        <f t="shared" si="67"/>
        <v>rafter/joist/lintel290x45mmMGP10</v>
      </c>
      <c r="C249" s="278" t="s">
        <v>1875</v>
      </c>
      <c r="D249" s="278" t="s">
        <v>1944</v>
      </c>
      <c r="E249" s="278" t="s">
        <v>505</v>
      </c>
      <c r="F249" s="278"/>
      <c r="G249" s="278" t="s">
        <v>15</v>
      </c>
      <c r="H249" s="310">
        <v>0.04</v>
      </c>
      <c r="I249" s="280">
        <f t="shared" si="68"/>
        <v>3.2248000000000001</v>
      </c>
      <c r="J249" s="281">
        <f t="shared" si="69"/>
        <v>3.6572000000000005</v>
      </c>
      <c r="K249" s="282">
        <f>IF(Notes!$B$9="Domestic",I249, IF(Notes!$B$9="Commercial",J249))*$K$238</f>
        <v>7.3144000000000009</v>
      </c>
      <c r="L249" s="283">
        <f>(SUM(O249:Q249)+(K249+SUM(M249:Q249))*(INDEX($U$238:$AB$238,MATCH(Notes!$C$16,$U$3:$AB$3,0))-100%))*$L$238</f>
        <v>29.46</v>
      </c>
      <c r="M249" s="286"/>
      <c r="N249" s="286"/>
      <c r="O249" s="311">
        <f>O248*1.2</f>
        <v>29.46</v>
      </c>
      <c r="P249" s="285"/>
      <c r="Q249" s="285"/>
      <c r="R249" s="278"/>
      <c r="S249" s="278"/>
      <c r="T249" s="278"/>
    </row>
    <row r="250" spans="1:20" s="305" customFormat="1" hidden="1" outlineLevel="2" x14ac:dyDescent="0.25">
      <c r="A250" s="278"/>
      <c r="B250" s="279" t="str">
        <f t="shared" si="67"/>
        <v>rafter/joist/lintel45x35mmMGP12</v>
      </c>
      <c r="C250" s="278" t="s">
        <v>1875</v>
      </c>
      <c r="D250" s="278" t="s">
        <v>1934</v>
      </c>
      <c r="E250" s="278" t="s">
        <v>506</v>
      </c>
      <c r="F250" s="278"/>
      <c r="G250" s="278" t="s">
        <v>15</v>
      </c>
      <c r="H250" s="310">
        <v>0.03</v>
      </c>
      <c r="I250" s="280">
        <f t="shared" si="68"/>
        <v>2.4186000000000001</v>
      </c>
      <c r="J250" s="281">
        <f t="shared" si="69"/>
        <v>2.7429000000000001</v>
      </c>
      <c r="K250" s="282">
        <f>IF(Notes!$B$9="Domestic",I250, IF(Notes!$B$9="Commercial",J250))*$K$238</f>
        <v>5.4858000000000002</v>
      </c>
      <c r="L250" s="283">
        <f>(SUM(O250:Q250)+(K250+SUM(M250:Q250))*(INDEX($U$238:$AB$238,MATCH(Notes!$C$16,$U$3:$AB$3,0))-100%))*$L$238</f>
        <v>3.6072000000000002</v>
      </c>
      <c r="M250" s="286"/>
      <c r="N250" s="286"/>
      <c r="O250" s="311">
        <f>O251*0.54</f>
        <v>3.6072000000000002</v>
      </c>
      <c r="P250" s="285"/>
      <c r="Q250" s="285"/>
      <c r="R250" s="278"/>
      <c r="S250" s="278"/>
      <c r="T250" s="278"/>
    </row>
    <row r="251" spans="1:20" s="305" customFormat="1" hidden="1" outlineLevel="2" x14ac:dyDescent="0.25">
      <c r="A251" s="278"/>
      <c r="B251" s="279" t="str">
        <f t="shared" si="67"/>
        <v>rafter/joist/lintel70x35mmMGP12</v>
      </c>
      <c r="C251" s="278" t="s">
        <v>1875</v>
      </c>
      <c r="D251" s="278" t="s">
        <v>1935</v>
      </c>
      <c r="E251" s="278" t="s">
        <v>506</v>
      </c>
      <c r="F251" s="278"/>
      <c r="G251" s="278" t="s">
        <v>15</v>
      </c>
      <c r="H251" s="310">
        <v>0.03</v>
      </c>
      <c r="I251" s="280">
        <f t="shared" si="68"/>
        <v>2.4186000000000001</v>
      </c>
      <c r="J251" s="281">
        <f t="shared" si="69"/>
        <v>2.7429000000000001</v>
      </c>
      <c r="K251" s="282">
        <f>IF(Notes!$B$9="Domestic",I251, IF(Notes!$B$9="Commercial",J251))*$K$238</f>
        <v>5.4858000000000002</v>
      </c>
      <c r="L251" s="283">
        <f>(SUM(O251:Q251)+(K251+SUM(M251:Q251))*(INDEX($U$238:$AB$238,MATCH(Notes!$C$16,$U$3:$AB$3,0))-100%))*$L$238</f>
        <v>6.68</v>
      </c>
      <c r="M251" s="286"/>
      <c r="N251" s="286"/>
      <c r="O251" s="285">
        <v>6.68</v>
      </c>
      <c r="P251" s="285"/>
      <c r="Q251" s="285"/>
      <c r="R251" s="278"/>
      <c r="S251" s="278"/>
      <c r="T251" s="278"/>
    </row>
    <row r="252" spans="1:20" s="305" customFormat="1" hidden="1" outlineLevel="2" x14ac:dyDescent="0.25">
      <c r="A252" s="278"/>
      <c r="B252" s="279" t="str">
        <f t="shared" si="67"/>
        <v>rafter/joist/lintel70x45mmMGP12</v>
      </c>
      <c r="C252" s="278" t="s">
        <v>1875</v>
      </c>
      <c r="D252" s="278" t="s">
        <v>1936</v>
      </c>
      <c r="E252" s="278" t="s">
        <v>506</v>
      </c>
      <c r="F252" s="278"/>
      <c r="G252" s="278" t="s">
        <v>15</v>
      </c>
      <c r="H252" s="310">
        <v>0.03</v>
      </c>
      <c r="I252" s="280">
        <f t="shared" si="68"/>
        <v>2.4186000000000001</v>
      </c>
      <c r="J252" s="281">
        <f t="shared" si="69"/>
        <v>2.7429000000000001</v>
      </c>
      <c r="K252" s="282">
        <f>IF(Notes!$B$9="Domestic",I252, IF(Notes!$B$9="Commercial",J252))*$K$238</f>
        <v>5.4858000000000002</v>
      </c>
      <c r="L252" s="283">
        <f>(SUM(O252:Q252)+(K252+SUM(M252:Q252))*(INDEX($U$238:$AB$238,MATCH(Notes!$C$16,$U$3:$AB$3,0))-100%))*$L$238</f>
        <v>10.32</v>
      </c>
      <c r="M252" s="286"/>
      <c r="N252" s="286"/>
      <c r="O252" s="285">
        <v>10.32</v>
      </c>
      <c r="P252" s="285"/>
      <c r="Q252" s="285"/>
      <c r="R252" s="278"/>
      <c r="S252" s="278"/>
      <c r="T252" s="278"/>
    </row>
    <row r="253" spans="1:20" s="305" customFormat="1" hidden="1" outlineLevel="2" x14ac:dyDescent="0.25">
      <c r="A253" s="278"/>
      <c r="B253" s="279" t="str">
        <f t="shared" si="67"/>
        <v>rafter/joist/lintel90x35mmMGP12</v>
      </c>
      <c r="C253" s="278" t="s">
        <v>1875</v>
      </c>
      <c r="D253" s="278" t="s">
        <v>1937</v>
      </c>
      <c r="E253" s="278" t="s">
        <v>506</v>
      </c>
      <c r="F253" s="278"/>
      <c r="G253" s="278" t="s">
        <v>15</v>
      </c>
      <c r="H253" s="310">
        <v>0.03</v>
      </c>
      <c r="I253" s="280">
        <f t="shared" si="68"/>
        <v>2.4186000000000001</v>
      </c>
      <c r="J253" s="281">
        <f t="shared" si="69"/>
        <v>2.7429000000000001</v>
      </c>
      <c r="K253" s="282">
        <f>IF(Notes!$B$9="Domestic",I253, IF(Notes!$B$9="Commercial",J253))*$K$238</f>
        <v>5.4858000000000002</v>
      </c>
      <c r="L253" s="283">
        <f>(SUM(O253:Q253)+(K253+SUM(M253:Q253))*(INDEX($U$238:$AB$238,MATCH(Notes!$C$16,$U$3:$AB$3,0))-100%))*$L$238</f>
        <v>7.67</v>
      </c>
      <c r="M253" s="286"/>
      <c r="N253" s="286"/>
      <c r="O253" s="285">
        <v>7.67</v>
      </c>
      <c r="P253" s="285"/>
      <c r="Q253" s="285"/>
      <c r="R253" s="278"/>
      <c r="S253" s="278"/>
      <c r="T253" s="278"/>
    </row>
    <row r="254" spans="1:20" s="305" customFormat="1" hidden="1" outlineLevel="2" x14ac:dyDescent="0.25">
      <c r="A254" s="278"/>
      <c r="B254" s="279" t="str">
        <f t="shared" si="67"/>
        <v>rafter/joist/lintel90x45mmMGP12</v>
      </c>
      <c r="C254" s="278" t="s">
        <v>1875</v>
      </c>
      <c r="D254" s="278" t="s">
        <v>1938</v>
      </c>
      <c r="E254" s="278" t="s">
        <v>506</v>
      </c>
      <c r="F254" s="278"/>
      <c r="G254" s="278" t="s">
        <v>15</v>
      </c>
      <c r="H254" s="310">
        <v>0.03</v>
      </c>
      <c r="I254" s="280">
        <f t="shared" si="68"/>
        <v>2.4186000000000001</v>
      </c>
      <c r="J254" s="281">
        <f t="shared" si="69"/>
        <v>2.7429000000000001</v>
      </c>
      <c r="K254" s="282">
        <f>IF(Notes!$B$9="Domestic",I254, IF(Notes!$B$9="Commercial",J254))*$K$238</f>
        <v>5.4858000000000002</v>
      </c>
      <c r="L254" s="283">
        <f>(SUM(O254:Q254)+(K254+SUM(M254:Q254))*(INDEX($U$238:$AB$238,MATCH(Notes!$C$16,$U$3:$AB$3,0))-100%))*$L$238</f>
        <v>11.02</v>
      </c>
      <c r="M254" s="286"/>
      <c r="N254" s="286"/>
      <c r="O254" s="285">
        <v>11.02</v>
      </c>
      <c r="P254" s="285"/>
      <c r="Q254" s="285"/>
      <c r="R254" s="278"/>
      <c r="S254" s="278"/>
      <c r="T254" s="278"/>
    </row>
    <row r="255" spans="1:20" s="305" customFormat="1" hidden="1" outlineLevel="2" x14ac:dyDescent="0.25">
      <c r="A255" s="278"/>
      <c r="B255" s="279" t="str">
        <f t="shared" si="67"/>
        <v>rafter/joist/lintel140x35mmMGP12</v>
      </c>
      <c r="C255" s="278" t="s">
        <v>1875</v>
      </c>
      <c r="D255" s="278" t="s">
        <v>1939</v>
      </c>
      <c r="E255" s="278" t="s">
        <v>506</v>
      </c>
      <c r="F255" s="278"/>
      <c r="G255" s="278" t="s">
        <v>15</v>
      </c>
      <c r="H255" s="310">
        <v>0.03</v>
      </c>
      <c r="I255" s="280">
        <f t="shared" si="68"/>
        <v>2.4186000000000001</v>
      </c>
      <c r="J255" s="281">
        <f t="shared" si="69"/>
        <v>2.7429000000000001</v>
      </c>
      <c r="K255" s="282">
        <f>IF(Notes!$B$9="Domestic",I255, IF(Notes!$B$9="Commercial",J255))*$K$238</f>
        <v>5.4858000000000002</v>
      </c>
      <c r="L255" s="283">
        <f>(SUM(O255:Q255)+(K255+SUM(M255:Q255))*(INDEX($U$238:$AB$238,MATCH(Notes!$C$16,$U$3:$AB$3,0))-100%))*$L$238</f>
        <v>15.74</v>
      </c>
      <c r="M255" s="286"/>
      <c r="N255" s="286"/>
      <c r="O255" s="285">
        <v>15.74</v>
      </c>
      <c r="P255" s="285"/>
      <c r="Q255" s="285"/>
      <c r="R255" s="278"/>
      <c r="S255" s="278"/>
      <c r="T255" s="278"/>
    </row>
    <row r="256" spans="1:20" s="305" customFormat="1" hidden="1" outlineLevel="2" x14ac:dyDescent="0.25">
      <c r="A256" s="278"/>
      <c r="B256" s="279" t="str">
        <f t="shared" si="67"/>
        <v>rafter/joist/lintel140x45mmMGP12</v>
      </c>
      <c r="C256" s="278" t="s">
        <v>1875</v>
      </c>
      <c r="D256" s="278" t="s">
        <v>1940</v>
      </c>
      <c r="E256" s="278" t="s">
        <v>506</v>
      </c>
      <c r="F256" s="278"/>
      <c r="G256" s="278" t="s">
        <v>15</v>
      </c>
      <c r="H256" s="310">
        <v>0.03</v>
      </c>
      <c r="I256" s="280">
        <f t="shared" si="68"/>
        <v>2.4186000000000001</v>
      </c>
      <c r="J256" s="281">
        <f t="shared" si="69"/>
        <v>2.7429000000000001</v>
      </c>
      <c r="K256" s="282">
        <f>IF(Notes!$B$9="Domestic",I256, IF(Notes!$B$9="Commercial",J256))*$K$238</f>
        <v>5.4858000000000002</v>
      </c>
      <c r="L256" s="283">
        <f>(SUM(O256:Q256)+(K256+SUM(M256:Q256))*(INDEX($U$238:$AB$238,MATCH(Notes!$C$16,$U$3:$AB$3,0))-100%))*$L$238</f>
        <v>16.96</v>
      </c>
      <c r="M256" s="286"/>
      <c r="N256" s="286"/>
      <c r="O256" s="285">
        <v>16.96</v>
      </c>
      <c r="P256" s="285"/>
      <c r="Q256" s="285"/>
      <c r="R256" s="278"/>
      <c r="S256" s="278"/>
      <c r="T256" s="278"/>
    </row>
    <row r="257" spans="1:20" s="305" customFormat="1" hidden="1" outlineLevel="2" x14ac:dyDescent="0.25">
      <c r="A257" s="278"/>
      <c r="B257" s="279" t="str">
        <f t="shared" si="67"/>
        <v>rafter/joist/lintel190x35mmMGP12</v>
      </c>
      <c r="C257" s="278" t="s">
        <v>1875</v>
      </c>
      <c r="D257" s="278" t="s">
        <v>1941</v>
      </c>
      <c r="E257" s="278" t="s">
        <v>506</v>
      </c>
      <c r="F257" s="278"/>
      <c r="G257" s="278" t="s">
        <v>15</v>
      </c>
      <c r="H257" s="310">
        <v>0.03</v>
      </c>
      <c r="I257" s="280">
        <f t="shared" si="68"/>
        <v>2.4186000000000001</v>
      </c>
      <c r="J257" s="281">
        <f t="shared" si="69"/>
        <v>2.7429000000000001</v>
      </c>
      <c r="K257" s="282">
        <f>IF(Notes!$B$9="Domestic",I257, IF(Notes!$B$9="Commercial",J257))*$K$238</f>
        <v>5.4858000000000002</v>
      </c>
      <c r="L257" s="283">
        <f>(SUM(O257:Q257)+(K257+SUM(M257:Q257))*(INDEX($U$238:$AB$238,MATCH(Notes!$C$16,$U$3:$AB$3,0))-100%))*$L$238</f>
        <v>20.239999999999998</v>
      </c>
      <c r="M257" s="286"/>
      <c r="N257" s="286"/>
      <c r="O257" s="285">
        <v>20.239999999999998</v>
      </c>
      <c r="P257" s="285"/>
      <c r="Q257" s="285"/>
      <c r="R257" s="278"/>
      <c r="S257" s="278"/>
      <c r="T257" s="278"/>
    </row>
    <row r="258" spans="1:20" s="305" customFormat="1" hidden="1" outlineLevel="2" x14ac:dyDescent="0.25">
      <c r="A258" s="278"/>
      <c r="B258" s="279" t="str">
        <f t="shared" si="67"/>
        <v>rafter/joist/lintel190x45mmMGP12</v>
      </c>
      <c r="C258" s="278" t="s">
        <v>1875</v>
      </c>
      <c r="D258" s="278" t="s">
        <v>1942</v>
      </c>
      <c r="E258" s="278" t="s">
        <v>506</v>
      </c>
      <c r="F258" s="278"/>
      <c r="G258" s="278" t="s">
        <v>15</v>
      </c>
      <c r="H258" s="310">
        <v>0.03</v>
      </c>
      <c r="I258" s="280">
        <f t="shared" si="68"/>
        <v>2.4186000000000001</v>
      </c>
      <c r="J258" s="281">
        <f t="shared" si="69"/>
        <v>2.7429000000000001</v>
      </c>
      <c r="K258" s="282">
        <f>IF(Notes!$B$9="Domestic",I258, IF(Notes!$B$9="Commercial",J258))*$K$238</f>
        <v>5.4858000000000002</v>
      </c>
      <c r="L258" s="283">
        <f>(SUM(O258:Q258)+(K258+SUM(M258:Q258))*(INDEX($U$238:$AB$238,MATCH(Notes!$C$16,$U$3:$AB$3,0))-100%))*$L$238</f>
        <v>22.97</v>
      </c>
      <c r="M258" s="286"/>
      <c r="N258" s="286"/>
      <c r="O258" s="285">
        <v>22.97</v>
      </c>
      <c r="P258" s="285"/>
      <c r="Q258" s="285"/>
      <c r="R258" s="278"/>
      <c r="S258" s="278"/>
      <c r="T258" s="278"/>
    </row>
    <row r="259" spans="1:20" s="305" customFormat="1" hidden="1" outlineLevel="2" x14ac:dyDescent="0.25">
      <c r="A259" s="278"/>
      <c r="B259" s="279" t="str">
        <f t="shared" si="67"/>
        <v>rafter/joist/lintel240x45mmMGP12</v>
      </c>
      <c r="C259" s="278" t="s">
        <v>1875</v>
      </c>
      <c r="D259" s="278" t="s">
        <v>1943</v>
      </c>
      <c r="E259" s="278" t="s">
        <v>506</v>
      </c>
      <c r="F259" s="278"/>
      <c r="G259" s="278" t="s">
        <v>15</v>
      </c>
      <c r="H259" s="310">
        <v>0.04</v>
      </c>
      <c r="I259" s="280">
        <f t="shared" si="68"/>
        <v>3.2248000000000001</v>
      </c>
      <c r="J259" s="281">
        <f t="shared" si="69"/>
        <v>3.6572000000000005</v>
      </c>
      <c r="K259" s="282">
        <f>IF(Notes!$B$9="Domestic",I259, IF(Notes!$B$9="Commercial",J259))*$K$238</f>
        <v>7.3144000000000009</v>
      </c>
      <c r="L259" s="283">
        <f>(SUM(O259:Q259)+(K259+SUM(M259:Q259))*(INDEX($U$238:$AB$238,MATCH(Notes!$C$16,$U$3:$AB$3,0))-100%))*$L$238</f>
        <v>30.62</v>
      </c>
      <c r="M259" s="286"/>
      <c r="N259" s="286"/>
      <c r="O259" s="285">
        <v>30.62</v>
      </c>
      <c r="P259" s="285"/>
      <c r="Q259" s="285"/>
      <c r="R259" s="278"/>
      <c r="S259" s="278"/>
      <c r="T259" s="278"/>
    </row>
    <row r="260" spans="1:20" s="305" customFormat="1" hidden="1" outlineLevel="2" x14ac:dyDescent="0.25">
      <c r="A260" s="278"/>
      <c r="B260" s="279" t="str">
        <f t="shared" si="67"/>
        <v>rafter/joist/lintel290x45mmMGP12</v>
      </c>
      <c r="C260" s="278" t="s">
        <v>1875</v>
      </c>
      <c r="D260" s="278" t="s">
        <v>1944</v>
      </c>
      <c r="E260" s="278" t="s">
        <v>506</v>
      </c>
      <c r="F260" s="278"/>
      <c r="G260" s="278" t="s">
        <v>15</v>
      </c>
      <c r="H260" s="310">
        <v>0.04</v>
      </c>
      <c r="I260" s="280">
        <f t="shared" si="68"/>
        <v>3.2248000000000001</v>
      </c>
      <c r="J260" s="281">
        <f t="shared" si="69"/>
        <v>3.6572000000000005</v>
      </c>
      <c r="K260" s="282">
        <f>IF(Notes!$B$9="Domestic",I260, IF(Notes!$B$9="Commercial",J260))*$K$238</f>
        <v>7.3144000000000009</v>
      </c>
      <c r="L260" s="283">
        <f>(SUM(O260:Q260)+(K260+SUM(M260:Q260))*(INDEX($U$238:$AB$238,MATCH(Notes!$C$16,$U$3:$AB$3,0))-100%))*$L$238</f>
        <v>36.744</v>
      </c>
      <c r="M260" s="286"/>
      <c r="N260" s="286"/>
      <c r="O260" s="311">
        <f>O259*1.2</f>
        <v>36.744</v>
      </c>
      <c r="P260" s="285"/>
      <c r="Q260" s="285"/>
      <c r="R260" s="278"/>
      <c r="S260" s="278"/>
      <c r="T260" s="278"/>
    </row>
    <row r="261" spans="1:20" s="305" customFormat="1" hidden="1" outlineLevel="2" x14ac:dyDescent="0.25">
      <c r="A261" s="278"/>
      <c r="B261" s="279" t="str">
        <f>C261&amp;D261&amp;E261&amp;F261</f>
        <v>rafter/joist/lintel45x35mmMGP10x2</v>
      </c>
      <c r="C261" s="278" t="s">
        <v>1875</v>
      </c>
      <c r="D261" s="278" t="s">
        <v>1934</v>
      </c>
      <c r="E261" s="278" t="s">
        <v>509</v>
      </c>
      <c r="F261" s="278"/>
      <c r="G261" s="278" t="s">
        <v>15</v>
      </c>
      <c r="H261" s="309">
        <f>H239*1.5</f>
        <v>4.4999999999999998E-2</v>
      </c>
      <c r="I261" s="280">
        <f>$I$2*H261</f>
        <v>3.6278999999999999</v>
      </c>
      <c r="J261" s="281">
        <f>$J$2*H261</f>
        <v>4.11435</v>
      </c>
      <c r="K261" s="282">
        <f>IF(Notes!$B$9="Domestic",I261, IF(Notes!$B$9="Commercial",J261))*$K$238</f>
        <v>8.2286999999999999</v>
      </c>
      <c r="L261" s="283">
        <f>(SUM(O261:Q261)+(K261+SUM(M261:Q261))*(INDEX($U$238:$AB$238,MATCH(Notes!$C$16,$U$3:$AB$3,0))-100%))*$L$238</f>
        <v>6.02</v>
      </c>
      <c r="M261" s="286"/>
      <c r="N261" s="286"/>
      <c r="O261" s="311">
        <f>O239*2</f>
        <v>6.02</v>
      </c>
      <c r="P261" s="285"/>
      <c r="Q261" s="285"/>
      <c r="R261" s="278"/>
      <c r="S261" s="278"/>
      <c r="T261" s="278"/>
    </row>
    <row r="262" spans="1:20" s="305" customFormat="1" hidden="1" outlineLevel="2" x14ac:dyDescent="0.25">
      <c r="A262" s="278"/>
      <c r="B262" s="279" t="str">
        <f t="shared" ref="B262:B282" si="70">C262&amp;D262&amp;E262&amp;F262</f>
        <v>rafter/joist/lintel70x35mmMGP10x2</v>
      </c>
      <c r="C262" s="278" t="s">
        <v>1875</v>
      </c>
      <c r="D262" s="278" t="s">
        <v>1935</v>
      </c>
      <c r="E262" s="278" t="s">
        <v>509</v>
      </c>
      <c r="F262" s="278"/>
      <c r="G262" s="278" t="s">
        <v>15</v>
      </c>
      <c r="H262" s="309">
        <f t="shared" ref="H262:H281" si="71">H240*1.5</f>
        <v>4.4999999999999998E-2</v>
      </c>
      <c r="I262" s="280">
        <f t="shared" ref="I262:I282" si="72">$I$2*H262</f>
        <v>3.6278999999999999</v>
      </c>
      <c r="J262" s="281">
        <f t="shared" ref="J262:J282" si="73">$J$2*H262</f>
        <v>4.11435</v>
      </c>
      <c r="K262" s="282">
        <f>IF(Notes!$B$9="Domestic",I262, IF(Notes!$B$9="Commercial",J262))*$K$238</f>
        <v>8.2286999999999999</v>
      </c>
      <c r="L262" s="283">
        <f>(SUM(O262:Q262)+(K262+SUM(M262:Q262))*(INDEX($U$238:$AB$238,MATCH(Notes!$C$16,$U$3:$AB$3,0))-100%))*$L$238</f>
        <v>11.28</v>
      </c>
      <c r="M262" s="286"/>
      <c r="N262" s="286"/>
      <c r="O262" s="311">
        <f t="shared" ref="O262:O282" si="74">O240*2</f>
        <v>11.28</v>
      </c>
      <c r="P262" s="285"/>
      <c r="Q262" s="285"/>
      <c r="R262" s="278"/>
      <c r="S262" s="278"/>
      <c r="T262" s="278"/>
    </row>
    <row r="263" spans="1:20" s="305" customFormat="1" hidden="1" outlineLevel="2" x14ac:dyDescent="0.25">
      <c r="A263" s="278"/>
      <c r="B263" s="279" t="str">
        <f t="shared" si="70"/>
        <v>rafter/joist/lintel70x45mmMGP10x2</v>
      </c>
      <c r="C263" s="278" t="s">
        <v>1875</v>
      </c>
      <c r="D263" s="278" t="s">
        <v>1936</v>
      </c>
      <c r="E263" s="278" t="s">
        <v>509</v>
      </c>
      <c r="F263" s="278"/>
      <c r="G263" s="278" t="s">
        <v>15</v>
      </c>
      <c r="H263" s="309">
        <f t="shared" si="71"/>
        <v>4.4999999999999998E-2</v>
      </c>
      <c r="I263" s="280">
        <f t="shared" si="72"/>
        <v>3.6278999999999999</v>
      </c>
      <c r="J263" s="281">
        <f t="shared" si="73"/>
        <v>4.11435</v>
      </c>
      <c r="K263" s="282">
        <f>IF(Notes!$B$9="Domestic",I263, IF(Notes!$B$9="Commercial",J263))*$K$238</f>
        <v>8.2286999999999999</v>
      </c>
      <c r="L263" s="283">
        <f>(SUM(O263:Q263)+(K263+SUM(M263:Q263))*(INDEX($U$238:$AB$238,MATCH(Notes!$C$16,$U$3:$AB$3,0))-100%))*$L$238</f>
        <v>13.28</v>
      </c>
      <c r="M263" s="286"/>
      <c r="N263" s="286"/>
      <c r="O263" s="311">
        <f t="shared" si="74"/>
        <v>13.28</v>
      </c>
      <c r="P263" s="285"/>
      <c r="Q263" s="285"/>
      <c r="R263" s="278"/>
      <c r="S263" s="329"/>
      <c r="T263" s="278"/>
    </row>
    <row r="264" spans="1:20" s="305" customFormat="1" hidden="1" outlineLevel="2" x14ac:dyDescent="0.25">
      <c r="A264" s="278"/>
      <c r="B264" s="279" t="str">
        <f t="shared" si="70"/>
        <v>rafter/joist/lintel90x35mmMGP10x2</v>
      </c>
      <c r="C264" s="278" t="s">
        <v>1875</v>
      </c>
      <c r="D264" s="278" t="s">
        <v>1937</v>
      </c>
      <c r="E264" s="278" t="s">
        <v>509</v>
      </c>
      <c r="F264" s="278"/>
      <c r="G264" s="278" t="s">
        <v>15</v>
      </c>
      <c r="H264" s="309">
        <f t="shared" si="71"/>
        <v>4.4999999999999998E-2</v>
      </c>
      <c r="I264" s="280">
        <f t="shared" si="72"/>
        <v>3.6278999999999999</v>
      </c>
      <c r="J264" s="281">
        <f t="shared" si="73"/>
        <v>4.11435</v>
      </c>
      <c r="K264" s="282">
        <f>IF(Notes!$B$9="Domestic",I264, IF(Notes!$B$9="Commercial",J264))*$K$238</f>
        <v>8.2286999999999999</v>
      </c>
      <c r="L264" s="283">
        <f>(SUM(O264:Q264)+(K264+SUM(M264:Q264))*(INDEX($U$238:$AB$238,MATCH(Notes!$C$16,$U$3:$AB$3,0))-100%))*$L$238</f>
        <v>12.92</v>
      </c>
      <c r="M264" s="286"/>
      <c r="N264" s="286"/>
      <c r="O264" s="311">
        <f t="shared" si="74"/>
        <v>12.92</v>
      </c>
      <c r="P264" s="285"/>
      <c r="Q264" s="285"/>
      <c r="R264" s="278"/>
      <c r="S264" s="329"/>
      <c r="T264" s="278"/>
    </row>
    <row r="265" spans="1:20" s="305" customFormat="1" hidden="1" outlineLevel="2" x14ac:dyDescent="0.25">
      <c r="A265" s="278"/>
      <c r="B265" s="279" t="str">
        <f t="shared" si="70"/>
        <v>rafter/joist/lintel90x45mmMGP10x2</v>
      </c>
      <c r="C265" s="278" t="s">
        <v>1875</v>
      </c>
      <c r="D265" s="278" t="s">
        <v>1938</v>
      </c>
      <c r="E265" s="278" t="s">
        <v>509</v>
      </c>
      <c r="F265" s="278"/>
      <c r="G265" s="278" t="s">
        <v>15</v>
      </c>
      <c r="H265" s="309">
        <f t="shared" si="71"/>
        <v>4.4999999999999998E-2</v>
      </c>
      <c r="I265" s="280">
        <f t="shared" si="72"/>
        <v>3.6278999999999999</v>
      </c>
      <c r="J265" s="281">
        <f t="shared" si="73"/>
        <v>4.11435</v>
      </c>
      <c r="K265" s="282">
        <f>IF(Notes!$B$9="Domestic",I265, IF(Notes!$B$9="Commercial",J265))*$K$238</f>
        <v>8.2286999999999999</v>
      </c>
      <c r="L265" s="283">
        <f>(SUM(O265:Q265)+(K265+SUM(M265:Q265))*(INDEX($U$238:$AB$238,MATCH(Notes!$C$16,$U$3:$AB$3,0))-100%))*$L$238</f>
        <v>17.64</v>
      </c>
      <c r="M265" s="286"/>
      <c r="N265" s="286"/>
      <c r="O265" s="311">
        <f t="shared" si="74"/>
        <v>17.64</v>
      </c>
      <c r="P265" s="285"/>
      <c r="Q265" s="285"/>
      <c r="R265" s="278"/>
      <c r="S265" s="329"/>
      <c r="T265" s="278"/>
    </row>
    <row r="266" spans="1:20" s="305" customFormat="1" hidden="1" outlineLevel="2" x14ac:dyDescent="0.25">
      <c r="A266" s="278"/>
      <c r="B266" s="279" t="str">
        <f t="shared" si="70"/>
        <v>rafter/joist/lintel140x35mmMGP10x2</v>
      </c>
      <c r="C266" s="278" t="s">
        <v>1875</v>
      </c>
      <c r="D266" s="278" t="s">
        <v>1939</v>
      </c>
      <c r="E266" s="278" t="s">
        <v>509</v>
      </c>
      <c r="F266" s="278"/>
      <c r="G266" s="278" t="s">
        <v>15</v>
      </c>
      <c r="H266" s="309">
        <f t="shared" si="71"/>
        <v>4.4999999999999998E-2</v>
      </c>
      <c r="I266" s="280">
        <f t="shared" si="72"/>
        <v>3.6278999999999999</v>
      </c>
      <c r="J266" s="281">
        <f t="shared" si="73"/>
        <v>4.11435</v>
      </c>
      <c r="K266" s="282">
        <f>IF(Notes!$B$9="Domestic",I266, IF(Notes!$B$9="Commercial",J266))*$K$238</f>
        <v>8.2286999999999999</v>
      </c>
      <c r="L266" s="283">
        <f>(SUM(O266:Q266)+(K266+SUM(M266:Q266))*(INDEX($U$238:$AB$238,MATCH(Notes!$C$16,$U$3:$AB$3,0))-100%))*$L$238</f>
        <v>18.28</v>
      </c>
      <c r="M266" s="286"/>
      <c r="N266" s="286"/>
      <c r="O266" s="311">
        <f t="shared" si="74"/>
        <v>18.28</v>
      </c>
      <c r="P266" s="285"/>
      <c r="Q266" s="285"/>
      <c r="R266" s="278"/>
      <c r="S266" s="329"/>
      <c r="T266" s="278"/>
    </row>
    <row r="267" spans="1:20" s="305" customFormat="1" hidden="1" outlineLevel="2" x14ac:dyDescent="0.25">
      <c r="A267" s="278"/>
      <c r="B267" s="279" t="str">
        <f t="shared" si="70"/>
        <v>rafter/joist/lintel140x45mmMGP10x2</v>
      </c>
      <c r="C267" s="278" t="s">
        <v>1875</v>
      </c>
      <c r="D267" s="278" t="s">
        <v>1940</v>
      </c>
      <c r="E267" s="278" t="s">
        <v>509</v>
      </c>
      <c r="F267" s="278"/>
      <c r="G267" s="278" t="s">
        <v>15</v>
      </c>
      <c r="H267" s="309">
        <f t="shared" si="71"/>
        <v>4.4999999999999998E-2</v>
      </c>
      <c r="I267" s="280">
        <f t="shared" si="72"/>
        <v>3.6278999999999999</v>
      </c>
      <c r="J267" s="281">
        <f t="shared" si="73"/>
        <v>4.11435</v>
      </c>
      <c r="K267" s="282">
        <f>IF(Notes!$B$9="Domestic",I267, IF(Notes!$B$9="Commercial",J267))*$K$238</f>
        <v>8.2286999999999999</v>
      </c>
      <c r="L267" s="283">
        <f>(SUM(O267:Q267)+(K267+SUM(M267:Q267))*(INDEX($U$238:$AB$238,MATCH(Notes!$C$16,$U$3:$AB$3,0))-100%))*$L$238</f>
        <v>26.16</v>
      </c>
      <c r="M267" s="286"/>
      <c r="N267" s="286"/>
      <c r="O267" s="311">
        <f t="shared" si="74"/>
        <v>26.16</v>
      </c>
      <c r="P267" s="285"/>
      <c r="Q267" s="285"/>
      <c r="R267" s="278"/>
      <c r="S267" s="329"/>
      <c r="T267" s="278"/>
    </row>
    <row r="268" spans="1:20" s="305" customFormat="1" hidden="1" outlineLevel="2" x14ac:dyDescent="0.25">
      <c r="A268" s="278"/>
      <c r="B268" s="279" t="str">
        <f t="shared" si="70"/>
        <v>rafter/joist/lintel190x35mmMGP10x2</v>
      </c>
      <c r="C268" s="278" t="s">
        <v>1875</v>
      </c>
      <c r="D268" s="278" t="s">
        <v>1941</v>
      </c>
      <c r="E268" s="278" t="s">
        <v>509</v>
      </c>
      <c r="F268" s="278"/>
      <c r="G268" s="278" t="s">
        <v>15</v>
      </c>
      <c r="H268" s="309">
        <f t="shared" si="71"/>
        <v>4.4999999999999998E-2</v>
      </c>
      <c r="I268" s="280">
        <f t="shared" si="72"/>
        <v>3.6278999999999999</v>
      </c>
      <c r="J268" s="281">
        <f t="shared" si="73"/>
        <v>4.11435</v>
      </c>
      <c r="K268" s="282">
        <f>IF(Notes!$B$9="Domestic",I268, IF(Notes!$B$9="Commercial",J268))*$K$238</f>
        <v>8.2286999999999999</v>
      </c>
      <c r="L268" s="283">
        <f>(SUM(O268:Q268)+(K268+SUM(M268:Q268))*(INDEX($U$238:$AB$238,MATCH(Notes!$C$16,$U$3:$AB$3,0))-100%))*$L$238</f>
        <v>29</v>
      </c>
      <c r="M268" s="286"/>
      <c r="N268" s="286"/>
      <c r="O268" s="311">
        <f t="shared" si="74"/>
        <v>29</v>
      </c>
      <c r="P268" s="285"/>
      <c r="Q268" s="285"/>
      <c r="R268" s="278"/>
      <c r="S268" s="329"/>
      <c r="T268" s="278"/>
    </row>
    <row r="269" spans="1:20" s="305" customFormat="1" hidden="1" outlineLevel="2" x14ac:dyDescent="0.25">
      <c r="A269" s="278"/>
      <c r="B269" s="279" t="str">
        <f t="shared" si="70"/>
        <v>rafter/joist/lintel190x45mmMGP10x2</v>
      </c>
      <c r="C269" s="278" t="s">
        <v>1875</v>
      </c>
      <c r="D269" s="278" t="s">
        <v>1942</v>
      </c>
      <c r="E269" s="278" t="s">
        <v>509</v>
      </c>
      <c r="F269" s="278"/>
      <c r="G269" s="278" t="s">
        <v>15</v>
      </c>
      <c r="H269" s="309">
        <f t="shared" si="71"/>
        <v>4.4999999999999998E-2</v>
      </c>
      <c r="I269" s="280">
        <f t="shared" si="72"/>
        <v>3.6278999999999999</v>
      </c>
      <c r="J269" s="281">
        <f t="shared" si="73"/>
        <v>4.11435</v>
      </c>
      <c r="K269" s="282">
        <f>IF(Notes!$B$9="Domestic",I269, IF(Notes!$B$9="Commercial",J269))*$K$238</f>
        <v>8.2286999999999999</v>
      </c>
      <c r="L269" s="283">
        <f>(SUM(O269:Q269)+(K269+SUM(M269:Q269))*(INDEX($U$238:$AB$238,MATCH(Notes!$C$16,$U$3:$AB$3,0))-100%))*$L$238</f>
        <v>35.4</v>
      </c>
      <c r="M269" s="286"/>
      <c r="N269" s="286"/>
      <c r="O269" s="311">
        <f t="shared" si="74"/>
        <v>35.4</v>
      </c>
      <c r="P269" s="285"/>
      <c r="Q269" s="285"/>
      <c r="R269" s="278"/>
      <c r="S269" s="329"/>
      <c r="T269" s="278"/>
    </row>
    <row r="270" spans="1:20" s="305" customFormat="1" hidden="1" outlineLevel="2" x14ac:dyDescent="0.25">
      <c r="A270" s="278"/>
      <c r="B270" s="279" t="str">
        <f t="shared" si="70"/>
        <v>rafter/joist/lintel240x45mmMGP10x2</v>
      </c>
      <c r="C270" s="278" t="s">
        <v>1875</v>
      </c>
      <c r="D270" s="278" t="s">
        <v>1943</v>
      </c>
      <c r="E270" s="278" t="s">
        <v>509</v>
      </c>
      <c r="F270" s="278"/>
      <c r="G270" s="278" t="s">
        <v>15</v>
      </c>
      <c r="H270" s="309">
        <f t="shared" si="71"/>
        <v>0.06</v>
      </c>
      <c r="I270" s="280">
        <f t="shared" si="72"/>
        <v>4.8372000000000002</v>
      </c>
      <c r="J270" s="281">
        <f t="shared" si="73"/>
        <v>5.4858000000000002</v>
      </c>
      <c r="K270" s="282">
        <f>IF(Notes!$B$9="Domestic",I270, IF(Notes!$B$9="Commercial",J270))*$K$238</f>
        <v>10.9716</v>
      </c>
      <c r="L270" s="283">
        <f>(SUM(O270:Q270)+(K270+SUM(M270:Q270))*(INDEX($U$238:$AB$238,MATCH(Notes!$C$16,$U$3:$AB$3,0))-100%))*$L$238</f>
        <v>49.1</v>
      </c>
      <c r="M270" s="286"/>
      <c r="N270" s="286"/>
      <c r="O270" s="311">
        <f t="shared" si="74"/>
        <v>49.1</v>
      </c>
      <c r="P270" s="285"/>
      <c r="Q270" s="285"/>
      <c r="R270" s="278"/>
      <c r="S270" s="329"/>
      <c r="T270" s="278"/>
    </row>
    <row r="271" spans="1:20" s="305" customFormat="1" hidden="1" outlineLevel="2" x14ac:dyDescent="0.25">
      <c r="A271" s="278"/>
      <c r="B271" s="279" t="str">
        <f t="shared" si="70"/>
        <v>rafter/joist/lintel290x45mmMGP10x2</v>
      </c>
      <c r="C271" s="278" t="s">
        <v>1875</v>
      </c>
      <c r="D271" s="278" t="s">
        <v>1944</v>
      </c>
      <c r="E271" s="278" t="s">
        <v>509</v>
      </c>
      <c r="F271" s="278"/>
      <c r="G271" s="278" t="s">
        <v>15</v>
      </c>
      <c r="H271" s="309">
        <f t="shared" si="71"/>
        <v>0.06</v>
      </c>
      <c r="I271" s="280">
        <f t="shared" si="72"/>
        <v>4.8372000000000002</v>
      </c>
      <c r="J271" s="281">
        <f t="shared" si="73"/>
        <v>5.4858000000000002</v>
      </c>
      <c r="K271" s="282">
        <f>IF(Notes!$B$9="Domestic",I271, IF(Notes!$B$9="Commercial",J271))*$K$238</f>
        <v>10.9716</v>
      </c>
      <c r="L271" s="283">
        <f>(SUM(O271:Q271)+(K271+SUM(M271:Q271))*(INDEX($U$238:$AB$238,MATCH(Notes!$C$16,$U$3:$AB$3,0))-100%))*$L$238</f>
        <v>58.92</v>
      </c>
      <c r="M271" s="286"/>
      <c r="N271" s="286"/>
      <c r="O271" s="311">
        <f t="shared" si="74"/>
        <v>58.92</v>
      </c>
      <c r="P271" s="285"/>
      <c r="Q271" s="285"/>
      <c r="R271" s="278"/>
      <c r="S271" s="278"/>
      <c r="T271" s="278"/>
    </row>
    <row r="272" spans="1:20" s="305" customFormat="1" hidden="1" outlineLevel="2" x14ac:dyDescent="0.25">
      <c r="A272" s="278"/>
      <c r="B272" s="279" t="str">
        <f t="shared" si="70"/>
        <v>rafter/joist/lintel45x35mmMGP12x2</v>
      </c>
      <c r="C272" s="278" t="s">
        <v>1875</v>
      </c>
      <c r="D272" s="278" t="s">
        <v>1934</v>
      </c>
      <c r="E272" s="278" t="s">
        <v>512</v>
      </c>
      <c r="F272" s="278"/>
      <c r="G272" s="278" t="s">
        <v>15</v>
      </c>
      <c r="H272" s="309">
        <f t="shared" si="71"/>
        <v>4.4999999999999998E-2</v>
      </c>
      <c r="I272" s="280">
        <f t="shared" si="72"/>
        <v>3.6278999999999999</v>
      </c>
      <c r="J272" s="281">
        <f t="shared" si="73"/>
        <v>4.11435</v>
      </c>
      <c r="K272" s="282">
        <f>IF(Notes!$B$9="Domestic",I272, IF(Notes!$B$9="Commercial",J272))*$K$238</f>
        <v>8.2286999999999999</v>
      </c>
      <c r="L272" s="283">
        <f>(SUM(O272:Q272)+(K272+SUM(M272:Q272))*(INDEX($U$238:$AB$238,MATCH(Notes!$C$16,$U$3:$AB$3,0))-100%))*$L$238</f>
        <v>7.2144000000000004</v>
      </c>
      <c r="M272" s="286"/>
      <c r="N272" s="286"/>
      <c r="O272" s="311">
        <f t="shared" si="74"/>
        <v>7.2144000000000004</v>
      </c>
      <c r="P272" s="285"/>
      <c r="Q272" s="285"/>
      <c r="R272" s="278"/>
      <c r="S272" s="278"/>
      <c r="T272" s="278"/>
    </row>
    <row r="273" spans="1:20" s="305" customFormat="1" hidden="1" outlineLevel="2" x14ac:dyDescent="0.25">
      <c r="A273" s="278"/>
      <c r="B273" s="279" t="str">
        <f t="shared" si="70"/>
        <v>rafter/joist/lintel70x35mmMGP12x2</v>
      </c>
      <c r="C273" s="278" t="s">
        <v>1875</v>
      </c>
      <c r="D273" s="278" t="s">
        <v>1935</v>
      </c>
      <c r="E273" s="278" t="s">
        <v>512</v>
      </c>
      <c r="F273" s="278"/>
      <c r="G273" s="278" t="s">
        <v>15</v>
      </c>
      <c r="H273" s="309">
        <f t="shared" si="71"/>
        <v>4.4999999999999998E-2</v>
      </c>
      <c r="I273" s="280">
        <f t="shared" si="72"/>
        <v>3.6278999999999999</v>
      </c>
      <c r="J273" s="281">
        <f t="shared" si="73"/>
        <v>4.11435</v>
      </c>
      <c r="K273" s="282">
        <f>IF(Notes!$B$9="Domestic",I273, IF(Notes!$B$9="Commercial",J273))*$K$238</f>
        <v>8.2286999999999999</v>
      </c>
      <c r="L273" s="283">
        <f>(SUM(O273:Q273)+(K273+SUM(M273:Q273))*(INDEX($U$238:$AB$238,MATCH(Notes!$C$16,$U$3:$AB$3,0))-100%))*$L$238</f>
        <v>13.36</v>
      </c>
      <c r="M273" s="286"/>
      <c r="N273" s="286"/>
      <c r="O273" s="311">
        <f t="shared" si="74"/>
        <v>13.36</v>
      </c>
      <c r="P273" s="285"/>
      <c r="Q273" s="285"/>
      <c r="R273" s="278"/>
      <c r="S273" s="278"/>
      <c r="T273" s="278"/>
    </row>
    <row r="274" spans="1:20" s="305" customFormat="1" hidden="1" outlineLevel="2" x14ac:dyDescent="0.25">
      <c r="A274" s="278"/>
      <c r="B274" s="279" t="str">
        <f t="shared" si="70"/>
        <v>rafter/joist/lintel70x45mmMGP12x2</v>
      </c>
      <c r="C274" s="278" t="s">
        <v>1875</v>
      </c>
      <c r="D274" s="278" t="s">
        <v>1936</v>
      </c>
      <c r="E274" s="278" t="s">
        <v>512</v>
      </c>
      <c r="F274" s="278"/>
      <c r="G274" s="278" t="s">
        <v>15</v>
      </c>
      <c r="H274" s="309">
        <f t="shared" si="71"/>
        <v>4.4999999999999998E-2</v>
      </c>
      <c r="I274" s="280">
        <f t="shared" si="72"/>
        <v>3.6278999999999999</v>
      </c>
      <c r="J274" s="281">
        <f t="shared" si="73"/>
        <v>4.11435</v>
      </c>
      <c r="K274" s="282">
        <f>IF(Notes!$B$9="Domestic",I274, IF(Notes!$B$9="Commercial",J274))*$K$238</f>
        <v>8.2286999999999999</v>
      </c>
      <c r="L274" s="283">
        <f>(SUM(O274:Q274)+(K274+SUM(M274:Q274))*(INDEX($U$238:$AB$238,MATCH(Notes!$C$16,$U$3:$AB$3,0))-100%))*$L$238</f>
        <v>20.64</v>
      </c>
      <c r="M274" s="286"/>
      <c r="N274" s="286"/>
      <c r="O274" s="311">
        <f t="shared" si="74"/>
        <v>20.64</v>
      </c>
      <c r="P274" s="285"/>
      <c r="Q274" s="285"/>
      <c r="R274" s="278"/>
      <c r="S274" s="278"/>
      <c r="T274" s="278"/>
    </row>
    <row r="275" spans="1:20" s="305" customFormat="1" hidden="1" outlineLevel="2" x14ac:dyDescent="0.25">
      <c r="A275" s="278"/>
      <c r="B275" s="279" t="str">
        <f t="shared" si="70"/>
        <v>rafter/joist/lintel90x35mmMGP12x2</v>
      </c>
      <c r="C275" s="278" t="s">
        <v>1875</v>
      </c>
      <c r="D275" s="278" t="s">
        <v>1937</v>
      </c>
      <c r="E275" s="278" t="s">
        <v>512</v>
      </c>
      <c r="F275" s="278"/>
      <c r="G275" s="278" t="s">
        <v>15</v>
      </c>
      <c r="H275" s="309">
        <f t="shared" si="71"/>
        <v>4.4999999999999998E-2</v>
      </c>
      <c r="I275" s="280">
        <f t="shared" si="72"/>
        <v>3.6278999999999999</v>
      </c>
      <c r="J275" s="281">
        <f t="shared" si="73"/>
        <v>4.11435</v>
      </c>
      <c r="K275" s="282">
        <f>IF(Notes!$B$9="Domestic",I275, IF(Notes!$B$9="Commercial",J275))*$K$238</f>
        <v>8.2286999999999999</v>
      </c>
      <c r="L275" s="283">
        <f>(SUM(O275:Q275)+(K275+SUM(M275:Q275))*(INDEX($U$238:$AB$238,MATCH(Notes!$C$16,$U$3:$AB$3,0))-100%))*$L$238</f>
        <v>15.34</v>
      </c>
      <c r="M275" s="286"/>
      <c r="N275" s="286"/>
      <c r="O275" s="311">
        <f t="shared" si="74"/>
        <v>15.34</v>
      </c>
      <c r="P275" s="285"/>
      <c r="Q275" s="285"/>
      <c r="R275" s="278"/>
      <c r="S275" s="278"/>
      <c r="T275" s="278"/>
    </row>
    <row r="276" spans="1:20" s="305" customFormat="1" hidden="1" outlineLevel="2" x14ac:dyDescent="0.25">
      <c r="A276" s="278"/>
      <c r="B276" s="279" t="str">
        <f t="shared" si="70"/>
        <v>rafter/joist/lintel90x45mmMGP12x2</v>
      </c>
      <c r="C276" s="278" t="s">
        <v>1875</v>
      </c>
      <c r="D276" s="278" t="s">
        <v>1938</v>
      </c>
      <c r="E276" s="278" t="s">
        <v>512</v>
      </c>
      <c r="F276" s="278"/>
      <c r="G276" s="278" t="s">
        <v>15</v>
      </c>
      <c r="H276" s="309">
        <f t="shared" si="71"/>
        <v>4.4999999999999998E-2</v>
      </c>
      <c r="I276" s="280">
        <f t="shared" si="72"/>
        <v>3.6278999999999999</v>
      </c>
      <c r="J276" s="281">
        <f t="shared" si="73"/>
        <v>4.11435</v>
      </c>
      <c r="K276" s="282">
        <f>IF(Notes!$B$9="Domestic",I276, IF(Notes!$B$9="Commercial",J276))*$K$238</f>
        <v>8.2286999999999999</v>
      </c>
      <c r="L276" s="283">
        <f>(SUM(O276:Q276)+(K276+SUM(M276:Q276))*(INDEX($U$238:$AB$238,MATCH(Notes!$C$16,$U$3:$AB$3,0))-100%))*$L$238</f>
        <v>22.04</v>
      </c>
      <c r="M276" s="286"/>
      <c r="N276" s="286"/>
      <c r="O276" s="311">
        <f t="shared" si="74"/>
        <v>22.04</v>
      </c>
      <c r="P276" s="285"/>
      <c r="Q276" s="285"/>
      <c r="R276" s="278"/>
      <c r="S276" s="278"/>
      <c r="T276" s="278"/>
    </row>
    <row r="277" spans="1:20" s="305" customFormat="1" hidden="1" outlineLevel="2" x14ac:dyDescent="0.25">
      <c r="A277" s="278"/>
      <c r="B277" s="279" t="str">
        <f t="shared" si="70"/>
        <v>rafter/joist/lintel140x35mmMGP12x2</v>
      </c>
      <c r="C277" s="278" t="s">
        <v>1875</v>
      </c>
      <c r="D277" s="278" t="s">
        <v>1939</v>
      </c>
      <c r="E277" s="278" t="s">
        <v>512</v>
      </c>
      <c r="F277" s="278"/>
      <c r="G277" s="278" t="s">
        <v>15</v>
      </c>
      <c r="H277" s="309">
        <f t="shared" si="71"/>
        <v>4.4999999999999998E-2</v>
      </c>
      <c r="I277" s="280">
        <f t="shared" si="72"/>
        <v>3.6278999999999999</v>
      </c>
      <c r="J277" s="281">
        <f t="shared" si="73"/>
        <v>4.11435</v>
      </c>
      <c r="K277" s="282">
        <f>IF(Notes!$B$9="Domestic",I277, IF(Notes!$B$9="Commercial",J277))*$K$238</f>
        <v>8.2286999999999999</v>
      </c>
      <c r="L277" s="283">
        <f>(SUM(O277:Q277)+(K277+SUM(M277:Q277))*(INDEX($U$238:$AB$238,MATCH(Notes!$C$16,$U$3:$AB$3,0))-100%))*$L$238</f>
        <v>31.48</v>
      </c>
      <c r="M277" s="286"/>
      <c r="N277" s="286"/>
      <c r="O277" s="311">
        <f t="shared" si="74"/>
        <v>31.48</v>
      </c>
      <c r="P277" s="285"/>
      <c r="Q277" s="285"/>
      <c r="R277" s="278"/>
      <c r="S277" s="278"/>
      <c r="T277" s="278"/>
    </row>
    <row r="278" spans="1:20" s="305" customFormat="1" hidden="1" outlineLevel="2" x14ac:dyDescent="0.25">
      <c r="A278" s="278"/>
      <c r="B278" s="279" t="str">
        <f t="shared" si="70"/>
        <v>rafter/joist/lintel140x45mmMGP12x2</v>
      </c>
      <c r="C278" s="278" t="s">
        <v>1875</v>
      </c>
      <c r="D278" s="278" t="s">
        <v>1940</v>
      </c>
      <c r="E278" s="278" t="s">
        <v>512</v>
      </c>
      <c r="F278" s="278"/>
      <c r="G278" s="278" t="s">
        <v>15</v>
      </c>
      <c r="H278" s="309">
        <f t="shared" si="71"/>
        <v>4.4999999999999998E-2</v>
      </c>
      <c r="I278" s="280">
        <f t="shared" si="72"/>
        <v>3.6278999999999999</v>
      </c>
      <c r="J278" s="281">
        <f t="shared" si="73"/>
        <v>4.11435</v>
      </c>
      <c r="K278" s="282">
        <f>IF(Notes!$B$9="Domestic",I278, IF(Notes!$B$9="Commercial",J278))*$K$238</f>
        <v>8.2286999999999999</v>
      </c>
      <c r="L278" s="283">
        <f>(SUM(O278:Q278)+(K278+SUM(M278:Q278))*(INDEX($U$238:$AB$238,MATCH(Notes!$C$16,$U$3:$AB$3,0))-100%))*$L$238</f>
        <v>33.92</v>
      </c>
      <c r="M278" s="286"/>
      <c r="N278" s="286"/>
      <c r="O278" s="311">
        <f t="shared" si="74"/>
        <v>33.92</v>
      </c>
      <c r="P278" s="285"/>
      <c r="Q278" s="285"/>
      <c r="R278" s="278"/>
      <c r="S278" s="278"/>
      <c r="T278" s="278"/>
    </row>
    <row r="279" spans="1:20" s="305" customFormat="1" hidden="1" outlineLevel="2" x14ac:dyDescent="0.25">
      <c r="A279" s="278"/>
      <c r="B279" s="279" t="str">
        <f t="shared" si="70"/>
        <v>rafter/joist/lintel190x35mmMGP12x2</v>
      </c>
      <c r="C279" s="278" t="s">
        <v>1875</v>
      </c>
      <c r="D279" s="278" t="s">
        <v>1941</v>
      </c>
      <c r="E279" s="278" t="s">
        <v>512</v>
      </c>
      <c r="F279" s="278"/>
      <c r="G279" s="278" t="s">
        <v>15</v>
      </c>
      <c r="H279" s="309">
        <f t="shared" si="71"/>
        <v>4.4999999999999998E-2</v>
      </c>
      <c r="I279" s="280">
        <f t="shared" si="72"/>
        <v>3.6278999999999999</v>
      </c>
      <c r="J279" s="281">
        <f t="shared" si="73"/>
        <v>4.11435</v>
      </c>
      <c r="K279" s="282">
        <f>IF(Notes!$B$9="Domestic",I279, IF(Notes!$B$9="Commercial",J279))*$K$238</f>
        <v>8.2286999999999999</v>
      </c>
      <c r="L279" s="283">
        <f>(SUM(O279:Q279)+(K279+SUM(M279:Q279))*(INDEX($U$238:$AB$238,MATCH(Notes!$C$16,$U$3:$AB$3,0))-100%))*$L$238</f>
        <v>40.479999999999997</v>
      </c>
      <c r="M279" s="286"/>
      <c r="N279" s="286"/>
      <c r="O279" s="311">
        <f t="shared" si="74"/>
        <v>40.479999999999997</v>
      </c>
      <c r="P279" s="285"/>
      <c r="Q279" s="285"/>
      <c r="R279" s="278"/>
      <c r="S279" s="278"/>
      <c r="T279" s="278"/>
    </row>
    <row r="280" spans="1:20" s="305" customFormat="1" hidden="1" outlineLevel="2" x14ac:dyDescent="0.25">
      <c r="A280" s="278"/>
      <c r="B280" s="279" t="str">
        <f t="shared" si="70"/>
        <v>rafter/joist/lintel190x45mmMGP12x2</v>
      </c>
      <c r="C280" s="278" t="s">
        <v>1875</v>
      </c>
      <c r="D280" s="278" t="s">
        <v>1942</v>
      </c>
      <c r="E280" s="278" t="s">
        <v>512</v>
      </c>
      <c r="F280" s="278"/>
      <c r="G280" s="278" t="s">
        <v>15</v>
      </c>
      <c r="H280" s="309">
        <f t="shared" si="71"/>
        <v>4.4999999999999998E-2</v>
      </c>
      <c r="I280" s="280">
        <f t="shared" si="72"/>
        <v>3.6278999999999999</v>
      </c>
      <c r="J280" s="281">
        <f t="shared" si="73"/>
        <v>4.11435</v>
      </c>
      <c r="K280" s="282">
        <f>IF(Notes!$B$9="Domestic",I280, IF(Notes!$B$9="Commercial",J280))*$K$238</f>
        <v>8.2286999999999999</v>
      </c>
      <c r="L280" s="283">
        <f>(SUM(O280:Q280)+(K280+SUM(M280:Q280))*(INDEX($U$238:$AB$238,MATCH(Notes!$C$16,$U$3:$AB$3,0))-100%))*$L$238</f>
        <v>45.94</v>
      </c>
      <c r="M280" s="286"/>
      <c r="N280" s="286"/>
      <c r="O280" s="311">
        <f t="shared" si="74"/>
        <v>45.94</v>
      </c>
      <c r="P280" s="285"/>
      <c r="Q280" s="285"/>
      <c r="R280" s="278"/>
      <c r="S280" s="278"/>
      <c r="T280" s="278"/>
    </row>
    <row r="281" spans="1:20" s="305" customFormat="1" hidden="1" outlineLevel="2" x14ac:dyDescent="0.25">
      <c r="A281" s="278"/>
      <c r="B281" s="279" t="str">
        <f t="shared" si="70"/>
        <v>rafter/joist/lintel240x45mmMGP12x2</v>
      </c>
      <c r="C281" s="278" t="s">
        <v>1875</v>
      </c>
      <c r="D281" s="278" t="s">
        <v>1943</v>
      </c>
      <c r="E281" s="278" t="s">
        <v>512</v>
      </c>
      <c r="F281" s="278"/>
      <c r="G281" s="278" t="s">
        <v>15</v>
      </c>
      <c r="H281" s="309">
        <f t="shared" si="71"/>
        <v>0.06</v>
      </c>
      <c r="I281" s="280">
        <f t="shared" si="72"/>
        <v>4.8372000000000002</v>
      </c>
      <c r="J281" s="281">
        <f t="shared" si="73"/>
        <v>5.4858000000000002</v>
      </c>
      <c r="K281" s="282">
        <f>IF(Notes!$B$9="Domestic",I281, IF(Notes!$B$9="Commercial",J281))*$K$238</f>
        <v>10.9716</v>
      </c>
      <c r="L281" s="283">
        <f>(SUM(O281:Q281)+(K281+SUM(M281:Q281))*(INDEX($U$238:$AB$238,MATCH(Notes!$C$16,$U$3:$AB$3,0))-100%))*$L$238</f>
        <v>61.24</v>
      </c>
      <c r="M281" s="286"/>
      <c r="N281" s="286"/>
      <c r="O281" s="311">
        <f t="shared" si="74"/>
        <v>61.24</v>
      </c>
      <c r="P281" s="285"/>
      <c r="Q281" s="285"/>
      <c r="R281" s="278"/>
      <c r="S281" s="278"/>
      <c r="T281" s="278"/>
    </row>
    <row r="282" spans="1:20" s="305" customFormat="1" hidden="1" outlineLevel="2" x14ac:dyDescent="0.25">
      <c r="A282" s="278"/>
      <c r="B282" s="279" t="str">
        <f t="shared" si="70"/>
        <v>rafter/joist/lintel290x45mmMGP12x2</v>
      </c>
      <c r="C282" s="278" t="s">
        <v>1875</v>
      </c>
      <c r="D282" s="278" t="s">
        <v>1944</v>
      </c>
      <c r="E282" s="278" t="s">
        <v>512</v>
      </c>
      <c r="F282" s="278"/>
      <c r="G282" s="278" t="s">
        <v>15</v>
      </c>
      <c r="H282" s="309">
        <f>H260*1.5</f>
        <v>0.06</v>
      </c>
      <c r="I282" s="280">
        <f t="shared" si="72"/>
        <v>4.8372000000000002</v>
      </c>
      <c r="J282" s="281">
        <f t="shared" si="73"/>
        <v>5.4858000000000002</v>
      </c>
      <c r="K282" s="282">
        <f>IF(Notes!$B$9="Domestic",I282, IF(Notes!$B$9="Commercial",J282))*$K$238</f>
        <v>10.9716</v>
      </c>
      <c r="L282" s="283">
        <f>(SUM(O282:Q282)+(K282+SUM(M282:Q282))*(INDEX($U$238:$AB$238,MATCH(Notes!$C$16,$U$3:$AB$3,0))-100%))*$L$238</f>
        <v>73.488</v>
      </c>
      <c r="M282" s="286"/>
      <c r="N282" s="286"/>
      <c r="O282" s="311">
        <f t="shared" si="74"/>
        <v>73.488</v>
      </c>
      <c r="P282" s="285"/>
      <c r="Q282" s="285"/>
      <c r="R282" s="278"/>
      <c r="S282" s="278"/>
      <c r="T282" s="278"/>
    </row>
    <row r="283" spans="1:20" s="305" customFormat="1" hidden="1" outlineLevel="2" x14ac:dyDescent="0.25">
      <c r="A283" s="278"/>
      <c r="B283" s="279" t="str">
        <f t="shared" si="67"/>
        <v>rafter/joist/lintel200x45mmI-joist</v>
      </c>
      <c r="C283" s="278" t="s">
        <v>1875</v>
      </c>
      <c r="D283" s="278" t="s">
        <v>1945</v>
      </c>
      <c r="E283" s="278" t="s">
        <v>1874</v>
      </c>
      <c r="F283" s="278"/>
      <c r="G283" s="278" t="s">
        <v>15</v>
      </c>
      <c r="H283" s="310">
        <v>0.05</v>
      </c>
      <c r="I283" s="280">
        <f t="shared" si="68"/>
        <v>4.0310000000000006</v>
      </c>
      <c r="J283" s="281">
        <f t="shared" si="69"/>
        <v>4.5715000000000003</v>
      </c>
      <c r="K283" s="282">
        <f>IF(Notes!$B$9="Domestic",I283, IF(Notes!$B$9="Commercial",J283))*$K$238</f>
        <v>9.1430000000000007</v>
      </c>
      <c r="L283" s="283">
        <f>(SUM(O283:Q283)+(K283+SUM(M283:Q283))*(INDEX($U$238:$AB$238,MATCH(Notes!$C$16,$U$3:$AB$3,0))-100%))*$L$238</f>
        <v>24.25</v>
      </c>
      <c r="M283" s="286"/>
      <c r="N283" s="286"/>
      <c r="O283" s="285">
        <v>24.25</v>
      </c>
      <c r="P283" s="285"/>
      <c r="Q283" s="285"/>
      <c r="R283" s="278"/>
      <c r="S283" s="278"/>
      <c r="T283" s="278"/>
    </row>
    <row r="284" spans="1:20" s="305" customFormat="1" hidden="1" outlineLevel="2" x14ac:dyDescent="0.25">
      <c r="A284" s="278"/>
      <c r="B284" s="279" t="str">
        <f t="shared" si="67"/>
        <v>rafter/joist/lintel240x40mmI-joist</v>
      </c>
      <c r="C284" s="278" t="s">
        <v>1875</v>
      </c>
      <c r="D284" s="278" t="s">
        <v>1946</v>
      </c>
      <c r="E284" s="278" t="s">
        <v>1874</v>
      </c>
      <c r="F284" s="278"/>
      <c r="G284" s="278" t="s">
        <v>15</v>
      </c>
      <c r="H284" s="310">
        <v>0.05</v>
      </c>
      <c r="I284" s="280">
        <f t="shared" si="68"/>
        <v>4.0310000000000006</v>
      </c>
      <c r="J284" s="281">
        <f t="shared" si="69"/>
        <v>4.5715000000000003</v>
      </c>
      <c r="K284" s="282">
        <f>IF(Notes!$B$9="Domestic",I284, IF(Notes!$B$9="Commercial",J284))*$K$238</f>
        <v>9.1430000000000007</v>
      </c>
      <c r="L284" s="283">
        <f>(SUM(O284:Q284)+(K284+SUM(M284:Q284))*(INDEX($U$238:$AB$238,MATCH(Notes!$C$16,$U$3:$AB$3,0))-100%))*$L$238</f>
        <v>23.2</v>
      </c>
      <c r="M284" s="286"/>
      <c r="N284" s="286"/>
      <c r="O284" s="285">
        <v>23.2</v>
      </c>
      <c r="P284" s="285"/>
      <c r="Q284" s="285"/>
      <c r="R284" s="278"/>
      <c r="S284" s="278"/>
      <c r="T284" s="278"/>
    </row>
    <row r="285" spans="1:20" s="305" customFormat="1" hidden="1" outlineLevel="2" x14ac:dyDescent="0.25">
      <c r="A285" s="278"/>
      <c r="B285" s="279" t="str">
        <f t="shared" si="67"/>
        <v>rafter/joist/lintel240x45mmI-joist</v>
      </c>
      <c r="C285" s="278" t="s">
        <v>1875</v>
      </c>
      <c r="D285" s="278" t="s">
        <v>1943</v>
      </c>
      <c r="E285" s="278" t="s">
        <v>1874</v>
      </c>
      <c r="F285" s="278"/>
      <c r="G285" s="278" t="s">
        <v>15</v>
      </c>
      <c r="H285" s="310">
        <v>0.05</v>
      </c>
      <c r="I285" s="280">
        <f t="shared" si="68"/>
        <v>4.0310000000000006</v>
      </c>
      <c r="J285" s="281">
        <f t="shared" si="69"/>
        <v>4.5715000000000003</v>
      </c>
      <c r="K285" s="282">
        <f>IF(Notes!$B$9="Domestic",I285, IF(Notes!$B$9="Commercial",J285))*$K$238</f>
        <v>9.1430000000000007</v>
      </c>
      <c r="L285" s="283">
        <f>(SUM(O285:Q285)+(K285+SUM(M285:Q285))*(INDEX($U$238:$AB$238,MATCH(Notes!$C$16,$U$3:$AB$3,0))-100%))*$L$238</f>
        <v>23.2</v>
      </c>
      <c r="M285" s="286"/>
      <c r="N285" s="286"/>
      <c r="O285" s="285">
        <v>23.2</v>
      </c>
      <c r="P285" s="285"/>
      <c r="Q285" s="285"/>
      <c r="R285" s="278"/>
      <c r="S285" s="278"/>
      <c r="T285" s="278"/>
    </row>
    <row r="286" spans="1:20" s="305" customFormat="1" hidden="1" outlineLevel="2" x14ac:dyDescent="0.25">
      <c r="A286" s="278"/>
      <c r="B286" s="279" t="str">
        <f t="shared" si="67"/>
        <v>rafter/joist/lintel240x63mmI-joist</v>
      </c>
      <c r="C286" s="278" t="s">
        <v>1875</v>
      </c>
      <c r="D286" s="278" t="s">
        <v>1947</v>
      </c>
      <c r="E286" s="278" t="s">
        <v>1874</v>
      </c>
      <c r="F286" s="278"/>
      <c r="G286" s="278" t="s">
        <v>15</v>
      </c>
      <c r="H286" s="310">
        <v>0.05</v>
      </c>
      <c r="I286" s="280">
        <f t="shared" si="68"/>
        <v>4.0310000000000006</v>
      </c>
      <c r="J286" s="281">
        <f t="shared" si="69"/>
        <v>4.5715000000000003</v>
      </c>
      <c r="K286" s="282">
        <f>IF(Notes!$B$9="Domestic",I286, IF(Notes!$B$9="Commercial",J286))*$K$238</f>
        <v>9.1430000000000007</v>
      </c>
      <c r="L286" s="283">
        <f>(SUM(O286:Q286)+(K286+SUM(M286:Q286))*(INDEX($U$238:$AB$238,MATCH(Notes!$C$16,$U$3:$AB$3,0))-100%))*$L$238</f>
        <v>28.57</v>
      </c>
      <c r="M286" s="286"/>
      <c r="N286" s="286"/>
      <c r="O286" s="285">
        <v>28.57</v>
      </c>
      <c r="P286" s="285"/>
      <c r="Q286" s="285"/>
      <c r="R286" s="278"/>
      <c r="S286" s="278"/>
      <c r="T286" s="278"/>
    </row>
    <row r="287" spans="1:20" s="305" customFormat="1" hidden="1" outlineLevel="2" x14ac:dyDescent="0.25">
      <c r="A287" s="278"/>
      <c r="B287" s="279" t="str">
        <f t="shared" si="67"/>
        <v>rafter/joist/lintel240x90mmI-joist</v>
      </c>
      <c r="C287" s="278" t="s">
        <v>1875</v>
      </c>
      <c r="D287" s="278" t="s">
        <v>1948</v>
      </c>
      <c r="E287" s="278" t="s">
        <v>1874</v>
      </c>
      <c r="F287" s="278"/>
      <c r="G287" s="278" t="s">
        <v>15</v>
      </c>
      <c r="H287" s="310">
        <v>0.05</v>
      </c>
      <c r="I287" s="280">
        <f t="shared" si="68"/>
        <v>4.0310000000000006</v>
      </c>
      <c r="J287" s="281">
        <f t="shared" si="69"/>
        <v>4.5715000000000003</v>
      </c>
      <c r="K287" s="282">
        <f>IF(Notes!$B$9="Domestic",I287, IF(Notes!$B$9="Commercial",J287))*$K$238</f>
        <v>9.1430000000000007</v>
      </c>
      <c r="L287" s="283">
        <f>(SUM(O287:Q287)+(K287+SUM(M287:Q287))*(INDEX($U$238:$AB$238,MATCH(Notes!$C$16,$U$3:$AB$3,0))-100%))*$L$238</f>
        <v>38.96</v>
      </c>
      <c r="M287" s="286"/>
      <c r="N287" s="286"/>
      <c r="O287" s="285">
        <v>38.96</v>
      </c>
      <c r="P287" s="285"/>
      <c r="Q287" s="285"/>
      <c r="R287" s="278"/>
      <c r="S287" s="278"/>
      <c r="T287" s="278"/>
    </row>
    <row r="288" spans="1:20" s="305" customFormat="1" hidden="1" outlineLevel="2" x14ac:dyDescent="0.25">
      <c r="A288" s="278"/>
      <c r="B288" s="279" t="str">
        <f t="shared" si="67"/>
        <v>rafter/joist/lintel300x40mmI-joist</v>
      </c>
      <c r="C288" s="278" t="s">
        <v>1875</v>
      </c>
      <c r="D288" s="278" t="s">
        <v>1949</v>
      </c>
      <c r="E288" s="278" t="s">
        <v>1874</v>
      </c>
      <c r="F288" s="278"/>
      <c r="G288" s="278" t="s">
        <v>15</v>
      </c>
      <c r="H288" s="310">
        <v>0.05</v>
      </c>
      <c r="I288" s="280">
        <f t="shared" si="68"/>
        <v>4.0310000000000006</v>
      </c>
      <c r="J288" s="281">
        <f t="shared" si="69"/>
        <v>4.5715000000000003</v>
      </c>
      <c r="K288" s="282">
        <f>IF(Notes!$B$9="Domestic",I288, IF(Notes!$B$9="Commercial",J288))*$K$238</f>
        <v>9.1430000000000007</v>
      </c>
      <c r="L288" s="283">
        <f>(SUM(O288:Q288)+(K288+SUM(M288:Q288))*(INDEX($U$238:$AB$238,MATCH(Notes!$C$16,$U$3:$AB$3,0))-100%))*$L$238</f>
        <v>26.19</v>
      </c>
      <c r="M288" s="286"/>
      <c r="N288" s="286"/>
      <c r="O288" s="285">
        <v>26.19</v>
      </c>
      <c r="P288" s="285"/>
      <c r="Q288" s="285"/>
      <c r="R288" s="278"/>
      <c r="S288" s="278"/>
      <c r="T288" s="278"/>
    </row>
    <row r="289" spans="1:20" s="305" customFormat="1" hidden="1" outlineLevel="2" x14ac:dyDescent="0.25">
      <c r="A289" s="278"/>
      <c r="B289" s="279" t="str">
        <f t="shared" si="67"/>
        <v>rafter/joist/lintel300x45mmI-joist</v>
      </c>
      <c r="C289" s="278" t="s">
        <v>1875</v>
      </c>
      <c r="D289" s="278" t="s">
        <v>1950</v>
      </c>
      <c r="E289" s="278" t="s">
        <v>1874</v>
      </c>
      <c r="F289" s="278"/>
      <c r="G289" s="278" t="s">
        <v>15</v>
      </c>
      <c r="H289" s="310">
        <v>0.05</v>
      </c>
      <c r="I289" s="280">
        <f t="shared" si="68"/>
        <v>4.0310000000000006</v>
      </c>
      <c r="J289" s="281">
        <f t="shared" si="69"/>
        <v>4.5715000000000003</v>
      </c>
      <c r="K289" s="282">
        <f>IF(Notes!$B$9="Domestic",I289, IF(Notes!$B$9="Commercial",J289))*$K$238</f>
        <v>9.1430000000000007</v>
      </c>
      <c r="L289" s="283">
        <f>(SUM(O289:Q289)+(K289+SUM(M289:Q289))*(INDEX($U$238:$AB$238,MATCH(Notes!$C$16,$U$3:$AB$3,0))-100%))*$L$238</f>
        <v>26.19</v>
      </c>
      <c r="M289" s="286"/>
      <c r="N289" s="286"/>
      <c r="O289" s="285">
        <v>26.19</v>
      </c>
      <c r="P289" s="285"/>
      <c r="Q289" s="285"/>
      <c r="R289" s="278"/>
      <c r="S289" s="278"/>
      <c r="T289" s="278"/>
    </row>
    <row r="290" spans="1:20" s="305" customFormat="1" hidden="1" outlineLevel="2" x14ac:dyDescent="0.25">
      <c r="A290" s="278"/>
      <c r="B290" s="279" t="str">
        <f t="shared" si="67"/>
        <v>rafter/joist/lintel300x63mmI-joist</v>
      </c>
      <c r="C290" s="278" t="s">
        <v>1875</v>
      </c>
      <c r="D290" s="278" t="s">
        <v>1951</v>
      </c>
      <c r="E290" s="278" t="s">
        <v>1874</v>
      </c>
      <c r="F290" s="278"/>
      <c r="G290" s="278" t="s">
        <v>15</v>
      </c>
      <c r="H290" s="310">
        <v>0.05</v>
      </c>
      <c r="I290" s="280">
        <f t="shared" si="68"/>
        <v>4.0310000000000006</v>
      </c>
      <c r="J290" s="281">
        <f t="shared" si="69"/>
        <v>4.5715000000000003</v>
      </c>
      <c r="K290" s="282">
        <f>IF(Notes!$B$9="Domestic",I290, IF(Notes!$B$9="Commercial",J290))*$K$238</f>
        <v>9.1430000000000007</v>
      </c>
      <c r="L290" s="283">
        <f>(SUM(O290:Q290)+(K290+SUM(M290:Q290))*(INDEX($U$238:$AB$238,MATCH(Notes!$C$16,$U$3:$AB$3,0))-100%))*$L$238</f>
        <v>31.47</v>
      </c>
      <c r="M290" s="286"/>
      <c r="N290" s="286"/>
      <c r="O290" s="285">
        <v>31.47</v>
      </c>
      <c r="P290" s="285"/>
      <c r="Q290" s="285"/>
      <c r="R290" s="278"/>
      <c r="S290" s="278"/>
      <c r="T290" s="278"/>
    </row>
    <row r="291" spans="1:20" s="305" customFormat="1" hidden="1" outlineLevel="2" x14ac:dyDescent="0.25">
      <c r="A291" s="278"/>
      <c r="B291" s="279" t="str">
        <f t="shared" si="67"/>
        <v>rafter/joist/lintel300x90mmI-joist</v>
      </c>
      <c r="C291" s="278" t="s">
        <v>1875</v>
      </c>
      <c r="D291" s="278" t="s">
        <v>1952</v>
      </c>
      <c r="E291" s="278" t="s">
        <v>1874</v>
      </c>
      <c r="F291" s="278"/>
      <c r="G291" s="278" t="s">
        <v>15</v>
      </c>
      <c r="H291" s="310">
        <v>0.05</v>
      </c>
      <c r="I291" s="280">
        <f t="shared" si="68"/>
        <v>4.0310000000000006</v>
      </c>
      <c r="J291" s="281">
        <f t="shared" si="69"/>
        <v>4.5715000000000003</v>
      </c>
      <c r="K291" s="282">
        <f>IF(Notes!$B$9="Domestic",I291, IF(Notes!$B$9="Commercial",J291))*$K$238</f>
        <v>9.1430000000000007</v>
      </c>
      <c r="L291" s="283">
        <f>(SUM(O291:Q291)+(K291+SUM(M291:Q291))*(INDEX($U$238:$AB$238,MATCH(Notes!$C$16,$U$3:$AB$3,0))-100%))*$L$238</f>
        <v>42.15</v>
      </c>
      <c r="M291" s="286"/>
      <c r="N291" s="286"/>
      <c r="O291" s="285">
        <v>42.15</v>
      </c>
      <c r="P291" s="285"/>
      <c r="Q291" s="285"/>
      <c r="R291" s="278"/>
      <c r="S291" s="278"/>
      <c r="T291" s="278"/>
    </row>
    <row r="292" spans="1:20" s="305" customFormat="1" hidden="1" outlineLevel="2" x14ac:dyDescent="0.25">
      <c r="A292" s="278"/>
      <c r="B292" s="279" t="str">
        <f t="shared" si="67"/>
        <v>rafter/joist/lintel360x63mmI-joist</v>
      </c>
      <c r="C292" s="278" t="s">
        <v>1875</v>
      </c>
      <c r="D292" s="278" t="s">
        <v>1953</v>
      </c>
      <c r="E292" s="278" t="s">
        <v>1874</v>
      </c>
      <c r="F292" s="278"/>
      <c r="G292" s="278" t="s">
        <v>15</v>
      </c>
      <c r="H292" s="310">
        <v>0.05</v>
      </c>
      <c r="I292" s="280">
        <f t="shared" si="68"/>
        <v>4.0310000000000006</v>
      </c>
      <c r="J292" s="281">
        <f t="shared" si="69"/>
        <v>4.5715000000000003</v>
      </c>
      <c r="K292" s="282">
        <f>IF(Notes!$B$9="Domestic",I292, IF(Notes!$B$9="Commercial",J292))*$K$238</f>
        <v>9.1430000000000007</v>
      </c>
      <c r="L292" s="283">
        <f>(SUM(O292:Q292)+(K292+SUM(M292:Q292))*(INDEX($U$238:$AB$238,MATCH(Notes!$C$16,$U$3:$AB$3,0))-100%))*$L$238</f>
        <v>41.94</v>
      </c>
      <c r="M292" s="286"/>
      <c r="N292" s="286"/>
      <c r="O292" s="285">
        <v>41.94</v>
      </c>
      <c r="P292" s="285"/>
      <c r="Q292" s="285"/>
      <c r="R292" s="278"/>
      <c r="S292" s="278"/>
      <c r="T292" s="278"/>
    </row>
    <row r="293" spans="1:20" s="305" customFormat="1" hidden="1" outlineLevel="2" x14ac:dyDescent="0.25">
      <c r="A293" s="278"/>
      <c r="B293" s="279" t="str">
        <f t="shared" si="67"/>
        <v>rafter/joist/lintel360x90mmI-joist</v>
      </c>
      <c r="C293" s="278" t="s">
        <v>1875</v>
      </c>
      <c r="D293" s="278" t="s">
        <v>1954</v>
      </c>
      <c r="E293" s="278" t="s">
        <v>1874</v>
      </c>
      <c r="F293" s="278"/>
      <c r="G293" s="278" t="s">
        <v>15</v>
      </c>
      <c r="H293" s="310">
        <v>0.05</v>
      </c>
      <c r="I293" s="280">
        <f t="shared" si="68"/>
        <v>4.0310000000000006</v>
      </c>
      <c r="J293" s="281">
        <f t="shared" si="69"/>
        <v>4.5715000000000003</v>
      </c>
      <c r="K293" s="282">
        <f>IF(Notes!$B$9="Domestic",I293, IF(Notes!$B$9="Commercial",J293))*$K$238</f>
        <v>9.1430000000000007</v>
      </c>
      <c r="L293" s="283">
        <f>(SUM(O293:Q293)+(K293+SUM(M293:Q293))*(INDEX($U$238:$AB$238,MATCH(Notes!$C$16,$U$3:$AB$3,0))-100%))*$L$238</f>
        <v>54.99</v>
      </c>
      <c r="M293" s="286"/>
      <c r="N293" s="286"/>
      <c r="O293" s="285">
        <v>54.99</v>
      </c>
      <c r="P293" s="285"/>
      <c r="Q293" s="285"/>
      <c r="R293" s="278"/>
      <c r="S293" s="278"/>
      <c r="T293" s="278"/>
    </row>
    <row r="294" spans="1:20" s="305" customFormat="1" hidden="1" outlineLevel="2" x14ac:dyDescent="0.25">
      <c r="A294" s="278"/>
      <c r="B294" s="279" t="str">
        <f t="shared" si="67"/>
        <v>rafter/joist/lintel400x90mmI-joist</v>
      </c>
      <c r="C294" s="278" t="s">
        <v>1875</v>
      </c>
      <c r="D294" s="278" t="s">
        <v>1955</v>
      </c>
      <c r="E294" s="278" t="s">
        <v>1874</v>
      </c>
      <c r="F294" s="278"/>
      <c r="G294" s="278" t="s">
        <v>15</v>
      </c>
      <c r="H294" s="310">
        <v>0.05</v>
      </c>
      <c r="I294" s="280">
        <f t="shared" si="68"/>
        <v>4.0310000000000006</v>
      </c>
      <c r="J294" s="281">
        <f t="shared" si="69"/>
        <v>4.5715000000000003</v>
      </c>
      <c r="K294" s="282">
        <f>IF(Notes!$B$9="Domestic",I294, IF(Notes!$B$9="Commercial",J294))*$K$238</f>
        <v>9.1430000000000007</v>
      </c>
      <c r="L294" s="283">
        <f>(SUM(O294:Q294)+(K294+SUM(M294:Q294))*(INDEX($U$238:$AB$238,MATCH(Notes!$C$16,$U$3:$AB$3,0))-100%))*$L$238</f>
        <v>76.87</v>
      </c>
      <c r="M294" s="286"/>
      <c r="N294" s="286"/>
      <c r="O294" s="285">
        <v>76.87</v>
      </c>
      <c r="P294" s="285"/>
      <c r="Q294" s="285"/>
      <c r="R294" s="278"/>
      <c r="S294" s="278"/>
      <c r="T294" s="278"/>
    </row>
    <row r="295" spans="1:20" s="305" customFormat="1" hidden="1" outlineLevel="2" x14ac:dyDescent="0.25">
      <c r="A295" s="278"/>
      <c r="B295" s="279" t="str">
        <f t="shared" si="67"/>
        <v>rafter/joist/lintel90x45mmLVL</v>
      </c>
      <c r="C295" s="278" t="s">
        <v>1875</v>
      </c>
      <c r="D295" s="278" t="s">
        <v>1938</v>
      </c>
      <c r="E295" s="278" t="s">
        <v>503</v>
      </c>
      <c r="F295" s="278"/>
      <c r="G295" s="278" t="s">
        <v>15</v>
      </c>
      <c r="H295" s="310">
        <v>0.03</v>
      </c>
      <c r="I295" s="280">
        <f t="shared" si="68"/>
        <v>2.4186000000000001</v>
      </c>
      <c r="J295" s="281">
        <f t="shared" si="69"/>
        <v>2.7429000000000001</v>
      </c>
      <c r="K295" s="282">
        <f>IF(Notes!$B$9="Domestic",I295, IF(Notes!$B$9="Commercial",J295))*$K$238</f>
        <v>5.4858000000000002</v>
      </c>
      <c r="L295" s="283">
        <f>(SUM(O295:Q295)+(K295+SUM(M295:Q295))*(INDEX($U$238:$AB$238,MATCH(Notes!$C$16,$U$3:$AB$3,0))-100%))*$L$238</f>
        <v>22.81</v>
      </c>
      <c r="M295" s="286"/>
      <c r="N295" s="286"/>
      <c r="O295" s="285">
        <v>22.81</v>
      </c>
      <c r="P295" s="285"/>
      <c r="Q295" s="285"/>
      <c r="R295" s="278"/>
      <c r="S295" s="278"/>
      <c r="T295" s="278"/>
    </row>
    <row r="296" spans="1:20" s="305" customFormat="1" hidden="1" outlineLevel="2" x14ac:dyDescent="0.25">
      <c r="A296" s="278"/>
      <c r="B296" s="279" t="str">
        <f t="shared" si="67"/>
        <v>rafter/joist/lintel95x36mmLVL</v>
      </c>
      <c r="C296" s="278" t="s">
        <v>1875</v>
      </c>
      <c r="D296" s="278" t="s">
        <v>1956</v>
      </c>
      <c r="E296" s="278" t="s">
        <v>503</v>
      </c>
      <c r="F296" s="278"/>
      <c r="G296" s="278" t="s">
        <v>15</v>
      </c>
      <c r="H296" s="310">
        <v>0.03</v>
      </c>
      <c r="I296" s="280">
        <f t="shared" si="68"/>
        <v>2.4186000000000001</v>
      </c>
      <c r="J296" s="281">
        <f t="shared" si="69"/>
        <v>2.7429000000000001</v>
      </c>
      <c r="K296" s="282">
        <f>IF(Notes!$B$9="Domestic",I296, IF(Notes!$B$9="Commercial",J296))*$K$238</f>
        <v>5.4858000000000002</v>
      </c>
      <c r="L296" s="283">
        <f>(SUM(O296:Q296)+(K296+SUM(M296:Q296))*(INDEX($U$238:$AB$238,MATCH(Notes!$C$16,$U$3:$AB$3,0))-100%))*$L$238</f>
        <v>18.36</v>
      </c>
      <c r="M296" s="286"/>
      <c r="N296" s="286"/>
      <c r="O296" s="285">
        <v>18.36</v>
      </c>
      <c r="P296" s="285"/>
      <c r="Q296" s="285"/>
      <c r="R296" s="278"/>
      <c r="S296" s="278"/>
      <c r="T296" s="278"/>
    </row>
    <row r="297" spans="1:20" s="305" customFormat="1" hidden="1" outlineLevel="2" x14ac:dyDescent="0.25">
      <c r="A297" s="278"/>
      <c r="B297" s="279" t="str">
        <f t="shared" si="67"/>
        <v>rafter/joist/lintel95x63mmLVL</v>
      </c>
      <c r="C297" s="278" t="s">
        <v>1875</v>
      </c>
      <c r="D297" s="278" t="s">
        <v>1957</v>
      </c>
      <c r="E297" s="278" t="s">
        <v>503</v>
      </c>
      <c r="F297" s="278"/>
      <c r="G297" s="278" t="s">
        <v>15</v>
      </c>
      <c r="H297" s="310">
        <v>0.03</v>
      </c>
      <c r="I297" s="280">
        <f t="shared" si="68"/>
        <v>2.4186000000000001</v>
      </c>
      <c r="J297" s="281">
        <f t="shared" si="69"/>
        <v>2.7429000000000001</v>
      </c>
      <c r="K297" s="282">
        <f>IF(Notes!$B$9="Domestic",I297, IF(Notes!$B$9="Commercial",J297))*$K$238</f>
        <v>5.4858000000000002</v>
      </c>
      <c r="L297" s="283">
        <f>(SUM(O297:Q297)+(K297+SUM(M297:Q297))*(INDEX($U$238:$AB$238,MATCH(Notes!$C$16,$U$3:$AB$3,0))-100%))*$L$238</f>
        <v>31.41</v>
      </c>
      <c r="M297" s="286"/>
      <c r="N297" s="286"/>
      <c r="O297" s="285">
        <v>31.41</v>
      </c>
      <c r="P297" s="285"/>
      <c r="Q297" s="285"/>
      <c r="R297" s="278"/>
      <c r="S297" s="278"/>
      <c r="T297" s="278"/>
    </row>
    <row r="298" spans="1:20" s="305" customFormat="1" hidden="1" outlineLevel="2" x14ac:dyDescent="0.25">
      <c r="A298" s="278"/>
      <c r="B298" s="279" t="str">
        <f t="shared" si="67"/>
        <v>rafter/joist/lintel130x36mmLVL</v>
      </c>
      <c r="C298" s="278" t="s">
        <v>1875</v>
      </c>
      <c r="D298" s="278" t="s">
        <v>1958</v>
      </c>
      <c r="E298" s="278" t="s">
        <v>503</v>
      </c>
      <c r="F298" s="278"/>
      <c r="G298" s="278" t="s">
        <v>15</v>
      </c>
      <c r="H298" s="310">
        <v>0.03</v>
      </c>
      <c r="I298" s="280">
        <f t="shared" si="68"/>
        <v>2.4186000000000001</v>
      </c>
      <c r="J298" s="281">
        <f t="shared" si="69"/>
        <v>2.7429000000000001</v>
      </c>
      <c r="K298" s="282">
        <f>IF(Notes!$B$9="Domestic",I298, IF(Notes!$B$9="Commercial",J298))*$K$238</f>
        <v>5.4858000000000002</v>
      </c>
      <c r="L298" s="283">
        <f>(SUM(O298:Q298)+(K298+SUM(M298:Q298))*(INDEX($U$238:$AB$238,MATCH(Notes!$C$16,$U$3:$AB$3,0))-100%))*$L$238</f>
        <v>26.51</v>
      </c>
      <c r="M298" s="286"/>
      <c r="N298" s="286"/>
      <c r="O298" s="285">
        <v>26.51</v>
      </c>
      <c r="P298" s="285"/>
      <c r="Q298" s="285"/>
      <c r="R298" s="278"/>
      <c r="S298" s="278"/>
      <c r="T298" s="278"/>
    </row>
    <row r="299" spans="1:20" s="305" customFormat="1" hidden="1" outlineLevel="2" x14ac:dyDescent="0.25">
      <c r="A299" s="278"/>
      <c r="B299" s="279" t="str">
        <f t="shared" si="67"/>
        <v>rafter/joist/lintel130x45mmLVL</v>
      </c>
      <c r="C299" s="278" t="s">
        <v>1875</v>
      </c>
      <c r="D299" s="278" t="s">
        <v>1959</v>
      </c>
      <c r="E299" s="278" t="s">
        <v>503</v>
      </c>
      <c r="F299" s="278"/>
      <c r="G299" s="278" t="s">
        <v>15</v>
      </c>
      <c r="H299" s="310">
        <v>0.03</v>
      </c>
      <c r="I299" s="280">
        <f t="shared" si="68"/>
        <v>2.4186000000000001</v>
      </c>
      <c r="J299" s="281">
        <f t="shared" si="69"/>
        <v>2.7429000000000001</v>
      </c>
      <c r="K299" s="282">
        <f>IF(Notes!$B$9="Domestic",I299, IF(Notes!$B$9="Commercial",J299))*$K$238</f>
        <v>5.4858000000000002</v>
      </c>
      <c r="L299" s="283">
        <f>(SUM(O299:Q299)+(K299+SUM(M299:Q299))*(INDEX($U$238:$AB$238,MATCH(Notes!$C$16,$U$3:$AB$3,0))-100%))*$L$238</f>
        <v>32.880000000000003</v>
      </c>
      <c r="M299" s="286"/>
      <c r="N299" s="286"/>
      <c r="O299" s="285">
        <v>32.880000000000003</v>
      </c>
      <c r="P299" s="285"/>
      <c r="Q299" s="285"/>
      <c r="R299" s="278"/>
      <c r="S299" s="278"/>
      <c r="T299" s="278"/>
    </row>
    <row r="300" spans="1:20" s="305" customFormat="1" hidden="1" outlineLevel="2" x14ac:dyDescent="0.25">
      <c r="A300" s="278"/>
      <c r="B300" s="279" t="str">
        <f t="shared" si="67"/>
        <v>rafter/joist/lintel130x63mmLVL</v>
      </c>
      <c r="C300" s="278" t="s">
        <v>1875</v>
      </c>
      <c r="D300" s="278" t="s">
        <v>1960</v>
      </c>
      <c r="E300" s="278" t="s">
        <v>503</v>
      </c>
      <c r="F300" s="278"/>
      <c r="G300" s="278" t="s">
        <v>15</v>
      </c>
      <c r="H300" s="310">
        <v>0.03</v>
      </c>
      <c r="I300" s="280">
        <f t="shared" si="68"/>
        <v>2.4186000000000001</v>
      </c>
      <c r="J300" s="281">
        <f t="shared" si="69"/>
        <v>2.7429000000000001</v>
      </c>
      <c r="K300" s="282">
        <f>IF(Notes!$B$9="Domestic",I300, IF(Notes!$B$9="Commercial",J300))*$K$238</f>
        <v>5.4858000000000002</v>
      </c>
      <c r="L300" s="283">
        <f>(SUM(O300:Q300)+(K300+SUM(M300:Q300))*(INDEX($U$238:$AB$238,MATCH(Notes!$C$16,$U$3:$AB$3,0))-100%))*$L$238</f>
        <v>45.45</v>
      </c>
      <c r="M300" s="286"/>
      <c r="N300" s="286"/>
      <c r="O300" s="285">
        <v>45.45</v>
      </c>
      <c r="P300" s="285"/>
      <c r="Q300" s="285"/>
      <c r="R300" s="278"/>
      <c r="S300" s="278"/>
      <c r="T300" s="278"/>
    </row>
    <row r="301" spans="1:20" s="305" customFormat="1" hidden="1" outlineLevel="2" x14ac:dyDescent="0.25">
      <c r="A301" s="278"/>
      <c r="B301" s="279" t="str">
        <f t="shared" si="67"/>
        <v>rafter/joist/lintel150x36mmLVL</v>
      </c>
      <c r="C301" s="278" t="s">
        <v>1875</v>
      </c>
      <c r="D301" s="278" t="s">
        <v>1961</v>
      </c>
      <c r="E301" s="278" t="s">
        <v>503</v>
      </c>
      <c r="F301" s="278"/>
      <c r="G301" s="278" t="s">
        <v>15</v>
      </c>
      <c r="H301" s="310">
        <v>0.03</v>
      </c>
      <c r="I301" s="280">
        <f t="shared" si="68"/>
        <v>2.4186000000000001</v>
      </c>
      <c r="J301" s="281">
        <f t="shared" si="69"/>
        <v>2.7429000000000001</v>
      </c>
      <c r="K301" s="282">
        <f>IF(Notes!$B$9="Domestic",I301, IF(Notes!$B$9="Commercial",J301))*$K$238</f>
        <v>5.4858000000000002</v>
      </c>
      <c r="L301" s="283">
        <f>(SUM(O301:Q301)+(K301+SUM(M301:Q301))*(INDEX($U$238:$AB$238,MATCH(Notes!$C$16,$U$3:$AB$3,0))-100%))*$L$238</f>
        <v>25.6</v>
      </c>
      <c r="M301" s="286"/>
      <c r="N301" s="286"/>
      <c r="O301" s="285">
        <v>25.6</v>
      </c>
      <c r="P301" s="285"/>
      <c r="Q301" s="285"/>
      <c r="R301" s="278"/>
      <c r="S301" s="278"/>
      <c r="T301" s="278"/>
    </row>
    <row r="302" spans="1:20" s="305" customFormat="1" hidden="1" outlineLevel="2" x14ac:dyDescent="0.25">
      <c r="A302" s="278"/>
      <c r="B302" s="279" t="str">
        <f t="shared" si="67"/>
        <v>rafter/joist/lintel150x45mmLVL</v>
      </c>
      <c r="C302" s="278" t="s">
        <v>1875</v>
      </c>
      <c r="D302" s="278" t="s">
        <v>1962</v>
      </c>
      <c r="E302" s="278" t="s">
        <v>503</v>
      </c>
      <c r="F302" s="278"/>
      <c r="G302" s="278" t="s">
        <v>15</v>
      </c>
      <c r="H302" s="310">
        <v>0.03</v>
      </c>
      <c r="I302" s="280">
        <f t="shared" si="68"/>
        <v>2.4186000000000001</v>
      </c>
      <c r="J302" s="281">
        <f t="shared" si="69"/>
        <v>2.7429000000000001</v>
      </c>
      <c r="K302" s="282">
        <f>IF(Notes!$B$9="Domestic",I302, IF(Notes!$B$9="Commercial",J302))*$K$238</f>
        <v>5.4858000000000002</v>
      </c>
      <c r="L302" s="283">
        <f>(SUM(O302:Q302)+(K302+SUM(M302:Q302))*(INDEX($U$238:$AB$238,MATCH(Notes!$C$16,$U$3:$AB$3,0))-100%))*$L$238</f>
        <v>38.020000000000003</v>
      </c>
      <c r="M302" s="286"/>
      <c r="N302" s="286"/>
      <c r="O302" s="285">
        <v>38.020000000000003</v>
      </c>
      <c r="P302" s="285"/>
      <c r="Q302" s="285"/>
      <c r="R302" s="278"/>
      <c r="S302" s="278"/>
      <c r="T302" s="278"/>
    </row>
    <row r="303" spans="1:20" s="305" customFormat="1" hidden="1" outlineLevel="2" x14ac:dyDescent="0.25">
      <c r="A303" s="278"/>
      <c r="B303" s="279" t="str">
        <f t="shared" si="67"/>
        <v>rafter/joist/lintel150x75mmLVL</v>
      </c>
      <c r="C303" s="278" t="s">
        <v>1875</v>
      </c>
      <c r="D303" s="278" t="s">
        <v>1963</v>
      </c>
      <c r="E303" s="278" t="s">
        <v>503</v>
      </c>
      <c r="F303" s="278"/>
      <c r="G303" s="278" t="s">
        <v>15</v>
      </c>
      <c r="H303" s="310">
        <v>0.03</v>
      </c>
      <c r="I303" s="280">
        <f t="shared" si="68"/>
        <v>2.4186000000000001</v>
      </c>
      <c r="J303" s="281">
        <f t="shared" si="69"/>
        <v>2.7429000000000001</v>
      </c>
      <c r="K303" s="282">
        <f>IF(Notes!$B$9="Domestic",I303, IF(Notes!$B$9="Commercial",J303))*$K$238</f>
        <v>5.4858000000000002</v>
      </c>
      <c r="L303" s="283">
        <f>(SUM(O303:Q303)+(K303+SUM(M303:Q303))*(INDEX($U$238:$AB$238,MATCH(Notes!$C$16,$U$3:$AB$3,0))-100%))*$L$238</f>
        <v>52.41</v>
      </c>
      <c r="M303" s="286"/>
      <c r="N303" s="286"/>
      <c r="O303" s="285">
        <v>52.41</v>
      </c>
      <c r="P303" s="285"/>
      <c r="Q303" s="285"/>
      <c r="R303" s="278"/>
      <c r="S303" s="278"/>
      <c r="T303" s="278"/>
    </row>
    <row r="304" spans="1:20" s="305" customFormat="1" hidden="1" outlineLevel="2" x14ac:dyDescent="0.25">
      <c r="A304" s="278"/>
      <c r="B304" s="279" t="str">
        <f t="shared" si="67"/>
        <v>rafter/joist/lintel170x36mmLVL</v>
      </c>
      <c r="C304" s="278" t="s">
        <v>1875</v>
      </c>
      <c r="D304" s="278" t="s">
        <v>1964</v>
      </c>
      <c r="E304" s="278" t="s">
        <v>503</v>
      </c>
      <c r="F304" s="278"/>
      <c r="G304" s="278" t="s">
        <v>15</v>
      </c>
      <c r="H304" s="310">
        <v>0.03</v>
      </c>
      <c r="I304" s="280">
        <f t="shared" si="68"/>
        <v>2.4186000000000001</v>
      </c>
      <c r="J304" s="281">
        <f t="shared" si="69"/>
        <v>2.7429000000000001</v>
      </c>
      <c r="K304" s="282">
        <f>IF(Notes!$B$9="Domestic",I304, IF(Notes!$B$9="Commercial",J304))*$K$238</f>
        <v>5.4858000000000002</v>
      </c>
      <c r="L304" s="283">
        <f>(SUM(O304:Q304)+(K304+SUM(M304:Q304))*(INDEX($U$238:$AB$238,MATCH(Notes!$C$16,$U$3:$AB$3,0))-100%))*$L$238</f>
        <v>34.69</v>
      </c>
      <c r="M304" s="286"/>
      <c r="N304" s="286"/>
      <c r="O304" s="285">
        <v>34.69</v>
      </c>
      <c r="P304" s="285"/>
      <c r="Q304" s="285"/>
      <c r="R304" s="278"/>
      <c r="S304" s="278"/>
      <c r="T304" s="278"/>
    </row>
    <row r="305" spans="1:20" s="305" customFormat="1" hidden="1" outlineLevel="2" x14ac:dyDescent="0.25">
      <c r="A305" s="278"/>
      <c r="B305" s="279" t="str">
        <f t="shared" si="67"/>
        <v>rafter/joist/lintel170x45mmLVL</v>
      </c>
      <c r="C305" s="278" t="s">
        <v>1875</v>
      </c>
      <c r="D305" s="278" t="s">
        <v>1965</v>
      </c>
      <c r="E305" s="278" t="s">
        <v>503</v>
      </c>
      <c r="F305" s="278"/>
      <c r="G305" s="278" t="s">
        <v>15</v>
      </c>
      <c r="H305" s="310">
        <v>0.03</v>
      </c>
      <c r="I305" s="280">
        <f t="shared" si="68"/>
        <v>2.4186000000000001</v>
      </c>
      <c r="J305" s="281">
        <f t="shared" si="69"/>
        <v>2.7429000000000001</v>
      </c>
      <c r="K305" s="282">
        <f>IF(Notes!$B$9="Domestic",I305, IF(Notes!$B$9="Commercial",J305))*$K$238</f>
        <v>5.4858000000000002</v>
      </c>
      <c r="L305" s="283">
        <f>(SUM(O305:Q305)+(K305+SUM(M305:Q305))*(INDEX($U$238:$AB$238,MATCH(Notes!$C$16,$U$3:$AB$3,0))-100%))*$L$238</f>
        <v>43.05</v>
      </c>
      <c r="M305" s="286"/>
      <c r="N305" s="286"/>
      <c r="O305" s="285">
        <v>43.05</v>
      </c>
      <c r="P305" s="285"/>
      <c r="Q305" s="285"/>
      <c r="R305" s="278"/>
      <c r="S305" s="278"/>
      <c r="T305" s="278"/>
    </row>
    <row r="306" spans="1:20" s="305" customFormat="1" hidden="1" outlineLevel="2" x14ac:dyDescent="0.25">
      <c r="A306" s="278"/>
      <c r="B306" s="279" t="str">
        <f t="shared" si="67"/>
        <v>rafter/joist/lintel170x63mmLVL</v>
      </c>
      <c r="C306" s="278" t="s">
        <v>1875</v>
      </c>
      <c r="D306" s="278" t="s">
        <v>1966</v>
      </c>
      <c r="E306" s="278" t="s">
        <v>503</v>
      </c>
      <c r="F306" s="278"/>
      <c r="G306" s="278" t="s">
        <v>15</v>
      </c>
      <c r="H306" s="310">
        <v>0.03</v>
      </c>
      <c r="I306" s="280">
        <f t="shared" si="68"/>
        <v>2.4186000000000001</v>
      </c>
      <c r="J306" s="281">
        <f t="shared" si="69"/>
        <v>2.7429000000000001</v>
      </c>
      <c r="K306" s="282">
        <f>IF(Notes!$B$9="Domestic",I306, IF(Notes!$B$9="Commercial",J306))*$K$238</f>
        <v>5.4858000000000002</v>
      </c>
      <c r="L306" s="283">
        <f>(SUM(O306:Q306)+(K306+SUM(M306:Q306))*(INDEX($U$238:$AB$238,MATCH(Notes!$C$16,$U$3:$AB$3,0))-100%))*$L$238</f>
        <v>59.34</v>
      </c>
      <c r="M306" s="286"/>
      <c r="N306" s="286"/>
      <c r="O306" s="285">
        <v>59.34</v>
      </c>
      <c r="P306" s="285"/>
      <c r="Q306" s="285"/>
      <c r="R306" s="278"/>
      <c r="S306" s="278"/>
      <c r="T306" s="278"/>
    </row>
    <row r="307" spans="1:20" s="305" customFormat="1" hidden="1" outlineLevel="2" x14ac:dyDescent="0.25">
      <c r="A307" s="278"/>
      <c r="B307" s="279" t="str">
        <f t="shared" si="67"/>
        <v>rafter/joist/lintel200x36mmLVL</v>
      </c>
      <c r="C307" s="278" t="s">
        <v>1875</v>
      </c>
      <c r="D307" s="278" t="s">
        <v>1967</v>
      </c>
      <c r="E307" s="278" t="s">
        <v>503</v>
      </c>
      <c r="F307" s="278"/>
      <c r="G307" s="278" t="s">
        <v>15</v>
      </c>
      <c r="H307" s="310">
        <v>0.03</v>
      </c>
      <c r="I307" s="280">
        <f t="shared" si="68"/>
        <v>2.4186000000000001</v>
      </c>
      <c r="J307" s="281">
        <f t="shared" si="69"/>
        <v>2.7429000000000001</v>
      </c>
      <c r="K307" s="282">
        <f>IF(Notes!$B$9="Domestic",I307, IF(Notes!$B$9="Commercial",J307))*$K$238</f>
        <v>5.4858000000000002</v>
      </c>
      <c r="L307" s="283">
        <f>(SUM(O307:Q307)+(K307+SUM(M307:Q307))*(INDEX($U$238:$AB$238,MATCH(Notes!$C$16,$U$3:$AB$3,0))-100%))*$L$238</f>
        <v>34.1</v>
      </c>
      <c r="M307" s="286"/>
      <c r="N307" s="286"/>
      <c r="O307" s="285">
        <v>34.1</v>
      </c>
      <c r="P307" s="285"/>
      <c r="Q307" s="285"/>
      <c r="R307" s="278"/>
      <c r="S307" s="278"/>
      <c r="T307" s="278"/>
    </row>
    <row r="308" spans="1:20" s="305" customFormat="1" hidden="1" outlineLevel="2" x14ac:dyDescent="0.25">
      <c r="A308" s="278"/>
      <c r="B308" s="279" t="str">
        <f t="shared" si="67"/>
        <v>rafter/joist/lintel200x45mmLVL</v>
      </c>
      <c r="C308" s="278" t="s">
        <v>1875</v>
      </c>
      <c r="D308" s="278" t="s">
        <v>1945</v>
      </c>
      <c r="E308" s="278" t="s">
        <v>503</v>
      </c>
      <c r="F308" s="278"/>
      <c r="G308" s="278" t="s">
        <v>15</v>
      </c>
      <c r="H308" s="310">
        <v>0.03</v>
      </c>
      <c r="I308" s="280">
        <f t="shared" si="68"/>
        <v>2.4186000000000001</v>
      </c>
      <c r="J308" s="281">
        <f t="shared" si="69"/>
        <v>2.7429000000000001</v>
      </c>
      <c r="K308" s="282">
        <f>IF(Notes!$B$9="Domestic",I308, IF(Notes!$B$9="Commercial",J308))*$K$238</f>
        <v>5.4858000000000002</v>
      </c>
      <c r="L308" s="283">
        <f>(SUM(O308:Q308)+(K308+SUM(M308:Q308))*(INDEX($U$238:$AB$238,MATCH(Notes!$C$16,$U$3:$AB$3,0))-100%))*$L$238</f>
        <v>50.69</v>
      </c>
      <c r="M308" s="286"/>
      <c r="N308" s="286"/>
      <c r="O308" s="285">
        <v>50.69</v>
      </c>
      <c r="P308" s="285"/>
      <c r="Q308" s="285"/>
      <c r="R308" s="278"/>
      <c r="S308" s="278"/>
      <c r="T308" s="278"/>
    </row>
    <row r="309" spans="1:20" s="305" customFormat="1" hidden="1" outlineLevel="2" x14ac:dyDescent="0.25">
      <c r="A309" s="278"/>
      <c r="B309" s="279" t="str">
        <f t="shared" si="67"/>
        <v>rafter/joist/lintel200x63mmLVL</v>
      </c>
      <c r="C309" s="278" t="s">
        <v>1875</v>
      </c>
      <c r="D309" s="278" t="s">
        <v>1968</v>
      </c>
      <c r="E309" s="278" t="s">
        <v>503</v>
      </c>
      <c r="F309" s="278"/>
      <c r="G309" s="278" t="s">
        <v>15</v>
      </c>
      <c r="H309" s="310">
        <v>0.04</v>
      </c>
      <c r="I309" s="280">
        <f t="shared" si="68"/>
        <v>3.2248000000000001</v>
      </c>
      <c r="J309" s="281">
        <f t="shared" si="69"/>
        <v>3.6572000000000005</v>
      </c>
      <c r="K309" s="282">
        <f>IF(Notes!$B$9="Domestic",I309, IF(Notes!$B$9="Commercial",J309))*$K$238</f>
        <v>7.3144000000000009</v>
      </c>
      <c r="L309" s="283">
        <f>(SUM(O309:Q309)+(K309+SUM(M309:Q309))*(INDEX($U$238:$AB$238,MATCH(Notes!$C$16,$U$3:$AB$3,0))-100%))*$L$238</f>
        <v>69.95</v>
      </c>
      <c r="M309" s="286"/>
      <c r="N309" s="286"/>
      <c r="O309" s="285">
        <v>69.95</v>
      </c>
      <c r="P309" s="285"/>
      <c r="Q309" s="285"/>
      <c r="R309" s="278"/>
      <c r="S309" s="278"/>
      <c r="T309" s="278"/>
    </row>
    <row r="310" spans="1:20" s="305" customFormat="1" hidden="1" outlineLevel="2" x14ac:dyDescent="0.25">
      <c r="A310" s="278"/>
      <c r="B310" s="279" t="str">
        <f t="shared" si="67"/>
        <v>rafter/joist/lintel240x36mmLVL</v>
      </c>
      <c r="C310" s="278" t="s">
        <v>1875</v>
      </c>
      <c r="D310" s="278" t="s">
        <v>1969</v>
      </c>
      <c r="E310" s="278" t="s">
        <v>503</v>
      </c>
      <c r="F310" s="278"/>
      <c r="G310" s="278" t="s">
        <v>15</v>
      </c>
      <c r="H310" s="310">
        <v>0.04</v>
      </c>
      <c r="I310" s="280">
        <f t="shared" si="68"/>
        <v>3.2248000000000001</v>
      </c>
      <c r="J310" s="281">
        <f t="shared" si="69"/>
        <v>3.6572000000000005</v>
      </c>
      <c r="K310" s="282">
        <f>IF(Notes!$B$9="Domestic",I310, IF(Notes!$B$9="Commercial",J310))*$K$238</f>
        <v>7.3144000000000009</v>
      </c>
      <c r="L310" s="283">
        <f>(SUM(O310:Q310)+(K310+SUM(M310:Q310))*(INDEX($U$238:$AB$238,MATCH(Notes!$C$16,$U$3:$AB$3,0))-100%))*$L$238</f>
        <v>48.96</v>
      </c>
      <c r="M310" s="286"/>
      <c r="N310" s="286"/>
      <c r="O310" s="285">
        <v>48.96</v>
      </c>
      <c r="P310" s="285"/>
      <c r="Q310" s="285"/>
      <c r="R310" s="278"/>
      <c r="S310" s="278"/>
      <c r="T310" s="278"/>
    </row>
    <row r="311" spans="1:20" s="305" customFormat="1" hidden="1" outlineLevel="2" x14ac:dyDescent="0.25">
      <c r="A311" s="278"/>
      <c r="B311" s="279" t="str">
        <f t="shared" si="67"/>
        <v>rafter/joist/lintel240x45mmLVL</v>
      </c>
      <c r="C311" s="278" t="s">
        <v>1875</v>
      </c>
      <c r="D311" s="278" t="s">
        <v>1943</v>
      </c>
      <c r="E311" s="278" t="s">
        <v>503</v>
      </c>
      <c r="F311" s="278"/>
      <c r="G311" s="278" t="s">
        <v>15</v>
      </c>
      <c r="H311" s="310">
        <v>0.04</v>
      </c>
      <c r="I311" s="280">
        <f t="shared" si="68"/>
        <v>3.2248000000000001</v>
      </c>
      <c r="J311" s="281">
        <f t="shared" si="69"/>
        <v>3.6572000000000005</v>
      </c>
      <c r="K311" s="282">
        <f>IF(Notes!$B$9="Domestic",I311, IF(Notes!$B$9="Commercial",J311))*$K$238</f>
        <v>7.3144000000000009</v>
      </c>
      <c r="L311" s="283">
        <f>(SUM(O311:Q311)+(K311+SUM(M311:Q311))*(INDEX($U$238:$AB$238,MATCH(Notes!$C$16,$U$3:$AB$3,0))-100%))*$L$238</f>
        <v>60.78</v>
      </c>
      <c r="M311" s="286"/>
      <c r="N311" s="286"/>
      <c r="O311" s="285">
        <v>60.78</v>
      </c>
      <c r="P311" s="285"/>
      <c r="Q311" s="285"/>
      <c r="R311" s="278"/>
      <c r="S311" s="278"/>
      <c r="T311" s="278"/>
    </row>
    <row r="312" spans="1:20" s="305" customFormat="1" hidden="1" outlineLevel="2" x14ac:dyDescent="0.25">
      <c r="A312" s="278"/>
      <c r="B312" s="279" t="str">
        <f t="shared" si="67"/>
        <v>rafter/joist/lintel240x63mmLVL</v>
      </c>
      <c r="C312" s="278" t="s">
        <v>1875</v>
      </c>
      <c r="D312" s="278" t="s">
        <v>1947</v>
      </c>
      <c r="E312" s="278" t="s">
        <v>503</v>
      </c>
      <c r="F312" s="278"/>
      <c r="G312" s="278" t="s">
        <v>15</v>
      </c>
      <c r="H312" s="310">
        <v>0.04</v>
      </c>
      <c r="I312" s="280">
        <f t="shared" si="68"/>
        <v>3.2248000000000001</v>
      </c>
      <c r="J312" s="281">
        <f t="shared" si="69"/>
        <v>3.6572000000000005</v>
      </c>
      <c r="K312" s="282">
        <f>IF(Notes!$B$9="Domestic",I312, IF(Notes!$B$9="Commercial",J312))*$K$238</f>
        <v>7.3144000000000009</v>
      </c>
      <c r="L312" s="283">
        <f>(SUM(O312:Q312)+(K312+SUM(M312:Q312))*(INDEX($U$238:$AB$238,MATCH(Notes!$C$16,$U$3:$AB$3,0))-100%))*$L$238</f>
        <v>83.89</v>
      </c>
      <c r="M312" s="286"/>
      <c r="N312" s="286"/>
      <c r="O312" s="285">
        <v>83.89</v>
      </c>
      <c r="P312" s="285"/>
      <c r="Q312" s="285"/>
      <c r="R312" s="278"/>
      <c r="S312" s="278"/>
      <c r="T312" s="278"/>
    </row>
    <row r="313" spans="1:20" s="305" customFormat="1" hidden="1" outlineLevel="2" x14ac:dyDescent="0.25">
      <c r="A313" s="278"/>
      <c r="B313" s="279" t="str">
        <f t="shared" si="67"/>
        <v>rafter/joist/lintel300x45mmLVL</v>
      </c>
      <c r="C313" s="278" t="s">
        <v>1875</v>
      </c>
      <c r="D313" s="278" t="s">
        <v>1950</v>
      </c>
      <c r="E313" s="278" t="s">
        <v>503</v>
      </c>
      <c r="F313" s="278"/>
      <c r="G313" s="278" t="s">
        <v>15</v>
      </c>
      <c r="H313" s="310">
        <v>0.04</v>
      </c>
      <c r="I313" s="280">
        <f t="shared" si="68"/>
        <v>3.2248000000000001</v>
      </c>
      <c r="J313" s="281">
        <f t="shared" si="69"/>
        <v>3.6572000000000005</v>
      </c>
      <c r="K313" s="282">
        <f>IF(Notes!$B$9="Domestic",I313, IF(Notes!$B$9="Commercial",J313))*$K$238</f>
        <v>7.3144000000000009</v>
      </c>
      <c r="L313" s="283">
        <f>(SUM(O313:Q313)+(K313+SUM(M313:Q313))*(INDEX($U$238:$AB$238,MATCH(Notes!$C$16,$U$3:$AB$3,0))-100%))*$L$238</f>
        <v>76.02</v>
      </c>
      <c r="M313" s="286"/>
      <c r="N313" s="286"/>
      <c r="O313" s="285">
        <v>76.02</v>
      </c>
      <c r="P313" s="285"/>
      <c r="Q313" s="285"/>
      <c r="R313" s="278"/>
      <c r="S313" s="278"/>
      <c r="T313" s="278"/>
    </row>
    <row r="314" spans="1:20" s="305" customFormat="1" hidden="1" outlineLevel="2" x14ac:dyDescent="0.25">
      <c r="A314" s="278"/>
      <c r="B314" s="279" t="str">
        <f t="shared" si="67"/>
        <v>rafter/joist/lintel300x63mmLVL</v>
      </c>
      <c r="C314" s="278" t="s">
        <v>1875</v>
      </c>
      <c r="D314" s="278" t="s">
        <v>1951</v>
      </c>
      <c r="E314" s="278" t="s">
        <v>503</v>
      </c>
      <c r="F314" s="278"/>
      <c r="G314" s="278" t="s">
        <v>15</v>
      </c>
      <c r="H314" s="310">
        <v>0.04</v>
      </c>
      <c r="I314" s="280">
        <f t="shared" si="68"/>
        <v>3.2248000000000001</v>
      </c>
      <c r="J314" s="281">
        <f t="shared" si="69"/>
        <v>3.6572000000000005</v>
      </c>
      <c r="K314" s="282">
        <f>IF(Notes!$B$9="Domestic",I314, IF(Notes!$B$9="Commercial",J314))*$K$238</f>
        <v>7.3144000000000009</v>
      </c>
      <c r="L314" s="283">
        <f>(SUM(O314:Q314)+(K314+SUM(M314:Q314))*(INDEX($U$238:$AB$238,MATCH(Notes!$C$16,$U$3:$AB$3,0))-100%))*$L$238</f>
        <v>104.87</v>
      </c>
      <c r="M314" s="286"/>
      <c r="N314" s="286"/>
      <c r="O314" s="285">
        <v>104.87</v>
      </c>
      <c r="P314" s="285"/>
      <c r="Q314" s="285"/>
      <c r="R314" s="278"/>
      <c r="S314" s="278"/>
      <c r="T314" s="278"/>
    </row>
    <row r="315" spans="1:20" s="305" customFormat="1" hidden="1" outlineLevel="2" x14ac:dyDescent="0.25">
      <c r="A315" s="278"/>
      <c r="B315" s="279" t="str">
        <f t="shared" si="67"/>
        <v>rafter/joist/lintel300x75mmLVL</v>
      </c>
      <c r="C315" s="278" t="s">
        <v>1875</v>
      </c>
      <c r="D315" s="278" t="s">
        <v>1970</v>
      </c>
      <c r="E315" s="278" t="s">
        <v>503</v>
      </c>
      <c r="F315" s="278"/>
      <c r="G315" s="278" t="s">
        <v>15</v>
      </c>
      <c r="H315" s="310">
        <v>0.04</v>
      </c>
      <c r="I315" s="280">
        <f t="shared" si="68"/>
        <v>3.2248000000000001</v>
      </c>
      <c r="J315" s="281">
        <f t="shared" si="69"/>
        <v>3.6572000000000005</v>
      </c>
      <c r="K315" s="282">
        <f>IF(Notes!$B$9="Domestic",I315, IF(Notes!$B$9="Commercial",J315))*$K$238</f>
        <v>7.3144000000000009</v>
      </c>
      <c r="L315" s="283">
        <f>(SUM(O315:Q315)+(K315+SUM(M315:Q315))*(INDEX($U$238:$AB$238,MATCH(Notes!$C$16,$U$3:$AB$3,0))-100%))*$L$238</f>
        <v>141.81</v>
      </c>
      <c r="M315" s="286"/>
      <c r="N315" s="286"/>
      <c r="O315" s="285">
        <v>141.81</v>
      </c>
      <c r="P315" s="285"/>
      <c r="Q315" s="285"/>
      <c r="R315" s="278"/>
      <c r="S315" s="278"/>
      <c r="T315" s="278"/>
    </row>
    <row r="316" spans="1:20" s="305" customFormat="1" hidden="1" outlineLevel="2" x14ac:dyDescent="0.25">
      <c r="A316" s="278"/>
      <c r="B316" s="279" t="str">
        <f t="shared" si="67"/>
        <v>rafter/joist/lintel360x45mmLVL</v>
      </c>
      <c r="C316" s="278" t="s">
        <v>1875</v>
      </c>
      <c r="D316" s="278" t="s">
        <v>1971</v>
      </c>
      <c r="E316" s="278" t="s">
        <v>503</v>
      </c>
      <c r="F316" s="278"/>
      <c r="G316" s="278" t="s">
        <v>15</v>
      </c>
      <c r="H316" s="310">
        <v>0.04</v>
      </c>
      <c r="I316" s="280">
        <f t="shared" si="68"/>
        <v>3.2248000000000001</v>
      </c>
      <c r="J316" s="281">
        <f t="shared" si="69"/>
        <v>3.6572000000000005</v>
      </c>
      <c r="K316" s="282">
        <f>IF(Notes!$B$9="Domestic",I316, IF(Notes!$B$9="Commercial",J316))*$K$238</f>
        <v>7.3144000000000009</v>
      </c>
      <c r="L316" s="283">
        <f>(SUM(O316:Q316)+(K316+SUM(M316:Q316))*(INDEX($U$238:$AB$238,MATCH(Notes!$C$16,$U$3:$AB$3,0))-100%))*$L$238</f>
        <v>91.14</v>
      </c>
      <c r="M316" s="286"/>
      <c r="N316" s="286"/>
      <c r="O316" s="285">
        <v>91.14</v>
      </c>
      <c r="P316" s="285"/>
      <c r="Q316" s="285"/>
      <c r="R316" s="278"/>
      <c r="S316" s="278"/>
      <c r="T316" s="278"/>
    </row>
    <row r="317" spans="1:20" s="305" customFormat="1" hidden="1" outlineLevel="2" x14ac:dyDescent="0.25">
      <c r="A317" s="278"/>
      <c r="B317" s="279" t="str">
        <f t="shared" si="67"/>
        <v>rafter/joist/lintel360x63mmLVL</v>
      </c>
      <c r="C317" s="278" t="s">
        <v>1875</v>
      </c>
      <c r="D317" s="278" t="s">
        <v>1953</v>
      </c>
      <c r="E317" s="278" t="s">
        <v>503</v>
      </c>
      <c r="F317" s="278"/>
      <c r="G317" s="278" t="s">
        <v>15</v>
      </c>
      <c r="H317" s="310">
        <v>0.04</v>
      </c>
      <c r="I317" s="280">
        <f t="shared" si="68"/>
        <v>3.2248000000000001</v>
      </c>
      <c r="J317" s="281">
        <f t="shared" si="69"/>
        <v>3.6572000000000005</v>
      </c>
      <c r="K317" s="282">
        <f>IF(Notes!$B$9="Domestic",I317, IF(Notes!$B$9="Commercial",J317))*$K$238</f>
        <v>7.3144000000000009</v>
      </c>
      <c r="L317" s="283">
        <f>(SUM(O317:Q317)+(K317+SUM(M317:Q317))*(INDEX($U$238:$AB$238,MATCH(Notes!$C$16,$U$3:$AB$3,0))-100%))*$L$238</f>
        <v>125.87</v>
      </c>
      <c r="M317" s="286"/>
      <c r="N317" s="286"/>
      <c r="O317" s="285">
        <v>125.87</v>
      </c>
      <c r="P317" s="285"/>
      <c r="Q317" s="285"/>
      <c r="R317" s="278"/>
      <c r="S317" s="278"/>
      <c r="T317" s="278"/>
    </row>
    <row r="318" spans="1:20" s="305" customFormat="1" hidden="1" outlineLevel="2" x14ac:dyDescent="0.25">
      <c r="A318" s="278"/>
      <c r="B318" s="279" t="str">
        <f t="shared" si="67"/>
        <v>rafter/joist/lintel400x45mmLVL</v>
      </c>
      <c r="C318" s="278" t="s">
        <v>1875</v>
      </c>
      <c r="D318" s="278" t="s">
        <v>1972</v>
      </c>
      <c r="E318" s="278" t="s">
        <v>503</v>
      </c>
      <c r="F318" s="278"/>
      <c r="G318" s="278" t="s">
        <v>15</v>
      </c>
      <c r="H318" s="310">
        <v>0.04</v>
      </c>
      <c r="I318" s="280">
        <f t="shared" si="68"/>
        <v>3.2248000000000001</v>
      </c>
      <c r="J318" s="281">
        <f t="shared" si="69"/>
        <v>3.6572000000000005</v>
      </c>
      <c r="K318" s="282">
        <f>IF(Notes!$B$9="Domestic",I318, IF(Notes!$B$9="Commercial",J318))*$K$238</f>
        <v>7.3144000000000009</v>
      </c>
      <c r="L318" s="283">
        <f>(SUM(O318:Q318)+(K318+SUM(M318:Q318))*(INDEX($U$238:$AB$238,MATCH(Notes!$C$16,$U$3:$AB$3,0))-100%))*$L$238</f>
        <v>101.21</v>
      </c>
      <c r="M318" s="286"/>
      <c r="N318" s="286"/>
      <c r="O318" s="285">
        <v>101.21</v>
      </c>
      <c r="P318" s="285"/>
      <c r="Q318" s="285"/>
      <c r="R318" s="278"/>
      <c r="S318" s="278"/>
      <c r="T318" s="278"/>
    </row>
    <row r="319" spans="1:20" s="305" customFormat="1" hidden="1" outlineLevel="2" x14ac:dyDescent="0.25">
      <c r="A319" s="278"/>
      <c r="B319" s="279" t="str">
        <f t="shared" si="67"/>
        <v>rafter/joist/lintel400x63mmLVL</v>
      </c>
      <c r="C319" s="278" t="s">
        <v>1875</v>
      </c>
      <c r="D319" s="278" t="s">
        <v>1973</v>
      </c>
      <c r="E319" s="278" t="s">
        <v>503</v>
      </c>
      <c r="F319" s="278"/>
      <c r="G319" s="278" t="s">
        <v>15</v>
      </c>
      <c r="H319" s="310">
        <v>0.04</v>
      </c>
      <c r="I319" s="280">
        <f t="shared" si="68"/>
        <v>3.2248000000000001</v>
      </c>
      <c r="J319" s="281">
        <f t="shared" si="69"/>
        <v>3.6572000000000005</v>
      </c>
      <c r="K319" s="282">
        <f>IF(Notes!$B$9="Domestic",I319, IF(Notes!$B$9="Commercial",J319))*$K$238</f>
        <v>7.3144000000000009</v>
      </c>
      <c r="L319" s="283">
        <f>(SUM(O319:Q319)+(K319+SUM(M319:Q319))*(INDEX($U$238:$AB$238,MATCH(Notes!$C$16,$U$3:$AB$3,0))-100%))*$L$238</f>
        <v>139.84</v>
      </c>
      <c r="M319" s="286"/>
      <c r="N319" s="286"/>
      <c r="O319" s="285">
        <v>139.84</v>
      </c>
      <c r="P319" s="285"/>
      <c r="Q319" s="285"/>
      <c r="R319" s="278"/>
      <c r="S319" s="278"/>
      <c r="T319" s="278"/>
    </row>
    <row r="320" spans="1:20" s="305" customFormat="1" hidden="1" outlineLevel="2" x14ac:dyDescent="0.25">
      <c r="A320" s="278"/>
      <c r="B320" s="279" t="str">
        <f t="shared" si="67"/>
        <v>rafter/joist/lintel400x75mmLVL</v>
      </c>
      <c r="C320" s="278" t="s">
        <v>1875</v>
      </c>
      <c r="D320" s="278" t="s">
        <v>1974</v>
      </c>
      <c r="E320" s="278" t="s">
        <v>503</v>
      </c>
      <c r="F320" s="278"/>
      <c r="G320" s="278" t="s">
        <v>15</v>
      </c>
      <c r="H320" s="310">
        <v>0.04</v>
      </c>
      <c r="I320" s="280">
        <f t="shared" si="68"/>
        <v>3.2248000000000001</v>
      </c>
      <c r="J320" s="281">
        <f t="shared" si="69"/>
        <v>3.6572000000000005</v>
      </c>
      <c r="K320" s="282">
        <f>IF(Notes!$B$9="Domestic",I320, IF(Notes!$B$9="Commercial",J320))*$K$238</f>
        <v>7.3144000000000009</v>
      </c>
      <c r="L320" s="283">
        <f>(SUM(O320:Q320)+(K320+SUM(M320:Q320))*(INDEX($U$238:$AB$238,MATCH(Notes!$C$16,$U$3:$AB$3,0))-100%))*$L$238</f>
        <v>189.06</v>
      </c>
      <c r="M320" s="286"/>
      <c r="N320" s="286"/>
      <c r="O320" s="285">
        <v>189.06</v>
      </c>
      <c r="P320" s="285"/>
      <c r="Q320" s="285"/>
      <c r="R320" s="278"/>
      <c r="S320" s="278"/>
      <c r="T320" s="278"/>
    </row>
    <row r="321" spans="1:20" s="305" customFormat="1" hidden="1" outlineLevel="2" x14ac:dyDescent="0.25">
      <c r="A321" s="278"/>
      <c r="B321" s="279" t="str">
        <f t="shared" si="67"/>
        <v>rafter/joist/lintel450x63mmLVL</v>
      </c>
      <c r="C321" s="278" t="s">
        <v>1875</v>
      </c>
      <c r="D321" s="278" t="s">
        <v>1975</v>
      </c>
      <c r="E321" s="278" t="s">
        <v>503</v>
      </c>
      <c r="F321" s="278"/>
      <c r="G321" s="278" t="s">
        <v>15</v>
      </c>
      <c r="H321" s="310">
        <v>0.04</v>
      </c>
      <c r="I321" s="280">
        <f t="shared" si="68"/>
        <v>3.2248000000000001</v>
      </c>
      <c r="J321" s="281">
        <f t="shared" si="69"/>
        <v>3.6572000000000005</v>
      </c>
      <c r="K321" s="282">
        <f>IF(Notes!$B$9="Domestic",I321, IF(Notes!$B$9="Commercial",J321))*$K$238</f>
        <v>7.3144000000000009</v>
      </c>
      <c r="L321" s="283">
        <f>(SUM(O321:Q321)+(K321+SUM(M321:Q321))*(INDEX($U$238:$AB$238,MATCH(Notes!$C$16,$U$3:$AB$3,0))-100%))*$L$238</f>
        <v>157.33000000000001</v>
      </c>
      <c r="M321" s="286"/>
      <c r="N321" s="286"/>
      <c r="O321" s="285">
        <v>157.33000000000001</v>
      </c>
      <c r="P321" s="285"/>
      <c r="Q321" s="285"/>
      <c r="R321" s="278"/>
      <c r="S321" s="278"/>
      <c r="T321" s="278"/>
    </row>
    <row r="322" spans="1:20" s="305" customFormat="1" hidden="1" outlineLevel="2" x14ac:dyDescent="0.25">
      <c r="A322" s="278"/>
      <c r="B322" s="279" t="str">
        <f t="shared" si="67"/>
        <v>rafter/joist/lintel525x75mmLVL</v>
      </c>
      <c r="C322" s="278" t="s">
        <v>1875</v>
      </c>
      <c r="D322" s="278" t="s">
        <v>1976</v>
      </c>
      <c r="E322" s="278" t="s">
        <v>503</v>
      </c>
      <c r="F322" s="278"/>
      <c r="G322" s="278" t="s">
        <v>15</v>
      </c>
      <c r="H322" s="310">
        <v>0.12</v>
      </c>
      <c r="I322" s="280">
        <f t="shared" si="68"/>
        <v>9.6744000000000003</v>
      </c>
      <c r="J322" s="281">
        <f t="shared" si="69"/>
        <v>10.9716</v>
      </c>
      <c r="K322" s="282">
        <f>IF(Notes!$B$9="Domestic",I322, IF(Notes!$B$9="Commercial",J322))*$K$238</f>
        <v>21.943200000000001</v>
      </c>
      <c r="L322" s="283">
        <f>(SUM(O322:Q322)+(K322+SUM(M322:Q322))*(INDEX($U$238:$AB$238,MATCH(Notes!$C$16,$U$3:$AB$3,0))-100%))*$L$238</f>
        <v>217.42</v>
      </c>
      <c r="M322" s="286"/>
      <c r="N322" s="286"/>
      <c r="O322" s="285">
        <v>217.42</v>
      </c>
      <c r="P322" s="285"/>
      <c r="Q322" s="285"/>
      <c r="R322" s="278"/>
      <c r="S322" s="278"/>
      <c r="T322" s="278"/>
    </row>
    <row r="323" spans="1:20" s="305" customFormat="1" hidden="1" outlineLevel="2" x14ac:dyDescent="0.25">
      <c r="A323" s="278"/>
      <c r="B323" s="279" t="str">
        <f t="shared" si="67"/>
        <v>rafter/joist/lintel600x75mmLVL</v>
      </c>
      <c r="C323" s="278" t="s">
        <v>1875</v>
      </c>
      <c r="D323" s="278" t="s">
        <v>1977</v>
      </c>
      <c r="E323" s="278" t="s">
        <v>503</v>
      </c>
      <c r="F323" s="278"/>
      <c r="G323" s="278" t="s">
        <v>15</v>
      </c>
      <c r="H323" s="310">
        <v>0.12</v>
      </c>
      <c r="I323" s="280">
        <f t="shared" si="68"/>
        <v>9.6744000000000003</v>
      </c>
      <c r="J323" s="281">
        <f t="shared" si="69"/>
        <v>10.9716</v>
      </c>
      <c r="K323" s="282">
        <f>IF(Notes!$B$9="Domestic",I323, IF(Notes!$B$9="Commercial",J323))*$K$238</f>
        <v>21.943200000000001</v>
      </c>
      <c r="L323" s="283">
        <f>(SUM(O323:Q323)+(K323+SUM(M323:Q323))*(INDEX($U$238:$AB$238,MATCH(Notes!$C$16,$U$3:$AB$3,0))-100%))*$L$238</f>
        <v>236.36</v>
      </c>
      <c r="M323" s="286"/>
      <c r="N323" s="286"/>
      <c r="O323" s="285">
        <v>236.36</v>
      </c>
      <c r="P323" s="285"/>
      <c r="Q323" s="285"/>
      <c r="R323" s="278"/>
      <c r="S323" s="278"/>
      <c r="T323" s="278"/>
    </row>
    <row r="324" spans="1:20" s="305" customFormat="1" hidden="1" outlineLevel="2" x14ac:dyDescent="0.25">
      <c r="A324" s="278"/>
      <c r="B324" s="279" t="str">
        <f t="shared" si="67"/>
        <v>rafter/joist/lintel90x45mmLVLx2</v>
      </c>
      <c r="C324" s="278" t="s">
        <v>1875</v>
      </c>
      <c r="D324" s="278" t="s">
        <v>1938</v>
      </c>
      <c r="E324" s="278" t="s">
        <v>504</v>
      </c>
      <c r="F324" s="278"/>
      <c r="G324" s="278" t="s">
        <v>15</v>
      </c>
      <c r="H324" s="309">
        <f>H295*1.5</f>
        <v>4.4999999999999998E-2</v>
      </c>
      <c r="I324" s="280">
        <f t="shared" si="68"/>
        <v>3.6278999999999999</v>
      </c>
      <c r="J324" s="281">
        <f t="shared" si="69"/>
        <v>4.11435</v>
      </c>
      <c r="K324" s="282">
        <f>IF(Notes!$B$9="Domestic",I324, IF(Notes!$B$9="Commercial",J324))*$K$238</f>
        <v>8.2286999999999999</v>
      </c>
      <c r="L324" s="283">
        <f>(SUM(O324:Q324)+(K324+SUM(M324:Q324))*(INDEX($U$238:$AB$238,MATCH(Notes!$C$16,$U$3:$AB$3,0))-100%))*$L$238</f>
        <v>45.62</v>
      </c>
      <c r="M324" s="286"/>
      <c r="N324" s="286"/>
      <c r="O324" s="311">
        <f>O295*2</f>
        <v>45.62</v>
      </c>
      <c r="P324" s="285"/>
      <c r="Q324" s="285"/>
      <c r="R324" s="278"/>
      <c r="S324" s="278"/>
      <c r="T324" s="278"/>
    </row>
    <row r="325" spans="1:20" s="305" customFormat="1" hidden="1" outlineLevel="2" x14ac:dyDescent="0.25">
      <c r="A325" s="278"/>
      <c r="B325" s="279" t="str">
        <f t="shared" si="67"/>
        <v>rafter/joist/lintel95x36mmLVLx2</v>
      </c>
      <c r="C325" s="278" t="s">
        <v>1875</v>
      </c>
      <c r="D325" s="278" t="s">
        <v>1956</v>
      </c>
      <c r="E325" s="278" t="s">
        <v>504</v>
      </c>
      <c r="F325" s="278"/>
      <c r="G325" s="278" t="s">
        <v>15</v>
      </c>
      <c r="H325" s="309">
        <f t="shared" ref="H325:H352" si="75">H296*1.5</f>
        <v>4.4999999999999998E-2</v>
      </c>
      <c r="I325" s="280">
        <f t="shared" si="68"/>
        <v>3.6278999999999999</v>
      </c>
      <c r="J325" s="281">
        <f t="shared" si="69"/>
        <v>4.11435</v>
      </c>
      <c r="K325" s="282">
        <f>IF(Notes!$B$9="Domestic",I325, IF(Notes!$B$9="Commercial",J325))*$K$238</f>
        <v>8.2286999999999999</v>
      </c>
      <c r="L325" s="283">
        <f>(SUM(O325:Q325)+(K325+SUM(M325:Q325))*(INDEX($U$238:$AB$238,MATCH(Notes!$C$16,$U$3:$AB$3,0))-100%))*$L$238</f>
        <v>36.72</v>
      </c>
      <c r="M325" s="286"/>
      <c r="N325" s="286"/>
      <c r="O325" s="311">
        <f t="shared" ref="O325:O352" si="76">O296*2</f>
        <v>36.72</v>
      </c>
      <c r="P325" s="285"/>
      <c r="Q325" s="285"/>
      <c r="R325" s="278"/>
      <c r="S325" s="278"/>
      <c r="T325" s="278"/>
    </row>
    <row r="326" spans="1:20" s="305" customFormat="1" hidden="1" outlineLevel="2" x14ac:dyDescent="0.25">
      <c r="A326" s="278"/>
      <c r="B326" s="279" t="str">
        <f t="shared" si="67"/>
        <v>rafter/joist/lintel95x63mmLVLx2</v>
      </c>
      <c r="C326" s="278" t="s">
        <v>1875</v>
      </c>
      <c r="D326" s="278" t="s">
        <v>1957</v>
      </c>
      <c r="E326" s="278" t="s">
        <v>504</v>
      </c>
      <c r="F326" s="278"/>
      <c r="G326" s="278" t="s">
        <v>15</v>
      </c>
      <c r="H326" s="309">
        <f t="shared" si="75"/>
        <v>4.4999999999999998E-2</v>
      </c>
      <c r="I326" s="280">
        <f t="shared" si="68"/>
        <v>3.6278999999999999</v>
      </c>
      <c r="J326" s="281">
        <f t="shared" si="69"/>
        <v>4.11435</v>
      </c>
      <c r="K326" s="282">
        <f>IF(Notes!$B$9="Domestic",I326, IF(Notes!$B$9="Commercial",J326))*$K$238</f>
        <v>8.2286999999999999</v>
      </c>
      <c r="L326" s="283">
        <f>(SUM(O326:Q326)+(K326+SUM(M326:Q326))*(INDEX($U$238:$AB$238,MATCH(Notes!$C$16,$U$3:$AB$3,0))-100%))*$L$238</f>
        <v>62.82</v>
      </c>
      <c r="M326" s="286"/>
      <c r="N326" s="286"/>
      <c r="O326" s="311">
        <f t="shared" si="76"/>
        <v>62.82</v>
      </c>
      <c r="P326" s="285"/>
      <c r="Q326" s="285"/>
      <c r="R326" s="278"/>
      <c r="S326" s="278"/>
      <c r="T326" s="278"/>
    </row>
    <row r="327" spans="1:20" s="305" customFormat="1" hidden="1" outlineLevel="2" x14ac:dyDescent="0.25">
      <c r="A327" s="278"/>
      <c r="B327" s="279" t="str">
        <f t="shared" ref="B327:B394" si="77">C327&amp;D327&amp;E327&amp;F327</f>
        <v>rafter/joist/lintel130x36mmLVLx2</v>
      </c>
      <c r="C327" s="278" t="s">
        <v>1875</v>
      </c>
      <c r="D327" s="278" t="s">
        <v>1958</v>
      </c>
      <c r="E327" s="278" t="s">
        <v>504</v>
      </c>
      <c r="F327" s="278"/>
      <c r="G327" s="278" t="s">
        <v>15</v>
      </c>
      <c r="H327" s="309">
        <f t="shared" si="75"/>
        <v>4.4999999999999998E-2</v>
      </c>
      <c r="I327" s="280">
        <f t="shared" ref="I327:I394" si="78">$I$2*H327</f>
        <v>3.6278999999999999</v>
      </c>
      <c r="J327" s="281">
        <f t="shared" ref="J327:J394" si="79">$J$2*H327</f>
        <v>4.11435</v>
      </c>
      <c r="K327" s="282">
        <f>IF(Notes!$B$9="Domestic",I327, IF(Notes!$B$9="Commercial",J327))*$K$238</f>
        <v>8.2286999999999999</v>
      </c>
      <c r="L327" s="283">
        <f>(SUM(O327:Q327)+(K327+SUM(M327:Q327))*(INDEX($U$238:$AB$238,MATCH(Notes!$C$16,$U$3:$AB$3,0))-100%))*$L$238</f>
        <v>53.02</v>
      </c>
      <c r="M327" s="286"/>
      <c r="N327" s="286"/>
      <c r="O327" s="311">
        <f t="shared" si="76"/>
        <v>53.02</v>
      </c>
      <c r="P327" s="285"/>
      <c r="Q327" s="285"/>
      <c r="R327" s="278"/>
      <c r="S327" s="278"/>
      <c r="T327" s="278"/>
    </row>
    <row r="328" spans="1:20" s="305" customFormat="1" hidden="1" outlineLevel="2" x14ac:dyDescent="0.25">
      <c r="A328" s="278"/>
      <c r="B328" s="279" t="str">
        <f t="shared" si="77"/>
        <v>rafter/joist/lintel130x45mmLVLx2</v>
      </c>
      <c r="C328" s="278" t="s">
        <v>1875</v>
      </c>
      <c r="D328" s="278" t="s">
        <v>1959</v>
      </c>
      <c r="E328" s="278" t="s">
        <v>504</v>
      </c>
      <c r="F328" s="278"/>
      <c r="G328" s="278" t="s">
        <v>15</v>
      </c>
      <c r="H328" s="309">
        <f t="shared" si="75"/>
        <v>4.4999999999999998E-2</v>
      </c>
      <c r="I328" s="280">
        <f t="shared" si="78"/>
        <v>3.6278999999999999</v>
      </c>
      <c r="J328" s="281">
        <f t="shared" si="79"/>
        <v>4.11435</v>
      </c>
      <c r="K328" s="282">
        <f>IF(Notes!$B$9="Domestic",I328, IF(Notes!$B$9="Commercial",J328))*$K$238</f>
        <v>8.2286999999999999</v>
      </c>
      <c r="L328" s="283">
        <f>(SUM(O328:Q328)+(K328+SUM(M328:Q328))*(INDEX($U$238:$AB$238,MATCH(Notes!$C$16,$U$3:$AB$3,0))-100%))*$L$238</f>
        <v>65.760000000000005</v>
      </c>
      <c r="M328" s="286"/>
      <c r="N328" s="286"/>
      <c r="O328" s="311">
        <f t="shared" si="76"/>
        <v>65.760000000000005</v>
      </c>
      <c r="P328" s="285"/>
      <c r="Q328" s="285"/>
      <c r="R328" s="278"/>
      <c r="S328" s="278"/>
      <c r="T328" s="278"/>
    </row>
    <row r="329" spans="1:20" s="305" customFormat="1" hidden="1" outlineLevel="2" x14ac:dyDescent="0.25">
      <c r="A329" s="278"/>
      <c r="B329" s="279" t="str">
        <f t="shared" si="77"/>
        <v>rafter/joist/lintel130x63mmLVLx2</v>
      </c>
      <c r="C329" s="278" t="s">
        <v>1875</v>
      </c>
      <c r="D329" s="278" t="s">
        <v>1960</v>
      </c>
      <c r="E329" s="278" t="s">
        <v>504</v>
      </c>
      <c r="F329" s="278"/>
      <c r="G329" s="278" t="s">
        <v>15</v>
      </c>
      <c r="H329" s="309">
        <f t="shared" si="75"/>
        <v>4.4999999999999998E-2</v>
      </c>
      <c r="I329" s="280">
        <f t="shared" si="78"/>
        <v>3.6278999999999999</v>
      </c>
      <c r="J329" s="281">
        <f t="shared" si="79"/>
        <v>4.11435</v>
      </c>
      <c r="K329" s="282">
        <f>IF(Notes!$B$9="Domestic",I329, IF(Notes!$B$9="Commercial",J329))*$K$238</f>
        <v>8.2286999999999999</v>
      </c>
      <c r="L329" s="283">
        <f>(SUM(O329:Q329)+(K329+SUM(M329:Q329))*(INDEX($U$238:$AB$238,MATCH(Notes!$C$16,$U$3:$AB$3,0))-100%))*$L$238</f>
        <v>90.9</v>
      </c>
      <c r="M329" s="286"/>
      <c r="N329" s="286"/>
      <c r="O329" s="311">
        <f t="shared" si="76"/>
        <v>90.9</v>
      </c>
      <c r="P329" s="285"/>
      <c r="Q329" s="285"/>
      <c r="R329" s="278"/>
      <c r="S329" s="278"/>
      <c r="T329" s="278"/>
    </row>
    <row r="330" spans="1:20" s="305" customFormat="1" hidden="1" outlineLevel="2" x14ac:dyDescent="0.25">
      <c r="A330" s="278"/>
      <c r="B330" s="279" t="str">
        <f t="shared" si="77"/>
        <v>rafter/joist/lintel150x36mmLVLx2</v>
      </c>
      <c r="C330" s="278" t="s">
        <v>1875</v>
      </c>
      <c r="D330" s="278" t="s">
        <v>1961</v>
      </c>
      <c r="E330" s="278" t="s">
        <v>504</v>
      </c>
      <c r="F330" s="278"/>
      <c r="G330" s="278" t="s">
        <v>15</v>
      </c>
      <c r="H330" s="309">
        <f t="shared" si="75"/>
        <v>4.4999999999999998E-2</v>
      </c>
      <c r="I330" s="280">
        <f t="shared" si="78"/>
        <v>3.6278999999999999</v>
      </c>
      <c r="J330" s="281">
        <f t="shared" si="79"/>
        <v>4.11435</v>
      </c>
      <c r="K330" s="282">
        <f>IF(Notes!$B$9="Domestic",I330, IF(Notes!$B$9="Commercial",J330))*$K$238</f>
        <v>8.2286999999999999</v>
      </c>
      <c r="L330" s="283">
        <f>(SUM(O330:Q330)+(K330+SUM(M330:Q330))*(INDEX($U$238:$AB$238,MATCH(Notes!$C$16,$U$3:$AB$3,0))-100%))*$L$238</f>
        <v>51.2</v>
      </c>
      <c r="M330" s="286"/>
      <c r="N330" s="286"/>
      <c r="O330" s="311">
        <f t="shared" si="76"/>
        <v>51.2</v>
      </c>
      <c r="P330" s="285"/>
      <c r="Q330" s="285"/>
      <c r="R330" s="278"/>
      <c r="S330" s="278"/>
      <c r="T330" s="278"/>
    </row>
    <row r="331" spans="1:20" s="305" customFormat="1" hidden="1" outlineLevel="2" x14ac:dyDescent="0.25">
      <c r="A331" s="278"/>
      <c r="B331" s="279" t="str">
        <f t="shared" si="77"/>
        <v>rafter/joist/lintel150x45mmLVLx2</v>
      </c>
      <c r="C331" s="278" t="s">
        <v>1875</v>
      </c>
      <c r="D331" s="278" t="s">
        <v>1962</v>
      </c>
      <c r="E331" s="278" t="s">
        <v>504</v>
      </c>
      <c r="F331" s="278"/>
      <c r="G331" s="278" t="s">
        <v>15</v>
      </c>
      <c r="H331" s="309">
        <f t="shared" si="75"/>
        <v>4.4999999999999998E-2</v>
      </c>
      <c r="I331" s="280">
        <f t="shared" si="78"/>
        <v>3.6278999999999999</v>
      </c>
      <c r="J331" s="281">
        <f t="shared" si="79"/>
        <v>4.11435</v>
      </c>
      <c r="K331" s="282">
        <f>IF(Notes!$B$9="Domestic",I331, IF(Notes!$B$9="Commercial",J331))*$K$238</f>
        <v>8.2286999999999999</v>
      </c>
      <c r="L331" s="283">
        <f>(SUM(O331:Q331)+(K331+SUM(M331:Q331))*(INDEX($U$238:$AB$238,MATCH(Notes!$C$16,$U$3:$AB$3,0))-100%))*$L$238</f>
        <v>76.040000000000006</v>
      </c>
      <c r="M331" s="286"/>
      <c r="N331" s="286"/>
      <c r="O331" s="311">
        <f t="shared" si="76"/>
        <v>76.040000000000006</v>
      </c>
      <c r="P331" s="285"/>
      <c r="Q331" s="285"/>
      <c r="R331" s="278"/>
      <c r="S331" s="278"/>
      <c r="T331" s="278"/>
    </row>
    <row r="332" spans="1:20" s="305" customFormat="1" hidden="1" outlineLevel="2" x14ac:dyDescent="0.25">
      <c r="A332" s="278"/>
      <c r="B332" s="279" t="str">
        <f t="shared" si="77"/>
        <v>rafter/joist/lintel150x75mmLVLx2</v>
      </c>
      <c r="C332" s="278" t="s">
        <v>1875</v>
      </c>
      <c r="D332" s="278" t="s">
        <v>1963</v>
      </c>
      <c r="E332" s="278" t="s">
        <v>504</v>
      </c>
      <c r="F332" s="278"/>
      <c r="G332" s="278" t="s">
        <v>15</v>
      </c>
      <c r="H332" s="309">
        <f t="shared" si="75"/>
        <v>4.4999999999999998E-2</v>
      </c>
      <c r="I332" s="280">
        <f t="shared" si="78"/>
        <v>3.6278999999999999</v>
      </c>
      <c r="J332" s="281">
        <f t="shared" si="79"/>
        <v>4.11435</v>
      </c>
      <c r="K332" s="282">
        <f>IF(Notes!$B$9="Domestic",I332, IF(Notes!$B$9="Commercial",J332))*$K$238</f>
        <v>8.2286999999999999</v>
      </c>
      <c r="L332" s="283">
        <f>(SUM(O332:Q332)+(K332+SUM(M332:Q332))*(INDEX($U$238:$AB$238,MATCH(Notes!$C$16,$U$3:$AB$3,0))-100%))*$L$238</f>
        <v>104.82</v>
      </c>
      <c r="M332" s="286"/>
      <c r="N332" s="286"/>
      <c r="O332" s="311">
        <f t="shared" si="76"/>
        <v>104.82</v>
      </c>
      <c r="P332" s="285"/>
      <c r="Q332" s="285"/>
      <c r="R332" s="278"/>
      <c r="S332" s="278"/>
      <c r="T332" s="278"/>
    </row>
    <row r="333" spans="1:20" s="305" customFormat="1" hidden="1" outlineLevel="2" x14ac:dyDescent="0.25">
      <c r="A333" s="278"/>
      <c r="B333" s="279" t="str">
        <f t="shared" si="77"/>
        <v>rafter/joist/lintel170x36mmLVLx2</v>
      </c>
      <c r="C333" s="278" t="s">
        <v>1875</v>
      </c>
      <c r="D333" s="278" t="s">
        <v>1964</v>
      </c>
      <c r="E333" s="278" t="s">
        <v>504</v>
      </c>
      <c r="F333" s="278"/>
      <c r="G333" s="278" t="s">
        <v>15</v>
      </c>
      <c r="H333" s="309">
        <f t="shared" si="75"/>
        <v>4.4999999999999998E-2</v>
      </c>
      <c r="I333" s="280">
        <f t="shared" si="78"/>
        <v>3.6278999999999999</v>
      </c>
      <c r="J333" s="281">
        <f t="shared" si="79"/>
        <v>4.11435</v>
      </c>
      <c r="K333" s="282">
        <f>IF(Notes!$B$9="Domestic",I333, IF(Notes!$B$9="Commercial",J333))*$K$238</f>
        <v>8.2286999999999999</v>
      </c>
      <c r="L333" s="283">
        <f>(SUM(O333:Q333)+(K333+SUM(M333:Q333))*(INDEX($U$238:$AB$238,MATCH(Notes!$C$16,$U$3:$AB$3,0))-100%))*$L$238</f>
        <v>69.38</v>
      </c>
      <c r="M333" s="286"/>
      <c r="N333" s="286"/>
      <c r="O333" s="311">
        <f t="shared" si="76"/>
        <v>69.38</v>
      </c>
      <c r="P333" s="285"/>
      <c r="Q333" s="285"/>
      <c r="R333" s="278"/>
      <c r="S333" s="278"/>
      <c r="T333" s="278"/>
    </row>
    <row r="334" spans="1:20" s="305" customFormat="1" hidden="1" outlineLevel="2" x14ac:dyDescent="0.25">
      <c r="A334" s="278"/>
      <c r="B334" s="279" t="str">
        <f t="shared" si="77"/>
        <v>rafter/joist/lintel170x45mmLVLx2</v>
      </c>
      <c r="C334" s="278" t="s">
        <v>1875</v>
      </c>
      <c r="D334" s="278" t="s">
        <v>1965</v>
      </c>
      <c r="E334" s="278" t="s">
        <v>504</v>
      </c>
      <c r="F334" s="278"/>
      <c r="G334" s="278" t="s">
        <v>15</v>
      </c>
      <c r="H334" s="309">
        <f t="shared" si="75"/>
        <v>4.4999999999999998E-2</v>
      </c>
      <c r="I334" s="280">
        <f t="shared" si="78"/>
        <v>3.6278999999999999</v>
      </c>
      <c r="J334" s="281">
        <f t="shared" si="79"/>
        <v>4.11435</v>
      </c>
      <c r="K334" s="282">
        <f>IF(Notes!$B$9="Domestic",I334, IF(Notes!$B$9="Commercial",J334))*$K$238</f>
        <v>8.2286999999999999</v>
      </c>
      <c r="L334" s="283">
        <f>(SUM(O334:Q334)+(K334+SUM(M334:Q334))*(INDEX($U$238:$AB$238,MATCH(Notes!$C$16,$U$3:$AB$3,0))-100%))*$L$238</f>
        <v>86.1</v>
      </c>
      <c r="M334" s="286"/>
      <c r="N334" s="286"/>
      <c r="O334" s="311">
        <f t="shared" si="76"/>
        <v>86.1</v>
      </c>
      <c r="P334" s="285"/>
      <c r="Q334" s="285"/>
      <c r="R334" s="278"/>
      <c r="S334" s="278"/>
      <c r="T334" s="278"/>
    </row>
    <row r="335" spans="1:20" s="305" customFormat="1" hidden="1" outlineLevel="2" x14ac:dyDescent="0.25">
      <c r="A335" s="278"/>
      <c r="B335" s="279" t="str">
        <f t="shared" si="77"/>
        <v>rafter/joist/lintel170x63mmLVLx2</v>
      </c>
      <c r="C335" s="278" t="s">
        <v>1875</v>
      </c>
      <c r="D335" s="278" t="s">
        <v>1966</v>
      </c>
      <c r="E335" s="278" t="s">
        <v>504</v>
      </c>
      <c r="F335" s="278"/>
      <c r="G335" s="278" t="s">
        <v>15</v>
      </c>
      <c r="H335" s="309">
        <f t="shared" si="75"/>
        <v>4.4999999999999998E-2</v>
      </c>
      <c r="I335" s="280">
        <f t="shared" si="78"/>
        <v>3.6278999999999999</v>
      </c>
      <c r="J335" s="281">
        <f t="shared" si="79"/>
        <v>4.11435</v>
      </c>
      <c r="K335" s="282">
        <f>IF(Notes!$B$9="Domestic",I335, IF(Notes!$B$9="Commercial",J335))*$K$238</f>
        <v>8.2286999999999999</v>
      </c>
      <c r="L335" s="283">
        <f>(SUM(O335:Q335)+(K335+SUM(M335:Q335))*(INDEX($U$238:$AB$238,MATCH(Notes!$C$16,$U$3:$AB$3,0))-100%))*$L$238</f>
        <v>118.68</v>
      </c>
      <c r="M335" s="286"/>
      <c r="N335" s="286"/>
      <c r="O335" s="311">
        <f t="shared" si="76"/>
        <v>118.68</v>
      </c>
      <c r="P335" s="285"/>
      <c r="Q335" s="285"/>
      <c r="R335" s="278"/>
      <c r="S335" s="278"/>
      <c r="T335" s="278"/>
    </row>
    <row r="336" spans="1:20" s="305" customFormat="1" hidden="1" outlineLevel="2" x14ac:dyDescent="0.25">
      <c r="A336" s="278"/>
      <c r="B336" s="279" t="str">
        <f t="shared" si="77"/>
        <v>rafter/joist/lintel200x36mmLVLx2</v>
      </c>
      <c r="C336" s="278" t="s">
        <v>1875</v>
      </c>
      <c r="D336" s="278" t="s">
        <v>1967</v>
      </c>
      <c r="E336" s="278" t="s">
        <v>504</v>
      </c>
      <c r="F336" s="278"/>
      <c r="G336" s="278" t="s">
        <v>15</v>
      </c>
      <c r="H336" s="309">
        <f t="shared" si="75"/>
        <v>4.4999999999999998E-2</v>
      </c>
      <c r="I336" s="280">
        <f t="shared" si="78"/>
        <v>3.6278999999999999</v>
      </c>
      <c r="J336" s="281">
        <f t="shared" si="79"/>
        <v>4.11435</v>
      </c>
      <c r="K336" s="282">
        <f>IF(Notes!$B$9="Domestic",I336, IF(Notes!$B$9="Commercial",J336))*$K$238</f>
        <v>8.2286999999999999</v>
      </c>
      <c r="L336" s="283">
        <f>(SUM(O336:Q336)+(K336+SUM(M336:Q336))*(INDEX($U$238:$AB$238,MATCH(Notes!$C$16,$U$3:$AB$3,0))-100%))*$L$238</f>
        <v>68.2</v>
      </c>
      <c r="M336" s="286"/>
      <c r="N336" s="286"/>
      <c r="O336" s="311">
        <f t="shared" si="76"/>
        <v>68.2</v>
      </c>
      <c r="P336" s="285"/>
      <c r="Q336" s="285"/>
      <c r="R336" s="278"/>
      <c r="S336" s="278"/>
      <c r="T336" s="278"/>
    </row>
    <row r="337" spans="1:20" s="305" customFormat="1" hidden="1" outlineLevel="2" x14ac:dyDescent="0.25">
      <c r="A337" s="278"/>
      <c r="B337" s="279" t="str">
        <f t="shared" si="77"/>
        <v>rafter/joist/lintel200x45mmLVLx2</v>
      </c>
      <c r="C337" s="278" t="s">
        <v>1875</v>
      </c>
      <c r="D337" s="278" t="s">
        <v>1945</v>
      </c>
      <c r="E337" s="278" t="s">
        <v>504</v>
      </c>
      <c r="F337" s="278"/>
      <c r="G337" s="278" t="s">
        <v>15</v>
      </c>
      <c r="H337" s="309">
        <f t="shared" si="75"/>
        <v>4.4999999999999998E-2</v>
      </c>
      <c r="I337" s="280">
        <f t="shared" si="78"/>
        <v>3.6278999999999999</v>
      </c>
      <c r="J337" s="281">
        <f t="shared" si="79"/>
        <v>4.11435</v>
      </c>
      <c r="K337" s="282">
        <f>IF(Notes!$B$9="Domestic",I337, IF(Notes!$B$9="Commercial",J337))*$K$238</f>
        <v>8.2286999999999999</v>
      </c>
      <c r="L337" s="283">
        <f>(SUM(O337:Q337)+(K337+SUM(M337:Q337))*(INDEX($U$238:$AB$238,MATCH(Notes!$C$16,$U$3:$AB$3,0))-100%))*$L$238</f>
        <v>101.38</v>
      </c>
      <c r="M337" s="286"/>
      <c r="N337" s="286"/>
      <c r="O337" s="311">
        <f t="shared" si="76"/>
        <v>101.38</v>
      </c>
      <c r="P337" s="285"/>
      <c r="Q337" s="285"/>
      <c r="R337" s="278"/>
      <c r="S337" s="278"/>
      <c r="T337" s="278"/>
    </row>
    <row r="338" spans="1:20" s="305" customFormat="1" hidden="1" outlineLevel="2" x14ac:dyDescent="0.25">
      <c r="A338" s="278"/>
      <c r="B338" s="279" t="str">
        <f t="shared" si="77"/>
        <v>rafter/joist/lintel200x63mmLVLx2</v>
      </c>
      <c r="C338" s="278" t="s">
        <v>1875</v>
      </c>
      <c r="D338" s="278" t="s">
        <v>1968</v>
      </c>
      <c r="E338" s="278" t="s">
        <v>504</v>
      </c>
      <c r="F338" s="278"/>
      <c r="G338" s="278" t="s">
        <v>15</v>
      </c>
      <c r="H338" s="309">
        <f t="shared" si="75"/>
        <v>0.06</v>
      </c>
      <c r="I338" s="280">
        <f t="shared" si="78"/>
        <v>4.8372000000000002</v>
      </c>
      <c r="J338" s="281">
        <f t="shared" si="79"/>
        <v>5.4858000000000002</v>
      </c>
      <c r="K338" s="282">
        <f>IF(Notes!$B$9="Domestic",I338, IF(Notes!$B$9="Commercial",J338))*$K$238</f>
        <v>10.9716</v>
      </c>
      <c r="L338" s="283">
        <f>(SUM(O338:Q338)+(K338+SUM(M338:Q338))*(INDEX($U$238:$AB$238,MATCH(Notes!$C$16,$U$3:$AB$3,0))-100%))*$L$238</f>
        <v>139.9</v>
      </c>
      <c r="M338" s="286"/>
      <c r="N338" s="286"/>
      <c r="O338" s="311">
        <f t="shared" si="76"/>
        <v>139.9</v>
      </c>
      <c r="P338" s="285"/>
      <c r="Q338" s="285"/>
      <c r="R338" s="278"/>
      <c r="S338" s="278"/>
      <c r="T338" s="278"/>
    </row>
    <row r="339" spans="1:20" s="305" customFormat="1" hidden="1" outlineLevel="2" x14ac:dyDescent="0.25">
      <c r="A339" s="278"/>
      <c r="B339" s="279" t="str">
        <f t="shared" si="77"/>
        <v>rafter/joist/lintel240x36mmLVLx2</v>
      </c>
      <c r="C339" s="278" t="s">
        <v>1875</v>
      </c>
      <c r="D339" s="278" t="s">
        <v>1969</v>
      </c>
      <c r="E339" s="278" t="s">
        <v>504</v>
      </c>
      <c r="F339" s="278"/>
      <c r="G339" s="278" t="s">
        <v>15</v>
      </c>
      <c r="H339" s="309">
        <f t="shared" si="75"/>
        <v>0.06</v>
      </c>
      <c r="I339" s="280">
        <f t="shared" si="78"/>
        <v>4.8372000000000002</v>
      </c>
      <c r="J339" s="281">
        <f t="shared" si="79"/>
        <v>5.4858000000000002</v>
      </c>
      <c r="K339" s="282">
        <f>IF(Notes!$B$9="Domestic",I339, IF(Notes!$B$9="Commercial",J339))*$K$238</f>
        <v>10.9716</v>
      </c>
      <c r="L339" s="283">
        <f>(SUM(O339:Q339)+(K339+SUM(M339:Q339))*(INDEX($U$238:$AB$238,MATCH(Notes!$C$16,$U$3:$AB$3,0))-100%))*$L$238</f>
        <v>97.92</v>
      </c>
      <c r="M339" s="286"/>
      <c r="N339" s="286"/>
      <c r="O339" s="311">
        <f t="shared" si="76"/>
        <v>97.92</v>
      </c>
      <c r="P339" s="285"/>
      <c r="Q339" s="285"/>
      <c r="R339" s="278"/>
      <c r="S339" s="278"/>
      <c r="T339" s="278"/>
    </row>
    <row r="340" spans="1:20" s="305" customFormat="1" hidden="1" outlineLevel="2" x14ac:dyDescent="0.25">
      <c r="A340" s="278"/>
      <c r="B340" s="279" t="str">
        <f t="shared" si="77"/>
        <v>rafter/joist/lintel240x45mmLVLx2</v>
      </c>
      <c r="C340" s="278" t="s">
        <v>1875</v>
      </c>
      <c r="D340" s="278" t="s">
        <v>1943</v>
      </c>
      <c r="E340" s="278" t="s">
        <v>504</v>
      </c>
      <c r="F340" s="278"/>
      <c r="G340" s="278" t="s">
        <v>15</v>
      </c>
      <c r="H340" s="309">
        <f t="shared" si="75"/>
        <v>0.06</v>
      </c>
      <c r="I340" s="280">
        <f t="shared" si="78"/>
        <v>4.8372000000000002</v>
      </c>
      <c r="J340" s="281">
        <f t="shared" si="79"/>
        <v>5.4858000000000002</v>
      </c>
      <c r="K340" s="282">
        <f>IF(Notes!$B$9="Domestic",I340, IF(Notes!$B$9="Commercial",J340))*$K$238</f>
        <v>10.9716</v>
      </c>
      <c r="L340" s="283">
        <f>(SUM(O340:Q340)+(K340+SUM(M340:Q340))*(INDEX($U$238:$AB$238,MATCH(Notes!$C$16,$U$3:$AB$3,0))-100%))*$L$238</f>
        <v>121.56</v>
      </c>
      <c r="M340" s="286"/>
      <c r="N340" s="286"/>
      <c r="O340" s="311">
        <f t="shared" si="76"/>
        <v>121.56</v>
      </c>
      <c r="P340" s="285"/>
      <c r="Q340" s="285"/>
      <c r="R340" s="278"/>
      <c r="S340" s="278"/>
      <c r="T340" s="278"/>
    </row>
    <row r="341" spans="1:20" s="305" customFormat="1" hidden="1" outlineLevel="2" x14ac:dyDescent="0.25">
      <c r="A341" s="278"/>
      <c r="B341" s="279" t="str">
        <f t="shared" si="77"/>
        <v>rafter/joist/lintel240x63mmLVLx2</v>
      </c>
      <c r="C341" s="278" t="s">
        <v>1875</v>
      </c>
      <c r="D341" s="278" t="s">
        <v>1947</v>
      </c>
      <c r="E341" s="278" t="s">
        <v>504</v>
      </c>
      <c r="F341" s="278"/>
      <c r="G341" s="278" t="s">
        <v>15</v>
      </c>
      <c r="H341" s="309">
        <f t="shared" si="75"/>
        <v>0.06</v>
      </c>
      <c r="I341" s="280">
        <f t="shared" si="78"/>
        <v>4.8372000000000002</v>
      </c>
      <c r="J341" s="281">
        <f t="shared" si="79"/>
        <v>5.4858000000000002</v>
      </c>
      <c r="K341" s="282">
        <f>IF(Notes!$B$9="Domestic",I341, IF(Notes!$B$9="Commercial",J341))*$K$238</f>
        <v>10.9716</v>
      </c>
      <c r="L341" s="283">
        <f>(SUM(O341:Q341)+(K341+SUM(M341:Q341))*(INDEX($U$238:$AB$238,MATCH(Notes!$C$16,$U$3:$AB$3,0))-100%))*$L$238</f>
        <v>167.78</v>
      </c>
      <c r="M341" s="286"/>
      <c r="N341" s="286"/>
      <c r="O341" s="311">
        <f t="shared" si="76"/>
        <v>167.78</v>
      </c>
      <c r="P341" s="285"/>
      <c r="Q341" s="285"/>
      <c r="R341" s="278"/>
      <c r="S341" s="278"/>
      <c r="T341" s="278"/>
    </row>
    <row r="342" spans="1:20" s="305" customFormat="1" hidden="1" outlineLevel="2" x14ac:dyDescent="0.25">
      <c r="A342" s="278"/>
      <c r="B342" s="279" t="str">
        <f t="shared" si="77"/>
        <v>rafter/joist/lintel300x45mmLVLx2</v>
      </c>
      <c r="C342" s="278" t="s">
        <v>1875</v>
      </c>
      <c r="D342" s="278" t="s">
        <v>1950</v>
      </c>
      <c r="E342" s="278" t="s">
        <v>504</v>
      </c>
      <c r="F342" s="278"/>
      <c r="G342" s="278" t="s">
        <v>15</v>
      </c>
      <c r="H342" s="309">
        <f t="shared" si="75"/>
        <v>0.06</v>
      </c>
      <c r="I342" s="280">
        <f t="shared" si="78"/>
        <v>4.8372000000000002</v>
      </c>
      <c r="J342" s="281">
        <f t="shared" si="79"/>
        <v>5.4858000000000002</v>
      </c>
      <c r="K342" s="282">
        <f>IF(Notes!$B$9="Domestic",I342, IF(Notes!$B$9="Commercial",J342))*$K$238</f>
        <v>10.9716</v>
      </c>
      <c r="L342" s="283">
        <f>(SUM(O342:Q342)+(K342+SUM(M342:Q342))*(INDEX($U$238:$AB$238,MATCH(Notes!$C$16,$U$3:$AB$3,0))-100%))*$L$238</f>
        <v>152.04</v>
      </c>
      <c r="M342" s="286"/>
      <c r="N342" s="286"/>
      <c r="O342" s="311">
        <f t="shared" si="76"/>
        <v>152.04</v>
      </c>
      <c r="P342" s="285"/>
      <c r="Q342" s="285"/>
      <c r="R342" s="278"/>
      <c r="S342" s="278"/>
      <c r="T342" s="278"/>
    </row>
    <row r="343" spans="1:20" s="305" customFormat="1" hidden="1" outlineLevel="2" x14ac:dyDescent="0.25">
      <c r="A343" s="278"/>
      <c r="B343" s="279" t="str">
        <f t="shared" si="77"/>
        <v>rafter/joist/lintel300x63mmLVLx2</v>
      </c>
      <c r="C343" s="278" t="s">
        <v>1875</v>
      </c>
      <c r="D343" s="278" t="s">
        <v>1951</v>
      </c>
      <c r="E343" s="278" t="s">
        <v>504</v>
      </c>
      <c r="F343" s="278"/>
      <c r="G343" s="278" t="s">
        <v>15</v>
      </c>
      <c r="H343" s="309">
        <f t="shared" si="75"/>
        <v>0.06</v>
      </c>
      <c r="I343" s="280">
        <f t="shared" si="78"/>
        <v>4.8372000000000002</v>
      </c>
      <c r="J343" s="281">
        <f t="shared" si="79"/>
        <v>5.4858000000000002</v>
      </c>
      <c r="K343" s="282">
        <f>IF(Notes!$B$9="Domestic",I343, IF(Notes!$B$9="Commercial",J343))*$K$238</f>
        <v>10.9716</v>
      </c>
      <c r="L343" s="283">
        <f>(SUM(O343:Q343)+(K343+SUM(M343:Q343))*(INDEX($U$238:$AB$238,MATCH(Notes!$C$16,$U$3:$AB$3,0))-100%))*$L$238</f>
        <v>209.74</v>
      </c>
      <c r="M343" s="286"/>
      <c r="N343" s="286"/>
      <c r="O343" s="311">
        <f t="shared" si="76"/>
        <v>209.74</v>
      </c>
      <c r="P343" s="285"/>
      <c r="Q343" s="285"/>
      <c r="R343" s="278"/>
      <c r="S343" s="278"/>
      <c r="T343" s="278"/>
    </row>
    <row r="344" spans="1:20" s="305" customFormat="1" hidden="1" outlineLevel="2" x14ac:dyDescent="0.25">
      <c r="A344" s="278"/>
      <c r="B344" s="279" t="str">
        <f t="shared" si="77"/>
        <v>rafter/joist/lintel300x75mmLVLx2</v>
      </c>
      <c r="C344" s="278" t="s">
        <v>1875</v>
      </c>
      <c r="D344" s="278" t="s">
        <v>1970</v>
      </c>
      <c r="E344" s="278" t="s">
        <v>504</v>
      </c>
      <c r="F344" s="278"/>
      <c r="G344" s="278" t="s">
        <v>15</v>
      </c>
      <c r="H344" s="309">
        <f t="shared" si="75"/>
        <v>0.06</v>
      </c>
      <c r="I344" s="280">
        <f t="shared" si="78"/>
        <v>4.8372000000000002</v>
      </c>
      <c r="J344" s="281">
        <f t="shared" si="79"/>
        <v>5.4858000000000002</v>
      </c>
      <c r="K344" s="282">
        <f>IF(Notes!$B$9="Domestic",I344, IF(Notes!$B$9="Commercial",J344))*$K$238</f>
        <v>10.9716</v>
      </c>
      <c r="L344" s="283">
        <f>(SUM(O344:Q344)+(K344+SUM(M344:Q344))*(INDEX($U$238:$AB$238,MATCH(Notes!$C$16,$U$3:$AB$3,0))-100%))*$L$238</f>
        <v>283.62</v>
      </c>
      <c r="M344" s="286"/>
      <c r="N344" s="286"/>
      <c r="O344" s="311">
        <f t="shared" si="76"/>
        <v>283.62</v>
      </c>
      <c r="P344" s="285"/>
      <c r="Q344" s="285"/>
      <c r="R344" s="278"/>
      <c r="S344" s="278"/>
      <c r="T344" s="278"/>
    </row>
    <row r="345" spans="1:20" s="305" customFormat="1" hidden="1" outlineLevel="2" x14ac:dyDescent="0.25">
      <c r="A345" s="278"/>
      <c r="B345" s="279" t="str">
        <f t="shared" si="77"/>
        <v>rafter/joist/lintel360x45mmLVLx2</v>
      </c>
      <c r="C345" s="278" t="s">
        <v>1875</v>
      </c>
      <c r="D345" s="278" t="s">
        <v>1971</v>
      </c>
      <c r="E345" s="278" t="s">
        <v>504</v>
      </c>
      <c r="F345" s="278"/>
      <c r="G345" s="278" t="s">
        <v>15</v>
      </c>
      <c r="H345" s="309">
        <f t="shared" si="75"/>
        <v>0.06</v>
      </c>
      <c r="I345" s="280">
        <f t="shared" si="78"/>
        <v>4.8372000000000002</v>
      </c>
      <c r="J345" s="281">
        <f t="shared" si="79"/>
        <v>5.4858000000000002</v>
      </c>
      <c r="K345" s="282">
        <f>IF(Notes!$B$9="Domestic",I345, IF(Notes!$B$9="Commercial",J345))*$K$238</f>
        <v>10.9716</v>
      </c>
      <c r="L345" s="283">
        <f>(SUM(O345:Q345)+(K345+SUM(M345:Q345))*(INDEX($U$238:$AB$238,MATCH(Notes!$C$16,$U$3:$AB$3,0))-100%))*$L$238</f>
        <v>182.28</v>
      </c>
      <c r="M345" s="286"/>
      <c r="N345" s="286"/>
      <c r="O345" s="311">
        <f t="shared" si="76"/>
        <v>182.28</v>
      </c>
      <c r="P345" s="285"/>
      <c r="Q345" s="285"/>
      <c r="R345" s="278"/>
      <c r="S345" s="278"/>
      <c r="T345" s="278"/>
    </row>
    <row r="346" spans="1:20" s="305" customFormat="1" hidden="1" outlineLevel="2" x14ac:dyDescent="0.25">
      <c r="A346" s="278"/>
      <c r="B346" s="279" t="str">
        <f t="shared" si="77"/>
        <v>rafter/joist/lintel360x63mmLVLx2</v>
      </c>
      <c r="C346" s="278" t="s">
        <v>1875</v>
      </c>
      <c r="D346" s="278" t="s">
        <v>1953</v>
      </c>
      <c r="E346" s="278" t="s">
        <v>504</v>
      </c>
      <c r="F346" s="278"/>
      <c r="G346" s="278" t="s">
        <v>15</v>
      </c>
      <c r="H346" s="309">
        <f t="shared" si="75"/>
        <v>0.06</v>
      </c>
      <c r="I346" s="280">
        <f t="shared" si="78"/>
        <v>4.8372000000000002</v>
      </c>
      <c r="J346" s="281">
        <f t="shared" si="79"/>
        <v>5.4858000000000002</v>
      </c>
      <c r="K346" s="282">
        <f>IF(Notes!$B$9="Domestic",I346, IF(Notes!$B$9="Commercial",J346))*$K$238</f>
        <v>10.9716</v>
      </c>
      <c r="L346" s="283">
        <f>(SUM(O346:Q346)+(K346+SUM(M346:Q346))*(INDEX($U$238:$AB$238,MATCH(Notes!$C$16,$U$3:$AB$3,0))-100%))*$L$238</f>
        <v>251.74</v>
      </c>
      <c r="M346" s="286"/>
      <c r="N346" s="286"/>
      <c r="O346" s="311">
        <f t="shared" si="76"/>
        <v>251.74</v>
      </c>
      <c r="P346" s="285"/>
      <c r="Q346" s="285"/>
      <c r="R346" s="278"/>
      <c r="S346" s="278"/>
      <c r="T346" s="278"/>
    </row>
    <row r="347" spans="1:20" s="305" customFormat="1" hidden="1" outlineLevel="2" x14ac:dyDescent="0.25">
      <c r="A347" s="278"/>
      <c r="B347" s="279" t="str">
        <f t="shared" si="77"/>
        <v>rafter/joist/lintel400x45mmLVLx2</v>
      </c>
      <c r="C347" s="278" t="s">
        <v>1875</v>
      </c>
      <c r="D347" s="278" t="s">
        <v>1972</v>
      </c>
      <c r="E347" s="278" t="s">
        <v>504</v>
      </c>
      <c r="F347" s="278"/>
      <c r="G347" s="278" t="s">
        <v>15</v>
      </c>
      <c r="H347" s="309">
        <f t="shared" si="75"/>
        <v>0.06</v>
      </c>
      <c r="I347" s="280">
        <f t="shared" si="78"/>
        <v>4.8372000000000002</v>
      </c>
      <c r="J347" s="281">
        <f t="shared" si="79"/>
        <v>5.4858000000000002</v>
      </c>
      <c r="K347" s="282">
        <f>IF(Notes!$B$9="Domestic",I347, IF(Notes!$B$9="Commercial",J347))*$K$238</f>
        <v>10.9716</v>
      </c>
      <c r="L347" s="283">
        <f>(SUM(O347:Q347)+(K347+SUM(M347:Q347))*(INDEX($U$238:$AB$238,MATCH(Notes!$C$16,$U$3:$AB$3,0))-100%))*$L$238</f>
        <v>202.42</v>
      </c>
      <c r="M347" s="286"/>
      <c r="N347" s="286"/>
      <c r="O347" s="311">
        <f t="shared" si="76"/>
        <v>202.42</v>
      </c>
      <c r="P347" s="285"/>
      <c r="Q347" s="285"/>
      <c r="R347" s="278"/>
      <c r="S347" s="278"/>
      <c r="T347" s="278"/>
    </row>
    <row r="348" spans="1:20" s="305" customFormat="1" hidden="1" outlineLevel="2" x14ac:dyDescent="0.25">
      <c r="A348" s="278"/>
      <c r="B348" s="279" t="str">
        <f t="shared" si="77"/>
        <v>rafter/joist/lintel400x63mmLVLx2</v>
      </c>
      <c r="C348" s="278" t="s">
        <v>1875</v>
      </c>
      <c r="D348" s="278" t="s">
        <v>1973</v>
      </c>
      <c r="E348" s="278" t="s">
        <v>504</v>
      </c>
      <c r="F348" s="278"/>
      <c r="G348" s="278" t="s">
        <v>15</v>
      </c>
      <c r="H348" s="309">
        <f t="shared" si="75"/>
        <v>0.06</v>
      </c>
      <c r="I348" s="280">
        <f t="shared" si="78"/>
        <v>4.8372000000000002</v>
      </c>
      <c r="J348" s="281">
        <f t="shared" si="79"/>
        <v>5.4858000000000002</v>
      </c>
      <c r="K348" s="282">
        <f>IF(Notes!$B$9="Domestic",I348, IF(Notes!$B$9="Commercial",J348))*$K$238</f>
        <v>10.9716</v>
      </c>
      <c r="L348" s="283">
        <f>(SUM(O348:Q348)+(K348+SUM(M348:Q348))*(INDEX($U$238:$AB$238,MATCH(Notes!$C$16,$U$3:$AB$3,0))-100%))*$L$238</f>
        <v>279.68</v>
      </c>
      <c r="M348" s="286"/>
      <c r="N348" s="286"/>
      <c r="O348" s="311">
        <f t="shared" si="76"/>
        <v>279.68</v>
      </c>
      <c r="P348" s="285"/>
      <c r="Q348" s="285"/>
      <c r="R348" s="278"/>
      <c r="S348" s="278"/>
      <c r="T348" s="278"/>
    </row>
    <row r="349" spans="1:20" s="305" customFormat="1" hidden="1" outlineLevel="2" x14ac:dyDescent="0.25">
      <c r="A349" s="278"/>
      <c r="B349" s="279" t="str">
        <f t="shared" si="77"/>
        <v>rafter/joist/lintel400x75mmLVLx2</v>
      </c>
      <c r="C349" s="278" t="s">
        <v>1875</v>
      </c>
      <c r="D349" s="278" t="s">
        <v>1974</v>
      </c>
      <c r="E349" s="278" t="s">
        <v>504</v>
      </c>
      <c r="F349" s="278"/>
      <c r="G349" s="278" t="s">
        <v>15</v>
      </c>
      <c r="H349" s="309">
        <f t="shared" si="75"/>
        <v>0.06</v>
      </c>
      <c r="I349" s="280">
        <f t="shared" si="78"/>
        <v>4.8372000000000002</v>
      </c>
      <c r="J349" s="281">
        <f t="shared" si="79"/>
        <v>5.4858000000000002</v>
      </c>
      <c r="K349" s="282">
        <f>IF(Notes!$B$9="Domestic",I349, IF(Notes!$B$9="Commercial",J349))*$K$238</f>
        <v>10.9716</v>
      </c>
      <c r="L349" s="283">
        <f>(SUM(O349:Q349)+(K349+SUM(M349:Q349))*(INDEX($U$238:$AB$238,MATCH(Notes!$C$16,$U$3:$AB$3,0))-100%))*$L$238</f>
        <v>378.12</v>
      </c>
      <c r="M349" s="286"/>
      <c r="N349" s="286"/>
      <c r="O349" s="311">
        <f t="shared" si="76"/>
        <v>378.12</v>
      </c>
      <c r="P349" s="285"/>
      <c r="Q349" s="285"/>
      <c r="R349" s="278"/>
      <c r="S349" s="278"/>
      <c r="T349" s="278"/>
    </row>
    <row r="350" spans="1:20" s="305" customFormat="1" hidden="1" outlineLevel="2" x14ac:dyDescent="0.25">
      <c r="A350" s="278"/>
      <c r="B350" s="279" t="str">
        <f t="shared" si="77"/>
        <v>rafter/joist/lintel450x63mmLVLx2</v>
      </c>
      <c r="C350" s="278" t="s">
        <v>1875</v>
      </c>
      <c r="D350" s="278" t="s">
        <v>1975</v>
      </c>
      <c r="E350" s="278" t="s">
        <v>504</v>
      </c>
      <c r="F350" s="278"/>
      <c r="G350" s="278" t="s">
        <v>15</v>
      </c>
      <c r="H350" s="309">
        <f t="shared" si="75"/>
        <v>0.06</v>
      </c>
      <c r="I350" s="280">
        <f t="shared" si="78"/>
        <v>4.8372000000000002</v>
      </c>
      <c r="J350" s="281">
        <f t="shared" si="79"/>
        <v>5.4858000000000002</v>
      </c>
      <c r="K350" s="282">
        <f>IF(Notes!$B$9="Domestic",I350, IF(Notes!$B$9="Commercial",J350))*$K$238</f>
        <v>10.9716</v>
      </c>
      <c r="L350" s="283">
        <f>(SUM(O350:Q350)+(K350+SUM(M350:Q350))*(INDEX($U$238:$AB$238,MATCH(Notes!$C$16,$U$3:$AB$3,0))-100%))*$L$238</f>
        <v>314.66000000000003</v>
      </c>
      <c r="M350" s="286"/>
      <c r="N350" s="286"/>
      <c r="O350" s="311">
        <f t="shared" si="76"/>
        <v>314.66000000000003</v>
      </c>
      <c r="P350" s="285"/>
      <c r="Q350" s="285"/>
      <c r="R350" s="278"/>
      <c r="S350" s="278"/>
      <c r="T350" s="278"/>
    </row>
    <row r="351" spans="1:20" s="305" customFormat="1" hidden="1" outlineLevel="2" x14ac:dyDescent="0.25">
      <c r="A351" s="278"/>
      <c r="B351" s="279" t="str">
        <f t="shared" si="77"/>
        <v>rafter/joist/lintel525x75mmLVLx2</v>
      </c>
      <c r="C351" s="278" t="s">
        <v>1875</v>
      </c>
      <c r="D351" s="278" t="s">
        <v>1976</v>
      </c>
      <c r="E351" s="278" t="s">
        <v>504</v>
      </c>
      <c r="F351" s="278"/>
      <c r="G351" s="278" t="s">
        <v>15</v>
      </c>
      <c r="H351" s="309">
        <f t="shared" si="75"/>
        <v>0.18</v>
      </c>
      <c r="I351" s="280">
        <f t="shared" si="78"/>
        <v>14.5116</v>
      </c>
      <c r="J351" s="281">
        <f t="shared" si="79"/>
        <v>16.4574</v>
      </c>
      <c r="K351" s="282">
        <f>IF(Notes!$B$9="Domestic",I351, IF(Notes!$B$9="Commercial",J351))*$K$238</f>
        <v>32.9148</v>
      </c>
      <c r="L351" s="283">
        <f>(SUM(O351:Q351)+(K351+SUM(M351:Q351))*(INDEX($U$238:$AB$238,MATCH(Notes!$C$16,$U$3:$AB$3,0))-100%))*$L$238</f>
        <v>434.84</v>
      </c>
      <c r="M351" s="286"/>
      <c r="N351" s="286"/>
      <c r="O351" s="311">
        <f t="shared" si="76"/>
        <v>434.84</v>
      </c>
      <c r="P351" s="285"/>
      <c r="Q351" s="285"/>
      <c r="R351" s="278"/>
      <c r="S351" s="278"/>
      <c r="T351" s="278"/>
    </row>
    <row r="352" spans="1:20" s="305" customFormat="1" hidden="1" outlineLevel="2" x14ac:dyDescent="0.25">
      <c r="A352" s="278"/>
      <c r="B352" s="279" t="str">
        <f t="shared" si="77"/>
        <v>rafter/joist/lintel600x75mmLVLx2</v>
      </c>
      <c r="C352" s="278" t="s">
        <v>1875</v>
      </c>
      <c r="D352" s="278" t="s">
        <v>1977</v>
      </c>
      <c r="E352" s="278" t="s">
        <v>504</v>
      </c>
      <c r="F352" s="278"/>
      <c r="G352" s="278" t="s">
        <v>15</v>
      </c>
      <c r="H352" s="309">
        <f t="shared" si="75"/>
        <v>0.18</v>
      </c>
      <c r="I352" s="280">
        <f t="shared" si="78"/>
        <v>14.5116</v>
      </c>
      <c r="J352" s="281">
        <f t="shared" si="79"/>
        <v>16.4574</v>
      </c>
      <c r="K352" s="282">
        <f>IF(Notes!$B$9="Domestic",I352, IF(Notes!$B$9="Commercial",J352))*$K$238</f>
        <v>32.9148</v>
      </c>
      <c r="L352" s="283">
        <f>(SUM(O352:Q352)+(K352+SUM(M352:Q352))*(INDEX($U$238:$AB$238,MATCH(Notes!$C$16,$U$3:$AB$3,0))-100%))*$L$238</f>
        <v>472.72</v>
      </c>
      <c r="M352" s="286"/>
      <c r="N352" s="286"/>
      <c r="O352" s="311">
        <f t="shared" si="76"/>
        <v>472.72</v>
      </c>
      <c r="P352" s="285"/>
      <c r="Q352" s="285"/>
      <c r="R352" s="278"/>
      <c r="S352" s="278"/>
      <c r="T352" s="278"/>
    </row>
    <row r="353" spans="1:20" s="305" customFormat="1" hidden="1" outlineLevel="2" x14ac:dyDescent="0.25">
      <c r="A353" s="278"/>
      <c r="B353" s="279" t="str">
        <f t="shared" si="77"/>
        <v>rafter/joist/lintel50x25mmHWD</v>
      </c>
      <c r="C353" s="278" t="s">
        <v>1875</v>
      </c>
      <c r="D353" s="278" t="s">
        <v>1978</v>
      </c>
      <c r="E353" s="278" t="s">
        <v>507</v>
      </c>
      <c r="F353" s="278"/>
      <c r="G353" s="278" t="s">
        <v>15</v>
      </c>
      <c r="H353" s="310">
        <v>0.03</v>
      </c>
      <c r="I353" s="280">
        <f t="shared" si="78"/>
        <v>2.4186000000000001</v>
      </c>
      <c r="J353" s="281">
        <f t="shared" si="79"/>
        <v>2.7429000000000001</v>
      </c>
      <c r="K353" s="282">
        <f>IF(Notes!$B$9="Domestic",I353, IF(Notes!$B$9="Commercial",J353))*$K$238</f>
        <v>5.4858000000000002</v>
      </c>
      <c r="L353" s="283">
        <f>(SUM(O353:Q353)+(K353+SUM(M353:Q353))*(INDEX($U$238:$AB$238,MATCH(Notes!$C$16,$U$3:$AB$3,0))-100%))*$L$238</f>
        <v>3.57</v>
      </c>
      <c r="M353" s="286"/>
      <c r="N353" s="286"/>
      <c r="O353" s="285">
        <v>3.57</v>
      </c>
      <c r="P353" s="285"/>
      <c r="Q353" s="285"/>
      <c r="R353" s="278"/>
      <c r="S353" s="278"/>
      <c r="T353" s="278"/>
    </row>
    <row r="354" spans="1:20" s="305" customFormat="1" hidden="1" outlineLevel="2" x14ac:dyDescent="0.25">
      <c r="A354" s="278"/>
      <c r="B354" s="279" t="str">
        <f t="shared" si="77"/>
        <v>rafter/joist/lintel50x38mmHWD</v>
      </c>
      <c r="C354" s="278" t="s">
        <v>1875</v>
      </c>
      <c r="D354" s="278" t="s">
        <v>1979</v>
      </c>
      <c r="E354" s="278" t="s">
        <v>507</v>
      </c>
      <c r="F354" s="278"/>
      <c r="G354" s="278" t="s">
        <v>15</v>
      </c>
      <c r="H354" s="310">
        <v>0.03</v>
      </c>
      <c r="I354" s="280">
        <f t="shared" si="78"/>
        <v>2.4186000000000001</v>
      </c>
      <c r="J354" s="281">
        <f t="shared" si="79"/>
        <v>2.7429000000000001</v>
      </c>
      <c r="K354" s="282">
        <f>IF(Notes!$B$9="Domestic",I354, IF(Notes!$B$9="Commercial",J354))*$K$238</f>
        <v>5.4858000000000002</v>
      </c>
      <c r="L354" s="283">
        <f>(SUM(O354:Q354)+(K354+SUM(M354:Q354))*(INDEX($U$238:$AB$238,MATCH(Notes!$C$16,$U$3:$AB$3,0))-100%))*$L$238</f>
        <v>5.44</v>
      </c>
      <c r="M354" s="286"/>
      <c r="N354" s="286"/>
      <c r="O354" s="285">
        <v>5.44</v>
      </c>
      <c r="P354" s="285"/>
      <c r="Q354" s="285"/>
      <c r="R354" s="278"/>
      <c r="S354" s="278"/>
      <c r="T354" s="278"/>
    </row>
    <row r="355" spans="1:20" s="305" customFormat="1" hidden="1" outlineLevel="2" x14ac:dyDescent="0.25">
      <c r="A355" s="278"/>
      <c r="B355" s="279" t="str">
        <f t="shared" si="77"/>
        <v>rafter/joist/lintel75x25mmHWD</v>
      </c>
      <c r="C355" s="278" t="s">
        <v>1875</v>
      </c>
      <c r="D355" s="278" t="s">
        <v>1980</v>
      </c>
      <c r="E355" s="278" t="s">
        <v>507</v>
      </c>
      <c r="F355" s="278"/>
      <c r="G355" s="278" t="s">
        <v>15</v>
      </c>
      <c r="H355" s="310">
        <v>0.03</v>
      </c>
      <c r="I355" s="280">
        <f t="shared" si="78"/>
        <v>2.4186000000000001</v>
      </c>
      <c r="J355" s="281">
        <f t="shared" si="79"/>
        <v>2.7429000000000001</v>
      </c>
      <c r="K355" s="282">
        <f>IF(Notes!$B$9="Domestic",I355, IF(Notes!$B$9="Commercial",J355))*$K$238</f>
        <v>5.4858000000000002</v>
      </c>
      <c r="L355" s="283">
        <f>(SUM(O355:Q355)+(K355+SUM(M355:Q355))*(INDEX($U$238:$AB$238,MATCH(Notes!$C$16,$U$3:$AB$3,0))-100%))*$L$238</f>
        <v>5.36</v>
      </c>
      <c r="M355" s="286"/>
      <c r="N355" s="286"/>
      <c r="O355" s="285">
        <v>5.36</v>
      </c>
      <c r="P355" s="285"/>
      <c r="Q355" s="285"/>
      <c r="R355" s="278"/>
      <c r="S355" s="278"/>
      <c r="T355" s="278"/>
    </row>
    <row r="356" spans="1:20" s="305" customFormat="1" hidden="1" outlineLevel="2" x14ac:dyDescent="0.25">
      <c r="A356" s="278"/>
      <c r="B356" s="279" t="str">
        <f t="shared" si="77"/>
        <v>rafter/joist/lintel75x38mmHWD</v>
      </c>
      <c r="C356" s="278" t="s">
        <v>1875</v>
      </c>
      <c r="D356" s="278" t="s">
        <v>1981</v>
      </c>
      <c r="E356" s="278" t="s">
        <v>507</v>
      </c>
      <c r="F356" s="278"/>
      <c r="G356" s="278" t="s">
        <v>15</v>
      </c>
      <c r="H356" s="310">
        <v>0.03</v>
      </c>
      <c r="I356" s="280">
        <f t="shared" si="78"/>
        <v>2.4186000000000001</v>
      </c>
      <c r="J356" s="281">
        <f t="shared" si="79"/>
        <v>2.7429000000000001</v>
      </c>
      <c r="K356" s="282">
        <f>IF(Notes!$B$9="Domestic",I356, IF(Notes!$B$9="Commercial",J356))*$K$238</f>
        <v>5.4858000000000002</v>
      </c>
      <c r="L356" s="283">
        <f>(SUM(O356:Q356)+(K356+SUM(M356:Q356))*(INDEX($U$238:$AB$238,MATCH(Notes!$C$16,$U$3:$AB$3,0))-100%))*$L$238</f>
        <v>8.16</v>
      </c>
      <c r="M356" s="286"/>
      <c r="N356" s="286"/>
      <c r="O356" s="285">
        <v>8.16</v>
      </c>
      <c r="P356" s="285"/>
      <c r="Q356" s="285"/>
      <c r="R356" s="278"/>
      <c r="S356" s="278"/>
      <c r="T356" s="278"/>
    </row>
    <row r="357" spans="1:20" s="305" customFormat="1" hidden="1" outlineLevel="2" x14ac:dyDescent="0.25">
      <c r="A357" s="278"/>
      <c r="B357" s="279" t="str">
        <f t="shared" si="77"/>
        <v>rafter/joist/lintel75x50mmHWD</v>
      </c>
      <c r="C357" s="278" t="s">
        <v>1875</v>
      </c>
      <c r="D357" s="278" t="s">
        <v>1982</v>
      </c>
      <c r="E357" s="278" t="s">
        <v>507</v>
      </c>
      <c r="F357" s="278"/>
      <c r="G357" s="278" t="s">
        <v>15</v>
      </c>
      <c r="H357" s="310">
        <v>0.03</v>
      </c>
      <c r="I357" s="280">
        <f t="shared" si="78"/>
        <v>2.4186000000000001</v>
      </c>
      <c r="J357" s="281">
        <f t="shared" si="79"/>
        <v>2.7429000000000001</v>
      </c>
      <c r="K357" s="282">
        <f>IF(Notes!$B$9="Domestic",I357, IF(Notes!$B$9="Commercial",J357))*$K$238</f>
        <v>5.4858000000000002</v>
      </c>
      <c r="L357" s="283">
        <f>(SUM(O357:Q357)+(K357+SUM(M357:Q357))*(INDEX($U$238:$AB$238,MATCH(Notes!$C$16,$U$3:$AB$3,0))-100%))*$L$238</f>
        <v>10.63</v>
      </c>
      <c r="M357" s="286"/>
      <c r="N357" s="286"/>
      <c r="O357" s="285">
        <v>10.63</v>
      </c>
      <c r="P357" s="285"/>
      <c r="Q357" s="285"/>
      <c r="R357" s="278"/>
      <c r="S357" s="278"/>
      <c r="T357" s="278"/>
    </row>
    <row r="358" spans="1:20" s="305" customFormat="1" hidden="1" outlineLevel="2" x14ac:dyDescent="0.25">
      <c r="A358" s="278"/>
      <c r="B358" s="279" t="str">
        <f t="shared" si="77"/>
        <v>rafter/joist/lintel75x75mmHWD</v>
      </c>
      <c r="C358" s="278" t="s">
        <v>1875</v>
      </c>
      <c r="D358" s="278" t="s">
        <v>1907</v>
      </c>
      <c r="E358" s="278" t="s">
        <v>507</v>
      </c>
      <c r="F358" s="278"/>
      <c r="G358" s="278" t="s">
        <v>15</v>
      </c>
      <c r="H358" s="310">
        <v>0.03</v>
      </c>
      <c r="I358" s="280">
        <f t="shared" si="78"/>
        <v>2.4186000000000001</v>
      </c>
      <c r="J358" s="281">
        <f t="shared" si="79"/>
        <v>2.7429000000000001</v>
      </c>
      <c r="K358" s="282">
        <f>IF(Notes!$B$9="Domestic",I358, IF(Notes!$B$9="Commercial",J358))*$K$238</f>
        <v>5.4858000000000002</v>
      </c>
      <c r="L358" s="283">
        <f>(SUM(O358:Q358)+(K358+SUM(M358:Q358))*(INDEX($U$238:$AB$238,MATCH(Notes!$C$16,$U$3:$AB$3,0))-100%))*$L$238</f>
        <v>20.23</v>
      </c>
      <c r="M358" s="286"/>
      <c r="N358" s="286"/>
      <c r="O358" s="285">
        <v>20.23</v>
      </c>
      <c r="P358" s="285"/>
      <c r="Q358" s="285"/>
      <c r="R358" s="278"/>
      <c r="S358" s="278"/>
      <c r="T358" s="278"/>
    </row>
    <row r="359" spans="1:20" s="305" customFormat="1" hidden="1" outlineLevel="2" x14ac:dyDescent="0.25">
      <c r="A359" s="278"/>
      <c r="B359" s="279" t="str">
        <f t="shared" si="77"/>
        <v>rafter/joist/lintel100x25mmHWD</v>
      </c>
      <c r="C359" s="278" t="s">
        <v>1875</v>
      </c>
      <c r="D359" s="278" t="s">
        <v>1983</v>
      </c>
      <c r="E359" s="278" t="s">
        <v>507</v>
      </c>
      <c r="F359" s="278"/>
      <c r="G359" s="278" t="s">
        <v>15</v>
      </c>
      <c r="H359" s="310">
        <v>0.03</v>
      </c>
      <c r="I359" s="280">
        <f t="shared" si="78"/>
        <v>2.4186000000000001</v>
      </c>
      <c r="J359" s="281">
        <f t="shared" si="79"/>
        <v>2.7429000000000001</v>
      </c>
      <c r="K359" s="282">
        <f>IF(Notes!$B$9="Domestic",I359, IF(Notes!$B$9="Commercial",J359))*$K$238</f>
        <v>5.4858000000000002</v>
      </c>
      <c r="L359" s="283">
        <f>(SUM(O359:Q359)+(K359+SUM(M359:Q359))*(INDEX($U$238:$AB$238,MATCH(Notes!$C$16,$U$3:$AB$3,0))-100%))*$L$238</f>
        <v>7.14</v>
      </c>
      <c r="M359" s="286"/>
      <c r="N359" s="286"/>
      <c r="O359" s="285">
        <v>7.14</v>
      </c>
      <c r="P359" s="285"/>
      <c r="Q359" s="285"/>
      <c r="R359" s="278"/>
      <c r="S359" s="278"/>
      <c r="T359" s="278"/>
    </row>
    <row r="360" spans="1:20" s="305" customFormat="1" hidden="1" outlineLevel="2" x14ac:dyDescent="0.25">
      <c r="A360" s="278"/>
      <c r="B360" s="279" t="str">
        <f t="shared" si="77"/>
        <v>rafter/joist/lintel100x38mmHWD</v>
      </c>
      <c r="C360" s="278" t="s">
        <v>1875</v>
      </c>
      <c r="D360" s="278" t="s">
        <v>1984</v>
      </c>
      <c r="E360" s="278" t="s">
        <v>507</v>
      </c>
      <c r="F360" s="278"/>
      <c r="G360" s="278" t="s">
        <v>15</v>
      </c>
      <c r="H360" s="310">
        <v>0.03</v>
      </c>
      <c r="I360" s="280">
        <f t="shared" si="78"/>
        <v>2.4186000000000001</v>
      </c>
      <c r="J360" s="281">
        <f t="shared" si="79"/>
        <v>2.7429000000000001</v>
      </c>
      <c r="K360" s="282">
        <f>IF(Notes!$B$9="Domestic",I360, IF(Notes!$B$9="Commercial",J360))*$K$238</f>
        <v>5.4858000000000002</v>
      </c>
      <c r="L360" s="283">
        <f>(SUM(O360:Q360)+(K360+SUM(M360:Q360))*(INDEX($U$238:$AB$238,MATCH(Notes!$C$16,$U$3:$AB$3,0))-100%))*$L$238</f>
        <v>10.88</v>
      </c>
      <c r="M360" s="286"/>
      <c r="N360" s="286"/>
      <c r="O360" s="285">
        <v>10.88</v>
      </c>
      <c r="P360" s="285"/>
      <c r="Q360" s="285"/>
      <c r="R360" s="278"/>
      <c r="S360" s="278"/>
      <c r="T360" s="278"/>
    </row>
    <row r="361" spans="1:20" s="305" customFormat="1" hidden="1" outlineLevel="2" x14ac:dyDescent="0.25">
      <c r="A361" s="278"/>
      <c r="B361" s="279" t="str">
        <f t="shared" si="77"/>
        <v>rafter/joist/lintel100x50mmHWD</v>
      </c>
      <c r="C361" s="278" t="s">
        <v>1875</v>
      </c>
      <c r="D361" s="278" t="s">
        <v>1985</v>
      </c>
      <c r="E361" s="278" t="s">
        <v>507</v>
      </c>
      <c r="F361" s="278"/>
      <c r="G361" s="278" t="s">
        <v>15</v>
      </c>
      <c r="H361" s="310">
        <v>0.03</v>
      </c>
      <c r="I361" s="280">
        <f t="shared" si="78"/>
        <v>2.4186000000000001</v>
      </c>
      <c r="J361" s="281">
        <f t="shared" si="79"/>
        <v>2.7429000000000001</v>
      </c>
      <c r="K361" s="282">
        <f>IF(Notes!$B$9="Domestic",I361, IF(Notes!$B$9="Commercial",J361))*$K$238</f>
        <v>5.4858000000000002</v>
      </c>
      <c r="L361" s="283">
        <f>(SUM(O361:Q361)+(K361+SUM(M361:Q361))*(INDEX($U$238:$AB$238,MATCH(Notes!$C$16,$U$3:$AB$3,0))-100%))*$L$238</f>
        <v>14.28</v>
      </c>
      <c r="M361" s="286"/>
      <c r="N361" s="286"/>
      <c r="O361" s="285">
        <v>14.28</v>
      </c>
      <c r="P361" s="285"/>
      <c r="Q361" s="285"/>
      <c r="R361" s="278"/>
      <c r="S361" s="278"/>
      <c r="T361" s="278"/>
    </row>
    <row r="362" spans="1:20" s="305" customFormat="1" hidden="1" outlineLevel="2" x14ac:dyDescent="0.25">
      <c r="A362" s="278"/>
      <c r="B362" s="279" t="str">
        <f t="shared" si="77"/>
        <v>rafter/joist/lintel100x75mmHWD</v>
      </c>
      <c r="C362" s="278" t="s">
        <v>1875</v>
      </c>
      <c r="D362" s="278" t="s">
        <v>1986</v>
      </c>
      <c r="E362" s="278" t="s">
        <v>507</v>
      </c>
      <c r="F362" s="278"/>
      <c r="G362" s="278" t="s">
        <v>15</v>
      </c>
      <c r="H362" s="310">
        <v>0.03</v>
      </c>
      <c r="I362" s="280">
        <f t="shared" si="78"/>
        <v>2.4186000000000001</v>
      </c>
      <c r="J362" s="281">
        <f t="shared" si="79"/>
        <v>2.7429000000000001</v>
      </c>
      <c r="K362" s="282">
        <f>IF(Notes!$B$9="Domestic",I362, IF(Notes!$B$9="Commercial",J362))*$K$238</f>
        <v>5.4858000000000002</v>
      </c>
      <c r="L362" s="283">
        <f>(SUM(O362:Q362)+(K362+SUM(M362:Q362))*(INDEX($U$238:$AB$238,MATCH(Notes!$C$16,$U$3:$AB$3,0))-100%))*$L$238</f>
        <v>26.95</v>
      </c>
      <c r="M362" s="286"/>
      <c r="N362" s="286"/>
      <c r="O362" s="285">
        <v>26.95</v>
      </c>
      <c r="P362" s="285"/>
      <c r="Q362" s="285"/>
      <c r="R362" s="278"/>
      <c r="S362" s="278"/>
      <c r="T362" s="278"/>
    </row>
    <row r="363" spans="1:20" s="305" customFormat="1" hidden="1" outlineLevel="2" x14ac:dyDescent="0.25">
      <c r="A363" s="278"/>
      <c r="B363" s="279" t="str">
        <f t="shared" si="77"/>
        <v>rafter/joist/lintel125x25mmHWD</v>
      </c>
      <c r="C363" s="278" t="s">
        <v>1875</v>
      </c>
      <c r="D363" s="278" t="s">
        <v>1987</v>
      </c>
      <c r="E363" s="278" t="s">
        <v>507</v>
      </c>
      <c r="F363" s="278"/>
      <c r="G363" s="278" t="s">
        <v>15</v>
      </c>
      <c r="H363" s="310">
        <v>0.03</v>
      </c>
      <c r="I363" s="280">
        <f t="shared" si="78"/>
        <v>2.4186000000000001</v>
      </c>
      <c r="J363" s="281">
        <f t="shared" si="79"/>
        <v>2.7429000000000001</v>
      </c>
      <c r="K363" s="282">
        <f>IF(Notes!$B$9="Domestic",I363, IF(Notes!$B$9="Commercial",J363))*$K$238</f>
        <v>5.4858000000000002</v>
      </c>
      <c r="L363" s="283">
        <f>(SUM(O363:Q363)+(K363+SUM(M363:Q363))*(INDEX($U$238:$AB$238,MATCH(Notes!$C$16,$U$3:$AB$3,0))-100%))*$L$238</f>
        <v>10.119999999999999</v>
      </c>
      <c r="M363" s="286"/>
      <c r="N363" s="286"/>
      <c r="O363" s="285">
        <v>10.119999999999999</v>
      </c>
      <c r="P363" s="285"/>
      <c r="Q363" s="285"/>
      <c r="R363" s="278"/>
      <c r="S363" s="278"/>
      <c r="T363" s="278"/>
    </row>
    <row r="364" spans="1:20" s="305" customFormat="1" hidden="1" outlineLevel="2" x14ac:dyDescent="0.25">
      <c r="A364" s="278"/>
      <c r="B364" s="279" t="str">
        <f t="shared" si="77"/>
        <v>rafter/joist/lintel125x38mmHWD</v>
      </c>
      <c r="C364" s="278" t="s">
        <v>1875</v>
      </c>
      <c r="D364" s="278" t="s">
        <v>1988</v>
      </c>
      <c r="E364" s="278" t="s">
        <v>507</v>
      </c>
      <c r="F364" s="278"/>
      <c r="G364" s="278" t="s">
        <v>15</v>
      </c>
      <c r="H364" s="310">
        <v>0.03</v>
      </c>
      <c r="I364" s="280">
        <f t="shared" si="78"/>
        <v>2.4186000000000001</v>
      </c>
      <c r="J364" s="281">
        <f t="shared" si="79"/>
        <v>2.7429000000000001</v>
      </c>
      <c r="K364" s="282">
        <f>IF(Notes!$B$9="Domestic",I364, IF(Notes!$B$9="Commercial",J364))*$K$238</f>
        <v>5.4858000000000002</v>
      </c>
      <c r="L364" s="283">
        <f>(SUM(O364:Q364)+(K364+SUM(M364:Q364))*(INDEX($U$238:$AB$238,MATCH(Notes!$C$16,$U$3:$AB$3,0))-100%))*$L$238</f>
        <v>15.3</v>
      </c>
      <c r="M364" s="286"/>
      <c r="N364" s="286"/>
      <c r="O364" s="285">
        <v>15.3</v>
      </c>
      <c r="P364" s="285"/>
      <c r="Q364" s="285"/>
      <c r="R364" s="278"/>
      <c r="S364" s="278"/>
      <c r="T364" s="278"/>
    </row>
    <row r="365" spans="1:20" s="305" customFormat="1" hidden="1" outlineLevel="2" x14ac:dyDescent="0.25">
      <c r="A365" s="278"/>
      <c r="B365" s="279" t="str">
        <f t="shared" si="77"/>
        <v>rafter/joist/lintel125x50mmHWD</v>
      </c>
      <c r="C365" s="278" t="s">
        <v>1875</v>
      </c>
      <c r="D365" s="278" t="s">
        <v>1989</v>
      </c>
      <c r="E365" s="278" t="s">
        <v>507</v>
      </c>
      <c r="F365" s="278"/>
      <c r="G365" s="278" t="s">
        <v>15</v>
      </c>
      <c r="H365" s="310">
        <v>0.03</v>
      </c>
      <c r="I365" s="280">
        <f t="shared" si="78"/>
        <v>2.4186000000000001</v>
      </c>
      <c r="J365" s="281">
        <f t="shared" si="79"/>
        <v>2.7429000000000001</v>
      </c>
      <c r="K365" s="282">
        <f>IF(Notes!$B$9="Domestic",I365, IF(Notes!$B$9="Commercial",J365))*$K$238</f>
        <v>5.4858000000000002</v>
      </c>
      <c r="L365" s="283">
        <f>(SUM(O365:Q365)+(K365+SUM(M365:Q365))*(INDEX($U$238:$AB$238,MATCH(Notes!$C$16,$U$3:$AB$3,0))-100%))*$L$238</f>
        <v>20.149999999999999</v>
      </c>
      <c r="M365" s="286"/>
      <c r="N365" s="286"/>
      <c r="O365" s="285">
        <v>20.149999999999999</v>
      </c>
      <c r="P365" s="285"/>
      <c r="Q365" s="285"/>
      <c r="R365" s="278"/>
      <c r="S365" s="278"/>
      <c r="T365" s="278"/>
    </row>
    <row r="366" spans="1:20" s="305" customFormat="1" hidden="1" outlineLevel="2" x14ac:dyDescent="0.25">
      <c r="A366" s="278"/>
      <c r="B366" s="279" t="str">
        <f t="shared" si="77"/>
        <v>rafter/joist/lintel125x75mmHWD</v>
      </c>
      <c r="C366" s="278" t="s">
        <v>1875</v>
      </c>
      <c r="D366" s="278" t="s">
        <v>1990</v>
      </c>
      <c r="E366" s="278" t="s">
        <v>507</v>
      </c>
      <c r="F366" s="278"/>
      <c r="G366" s="278" t="s">
        <v>15</v>
      </c>
      <c r="H366" s="310">
        <v>0.03</v>
      </c>
      <c r="I366" s="280">
        <f t="shared" si="78"/>
        <v>2.4186000000000001</v>
      </c>
      <c r="J366" s="281">
        <f t="shared" si="79"/>
        <v>2.7429000000000001</v>
      </c>
      <c r="K366" s="282">
        <f>IF(Notes!$B$9="Domestic",I366, IF(Notes!$B$9="Commercial",J366))*$K$238</f>
        <v>5.4858000000000002</v>
      </c>
      <c r="L366" s="283">
        <f>(SUM(O366:Q366)+(K366+SUM(M366:Q366))*(INDEX($U$238:$AB$238,MATCH(Notes!$C$16,$U$3:$AB$3,0))-100%))*$L$238</f>
        <v>33.659999999999997</v>
      </c>
      <c r="M366" s="286"/>
      <c r="N366" s="286"/>
      <c r="O366" s="285">
        <v>33.659999999999997</v>
      </c>
      <c r="P366" s="285"/>
      <c r="Q366" s="285"/>
      <c r="R366" s="278"/>
      <c r="S366" s="278"/>
      <c r="T366" s="278"/>
    </row>
    <row r="367" spans="1:20" s="305" customFormat="1" hidden="1" outlineLevel="2" x14ac:dyDescent="0.25">
      <c r="A367" s="278"/>
      <c r="B367" s="279" t="str">
        <f t="shared" ref="B367:B368" si="80">C367&amp;D367&amp;E367&amp;F367</f>
        <v>rafter/joist/lintel150x25mmHWD</v>
      </c>
      <c r="C367" s="278" t="s">
        <v>1875</v>
      </c>
      <c r="D367" s="278" t="s">
        <v>1991</v>
      </c>
      <c r="E367" s="278" t="s">
        <v>507</v>
      </c>
      <c r="F367" s="278"/>
      <c r="G367" s="278" t="s">
        <v>15</v>
      </c>
      <c r="H367" s="310">
        <v>0.03</v>
      </c>
      <c r="I367" s="280">
        <f t="shared" ref="I367:I368" si="81">$I$2*H367</f>
        <v>2.4186000000000001</v>
      </c>
      <c r="J367" s="281">
        <f t="shared" ref="J367:J368" si="82">$J$2*H367</f>
        <v>2.7429000000000001</v>
      </c>
      <c r="K367" s="282">
        <f>IF(Notes!$B$9="Domestic",I367, IF(Notes!$B$9="Commercial",J367))*$K$238</f>
        <v>5.4858000000000002</v>
      </c>
      <c r="L367" s="283">
        <f>(SUM(O367:Q367)+(K367+SUM(M367:Q367))*(INDEX($U$238:$AB$238,MATCH(Notes!$C$16,$U$3:$AB$3,0))-100%))*$L$238</f>
        <v>12.16</v>
      </c>
      <c r="M367" s="286"/>
      <c r="N367" s="286"/>
      <c r="O367" s="285">
        <v>12.16</v>
      </c>
      <c r="P367" s="285"/>
      <c r="Q367" s="285"/>
      <c r="R367" s="278"/>
      <c r="S367" s="278"/>
      <c r="T367" s="278"/>
    </row>
    <row r="368" spans="1:20" s="305" customFormat="1" hidden="1" outlineLevel="2" x14ac:dyDescent="0.25">
      <c r="A368" s="278"/>
      <c r="B368" s="279" t="str">
        <f t="shared" si="80"/>
        <v>rafter/joist/lintel150x38mmHWD</v>
      </c>
      <c r="C368" s="278" t="s">
        <v>1875</v>
      </c>
      <c r="D368" s="278" t="s">
        <v>1992</v>
      </c>
      <c r="E368" s="278" t="s">
        <v>507</v>
      </c>
      <c r="F368" s="278"/>
      <c r="G368" s="278" t="s">
        <v>15</v>
      </c>
      <c r="H368" s="310">
        <v>0.03</v>
      </c>
      <c r="I368" s="280">
        <f t="shared" si="81"/>
        <v>2.4186000000000001</v>
      </c>
      <c r="J368" s="281">
        <f t="shared" si="82"/>
        <v>2.7429000000000001</v>
      </c>
      <c r="K368" s="282">
        <f>IF(Notes!$B$9="Domestic",I368, IF(Notes!$B$9="Commercial",J368))*$K$238</f>
        <v>5.4858000000000002</v>
      </c>
      <c r="L368" s="283">
        <f>(SUM(O368:Q368)+(K368+SUM(M368:Q368))*(INDEX($U$238:$AB$238,MATCH(Notes!$C$16,$U$3:$AB$3,0))-100%))*$L$238</f>
        <v>18.36</v>
      </c>
      <c r="M368" s="286"/>
      <c r="N368" s="286"/>
      <c r="O368" s="285">
        <v>18.36</v>
      </c>
      <c r="P368" s="285"/>
      <c r="Q368" s="285"/>
      <c r="R368" s="278"/>
      <c r="S368" s="278"/>
      <c r="T368" s="278"/>
    </row>
    <row r="369" spans="1:20" s="305" customFormat="1" hidden="1" outlineLevel="2" x14ac:dyDescent="0.25">
      <c r="A369" s="278"/>
      <c r="B369" s="279" t="str">
        <f t="shared" si="77"/>
        <v>rafter/joist/lintel150x50mmHWD</v>
      </c>
      <c r="C369" s="278" t="s">
        <v>1875</v>
      </c>
      <c r="D369" s="278" t="s">
        <v>1993</v>
      </c>
      <c r="E369" s="278" t="s">
        <v>507</v>
      </c>
      <c r="F369" s="278"/>
      <c r="G369" s="278" t="s">
        <v>15</v>
      </c>
      <c r="H369" s="310">
        <v>0.03</v>
      </c>
      <c r="I369" s="280">
        <f t="shared" si="78"/>
        <v>2.4186000000000001</v>
      </c>
      <c r="J369" s="281">
        <f t="shared" si="79"/>
        <v>2.7429000000000001</v>
      </c>
      <c r="K369" s="282">
        <f>IF(Notes!$B$9="Domestic",I369, IF(Notes!$B$9="Commercial",J369))*$K$238</f>
        <v>5.4858000000000002</v>
      </c>
      <c r="L369" s="283">
        <f>(SUM(O369:Q369)+(K369+SUM(M369:Q369))*(INDEX($U$238:$AB$238,MATCH(Notes!$C$16,$U$3:$AB$3,0))-100%))*$L$238</f>
        <v>24.14</v>
      </c>
      <c r="M369" s="286"/>
      <c r="N369" s="286"/>
      <c r="O369" s="285">
        <v>24.14</v>
      </c>
      <c r="P369" s="285"/>
      <c r="Q369" s="285"/>
      <c r="R369" s="278"/>
      <c r="S369" s="278"/>
      <c r="T369" s="278"/>
    </row>
    <row r="370" spans="1:20" s="305" customFormat="1" hidden="1" outlineLevel="2" x14ac:dyDescent="0.25">
      <c r="A370" s="278"/>
      <c r="B370" s="279" t="str">
        <f t="shared" si="77"/>
        <v>rafter/joist/lintel150x75mmHWD</v>
      </c>
      <c r="C370" s="278" t="s">
        <v>1875</v>
      </c>
      <c r="D370" s="278" t="s">
        <v>1963</v>
      </c>
      <c r="E370" s="278" t="s">
        <v>507</v>
      </c>
      <c r="F370" s="278"/>
      <c r="G370" s="278" t="s">
        <v>15</v>
      </c>
      <c r="H370" s="310">
        <v>0.03</v>
      </c>
      <c r="I370" s="280">
        <f t="shared" si="78"/>
        <v>2.4186000000000001</v>
      </c>
      <c r="J370" s="281">
        <f t="shared" si="79"/>
        <v>2.7429000000000001</v>
      </c>
      <c r="K370" s="282">
        <f>IF(Notes!$B$9="Domestic",I370, IF(Notes!$B$9="Commercial",J370))*$K$238</f>
        <v>5.4858000000000002</v>
      </c>
      <c r="L370" s="283">
        <f>(SUM(O370:Q370)+(K370+SUM(M370:Q370))*(INDEX($U$238:$AB$238,MATCH(Notes!$C$16,$U$3:$AB$3,0))-100%))*$L$238</f>
        <v>40.380000000000003</v>
      </c>
      <c r="M370" s="286"/>
      <c r="N370" s="286"/>
      <c r="O370" s="285">
        <v>40.380000000000003</v>
      </c>
      <c r="P370" s="285"/>
      <c r="Q370" s="285"/>
      <c r="R370" s="278"/>
      <c r="S370" s="278"/>
      <c r="T370" s="278"/>
    </row>
    <row r="371" spans="1:20" s="305" customFormat="1" hidden="1" outlineLevel="2" x14ac:dyDescent="0.25">
      <c r="A371" s="278"/>
      <c r="B371" s="279" t="str">
        <f t="shared" si="77"/>
        <v>rafter/joist/lintel175x50mmHWD</v>
      </c>
      <c r="C371" s="278" t="s">
        <v>1875</v>
      </c>
      <c r="D371" s="278" t="s">
        <v>1994</v>
      </c>
      <c r="E371" s="278" t="s">
        <v>507</v>
      </c>
      <c r="F371" s="278"/>
      <c r="G371" s="278" t="s">
        <v>15</v>
      </c>
      <c r="H371" s="310">
        <v>0.03</v>
      </c>
      <c r="I371" s="280">
        <f t="shared" si="78"/>
        <v>2.4186000000000001</v>
      </c>
      <c r="J371" s="281">
        <f t="shared" si="79"/>
        <v>2.7429000000000001</v>
      </c>
      <c r="K371" s="282">
        <f>IF(Notes!$B$9="Domestic",I371, IF(Notes!$B$9="Commercial",J371))*$K$238</f>
        <v>5.4858000000000002</v>
      </c>
      <c r="L371" s="283">
        <f>(SUM(O371:Q371)+(K371+SUM(M371:Q371))*(INDEX($U$238:$AB$238,MATCH(Notes!$C$16,$U$3:$AB$3,0))-100%))*$L$238</f>
        <v>31.37</v>
      </c>
      <c r="M371" s="286"/>
      <c r="N371" s="286"/>
      <c r="O371" s="285">
        <v>31.37</v>
      </c>
      <c r="P371" s="285"/>
      <c r="Q371" s="285"/>
      <c r="R371" s="278"/>
      <c r="S371" s="278"/>
      <c r="T371" s="278"/>
    </row>
    <row r="372" spans="1:20" s="305" customFormat="1" hidden="1" outlineLevel="2" x14ac:dyDescent="0.25">
      <c r="A372" s="278"/>
      <c r="B372" s="279" t="str">
        <f t="shared" si="77"/>
        <v>rafter/joist/lintel175x75mmHWD</v>
      </c>
      <c r="C372" s="278" t="s">
        <v>1875</v>
      </c>
      <c r="D372" s="278" t="s">
        <v>1995</v>
      </c>
      <c r="E372" s="278" t="s">
        <v>507</v>
      </c>
      <c r="F372" s="278"/>
      <c r="G372" s="278" t="s">
        <v>15</v>
      </c>
      <c r="H372" s="310">
        <v>0.03</v>
      </c>
      <c r="I372" s="280">
        <f t="shared" si="78"/>
        <v>2.4186000000000001</v>
      </c>
      <c r="J372" s="281">
        <f t="shared" si="79"/>
        <v>2.7429000000000001</v>
      </c>
      <c r="K372" s="282">
        <f>IF(Notes!$B$9="Domestic",I372, IF(Notes!$B$9="Commercial",J372))*$K$238</f>
        <v>5.4858000000000002</v>
      </c>
      <c r="L372" s="283">
        <f>(SUM(O372:Q372)+(K372+SUM(M372:Q372))*(INDEX($U$238:$AB$238,MATCH(Notes!$C$16,$U$3:$AB$3,0))-100%))*$L$238</f>
        <v>47.09</v>
      </c>
      <c r="M372" s="286"/>
      <c r="N372" s="286"/>
      <c r="O372" s="285">
        <v>47.09</v>
      </c>
      <c r="P372" s="285"/>
      <c r="Q372" s="285"/>
      <c r="R372" s="278"/>
      <c r="S372" s="278"/>
      <c r="T372" s="278"/>
    </row>
    <row r="373" spans="1:20" s="305" customFormat="1" hidden="1" outlineLevel="2" x14ac:dyDescent="0.25">
      <c r="A373" s="278"/>
      <c r="B373" s="279" t="str">
        <f t="shared" si="77"/>
        <v>rafter/joist/lintel200x25mmHWD</v>
      </c>
      <c r="C373" s="278" t="s">
        <v>1875</v>
      </c>
      <c r="D373" s="278" t="s">
        <v>1996</v>
      </c>
      <c r="E373" s="278" t="s">
        <v>507</v>
      </c>
      <c r="F373" s="278"/>
      <c r="G373" s="278" t="s">
        <v>15</v>
      </c>
      <c r="H373" s="310">
        <v>0.03</v>
      </c>
      <c r="I373" s="280">
        <f t="shared" si="78"/>
        <v>2.4186000000000001</v>
      </c>
      <c r="J373" s="281">
        <f t="shared" si="79"/>
        <v>2.7429000000000001</v>
      </c>
      <c r="K373" s="282">
        <f>IF(Notes!$B$9="Domestic",I373, IF(Notes!$B$9="Commercial",J373))*$K$238</f>
        <v>5.4858000000000002</v>
      </c>
      <c r="L373" s="283">
        <f>(SUM(O373:Q373)+(K373+SUM(M373:Q373))*(INDEX($U$238:$AB$238,MATCH(Notes!$C$16,$U$3:$AB$3,0))-100%))*$L$238</f>
        <v>18.02</v>
      </c>
      <c r="M373" s="286"/>
      <c r="N373" s="286"/>
      <c r="O373" s="285">
        <v>18.02</v>
      </c>
      <c r="P373" s="285"/>
      <c r="Q373" s="285"/>
      <c r="R373" s="278"/>
      <c r="S373" s="278"/>
      <c r="T373" s="278"/>
    </row>
    <row r="374" spans="1:20" s="305" customFormat="1" hidden="1" outlineLevel="2" x14ac:dyDescent="0.25">
      <c r="A374" s="278"/>
      <c r="B374" s="279" t="str">
        <f t="shared" si="77"/>
        <v>rafter/joist/lintel200x38mmHWD</v>
      </c>
      <c r="C374" s="278" t="s">
        <v>1875</v>
      </c>
      <c r="D374" s="278" t="s">
        <v>1997</v>
      </c>
      <c r="E374" s="278" t="s">
        <v>507</v>
      </c>
      <c r="F374" s="278"/>
      <c r="G374" s="278" t="s">
        <v>15</v>
      </c>
      <c r="H374" s="310">
        <v>0.03</v>
      </c>
      <c r="I374" s="280">
        <f t="shared" si="78"/>
        <v>2.4186000000000001</v>
      </c>
      <c r="J374" s="281">
        <f t="shared" si="79"/>
        <v>2.7429000000000001</v>
      </c>
      <c r="K374" s="282">
        <f>IF(Notes!$B$9="Domestic",I374, IF(Notes!$B$9="Commercial",J374))*$K$238</f>
        <v>5.4858000000000002</v>
      </c>
      <c r="L374" s="283">
        <f>(SUM(O374:Q374)+(K374+SUM(M374:Q374))*(INDEX($U$238:$AB$238,MATCH(Notes!$C$16,$U$3:$AB$3,0))-100%))*$L$238</f>
        <v>27.29</v>
      </c>
      <c r="M374" s="286"/>
      <c r="N374" s="286"/>
      <c r="O374" s="285">
        <v>27.29</v>
      </c>
      <c r="P374" s="285"/>
      <c r="Q374" s="285"/>
      <c r="R374" s="278"/>
      <c r="S374" s="278"/>
      <c r="T374" s="278"/>
    </row>
    <row r="375" spans="1:20" s="305" customFormat="1" hidden="1" outlineLevel="2" x14ac:dyDescent="0.25">
      <c r="A375" s="278"/>
      <c r="B375" s="279" t="str">
        <f t="shared" si="77"/>
        <v>rafter/joist/lintel200x50mmHWD</v>
      </c>
      <c r="C375" s="278" t="s">
        <v>1875</v>
      </c>
      <c r="D375" s="278" t="s">
        <v>1998</v>
      </c>
      <c r="E375" s="278" t="s">
        <v>507</v>
      </c>
      <c r="F375" s="278"/>
      <c r="G375" s="278" t="s">
        <v>15</v>
      </c>
      <c r="H375" s="310">
        <v>0.04</v>
      </c>
      <c r="I375" s="280">
        <f t="shared" si="78"/>
        <v>3.2248000000000001</v>
      </c>
      <c r="J375" s="281">
        <f t="shared" si="79"/>
        <v>3.6572000000000005</v>
      </c>
      <c r="K375" s="282">
        <f>IF(Notes!$B$9="Domestic",I375, IF(Notes!$B$9="Commercial",J375))*$K$238</f>
        <v>7.3144000000000009</v>
      </c>
      <c r="L375" s="283">
        <f>(SUM(O375:Q375)+(K375+SUM(M375:Q375))*(INDEX($U$238:$AB$238,MATCH(Notes!$C$16,$U$3:$AB$3,0))-100%))*$L$238</f>
        <v>35.869999999999997</v>
      </c>
      <c r="M375" s="286"/>
      <c r="N375" s="286"/>
      <c r="O375" s="285">
        <v>35.869999999999997</v>
      </c>
      <c r="P375" s="285"/>
      <c r="Q375" s="285"/>
      <c r="R375" s="278"/>
      <c r="S375" s="278"/>
      <c r="T375" s="278"/>
    </row>
    <row r="376" spans="1:20" s="305" customFormat="1" hidden="1" outlineLevel="2" x14ac:dyDescent="0.25">
      <c r="A376" s="278"/>
      <c r="B376" s="279" t="str">
        <f t="shared" si="77"/>
        <v>rafter/joist/lintel200x75mmHWD</v>
      </c>
      <c r="C376" s="278" t="s">
        <v>1875</v>
      </c>
      <c r="D376" s="278" t="s">
        <v>1999</v>
      </c>
      <c r="E376" s="278" t="s">
        <v>507</v>
      </c>
      <c r="F376" s="278"/>
      <c r="G376" s="278" t="s">
        <v>15</v>
      </c>
      <c r="H376" s="310">
        <v>0.04</v>
      </c>
      <c r="I376" s="280">
        <f t="shared" si="78"/>
        <v>3.2248000000000001</v>
      </c>
      <c r="J376" s="281">
        <f t="shared" si="79"/>
        <v>3.6572000000000005</v>
      </c>
      <c r="K376" s="282">
        <f>IF(Notes!$B$9="Domestic",I376, IF(Notes!$B$9="Commercial",J376))*$K$238</f>
        <v>7.3144000000000009</v>
      </c>
      <c r="L376" s="283">
        <f>(SUM(O376:Q376)+(K376+SUM(M376:Q376))*(INDEX($U$238:$AB$238,MATCH(Notes!$C$16,$U$3:$AB$3,0))-100%))*$L$238</f>
        <v>61.37</v>
      </c>
      <c r="M376" s="286"/>
      <c r="N376" s="286"/>
      <c r="O376" s="285">
        <v>61.37</v>
      </c>
      <c r="P376" s="285"/>
      <c r="Q376" s="285"/>
      <c r="R376" s="278"/>
      <c r="S376" s="278"/>
      <c r="T376" s="278"/>
    </row>
    <row r="377" spans="1:20" s="305" customFormat="1" hidden="1" outlineLevel="2" x14ac:dyDescent="0.25">
      <c r="A377" s="278"/>
      <c r="B377" s="279" t="str">
        <f t="shared" si="77"/>
        <v>rafter/joist/lintel250x38mmHWD</v>
      </c>
      <c r="C377" s="278" t="s">
        <v>1875</v>
      </c>
      <c r="D377" s="278" t="s">
        <v>2000</v>
      </c>
      <c r="E377" s="278" t="s">
        <v>507</v>
      </c>
      <c r="F377" s="278"/>
      <c r="G377" s="278" t="s">
        <v>15</v>
      </c>
      <c r="H377" s="310">
        <v>0.04</v>
      </c>
      <c r="I377" s="280">
        <f t="shared" si="78"/>
        <v>3.2248000000000001</v>
      </c>
      <c r="J377" s="281">
        <f t="shared" si="79"/>
        <v>3.6572000000000005</v>
      </c>
      <c r="K377" s="282">
        <f>IF(Notes!$B$9="Domestic",I377, IF(Notes!$B$9="Commercial",J377))*$K$238</f>
        <v>7.3144000000000009</v>
      </c>
      <c r="L377" s="283">
        <f>(SUM(O377:Q377)+(K377+SUM(M377:Q377))*(INDEX($U$238:$AB$238,MATCH(Notes!$C$16,$U$3:$AB$3,0))-100%))*$L$238</f>
        <v>42.76</v>
      </c>
      <c r="M377" s="286"/>
      <c r="N377" s="286"/>
      <c r="O377" s="285">
        <v>42.76</v>
      </c>
      <c r="P377" s="285"/>
      <c r="Q377" s="285"/>
      <c r="R377" s="278"/>
      <c r="S377" s="278"/>
      <c r="T377" s="278"/>
    </row>
    <row r="378" spans="1:20" s="305" customFormat="1" hidden="1" outlineLevel="2" x14ac:dyDescent="0.25">
      <c r="A378" s="278"/>
      <c r="B378" s="279" t="str">
        <f t="shared" si="77"/>
        <v>rafter/joist/lintel250x50mmHWD</v>
      </c>
      <c r="C378" s="278" t="s">
        <v>1875</v>
      </c>
      <c r="D378" s="278" t="s">
        <v>2001</v>
      </c>
      <c r="E378" s="278" t="s">
        <v>507</v>
      </c>
      <c r="F378" s="278"/>
      <c r="G378" s="278" t="s">
        <v>15</v>
      </c>
      <c r="H378" s="310">
        <v>0.04</v>
      </c>
      <c r="I378" s="280">
        <f t="shared" si="78"/>
        <v>3.2248000000000001</v>
      </c>
      <c r="J378" s="281">
        <f t="shared" si="79"/>
        <v>3.6572000000000005</v>
      </c>
      <c r="K378" s="282">
        <f>IF(Notes!$B$9="Domestic",I378, IF(Notes!$B$9="Commercial",J378))*$K$238</f>
        <v>7.3144000000000009</v>
      </c>
      <c r="L378" s="283">
        <f>(SUM(O378:Q378)+(K378+SUM(M378:Q378))*(INDEX($U$238:$AB$238,MATCH(Notes!$C$16,$U$3:$AB$3,0))-100%))*$L$238</f>
        <v>56.95</v>
      </c>
      <c r="M378" s="286"/>
      <c r="N378" s="286"/>
      <c r="O378" s="285">
        <v>56.95</v>
      </c>
      <c r="P378" s="285"/>
      <c r="Q378" s="285"/>
      <c r="R378" s="278"/>
      <c r="S378" s="278"/>
      <c r="T378" s="278"/>
    </row>
    <row r="379" spans="1:20" s="305" customFormat="1" hidden="1" outlineLevel="2" x14ac:dyDescent="0.25">
      <c r="A379" s="278"/>
      <c r="B379" s="279" t="str">
        <f t="shared" si="77"/>
        <v>rafter/joist/lintel250x75mmHWD</v>
      </c>
      <c r="C379" s="278" t="s">
        <v>1875</v>
      </c>
      <c r="D379" s="278" t="s">
        <v>2002</v>
      </c>
      <c r="E379" s="278" t="s">
        <v>507</v>
      </c>
      <c r="F379" s="278"/>
      <c r="G379" s="278" t="s">
        <v>15</v>
      </c>
      <c r="H379" s="310">
        <v>0.04</v>
      </c>
      <c r="I379" s="280">
        <f t="shared" si="78"/>
        <v>3.2248000000000001</v>
      </c>
      <c r="J379" s="281">
        <f t="shared" si="79"/>
        <v>3.6572000000000005</v>
      </c>
      <c r="K379" s="282">
        <f>IF(Notes!$B$9="Domestic",I379, IF(Notes!$B$9="Commercial",J379))*$K$238</f>
        <v>7.3144000000000009</v>
      </c>
      <c r="L379" s="283">
        <f>(SUM(O379:Q379)+(K379+SUM(M379:Q379))*(INDEX($U$238:$AB$238,MATCH(Notes!$C$16,$U$3:$AB$3,0))-100%))*$L$238</f>
        <v>84.92</v>
      </c>
      <c r="M379" s="286"/>
      <c r="N379" s="286"/>
      <c r="O379" s="285">
        <v>84.92</v>
      </c>
      <c r="P379" s="285"/>
      <c r="Q379" s="285"/>
      <c r="R379" s="278"/>
      <c r="S379" s="278"/>
      <c r="T379" s="278"/>
    </row>
    <row r="380" spans="1:20" s="305" customFormat="1" hidden="1" outlineLevel="2" x14ac:dyDescent="0.25">
      <c r="A380" s="278"/>
      <c r="B380" s="279" t="str">
        <f t="shared" si="77"/>
        <v>rafter/joist/lintel300x50mmHWD</v>
      </c>
      <c r="C380" s="278" t="s">
        <v>1875</v>
      </c>
      <c r="D380" s="278" t="s">
        <v>2003</v>
      </c>
      <c r="E380" s="278" t="s">
        <v>507</v>
      </c>
      <c r="F380" s="278"/>
      <c r="G380" s="278" t="s">
        <v>15</v>
      </c>
      <c r="H380" s="310">
        <v>0.05</v>
      </c>
      <c r="I380" s="280">
        <f t="shared" si="78"/>
        <v>4.0310000000000006</v>
      </c>
      <c r="J380" s="281">
        <f t="shared" si="79"/>
        <v>4.5715000000000003</v>
      </c>
      <c r="K380" s="282">
        <f>IF(Notes!$B$9="Domestic",I380, IF(Notes!$B$9="Commercial",J380))*$K$238</f>
        <v>9.1430000000000007</v>
      </c>
      <c r="L380" s="283">
        <f>(SUM(O380:Q380)+(K380+SUM(M380:Q380))*(INDEX($U$238:$AB$238,MATCH(Notes!$C$16,$U$3:$AB$3,0))-100%))*$L$238</f>
        <v>81.349999999999994</v>
      </c>
      <c r="M380" s="286"/>
      <c r="N380" s="286"/>
      <c r="O380" s="285">
        <v>81.349999999999994</v>
      </c>
      <c r="P380" s="285"/>
      <c r="Q380" s="285"/>
      <c r="R380" s="278"/>
      <c r="S380" s="278"/>
      <c r="T380" s="278"/>
    </row>
    <row r="381" spans="1:20" s="305" customFormat="1" hidden="1" outlineLevel="2" x14ac:dyDescent="0.25">
      <c r="A381" s="278"/>
      <c r="B381" s="279" t="str">
        <f t="shared" si="77"/>
        <v>rafter/joist/lintel300x75mmHWD</v>
      </c>
      <c r="C381" s="278" t="s">
        <v>1875</v>
      </c>
      <c r="D381" s="278" t="s">
        <v>1970</v>
      </c>
      <c r="E381" s="278" t="s">
        <v>507</v>
      </c>
      <c r="F381" s="278"/>
      <c r="G381" s="278" t="s">
        <v>15</v>
      </c>
      <c r="H381" s="310">
        <v>0.05</v>
      </c>
      <c r="I381" s="280">
        <f t="shared" si="78"/>
        <v>4.0310000000000006</v>
      </c>
      <c r="J381" s="281">
        <f t="shared" si="79"/>
        <v>4.5715000000000003</v>
      </c>
      <c r="K381" s="282">
        <f>IF(Notes!$B$9="Domestic",I381, IF(Notes!$B$9="Commercial",J381))*$K$238</f>
        <v>9.1430000000000007</v>
      </c>
      <c r="L381" s="283">
        <f>(SUM(O381:Q381)+(K381+SUM(M381:Q381))*(INDEX($U$238:$AB$238,MATCH(Notes!$C$16,$U$3:$AB$3,0))-100%))*$L$238</f>
        <v>93.55</v>
      </c>
      <c r="M381" s="286"/>
      <c r="N381" s="286"/>
      <c r="O381" s="285">
        <v>93.55</v>
      </c>
      <c r="P381" s="285"/>
      <c r="Q381" s="285"/>
      <c r="R381" s="278"/>
      <c r="S381" s="278"/>
      <c r="T381" s="278"/>
    </row>
    <row r="382" spans="1:20" s="305" customFormat="1" hidden="1" outlineLevel="2" x14ac:dyDescent="0.25">
      <c r="A382" s="278"/>
      <c r="B382" s="279" t="str">
        <f t="shared" si="77"/>
        <v>rafter/joist/lintel50x25mmHWDx2</v>
      </c>
      <c r="C382" s="278" t="s">
        <v>1875</v>
      </c>
      <c r="D382" s="278" t="s">
        <v>1978</v>
      </c>
      <c r="E382" s="278" t="s">
        <v>508</v>
      </c>
      <c r="F382" s="278"/>
      <c r="G382" s="278" t="s">
        <v>15</v>
      </c>
      <c r="H382" s="309">
        <f>H353*1.5</f>
        <v>4.4999999999999998E-2</v>
      </c>
      <c r="I382" s="280">
        <f t="shared" si="78"/>
        <v>3.6278999999999999</v>
      </c>
      <c r="J382" s="281">
        <f t="shared" si="79"/>
        <v>4.11435</v>
      </c>
      <c r="K382" s="282">
        <f>IF(Notes!$B$9="Domestic",I382, IF(Notes!$B$9="Commercial",J382))*$K$238</f>
        <v>8.2286999999999999</v>
      </c>
      <c r="L382" s="283">
        <f>(SUM(O382:Q382)+(K382+SUM(M382:Q382))*(INDEX($U$238:$AB$238,MATCH(Notes!$C$16,$U$3:$AB$3,0))-100%))*$L$238</f>
        <v>7.14</v>
      </c>
      <c r="M382" s="286"/>
      <c r="N382" s="286"/>
      <c r="O382" s="311">
        <f>O353*2</f>
        <v>7.14</v>
      </c>
      <c r="P382" s="285"/>
      <c r="Q382" s="285"/>
      <c r="R382" s="278"/>
      <c r="S382" s="278"/>
      <c r="T382" s="278"/>
    </row>
    <row r="383" spans="1:20" s="305" customFormat="1" hidden="1" outlineLevel="2" x14ac:dyDescent="0.25">
      <c r="A383" s="278"/>
      <c r="B383" s="279" t="str">
        <f t="shared" si="77"/>
        <v>rafter/joist/lintel50x38mmHWDx2</v>
      </c>
      <c r="C383" s="278" t="s">
        <v>1875</v>
      </c>
      <c r="D383" s="278" t="s">
        <v>1979</v>
      </c>
      <c r="E383" s="278" t="s">
        <v>508</v>
      </c>
      <c r="F383" s="278"/>
      <c r="G383" s="278" t="s">
        <v>15</v>
      </c>
      <c r="H383" s="309">
        <f t="shared" ref="H383:H410" si="83">H354*1.5</f>
        <v>4.4999999999999998E-2</v>
      </c>
      <c r="I383" s="280">
        <f t="shared" si="78"/>
        <v>3.6278999999999999</v>
      </c>
      <c r="J383" s="281">
        <f t="shared" si="79"/>
        <v>4.11435</v>
      </c>
      <c r="K383" s="282">
        <f>IF(Notes!$B$9="Domestic",I383, IF(Notes!$B$9="Commercial",J383))*$K$238</f>
        <v>8.2286999999999999</v>
      </c>
      <c r="L383" s="283">
        <f>(SUM(O383:Q383)+(K383+SUM(M383:Q383))*(INDEX($U$238:$AB$238,MATCH(Notes!$C$16,$U$3:$AB$3,0))-100%))*$L$238</f>
        <v>10.88</v>
      </c>
      <c r="M383" s="286"/>
      <c r="N383" s="286"/>
      <c r="O383" s="311">
        <f t="shared" ref="O383:O410" si="84">O354*2</f>
        <v>10.88</v>
      </c>
      <c r="P383" s="285"/>
      <c r="Q383" s="285"/>
      <c r="R383" s="278"/>
      <c r="S383" s="278"/>
      <c r="T383" s="278"/>
    </row>
    <row r="384" spans="1:20" s="305" customFormat="1" hidden="1" outlineLevel="2" x14ac:dyDescent="0.25">
      <c r="A384" s="278"/>
      <c r="B384" s="279" t="str">
        <f t="shared" si="77"/>
        <v>rafter/joist/lintel75x25mmHWDx2</v>
      </c>
      <c r="C384" s="278" t="s">
        <v>1875</v>
      </c>
      <c r="D384" s="278" t="s">
        <v>1980</v>
      </c>
      <c r="E384" s="278" t="s">
        <v>508</v>
      </c>
      <c r="F384" s="278"/>
      <c r="G384" s="278" t="s">
        <v>15</v>
      </c>
      <c r="H384" s="309">
        <f t="shared" si="83"/>
        <v>4.4999999999999998E-2</v>
      </c>
      <c r="I384" s="280">
        <f t="shared" si="78"/>
        <v>3.6278999999999999</v>
      </c>
      <c r="J384" s="281">
        <f t="shared" si="79"/>
        <v>4.11435</v>
      </c>
      <c r="K384" s="282">
        <f>IF(Notes!$B$9="Domestic",I384, IF(Notes!$B$9="Commercial",J384))*$K$238</f>
        <v>8.2286999999999999</v>
      </c>
      <c r="L384" s="283">
        <f>(SUM(O384:Q384)+(K384+SUM(M384:Q384))*(INDEX($U$238:$AB$238,MATCH(Notes!$C$16,$U$3:$AB$3,0))-100%))*$L$238</f>
        <v>10.72</v>
      </c>
      <c r="M384" s="286"/>
      <c r="N384" s="286"/>
      <c r="O384" s="311">
        <f t="shared" si="84"/>
        <v>10.72</v>
      </c>
      <c r="P384" s="285"/>
      <c r="Q384" s="285"/>
      <c r="R384" s="278"/>
      <c r="S384" s="278"/>
      <c r="T384" s="278"/>
    </row>
    <row r="385" spans="1:20" s="305" customFormat="1" hidden="1" outlineLevel="2" x14ac:dyDescent="0.25">
      <c r="A385" s="278"/>
      <c r="B385" s="279" t="str">
        <f t="shared" si="77"/>
        <v>rafter/joist/lintel75x38mmHWDx2</v>
      </c>
      <c r="C385" s="278" t="s">
        <v>1875</v>
      </c>
      <c r="D385" s="278" t="s">
        <v>1981</v>
      </c>
      <c r="E385" s="278" t="s">
        <v>508</v>
      </c>
      <c r="F385" s="278"/>
      <c r="G385" s="278" t="s">
        <v>15</v>
      </c>
      <c r="H385" s="309">
        <f t="shared" si="83"/>
        <v>4.4999999999999998E-2</v>
      </c>
      <c r="I385" s="280">
        <f t="shared" si="78"/>
        <v>3.6278999999999999</v>
      </c>
      <c r="J385" s="281">
        <f t="shared" si="79"/>
        <v>4.11435</v>
      </c>
      <c r="K385" s="282">
        <f>IF(Notes!$B$9="Domestic",I385, IF(Notes!$B$9="Commercial",J385))*$K$238</f>
        <v>8.2286999999999999</v>
      </c>
      <c r="L385" s="283">
        <f>(SUM(O385:Q385)+(K385+SUM(M385:Q385))*(INDEX($U$238:$AB$238,MATCH(Notes!$C$16,$U$3:$AB$3,0))-100%))*$L$238</f>
        <v>16.32</v>
      </c>
      <c r="M385" s="286"/>
      <c r="N385" s="286"/>
      <c r="O385" s="311">
        <f t="shared" si="84"/>
        <v>16.32</v>
      </c>
      <c r="P385" s="285"/>
      <c r="Q385" s="285"/>
      <c r="R385" s="278"/>
      <c r="S385" s="278"/>
      <c r="T385" s="278"/>
    </row>
    <row r="386" spans="1:20" s="305" customFormat="1" hidden="1" outlineLevel="2" x14ac:dyDescent="0.25">
      <c r="A386" s="278"/>
      <c r="B386" s="279" t="str">
        <f t="shared" si="77"/>
        <v>rafter/joist/lintel75x50mmHWDx2</v>
      </c>
      <c r="C386" s="278" t="s">
        <v>1875</v>
      </c>
      <c r="D386" s="278" t="s">
        <v>1982</v>
      </c>
      <c r="E386" s="278" t="s">
        <v>508</v>
      </c>
      <c r="F386" s="278"/>
      <c r="G386" s="278" t="s">
        <v>15</v>
      </c>
      <c r="H386" s="309">
        <f t="shared" si="83"/>
        <v>4.4999999999999998E-2</v>
      </c>
      <c r="I386" s="280">
        <f t="shared" si="78"/>
        <v>3.6278999999999999</v>
      </c>
      <c r="J386" s="281">
        <f t="shared" si="79"/>
        <v>4.11435</v>
      </c>
      <c r="K386" s="282">
        <f>IF(Notes!$B$9="Domestic",I386, IF(Notes!$B$9="Commercial",J386))*$K$238</f>
        <v>8.2286999999999999</v>
      </c>
      <c r="L386" s="283">
        <f>(SUM(O386:Q386)+(K386+SUM(M386:Q386))*(INDEX($U$238:$AB$238,MATCH(Notes!$C$16,$U$3:$AB$3,0))-100%))*$L$238</f>
        <v>21.26</v>
      </c>
      <c r="M386" s="286"/>
      <c r="N386" s="286"/>
      <c r="O386" s="311">
        <f t="shared" si="84"/>
        <v>21.26</v>
      </c>
      <c r="P386" s="285"/>
      <c r="Q386" s="285"/>
      <c r="R386" s="278"/>
      <c r="S386" s="278"/>
      <c r="T386" s="278"/>
    </row>
    <row r="387" spans="1:20" s="305" customFormat="1" hidden="1" outlineLevel="2" x14ac:dyDescent="0.25">
      <c r="A387" s="278"/>
      <c r="B387" s="279" t="str">
        <f t="shared" si="77"/>
        <v>rafter/joist/lintel75x75mmHWDx2</v>
      </c>
      <c r="C387" s="278" t="s">
        <v>1875</v>
      </c>
      <c r="D387" s="278" t="s">
        <v>1907</v>
      </c>
      <c r="E387" s="278" t="s">
        <v>508</v>
      </c>
      <c r="F387" s="278"/>
      <c r="G387" s="278" t="s">
        <v>15</v>
      </c>
      <c r="H387" s="309">
        <f t="shared" si="83"/>
        <v>4.4999999999999998E-2</v>
      </c>
      <c r="I387" s="280">
        <f t="shared" si="78"/>
        <v>3.6278999999999999</v>
      </c>
      <c r="J387" s="281">
        <f t="shared" si="79"/>
        <v>4.11435</v>
      </c>
      <c r="K387" s="282">
        <f>IF(Notes!$B$9="Domestic",I387, IF(Notes!$B$9="Commercial",J387))*$K$238</f>
        <v>8.2286999999999999</v>
      </c>
      <c r="L387" s="283">
        <f>(SUM(O387:Q387)+(K387+SUM(M387:Q387))*(INDEX($U$238:$AB$238,MATCH(Notes!$C$16,$U$3:$AB$3,0))-100%))*$L$238</f>
        <v>40.46</v>
      </c>
      <c r="M387" s="286"/>
      <c r="N387" s="286"/>
      <c r="O387" s="311">
        <f t="shared" si="84"/>
        <v>40.46</v>
      </c>
      <c r="P387" s="285"/>
      <c r="Q387" s="285"/>
      <c r="R387" s="278"/>
      <c r="S387" s="278"/>
      <c r="T387" s="278"/>
    </row>
    <row r="388" spans="1:20" s="305" customFormat="1" hidden="1" outlineLevel="2" x14ac:dyDescent="0.25">
      <c r="A388" s="278"/>
      <c r="B388" s="279" t="str">
        <f t="shared" si="77"/>
        <v>rafter/joist/lintel100x25mmHWDx2</v>
      </c>
      <c r="C388" s="278" t="s">
        <v>1875</v>
      </c>
      <c r="D388" s="278" t="s">
        <v>1983</v>
      </c>
      <c r="E388" s="278" t="s">
        <v>508</v>
      </c>
      <c r="F388" s="278"/>
      <c r="G388" s="278" t="s">
        <v>15</v>
      </c>
      <c r="H388" s="309">
        <f t="shared" si="83"/>
        <v>4.4999999999999998E-2</v>
      </c>
      <c r="I388" s="280">
        <f t="shared" si="78"/>
        <v>3.6278999999999999</v>
      </c>
      <c r="J388" s="281">
        <f t="shared" si="79"/>
        <v>4.11435</v>
      </c>
      <c r="K388" s="282">
        <f>IF(Notes!$B$9="Domestic",I388, IF(Notes!$B$9="Commercial",J388))*$K$238</f>
        <v>8.2286999999999999</v>
      </c>
      <c r="L388" s="283">
        <f>(SUM(O388:Q388)+(K388+SUM(M388:Q388))*(INDEX($U$238:$AB$238,MATCH(Notes!$C$16,$U$3:$AB$3,0))-100%))*$L$238</f>
        <v>14.28</v>
      </c>
      <c r="M388" s="286"/>
      <c r="N388" s="286"/>
      <c r="O388" s="311">
        <f t="shared" si="84"/>
        <v>14.28</v>
      </c>
      <c r="P388" s="285"/>
      <c r="Q388" s="285"/>
      <c r="R388" s="278"/>
      <c r="S388" s="278"/>
      <c r="T388" s="278"/>
    </row>
    <row r="389" spans="1:20" s="305" customFormat="1" hidden="1" outlineLevel="2" x14ac:dyDescent="0.25">
      <c r="A389" s="278"/>
      <c r="B389" s="279" t="str">
        <f t="shared" si="77"/>
        <v>rafter/joist/lintel100x38mmHWDx2</v>
      </c>
      <c r="C389" s="278" t="s">
        <v>1875</v>
      </c>
      <c r="D389" s="278" t="s">
        <v>1984</v>
      </c>
      <c r="E389" s="278" t="s">
        <v>508</v>
      </c>
      <c r="F389" s="278"/>
      <c r="G389" s="278" t="s">
        <v>15</v>
      </c>
      <c r="H389" s="309">
        <f t="shared" si="83"/>
        <v>4.4999999999999998E-2</v>
      </c>
      <c r="I389" s="280">
        <f t="shared" si="78"/>
        <v>3.6278999999999999</v>
      </c>
      <c r="J389" s="281">
        <f t="shared" si="79"/>
        <v>4.11435</v>
      </c>
      <c r="K389" s="282">
        <f>IF(Notes!$B$9="Domestic",I389, IF(Notes!$B$9="Commercial",J389))*$K$238</f>
        <v>8.2286999999999999</v>
      </c>
      <c r="L389" s="283">
        <f>(SUM(O389:Q389)+(K389+SUM(M389:Q389))*(INDEX($U$238:$AB$238,MATCH(Notes!$C$16,$U$3:$AB$3,0))-100%))*$L$238</f>
        <v>21.76</v>
      </c>
      <c r="M389" s="286"/>
      <c r="N389" s="286"/>
      <c r="O389" s="311">
        <f t="shared" si="84"/>
        <v>21.76</v>
      </c>
      <c r="P389" s="285"/>
      <c r="Q389" s="285"/>
      <c r="R389" s="278"/>
      <c r="S389" s="278"/>
      <c r="T389" s="278"/>
    </row>
    <row r="390" spans="1:20" s="305" customFormat="1" hidden="1" outlineLevel="2" x14ac:dyDescent="0.25">
      <c r="A390" s="278"/>
      <c r="B390" s="279" t="str">
        <f t="shared" si="77"/>
        <v>rafter/joist/lintel100x50mmHWDx2</v>
      </c>
      <c r="C390" s="278" t="s">
        <v>1875</v>
      </c>
      <c r="D390" s="278" t="s">
        <v>1985</v>
      </c>
      <c r="E390" s="278" t="s">
        <v>508</v>
      </c>
      <c r="F390" s="278"/>
      <c r="G390" s="278" t="s">
        <v>15</v>
      </c>
      <c r="H390" s="309">
        <f t="shared" si="83"/>
        <v>4.4999999999999998E-2</v>
      </c>
      <c r="I390" s="280">
        <f t="shared" si="78"/>
        <v>3.6278999999999999</v>
      </c>
      <c r="J390" s="281">
        <f t="shared" si="79"/>
        <v>4.11435</v>
      </c>
      <c r="K390" s="282">
        <f>IF(Notes!$B$9="Domestic",I390, IF(Notes!$B$9="Commercial",J390))*$K$238</f>
        <v>8.2286999999999999</v>
      </c>
      <c r="L390" s="283">
        <f>(SUM(O390:Q390)+(K390+SUM(M390:Q390))*(INDEX($U$238:$AB$238,MATCH(Notes!$C$16,$U$3:$AB$3,0))-100%))*$L$238</f>
        <v>28.56</v>
      </c>
      <c r="M390" s="286"/>
      <c r="N390" s="286"/>
      <c r="O390" s="311">
        <f t="shared" si="84"/>
        <v>28.56</v>
      </c>
      <c r="P390" s="285"/>
      <c r="Q390" s="285"/>
      <c r="R390" s="278"/>
      <c r="S390" s="278"/>
      <c r="T390" s="278"/>
    </row>
    <row r="391" spans="1:20" s="305" customFormat="1" hidden="1" outlineLevel="2" x14ac:dyDescent="0.25">
      <c r="A391" s="278"/>
      <c r="B391" s="279" t="str">
        <f t="shared" si="77"/>
        <v>rafter/joist/lintel100x75mmHWDx2</v>
      </c>
      <c r="C391" s="278" t="s">
        <v>1875</v>
      </c>
      <c r="D391" s="278" t="s">
        <v>1986</v>
      </c>
      <c r="E391" s="278" t="s">
        <v>508</v>
      </c>
      <c r="F391" s="278"/>
      <c r="G391" s="278" t="s">
        <v>15</v>
      </c>
      <c r="H391" s="309">
        <f t="shared" si="83"/>
        <v>4.4999999999999998E-2</v>
      </c>
      <c r="I391" s="280">
        <f t="shared" si="78"/>
        <v>3.6278999999999999</v>
      </c>
      <c r="J391" s="281">
        <f t="shared" si="79"/>
        <v>4.11435</v>
      </c>
      <c r="K391" s="282">
        <f>IF(Notes!$B$9="Domestic",I391, IF(Notes!$B$9="Commercial",J391))*$K$238</f>
        <v>8.2286999999999999</v>
      </c>
      <c r="L391" s="283">
        <f>(SUM(O391:Q391)+(K391+SUM(M391:Q391))*(INDEX($U$238:$AB$238,MATCH(Notes!$C$16,$U$3:$AB$3,0))-100%))*$L$238</f>
        <v>53.9</v>
      </c>
      <c r="M391" s="286"/>
      <c r="N391" s="286"/>
      <c r="O391" s="311">
        <f t="shared" si="84"/>
        <v>53.9</v>
      </c>
      <c r="P391" s="285"/>
      <c r="Q391" s="285"/>
      <c r="R391" s="278"/>
      <c r="S391" s="278"/>
      <c r="T391" s="278"/>
    </row>
    <row r="392" spans="1:20" s="305" customFormat="1" hidden="1" outlineLevel="2" x14ac:dyDescent="0.25">
      <c r="A392" s="278"/>
      <c r="B392" s="279" t="str">
        <f t="shared" si="77"/>
        <v>rafter/joist/lintel125x25mmHWDx2</v>
      </c>
      <c r="C392" s="278" t="s">
        <v>1875</v>
      </c>
      <c r="D392" s="278" t="s">
        <v>1987</v>
      </c>
      <c r="E392" s="278" t="s">
        <v>508</v>
      </c>
      <c r="F392" s="278"/>
      <c r="G392" s="278" t="s">
        <v>15</v>
      </c>
      <c r="H392" s="309">
        <f t="shared" si="83"/>
        <v>4.4999999999999998E-2</v>
      </c>
      <c r="I392" s="280">
        <f t="shared" si="78"/>
        <v>3.6278999999999999</v>
      </c>
      <c r="J392" s="281">
        <f t="shared" si="79"/>
        <v>4.11435</v>
      </c>
      <c r="K392" s="282">
        <f>IF(Notes!$B$9="Domestic",I392, IF(Notes!$B$9="Commercial",J392))*$K$238</f>
        <v>8.2286999999999999</v>
      </c>
      <c r="L392" s="283">
        <f>(SUM(O392:Q392)+(K392+SUM(M392:Q392))*(INDEX($U$238:$AB$238,MATCH(Notes!$C$16,$U$3:$AB$3,0))-100%))*$L$238</f>
        <v>20.239999999999998</v>
      </c>
      <c r="M392" s="286"/>
      <c r="N392" s="286"/>
      <c r="O392" s="311">
        <f t="shared" si="84"/>
        <v>20.239999999999998</v>
      </c>
      <c r="P392" s="285"/>
      <c r="Q392" s="285"/>
      <c r="R392" s="278"/>
      <c r="S392" s="278"/>
      <c r="T392" s="278"/>
    </row>
    <row r="393" spans="1:20" s="305" customFormat="1" hidden="1" outlineLevel="2" x14ac:dyDescent="0.25">
      <c r="A393" s="278"/>
      <c r="B393" s="279" t="str">
        <f t="shared" si="77"/>
        <v>rafter/joist/lintel125x38mmHWDx2</v>
      </c>
      <c r="C393" s="278" t="s">
        <v>1875</v>
      </c>
      <c r="D393" s="278" t="s">
        <v>1988</v>
      </c>
      <c r="E393" s="278" t="s">
        <v>508</v>
      </c>
      <c r="F393" s="278"/>
      <c r="G393" s="278" t="s">
        <v>15</v>
      </c>
      <c r="H393" s="309">
        <f t="shared" si="83"/>
        <v>4.4999999999999998E-2</v>
      </c>
      <c r="I393" s="280">
        <f t="shared" si="78"/>
        <v>3.6278999999999999</v>
      </c>
      <c r="J393" s="281">
        <f t="shared" si="79"/>
        <v>4.11435</v>
      </c>
      <c r="K393" s="282">
        <f>IF(Notes!$B$9="Domestic",I393, IF(Notes!$B$9="Commercial",J393))*$K$238</f>
        <v>8.2286999999999999</v>
      </c>
      <c r="L393" s="283">
        <f>(SUM(O393:Q393)+(K393+SUM(M393:Q393))*(INDEX($U$238:$AB$238,MATCH(Notes!$C$16,$U$3:$AB$3,0))-100%))*$L$238</f>
        <v>30.6</v>
      </c>
      <c r="M393" s="286"/>
      <c r="N393" s="286"/>
      <c r="O393" s="311">
        <f t="shared" si="84"/>
        <v>30.6</v>
      </c>
      <c r="P393" s="285"/>
      <c r="Q393" s="285"/>
      <c r="R393" s="278"/>
      <c r="S393" s="278"/>
      <c r="T393" s="278"/>
    </row>
    <row r="394" spans="1:20" s="305" customFormat="1" hidden="1" outlineLevel="2" x14ac:dyDescent="0.25">
      <c r="A394" s="278"/>
      <c r="B394" s="279" t="str">
        <f t="shared" si="77"/>
        <v>rafter/joist/lintel125x50mmHWDx2</v>
      </c>
      <c r="C394" s="278" t="s">
        <v>1875</v>
      </c>
      <c r="D394" s="278" t="s">
        <v>1989</v>
      </c>
      <c r="E394" s="278" t="s">
        <v>508</v>
      </c>
      <c r="F394" s="278"/>
      <c r="G394" s="278" t="s">
        <v>15</v>
      </c>
      <c r="H394" s="309">
        <f t="shared" si="83"/>
        <v>4.4999999999999998E-2</v>
      </c>
      <c r="I394" s="280">
        <f t="shared" si="78"/>
        <v>3.6278999999999999</v>
      </c>
      <c r="J394" s="281">
        <f t="shared" si="79"/>
        <v>4.11435</v>
      </c>
      <c r="K394" s="282">
        <f>IF(Notes!$B$9="Domestic",I394, IF(Notes!$B$9="Commercial",J394))*$K$238</f>
        <v>8.2286999999999999</v>
      </c>
      <c r="L394" s="283">
        <f>(SUM(O394:Q394)+(K394+SUM(M394:Q394))*(INDEX($U$238:$AB$238,MATCH(Notes!$C$16,$U$3:$AB$3,0))-100%))*$L$238</f>
        <v>40.299999999999997</v>
      </c>
      <c r="M394" s="286"/>
      <c r="N394" s="286"/>
      <c r="O394" s="311">
        <f t="shared" si="84"/>
        <v>40.299999999999997</v>
      </c>
      <c r="P394" s="285"/>
      <c r="Q394" s="285"/>
      <c r="R394" s="278"/>
      <c r="S394" s="278"/>
      <c r="T394" s="278"/>
    </row>
    <row r="395" spans="1:20" s="305" customFormat="1" hidden="1" outlineLevel="2" x14ac:dyDescent="0.25">
      <c r="A395" s="278"/>
      <c r="B395" s="279" t="str">
        <f t="shared" ref="B395:B410" si="85">C395&amp;D395&amp;E395&amp;F395</f>
        <v>rafter/joist/lintel125x75mmHWDx2</v>
      </c>
      <c r="C395" s="278" t="s">
        <v>1875</v>
      </c>
      <c r="D395" s="278" t="s">
        <v>1990</v>
      </c>
      <c r="E395" s="278" t="s">
        <v>508</v>
      </c>
      <c r="F395" s="278"/>
      <c r="G395" s="278" t="s">
        <v>15</v>
      </c>
      <c r="H395" s="309">
        <f t="shared" si="83"/>
        <v>4.4999999999999998E-2</v>
      </c>
      <c r="I395" s="280">
        <f t="shared" ref="I395:I410" si="86">$I$2*H395</f>
        <v>3.6278999999999999</v>
      </c>
      <c r="J395" s="281">
        <f t="shared" ref="J395:J410" si="87">$J$2*H395</f>
        <v>4.11435</v>
      </c>
      <c r="K395" s="282">
        <f>IF(Notes!$B$9="Domestic",I395, IF(Notes!$B$9="Commercial",J395))*$K$238</f>
        <v>8.2286999999999999</v>
      </c>
      <c r="L395" s="283">
        <f>(SUM(O395:Q395)+(K395+SUM(M395:Q395))*(INDEX($U$238:$AB$238,MATCH(Notes!$C$16,$U$3:$AB$3,0))-100%))*$L$238</f>
        <v>67.319999999999993</v>
      </c>
      <c r="M395" s="286"/>
      <c r="N395" s="286"/>
      <c r="O395" s="311">
        <f t="shared" si="84"/>
        <v>67.319999999999993</v>
      </c>
      <c r="P395" s="285"/>
      <c r="Q395" s="285"/>
      <c r="R395" s="278"/>
      <c r="S395" s="278"/>
      <c r="T395" s="278"/>
    </row>
    <row r="396" spans="1:20" s="305" customFormat="1" hidden="1" outlineLevel="2" x14ac:dyDescent="0.25">
      <c r="A396" s="278"/>
      <c r="B396" s="279" t="str">
        <f t="shared" si="85"/>
        <v>rafter/joist/lintel150x25mmHWDx2</v>
      </c>
      <c r="C396" s="278" t="s">
        <v>1875</v>
      </c>
      <c r="D396" s="278" t="s">
        <v>1991</v>
      </c>
      <c r="E396" s="278" t="s">
        <v>508</v>
      </c>
      <c r="F396" s="278"/>
      <c r="G396" s="278" t="s">
        <v>15</v>
      </c>
      <c r="H396" s="309">
        <f t="shared" si="83"/>
        <v>4.4999999999999998E-2</v>
      </c>
      <c r="I396" s="280">
        <f t="shared" si="86"/>
        <v>3.6278999999999999</v>
      </c>
      <c r="J396" s="281">
        <f t="shared" si="87"/>
        <v>4.11435</v>
      </c>
      <c r="K396" s="282">
        <f>IF(Notes!$B$9="Domestic",I396, IF(Notes!$B$9="Commercial",J396))*$K$238</f>
        <v>8.2286999999999999</v>
      </c>
      <c r="L396" s="283">
        <f>(SUM(O396:Q396)+(K396+SUM(M396:Q396))*(INDEX($U$238:$AB$238,MATCH(Notes!$C$16,$U$3:$AB$3,0))-100%))*$L$238</f>
        <v>24.32</v>
      </c>
      <c r="M396" s="286"/>
      <c r="N396" s="286"/>
      <c r="O396" s="311">
        <f t="shared" si="84"/>
        <v>24.32</v>
      </c>
      <c r="P396" s="285"/>
      <c r="Q396" s="285"/>
      <c r="R396" s="278"/>
      <c r="S396" s="278"/>
      <c r="T396" s="278"/>
    </row>
    <row r="397" spans="1:20" s="305" customFormat="1" hidden="1" outlineLevel="2" x14ac:dyDescent="0.25">
      <c r="A397" s="278"/>
      <c r="B397" s="279" t="str">
        <f t="shared" si="85"/>
        <v>rafter/joist/lintel150x38mmHWDx2</v>
      </c>
      <c r="C397" s="278" t="s">
        <v>1875</v>
      </c>
      <c r="D397" s="278" t="s">
        <v>1992</v>
      </c>
      <c r="E397" s="278" t="s">
        <v>508</v>
      </c>
      <c r="F397" s="278"/>
      <c r="G397" s="278" t="s">
        <v>15</v>
      </c>
      <c r="H397" s="309">
        <f t="shared" si="83"/>
        <v>4.4999999999999998E-2</v>
      </c>
      <c r="I397" s="280">
        <f t="shared" si="86"/>
        <v>3.6278999999999999</v>
      </c>
      <c r="J397" s="281">
        <f t="shared" si="87"/>
        <v>4.11435</v>
      </c>
      <c r="K397" s="282">
        <f>IF(Notes!$B$9="Domestic",I397, IF(Notes!$B$9="Commercial",J397))*$K$238</f>
        <v>8.2286999999999999</v>
      </c>
      <c r="L397" s="283">
        <f>(SUM(O397:Q397)+(K397+SUM(M397:Q397))*(INDEX($U$238:$AB$238,MATCH(Notes!$C$16,$U$3:$AB$3,0))-100%))*$L$238</f>
        <v>36.72</v>
      </c>
      <c r="M397" s="286"/>
      <c r="N397" s="286"/>
      <c r="O397" s="311">
        <f t="shared" si="84"/>
        <v>36.72</v>
      </c>
      <c r="P397" s="285"/>
      <c r="Q397" s="285"/>
      <c r="R397" s="278"/>
      <c r="S397" s="278"/>
      <c r="T397" s="278"/>
    </row>
    <row r="398" spans="1:20" s="305" customFormat="1" hidden="1" outlineLevel="2" x14ac:dyDescent="0.25">
      <c r="A398" s="278"/>
      <c r="B398" s="279" t="str">
        <f t="shared" si="85"/>
        <v>rafter/joist/lintel150x50mmHWDx2</v>
      </c>
      <c r="C398" s="278" t="s">
        <v>1875</v>
      </c>
      <c r="D398" s="278" t="s">
        <v>1993</v>
      </c>
      <c r="E398" s="278" t="s">
        <v>508</v>
      </c>
      <c r="F398" s="278"/>
      <c r="G398" s="278" t="s">
        <v>15</v>
      </c>
      <c r="H398" s="309">
        <f t="shared" si="83"/>
        <v>4.4999999999999998E-2</v>
      </c>
      <c r="I398" s="280">
        <f t="shared" si="86"/>
        <v>3.6278999999999999</v>
      </c>
      <c r="J398" s="281">
        <f t="shared" si="87"/>
        <v>4.11435</v>
      </c>
      <c r="K398" s="282">
        <f>IF(Notes!$B$9="Domestic",I398, IF(Notes!$B$9="Commercial",J398))*$K$238</f>
        <v>8.2286999999999999</v>
      </c>
      <c r="L398" s="283">
        <f>(SUM(O398:Q398)+(K398+SUM(M398:Q398))*(INDEX($U$238:$AB$238,MATCH(Notes!$C$16,$U$3:$AB$3,0))-100%))*$L$238</f>
        <v>48.28</v>
      </c>
      <c r="M398" s="286"/>
      <c r="N398" s="286"/>
      <c r="O398" s="311">
        <f t="shared" si="84"/>
        <v>48.28</v>
      </c>
      <c r="P398" s="285"/>
      <c r="Q398" s="285"/>
      <c r="R398" s="278"/>
      <c r="S398" s="278"/>
      <c r="T398" s="278"/>
    </row>
    <row r="399" spans="1:20" s="305" customFormat="1" hidden="1" outlineLevel="2" x14ac:dyDescent="0.25">
      <c r="A399" s="278"/>
      <c r="B399" s="279" t="str">
        <f t="shared" si="85"/>
        <v>rafter/joist/lintel150x75mmHWDx2</v>
      </c>
      <c r="C399" s="278" t="s">
        <v>1875</v>
      </c>
      <c r="D399" s="278" t="s">
        <v>1963</v>
      </c>
      <c r="E399" s="278" t="s">
        <v>508</v>
      </c>
      <c r="F399" s="278"/>
      <c r="G399" s="278" t="s">
        <v>15</v>
      </c>
      <c r="H399" s="309">
        <f t="shared" si="83"/>
        <v>4.4999999999999998E-2</v>
      </c>
      <c r="I399" s="280">
        <f t="shared" si="86"/>
        <v>3.6278999999999999</v>
      </c>
      <c r="J399" s="281">
        <f t="shared" si="87"/>
        <v>4.11435</v>
      </c>
      <c r="K399" s="282">
        <f>IF(Notes!$B$9="Domestic",I399, IF(Notes!$B$9="Commercial",J399))*$K$238</f>
        <v>8.2286999999999999</v>
      </c>
      <c r="L399" s="283">
        <f>(SUM(O399:Q399)+(K399+SUM(M399:Q399))*(INDEX($U$238:$AB$238,MATCH(Notes!$C$16,$U$3:$AB$3,0))-100%))*$L$238</f>
        <v>80.760000000000005</v>
      </c>
      <c r="M399" s="286"/>
      <c r="N399" s="286"/>
      <c r="O399" s="311">
        <f t="shared" si="84"/>
        <v>80.760000000000005</v>
      </c>
      <c r="P399" s="285"/>
      <c r="Q399" s="285"/>
      <c r="R399" s="278"/>
      <c r="S399" s="278"/>
      <c r="T399" s="278"/>
    </row>
    <row r="400" spans="1:20" s="305" customFormat="1" hidden="1" outlineLevel="2" x14ac:dyDescent="0.25">
      <c r="A400" s="278"/>
      <c r="B400" s="279" t="str">
        <f t="shared" si="85"/>
        <v>rafter/joist/lintel175x50mmHWDx2</v>
      </c>
      <c r="C400" s="278" t="s">
        <v>1875</v>
      </c>
      <c r="D400" s="278" t="s">
        <v>1994</v>
      </c>
      <c r="E400" s="278" t="s">
        <v>508</v>
      </c>
      <c r="F400" s="278"/>
      <c r="G400" s="278" t="s">
        <v>15</v>
      </c>
      <c r="H400" s="309">
        <f t="shared" si="83"/>
        <v>4.4999999999999998E-2</v>
      </c>
      <c r="I400" s="280">
        <f t="shared" si="86"/>
        <v>3.6278999999999999</v>
      </c>
      <c r="J400" s="281">
        <f t="shared" si="87"/>
        <v>4.11435</v>
      </c>
      <c r="K400" s="282">
        <f>IF(Notes!$B$9="Domestic",I400, IF(Notes!$B$9="Commercial",J400))*$K$238</f>
        <v>8.2286999999999999</v>
      </c>
      <c r="L400" s="283">
        <f>(SUM(O400:Q400)+(K400+SUM(M400:Q400))*(INDEX($U$238:$AB$238,MATCH(Notes!$C$16,$U$3:$AB$3,0))-100%))*$L$238</f>
        <v>62.74</v>
      </c>
      <c r="M400" s="286"/>
      <c r="N400" s="286"/>
      <c r="O400" s="311">
        <f t="shared" si="84"/>
        <v>62.74</v>
      </c>
      <c r="P400" s="285"/>
      <c r="Q400" s="285"/>
      <c r="R400" s="278"/>
      <c r="S400" s="278"/>
      <c r="T400" s="278"/>
    </row>
    <row r="401" spans="1:28" s="305" customFormat="1" hidden="1" outlineLevel="2" x14ac:dyDescent="0.25">
      <c r="A401" s="278"/>
      <c r="B401" s="279" t="str">
        <f t="shared" si="85"/>
        <v>rafter/joist/lintel175x75mmHWDx2</v>
      </c>
      <c r="C401" s="278" t="s">
        <v>1875</v>
      </c>
      <c r="D401" s="278" t="s">
        <v>1995</v>
      </c>
      <c r="E401" s="278" t="s">
        <v>508</v>
      </c>
      <c r="F401" s="278"/>
      <c r="G401" s="278" t="s">
        <v>15</v>
      </c>
      <c r="H401" s="309">
        <f t="shared" si="83"/>
        <v>4.4999999999999998E-2</v>
      </c>
      <c r="I401" s="280">
        <f t="shared" si="86"/>
        <v>3.6278999999999999</v>
      </c>
      <c r="J401" s="281">
        <f t="shared" si="87"/>
        <v>4.11435</v>
      </c>
      <c r="K401" s="282">
        <f>IF(Notes!$B$9="Domestic",I401, IF(Notes!$B$9="Commercial",J401))*$K$238</f>
        <v>8.2286999999999999</v>
      </c>
      <c r="L401" s="283">
        <f>(SUM(O401:Q401)+(K401+SUM(M401:Q401))*(INDEX($U$238:$AB$238,MATCH(Notes!$C$16,$U$3:$AB$3,0))-100%))*$L$238</f>
        <v>94.18</v>
      </c>
      <c r="M401" s="286"/>
      <c r="N401" s="286"/>
      <c r="O401" s="311">
        <f t="shared" si="84"/>
        <v>94.18</v>
      </c>
      <c r="P401" s="285"/>
      <c r="Q401" s="285"/>
      <c r="R401" s="278"/>
      <c r="S401" s="278"/>
      <c r="T401" s="278"/>
    </row>
    <row r="402" spans="1:28" s="305" customFormat="1" hidden="1" outlineLevel="2" x14ac:dyDescent="0.25">
      <c r="A402" s="278"/>
      <c r="B402" s="279" t="str">
        <f t="shared" si="85"/>
        <v>rafter/joist/lintel200x25mmHWDx2</v>
      </c>
      <c r="C402" s="278" t="s">
        <v>1875</v>
      </c>
      <c r="D402" s="278" t="s">
        <v>1996</v>
      </c>
      <c r="E402" s="278" t="s">
        <v>508</v>
      </c>
      <c r="F402" s="278"/>
      <c r="G402" s="278" t="s">
        <v>15</v>
      </c>
      <c r="H402" s="309">
        <f t="shared" si="83"/>
        <v>4.4999999999999998E-2</v>
      </c>
      <c r="I402" s="280">
        <f t="shared" si="86"/>
        <v>3.6278999999999999</v>
      </c>
      <c r="J402" s="281">
        <f t="shared" si="87"/>
        <v>4.11435</v>
      </c>
      <c r="K402" s="282">
        <f>IF(Notes!$B$9="Domestic",I402, IF(Notes!$B$9="Commercial",J402))*$K$238</f>
        <v>8.2286999999999999</v>
      </c>
      <c r="L402" s="283">
        <f>(SUM(O402:Q402)+(K402+SUM(M402:Q402))*(INDEX($U$238:$AB$238,MATCH(Notes!$C$16,$U$3:$AB$3,0))-100%))*$L$238</f>
        <v>36.04</v>
      </c>
      <c r="M402" s="286"/>
      <c r="N402" s="286"/>
      <c r="O402" s="311">
        <f t="shared" si="84"/>
        <v>36.04</v>
      </c>
      <c r="P402" s="285"/>
      <c r="Q402" s="285"/>
      <c r="R402" s="278"/>
      <c r="S402" s="278"/>
      <c r="T402" s="278"/>
    </row>
    <row r="403" spans="1:28" s="305" customFormat="1" hidden="1" outlineLevel="2" x14ac:dyDescent="0.25">
      <c r="A403" s="278"/>
      <c r="B403" s="279" t="str">
        <f t="shared" si="85"/>
        <v>rafter/joist/lintel200x38mmHWDx2</v>
      </c>
      <c r="C403" s="278" t="s">
        <v>1875</v>
      </c>
      <c r="D403" s="278" t="s">
        <v>1997</v>
      </c>
      <c r="E403" s="278" t="s">
        <v>508</v>
      </c>
      <c r="F403" s="278"/>
      <c r="G403" s="278" t="s">
        <v>15</v>
      </c>
      <c r="H403" s="309">
        <f t="shared" si="83"/>
        <v>4.4999999999999998E-2</v>
      </c>
      <c r="I403" s="280">
        <f t="shared" si="86"/>
        <v>3.6278999999999999</v>
      </c>
      <c r="J403" s="281">
        <f t="shared" si="87"/>
        <v>4.11435</v>
      </c>
      <c r="K403" s="282">
        <f>IF(Notes!$B$9="Domestic",I403, IF(Notes!$B$9="Commercial",J403))*$K$238</f>
        <v>8.2286999999999999</v>
      </c>
      <c r="L403" s="283">
        <f>(SUM(O403:Q403)+(K403+SUM(M403:Q403))*(INDEX($U$238:$AB$238,MATCH(Notes!$C$16,$U$3:$AB$3,0))-100%))*$L$238</f>
        <v>54.58</v>
      </c>
      <c r="M403" s="286"/>
      <c r="N403" s="286"/>
      <c r="O403" s="311">
        <f t="shared" si="84"/>
        <v>54.58</v>
      </c>
      <c r="P403" s="285"/>
      <c r="Q403" s="285"/>
      <c r="R403" s="278"/>
      <c r="S403" s="278"/>
      <c r="T403" s="278"/>
    </row>
    <row r="404" spans="1:28" s="305" customFormat="1" hidden="1" outlineLevel="2" x14ac:dyDescent="0.25">
      <c r="A404" s="278"/>
      <c r="B404" s="279" t="str">
        <f t="shared" si="85"/>
        <v>rafter/joist/lintel200x50mmHWDx2</v>
      </c>
      <c r="C404" s="278" t="s">
        <v>1875</v>
      </c>
      <c r="D404" s="278" t="s">
        <v>1998</v>
      </c>
      <c r="E404" s="278" t="s">
        <v>508</v>
      </c>
      <c r="F404" s="278"/>
      <c r="G404" s="278" t="s">
        <v>15</v>
      </c>
      <c r="H404" s="309">
        <f t="shared" si="83"/>
        <v>0.06</v>
      </c>
      <c r="I404" s="280">
        <f t="shared" si="86"/>
        <v>4.8372000000000002</v>
      </c>
      <c r="J404" s="281">
        <f t="shared" si="87"/>
        <v>5.4858000000000002</v>
      </c>
      <c r="K404" s="282">
        <f>IF(Notes!$B$9="Domestic",I404, IF(Notes!$B$9="Commercial",J404))*$K$238</f>
        <v>10.9716</v>
      </c>
      <c r="L404" s="283">
        <f>(SUM(O404:Q404)+(K404+SUM(M404:Q404))*(INDEX($U$238:$AB$238,MATCH(Notes!$C$16,$U$3:$AB$3,0))-100%))*$L$238</f>
        <v>71.739999999999995</v>
      </c>
      <c r="M404" s="286"/>
      <c r="N404" s="286"/>
      <c r="O404" s="311">
        <f t="shared" si="84"/>
        <v>71.739999999999995</v>
      </c>
      <c r="P404" s="285"/>
      <c r="Q404" s="285"/>
      <c r="R404" s="278"/>
      <c r="S404" s="278"/>
      <c r="T404" s="278"/>
    </row>
    <row r="405" spans="1:28" s="305" customFormat="1" hidden="1" outlineLevel="2" x14ac:dyDescent="0.25">
      <c r="A405" s="278"/>
      <c r="B405" s="279" t="str">
        <f t="shared" si="85"/>
        <v>rafter/joist/lintel200x75mmHWDx2</v>
      </c>
      <c r="C405" s="278" t="s">
        <v>1875</v>
      </c>
      <c r="D405" s="278" t="s">
        <v>1999</v>
      </c>
      <c r="E405" s="278" t="s">
        <v>508</v>
      </c>
      <c r="F405" s="278"/>
      <c r="G405" s="278" t="s">
        <v>15</v>
      </c>
      <c r="H405" s="309">
        <f t="shared" si="83"/>
        <v>0.06</v>
      </c>
      <c r="I405" s="280">
        <f t="shared" si="86"/>
        <v>4.8372000000000002</v>
      </c>
      <c r="J405" s="281">
        <f t="shared" si="87"/>
        <v>5.4858000000000002</v>
      </c>
      <c r="K405" s="282">
        <f>IF(Notes!$B$9="Domestic",I405, IF(Notes!$B$9="Commercial",J405))*$K$238</f>
        <v>10.9716</v>
      </c>
      <c r="L405" s="283">
        <f>(SUM(O405:Q405)+(K405+SUM(M405:Q405))*(INDEX($U$238:$AB$238,MATCH(Notes!$C$16,$U$3:$AB$3,0))-100%))*$L$238</f>
        <v>122.74</v>
      </c>
      <c r="M405" s="286"/>
      <c r="N405" s="286"/>
      <c r="O405" s="311">
        <f t="shared" si="84"/>
        <v>122.74</v>
      </c>
      <c r="P405" s="285"/>
      <c r="Q405" s="285"/>
      <c r="R405" s="278"/>
      <c r="S405" s="278"/>
      <c r="T405" s="278"/>
    </row>
    <row r="406" spans="1:28" s="305" customFormat="1" hidden="1" outlineLevel="2" x14ac:dyDescent="0.25">
      <c r="A406" s="278"/>
      <c r="B406" s="279" t="str">
        <f t="shared" si="85"/>
        <v>rafter/joist/lintel250x38mmHWDx2</v>
      </c>
      <c r="C406" s="278" t="s">
        <v>1875</v>
      </c>
      <c r="D406" s="278" t="s">
        <v>2000</v>
      </c>
      <c r="E406" s="278" t="s">
        <v>508</v>
      </c>
      <c r="F406" s="278"/>
      <c r="G406" s="278" t="s">
        <v>15</v>
      </c>
      <c r="H406" s="309">
        <f t="shared" si="83"/>
        <v>0.06</v>
      </c>
      <c r="I406" s="280">
        <f t="shared" si="86"/>
        <v>4.8372000000000002</v>
      </c>
      <c r="J406" s="281">
        <f t="shared" si="87"/>
        <v>5.4858000000000002</v>
      </c>
      <c r="K406" s="282">
        <f>IF(Notes!$B$9="Domestic",I406, IF(Notes!$B$9="Commercial",J406))*$K$238</f>
        <v>10.9716</v>
      </c>
      <c r="L406" s="283">
        <f>(SUM(O406:Q406)+(K406+SUM(M406:Q406))*(INDEX($U$238:$AB$238,MATCH(Notes!$C$16,$U$3:$AB$3,0))-100%))*$L$238</f>
        <v>85.52</v>
      </c>
      <c r="M406" s="286"/>
      <c r="N406" s="286"/>
      <c r="O406" s="311">
        <f t="shared" si="84"/>
        <v>85.52</v>
      </c>
      <c r="P406" s="285"/>
      <c r="Q406" s="285"/>
      <c r="R406" s="278"/>
      <c r="S406" s="278"/>
      <c r="T406" s="278"/>
    </row>
    <row r="407" spans="1:28" s="305" customFormat="1" hidden="1" outlineLevel="2" x14ac:dyDescent="0.25">
      <c r="A407" s="278"/>
      <c r="B407" s="279" t="str">
        <f t="shared" si="85"/>
        <v>rafter/joist/lintel250x50mmHWDx2</v>
      </c>
      <c r="C407" s="278" t="s">
        <v>1875</v>
      </c>
      <c r="D407" s="278" t="s">
        <v>2001</v>
      </c>
      <c r="E407" s="278" t="s">
        <v>508</v>
      </c>
      <c r="F407" s="278"/>
      <c r="G407" s="278" t="s">
        <v>15</v>
      </c>
      <c r="H407" s="309">
        <f t="shared" si="83"/>
        <v>0.06</v>
      </c>
      <c r="I407" s="280">
        <f t="shared" si="86"/>
        <v>4.8372000000000002</v>
      </c>
      <c r="J407" s="281">
        <f t="shared" si="87"/>
        <v>5.4858000000000002</v>
      </c>
      <c r="K407" s="282">
        <f>IF(Notes!$B$9="Domestic",I407, IF(Notes!$B$9="Commercial",J407))*$K$238</f>
        <v>10.9716</v>
      </c>
      <c r="L407" s="283">
        <f>(SUM(O407:Q407)+(K407+SUM(M407:Q407))*(INDEX($U$238:$AB$238,MATCH(Notes!$C$16,$U$3:$AB$3,0))-100%))*$L$238</f>
        <v>113.9</v>
      </c>
      <c r="M407" s="286"/>
      <c r="N407" s="286"/>
      <c r="O407" s="311">
        <f t="shared" si="84"/>
        <v>113.9</v>
      </c>
      <c r="P407" s="285"/>
      <c r="Q407" s="285"/>
      <c r="R407" s="278"/>
      <c r="S407" s="278"/>
      <c r="T407" s="278"/>
    </row>
    <row r="408" spans="1:28" s="305" customFormat="1" hidden="1" outlineLevel="2" x14ac:dyDescent="0.25">
      <c r="A408" s="278"/>
      <c r="B408" s="279" t="str">
        <f t="shared" si="85"/>
        <v>rafter/joist/lintel250x75mmHWDx2</v>
      </c>
      <c r="C408" s="278" t="s">
        <v>1875</v>
      </c>
      <c r="D408" s="278" t="s">
        <v>2002</v>
      </c>
      <c r="E408" s="278" t="s">
        <v>508</v>
      </c>
      <c r="F408" s="278"/>
      <c r="G408" s="278" t="s">
        <v>15</v>
      </c>
      <c r="H408" s="309">
        <f t="shared" si="83"/>
        <v>0.06</v>
      </c>
      <c r="I408" s="280">
        <f t="shared" si="86"/>
        <v>4.8372000000000002</v>
      </c>
      <c r="J408" s="281">
        <f t="shared" si="87"/>
        <v>5.4858000000000002</v>
      </c>
      <c r="K408" s="282">
        <f>IF(Notes!$B$9="Domestic",I408, IF(Notes!$B$9="Commercial",J408))*$K$238</f>
        <v>10.9716</v>
      </c>
      <c r="L408" s="283">
        <f>(SUM(O408:Q408)+(K408+SUM(M408:Q408))*(INDEX($U$238:$AB$238,MATCH(Notes!$C$16,$U$3:$AB$3,0))-100%))*$L$238</f>
        <v>169.84</v>
      </c>
      <c r="M408" s="286"/>
      <c r="N408" s="286"/>
      <c r="O408" s="311">
        <f t="shared" si="84"/>
        <v>169.84</v>
      </c>
      <c r="P408" s="285"/>
      <c r="Q408" s="285"/>
      <c r="R408" s="278"/>
      <c r="S408" s="278"/>
      <c r="T408" s="278"/>
    </row>
    <row r="409" spans="1:28" s="305" customFormat="1" hidden="1" outlineLevel="2" x14ac:dyDescent="0.25">
      <c r="A409" s="278"/>
      <c r="B409" s="279" t="str">
        <f t="shared" si="85"/>
        <v>rafter/joist/lintel300x50mmHWDx2</v>
      </c>
      <c r="C409" s="278" t="s">
        <v>1875</v>
      </c>
      <c r="D409" s="278" t="s">
        <v>2003</v>
      </c>
      <c r="E409" s="278" t="s">
        <v>508</v>
      </c>
      <c r="F409" s="278"/>
      <c r="G409" s="278" t="s">
        <v>15</v>
      </c>
      <c r="H409" s="309">
        <f t="shared" si="83"/>
        <v>7.5000000000000011E-2</v>
      </c>
      <c r="I409" s="280">
        <f t="shared" si="86"/>
        <v>6.0465000000000009</v>
      </c>
      <c r="J409" s="281">
        <f t="shared" si="87"/>
        <v>6.8572500000000014</v>
      </c>
      <c r="K409" s="282">
        <f>IF(Notes!$B$9="Domestic",I409, IF(Notes!$B$9="Commercial",J409))*$K$238</f>
        <v>13.714500000000003</v>
      </c>
      <c r="L409" s="283">
        <f>(SUM(O409:Q409)+(K409+SUM(M409:Q409))*(INDEX($U$238:$AB$238,MATCH(Notes!$C$16,$U$3:$AB$3,0))-100%))*$L$238</f>
        <v>162.69999999999999</v>
      </c>
      <c r="M409" s="286"/>
      <c r="N409" s="286"/>
      <c r="O409" s="311">
        <f t="shared" si="84"/>
        <v>162.69999999999999</v>
      </c>
      <c r="P409" s="285"/>
      <c r="Q409" s="285"/>
      <c r="R409" s="278"/>
      <c r="S409" s="278"/>
      <c r="T409" s="278"/>
    </row>
    <row r="410" spans="1:28" s="305" customFormat="1" hidden="1" outlineLevel="2" x14ac:dyDescent="0.25">
      <c r="A410" s="278"/>
      <c r="B410" s="279" t="str">
        <f t="shared" si="85"/>
        <v>rafter/joist/lintel300x75mmHWDx2</v>
      </c>
      <c r="C410" s="278" t="s">
        <v>1875</v>
      </c>
      <c r="D410" s="278" t="s">
        <v>1970</v>
      </c>
      <c r="E410" s="278" t="s">
        <v>508</v>
      </c>
      <c r="F410" s="278"/>
      <c r="G410" s="278" t="s">
        <v>15</v>
      </c>
      <c r="H410" s="309">
        <f t="shared" si="83"/>
        <v>7.5000000000000011E-2</v>
      </c>
      <c r="I410" s="280">
        <f t="shared" si="86"/>
        <v>6.0465000000000009</v>
      </c>
      <c r="J410" s="281">
        <f t="shared" si="87"/>
        <v>6.8572500000000014</v>
      </c>
      <c r="K410" s="282">
        <f>IF(Notes!$B$9="Domestic",I410, IF(Notes!$B$9="Commercial",J410))*$K$238</f>
        <v>13.714500000000003</v>
      </c>
      <c r="L410" s="283">
        <f>(SUM(O410:Q410)+(K410+SUM(M410:Q410))*(INDEX($U$238:$AB$238,MATCH(Notes!$C$16,$U$3:$AB$3,0))-100%))*$L$238</f>
        <v>187.1</v>
      </c>
      <c r="M410" s="286"/>
      <c r="N410" s="286"/>
      <c r="O410" s="311">
        <f t="shared" si="84"/>
        <v>187.1</v>
      </c>
      <c r="P410" s="285"/>
      <c r="Q410" s="285"/>
      <c r="R410" s="278"/>
      <c r="S410" s="278"/>
      <c r="T410" s="278"/>
    </row>
    <row r="411" spans="1:28" ht="21" hidden="1" outlineLevel="1" collapsed="1" x14ac:dyDescent="0.25">
      <c r="A411" s="299" t="s">
        <v>1878</v>
      </c>
      <c r="B411" s="299"/>
      <c r="C411" s="299"/>
      <c r="D411" s="299"/>
      <c r="E411" s="299"/>
      <c r="F411" s="299"/>
      <c r="G411" s="299"/>
      <c r="H411" s="348"/>
      <c r="I411" s="299"/>
      <c r="J411" s="299"/>
      <c r="K411" s="299"/>
      <c r="L411" s="299"/>
      <c r="M411" s="299"/>
      <c r="N411" s="299"/>
      <c r="O411" s="299"/>
      <c r="P411" s="299"/>
      <c r="Q411" s="299"/>
      <c r="R411" s="299"/>
      <c r="S411" s="299"/>
      <c r="T411" s="299"/>
      <c r="U411" s="299"/>
      <c r="V411" s="299"/>
      <c r="W411" s="299"/>
      <c r="X411" s="299"/>
      <c r="Y411" s="299"/>
      <c r="Z411" s="299"/>
      <c r="AA411" s="299"/>
      <c r="AB411" s="299"/>
    </row>
    <row r="412" spans="1:28" ht="15.75" hidden="1" outlineLevel="1" x14ac:dyDescent="0.25">
      <c r="A412" s="291"/>
      <c r="B412" s="291"/>
      <c r="C412" s="291"/>
      <c r="D412" s="291"/>
      <c r="E412" s="291"/>
      <c r="F412" s="291"/>
      <c r="G412" s="291"/>
      <c r="H412" s="325"/>
      <c r="I412" s="291"/>
      <c r="J412" s="291"/>
      <c r="K412" s="291">
        <v>2</v>
      </c>
      <c r="L412" s="291">
        <f>L$2</f>
        <v>1</v>
      </c>
      <c r="M412" s="291"/>
      <c r="N412" s="291"/>
      <c r="O412" s="303"/>
      <c r="P412" s="303"/>
      <c r="Q412" s="303"/>
      <c r="R412" s="291"/>
      <c r="S412" s="291"/>
      <c r="T412" s="291"/>
      <c r="U412" s="381">
        <f>U$2</f>
        <v>1.0309523809523808</v>
      </c>
      <c r="V412" s="381">
        <f>V$2</f>
        <v>1</v>
      </c>
      <c r="W412" s="381">
        <f t="shared" ref="W412:AB412" si="88">W$2</f>
        <v>1.0705952380952379</v>
      </c>
      <c r="X412" s="381">
        <f t="shared" si="88"/>
        <v>1.1199999999999999</v>
      </c>
      <c r="Y412" s="381">
        <f t="shared" si="88"/>
        <v>1.0571428571428572</v>
      </c>
      <c r="Z412" s="381">
        <f t="shared" si="88"/>
        <v>1.1299999999999999</v>
      </c>
      <c r="AA412" s="381">
        <f t="shared" si="88"/>
        <v>1.0776942355889725</v>
      </c>
      <c r="AB412" s="381">
        <f t="shared" si="88"/>
        <v>1.0325814536340854</v>
      </c>
    </row>
    <row r="413" spans="1:28" s="305" customFormat="1" hidden="1" outlineLevel="2" x14ac:dyDescent="0.25">
      <c r="A413" s="278"/>
      <c r="B413" s="279" t="str">
        <f>C413&amp;D413&amp;E413&amp;F413</f>
        <v>beam/bearer45x35mmMGP10</v>
      </c>
      <c r="C413" s="278" t="s">
        <v>2129</v>
      </c>
      <c r="D413" s="278" t="s">
        <v>1934</v>
      </c>
      <c r="E413" s="278" t="str">
        <f>E239</f>
        <v>MGP10</v>
      </c>
      <c r="F413" s="278"/>
      <c r="G413" s="278" t="s">
        <v>15</v>
      </c>
      <c r="H413" s="309">
        <f>H239*2</f>
        <v>0.06</v>
      </c>
      <c r="I413" s="280">
        <f>$I$2*H413</f>
        <v>4.8372000000000002</v>
      </c>
      <c r="J413" s="281">
        <f>$J$2*H413</f>
        <v>5.4858000000000002</v>
      </c>
      <c r="K413" s="282">
        <f>IF(Notes!$B$9="Domestic",I413, IF(Notes!$B$9="Commercial",J413))*$K$412</f>
        <v>10.9716</v>
      </c>
      <c r="L413" s="283">
        <f>(SUM(O413:Q413)+(K413+SUM(M413:Q413))*(INDEX($U$412:$AB$412,MATCH(Notes!$C$16,$U$3:$AB$3,0))-100%))*$L$412</f>
        <v>3.01</v>
      </c>
      <c r="M413" s="286"/>
      <c r="N413" s="286"/>
      <c r="O413" s="311">
        <f>O239</f>
        <v>3.01</v>
      </c>
      <c r="P413" s="285"/>
      <c r="Q413" s="285"/>
      <c r="R413" s="278"/>
      <c r="S413" s="278"/>
      <c r="T413" s="278"/>
    </row>
    <row r="414" spans="1:28" s="305" customFormat="1" hidden="1" outlineLevel="2" x14ac:dyDescent="0.25">
      <c r="A414" s="278"/>
      <c r="B414" s="279" t="str">
        <f t="shared" ref="B414:B506" si="89">C414&amp;D414&amp;E414&amp;F414</f>
        <v>beam/bearer70x35mmMGP10</v>
      </c>
      <c r="C414" s="278" t="s">
        <v>2129</v>
      </c>
      <c r="D414" s="278" t="s">
        <v>1935</v>
      </c>
      <c r="E414" s="278" t="str">
        <f t="shared" ref="E414" si="90">E240</f>
        <v>MGP10</v>
      </c>
      <c r="F414" s="278"/>
      <c r="G414" s="278" t="s">
        <v>15</v>
      </c>
      <c r="H414" s="309">
        <f t="shared" ref="H414:H456" si="91">H240*2</f>
        <v>0.06</v>
      </c>
      <c r="I414" s="280">
        <f t="shared" ref="I414:I506" si="92">$I$2*H414</f>
        <v>4.8372000000000002</v>
      </c>
      <c r="J414" s="281">
        <f t="shared" ref="J414:J506" si="93">$J$2*H414</f>
        <v>5.4858000000000002</v>
      </c>
      <c r="K414" s="282">
        <f>IF(Notes!$B$9="Domestic",I414, IF(Notes!$B$9="Commercial",J414))*$K$412</f>
        <v>10.9716</v>
      </c>
      <c r="L414" s="283">
        <f>(SUM(O414:Q414)+(K414+SUM(M414:Q414))*(INDEX($U$412:$AB$412,MATCH(Notes!$C$16,$U$3:$AB$3,0))-100%))*$L$412</f>
        <v>5.64</v>
      </c>
      <c r="M414" s="286"/>
      <c r="N414" s="286"/>
      <c r="O414" s="311">
        <f t="shared" ref="O414:O456" si="94">O240</f>
        <v>5.64</v>
      </c>
      <c r="P414" s="285"/>
      <c r="Q414" s="285"/>
      <c r="R414" s="278"/>
      <c r="S414" s="278"/>
      <c r="T414" s="278"/>
    </row>
    <row r="415" spans="1:28" s="305" customFormat="1" hidden="1" outlineLevel="2" x14ac:dyDescent="0.25">
      <c r="A415" s="278"/>
      <c r="B415" s="279" t="str">
        <f t="shared" si="89"/>
        <v>beam/bearer70x45mmMGP10</v>
      </c>
      <c r="C415" s="278" t="s">
        <v>2129</v>
      </c>
      <c r="D415" s="278" t="s">
        <v>1936</v>
      </c>
      <c r="E415" s="278" t="str">
        <f t="shared" ref="E415" si="95">E241</f>
        <v>MGP10</v>
      </c>
      <c r="F415" s="278"/>
      <c r="G415" s="278" t="s">
        <v>15</v>
      </c>
      <c r="H415" s="309">
        <f t="shared" si="91"/>
        <v>0.06</v>
      </c>
      <c r="I415" s="280">
        <f t="shared" si="92"/>
        <v>4.8372000000000002</v>
      </c>
      <c r="J415" s="281">
        <f t="shared" si="93"/>
        <v>5.4858000000000002</v>
      </c>
      <c r="K415" s="282">
        <f>IF(Notes!$B$9="Domestic",I415, IF(Notes!$B$9="Commercial",J415))*$K$412</f>
        <v>10.9716</v>
      </c>
      <c r="L415" s="283">
        <f>(SUM(O415:Q415)+(K415+SUM(M415:Q415))*(INDEX($U$412:$AB$412,MATCH(Notes!$C$16,$U$3:$AB$3,0))-100%))*$L$412</f>
        <v>6.64</v>
      </c>
      <c r="M415" s="286"/>
      <c r="N415" s="286"/>
      <c r="O415" s="311">
        <f t="shared" si="94"/>
        <v>6.64</v>
      </c>
      <c r="P415" s="285"/>
      <c r="Q415" s="285"/>
      <c r="R415" s="278"/>
      <c r="S415" s="278"/>
      <c r="T415" s="278"/>
    </row>
    <row r="416" spans="1:28" s="305" customFormat="1" hidden="1" outlineLevel="2" x14ac:dyDescent="0.25">
      <c r="A416" s="278"/>
      <c r="B416" s="279" t="str">
        <f t="shared" si="89"/>
        <v>beam/bearer90x35mmMGP10</v>
      </c>
      <c r="C416" s="278" t="s">
        <v>2129</v>
      </c>
      <c r="D416" s="278" t="s">
        <v>1937</v>
      </c>
      <c r="E416" s="278" t="str">
        <f t="shared" ref="E416" si="96">E242</f>
        <v>MGP10</v>
      </c>
      <c r="F416" s="278"/>
      <c r="G416" s="278" t="s">
        <v>15</v>
      </c>
      <c r="H416" s="309">
        <f t="shared" si="91"/>
        <v>0.06</v>
      </c>
      <c r="I416" s="280">
        <f t="shared" si="92"/>
        <v>4.8372000000000002</v>
      </c>
      <c r="J416" s="281">
        <f t="shared" si="93"/>
        <v>5.4858000000000002</v>
      </c>
      <c r="K416" s="282">
        <f>IF(Notes!$B$9="Domestic",I416, IF(Notes!$B$9="Commercial",J416))*$K$412</f>
        <v>10.9716</v>
      </c>
      <c r="L416" s="283">
        <f>(SUM(O416:Q416)+(K416+SUM(M416:Q416))*(INDEX($U$412:$AB$412,MATCH(Notes!$C$16,$U$3:$AB$3,0))-100%))*$L$412</f>
        <v>6.46</v>
      </c>
      <c r="M416" s="286"/>
      <c r="N416" s="286"/>
      <c r="O416" s="311">
        <f t="shared" si="94"/>
        <v>6.46</v>
      </c>
      <c r="P416" s="285"/>
      <c r="Q416" s="285"/>
      <c r="R416" s="278"/>
      <c r="S416" s="278"/>
      <c r="T416" s="278"/>
    </row>
    <row r="417" spans="1:20" s="305" customFormat="1" hidden="1" outlineLevel="2" x14ac:dyDescent="0.25">
      <c r="A417" s="278"/>
      <c r="B417" s="279" t="str">
        <f t="shared" si="89"/>
        <v>beam/bearer90x45mmMGP10</v>
      </c>
      <c r="C417" s="278" t="s">
        <v>2129</v>
      </c>
      <c r="D417" s="278" t="s">
        <v>1938</v>
      </c>
      <c r="E417" s="278" t="str">
        <f t="shared" ref="E417" si="97">E243</f>
        <v>MGP10</v>
      </c>
      <c r="F417" s="278"/>
      <c r="G417" s="278" t="s">
        <v>15</v>
      </c>
      <c r="H417" s="309">
        <f t="shared" si="91"/>
        <v>0.06</v>
      </c>
      <c r="I417" s="280">
        <f t="shared" si="92"/>
        <v>4.8372000000000002</v>
      </c>
      <c r="J417" s="281">
        <f t="shared" si="93"/>
        <v>5.4858000000000002</v>
      </c>
      <c r="K417" s="282">
        <f>IF(Notes!$B$9="Domestic",I417, IF(Notes!$B$9="Commercial",J417))*$K$412</f>
        <v>10.9716</v>
      </c>
      <c r="L417" s="283">
        <f>(SUM(O417:Q417)+(K417+SUM(M417:Q417))*(INDEX($U$412:$AB$412,MATCH(Notes!$C$16,$U$3:$AB$3,0))-100%))*$L$412</f>
        <v>8.82</v>
      </c>
      <c r="M417" s="286"/>
      <c r="N417" s="286"/>
      <c r="O417" s="311">
        <f t="shared" si="94"/>
        <v>8.82</v>
      </c>
      <c r="P417" s="285"/>
      <c r="Q417" s="285"/>
      <c r="R417" s="278"/>
      <c r="S417" s="278"/>
      <c r="T417" s="278"/>
    </row>
    <row r="418" spans="1:20" s="305" customFormat="1" hidden="1" outlineLevel="2" x14ac:dyDescent="0.25">
      <c r="A418" s="278"/>
      <c r="B418" s="279" t="str">
        <f t="shared" si="89"/>
        <v>beam/bearer140x35mmMGP10</v>
      </c>
      <c r="C418" s="278" t="s">
        <v>2129</v>
      </c>
      <c r="D418" s="278" t="s">
        <v>1939</v>
      </c>
      <c r="E418" s="278" t="str">
        <f t="shared" ref="E418" si="98">E244</f>
        <v>MGP10</v>
      </c>
      <c r="F418" s="278"/>
      <c r="G418" s="278" t="s">
        <v>15</v>
      </c>
      <c r="H418" s="309">
        <f t="shared" si="91"/>
        <v>0.06</v>
      </c>
      <c r="I418" s="280">
        <f t="shared" si="92"/>
        <v>4.8372000000000002</v>
      </c>
      <c r="J418" s="281">
        <f t="shared" si="93"/>
        <v>5.4858000000000002</v>
      </c>
      <c r="K418" s="282">
        <f>IF(Notes!$B$9="Domestic",I418, IF(Notes!$B$9="Commercial",J418))*$K$412</f>
        <v>10.9716</v>
      </c>
      <c r="L418" s="283">
        <f>(SUM(O418:Q418)+(K418+SUM(M418:Q418))*(INDEX($U$412:$AB$412,MATCH(Notes!$C$16,$U$3:$AB$3,0))-100%))*$L$412</f>
        <v>9.14</v>
      </c>
      <c r="M418" s="286"/>
      <c r="N418" s="286"/>
      <c r="O418" s="311">
        <f t="shared" si="94"/>
        <v>9.14</v>
      </c>
      <c r="P418" s="285"/>
      <c r="Q418" s="285"/>
      <c r="R418" s="278"/>
      <c r="S418" s="278"/>
      <c r="T418" s="278"/>
    </row>
    <row r="419" spans="1:20" s="305" customFormat="1" hidden="1" outlineLevel="2" x14ac:dyDescent="0.25">
      <c r="A419" s="278"/>
      <c r="B419" s="279" t="str">
        <f t="shared" si="89"/>
        <v>beam/bearer140x45mmMGP10</v>
      </c>
      <c r="C419" s="278" t="s">
        <v>2129</v>
      </c>
      <c r="D419" s="278" t="s">
        <v>1940</v>
      </c>
      <c r="E419" s="278" t="str">
        <f t="shared" ref="E419" si="99">E245</f>
        <v>MGP10</v>
      </c>
      <c r="F419" s="278"/>
      <c r="G419" s="278" t="s">
        <v>15</v>
      </c>
      <c r="H419" s="309">
        <f t="shared" si="91"/>
        <v>0.06</v>
      </c>
      <c r="I419" s="280">
        <f t="shared" si="92"/>
        <v>4.8372000000000002</v>
      </c>
      <c r="J419" s="281">
        <f t="shared" si="93"/>
        <v>5.4858000000000002</v>
      </c>
      <c r="K419" s="282">
        <f>IF(Notes!$B$9="Domestic",I419, IF(Notes!$B$9="Commercial",J419))*$K$412</f>
        <v>10.9716</v>
      </c>
      <c r="L419" s="283">
        <f>(SUM(O419:Q419)+(K419+SUM(M419:Q419))*(INDEX($U$412:$AB$412,MATCH(Notes!$C$16,$U$3:$AB$3,0))-100%))*$L$412</f>
        <v>13.08</v>
      </c>
      <c r="M419" s="286"/>
      <c r="N419" s="286"/>
      <c r="O419" s="311">
        <f t="shared" si="94"/>
        <v>13.08</v>
      </c>
      <c r="P419" s="285"/>
      <c r="Q419" s="285"/>
      <c r="R419" s="278"/>
      <c r="S419" s="278"/>
      <c r="T419" s="278"/>
    </row>
    <row r="420" spans="1:20" s="305" customFormat="1" hidden="1" outlineLevel="2" x14ac:dyDescent="0.25">
      <c r="A420" s="278"/>
      <c r="B420" s="279" t="str">
        <f t="shared" si="89"/>
        <v>beam/bearer190x35mmMGP10</v>
      </c>
      <c r="C420" s="278" t="s">
        <v>2129</v>
      </c>
      <c r="D420" s="278" t="s">
        <v>1941</v>
      </c>
      <c r="E420" s="278" t="str">
        <f t="shared" ref="E420" si="100">E246</f>
        <v>MGP10</v>
      </c>
      <c r="F420" s="278"/>
      <c r="G420" s="278" t="s">
        <v>15</v>
      </c>
      <c r="H420" s="309">
        <f t="shared" si="91"/>
        <v>0.06</v>
      </c>
      <c r="I420" s="280">
        <f t="shared" si="92"/>
        <v>4.8372000000000002</v>
      </c>
      <c r="J420" s="281">
        <f t="shared" si="93"/>
        <v>5.4858000000000002</v>
      </c>
      <c r="K420" s="282">
        <f>IF(Notes!$B$9="Domestic",I420, IF(Notes!$B$9="Commercial",J420))*$K$412</f>
        <v>10.9716</v>
      </c>
      <c r="L420" s="283">
        <f>(SUM(O420:Q420)+(K420+SUM(M420:Q420))*(INDEX($U$412:$AB$412,MATCH(Notes!$C$16,$U$3:$AB$3,0))-100%))*$L$412</f>
        <v>14.5</v>
      </c>
      <c r="M420" s="286"/>
      <c r="N420" s="286"/>
      <c r="O420" s="311">
        <f t="shared" si="94"/>
        <v>14.5</v>
      </c>
      <c r="P420" s="285"/>
      <c r="Q420" s="285"/>
      <c r="R420" s="278"/>
      <c r="S420" s="278"/>
      <c r="T420" s="278"/>
    </row>
    <row r="421" spans="1:20" s="305" customFormat="1" hidden="1" outlineLevel="2" x14ac:dyDescent="0.25">
      <c r="A421" s="278"/>
      <c r="B421" s="279" t="str">
        <f t="shared" si="89"/>
        <v>beam/bearer190x45mmMGP10</v>
      </c>
      <c r="C421" s="278" t="s">
        <v>2129</v>
      </c>
      <c r="D421" s="278" t="s">
        <v>1942</v>
      </c>
      <c r="E421" s="278" t="str">
        <f t="shared" ref="E421" si="101">E247</f>
        <v>MGP10</v>
      </c>
      <c r="F421" s="278"/>
      <c r="G421" s="278" t="s">
        <v>15</v>
      </c>
      <c r="H421" s="309">
        <f t="shared" si="91"/>
        <v>0.06</v>
      </c>
      <c r="I421" s="280">
        <f t="shared" si="92"/>
        <v>4.8372000000000002</v>
      </c>
      <c r="J421" s="281">
        <f t="shared" si="93"/>
        <v>5.4858000000000002</v>
      </c>
      <c r="K421" s="282">
        <f>IF(Notes!$B$9="Domestic",I421, IF(Notes!$B$9="Commercial",J421))*$K$412</f>
        <v>10.9716</v>
      </c>
      <c r="L421" s="283">
        <f>(SUM(O421:Q421)+(K421+SUM(M421:Q421))*(INDEX($U$412:$AB$412,MATCH(Notes!$C$16,$U$3:$AB$3,0))-100%))*$L$412</f>
        <v>17.7</v>
      </c>
      <c r="M421" s="286"/>
      <c r="N421" s="286"/>
      <c r="O421" s="311">
        <f t="shared" si="94"/>
        <v>17.7</v>
      </c>
      <c r="P421" s="285"/>
      <c r="Q421" s="285"/>
      <c r="R421" s="278"/>
      <c r="S421" s="278"/>
      <c r="T421" s="278"/>
    </row>
    <row r="422" spans="1:20" s="305" customFormat="1" hidden="1" outlineLevel="2" x14ac:dyDescent="0.25">
      <c r="A422" s="278"/>
      <c r="B422" s="279" t="str">
        <f t="shared" si="89"/>
        <v>beam/bearer240x45mmMGP10</v>
      </c>
      <c r="C422" s="278" t="s">
        <v>2129</v>
      </c>
      <c r="D422" s="278" t="s">
        <v>1943</v>
      </c>
      <c r="E422" s="278" t="str">
        <f t="shared" ref="E422" si="102">E248</f>
        <v>MGP10</v>
      </c>
      <c r="F422" s="278"/>
      <c r="G422" s="278" t="s">
        <v>15</v>
      </c>
      <c r="H422" s="309">
        <f t="shared" si="91"/>
        <v>0.08</v>
      </c>
      <c r="I422" s="280">
        <f t="shared" si="92"/>
        <v>6.4496000000000002</v>
      </c>
      <c r="J422" s="281">
        <f t="shared" si="93"/>
        <v>7.3144000000000009</v>
      </c>
      <c r="K422" s="282">
        <f>IF(Notes!$B$9="Domestic",I422, IF(Notes!$B$9="Commercial",J422))*$K$412</f>
        <v>14.628800000000002</v>
      </c>
      <c r="L422" s="283">
        <f>(SUM(O422:Q422)+(K422+SUM(M422:Q422))*(INDEX($U$412:$AB$412,MATCH(Notes!$C$16,$U$3:$AB$3,0))-100%))*$L$412</f>
        <v>24.55</v>
      </c>
      <c r="M422" s="286"/>
      <c r="N422" s="286"/>
      <c r="O422" s="311">
        <f t="shared" si="94"/>
        <v>24.55</v>
      </c>
      <c r="P422" s="285"/>
      <c r="Q422" s="285"/>
      <c r="R422" s="278"/>
      <c r="S422" s="278"/>
      <c r="T422" s="278"/>
    </row>
    <row r="423" spans="1:20" s="305" customFormat="1" hidden="1" outlineLevel="2" x14ac:dyDescent="0.25">
      <c r="A423" s="278"/>
      <c r="B423" s="279" t="str">
        <f t="shared" si="89"/>
        <v>beam/bearer290x45mmMGP10</v>
      </c>
      <c r="C423" s="278" t="s">
        <v>2129</v>
      </c>
      <c r="D423" s="278" t="s">
        <v>1944</v>
      </c>
      <c r="E423" s="278" t="str">
        <f t="shared" ref="E423" si="103">E249</f>
        <v>MGP10</v>
      </c>
      <c r="F423" s="278"/>
      <c r="G423" s="278" t="s">
        <v>15</v>
      </c>
      <c r="H423" s="309">
        <f t="shared" si="91"/>
        <v>0.08</v>
      </c>
      <c r="I423" s="280">
        <f t="shared" si="92"/>
        <v>6.4496000000000002</v>
      </c>
      <c r="J423" s="281">
        <f t="shared" si="93"/>
        <v>7.3144000000000009</v>
      </c>
      <c r="K423" s="282">
        <f>IF(Notes!$B$9="Domestic",I423, IF(Notes!$B$9="Commercial",J423))*$K$412</f>
        <v>14.628800000000002</v>
      </c>
      <c r="L423" s="283">
        <f>(SUM(O423:Q423)+(K423+SUM(M423:Q423))*(INDEX($U$412:$AB$412,MATCH(Notes!$C$16,$U$3:$AB$3,0))-100%))*$L$412</f>
        <v>29.46</v>
      </c>
      <c r="M423" s="286"/>
      <c r="N423" s="286"/>
      <c r="O423" s="311">
        <f t="shared" si="94"/>
        <v>29.46</v>
      </c>
      <c r="P423" s="285"/>
      <c r="Q423" s="285"/>
      <c r="R423" s="278"/>
      <c r="S423" s="278"/>
      <c r="T423" s="278"/>
    </row>
    <row r="424" spans="1:20" s="305" customFormat="1" hidden="1" outlineLevel="2" x14ac:dyDescent="0.25">
      <c r="A424" s="278"/>
      <c r="B424" s="279" t="str">
        <f t="shared" si="89"/>
        <v>beam/bearer45x35mmMGP12</v>
      </c>
      <c r="C424" s="278" t="s">
        <v>2129</v>
      </c>
      <c r="D424" s="278" t="s">
        <v>1934</v>
      </c>
      <c r="E424" s="278" t="str">
        <f t="shared" ref="E424" si="104">E250</f>
        <v>MGP12</v>
      </c>
      <c r="F424" s="278"/>
      <c r="G424" s="278" t="s">
        <v>15</v>
      </c>
      <c r="H424" s="309">
        <f t="shared" si="91"/>
        <v>0.06</v>
      </c>
      <c r="I424" s="280">
        <f t="shared" si="92"/>
        <v>4.8372000000000002</v>
      </c>
      <c r="J424" s="281">
        <f t="shared" si="93"/>
        <v>5.4858000000000002</v>
      </c>
      <c r="K424" s="282">
        <f>IF(Notes!$B$9="Domestic",I424, IF(Notes!$B$9="Commercial",J424))*$K$412</f>
        <v>10.9716</v>
      </c>
      <c r="L424" s="283">
        <f>(SUM(O424:Q424)+(K424+SUM(M424:Q424))*(INDEX($U$412:$AB$412,MATCH(Notes!$C$16,$U$3:$AB$3,0))-100%))*$L$412</f>
        <v>3.6072000000000002</v>
      </c>
      <c r="M424" s="286"/>
      <c r="N424" s="286"/>
      <c r="O424" s="311">
        <f t="shared" si="94"/>
        <v>3.6072000000000002</v>
      </c>
      <c r="P424" s="285"/>
      <c r="Q424" s="285"/>
      <c r="R424" s="278"/>
      <c r="S424" s="278"/>
      <c r="T424" s="278"/>
    </row>
    <row r="425" spans="1:20" s="305" customFormat="1" hidden="1" outlineLevel="2" x14ac:dyDescent="0.25">
      <c r="A425" s="278"/>
      <c r="B425" s="279" t="str">
        <f t="shared" si="89"/>
        <v>beam/bearer70x35mmMGP12</v>
      </c>
      <c r="C425" s="278" t="s">
        <v>2129</v>
      </c>
      <c r="D425" s="278" t="s">
        <v>1935</v>
      </c>
      <c r="E425" s="278" t="str">
        <f t="shared" ref="E425" si="105">E251</f>
        <v>MGP12</v>
      </c>
      <c r="F425" s="278"/>
      <c r="G425" s="278" t="s">
        <v>15</v>
      </c>
      <c r="H425" s="309">
        <f t="shared" si="91"/>
        <v>0.06</v>
      </c>
      <c r="I425" s="280">
        <f t="shared" si="92"/>
        <v>4.8372000000000002</v>
      </c>
      <c r="J425" s="281">
        <f t="shared" si="93"/>
        <v>5.4858000000000002</v>
      </c>
      <c r="K425" s="282">
        <f>IF(Notes!$B$9="Domestic",I425, IF(Notes!$B$9="Commercial",J425))*$K$412</f>
        <v>10.9716</v>
      </c>
      <c r="L425" s="283">
        <f>(SUM(O425:Q425)+(K425+SUM(M425:Q425))*(INDEX($U$412:$AB$412,MATCH(Notes!$C$16,$U$3:$AB$3,0))-100%))*$L$412</f>
        <v>6.68</v>
      </c>
      <c r="M425" s="286"/>
      <c r="N425" s="286"/>
      <c r="O425" s="311">
        <f t="shared" si="94"/>
        <v>6.68</v>
      </c>
      <c r="P425" s="285"/>
      <c r="Q425" s="285"/>
      <c r="R425" s="278"/>
      <c r="S425" s="278"/>
      <c r="T425" s="278"/>
    </row>
    <row r="426" spans="1:20" s="305" customFormat="1" hidden="1" outlineLevel="2" x14ac:dyDescent="0.25">
      <c r="A426" s="278"/>
      <c r="B426" s="279" t="str">
        <f t="shared" si="89"/>
        <v>beam/bearer70x45mmMGP12</v>
      </c>
      <c r="C426" s="278" t="s">
        <v>2129</v>
      </c>
      <c r="D426" s="278" t="s">
        <v>1936</v>
      </c>
      <c r="E426" s="278" t="str">
        <f t="shared" ref="E426" si="106">E252</f>
        <v>MGP12</v>
      </c>
      <c r="F426" s="278"/>
      <c r="G426" s="278" t="s">
        <v>15</v>
      </c>
      <c r="H426" s="309">
        <f t="shared" si="91"/>
        <v>0.06</v>
      </c>
      <c r="I426" s="280">
        <f t="shared" si="92"/>
        <v>4.8372000000000002</v>
      </c>
      <c r="J426" s="281">
        <f t="shared" si="93"/>
        <v>5.4858000000000002</v>
      </c>
      <c r="K426" s="282">
        <f>IF(Notes!$B$9="Domestic",I426, IF(Notes!$B$9="Commercial",J426))*$K$412</f>
        <v>10.9716</v>
      </c>
      <c r="L426" s="283">
        <f>(SUM(O426:Q426)+(K426+SUM(M426:Q426))*(INDEX($U$412:$AB$412,MATCH(Notes!$C$16,$U$3:$AB$3,0))-100%))*$L$412</f>
        <v>10.32</v>
      </c>
      <c r="M426" s="286"/>
      <c r="N426" s="286"/>
      <c r="O426" s="311">
        <f t="shared" si="94"/>
        <v>10.32</v>
      </c>
      <c r="P426" s="285"/>
      <c r="Q426" s="285"/>
      <c r="R426" s="278"/>
      <c r="S426" s="278"/>
      <c r="T426" s="278"/>
    </row>
    <row r="427" spans="1:20" s="305" customFormat="1" hidden="1" outlineLevel="2" x14ac:dyDescent="0.25">
      <c r="A427" s="278"/>
      <c r="B427" s="279" t="str">
        <f t="shared" si="89"/>
        <v>beam/bearer90x35mmMGP12</v>
      </c>
      <c r="C427" s="278" t="s">
        <v>2129</v>
      </c>
      <c r="D427" s="278" t="s">
        <v>1937</v>
      </c>
      <c r="E427" s="278" t="str">
        <f t="shared" ref="E427" si="107">E253</f>
        <v>MGP12</v>
      </c>
      <c r="F427" s="278"/>
      <c r="G427" s="278" t="s">
        <v>15</v>
      </c>
      <c r="H427" s="309">
        <f t="shared" si="91"/>
        <v>0.06</v>
      </c>
      <c r="I427" s="280">
        <f t="shared" si="92"/>
        <v>4.8372000000000002</v>
      </c>
      <c r="J427" s="281">
        <f t="shared" si="93"/>
        <v>5.4858000000000002</v>
      </c>
      <c r="K427" s="282">
        <f>IF(Notes!$B$9="Domestic",I427, IF(Notes!$B$9="Commercial",J427))*$K$412</f>
        <v>10.9716</v>
      </c>
      <c r="L427" s="283">
        <f>(SUM(O427:Q427)+(K427+SUM(M427:Q427))*(INDEX($U$412:$AB$412,MATCH(Notes!$C$16,$U$3:$AB$3,0))-100%))*$L$412</f>
        <v>7.67</v>
      </c>
      <c r="M427" s="286"/>
      <c r="N427" s="286"/>
      <c r="O427" s="311">
        <f t="shared" si="94"/>
        <v>7.67</v>
      </c>
      <c r="P427" s="285"/>
      <c r="Q427" s="285"/>
      <c r="R427" s="278"/>
      <c r="S427" s="278"/>
      <c r="T427" s="278"/>
    </row>
    <row r="428" spans="1:20" s="305" customFormat="1" hidden="1" outlineLevel="2" x14ac:dyDescent="0.25">
      <c r="A428" s="278"/>
      <c r="B428" s="279" t="str">
        <f t="shared" si="89"/>
        <v>beam/bearer90x45mmMGP12</v>
      </c>
      <c r="C428" s="278" t="s">
        <v>2129</v>
      </c>
      <c r="D428" s="278" t="s">
        <v>1938</v>
      </c>
      <c r="E428" s="278" t="str">
        <f t="shared" ref="E428" si="108">E254</f>
        <v>MGP12</v>
      </c>
      <c r="F428" s="278"/>
      <c r="G428" s="278" t="s">
        <v>15</v>
      </c>
      <c r="H428" s="309">
        <f t="shared" si="91"/>
        <v>0.06</v>
      </c>
      <c r="I428" s="280">
        <f t="shared" si="92"/>
        <v>4.8372000000000002</v>
      </c>
      <c r="J428" s="281">
        <f t="shared" si="93"/>
        <v>5.4858000000000002</v>
      </c>
      <c r="K428" s="282">
        <f>IF(Notes!$B$9="Domestic",I428, IF(Notes!$B$9="Commercial",J428))*$K$412</f>
        <v>10.9716</v>
      </c>
      <c r="L428" s="283">
        <f>(SUM(O428:Q428)+(K428+SUM(M428:Q428))*(INDEX($U$412:$AB$412,MATCH(Notes!$C$16,$U$3:$AB$3,0))-100%))*$L$412</f>
        <v>11.02</v>
      </c>
      <c r="M428" s="286"/>
      <c r="N428" s="286"/>
      <c r="O428" s="311">
        <f t="shared" si="94"/>
        <v>11.02</v>
      </c>
      <c r="P428" s="285"/>
      <c r="Q428" s="285"/>
      <c r="R428" s="278"/>
      <c r="S428" s="278"/>
      <c r="T428" s="278"/>
    </row>
    <row r="429" spans="1:20" s="305" customFormat="1" hidden="1" outlineLevel="2" x14ac:dyDescent="0.25">
      <c r="A429" s="278"/>
      <c r="B429" s="279" t="str">
        <f t="shared" si="89"/>
        <v>beam/bearer140x35mmMGP12</v>
      </c>
      <c r="C429" s="278" t="s">
        <v>2129</v>
      </c>
      <c r="D429" s="278" t="s">
        <v>1939</v>
      </c>
      <c r="E429" s="278" t="str">
        <f t="shared" ref="E429" si="109">E255</f>
        <v>MGP12</v>
      </c>
      <c r="F429" s="278"/>
      <c r="G429" s="278" t="s">
        <v>15</v>
      </c>
      <c r="H429" s="309">
        <f t="shared" si="91"/>
        <v>0.06</v>
      </c>
      <c r="I429" s="280">
        <f t="shared" si="92"/>
        <v>4.8372000000000002</v>
      </c>
      <c r="J429" s="281">
        <f t="shared" si="93"/>
        <v>5.4858000000000002</v>
      </c>
      <c r="K429" s="282">
        <f>IF(Notes!$B$9="Domestic",I429, IF(Notes!$B$9="Commercial",J429))*$K$412</f>
        <v>10.9716</v>
      </c>
      <c r="L429" s="283">
        <f>(SUM(O429:Q429)+(K429+SUM(M429:Q429))*(INDEX($U$412:$AB$412,MATCH(Notes!$C$16,$U$3:$AB$3,0))-100%))*$L$412</f>
        <v>15.74</v>
      </c>
      <c r="M429" s="286"/>
      <c r="N429" s="286"/>
      <c r="O429" s="311">
        <f t="shared" si="94"/>
        <v>15.74</v>
      </c>
      <c r="P429" s="285"/>
      <c r="Q429" s="285"/>
      <c r="R429" s="278"/>
      <c r="S429" s="278"/>
      <c r="T429" s="278"/>
    </row>
    <row r="430" spans="1:20" s="305" customFormat="1" hidden="1" outlineLevel="2" x14ac:dyDescent="0.25">
      <c r="A430" s="278"/>
      <c r="B430" s="279" t="str">
        <f t="shared" si="89"/>
        <v>beam/bearer140x45mmMGP12</v>
      </c>
      <c r="C430" s="278" t="s">
        <v>2129</v>
      </c>
      <c r="D430" s="278" t="s">
        <v>1940</v>
      </c>
      <c r="E430" s="278" t="str">
        <f t="shared" ref="E430" si="110">E256</f>
        <v>MGP12</v>
      </c>
      <c r="F430" s="278"/>
      <c r="G430" s="278" t="s">
        <v>15</v>
      </c>
      <c r="H430" s="309">
        <f t="shared" si="91"/>
        <v>0.06</v>
      </c>
      <c r="I430" s="280">
        <f t="shared" si="92"/>
        <v>4.8372000000000002</v>
      </c>
      <c r="J430" s="281">
        <f t="shared" si="93"/>
        <v>5.4858000000000002</v>
      </c>
      <c r="K430" s="282">
        <f>IF(Notes!$B$9="Domestic",I430, IF(Notes!$B$9="Commercial",J430))*$K$412</f>
        <v>10.9716</v>
      </c>
      <c r="L430" s="283">
        <f>(SUM(O430:Q430)+(K430+SUM(M430:Q430))*(INDEX($U$412:$AB$412,MATCH(Notes!$C$16,$U$3:$AB$3,0))-100%))*$L$412</f>
        <v>16.96</v>
      </c>
      <c r="M430" s="286"/>
      <c r="N430" s="286"/>
      <c r="O430" s="311">
        <f t="shared" si="94"/>
        <v>16.96</v>
      </c>
      <c r="P430" s="285"/>
      <c r="Q430" s="285"/>
      <c r="R430" s="278"/>
      <c r="S430" s="278"/>
      <c r="T430" s="278"/>
    </row>
    <row r="431" spans="1:20" s="305" customFormat="1" hidden="1" outlineLevel="2" x14ac:dyDescent="0.25">
      <c r="A431" s="278"/>
      <c r="B431" s="279" t="str">
        <f t="shared" si="89"/>
        <v>beam/bearer190x35mmMGP12</v>
      </c>
      <c r="C431" s="278" t="s">
        <v>2129</v>
      </c>
      <c r="D431" s="278" t="s">
        <v>1941</v>
      </c>
      <c r="E431" s="278" t="str">
        <f t="shared" ref="E431" si="111">E257</f>
        <v>MGP12</v>
      </c>
      <c r="F431" s="278"/>
      <c r="G431" s="278" t="s">
        <v>15</v>
      </c>
      <c r="H431" s="309">
        <f t="shared" si="91"/>
        <v>0.06</v>
      </c>
      <c r="I431" s="280">
        <f t="shared" si="92"/>
        <v>4.8372000000000002</v>
      </c>
      <c r="J431" s="281">
        <f t="shared" si="93"/>
        <v>5.4858000000000002</v>
      </c>
      <c r="K431" s="282">
        <f>IF(Notes!$B$9="Domestic",I431, IF(Notes!$B$9="Commercial",J431))*$K$412</f>
        <v>10.9716</v>
      </c>
      <c r="L431" s="283">
        <f>(SUM(O431:Q431)+(K431+SUM(M431:Q431))*(INDEX($U$412:$AB$412,MATCH(Notes!$C$16,$U$3:$AB$3,0))-100%))*$L$412</f>
        <v>20.239999999999998</v>
      </c>
      <c r="M431" s="286"/>
      <c r="N431" s="286"/>
      <c r="O431" s="311">
        <f t="shared" si="94"/>
        <v>20.239999999999998</v>
      </c>
      <c r="P431" s="285"/>
      <c r="Q431" s="285"/>
      <c r="R431" s="278"/>
      <c r="S431" s="278"/>
      <c r="T431" s="278"/>
    </row>
    <row r="432" spans="1:20" s="305" customFormat="1" hidden="1" outlineLevel="2" x14ac:dyDescent="0.25">
      <c r="A432" s="278"/>
      <c r="B432" s="279" t="str">
        <f t="shared" si="89"/>
        <v>beam/bearer190x45mmMGP12</v>
      </c>
      <c r="C432" s="278" t="s">
        <v>2129</v>
      </c>
      <c r="D432" s="278" t="s">
        <v>1942</v>
      </c>
      <c r="E432" s="278" t="str">
        <f t="shared" ref="E432" si="112">E258</f>
        <v>MGP12</v>
      </c>
      <c r="F432" s="278"/>
      <c r="G432" s="278" t="s">
        <v>15</v>
      </c>
      <c r="H432" s="309">
        <f t="shared" si="91"/>
        <v>0.06</v>
      </c>
      <c r="I432" s="280">
        <f t="shared" si="92"/>
        <v>4.8372000000000002</v>
      </c>
      <c r="J432" s="281">
        <f t="shared" si="93"/>
        <v>5.4858000000000002</v>
      </c>
      <c r="K432" s="282">
        <f>IF(Notes!$B$9="Domestic",I432, IF(Notes!$B$9="Commercial",J432))*$K$412</f>
        <v>10.9716</v>
      </c>
      <c r="L432" s="283">
        <f>(SUM(O432:Q432)+(K432+SUM(M432:Q432))*(INDEX($U$412:$AB$412,MATCH(Notes!$C$16,$U$3:$AB$3,0))-100%))*$L$412</f>
        <v>22.97</v>
      </c>
      <c r="M432" s="286"/>
      <c r="N432" s="286"/>
      <c r="O432" s="311">
        <f t="shared" si="94"/>
        <v>22.97</v>
      </c>
      <c r="P432" s="285"/>
      <c r="Q432" s="285"/>
      <c r="R432" s="278"/>
      <c r="S432" s="278"/>
      <c r="T432" s="278"/>
    </row>
    <row r="433" spans="1:20" s="305" customFormat="1" hidden="1" outlineLevel="2" x14ac:dyDescent="0.25">
      <c r="A433" s="278"/>
      <c r="B433" s="279" t="str">
        <f t="shared" si="89"/>
        <v>beam/bearer240x45mmMGP12</v>
      </c>
      <c r="C433" s="278" t="s">
        <v>2129</v>
      </c>
      <c r="D433" s="278" t="s">
        <v>1943</v>
      </c>
      <c r="E433" s="278" t="str">
        <f t="shared" ref="E433" si="113">E259</f>
        <v>MGP12</v>
      </c>
      <c r="F433" s="278"/>
      <c r="G433" s="278" t="s">
        <v>15</v>
      </c>
      <c r="H433" s="309">
        <f t="shared" si="91"/>
        <v>0.08</v>
      </c>
      <c r="I433" s="280">
        <f t="shared" si="92"/>
        <v>6.4496000000000002</v>
      </c>
      <c r="J433" s="281">
        <f t="shared" si="93"/>
        <v>7.3144000000000009</v>
      </c>
      <c r="K433" s="282">
        <f>IF(Notes!$B$9="Domestic",I433, IF(Notes!$B$9="Commercial",J433))*$K$412</f>
        <v>14.628800000000002</v>
      </c>
      <c r="L433" s="283">
        <f>(SUM(O433:Q433)+(K433+SUM(M433:Q433))*(INDEX($U$412:$AB$412,MATCH(Notes!$C$16,$U$3:$AB$3,0))-100%))*$L$412</f>
        <v>30.62</v>
      </c>
      <c r="M433" s="286"/>
      <c r="N433" s="286"/>
      <c r="O433" s="311">
        <f t="shared" si="94"/>
        <v>30.62</v>
      </c>
      <c r="P433" s="285"/>
      <c r="Q433" s="285"/>
      <c r="R433" s="278"/>
      <c r="S433" s="278"/>
      <c r="T433" s="278"/>
    </row>
    <row r="434" spans="1:20" s="305" customFormat="1" hidden="1" outlineLevel="2" x14ac:dyDescent="0.25">
      <c r="A434" s="278"/>
      <c r="B434" s="279" t="str">
        <f t="shared" si="89"/>
        <v>beam/bearer290x45mmMGP12</v>
      </c>
      <c r="C434" s="278" t="s">
        <v>2129</v>
      </c>
      <c r="D434" s="278" t="s">
        <v>1944</v>
      </c>
      <c r="E434" s="278" t="str">
        <f t="shared" ref="E434" si="114">E260</f>
        <v>MGP12</v>
      </c>
      <c r="F434" s="278"/>
      <c r="G434" s="278" t="s">
        <v>15</v>
      </c>
      <c r="H434" s="309">
        <f t="shared" si="91"/>
        <v>0.08</v>
      </c>
      <c r="I434" s="280">
        <f t="shared" si="92"/>
        <v>6.4496000000000002</v>
      </c>
      <c r="J434" s="281">
        <f t="shared" si="93"/>
        <v>7.3144000000000009</v>
      </c>
      <c r="K434" s="282">
        <f>IF(Notes!$B$9="Domestic",I434, IF(Notes!$B$9="Commercial",J434))*$K$412</f>
        <v>14.628800000000002</v>
      </c>
      <c r="L434" s="283">
        <f>(SUM(O434:Q434)+(K434+SUM(M434:Q434))*(INDEX($U$412:$AB$412,MATCH(Notes!$C$16,$U$3:$AB$3,0))-100%))*$L$412</f>
        <v>36.744</v>
      </c>
      <c r="M434" s="286"/>
      <c r="N434" s="286"/>
      <c r="O434" s="311">
        <f t="shared" si="94"/>
        <v>36.744</v>
      </c>
      <c r="P434" s="285"/>
      <c r="Q434" s="285"/>
      <c r="R434" s="278"/>
      <c r="S434" s="278"/>
      <c r="T434" s="278"/>
    </row>
    <row r="435" spans="1:20" s="305" customFormat="1" hidden="1" outlineLevel="2" x14ac:dyDescent="0.25">
      <c r="A435" s="278"/>
      <c r="B435" s="279" t="str">
        <f t="shared" si="89"/>
        <v>beam/bearer45x35mmMGP10x2</v>
      </c>
      <c r="C435" s="278" t="s">
        <v>2129</v>
      </c>
      <c r="D435" s="278" t="s">
        <v>1934</v>
      </c>
      <c r="E435" s="278" t="str">
        <f t="shared" ref="E435" si="115">E261</f>
        <v>MGP10x2</v>
      </c>
      <c r="F435" s="278"/>
      <c r="G435" s="278" t="s">
        <v>15</v>
      </c>
      <c r="H435" s="309">
        <f t="shared" si="91"/>
        <v>0.09</v>
      </c>
      <c r="I435" s="280">
        <f t="shared" si="92"/>
        <v>7.2557999999999998</v>
      </c>
      <c r="J435" s="281">
        <f t="shared" si="93"/>
        <v>8.2286999999999999</v>
      </c>
      <c r="K435" s="282">
        <f>IF(Notes!$B$9="Domestic",I435, IF(Notes!$B$9="Commercial",J435))*$K$412</f>
        <v>16.4574</v>
      </c>
      <c r="L435" s="283">
        <f>(SUM(O435:Q435)+(K435+SUM(M435:Q435))*(INDEX($U$412:$AB$412,MATCH(Notes!$C$16,$U$3:$AB$3,0))-100%))*$L$412</f>
        <v>6.02</v>
      </c>
      <c r="M435" s="286"/>
      <c r="N435" s="286"/>
      <c r="O435" s="311">
        <f t="shared" si="94"/>
        <v>6.02</v>
      </c>
      <c r="P435" s="285"/>
      <c r="Q435" s="285"/>
      <c r="R435" s="278"/>
      <c r="S435" s="278"/>
      <c r="T435" s="278"/>
    </row>
    <row r="436" spans="1:20" s="305" customFormat="1" hidden="1" outlineLevel="2" x14ac:dyDescent="0.25">
      <c r="A436" s="278"/>
      <c r="B436" s="279" t="str">
        <f t="shared" si="89"/>
        <v>beam/bearer70x35mmMGP10x2</v>
      </c>
      <c r="C436" s="278" t="s">
        <v>2129</v>
      </c>
      <c r="D436" s="278" t="s">
        <v>1935</v>
      </c>
      <c r="E436" s="278" t="str">
        <f t="shared" ref="E436" si="116">E262</f>
        <v>MGP10x2</v>
      </c>
      <c r="F436" s="278"/>
      <c r="G436" s="278" t="s">
        <v>15</v>
      </c>
      <c r="H436" s="309">
        <f t="shared" si="91"/>
        <v>0.09</v>
      </c>
      <c r="I436" s="280">
        <f t="shared" si="92"/>
        <v>7.2557999999999998</v>
      </c>
      <c r="J436" s="281">
        <f t="shared" si="93"/>
        <v>8.2286999999999999</v>
      </c>
      <c r="K436" s="282">
        <f>IF(Notes!$B$9="Domestic",I436, IF(Notes!$B$9="Commercial",J436))*$K$412</f>
        <v>16.4574</v>
      </c>
      <c r="L436" s="283">
        <f>(SUM(O436:Q436)+(K436+SUM(M436:Q436))*(INDEX($U$412:$AB$412,MATCH(Notes!$C$16,$U$3:$AB$3,0))-100%))*$L$412</f>
        <v>11.28</v>
      </c>
      <c r="M436" s="286"/>
      <c r="N436" s="286"/>
      <c r="O436" s="311">
        <f t="shared" si="94"/>
        <v>11.28</v>
      </c>
      <c r="P436" s="285"/>
      <c r="Q436" s="285"/>
      <c r="R436" s="278"/>
      <c r="S436" s="278"/>
      <c r="T436" s="278"/>
    </row>
    <row r="437" spans="1:20" s="305" customFormat="1" hidden="1" outlineLevel="2" x14ac:dyDescent="0.25">
      <c r="A437" s="278"/>
      <c r="B437" s="279" t="str">
        <f t="shared" si="89"/>
        <v>beam/bearer70x45mmMGP10x2</v>
      </c>
      <c r="C437" s="278" t="s">
        <v>2129</v>
      </c>
      <c r="D437" s="278" t="s">
        <v>1936</v>
      </c>
      <c r="E437" s="278" t="str">
        <f t="shared" ref="E437" si="117">E263</f>
        <v>MGP10x2</v>
      </c>
      <c r="F437" s="278"/>
      <c r="G437" s="278" t="s">
        <v>15</v>
      </c>
      <c r="H437" s="309">
        <f t="shared" si="91"/>
        <v>0.09</v>
      </c>
      <c r="I437" s="280">
        <f t="shared" si="92"/>
        <v>7.2557999999999998</v>
      </c>
      <c r="J437" s="281">
        <f t="shared" si="93"/>
        <v>8.2286999999999999</v>
      </c>
      <c r="K437" s="282">
        <f>IF(Notes!$B$9="Domestic",I437, IF(Notes!$B$9="Commercial",J437))*$K$412</f>
        <v>16.4574</v>
      </c>
      <c r="L437" s="283">
        <f>(SUM(O437:Q437)+(K437+SUM(M437:Q437))*(INDEX($U$412:$AB$412,MATCH(Notes!$C$16,$U$3:$AB$3,0))-100%))*$L$412</f>
        <v>13.28</v>
      </c>
      <c r="M437" s="286"/>
      <c r="N437" s="286"/>
      <c r="O437" s="311">
        <f t="shared" si="94"/>
        <v>13.28</v>
      </c>
      <c r="P437" s="285"/>
      <c r="Q437" s="285"/>
      <c r="R437" s="278"/>
      <c r="S437" s="278"/>
      <c r="T437" s="278"/>
    </row>
    <row r="438" spans="1:20" s="305" customFormat="1" hidden="1" outlineLevel="2" x14ac:dyDescent="0.25">
      <c r="A438" s="278"/>
      <c r="B438" s="279" t="str">
        <f t="shared" si="89"/>
        <v>beam/bearer90x35mmMGP10x2</v>
      </c>
      <c r="C438" s="278" t="s">
        <v>2129</v>
      </c>
      <c r="D438" s="278" t="s">
        <v>1937</v>
      </c>
      <c r="E438" s="278" t="str">
        <f t="shared" ref="E438" si="118">E264</f>
        <v>MGP10x2</v>
      </c>
      <c r="F438" s="278"/>
      <c r="G438" s="278" t="s">
        <v>15</v>
      </c>
      <c r="H438" s="309">
        <f t="shared" si="91"/>
        <v>0.09</v>
      </c>
      <c r="I438" s="280">
        <f t="shared" si="92"/>
        <v>7.2557999999999998</v>
      </c>
      <c r="J438" s="281">
        <f t="shared" si="93"/>
        <v>8.2286999999999999</v>
      </c>
      <c r="K438" s="282">
        <f>IF(Notes!$B$9="Domestic",I438, IF(Notes!$B$9="Commercial",J438))*$K$412</f>
        <v>16.4574</v>
      </c>
      <c r="L438" s="283">
        <f>(SUM(O438:Q438)+(K438+SUM(M438:Q438))*(INDEX($U$412:$AB$412,MATCH(Notes!$C$16,$U$3:$AB$3,0))-100%))*$L$412</f>
        <v>12.92</v>
      </c>
      <c r="M438" s="286"/>
      <c r="N438" s="286"/>
      <c r="O438" s="311">
        <f t="shared" si="94"/>
        <v>12.92</v>
      </c>
      <c r="P438" s="285"/>
      <c r="Q438" s="285"/>
      <c r="R438" s="278"/>
      <c r="S438" s="278"/>
      <c r="T438" s="278"/>
    </row>
    <row r="439" spans="1:20" s="305" customFormat="1" hidden="1" outlineLevel="2" x14ac:dyDescent="0.25">
      <c r="A439" s="278"/>
      <c r="B439" s="279" t="str">
        <f t="shared" si="89"/>
        <v>beam/bearer90x45mmMGP10x2</v>
      </c>
      <c r="C439" s="278" t="s">
        <v>2129</v>
      </c>
      <c r="D439" s="278" t="s">
        <v>1938</v>
      </c>
      <c r="E439" s="278" t="str">
        <f t="shared" ref="E439" si="119">E265</f>
        <v>MGP10x2</v>
      </c>
      <c r="F439" s="278"/>
      <c r="G439" s="278" t="s">
        <v>15</v>
      </c>
      <c r="H439" s="309">
        <f t="shared" si="91"/>
        <v>0.09</v>
      </c>
      <c r="I439" s="280">
        <f t="shared" si="92"/>
        <v>7.2557999999999998</v>
      </c>
      <c r="J439" s="281">
        <f t="shared" si="93"/>
        <v>8.2286999999999999</v>
      </c>
      <c r="K439" s="282">
        <f>IF(Notes!$B$9="Domestic",I439, IF(Notes!$B$9="Commercial",J439))*$K$412</f>
        <v>16.4574</v>
      </c>
      <c r="L439" s="283">
        <f>(SUM(O439:Q439)+(K439+SUM(M439:Q439))*(INDEX($U$412:$AB$412,MATCH(Notes!$C$16,$U$3:$AB$3,0))-100%))*$L$412</f>
        <v>17.64</v>
      </c>
      <c r="M439" s="286"/>
      <c r="N439" s="286"/>
      <c r="O439" s="311">
        <f t="shared" si="94"/>
        <v>17.64</v>
      </c>
      <c r="P439" s="285"/>
      <c r="Q439" s="285"/>
      <c r="R439" s="278"/>
      <c r="S439" s="278"/>
      <c r="T439" s="278"/>
    </row>
    <row r="440" spans="1:20" s="305" customFormat="1" hidden="1" outlineLevel="2" x14ac:dyDescent="0.25">
      <c r="A440" s="278"/>
      <c r="B440" s="279" t="str">
        <f t="shared" si="89"/>
        <v>beam/bearer140x35mmMGP10x2</v>
      </c>
      <c r="C440" s="278" t="s">
        <v>2129</v>
      </c>
      <c r="D440" s="278" t="s">
        <v>1939</v>
      </c>
      <c r="E440" s="278" t="str">
        <f t="shared" ref="E440" si="120">E266</f>
        <v>MGP10x2</v>
      </c>
      <c r="F440" s="278"/>
      <c r="G440" s="278" t="s">
        <v>15</v>
      </c>
      <c r="H440" s="309">
        <f t="shared" si="91"/>
        <v>0.09</v>
      </c>
      <c r="I440" s="280">
        <f t="shared" si="92"/>
        <v>7.2557999999999998</v>
      </c>
      <c r="J440" s="281">
        <f t="shared" si="93"/>
        <v>8.2286999999999999</v>
      </c>
      <c r="K440" s="282">
        <f>IF(Notes!$B$9="Domestic",I440, IF(Notes!$B$9="Commercial",J440))*$K$412</f>
        <v>16.4574</v>
      </c>
      <c r="L440" s="283">
        <f>(SUM(O440:Q440)+(K440+SUM(M440:Q440))*(INDEX($U$412:$AB$412,MATCH(Notes!$C$16,$U$3:$AB$3,0))-100%))*$L$412</f>
        <v>18.28</v>
      </c>
      <c r="M440" s="286"/>
      <c r="N440" s="286"/>
      <c r="O440" s="311">
        <f t="shared" si="94"/>
        <v>18.28</v>
      </c>
      <c r="P440" s="285"/>
      <c r="Q440" s="285"/>
      <c r="R440" s="278"/>
      <c r="S440" s="278"/>
      <c r="T440" s="278"/>
    </row>
    <row r="441" spans="1:20" s="305" customFormat="1" hidden="1" outlineLevel="2" x14ac:dyDescent="0.25">
      <c r="A441" s="278"/>
      <c r="B441" s="279" t="str">
        <f t="shared" si="89"/>
        <v>beam/bearer140x45mmMGP10x2</v>
      </c>
      <c r="C441" s="278" t="s">
        <v>2129</v>
      </c>
      <c r="D441" s="278" t="s">
        <v>1940</v>
      </c>
      <c r="E441" s="278" t="str">
        <f t="shared" ref="E441" si="121">E267</f>
        <v>MGP10x2</v>
      </c>
      <c r="F441" s="278"/>
      <c r="G441" s="278" t="s">
        <v>15</v>
      </c>
      <c r="H441" s="309">
        <f t="shared" si="91"/>
        <v>0.09</v>
      </c>
      <c r="I441" s="280">
        <f t="shared" si="92"/>
        <v>7.2557999999999998</v>
      </c>
      <c r="J441" s="281">
        <f t="shared" si="93"/>
        <v>8.2286999999999999</v>
      </c>
      <c r="K441" s="282">
        <f>IF(Notes!$B$9="Domestic",I441, IF(Notes!$B$9="Commercial",J441))*$K$412</f>
        <v>16.4574</v>
      </c>
      <c r="L441" s="283">
        <f>(SUM(O441:Q441)+(K441+SUM(M441:Q441))*(INDEX($U$412:$AB$412,MATCH(Notes!$C$16,$U$3:$AB$3,0))-100%))*$L$412</f>
        <v>26.16</v>
      </c>
      <c r="M441" s="286"/>
      <c r="N441" s="286"/>
      <c r="O441" s="311">
        <f t="shared" si="94"/>
        <v>26.16</v>
      </c>
      <c r="P441" s="285"/>
      <c r="Q441" s="285"/>
      <c r="R441" s="278"/>
      <c r="S441" s="278"/>
      <c r="T441" s="278"/>
    </row>
    <row r="442" spans="1:20" s="305" customFormat="1" hidden="1" outlineLevel="2" x14ac:dyDescent="0.25">
      <c r="A442" s="278"/>
      <c r="B442" s="279" t="str">
        <f t="shared" si="89"/>
        <v>beam/bearer190x35mmMGP10x2</v>
      </c>
      <c r="C442" s="278" t="s">
        <v>2129</v>
      </c>
      <c r="D442" s="278" t="s">
        <v>1941</v>
      </c>
      <c r="E442" s="278" t="str">
        <f t="shared" ref="E442" si="122">E268</f>
        <v>MGP10x2</v>
      </c>
      <c r="F442" s="278"/>
      <c r="G442" s="278" t="s">
        <v>15</v>
      </c>
      <c r="H442" s="309">
        <f t="shared" si="91"/>
        <v>0.09</v>
      </c>
      <c r="I442" s="280">
        <f t="shared" si="92"/>
        <v>7.2557999999999998</v>
      </c>
      <c r="J442" s="281">
        <f t="shared" si="93"/>
        <v>8.2286999999999999</v>
      </c>
      <c r="K442" s="282">
        <f>IF(Notes!$B$9="Domestic",I442, IF(Notes!$B$9="Commercial",J442))*$K$412</f>
        <v>16.4574</v>
      </c>
      <c r="L442" s="283">
        <f>(SUM(O442:Q442)+(K442+SUM(M442:Q442))*(INDEX($U$412:$AB$412,MATCH(Notes!$C$16,$U$3:$AB$3,0))-100%))*$L$412</f>
        <v>29</v>
      </c>
      <c r="M442" s="286"/>
      <c r="N442" s="286"/>
      <c r="O442" s="311">
        <f t="shared" si="94"/>
        <v>29</v>
      </c>
      <c r="P442" s="285"/>
      <c r="Q442" s="285"/>
      <c r="R442" s="278"/>
      <c r="S442" s="278"/>
      <c r="T442" s="278"/>
    </row>
    <row r="443" spans="1:20" s="305" customFormat="1" hidden="1" outlineLevel="2" x14ac:dyDescent="0.25">
      <c r="A443" s="278"/>
      <c r="B443" s="279" t="str">
        <f t="shared" si="89"/>
        <v>beam/bearer190x45mmMGP10x2</v>
      </c>
      <c r="C443" s="278" t="s">
        <v>2129</v>
      </c>
      <c r="D443" s="278" t="s">
        <v>1942</v>
      </c>
      <c r="E443" s="278" t="str">
        <f t="shared" ref="E443" si="123">E269</f>
        <v>MGP10x2</v>
      </c>
      <c r="F443" s="278"/>
      <c r="G443" s="278" t="s">
        <v>15</v>
      </c>
      <c r="H443" s="309">
        <f t="shared" si="91"/>
        <v>0.09</v>
      </c>
      <c r="I443" s="280">
        <f t="shared" si="92"/>
        <v>7.2557999999999998</v>
      </c>
      <c r="J443" s="281">
        <f t="shared" si="93"/>
        <v>8.2286999999999999</v>
      </c>
      <c r="K443" s="282">
        <f>IF(Notes!$B$9="Domestic",I443, IF(Notes!$B$9="Commercial",J443))*$K$412</f>
        <v>16.4574</v>
      </c>
      <c r="L443" s="283">
        <f>(SUM(O443:Q443)+(K443+SUM(M443:Q443))*(INDEX($U$412:$AB$412,MATCH(Notes!$C$16,$U$3:$AB$3,0))-100%))*$L$412</f>
        <v>35.4</v>
      </c>
      <c r="M443" s="286"/>
      <c r="N443" s="286"/>
      <c r="O443" s="311">
        <f t="shared" si="94"/>
        <v>35.4</v>
      </c>
      <c r="P443" s="285"/>
      <c r="Q443" s="285"/>
      <c r="R443" s="278"/>
      <c r="S443" s="278"/>
      <c r="T443" s="278"/>
    </row>
    <row r="444" spans="1:20" s="305" customFormat="1" hidden="1" outlineLevel="2" x14ac:dyDescent="0.25">
      <c r="A444" s="278"/>
      <c r="B444" s="279" t="str">
        <f t="shared" si="89"/>
        <v>beam/bearer240x45mmMGP10x2</v>
      </c>
      <c r="C444" s="278" t="s">
        <v>2129</v>
      </c>
      <c r="D444" s="278" t="s">
        <v>1943</v>
      </c>
      <c r="E444" s="278" t="str">
        <f t="shared" ref="E444" si="124">E270</f>
        <v>MGP10x2</v>
      </c>
      <c r="F444" s="278"/>
      <c r="G444" s="278" t="s">
        <v>15</v>
      </c>
      <c r="H444" s="309">
        <f t="shared" si="91"/>
        <v>0.12</v>
      </c>
      <c r="I444" s="280">
        <f t="shared" si="92"/>
        <v>9.6744000000000003</v>
      </c>
      <c r="J444" s="281">
        <f t="shared" si="93"/>
        <v>10.9716</v>
      </c>
      <c r="K444" s="282">
        <f>IF(Notes!$B$9="Domestic",I444, IF(Notes!$B$9="Commercial",J444))*$K$412</f>
        <v>21.943200000000001</v>
      </c>
      <c r="L444" s="283">
        <f>(SUM(O444:Q444)+(K444+SUM(M444:Q444))*(INDEX($U$412:$AB$412,MATCH(Notes!$C$16,$U$3:$AB$3,0))-100%))*$L$412</f>
        <v>49.1</v>
      </c>
      <c r="M444" s="286"/>
      <c r="N444" s="286"/>
      <c r="O444" s="311">
        <f t="shared" si="94"/>
        <v>49.1</v>
      </c>
      <c r="P444" s="285"/>
      <c r="Q444" s="285"/>
      <c r="R444" s="278"/>
      <c r="S444" s="278"/>
      <c r="T444" s="278"/>
    </row>
    <row r="445" spans="1:20" s="305" customFormat="1" hidden="1" outlineLevel="2" x14ac:dyDescent="0.25">
      <c r="A445" s="278"/>
      <c r="B445" s="279" t="str">
        <f t="shared" si="89"/>
        <v>beam/bearer290x45mmMGP10x2</v>
      </c>
      <c r="C445" s="278" t="s">
        <v>2129</v>
      </c>
      <c r="D445" s="278" t="s">
        <v>1944</v>
      </c>
      <c r="E445" s="278" t="str">
        <f t="shared" ref="E445" si="125">E271</f>
        <v>MGP10x2</v>
      </c>
      <c r="F445" s="278"/>
      <c r="G445" s="278" t="s">
        <v>15</v>
      </c>
      <c r="H445" s="309">
        <f t="shared" si="91"/>
        <v>0.12</v>
      </c>
      <c r="I445" s="280">
        <f t="shared" si="92"/>
        <v>9.6744000000000003</v>
      </c>
      <c r="J445" s="281">
        <f t="shared" si="93"/>
        <v>10.9716</v>
      </c>
      <c r="K445" s="282">
        <f>IF(Notes!$B$9="Domestic",I445, IF(Notes!$B$9="Commercial",J445))*$K$412</f>
        <v>21.943200000000001</v>
      </c>
      <c r="L445" s="283">
        <f>(SUM(O445:Q445)+(K445+SUM(M445:Q445))*(INDEX($U$412:$AB$412,MATCH(Notes!$C$16,$U$3:$AB$3,0))-100%))*$L$412</f>
        <v>58.92</v>
      </c>
      <c r="M445" s="286"/>
      <c r="N445" s="286"/>
      <c r="O445" s="311">
        <f t="shared" si="94"/>
        <v>58.92</v>
      </c>
      <c r="P445" s="285"/>
      <c r="Q445" s="285"/>
      <c r="R445" s="278"/>
      <c r="S445" s="278"/>
      <c r="T445" s="278"/>
    </row>
    <row r="446" spans="1:20" s="305" customFormat="1" hidden="1" outlineLevel="2" x14ac:dyDescent="0.25">
      <c r="A446" s="278"/>
      <c r="B446" s="279" t="str">
        <f t="shared" si="89"/>
        <v>beam/bearer45x35mmMGP12x2</v>
      </c>
      <c r="C446" s="278" t="s">
        <v>2129</v>
      </c>
      <c r="D446" s="278" t="s">
        <v>1934</v>
      </c>
      <c r="E446" s="278" t="str">
        <f t="shared" ref="E446" si="126">E272</f>
        <v>MGP12x2</v>
      </c>
      <c r="F446" s="278"/>
      <c r="G446" s="278" t="s">
        <v>15</v>
      </c>
      <c r="H446" s="309">
        <f t="shared" si="91"/>
        <v>0.09</v>
      </c>
      <c r="I446" s="280">
        <f t="shared" si="92"/>
        <v>7.2557999999999998</v>
      </c>
      <c r="J446" s="281">
        <f t="shared" si="93"/>
        <v>8.2286999999999999</v>
      </c>
      <c r="K446" s="282">
        <f>IF(Notes!$B$9="Domestic",I446, IF(Notes!$B$9="Commercial",J446))*$K$412</f>
        <v>16.4574</v>
      </c>
      <c r="L446" s="283">
        <f>(SUM(O446:Q446)+(K446+SUM(M446:Q446))*(INDEX($U$412:$AB$412,MATCH(Notes!$C$16,$U$3:$AB$3,0))-100%))*$L$412</f>
        <v>7.2144000000000004</v>
      </c>
      <c r="M446" s="286"/>
      <c r="N446" s="286"/>
      <c r="O446" s="311">
        <f t="shared" si="94"/>
        <v>7.2144000000000004</v>
      </c>
      <c r="P446" s="285"/>
      <c r="Q446" s="285"/>
      <c r="R446" s="278"/>
      <c r="S446" s="278"/>
      <c r="T446" s="278"/>
    </row>
    <row r="447" spans="1:20" s="305" customFormat="1" hidden="1" outlineLevel="2" x14ac:dyDescent="0.25">
      <c r="A447" s="278"/>
      <c r="B447" s="279" t="str">
        <f t="shared" si="89"/>
        <v>beam/bearer70x35mmMGP12x2</v>
      </c>
      <c r="C447" s="278" t="s">
        <v>2129</v>
      </c>
      <c r="D447" s="278" t="s">
        <v>1935</v>
      </c>
      <c r="E447" s="278" t="str">
        <f t="shared" ref="E447" si="127">E273</f>
        <v>MGP12x2</v>
      </c>
      <c r="F447" s="278"/>
      <c r="G447" s="278" t="s">
        <v>15</v>
      </c>
      <c r="H447" s="309">
        <f t="shared" si="91"/>
        <v>0.09</v>
      </c>
      <c r="I447" s="280">
        <f t="shared" si="92"/>
        <v>7.2557999999999998</v>
      </c>
      <c r="J447" s="281">
        <f t="shared" si="93"/>
        <v>8.2286999999999999</v>
      </c>
      <c r="K447" s="282">
        <f>IF(Notes!$B$9="Domestic",I447, IF(Notes!$B$9="Commercial",J447))*$K$412</f>
        <v>16.4574</v>
      </c>
      <c r="L447" s="283">
        <f>(SUM(O447:Q447)+(K447+SUM(M447:Q447))*(INDEX($U$412:$AB$412,MATCH(Notes!$C$16,$U$3:$AB$3,0))-100%))*$L$412</f>
        <v>13.36</v>
      </c>
      <c r="M447" s="286"/>
      <c r="N447" s="286"/>
      <c r="O447" s="311">
        <f t="shared" si="94"/>
        <v>13.36</v>
      </c>
      <c r="P447" s="285"/>
      <c r="Q447" s="285"/>
      <c r="R447" s="278"/>
      <c r="S447" s="278"/>
      <c r="T447" s="278"/>
    </row>
    <row r="448" spans="1:20" s="305" customFormat="1" hidden="1" outlineLevel="2" x14ac:dyDescent="0.25">
      <c r="A448" s="278"/>
      <c r="B448" s="279" t="str">
        <f t="shared" si="89"/>
        <v>beam/bearer70x45mmMGP12x2</v>
      </c>
      <c r="C448" s="278" t="s">
        <v>2129</v>
      </c>
      <c r="D448" s="278" t="s">
        <v>1936</v>
      </c>
      <c r="E448" s="278" t="str">
        <f t="shared" ref="E448" si="128">E274</f>
        <v>MGP12x2</v>
      </c>
      <c r="F448" s="278"/>
      <c r="G448" s="278" t="s">
        <v>15</v>
      </c>
      <c r="H448" s="309">
        <f t="shared" si="91"/>
        <v>0.09</v>
      </c>
      <c r="I448" s="280">
        <f t="shared" si="92"/>
        <v>7.2557999999999998</v>
      </c>
      <c r="J448" s="281">
        <f t="shared" si="93"/>
        <v>8.2286999999999999</v>
      </c>
      <c r="K448" s="282">
        <f>IF(Notes!$B$9="Domestic",I448, IF(Notes!$B$9="Commercial",J448))*$K$412</f>
        <v>16.4574</v>
      </c>
      <c r="L448" s="283">
        <f>(SUM(O448:Q448)+(K448+SUM(M448:Q448))*(INDEX($U$412:$AB$412,MATCH(Notes!$C$16,$U$3:$AB$3,0))-100%))*$L$412</f>
        <v>20.64</v>
      </c>
      <c r="M448" s="286"/>
      <c r="N448" s="286"/>
      <c r="O448" s="311">
        <f t="shared" si="94"/>
        <v>20.64</v>
      </c>
      <c r="P448" s="285"/>
      <c r="Q448" s="285"/>
      <c r="R448" s="278"/>
      <c r="S448" s="278"/>
      <c r="T448" s="278"/>
    </row>
    <row r="449" spans="1:20" s="305" customFormat="1" hidden="1" outlineLevel="2" x14ac:dyDescent="0.25">
      <c r="A449" s="278"/>
      <c r="B449" s="279" t="str">
        <f t="shared" si="89"/>
        <v>beam/bearer90x35mmMGP12x2</v>
      </c>
      <c r="C449" s="278" t="s">
        <v>2129</v>
      </c>
      <c r="D449" s="278" t="s">
        <v>1937</v>
      </c>
      <c r="E449" s="278" t="str">
        <f t="shared" ref="E449" si="129">E275</f>
        <v>MGP12x2</v>
      </c>
      <c r="F449" s="278"/>
      <c r="G449" s="278" t="s">
        <v>15</v>
      </c>
      <c r="H449" s="309">
        <f t="shared" si="91"/>
        <v>0.09</v>
      </c>
      <c r="I449" s="280">
        <f t="shared" si="92"/>
        <v>7.2557999999999998</v>
      </c>
      <c r="J449" s="281">
        <f t="shared" si="93"/>
        <v>8.2286999999999999</v>
      </c>
      <c r="K449" s="282">
        <f>IF(Notes!$B$9="Domestic",I449, IF(Notes!$B$9="Commercial",J449))*$K$412</f>
        <v>16.4574</v>
      </c>
      <c r="L449" s="283">
        <f>(SUM(O449:Q449)+(K449+SUM(M449:Q449))*(INDEX($U$412:$AB$412,MATCH(Notes!$C$16,$U$3:$AB$3,0))-100%))*$L$412</f>
        <v>15.34</v>
      </c>
      <c r="M449" s="286"/>
      <c r="N449" s="286"/>
      <c r="O449" s="311">
        <f t="shared" si="94"/>
        <v>15.34</v>
      </c>
      <c r="P449" s="285"/>
      <c r="Q449" s="285"/>
      <c r="R449" s="278"/>
      <c r="S449" s="278"/>
      <c r="T449" s="278"/>
    </row>
    <row r="450" spans="1:20" s="305" customFormat="1" hidden="1" outlineLevel="2" x14ac:dyDescent="0.25">
      <c r="A450" s="278"/>
      <c r="B450" s="279" t="str">
        <f t="shared" si="89"/>
        <v>beam/bearer90x45mmMGP12x2</v>
      </c>
      <c r="C450" s="278" t="s">
        <v>2129</v>
      </c>
      <c r="D450" s="278" t="s">
        <v>1938</v>
      </c>
      <c r="E450" s="278" t="str">
        <f t="shared" ref="E450" si="130">E276</f>
        <v>MGP12x2</v>
      </c>
      <c r="F450" s="278"/>
      <c r="G450" s="278" t="s">
        <v>15</v>
      </c>
      <c r="H450" s="309">
        <f t="shared" si="91"/>
        <v>0.09</v>
      </c>
      <c r="I450" s="280">
        <f t="shared" si="92"/>
        <v>7.2557999999999998</v>
      </c>
      <c r="J450" s="281">
        <f t="shared" si="93"/>
        <v>8.2286999999999999</v>
      </c>
      <c r="K450" s="282">
        <f>IF(Notes!$B$9="Domestic",I450, IF(Notes!$B$9="Commercial",J450))*$K$412</f>
        <v>16.4574</v>
      </c>
      <c r="L450" s="283">
        <f>(SUM(O450:Q450)+(K450+SUM(M450:Q450))*(INDEX($U$412:$AB$412,MATCH(Notes!$C$16,$U$3:$AB$3,0))-100%))*$L$412</f>
        <v>22.04</v>
      </c>
      <c r="M450" s="286"/>
      <c r="N450" s="286"/>
      <c r="O450" s="311">
        <f t="shared" si="94"/>
        <v>22.04</v>
      </c>
      <c r="P450" s="285"/>
      <c r="Q450" s="285"/>
      <c r="R450" s="278"/>
      <c r="S450" s="278"/>
      <c r="T450" s="278"/>
    </row>
    <row r="451" spans="1:20" s="305" customFormat="1" hidden="1" outlineLevel="2" x14ac:dyDescent="0.25">
      <c r="A451" s="278"/>
      <c r="B451" s="279" t="str">
        <f t="shared" si="89"/>
        <v>beam/bearer140x35mmMGP12x2</v>
      </c>
      <c r="C451" s="278" t="s">
        <v>2129</v>
      </c>
      <c r="D451" s="278" t="s">
        <v>1939</v>
      </c>
      <c r="E451" s="278" t="str">
        <f t="shared" ref="E451" si="131">E277</f>
        <v>MGP12x2</v>
      </c>
      <c r="F451" s="278"/>
      <c r="G451" s="278" t="s">
        <v>15</v>
      </c>
      <c r="H451" s="309">
        <f t="shared" si="91"/>
        <v>0.09</v>
      </c>
      <c r="I451" s="280">
        <f t="shared" si="92"/>
        <v>7.2557999999999998</v>
      </c>
      <c r="J451" s="281">
        <f t="shared" si="93"/>
        <v>8.2286999999999999</v>
      </c>
      <c r="K451" s="282">
        <f>IF(Notes!$B$9="Domestic",I451, IF(Notes!$B$9="Commercial",J451))*$K$412</f>
        <v>16.4574</v>
      </c>
      <c r="L451" s="283">
        <f>(SUM(O451:Q451)+(K451+SUM(M451:Q451))*(INDEX($U$412:$AB$412,MATCH(Notes!$C$16,$U$3:$AB$3,0))-100%))*$L$412</f>
        <v>31.48</v>
      </c>
      <c r="M451" s="286"/>
      <c r="N451" s="286"/>
      <c r="O451" s="311">
        <f t="shared" si="94"/>
        <v>31.48</v>
      </c>
      <c r="P451" s="285"/>
      <c r="Q451" s="285"/>
      <c r="R451" s="278"/>
      <c r="S451" s="278"/>
      <c r="T451" s="278"/>
    </row>
    <row r="452" spans="1:20" s="305" customFormat="1" hidden="1" outlineLevel="2" x14ac:dyDescent="0.25">
      <c r="A452" s="278"/>
      <c r="B452" s="279" t="str">
        <f t="shared" si="89"/>
        <v>beam/bearer140x45mmMGP12x2</v>
      </c>
      <c r="C452" s="278" t="s">
        <v>2129</v>
      </c>
      <c r="D452" s="278" t="s">
        <v>1940</v>
      </c>
      <c r="E452" s="278" t="str">
        <f t="shared" ref="E452" si="132">E278</f>
        <v>MGP12x2</v>
      </c>
      <c r="F452" s="278"/>
      <c r="G452" s="278" t="s">
        <v>15</v>
      </c>
      <c r="H452" s="309">
        <f t="shared" si="91"/>
        <v>0.09</v>
      </c>
      <c r="I452" s="280">
        <f t="shared" si="92"/>
        <v>7.2557999999999998</v>
      </c>
      <c r="J452" s="281">
        <f t="shared" si="93"/>
        <v>8.2286999999999999</v>
      </c>
      <c r="K452" s="282">
        <f>IF(Notes!$B$9="Domestic",I452, IF(Notes!$B$9="Commercial",J452))*$K$412</f>
        <v>16.4574</v>
      </c>
      <c r="L452" s="283">
        <f>(SUM(O452:Q452)+(K452+SUM(M452:Q452))*(INDEX($U$412:$AB$412,MATCH(Notes!$C$16,$U$3:$AB$3,0))-100%))*$L$412</f>
        <v>33.92</v>
      </c>
      <c r="M452" s="286"/>
      <c r="N452" s="286"/>
      <c r="O452" s="311">
        <f t="shared" si="94"/>
        <v>33.92</v>
      </c>
      <c r="P452" s="285"/>
      <c r="Q452" s="285"/>
      <c r="R452" s="278"/>
      <c r="S452" s="278"/>
      <c r="T452" s="278"/>
    </row>
    <row r="453" spans="1:20" s="305" customFormat="1" hidden="1" outlineLevel="2" x14ac:dyDescent="0.25">
      <c r="A453" s="278"/>
      <c r="B453" s="279" t="str">
        <f t="shared" si="89"/>
        <v>beam/bearer190x35mmMGP12x2</v>
      </c>
      <c r="C453" s="278" t="s">
        <v>2129</v>
      </c>
      <c r="D453" s="278" t="s">
        <v>1941</v>
      </c>
      <c r="E453" s="278" t="str">
        <f t="shared" ref="E453" si="133">E279</f>
        <v>MGP12x2</v>
      </c>
      <c r="F453" s="278"/>
      <c r="G453" s="278" t="s">
        <v>15</v>
      </c>
      <c r="H453" s="309">
        <f t="shared" si="91"/>
        <v>0.09</v>
      </c>
      <c r="I453" s="280">
        <f t="shared" si="92"/>
        <v>7.2557999999999998</v>
      </c>
      <c r="J453" s="281">
        <f t="shared" si="93"/>
        <v>8.2286999999999999</v>
      </c>
      <c r="K453" s="282">
        <f>IF(Notes!$B$9="Domestic",I453, IF(Notes!$B$9="Commercial",J453))*$K$412</f>
        <v>16.4574</v>
      </c>
      <c r="L453" s="283">
        <f>(SUM(O453:Q453)+(K453+SUM(M453:Q453))*(INDEX($U$412:$AB$412,MATCH(Notes!$C$16,$U$3:$AB$3,0))-100%))*$L$412</f>
        <v>40.479999999999997</v>
      </c>
      <c r="M453" s="286"/>
      <c r="N453" s="286"/>
      <c r="O453" s="311">
        <f t="shared" si="94"/>
        <v>40.479999999999997</v>
      </c>
      <c r="P453" s="285"/>
      <c r="Q453" s="285"/>
      <c r="R453" s="278"/>
      <c r="S453" s="278"/>
      <c r="T453" s="278"/>
    </row>
    <row r="454" spans="1:20" s="305" customFormat="1" hidden="1" outlineLevel="2" x14ac:dyDescent="0.25">
      <c r="A454" s="278"/>
      <c r="B454" s="279" t="str">
        <f t="shared" si="89"/>
        <v>beam/bearer190x45mmMGP12x2</v>
      </c>
      <c r="C454" s="278" t="s">
        <v>2129</v>
      </c>
      <c r="D454" s="278" t="s">
        <v>1942</v>
      </c>
      <c r="E454" s="278" t="str">
        <f t="shared" ref="E454" si="134">E280</f>
        <v>MGP12x2</v>
      </c>
      <c r="F454" s="278"/>
      <c r="G454" s="278" t="s">
        <v>15</v>
      </c>
      <c r="H454" s="309">
        <f t="shared" si="91"/>
        <v>0.09</v>
      </c>
      <c r="I454" s="280">
        <f t="shared" si="92"/>
        <v>7.2557999999999998</v>
      </c>
      <c r="J454" s="281">
        <f t="shared" si="93"/>
        <v>8.2286999999999999</v>
      </c>
      <c r="K454" s="282">
        <f>IF(Notes!$B$9="Domestic",I454, IF(Notes!$B$9="Commercial",J454))*$K$412</f>
        <v>16.4574</v>
      </c>
      <c r="L454" s="283">
        <f>(SUM(O454:Q454)+(K454+SUM(M454:Q454))*(INDEX($U$412:$AB$412,MATCH(Notes!$C$16,$U$3:$AB$3,0))-100%))*$L$412</f>
        <v>45.94</v>
      </c>
      <c r="M454" s="286"/>
      <c r="N454" s="286"/>
      <c r="O454" s="311">
        <f t="shared" si="94"/>
        <v>45.94</v>
      </c>
      <c r="P454" s="285"/>
      <c r="Q454" s="285"/>
      <c r="R454" s="278"/>
      <c r="S454" s="278"/>
      <c r="T454" s="278"/>
    </row>
    <row r="455" spans="1:20" s="305" customFormat="1" hidden="1" outlineLevel="2" x14ac:dyDescent="0.25">
      <c r="A455" s="278"/>
      <c r="B455" s="279" t="str">
        <f t="shared" si="89"/>
        <v>beam/bearer240x45mmMGP12x2</v>
      </c>
      <c r="C455" s="278" t="s">
        <v>2129</v>
      </c>
      <c r="D455" s="278" t="s">
        <v>1943</v>
      </c>
      <c r="E455" s="278" t="str">
        <f t="shared" ref="E455" si="135">E281</f>
        <v>MGP12x2</v>
      </c>
      <c r="F455" s="278"/>
      <c r="G455" s="278" t="s">
        <v>15</v>
      </c>
      <c r="H455" s="309">
        <f t="shared" si="91"/>
        <v>0.12</v>
      </c>
      <c r="I455" s="280">
        <f t="shared" si="92"/>
        <v>9.6744000000000003</v>
      </c>
      <c r="J455" s="281">
        <f t="shared" si="93"/>
        <v>10.9716</v>
      </c>
      <c r="K455" s="282">
        <f>IF(Notes!$B$9="Domestic",I455, IF(Notes!$B$9="Commercial",J455))*$K$412</f>
        <v>21.943200000000001</v>
      </c>
      <c r="L455" s="283">
        <f>(SUM(O455:Q455)+(K455+SUM(M455:Q455))*(INDEX($U$412:$AB$412,MATCH(Notes!$C$16,$U$3:$AB$3,0))-100%))*$L$412</f>
        <v>61.24</v>
      </c>
      <c r="M455" s="286"/>
      <c r="N455" s="286"/>
      <c r="O455" s="311">
        <f t="shared" si="94"/>
        <v>61.24</v>
      </c>
      <c r="P455" s="285"/>
      <c r="Q455" s="285"/>
      <c r="R455" s="278"/>
      <c r="S455" s="278"/>
      <c r="T455" s="278"/>
    </row>
    <row r="456" spans="1:20" s="305" customFormat="1" hidden="1" outlineLevel="2" x14ac:dyDescent="0.25">
      <c r="A456" s="278"/>
      <c r="B456" s="279" t="str">
        <f t="shared" si="89"/>
        <v>beam/bearer290x45mmMGP12x2</v>
      </c>
      <c r="C456" s="278" t="s">
        <v>2129</v>
      </c>
      <c r="D456" s="278" t="s">
        <v>1944</v>
      </c>
      <c r="E456" s="278" t="str">
        <f t="shared" ref="E456" si="136">E282</f>
        <v>MGP12x2</v>
      </c>
      <c r="F456" s="278"/>
      <c r="G456" s="278" t="s">
        <v>15</v>
      </c>
      <c r="H456" s="309">
        <f t="shared" si="91"/>
        <v>0.12</v>
      </c>
      <c r="I456" s="280">
        <f t="shared" si="92"/>
        <v>9.6744000000000003</v>
      </c>
      <c r="J456" s="281">
        <f t="shared" si="93"/>
        <v>10.9716</v>
      </c>
      <c r="K456" s="282">
        <f>IF(Notes!$B$9="Domestic",I456, IF(Notes!$B$9="Commercial",J456))*$K$412</f>
        <v>21.943200000000001</v>
      </c>
      <c r="L456" s="283">
        <f>(SUM(O456:Q456)+(K456+SUM(M456:Q456))*(INDEX($U$412:$AB$412,MATCH(Notes!$C$16,$U$3:$AB$3,0))-100%))*$L$412</f>
        <v>73.488</v>
      </c>
      <c r="M456" s="286"/>
      <c r="N456" s="286"/>
      <c r="O456" s="311">
        <f t="shared" si="94"/>
        <v>73.488</v>
      </c>
      <c r="P456" s="285"/>
      <c r="Q456" s="285"/>
      <c r="R456" s="278"/>
      <c r="S456" s="278"/>
      <c r="T456" s="278"/>
    </row>
    <row r="457" spans="1:20" s="305" customFormat="1" hidden="1" outlineLevel="2" x14ac:dyDescent="0.25">
      <c r="A457" s="278"/>
      <c r="B457" s="279" t="str">
        <f t="shared" si="89"/>
        <v>beam/bearer90x45mmLVL</v>
      </c>
      <c r="C457" s="278" t="s">
        <v>2129</v>
      </c>
      <c r="D457" s="278" t="s">
        <v>1938</v>
      </c>
      <c r="E457" s="278" t="str">
        <f t="shared" ref="E457:E488" si="137">E295</f>
        <v>LVL</v>
      </c>
      <c r="F457" s="278"/>
      <c r="G457" s="278" t="s">
        <v>15</v>
      </c>
      <c r="H457" s="309">
        <f t="shared" ref="H457:H488" si="138">H295*2</f>
        <v>0.06</v>
      </c>
      <c r="I457" s="280">
        <f t="shared" si="92"/>
        <v>4.8372000000000002</v>
      </c>
      <c r="J457" s="281">
        <f t="shared" si="93"/>
        <v>5.4858000000000002</v>
      </c>
      <c r="K457" s="282">
        <f>IF(Notes!$B$9="Domestic",I457, IF(Notes!$B$9="Commercial",J457))*$K$412</f>
        <v>10.9716</v>
      </c>
      <c r="L457" s="283">
        <f>(SUM(O457:Q457)+(K457+SUM(M457:Q457))*(INDEX($U$412:$AB$412,MATCH(Notes!$C$16,$U$3:$AB$3,0))-100%))*$L$412</f>
        <v>22.81</v>
      </c>
      <c r="M457" s="286"/>
      <c r="N457" s="286"/>
      <c r="O457" s="311">
        <f t="shared" ref="O457:O488" si="139">O295</f>
        <v>22.81</v>
      </c>
      <c r="P457" s="285"/>
      <c r="Q457" s="285"/>
      <c r="R457" s="278"/>
      <c r="S457" s="278"/>
      <c r="T457" s="278"/>
    </row>
    <row r="458" spans="1:20" s="305" customFormat="1" hidden="1" outlineLevel="2" x14ac:dyDescent="0.25">
      <c r="A458" s="278"/>
      <c r="B458" s="279" t="str">
        <f t="shared" si="89"/>
        <v>beam/bearer95x36mmLVL</v>
      </c>
      <c r="C458" s="278" t="s">
        <v>2129</v>
      </c>
      <c r="D458" s="278" t="s">
        <v>1956</v>
      </c>
      <c r="E458" s="278" t="str">
        <f t="shared" si="137"/>
        <v>LVL</v>
      </c>
      <c r="F458" s="278"/>
      <c r="G458" s="278" t="s">
        <v>15</v>
      </c>
      <c r="H458" s="309">
        <f t="shared" si="138"/>
        <v>0.06</v>
      </c>
      <c r="I458" s="280">
        <f t="shared" si="92"/>
        <v>4.8372000000000002</v>
      </c>
      <c r="J458" s="281">
        <f t="shared" si="93"/>
        <v>5.4858000000000002</v>
      </c>
      <c r="K458" s="282">
        <f>IF(Notes!$B$9="Domestic",I458, IF(Notes!$B$9="Commercial",J458))*$K$412</f>
        <v>10.9716</v>
      </c>
      <c r="L458" s="283">
        <f>(SUM(O458:Q458)+(K458+SUM(M458:Q458))*(INDEX($U$412:$AB$412,MATCH(Notes!$C$16,$U$3:$AB$3,0))-100%))*$L$412</f>
        <v>18.36</v>
      </c>
      <c r="M458" s="286"/>
      <c r="N458" s="286"/>
      <c r="O458" s="311">
        <f t="shared" si="139"/>
        <v>18.36</v>
      </c>
      <c r="P458" s="285"/>
      <c r="Q458" s="285"/>
      <c r="R458" s="278"/>
      <c r="S458" s="278"/>
      <c r="T458" s="278"/>
    </row>
    <row r="459" spans="1:20" s="305" customFormat="1" hidden="1" outlineLevel="2" x14ac:dyDescent="0.25">
      <c r="A459" s="278"/>
      <c r="B459" s="279" t="str">
        <f t="shared" si="89"/>
        <v>beam/bearer95x63mmLVL</v>
      </c>
      <c r="C459" s="278" t="s">
        <v>2129</v>
      </c>
      <c r="D459" s="278" t="s">
        <v>1957</v>
      </c>
      <c r="E459" s="278" t="str">
        <f t="shared" si="137"/>
        <v>LVL</v>
      </c>
      <c r="F459" s="278"/>
      <c r="G459" s="278" t="s">
        <v>15</v>
      </c>
      <c r="H459" s="309">
        <f t="shared" si="138"/>
        <v>0.06</v>
      </c>
      <c r="I459" s="280">
        <f t="shared" si="92"/>
        <v>4.8372000000000002</v>
      </c>
      <c r="J459" s="281">
        <f t="shared" si="93"/>
        <v>5.4858000000000002</v>
      </c>
      <c r="K459" s="282">
        <f>IF(Notes!$B$9="Domestic",I459, IF(Notes!$B$9="Commercial",J459))*$K$412</f>
        <v>10.9716</v>
      </c>
      <c r="L459" s="283">
        <f>(SUM(O459:Q459)+(K459+SUM(M459:Q459))*(INDEX($U$412:$AB$412,MATCH(Notes!$C$16,$U$3:$AB$3,0))-100%))*$L$412</f>
        <v>31.41</v>
      </c>
      <c r="M459" s="286"/>
      <c r="N459" s="286"/>
      <c r="O459" s="311">
        <f t="shared" si="139"/>
        <v>31.41</v>
      </c>
      <c r="P459" s="285"/>
      <c r="Q459" s="285"/>
      <c r="R459" s="278"/>
      <c r="S459" s="278"/>
      <c r="T459" s="278"/>
    </row>
    <row r="460" spans="1:20" s="305" customFormat="1" hidden="1" outlineLevel="2" x14ac:dyDescent="0.25">
      <c r="A460" s="278"/>
      <c r="B460" s="279" t="str">
        <f t="shared" si="89"/>
        <v>beam/bearer130x36mmLVL</v>
      </c>
      <c r="C460" s="278" t="s">
        <v>2129</v>
      </c>
      <c r="D460" s="278" t="s">
        <v>1958</v>
      </c>
      <c r="E460" s="278" t="str">
        <f t="shared" si="137"/>
        <v>LVL</v>
      </c>
      <c r="F460" s="278"/>
      <c r="G460" s="278" t="s">
        <v>15</v>
      </c>
      <c r="H460" s="309">
        <f t="shared" si="138"/>
        <v>0.06</v>
      </c>
      <c r="I460" s="280">
        <f t="shared" si="92"/>
        <v>4.8372000000000002</v>
      </c>
      <c r="J460" s="281">
        <f t="shared" si="93"/>
        <v>5.4858000000000002</v>
      </c>
      <c r="K460" s="282">
        <f>IF(Notes!$B$9="Domestic",I460, IF(Notes!$B$9="Commercial",J460))*$K$412</f>
        <v>10.9716</v>
      </c>
      <c r="L460" s="283">
        <f>(SUM(O460:Q460)+(K460+SUM(M460:Q460))*(INDEX($U$412:$AB$412,MATCH(Notes!$C$16,$U$3:$AB$3,0))-100%))*$L$412</f>
        <v>26.51</v>
      </c>
      <c r="M460" s="286"/>
      <c r="N460" s="286"/>
      <c r="O460" s="311">
        <f t="shared" si="139"/>
        <v>26.51</v>
      </c>
      <c r="P460" s="285"/>
      <c r="Q460" s="285"/>
      <c r="R460" s="278"/>
      <c r="S460" s="278"/>
      <c r="T460" s="278"/>
    </row>
    <row r="461" spans="1:20" s="305" customFormat="1" hidden="1" outlineLevel="2" x14ac:dyDescent="0.25">
      <c r="A461" s="278"/>
      <c r="B461" s="279" t="str">
        <f t="shared" si="89"/>
        <v>beam/bearer130x45mmLVL</v>
      </c>
      <c r="C461" s="278" t="s">
        <v>2129</v>
      </c>
      <c r="D461" s="278" t="s">
        <v>1959</v>
      </c>
      <c r="E461" s="278" t="str">
        <f t="shared" si="137"/>
        <v>LVL</v>
      </c>
      <c r="F461" s="278"/>
      <c r="G461" s="278" t="s">
        <v>15</v>
      </c>
      <c r="H461" s="309">
        <f t="shared" si="138"/>
        <v>0.06</v>
      </c>
      <c r="I461" s="280">
        <f t="shared" si="92"/>
        <v>4.8372000000000002</v>
      </c>
      <c r="J461" s="281">
        <f t="shared" si="93"/>
        <v>5.4858000000000002</v>
      </c>
      <c r="K461" s="282">
        <f>IF(Notes!$B$9="Domestic",I461, IF(Notes!$B$9="Commercial",J461))*$K$412</f>
        <v>10.9716</v>
      </c>
      <c r="L461" s="283">
        <f>(SUM(O461:Q461)+(K461+SUM(M461:Q461))*(INDEX($U$412:$AB$412,MATCH(Notes!$C$16,$U$3:$AB$3,0))-100%))*$L$412</f>
        <v>32.880000000000003</v>
      </c>
      <c r="M461" s="286"/>
      <c r="N461" s="286"/>
      <c r="O461" s="311">
        <f t="shared" si="139"/>
        <v>32.880000000000003</v>
      </c>
      <c r="P461" s="285"/>
      <c r="Q461" s="285"/>
      <c r="R461" s="278"/>
      <c r="S461" s="278"/>
      <c r="T461" s="278"/>
    </row>
    <row r="462" spans="1:20" s="305" customFormat="1" hidden="1" outlineLevel="2" x14ac:dyDescent="0.25">
      <c r="A462" s="278"/>
      <c r="B462" s="279" t="str">
        <f t="shared" si="89"/>
        <v>beam/bearer130x63mmLVL</v>
      </c>
      <c r="C462" s="278" t="s">
        <v>2129</v>
      </c>
      <c r="D462" s="278" t="s">
        <v>1960</v>
      </c>
      <c r="E462" s="278" t="str">
        <f t="shared" si="137"/>
        <v>LVL</v>
      </c>
      <c r="F462" s="278"/>
      <c r="G462" s="278" t="s">
        <v>15</v>
      </c>
      <c r="H462" s="309">
        <f t="shared" si="138"/>
        <v>0.06</v>
      </c>
      <c r="I462" s="280">
        <f t="shared" si="92"/>
        <v>4.8372000000000002</v>
      </c>
      <c r="J462" s="281">
        <f t="shared" si="93"/>
        <v>5.4858000000000002</v>
      </c>
      <c r="K462" s="282">
        <f>IF(Notes!$B$9="Domestic",I462, IF(Notes!$B$9="Commercial",J462))*$K$412</f>
        <v>10.9716</v>
      </c>
      <c r="L462" s="283">
        <f>(SUM(O462:Q462)+(K462+SUM(M462:Q462))*(INDEX($U$412:$AB$412,MATCH(Notes!$C$16,$U$3:$AB$3,0))-100%))*$L$412</f>
        <v>45.45</v>
      </c>
      <c r="M462" s="286"/>
      <c r="N462" s="286"/>
      <c r="O462" s="311">
        <f t="shared" si="139"/>
        <v>45.45</v>
      </c>
      <c r="P462" s="285"/>
      <c r="Q462" s="285"/>
      <c r="R462" s="278"/>
      <c r="S462" s="278"/>
      <c r="T462" s="278"/>
    </row>
    <row r="463" spans="1:20" s="305" customFormat="1" hidden="1" outlineLevel="2" x14ac:dyDescent="0.25">
      <c r="A463" s="278"/>
      <c r="B463" s="279" t="str">
        <f t="shared" si="89"/>
        <v>beam/bearer150x36mmLVL</v>
      </c>
      <c r="C463" s="278" t="s">
        <v>2129</v>
      </c>
      <c r="D463" s="278" t="s">
        <v>1961</v>
      </c>
      <c r="E463" s="278" t="str">
        <f t="shared" si="137"/>
        <v>LVL</v>
      </c>
      <c r="F463" s="278"/>
      <c r="G463" s="278" t="s">
        <v>15</v>
      </c>
      <c r="H463" s="309">
        <f t="shared" si="138"/>
        <v>0.06</v>
      </c>
      <c r="I463" s="280">
        <f t="shared" si="92"/>
        <v>4.8372000000000002</v>
      </c>
      <c r="J463" s="281">
        <f t="shared" si="93"/>
        <v>5.4858000000000002</v>
      </c>
      <c r="K463" s="282">
        <f>IF(Notes!$B$9="Domestic",I463, IF(Notes!$B$9="Commercial",J463))*$K$412</f>
        <v>10.9716</v>
      </c>
      <c r="L463" s="283">
        <f>(SUM(O463:Q463)+(K463+SUM(M463:Q463))*(INDEX($U$412:$AB$412,MATCH(Notes!$C$16,$U$3:$AB$3,0))-100%))*$L$412</f>
        <v>25.6</v>
      </c>
      <c r="M463" s="286"/>
      <c r="N463" s="286"/>
      <c r="O463" s="311">
        <f t="shared" si="139"/>
        <v>25.6</v>
      </c>
      <c r="P463" s="285"/>
      <c r="Q463" s="285"/>
      <c r="R463" s="278"/>
      <c r="S463" s="278"/>
      <c r="T463" s="278"/>
    </row>
    <row r="464" spans="1:20" s="305" customFormat="1" hidden="1" outlineLevel="2" x14ac:dyDescent="0.25">
      <c r="A464" s="278"/>
      <c r="B464" s="279" t="str">
        <f t="shared" si="89"/>
        <v>beam/bearer150x45mmLVL</v>
      </c>
      <c r="C464" s="278" t="s">
        <v>2129</v>
      </c>
      <c r="D464" s="278" t="s">
        <v>1962</v>
      </c>
      <c r="E464" s="278" t="str">
        <f t="shared" si="137"/>
        <v>LVL</v>
      </c>
      <c r="F464" s="278"/>
      <c r="G464" s="278" t="s">
        <v>15</v>
      </c>
      <c r="H464" s="309">
        <f t="shared" si="138"/>
        <v>0.06</v>
      </c>
      <c r="I464" s="280">
        <f t="shared" si="92"/>
        <v>4.8372000000000002</v>
      </c>
      <c r="J464" s="281">
        <f t="shared" si="93"/>
        <v>5.4858000000000002</v>
      </c>
      <c r="K464" s="282">
        <f>IF(Notes!$B$9="Domestic",I464, IF(Notes!$B$9="Commercial",J464))*$K$412</f>
        <v>10.9716</v>
      </c>
      <c r="L464" s="283">
        <f>(SUM(O464:Q464)+(K464+SUM(M464:Q464))*(INDEX($U$412:$AB$412,MATCH(Notes!$C$16,$U$3:$AB$3,0))-100%))*$L$412</f>
        <v>38.020000000000003</v>
      </c>
      <c r="M464" s="286"/>
      <c r="N464" s="286"/>
      <c r="O464" s="311">
        <f t="shared" si="139"/>
        <v>38.020000000000003</v>
      </c>
      <c r="P464" s="285"/>
      <c r="Q464" s="285"/>
      <c r="R464" s="278"/>
      <c r="S464" s="278"/>
      <c r="T464" s="278"/>
    </row>
    <row r="465" spans="1:20" s="305" customFormat="1" hidden="1" outlineLevel="2" x14ac:dyDescent="0.25">
      <c r="A465" s="278"/>
      <c r="B465" s="279" t="str">
        <f t="shared" si="89"/>
        <v>beam/bearer150x75mmLVL</v>
      </c>
      <c r="C465" s="278" t="s">
        <v>2129</v>
      </c>
      <c r="D465" s="278" t="s">
        <v>1963</v>
      </c>
      <c r="E465" s="278" t="str">
        <f t="shared" si="137"/>
        <v>LVL</v>
      </c>
      <c r="F465" s="278"/>
      <c r="G465" s="278" t="s">
        <v>15</v>
      </c>
      <c r="H465" s="309">
        <f t="shared" si="138"/>
        <v>0.06</v>
      </c>
      <c r="I465" s="280">
        <f t="shared" si="92"/>
        <v>4.8372000000000002</v>
      </c>
      <c r="J465" s="281">
        <f t="shared" si="93"/>
        <v>5.4858000000000002</v>
      </c>
      <c r="K465" s="282">
        <f>IF(Notes!$B$9="Domestic",I465, IF(Notes!$B$9="Commercial",J465))*$K$412</f>
        <v>10.9716</v>
      </c>
      <c r="L465" s="283">
        <f>(SUM(O465:Q465)+(K465+SUM(M465:Q465))*(INDEX($U$412:$AB$412,MATCH(Notes!$C$16,$U$3:$AB$3,0))-100%))*$L$412</f>
        <v>52.41</v>
      </c>
      <c r="M465" s="286"/>
      <c r="N465" s="286"/>
      <c r="O465" s="311">
        <f t="shared" si="139"/>
        <v>52.41</v>
      </c>
      <c r="P465" s="285"/>
      <c r="Q465" s="285"/>
      <c r="R465" s="278"/>
      <c r="S465" s="278"/>
      <c r="T465" s="278"/>
    </row>
    <row r="466" spans="1:20" s="305" customFormat="1" hidden="1" outlineLevel="2" x14ac:dyDescent="0.25">
      <c r="A466" s="278"/>
      <c r="B466" s="279" t="str">
        <f t="shared" si="89"/>
        <v>beam/bearer170x36mmLVL</v>
      </c>
      <c r="C466" s="278" t="s">
        <v>2129</v>
      </c>
      <c r="D466" s="278" t="s">
        <v>1964</v>
      </c>
      <c r="E466" s="278" t="str">
        <f t="shared" si="137"/>
        <v>LVL</v>
      </c>
      <c r="F466" s="278"/>
      <c r="G466" s="278" t="s">
        <v>15</v>
      </c>
      <c r="H466" s="309">
        <f t="shared" si="138"/>
        <v>0.06</v>
      </c>
      <c r="I466" s="280">
        <f t="shared" si="92"/>
        <v>4.8372000000000002</v>
      </c>
      <c r="J466" s="281">
        <f t="shared" si="93"/>
        <v>5.4858000000000002</v>
      </c>
      <c r="K466" s="282">
        <f>IF(Notes!$B$9="Domestic",I466, IF(Notes!$B$9="Commercial",J466))*$K$412</f>
        <v>10.9716</v>
      </c>
      <c r="L466" s="283">
        <f>(SUM(O466:Q466)+(K466+SUM(M466:Q466))*(INDEX($U$412:$AB$412,MATCH(Notes!$C$16,$U$3:$AB$3,0))-100%))*$L$412</f>
        <v>34.69</v>
      </c>
      <c r="M466" s="286"/>
      <c r="N466" s="286"/>
      <c r="O466" s="311">
        <f t="shared" si="139"/>
        <v>34.69</v>
      </c>
      <c r="P466" s="285"/>
      <c r="Q466" s="285"/>
      <c r="R466" s="278"/>
      <c r="S466" s="278"/>
      <c r="T466" s="278"/>
    </row>
    <row r="467" spans="1:20" s="305" customFormat="1" hidden="1" outlineLevel="2" x14ac:dyDescent="0.25">
      <c r="A467" s="278"/>
      <c r="B467" s="279" t="str">
        <f t="shared" si="89"/>
        <v>beam/bearer170x45mmLVL</v>
      </c>
      <c r="C467" s="278" t="s">
        <v>2129</v>
      </c>
      <c r="D467" s="278" t="s">
        <v>1965</v>
      </c>
      <c r="E467" s="278" t="str">
        <f t="shared" si="137"/>
        <v>LVL</v>
      </c>
      <c r="F467" s="278"/>
      <c r="G467" s="278" t="s">
        <v>15</v>
      </c>
      <c r="H467" s="309">
        <f t="shared" si="138"/>
        <v>0.06</v>
      </c>
      <c r="I467" s="280">
        <f t="shared" si="92"/>
        <v>4.8372000000000002</v>
      </c>
      <c r="J467" s="281">
        <f t="shared" si="93"/>
        <v>5.4858000000000002</v>
      </c>
      <c r="K467" s="282">
        <f>IF(Notes!$B$9="Domestic",I467, IF(Notes!$B$9="Commercial",J467))*$K$412</f>
        <v>10.9716</v>
      </c>
      <c r="L467" s="283">
        <f>(SUM(O467:Q467)+(K467+SUM(M467:Q467))*(INDEX($U$412:$AB$412,MATCH(Notes!$C$16,$U$3:$AB$3,0))-100%))*$L$412</f>
        <v>43.05</v>
      </c>
      <c r="M467" s="286"/>
      <c r="N467" s="286"/>
      <c r="O467" s="311">
        <f t="shared" si="139"/>
        <v>43.05</v>
      </c>
      <c r="P467" s="285"/>
      <c r="Q467" s="285"/>
      <c r="R467" s="278"/>
      <c r="S467" s="278"/>
      <c r="T467" s="278"/>
    </row>
    <row r="468" spans="1:20" s="305" customFormat="1" hidden="1" outlineLevel="2" x14ac:dyDescent="0.25">
      <c r="A468" s="278"/>
      <c r="B468" s="279" t="str">
        <f t="shared" si="89"/>
        <v>beam/bearer170x63mmLVL</v>
      </c>
      <c r="C468" s="278" t="s">
        <v>2129</v>
      </c>
      <c r="D468" s="278" t="s">
        <v>1966</v>
      </c>
      <c r="E468" s="278" t="str">
        <f t="shared" si="137"/>
        <v>LVL</v>
      </c>
      <c r="F468" s="278"/>
      <c r="G468" s="278" t="s">
        <v>15</v>
      </c>
      <c r="H468" s="309">
        <f t="shared" si="138"/>
        <v>0.06</v>
      </c>
      <c r="I468" s="280">
        <f t="shared" si="92"/>
        <v>4.8372000000000002</v>
      </c>
      <c r="J468" s="281">
        <f t="shared" si="93"/>
        <v>5.4858000000000002</v>
      </c>
      <c r="K468" s="282">
        <f>IF(Notes!$B$9="Domestic",I468, IF(Notes!$B$9="Commercial",J468))*$K$412</f>
        <v>10.9716</v>
      </c>
      <c r="L468" s="283">
        <f>(SUM(O468:Q468)+(K468+SUM(M468:Q468))*(INDEX($U$412:$AB$412,MATCH(Notes!$C$16,$U$3:$AB$3,0))-100%))*$L$412</f>
        <v>59.34</v>
      </c>
      <c r="M468" s="286"/>
      <c r="N468" s="286"/>
      <c r="O468" s="311">
        <f t="shared" si="139"/>
        <v>59.34</v>
      </c>
      <c r="P468" s="285"/>
      <c r="Q468" s="285"/>
      <c r="R468" s="278"/>
      <c r="S468" s="278"/>
      <c r="T468" s="278"/>
    </row>
    <row r="469" spans="1:20" s="305" customFormat="1" hidden="1" outlineLevel="2" x14ac:dyDescent="0.25">
      <c r="A469" s="278"/>
      <c r="B469" s="279" t="str">
        <f t="shared" si="89"/>
        <v>beam/bearer200x36mmLVL</v>
      </c>
      <c r="C469" s="278" t="s">
        <v>2129</v>
      </c>
      <c r="D469" s="278" t="s">
        <v>1967</v>
      </c>
      <c r="E469" s="278" t="str">
        <f t="shared" si="137"/>
        <v>LVL</v>
      </c>
      <c r="F469" s="278"/>
      <c r="G469" s="278" t="s">
        <v>15</v>
      </c>
      <c r="H469" s="309">
        <f t="shared" si="138"/>
        <v>0.06</v>
      </c>
      <c r="I469" s="280">
        <f t="shared" si="92"/>
        <v>4.8372000000000002</v>
      </c>
      <c r="J469" s="281">
        <f t="shared" si="93"/>
        <v>5.4858000000000002</v>
      </c>
      <c r="K469" s="282">
        <f>IF(Notes!$B$9="Domestic",I469, IF(Notes!$B$9="Commercial",J469))*$K$412</f>
        <v>10.9716</v>
      </c>
      <c r="L469" s="283">
        <f>(SUM(O469:Q469)+(K469+SUM(M469:Q469))*(INDEX($U$412:$AB$412,MATCH(Notes!$C$16,$U$3:$AB$3,0))-100%))*$L$412</f>
        <v>34.1</v>
      </c>
      <c r="M469" s="286"/>
      <c r="N469" s="286"/>
      <c r="O469" s="311">
        <f t="shared" si="139"/>
        <v>34.1</v>
      </c>
      <c r="P469" s="285"/>
      <c r="Q469" s="285"/>
      <c r="R469" s="278"/>
      <c r="S469" s="278"/>
      <c r="T469" s="278"/>
    </row>
    <row r="470" spans="1:20" s="305" customFormat="1" hidden="1" outlineLevel="2" x14ac:dyDescent="0.25">
      <c r="A470" s="278"/>
      <c r="B470" s="279" t="str">
        <f t="shared" si="89"/>
        <v>beam/bearer200x45mmLVL</v>
      </c>
      <c r="C470" s="278" t="s">
        <v>2129</v>
      </c>
      <c r="D470" s="278" t="s">
        <v>1945</v>
      </c>
      <c r="E470" s="278" t="str">
        <f t="shared" si="137"/>
        <v>LVL</v>
      </c>
      <c r="F470" s="278"/>
      <c r="G470" s="278" t="s">
        <v>15</v>
      </c>
      <c r="H470" s="309">
        <f t="shared" si="138"/>
        <v>0.06</v>
      </c>
      <c r="I470" s="280">
        <f t="shared" si="92"/>
        <v>4.8372000000000002</v>
      </c>
      <c r="J470" s="281">
        <f t="shared" si="93"/>
        <v>5.4858000000000002</v>
      </c>
      <c r="K470" s="282">
        <f>IF(Notes!$B$9="Domestic",I470, IF(Notes!$B$9="Commercial",J470))*$K$412</f>
        <v>10.9716</v>
      </c>
      <c r="L470" s="283">
        <f>(SUM(O470:Q470)+(K470+SUM(M470:Q470))*(INDEX($U$412:$AB$412,MATCH(Notes!$C$16,$U$3:$AB$3,0))-100%))*$L$412</f>
        <v>50.69</v>
      </c>
      <c r="M470" s="286"/>
      <c r="N470" s="286"/>
      <c r="O470" s="311">
        <f t="shared" si="139"/>
        <v>50.69</v>
      </c>
      <c r="P470" s="285"/>
      <c r="Q470" s="285"/>
      <c r="R470" s="278"/>
      <c r="S470" s="278"/>
      <c r="T470" s="278"/>
    </row>
    <row r="471" spans="1:20" s="305" customFormat="1" hidden="1" outlineLevel="2" x14ac:dyDescent="0.25">
      <c r="A471" s="278"/>
      <c r="B471" s="279" t="str">
        <f t="shared" si="89"/>
        <v>beam/bearer200x63mmLVL</v>
      </c>
      <c r="C471" s="278" t="s">
        <v>2129</v>
      </c>
      <c r="D471" s="278" t="s">
        <v>1968</v>
      </c>
      <c r="E471" s="278" t="str">
        <f t="shared" si="137"/>
        <v>LVL</v>
      </c>
      <c r="F471" s="278"/>
      <c r="G471" s="278" t="s">
        <v>15</v>
      </c>
      <c r="H471" s="309">
        <f t="shared" si="138"/>
        <v>0.08</v>
      </c>
      <c r="I471" s="280">
        <f t="shared" si="92"/>
        <v>6.4496000000000002</v>
      </c>
      <c r="J471" s="281">
        <f t="shared" si="93"/>
        <v>7.3144000000000009</v>
      </c>
      <c r="K471" s="282">
        <f>IF(Notes!$B$9="Domestic",I471, IF(Notes!$B$9="Commercial",J471))*$K$412</f>
        <v>14.628800000000002</v>
      </c>
      <c r="L471" s="283">
        <f>(SUM(O471:Q471)+(K471+SUM(M471:Q471))*(INDEX($U$412:$AB$412,MATCH(Notes!$C$16,$U$3:$AB$3,0))-100%))*$L$412</f>
        <v>69.95</v>
      </c>
      <c r="M471" s="286"/>
      <c r="N471" s="286"/>
      <c r="O471" s="311">
        <f t="shared" si="139"/>
        <v>69.95</v>
      </c>
      <c r="P471" s="285"/>
      <c r="Q471" s="285"/>
      <c r="R471" s="278"/>
      <c r="S471" s="278"/>
      <c r="T471" s="278"/>
    </row>
    <row r="472" spans="1:20" s="305" customFormat="1" hidden="1" outlineLevel="2" x14ac:dyDescent="0.25">
      <c r="A472" s="278"/>
      <c r="B472" s="279" t="str">
        <f t="shared" si="89"/>
        <v>beam/bearer240x36mmLVL</v>
      </c>
      <c r="C472" s="278" t="s">
        <v>2129</v>
      </c>
      <c r="D472" s="278" t="s">
        <v>1969</v>
      </c>
      <c r="E472" s="278" t="str">
        <f t="shared" si="137"/>
        <v>LVL</v>
      </c>
      <c r="F472" s="278"/>
      <c r="G472" s="278" t="s">
        <v>15</v>
      </c>
      <c r="H472" s="309">
        <f t="shared" si="138"/>
        <v>0.08</v>
      </c>
      <c r="I472" s="280">
        <f t="shared" si="92"/>
        <v>6.4496000000000002</v>
      </c>
      <c r="J472" s="281">
        <f t="shared" si="93"/>
        <v>7.3144000000000009</v>
      </c>
      <c r="K472" s="282">
        <f>IF(Notes!$B$9="Domestic",I472, IF(Notes!$B$9="Commercial",J472))*$K$412</f>
        <v>14.628800000000002</v>
      </c>
      <c r="L472" s="283">
        <f>(SUM(O472:Q472)+(K472+SUM(M472:Q472))*(INDEX($U$412:$AB$412,MATCH(Notes!$C$16,$U$3:$AB$3,0))-100%))*$L$412</f>
        <v>48.96</v>
      </c>
      <c r="M472" s="286"/>
      <c r="N472" s="286"/>
      <c r="O472" s="311">
        <f t="shared" si="139"/>
        <v>48.96</v>
      </c>
      <c r="P472" s="285"/>
      <c r="Q472" s="285"/>
      <c r="R472" s="278"/>
      <c r="S472" s="278"/>
      <c r="T472" s="278"/>
    </row>
    <row r="473" spans="1:20" s="305" customFormat="1" hidden="1" outlineLevel="2" x14ac:dyDescent="0.25">
      <c r="A473" s="278"/>
      <c r="B473" s="279" t="str">
        <f t="shared" si="89"/>
        <v>beam/bearer240x45mmLVL</v>
      </c>
      <c r="C473" s="278" t="s">
        <v>2129</v>
      </c>
      <c r="D473" s="278" t="s">
        <v>1943</v>
      </c>
      <c r="E473" s="278" t="str">
        <f t="shared" si="137"/>
        <v>LVL</v>
      </c>
      <c r="F473" s="278"/>
      <c r="G473" s="278" t="s">
        <v>15</v>
      </c>
      <c r="H473" s="309">
        <f t="shared" si="138"/>
        <v>0.08</v>
      </c>
      <c r="I473" s="280">
        <f t="shared" si="92"/>
        <v>6.4496000000000002</v>
      </c>
      <c r="J473" s="281">
        <f t="shared" si="93"/>
        <v>7.3144000000000009</v>
      </c>
      <c r="K473" s="282">
        <f>IF(Notes!$B$9="Domestic",I473, IF(Notes!$B$9="Commercial",J473))*$K$412</f>
        <v>14.628800000000002</v>
      </c>
      <c r="L473" s="283">
        <f>(SUM(O473:Q473)+(K473+SUM(M473:Q473))*(INDEX($U$412:$AB$412,MATCH(Notes!$C$16,$U$3:$AB$3,0))-100%))*$L$412</f>
        <v>60.78</v>
      </c>
      <c r="M473" s="286"/>
      <c r="N473" s="286"/>
      <c r="O473" s="311">
        <f t="shared" si="139"/>
        <v>60.78</v>
      </c>
      <c r="P473" s="285"/>
      <c r="Q473" s="285"/>
      <c r="R473" s="278"/>
      <c r="S473" s="278"/>
      <c r="T473" s="278"/>
    </row>
    <row r="474" spans="1:20" s="305" customFormat="1" hidden="1" outlineLevel="2" x14ac:dyDescent="0.25">
      <c r="A474" s="278"/>
      <c r="B474" s="279" t="str">
        <f t="shared" si="89"/>
        <v>beam/bearer240x63mmLVL</v>
      </c>
      <c r="C474" s="278" t="s">
        <v>2129</v>
      </c>
      <c r="D474" s="278" t="s">
        <v>1947</v>
      </c>
      <c r="E474" s="278" t="str">
        <f t="shared" si="137"/>
        <v>LVL</v>
      </c>
      <c r="F474" s="278"/>
      <c r="G474" s="278" t="s">
        <v>15</v>
      </c>
      <c r="H474" s="309">
        <f t="shared" si="138"/>
        <v>0.08</v>
      </c>
      <c r="I474" s="280">
        <f t="shared" si="92"/>
        <v>6.4496000000000002</v>
      </c>
      <c r="J474" s="281">
        <f t="shared" si="93"/>
        <v>7.3144000000000009</v>
      </c>
      <c r="K474" s="282">
        <f>IF(Notes!$B$9="Domestic",I474, IF(Notes!$B$9="Commercial",J474))*$K$412</f>
        <v>14.628800000000002</v>
      </c>
      <c r="L474" s="283">
        <f>(SUM(O474:Q474)+(K474+SUM(M474:Q474))*(INDEX($U$412:$AB$412,MATCH(Notes!$C$16,$U$3:$AB$3,0))-100%))*$L$412</f>
        <v>83.89</v>
      </c>
      <c r="M474" s="286"/>
      <c r="N474" s="286"/>
      <c r="O474" s="311">
        <f t="shared" si="139"/>
        <v>83.89</v>
      </c>
      <c r="P474" s="285"/>
      <c r="Q474" s="285"/>
      <c r="R474" s="278"/>
      <c r="S474" s="278"/>
      <c r="T474" s="278"/>
    </row>
    <row r="475" spans="1:20" s="305" customFormat="1" hidden="1" outlineLevel="2" x14ac:dyDescent="0.25">
      <c r="A475" s="278"/>
      <c r="B475" s="279" t="str">
        <f t="shared" si="89"/>
        <v>beam/bearer300x45mmLVL</v>
      </c>
      <c r="C475" s="278" t="s">
        <v>2129</v>
      </c>
      <c r="D475" s="278" t="s">
        <v>1950</v>
      </c>
      <c r="E475" s="278" t="str">
        <f t="shared" si="137"/>
        <v>LVL</v>
      </c>
      <c r="F475" s="278"/>
      <c r="G475" s="278" t="s">
        <v>15</v>
      </c>
      <c r="H475" s="309">
        <f t="shared" si="138"/>
        <v>0.08</v>
      </c>
      <c r="I475" s="280">
        <f t="shared" si="92"/>
        <v>6.4496000000000002</v>
      </c>
      <c r="J475" s="281">
        <f t="shared" si="93"/>
        <v>7.3144000000000009</v>
      </c>
      <c r="K475" s="282">
        <f>IF(Notes!$B$9="Domestic",I475, IF(Notes!$B$9="Commercial",J475))*$K$412</f>
        <v>14.628800000000002</v>
      </c>
      <c r="L475" s="283">
        <f>(SUM(O475:Q475)+(K475+SUM(M475:Q475))*(INDEX($U$412:$AB$412,MATCH(Notes!$C$16,$U$3:$AB$3,0))-100%))*$L$412</f>
        <v>76.02</v>
      </c>
      <c r="M475" s="286"/>
      <c r="N475" s="286"/>
      <c r="O475" s="311">
        <f t="shared" si="139"/>
        <v>76.02</v>
      </c>
      <c r="P475" s="285"/>
      <c r="Q475" s="285"/>
      <c r="R475" s="278"/>
      <c r="S475" s="278"/>
      <c r="T475" s="278"/>
    </row>
    <row r="476" spans="1:20" s="305" customFormat="1" hidden="1" outlineLevel="2" x14ac:dyDescent="0.25">
      <c r="A476" s="278"/>
      <c r="B476" s="279" t="str">
        <f t="shared" si="89"/>
        <v>beam/bearer300x63mmLVL</v>
      </c>
      <c r="C476" s="278" t="s">
        <v>2129</v>
      </c>
      <c r="D476" s="278" t="s">
        <v>1951</v>
      </c>
      <c r="E476" s="278" t="str">
        <f t="shared" si="137"/>
        <v>LVL</v>
      </c>
      <c r="F476" s="278"/>
      <c r="G476" s="278" t="s">
        <v>15</v>
      </c>
      <c r="H476" s="309">
        <f t="shared" si="138"/>
        <v>0.08</v>
      </c>
      <c r="I476" s="280">
        <f t="shared" si="92"/>
        <v>6.4496000000000002</v>
      </c>
      <c r="J476" s="281">
        <f t="shared" si="93"/>
        <v>7.3144000000000009</v>
      </c>
      <c r="K476" s="282">
        <f>IF(Notes!$B$9="Domestic",I476, IF(Notes!$B$9="Commercial",J476))*$K$412</f>
        <v>14.628800000000002</v>
      </c>
      <c r="L476" s="283">
        <f>(SUM(O476:Q476)+(K476+SUM(M476:Q476))*(INDEX($U$412:$AB$412,MATCH(Notes!$C$16,$U$3:$AB$3,0))-100%))*$L$412</f>
        <v>104.87</v>
      </c>
      <c r="M476" s="286"/>
      <c r="N476" s="286"/>
      <c r="O476" s="311">
        <f t="shared" si="139"/>
        <v>104.87</v>
      </c>
      <c r="P476" s="285"/>
      <c r="Q476" s="285"/>
      <c r="R476" s="278"/>
      <c r="S476" s="278"/>
      <c r="T476" s="278"/>
    </row>
    <row r="477" spans="1:20" s="305" customFormat="1" hidden="1" outlineLevel="2" x14ac:dyDescent="0.25">
      <c r="A477" s="278"/>
      <c r="B477" s="279" t="str">
        <f t="shared" si="89"/>
        <v>beam/bearer300x75mmLVL</v>
      </c>
      <c r="C477" s="278" t="s">
        <v>2129</v>
      </c>
      <c r="D477" s="278" t="s">
        <v>1970</v>
      </c>
      <c r="E477" s="278" t="str">
        <f t="shared" si="137"/>
        <v>LVL</v>
      </c>
      <c r="F477" s="278"/>
      <c r="G477" s="278" t="s">
        <v>15</v>
      </c>
      <c r="H477" s="309">
        <f t="shared" si="138"/>
        <v>0.08</v>
      </c>
      <c r="I477" s="280">
        <f t="shared" si="92"/>
        <v>6.4496000000000002</v>
      </c>
      <c r="J477" s="281">
        <f t="shared" si="93"/>
        <v>7.3144000000000009</v>
      </c>
      <c r="K477" s="282">
        <f>IF(Notes!$B$9="Domestic",I477, IF(Notes!$B$9="Commercial",J477))*$K$412</f>
        <v>14.628800000000002</v>
      </c>
      <c r="L477" s="283">
        <f>(SUM(O477:Q477)+(K477+SUM(M477:Q477))*(INDEX($U$412:$AB$412,MATCH(Notes!$C$16,$U$3:$AB$3,0))-100%))*$L$412</f>
        <v>141.81</v>
      </c>
      <c r="M477" s="286"/>
      <c r="N477" s="286"/>
      <c r="O477" s="311">
        <f t="shared" si="139"/>
        <v>141.81</v>
      </c>
      <c r="P477" s="285"/>
      <c r="Q477" s="285"/>
      <c r="R477" s="278"/>
      <c r="S477" s="278"/>
      <c r="T477" s="278"/>
    </row>
    <row r="478" spans="1:20" s="305" customFormat="1" hidden="1" outlineLevel="2" x14ac:dyDescent="0.25">
      <c r="A478" s="278"/>
      <c r="B478" s="279" t="str">
        <f t="shared" si="89"/>
        <v>beam/bearer360x45mmLVL</v>
      </c>
      <c r="C478" s="278" t="s">
        <v>2129</v>
      </c>
      <c r="D478" s="278" t="s">
        <v>1971</v>
      </c>
      <c r="E478" s="278" t="str">
        <f t="shared" si="137"/>
        <v>LVL</v>
      </c>
      <c r="F478" s="278"/>
      <c r="G478" s="278" t="s">
        <v>15</v>
      </c>
      <c r="H478" s="309">
        <f t="shared" si="138"/>
        <v>0.08</v>
      </c>
      <c r="I478" s="280">
        <f t="shared" si="92"/>
        <v>6.4496000000000002</v>
      </c>
      <c r="J478" s="281">
        <f t="shared" si="93"/>
        <v>7.3144000000000009</v>
      </c>
      <c r="K478" s="282">
        <f>IF(Notes!$B$9="Domestic",I478, IF(Notes!$B$9="Commercial",J478))*$K$412</f>
        <v>14.628800000000002</v>
      </c>
      <c r="L478" s="283">
        <f>(SUM(O478:Q478)+(K478+SUM(M478:Q478))*(INDEX($U$412:$AB$412,MATCH(Notes!$C$16,$U$3:$AB$3,0))-100%))*$L$412</f>
        <v>91.14</v>
      </c>
      <c r="M478" s="286"/>
      <c r="N478" s="286"/>
      <c r="O478" s="311">
        <f t="shared" si="139"/>
        <v>91.14</v>
      </c>
      <c r="P478" s="285"/>
      <c r="Q478" s="285"/>
      <c r="R478" s="278"/>
      <c r="S478" s="278"/>
      <c r="T478" s="278"/>
    </row>
    <row r="479" spans="1:20" s="305" customFormat="1" hidden="1" outlineLevel="2" x14ac:dyDescent="0.25">
      <c r="A479" s="278"/>
      <c r="B479" s="279" t="str">
        <f t="shared" si="89"/>
        <v>beam/bearer360x63mmLVL</v>
      </c>
      <c r="C479" s="278" t="s">
        <v>2129</v>
      </c>
      <c r="D479" s="278" t="s">
        <v>1953</v>
      </c>
      <c r="E479" s="278" t="str">
        <f t="shared" si="137"/>
        <v>LVL</v>
      </c>
      <c r="F479" s="278"/>
      <c r="G479" s="278" t="s">
        <v>15</v>
      </c>
      <c r="H479" s="309">
        <f t="shared" si="138"/>
        <v>0.08</v>
      </c>
      <c r="I479" s="280">
        <f t="shared" si="92"/>
        <v>6.4496000000000002</v>
      </c>
      <c r="J479" s="281">
        <f t="shared" si="93"/>
        <v>7.3144000000000009</v>
      </c>
      <c r="K479" s="282">
        <f>IF(Notes!$B$9="Domestic",I479, IF(Notes!$B$9="Commercial",J479))*$K$412</f>
        <v>14.628800000000002</v>
      </c>
      <c r="L479" s="283">
        <f>(SUM(O479:Q479)+(K479+SUM(M479:Q479))*(INDEX($U$412:$AB$412,MATCH(Notes!$C$16,$U$3:$AB$3,0))-100%))*$L$412</f>
        <v>125.87</v>
      </c>
      <c r="M479" s="286"/>
      <c r="N479" s="286"/>
      <c r="O479" s="311">
        <f t="shared" si="139"/>
        <v>125.87</v>
      </c>
      <c r="P479" s="285"/>
      <c r="Q479" s="285"/>
      <c r="R479" s="278"/>
      <c r="S479" s="278"/>
      <c r="T479" s="278"/>
    </row>
    <row r="480" spans="1:20" s="305" customFormat="1" hidden="1" outlineLevel="2" x14ac:dyDescent="0.25">
      <c r="A480" s="278"/>
      <c r="B480" s="279" t="str">
        <f t="shared" si="89"/>
        <v>beam/bearer400x45mmLVL</v>
      </c>
      <c r="C480" s="278" t="s">
        <v>2129</v>
      </c>
      <c r="D480" s="278" t="s">
        <v>1972</v>
      </c>
      <c r="E480" s="278" t="str">
        <f t="shared" si="137"/>
        <v>LVL</v>
      </c>
      <c r="F480" s="278"/>
      <c r="G480" s="278" t="s">
        <v>15</v>
      </c>
      <c r="H480" s="309">
        <f t="shared" si="138"/>
        <v>0.08</v>
      </c>
      <c r="I480" s="280">
        <f t="shared" si="92"/>
        <v>6.4496000000000002</v>
      </c>
      <c r="J480" s="281">
        <f t="shared" si="93"/>
        <v>7.3144000000000009</v>
      </c>
      <c r="K480" s="282">
        <f>IF(Notes!$B$9="Domestic",I480, IF(Notes!$B$9="Commercial",J480))*$K$412</f>
        <v>14.628800000000002</v>
      </c>
      <c r="L480" s="283">
        <f>(SUM(O480:Q480)+(K480+SUM(M480:Q480))*(INDEX($U$412:$AB$412,MATCH(Notes!$C$16,$U$3:$AB$3,0))-100%))*$L$412</f>
        <v>101.21</v>
      </c>
      <c r="M480" s="286"/>
      <c r="N480" s="286"/>
      <c r="O480" s="311">
        <f t="shared" si="139"/>
        <v>101.21</v>
      </c>
      <c r="P480" s="285"/>
      <c r="Q480" s="285"/>
      <c r="R480" s="278"/>
      <c r="S480" s="278"/>
      <c r="T480" s="278"/>
    </row>
    <row r="481" spans="1:20" s="305" customFormat="1" hidden="1" outlineLevel="2" x14ac:dyDescent="0.25">
      <c r="A481" s="278"/>
      <c r="B481" s="279" t="str">
        <f t="shared" si="89"/>
        <v>beam/bearer400x63mmLVL</v>
      </c>
      <c r="C481" s="278" t="s">
        <v>2129</v>
      </c>
      <c r="D481" s="278" t="s">
        <v>1973</v>
      </c>
      <c r="E481" s="278" t="str">
        <f t="shared" si="137"/>
        <v>LVL</v>
      </c>
      <c r="F481" s="278"/>
      <c r="G481" s="278" t="s">
        <v>15</v>
      </c>
      <c r="H481" s="309">
        <f t="shared" si="138"/>
        <v>0.08</v>
      </c>
      <c r="I481" s="280">
        <f t="shared" si="92"/>
        <v>6.4496000000000002</v>
      </c>
      <c r="J481" s="281">
        <f t="shared" si="93"/>
        <v>7.3144000000000009</v>
      </c>
      <c r="K481" s="282">
        <f>IF(Notes!$B$9="Domestic",I481, IF(Notes!$B$9="Commercial",J481))*$K$412</f>
        <v>14.628800000000002</v>
      </c>
      <c r="L481" s="283">
        <f>(SUM(O481:Q481)+(K481+SUM(M481:Q481))*(INDEX($U$412:$AB$412,MATCH(Notes!$C$16,$U$3:$AB$3,0))-100%))*$L$412</f>
        <v>139.84</v>
      </c>
      <c r="M481" s="286"/>
      <c r="N481" s="286"/>
      <c r="O481" s="311">
        <f t="shared" si="139"/>
        <v>139.84</v>
      </c>
      <c r="P481" s="285"/>
      <c r="Q481" s="285"/>
      <c r="R481" s="278"/>
      <c r="S481" s="278"/>
      <c r="T481" s="278"/>
    </row>
    <row r="482" spans="1:20" s="305" customFormat="1" hidden="1" outlineLevel="2" x14ac:dyDescent="0.25">
      <c r="A482" s="278"/>
      <c r="B482" s="279" t="str">
        <f t="shared" si="89"/>
        <v>beam/bearer400x75mmLVL</v>
      </c>
      <c r="C482" s="278" t="s">
        <v>2129</v>
      </c>
      <c r="D482" s="278" t="s">
        <v>1974</v>
      </c>
      <c r="E482" s="278" t="str">
        <f t="shared" si="137"/>
        <v>LVL</v>
      </c>
      <c r="F482" s="278"/>
      <c r="G482" s="278" t="s">
        <v>15</v>
      </c>
      <c r="H482" s="309">
        <f t="shared" si="138"/>
        <v>0.08</v>
      </c>
      <c r="I482" s="280">
        <f t="shared" si="92"/>
        <v>6.4496000000000002</v>
      </c>
      <c r="J482" s="281">
        <f t="shared" si="93"/>
        <v>7.3144000000000009</v>
      </c>
      <c r="K482" s="282">
        <f>IF(Notes!$B$9="Domestic",I482, IF(Notes!$B$9="Commercial",J482))*$K$412</f>
        <v>14.628800000000002</v>
      </c>
      <c r="L482" s="283">
        <f>(SUM(O482:Q482)+(K482+SUM(M482:Q482))*(INDEX($U$412:$AB$412,MATCH(Notes!$C$16,$U$3:$AB$3,0))-100%))*$L$412</f>
        <v>189.06</v>
      </c>
      <c r="M482" s="286"/>
      <c r="N482" s="286"/>
      <c r="O482" s="311">
        <f t="shared" si="139"/>
        <v>189.06</v>
      </c>
      <c r="P482" s="285"/>
      <c r="Q482" s="285"/>
      <c r="R482" s="278"/>
      <c r="S482" s="278"/>
      <c r="T482" s="278"/>
    </row>
    <row r="483" spans="1:20" s="305" customFormat="1" hidden="1" outlineLevel="2" x14ac:dyDescent="0.25">
      <c r="A483" s="278"/>
      <c r="B483" s="279" t="str">
        <f t="shared" si="89"/>
        <v>beam/bearer450x63mmLVL</v>
      </c>
      <c r="C483" s="278" t="s">
        <v>2129</v>
      </c>
      <c r="D483" s="278" t="s">
        <v>1975</v>
      </c>
      <c r="E483" s="278" t="str">
        <f t="shared" si="137"/>
        <v>LVL</v>
      </c>
      <c r="F483" s="278"/>
      <c r="G483" s="278" t="s">
        <v>15</v>
      </c>
      <c r="H483" s="309">
        <f t="shared" si="138"/>
        <v>0.08</v>
      </c>
      <c r="I483" s="280">
        <f t="shared" si="92"/>
        <v>6.4496000000000002</v>
      </c>
      <c r="J483" s="281">
        <f t="shared" si="93"/>
        <v>7.3144000000000009</v>
      </c>
      <c r="K483" s="282">
        <f>IF(Notes!$B$9="Domestic",I483, IF(Notes!$B$9="Commercial",J483))*$K$412</f>
        <v>14.628800000000002</v>
      </c>
      <c r="L483" s="283">
        <f>(SUM(O483:Q483)+(K483+SUM(M483:Q483))*(INDEX($U$412:$AB$412,MATCH(Notes!$C$16,$U$3:$AB$3,0))-100%))*$L$412</f>
        <v>157.33000000000001</v>
      </c>
      <c r="M483" s="286"/>
      <c r="N483" s="286"/>
      <c r="O483" s="311">
        <f t="shared" si="139"/>
        <v>157.33000000000001</v>
      </c>
      <c r="P483" s="285"/>
      <c r="Q483" s="285"/>
      <c r="R483" s="278"/>
      <c r="S483" s="278"/>
      <c r="T483" s="278"/>
    </row>
    <row r="484" spans="1:20" s="305" customFormat="1" hidden="1" outlineLevel="2" x14ac:dyDescent="0.25">
      <c r="A484" s="278"/>
      <c r="B484" s="279" t="str">
        <f t="shared" si="89"/>
        <v>beam/bearer525x75mmLVL</v>
      </c>
      <c r="C484" s="278" t="s">
        <v>2129</v>
      </c>
      <c r="D484" s="278" t="s">
        <v>1976</v>
      </c>
      <c r="E484" s="278" t="str">
        <f t="shared" si="137"/>
        <v>LVL</v>
      </c>
      <c r="F484" s="278"/>
      <c r="G484" s="278" t="s">
        <v>15</v>
      </c>
      <c r="H484" s="309">
        <f t="shared" si="138"/>
        <v>0.24</v>
      </c>
      <c r="I484" s="280">
        <f t="shared" si="92"/>
        <v>19.348800000000001</v>
      </c>
      <c r="J484" s="281">
        <f t="shared" si="93"/>
        <v>21.943200000000001</v>
      </c>
      <c r="K484" s="282">
        <f>IF(Notes!$B$9="Domestic",I484, IF(Notes!$B$9="Commercial",J484))*$K$412</f>
        <v>43.886400000000002</v>
      </c>
      <c r="L484" s="283">
        <f>(SUM(O484:Q484)+(K484+SUM(M484:Q484))*(INDEX($U$412:$AB$412,MATCH(Notes!$C$16,$U$3:$AB$3,0))-100%))*$L$412</f>
        <v>217.42</v>
      </c>
      <c r="M484" s="286"/>
      <c r="N484" s="286"/>
      <c r="O484" s="311">
        <f t="shared" si="139"/>
        <v>217.42</v>
      </c>
      <c r="P484" s="285"/>
      <c r="Q484" s="285"/>
      <c r="R484" s="278"/>
      <c r="S484" s="278"/>
      <c r="T484" s="278"/>
    </row>
    <row r="485" spans="1:20" s="305" customFormat="1" hidden="1" outlineLevel="2" x14ac:dyDescent="0.25">
      <c r="A485" s="278"/>
      <c r="B485" s="279" t="str">
        <f t="shared" si="89"/>
        <v>beam/bearer600x75mmLVL</v>
      </c>
      <c r="C485" s="278" t="s">
        <v>2129</v>
      </c>
      <c r="D485" s="278" t="s">
        <v>1977</v>
      </c>
      <c r="E485" s="278" t="str">
        <f t="shared" si="137"/>
        <v>LVL</v>
      </c>
      <c r="F485" s="278"/>
      <c r="G485" s="278" t="s">
        <v>15</v>
      </c>
      <c r="H485" s="309">
        <f t="shared" si="138"/>
        <v>0.24</v>
      </c>
      <c r="I485" s="280">
        <f t="shared" si="92"/>
        <v>19.348800000000001</v>
      </c>
      <c r="J485" s="281">
        <f t="shared" si="93"/>
        <v>21.943200000000001</v>
      </c>
      <c r="K485" s="282">
        <f>IF(Notes!$B$9="Domestic",I485, IF(Notes!$B$9="Commercial",J485))*$K$412</f>
        <v>43.886400000000002</v>
      </c>
      <c r="L485" s="283">
        <f>(SUM(O485:Q485)+(K485+SUM(M485:Q485))*(INDEX($U$412:$AB$412,MATCH(Notes!$C$16,$U$3:$AB$3,0))-100%))*$L$412</f>
        <v>236.36</v>
      </c>
      <c r="M485" s="286"/>
      <c r="N485" s="286"/>
      <c r="O485" s="311">
        <f t="shared" si="139"/>
        <v>236.36</v>
      </c>
      <c r="P485" s="285"/>
      <c r="Q485" s="285"/>
      <c r="R485" s="278"/>
      <c r="S485" s="278"/>
      <c r="T485" s="278"/>
    </row>
    <row r="486" spans="1:20" s="305" customFormat="1" hidden="1" outlineLevel="2" x14ac:dyDescent="0.25">
      <c r="A486" s="278"/>
      <c r="B486" s="279" t="str">
        <f t="shared" si="89"/>
        <v>beam/bearer90x45mmLVLx2</v>
      </c>
      <c r="C486" s="278" t="s">
        <v>2129</v>
      </c>
      <c r="D486" s="278" t="s">
        <v>1938</v>
      </c>
      <c r="E486" s="278" t="str">
        <f t="shared" si="137"/>
        <v>LVLx2</v>
      </c>
      <c r="F486" s="278"/>
      <c r="G486" s="278" t="s">
        <v>15</v>
      </c>
      <c r="H486" s="309">
        <f t="shared" si="138"/>
        <v>0.09</v>
      </c>
      <c r="I486" s="280">
        <f t="shared" si="92"/>
        <v>7.2557999999999998</v>
      </c>
      <c r="J486" s="281">
        <f t="shared" si="93"/>
        <v>8.2286999999999999</v>
      </c>
      <c r="K486" s="282">
        <f>IF(Notes!$B$9="Domestic",I486, IF(Notes!$B$9="Commercial",J486))*$K$412</f>
        <v>16.4574</v>
      </c>
      <c r="L486" s="283">
        <f>(SUM(O486:Q486)+(K486+SUM(M486:Q486))*(INDEX($U$412:$AB$412,MATCH(Notes!$C$16,$U$3:$AB$3,0))-100%))*$L$412</f>
        <v>45.62</v>
      </c>
      <c r="M486" s="286"/>
      <c r="N486" s="286"/>
      <c r="O486" s="311">
        <f t="shared" si="139"/>
        <v>45.62</v>
      </c>
      <c r="P486" s="285"/>
      <c r="Q486" s="285"/>
      <c r="R486" s="278"/>
      <c r="S486" s="278"/>
      <c r="T486" s="278"/>
    </row>
    <row r="487" spans="1:20" s="305" customFormat="1" hidden="1" outlineLevel="2" x14ac:dyDescent="0.25">
      <c r="A487" s="278"/>
      <c r="B487" s="279" t="str">
        <f t="shared" si="89"/>
        <v>beam/bearer95x36mmLVLx2</v>
      </c>
      <c r="C487" s="278" t="s">
        <v>2129</v>
      </c>
      <c r="D487" s="278" t="s">
        <v>1956</v>
      </c>
      <c r="E487" s="278" t="str">
        <f t="shared" si="137"/>
        <v>LVLx2</v>
      </c>
      <c r="F487" s="278"/>
      <c r="G487" s="278" t="s">
        <v>15</v>
      </c>
      <c r="H487" s="309">
        <f t="shared" si="138"/>
        <v>0.09</v>
      </c>
      <c r="I487" s="280">
        <f t="shared" si="92"/>
        <v>7.2557999999999998</v>
      </c>
      <c r="J487" s="281">
        <f t="shared" si="93"/>
        <v>8.2286999999999999</v>
      </c>
      <c r="K487" s="282">
        <f>IF(Notes!$B$9="Domestic",I487, IF(Notes!$B$9="Commercial",J487))*$K$412</f>
        <v>16.4574</v>
      </c>
      <c r="L487" s="283">
        <f>(SUM(O487:Q487)+(K487+SUM(M487:Q487))*(INDEX($U$412:$AB$412,MATCH(Notes!$C$16,$U$3:$AB$3,0))-100%))*$L$412</f>
        <v>36.72</v>
      </c>
      <c r="M487" s="286"/>
      <c r="N487" s="286"/>
      <c r="O487" s="311">
        <f t="shared" si="139"/>
        <v>36.72</v>
      </c>
      <c r="P487" s="285"/>
      <c r="Q487" s="285"/>
      <c r="R487" s="278"/>
      <c r="S487" s="278"/>
      <c r="T487" s="278"/>
    </row>
    <row r="488" spans="1:20" s="305" customFormat="1" hidden="1" outlineLevel="2" x14ac:dyDescent="0.25">
      <c r="A488" s="278"/>
      <c r="B488" s="279" t="str">
        <f t="shared" si="89"/>
        <v>beam/bearer95x63mmLVLx2</v>
      </c>
      <c r="C488" s="278" t="s">
        <v>2129</v>
      </c>
      <c r="D488" s="278" t="s">
        <v>1957</v>
      </c>
      <c r="E488" s="278" t="str">
        <f t="shared" si="137"/>
        <v>LVLx2</v>
      </c>
      <c r="F488" s="278"/>
      <c r="G488" s="278" t="s">
        <v>15</v>
      </c>
      <c r="H488" s="309">
        <f t="shared" si="138"/>
        <v>0.09</v>
      </c>
      <c r="I488" s="280">
        <f t="shared" si="92"/>
        <v>7.2557999999999998</v>
      </c>
      <c r="J488" s="281">
        <f t="shared" si="93"/>
        <v>8.2286999999999999</v>
      </c>
      <c r="K488" s="282">
        <f>IF(Notes!$B$9="Domestic",I488, IF(Notes!$B$9="Commercial",J488))*$K$412</f>
        <v>16.4574</v>
      </c>
      <c r="L488" s="283">
        <f>(SUM(O488:Q488)+(K488+SUM(M488:Q488))*(INDEX($U$412:$AB$412,MATCH(Notes!$C$16,$U$3:$AB$3,0))-100%))*$L$412</f>
        <v>62.82</v>
      </c>
      <c r="M488" s="286"/>
      <c r="N488" s="286"/>
      <c r="O488" s="311">
        <f t="shared" si="139"/>
        <v>62.82</v>
      </c>
      <c r="P488" s="285"/>
      <c r="Q488" s="285"/>
      <c r="R488" s="278"/>
      <c r="S488" s="278"/>
      <c r="T488" s="278"/>
    </row>
    <row r="489" spans="1:20" s="305" customFormat="1" hidden="1" outlineLevel="2" x14ac:dyDescent="0.25">
      <c r="A489" s="278"/>
      <c r="B489" s="279" t="str">
        <f t="shared" si="89"/>
        <v>beam/bearer130x36mmLVLx2</v>
      </c>
      <c r="C489" s="278" t="s">
        <v>2129</v>
      </c>
      <c r="D489" s="278" t="s">
        <v>1958</v>
      </c>
      <c r="E489" s="278" t="str">
        <f t="shared" ref="E489:E520" si="140">E327</f>
        <v>LVLx2</v>
      </c>
      <c r="F489" s="278"/>
      <c r="G489" s="278" t="s">
        <v>15</v>
      </c>
      <c r="H489" s="309">
        <f t="shared" ref="H489:H520" si="141">H327*2</f>
        <v>0.09</v>
      </c>
      <c r="I489" s="280">
        <f t="shared" si="92"/>
        <v>7.2557999999999998</v>
      </c>
      <c r="J489" s="281">
        <f t="shared" si="93"/>
        <v>8.2286999999999999</v>
      </c>
      <c r="K489" s="282">
        <f>IF(Notes!$B$9="Domestic",I489, IF(Notes!$B$9="Commercial",J489))*$K$412</f>
        <v>16.4574</v>
      </c>
      <c r="L489" s="283">
        <f>(SUM(O489:Q489)+(K489+SUM(M489:Q489))*(INDEX($U$412:$AB$412,MATCH(Notes!$C$16,$U$3:$AB$3,0))-100%))*$L$412</f>
        <v>53.02</v>
      </c>
      <c r="M489" s="286"/>
      <c r="N489" s="286"/>
      <c r="O489" s="311">
        <f t="shared" ref="O489:O520" si="142">O327</f>
        <v>53.02</v>
      </c>
      <c r="P489" s="285"/>
      <c r="Q489" s="285"/>
      <c r="R489" s="278"/>
      <c r="S489" s="278"/>
      <c r="T489" s="278"/>
    </row>
    <row r="490" spans="1:20" s="305" customFormat="1" hidden="1" outlineLevel="2" x14ac:dyDescent="0.25">
      <c r="A490" s="278"/>
      <c r="B490" s="279" t="str">
        <f t="shared" si="89"/>
        <v>beam/bearer130x45mmLVLx2</v>
      </c>
      <c r="C490" s="278" t="s">
        <v>2129</v>
      </c>
      <c r="D490" s="278" t="s">
        <v>1959</v>
      </c>
      <c r="E490" s="278" t="str">
        <f t="shared" si="140"/>
        <v>LVLx2</v>
      </c>
      <c r="F490" s="278"/>
      <c r="G490" s="278" t="s">
        <v>15</v>
      </c>
      <c r="H490" s="309">
        <f t="shared" si="141"/>
        <v>0.09</v>
      </c>
      <c r="I490" s="280">
        <f t="shared" si="92"/>
        <v>7.2557999999999998</v>
      </c>
      <c r="J490" s="281">
        <f t="shared" si="93"/>
        <v>8.2286999999999999</v>
      </c>
      <c r="K490" s="282">
        <f>IF(Notes!$B$9="Domestic",I490, IF(Notes!$B$9="Commercial",J490))*$K$412</f>
        <v>16.4574</v>
      </c>
      <c r="L490" s="283">
        <f>(SUM(O490:Q490)+(K490+SUM(M490:Q490))*(INDEX($U$412:$AB$412,MATCH(Notes!$C$16,$U$3:$AB$3,0))-100%))*$L$412</f>
        <v>65.760000000000005</v>
      </c>
      <c r="M490" s="286"/>
      <c r="N490" s="286"/>
      <c r="O490" s="311">
        <f t="shared" si="142"/>
        <v>65.760000000000005</v>
      </c>
      <c r="P490" s="285"/>
      <c r="Q490" s="285"/>
      <c r="R490" s="278"/>
      <c r="S490" s="278"/>
      <c r="T490" s="278"/>
    </row>
    <row r="491" spans="1:20" s="305" customFormat="1" hidden="1" outlineLevel="2" x14ac:dyDescent="0.25">
      <c r="A491" s="278"/>
      <c r="B491" s="279" t="str">
        <f t="shared" si="89"/>
        <v>beam/bearer130x63mmLVLx2</v>
      </c>
      <c r="C491" s="278" t="s">
        <v>2129</v>
      </c>
      <c r="D491" s="278" t="s">
        <v>1960</v>
      </c>
      <c r="E491" s="278" t="str">
        <f t="shared" si="140"/>
        <v>LVLx2</v>
      </c>
      <c r="F491" s="278"/>
      <c r="G491" s="278" t="s">
        <v>15</v>
      </c>
      <c r="H491" s="309">
        <f t="shared" si="141"/>
        <v>0.09</v>
      </c>
      <c r="I491" s="280">
        <f t="shared" si="92"/>
        <v>7.2557999999999998</v>
      </c>
      <c r="J491" s="281">
        <f t="shared" si="93"/>
        <v>8.2286999999999999</v>
      </c>
      <c r="K491" s="282">
        <f>IF(Notes!$B$9="Domestic",I491, IF(Notes!$B$9="Commercial",J491))*$K$412</f>
        <v>16.4574</v>
      </c>
      <c r="L491" s="283">
        <f>(SUM(O491:Q491)+(K491+SUM(M491:Q491))*(INDEX($U$412:$AB$412,MATCH(Notes!$C$16,$U$3:$AB$3,0))-100%))*$L$412</f>
        <v>90.9</v>
      </c>
      <c r="M491" s="286"/>
      <c r="N491" s="286"/>
      <c r="O491" s="311">
        <f t="shared" si="142"/>
        <v>90.9</v>
      </c>
      <c r="P491" s="285"/>
      <c r="Q491" s="285"/>
      <c r="R491" s="278"/>
      <c r="S491" s="278"/>
      <c r="T491" s="278"/>
    </row>
    <row r="492" spans="1:20" s="305" customFormat="1" hidden="1" outlineLevel="2" x14ac:dyDescent="0.25">
      <c r="A492" s="278"/>
      <c r="B492" s="279" t="str">
        <f t="shared" si="89"/>
        <v>beam/bearer150x36mmLVLx2</v>
      </c>
      <c r="C492" s="278" t="s">
        <v>2129</v>
      </c>
      <c r="D492" s="278" t="s">
        <v>1961</v>
      </c>
      <c r="E492" s="278" t="str">
        <f t="shared" si="140"/>
        <v>LVLx2</v>
      </c>
      <c r="F492" s="278"/>
      <c r="G492" s="278" t="s">
        <v>15</v>
      </c>
      <c r="H492" s="309">
        <f t="shared" si="141"/>
        <v>0.09</v>
      </c>
      <c r="I492" s="280">
        <f t="shared" si="92"/>
        <v>7.2557999999999998</v>
      </c>
      <c r="J492" s="281">
        <f t="shared" si="93"/>
        <v>8.2286999999999999</v>
      </c>
      <c r="K492" s="282">
        <f>IF(Notes!$B$9="Domestic",I492, IF(Notes!$B$9="Commercial",J492))*$K$412</f>
        <v>16.4574</v>
      </c>
      <c r="L492" s="283">
        <f>(SUM(O492:Q492)+(K492+SUM(M492:Q492))*(INDEX($U$412:$AB$412,MATCH(Notes!$C$16,$U$3:$AB$3,0))-100%))*$L$412</f>
        <v>51.2</v>
      </c>
      <c r="M492" s="286"/>
      <c r="N492" s="286"/>
      <c r="O492" s="311">
        <f t="shared" si="142"/>
        <v>51.2</v>
      </c>
      <c r="P492" s="285"/>
      <c r="Q492" s="285"/>
      <c r="R492" s="278"/>
      <c r="S492" s="278"/>
      <c r="T492" s="278"/>
    </row>
    <row r="493" spans="1:20" s="305" customFormat="1" hidden="1" outlineLevel="2" x14ac:dyDescent="0.25">
      <c r="A493" s="278"/>
      <c r="B493" s="279" t="str">
        <f t="shared" si="89"/>
        <v>beam/bearer150x45mmLVLx2</v>
      </c>
      <c r="C493" s="278" t="s">
        <v>2129</v>
      </c>
      <c r="D493" s="278" t="s">
        <v>1962</v>
      </c>
      <c r="E493" s="278" t="str">
        <f t="shared" si="140"/>
        <v>LVLx2</v>
      </c>
      <c r="F493" s="278"/>
      <c r="G493" s="278" t="s">
        <v>15</v>
      </c>
      <c r="H493" s="309">
        <f t="shared" si="141"/>
        <v>0.09</v>
      </c>
      <c r="I493" s="280">
        <f t="shared" si="92"/>
        <v>7.2557999999999998</v>
      </c>
      <c r="J493" s="281">
        <f t="shared" si="93"/>
        <v>8.2286999999999999</v>
      </c>
      <c r="K493" s="282">
        <f>IF(Notes!$B$9="Domestic",I493, IF(Notes!$B$9="Commercial",J493))*$K$412</f>
        <v>16.4574</v>
      </c>
      <c r="L493" s="283">
        <f>(SUM(O493:Q493)+(K493+SUM(M493:Q493))*(INDEX($U$412:$AB$412,MATCH(Notes!$C$16,$U$3:$AB$3,0))-100%))*$L$412</f>
        <v>76.040000000000006</v>
      </c>
      <c r="M493" s="286"/>
      <c r="N493" s="286"/>
      <c r="O493" s="311">
        <f t="shared" si="142"/>
        <v>76.040000000000006</v>
      </c>
      <c r="P493" s="285"/>
      <c r="Q493" s="285"/>
      <c r="R493" s="278"/>
      <c r="S493" s="278"/>
      <c r="T493" s="278"/>
    </row>
    <row r="494" spans="1:20" s="305" customFormat="1" hidden="1" outlineLevel="2" x14ac:dyDescent="0.25">
      <c r="A494" s="278"/>
      <c r="B494" s="279" t="str">
        <f t="shared" si="89"/>
        <v>beam/bearer150x75mmLVLx2</v>
      </c>
      <c r="C494" s="278" t="s">
        <v>2129</v>
      </c>
      <c r="D494" s="278" t="s">
        <v>1963</v>
      </c>
      <c r="E494" s="278" t="str">
        <f t="shared" si="140"/>
        <v>LVLx2</v>
      </c>
      <c r="F494" s="278"/>
      <c r="G494" s="278" t="s">
        <v>15</v>
      </c>
      <c r="H494" s="309">
        <f t="shared" si="141"/>
        <v>0.09</v>
      </c>
      <c r="I494" s="280">
        <f t="shared" si="92"/>
        <v>7.2557999999999998</v>
      </c>
      <c r="J494" s="281">
        <f t="shared" si="93"/>
        <v>8.2286999999999999</v>
      </c>
      <c r="K494" s="282">
        <f>IF(Notes!$B$9="Domestic",I494, IF(Notes!$B$9="Commercial",J494))*$K$412</f>
        <v>16.4574</v>
      </c>
      <c r="L494" s="283">
        <f>(SUM(O494:Q494)+(K494+SUM(M494:Q494))*(INDEX($U$412:$AB$412,MATCH(Notes!$C$16,$U$3:$AB$3,0))-100%))*$L$412</f>
        <v>104.82</v>
      </c>
      <c r="M494" s="286"/>
      <c r="N494" s="286"/>
      <c r="O494" s="311">
        <f t="shared" si="142"/>
        <v>104.82</v>
      </c>
      <c r="P494" s="285"/>
      <c r="Q494" s="285"/>
      <c r="R494" s="278"/>
      <c r="S494" s="278"/>
      <c r="T494" s="278"/>
    </row>
    <row r="495" spans="1:20" s="305" customFormat="1" hidden="1" outlineLevel="2" x14ac:dyDescent="0.25">
      <c r="A495" s="278"/>
      <c r="B495" s="279" t="str">
        <f t="shared" si="89"/>
        <v>beam/bearer170x36mmLVLx2</v>
      </c>
      <c r="C495" s="278" t="s">
        <v>2129</v>
      </c>
      <c r="D495" s="278" t="s">
        <v>1964</v>
      </c>
      <c r="E495" s="278" t="str">
        <f t="shared" si="140"/>
        <v>LVLx2</v>
      </c>
      <c r="F495" s="278"/>
      <c r="G495" s="278" t="s">
        <v>15</v>
      </c>
      <c r="H495" s="309">
        <f t="shared" si="141"/>
        <v>0.09</v>
      </c>
      <c r="I495" s="280">
        <f t="shared" si="92"/>
        <v>7.2557999999999998</v>
      </c>
      <c r="J495" s="281">
        <f t="shared" si="93"/>
        <v>8.2286999999999999</v>
      </c>
      <c r="K495" s="282">
        <f>IF(Notes!$B$9="Domestic",I495, IF(Notes!$B$9="Commercial",J495))*$K$412</f>
        <v>16.4574</v>
      </c>
      <c r="L495" s="283">
        <f>(SUM(O495:Q495)+(K495+SUM(M495:Q495))*(INDEX($U$412:$AB$412,MATCH(Notes!$C$16,$U$3:$AB$3,0))-100%))*$L$412</f>
        <v>69.38</v>
      </c>
      <c r="M495" s="286"/>
      <c r="N495" s="286"/>
      <c r="O495" s="311">
        <f t="shared" si="142"/>
        <v>69.38</v>
      </c>
      <c r="P495" s="285"/>
      <c r="Q495" s="285"/>
      <c r="R495" s="278"/>
      <c r="S495" s="278"/>
      <c r="T495" s="278"/>
    </row>
    <row r="496" spans="1:20" s="305" customFormat="1" hidden="1" outlineLevel="2" x14ac:dyDescent="0.25">
      <c r="A496" s="278"/>
      <c r="B496" s="279" t="str">
        <f t="shared" si="89"/>
        <v>beam/bearer170x45mmLVLx2</v>
      </c>
      <c r="C496" s="278" t="s">
        <v>2129</v>
      </c>
      <c r="D496" s="278" t="s">
        <v>1965</v>
      </c>
      <c r="E496" s="278" t="str">
        <f t="shared" si="140"/>
        <v>LVLx2</v>
      </c>
      <c r="F496" s="278"/>
      <c r="G496" s="278" t="s">
        <v>15</v>
      </c>
      <c r="H496" s="309">
        <f t="shared" si="141"/>
        <v>0.09</v>
      </c>
      <c r="I496" s="280">
        <f t="shared" si="92"/>
        <v>7.2557999999999998</v>
      </c>
      <c r="J496" s="281">
        <f t="shared" si="93"/>
        <v>8.2286999999999999</v>
      </c>
      <c r="K496" s="282">
        <f>IF(Notes!$B$9="Domestic",I496, IF(Notes!$B$9="Commercial",J496))*$K$412</f>
        <v>16.4574</v>
      </c>
      <c r="L496" s="283">
        <f>(SUM(O496:Q496)+(K496+SUM(M496:Q496))*(INDEX($U$412:$AB$412,MATCH(Notes!$C$16,$U$3:$AB$3,0))-100%))*$L$412</f>
        <v>86.1</v>
      </c>
      <c r="M496" s="286"/>
      <c r="N496" s="286"/>
      <c r="O496" s="311">
        <f t="shared" si="142"/>
        <v>86.1</v>
      </c>
      <c r="P496" s="285"/>
      <c r="Q496" s="285"/>
      <c r="R496" s="278"/>
      <c r="S496" s="278"/>
      <c r="T496" s="278"/>
    </row>
    <row r="497" spans="1:20" s="305" customFormat="1" hidden="1" outlineLevel="2" x14ac:dyDescent="0.25">
      <c r="A497" s="278"/>
      <c r="B497" s="279" t="str">
        <f t="shared" si="89"/>
        <v>beam/bearer170x63mmLVLx2</v>
      </c>
      <c r="C497" s="278" t="s">
        <v>2129</v>
      </c>
      <c r="D497" s="278" t="s">
        <v>1966</v>
      </c>
      <c r="E497" s="278" t="str">
        <f t="shared" si="140"/>
        <v>LVLx2</v>
      </c>
      <c r="F497" s="278"/>
      <c r="G497" s="278" t="s">
        <v>15</v>
      </c>
      <c r="H497" s="309">
        <f t="shared" si="141"/>
        <v>0.09</v>
      </c>
      <c r="I497" s="280">
        <f t="shared" si="92"/>
        <v>7.2557999999999998</v>
      </c>
      <c r="J497" s="281">
        <f t="shared" si="93"/>
        <v>8.2286999999999999</v>
      </c>
      <c r="K497" s="282">
        <f>IF(Notes!$B$9="Domestic",I497, IF(Notes!$B$9="Commercial",J497))*$K$412</f>
        <v>16.4574</v>
      </c>
      <c r="L497" s="283">
        <f>(SUM(O497:Q497)+(K497+SUM(M497:Q497))*(INDEX($U$412:$AB$412,MATCH(Notes!$C$16,$U$3:$AB$3,0))-100%))*$L$412</f>
        <v>118.68</v>
      </c>
      <c r="M497" s="286"/>
      <c r="N497" s="286"/>
      <c r="O497" s="311">
        <f t="shared" si="142"/>
        <v>118.68</v>
      </c>
      <c r="P497" s="285"/>
      <c r="Q497" s="285"/>
      <c r="R497" s="278"/>
      <c r="S497" s="278"/>
      <c r="T497" s="278"/>
    </row>
    <row r="498" spans="1:20" s="305" customFormat="1" hidden="1" outlineLevel="2" x14ac:dyDescent="0.25">
      <c r="A498" s="278"/>
      <c r="B498" s="279" t="str">
        <f t="shared" si="89"/>
        <v>beam/bearer200x36mmLVLx2</v>
      </c>
      <c r="C498" s="278" t="s">
        <v>2129</v>
      </c>
      <c r="D498" s="278" t="s">
        <v>1967</v>
      </c>
      <c r="E498" s="278" t="str">
        <f t="shared" si="140"/>
        <v>LVLx2</v>
      </c>
      <c r="F498" s="278"/>
      <c r="G498" s="278" t="s">
        <v>15</v>
      </c>
      <c r="H498" s="309">
        <f t="shared" si="141"/>
        <v>0.09</v>
      </c>
      <c r="I498" s="280">
        <f t="shared" si="92"/>
        <v>7.2557999999999998</v>
      </c>
      <c r="J498" s="281">
        <f t="shared" si="93"/>
        <v>8.2286999999999999</v>
      </c>
      <c r="K498" s="282">
        <f>IF(Notes!$B$9="Domestic",I498, IF(Notes!$B$9="Commercial",J498))*$K$412</f>
        <v>16.4574</v>
      </c>
      <c r="L498" s="283">
        <f>(SUM(O498:Q498)+(K498+SUM(M498:Q498))*(INDEX($U$412:$AB$412,MATCH(Notes!$C$16,$U$3:$AB$3,0))-100%))*$L$412</f>
        <v>68.2</v>
      </c>
      <c r="M498" s="286"/>
      <c r="N498" s="286"/>
      <c r="O498" s="311">
        <f t="shared" si="142"/>
        <v>68.2</v>
      </c>
      <c r="P498" s="285"/>
      <c r="Q498" s="285"/>
      <c r="R498" s="278"/>
      <c r="S498" s="278"/>
      <c r="T498" s="278"/>
    </row>
    <row r="499" spans="1:20" s="305" customFormat="1" hidden="1" outlineLevel="2" x14ac:dyDescent="0.25">
      <c r="A499" s="278"/>
      <c r="B499" s="279" t="str">
        <f t="shared" si="89"/>
        <v>beam/bearer200x45mmLVLx2</v>
      </c>
      <c r="C499" s="278" t="s">
        <v>2129</v>
      </c>
      <c r="D499" s="278" t="s">
        <v>1945</v>
      </c>
      <c r="E499" s="278" t="str">
        <f t="shared" si="140"/>
        <v>LVLx2</v>
      </c>
      <c r="F499" s="278"/>
      <c r="G499" s="278" t="s">
        <v>15</v>
      </c>
      <c r="H499" s="309">
        <f t="shared" si="141"/>
        <v>0.09</v>
      </c>
      <c r="I499" s="280">
        <f t="shared" si="92"/>
        <v>7.2557999999999998</v>
      </c>
      <c r="J499" s="281">
        <f t="shared" si="93"/>
        <v>8.2286999999999999</v>
      </c>
      <c r="K499" s="282">
        <f>IF(Notes!$B$9="Domestic",I499, IF(Notes!$B$9="Commercial",J499))*$K$412</f>
        <v>16.4574</v>
      </c>
      <c r="L499" s="283">
        <f>(SUM(O499:Q499)+(K499+SUM(M499:Q499))*(INDEX($U$412:$AB$412,MATCH(Notes!$C$16,$U$3:$AB$3,0))-100%))*$L$412</f>
        <v>101.38</v>
      </c>
      <c r="M499" s="286"/>
      <c r="N499" s="286"/>
      <c r="O499" s="311">
        <f t="shared" si="142"/>
        <v>101.38</v>
      </c>
      <c r="P499" s="285"/>
      <c r="Q499" s="285"/>
      <c r="R499" s="278"/>
      <c r="S499" s="278"/>
      <c r="T499" s="278"/>
    </row>
    <row r="500" spans="1:20" s="305" customFormat="1" hidden="1" outlineLevel="2" x14ac:dyDescent="0.25">
      <c r="A500" s="278"/>
      <c r="B500" s="279" t="str">
        <f t="shared" si="89"/>
        <v>beam/bearer200x63mmLVLx2</v>
      </c>
      <c r="C500" s="278" t="s">
        <v>2129</v>
      </c>
      <c r="D500" s="278" t="s">
        <v>1968</v>
      </c>
      <c r="E500" s="278" t="str">
        <f t="shared" si="140"/>
        <v>LVLx2</v>
      </c>
      <c r="F500" s="278"/>
      <c r="G500" s="278" t="s">
        <v>15</v>
      </c>
      <c r="H500" s="309">
        <f t="shared" si="141"/>
        <v>0.12</v>
      </c>
      <c r="I500" s="280">
        <f t="shared" si="92"/>
        <v>9.6744000000000003</v>
      </c>
      <c r="J500" s="281">
        <f t="shared" si="93"/>
        <v>10.9716</v>
      </c>
      <c r="K500" s="282">
        <f>IF(Notes!$B$9="Domestic",I500, IF(Notes!$B$9="Commercial",J500))*$K$412</f>
        <v>21.943200000000001</v>
      </c>
      <c r="L500" s="283">
        <f>(SUM(O500:Q500)+(K500+SUM(M500:Q500))*(INDEX($U$412:$AB$412,MATCH(Notes!$C$16,$U$3:$AB$3,0))-100%))*$L$412</f>
        <v>139.9</v>
      </c>
      <c r="M500" s="286"/>
      <c r="N500" s="286"/>
      <c r="O500" s="311">
        <f t="shared" si="142"/>
        <v>139.9</v>
      </c>
      <c r="P500" s="285"/>
      <c r="Q500" s="285"/>
      <c r="R500" s="278"/>
      <c r="S500" s="278"/>
      <c r="T500" s="278"/>
    </row>
    <row r="501" spans="1:20" s="305" customFormat="1" hidden="1" outlineLevel="2" x14ac:dyDescent="0.25">
      <c r="A501" s="278"/>
      <c r="B501" s="279" t="str">
        <f t="shared" si="89"/>
        <v>beam/bearer240x36mmLVLx2</v>
      </c>
      <c r="C501" s="278" t="s">
        <v>2129</v>
      </c>
      <c r="D501" s="278" t="s">
        <v>1969</v>
      </c>
      <c r="E501" s="278" t="str">
        <f t="shared" si="140"/>
        <v>LVLx2</v>
      </c>
      <c r="F501" s="278"/>
      <c r="G501" s="278" t="s">
        <v>15</v>
      </c>
      <c r="H501" s="309">
        <f t="shared" si="141"/>
        <v>0.12</v>
      </c>
      <c r="I501" s="280">
        <f t="shared" si="92"/>
        <v>9.6744000000000003</v>
      </c>
      <c r="J501" s="281">
        <f t="shared" si="93"/>
        <v>10.9716</v>
      </c>
      <c r="K501" s="282">
        <f>IF(Notes!$B$9="Domestic",I501, IF(Notes!$B$9="Commercial",J501))*$K$412</f>
        <v>21.943200000000001</v>
      </c>
      <c r="L501" s="283">
        <f>(SUM(O501:Q501)+(K501+SUM(M501:Q501))*(INDEX($U$412:$AB$412,MATCH(Notes!$C$16,$U$3:$AB$3,0))-100%))*$L$412</f>
        <v>97.92</v>
      </c>
      <c r="M501" s="286"/>
      <c r="N501" s="286"/>
      <c r="O501" s="311">
        <f t="shared" si="142"/>
        <v>97.92</v>
      </c>
      <c r="P501" s="285"/>
      <c r="Q501" s="285"/>
      <c r="R501" s="278"/>
      <c r="S501" s="278"/>
      <c r="T501" s="278"/>
    </row>
    <row r="502" spans="1:20" s="305" customFormat="1" hidden="1" outlineLevel="2" x14ac:dyDescent="0.25">
      <c r="A502" s="278"/>
      <c r="B502" s="279" t="str">
        <f t="shared" si="89"/>
        <v>beam/bearer240x45mmLVLx2</v>
      </c>
      <c r="C502" s="278" t="s">
        <v>2129</v>
      </c>
      <c r="D502" s="278" t="s">
        <v>1943</v>
      </c>
      <c r="E502" s="278" t="str">
        <f t="shared" si="140"/>
        <v>LVLx2</v>
      </c>
      <c r="F502" s="278"/>
      <c r="G502" s="278" t="s">
        <v>15</v>
      </c>
      <c r="H502" s="309">
        <f t="shared" si="141"/>
        <v>0.12</v>
      </c>
      <c r="I502" s="280">
        <f t="shared" si="92"/>
        <v>9.6744000000000003</v>
      </c>
      <c r="J502" s="281">
        <f t="shared" si="93"/>
        <v>10.9716</v>
      </c>
      <c r="K502" s="282">
        <f>IF(Notes!$B$9="Domestic",I502, IF(Notes!$B$9="Commercial",J502))*$K$412</f>
        <v>21.943200000000001</v>
      </c>
      <c r="L502" s="283">
        <f>(SUM(O502:Q502)+(K502+SUM(M502:Q502))*(INDEX($U$412:$AB$412,MATCH(Notes!$C$16,$U$3:$AB$3,0))-100%))*$L$412</f>
        <v>121.56</v>
      </c>
      <c r="M502" s="286"/>
      <c r="N502" s="286"/>
      <c r="O502" s="311">
        <f t="shared" si="142"/>
        <v>121.56</v>
      </c>
      <c r="P502" s="285"/>
      <c r="Q502" s="285"/>
      <c r="R502" s="278"/>
      <c r="S502" s="278"/>
      <c r="T502" s="278"/>
    </row>
    <row r="503" spans="1:20" s="305" customFormat="1" hidden="1" outlineLevel="2" x14ac:dyDescent="0.25">
      <c r="A503" s="278"/>
      <c r="B503" s="279" t="str">
        <f t="shared" si="89"/>
        <v>beam/bearer240x63mmLVLx2</v>
      </c>
      <c r="C503" s="278" t="s">
        <v>2129</v>
      </c>
      <c r="D503" s="278" t="s">
        <v>1947</v>
      </c>
      <c r="E503" s="278" t="str">
        <f t="shared" si="140"/>
        <v>LVLx2</v>
      </c>
      <c r="F503" s="278"/>
      <c r="G503" s="278" t="s">
        <v>15</v>
      </c>
      <c r="H503" s="309">
        <f t="shared" si="141"/>
        <v>0.12</v>
      </c>
      <c r="I503" s="280">
        <f t="shared" si="92"/>
        <v>9.6744000000000003</v>
      </c>
      <c r="J503" s="281">
        <f t="shared" si="93"/>
        <v>10.9716</v>
      </c>
      <c r="K503" s="282">
        <f>IF(Notes!$B$9="Domestic",I503, IF(Notes!$B$9="Commercial",J503))*$K$412</f>
        <v>21.943200000000001</v>
      </c>
      <c r="L503" s="283">
        <f>(SUM(O503:Q503)+(K503+SUM(M503:Q503))*(INDEX($U$412:$AB$412,MATCH(Notes!$C$16,$U$3:$AB$3,0))-100%))*$L$412</f>
        <v>167.78</v>
      </c>
      <c r="M503" s="286"/>
      <c r="N503" s="286"/>
      <c r="O503" s="311">
        <f t="shared" si="142"/>
        <v>167.78</v>
      </c>
      <c r="P503" s="285"/>
      <c r="Q503" s="285"/>
      <c r="R503" s="278"/>
      <c r="S503" s="278"/>
      <c r="T503" s="278"/>
    </row>
    <row r="504" spans="1:20" s="305" customFormat="1" hidden="1" outlineLevel="2" x14ac:dyDescent="0.25">
      <c r="A504" s="278"/>
      <c r="B504" s="279" t="str">
        <f t="shared" si="89"/>
        <v>beam/bearer300x45mmLVLx2</v>
      </c>
      <c r="C504" s="278" t="s">
        <v>2129</v>
      </c>
      <c r="D504" s="278" t="s">
        <v>1950</v>
      </c>
      <c r="E504" s="278" t="str">
        <f t="shared" si="140"/>
        <v>LVLx2</v>
      </c>
      <c r="F504" s="278"/>
      <c r="G504" s="278" t="s">
        <v>15</v>
      </c>
      <c r="H504" s="309">
        <f t="shared" si="141"/>
        <v>0.12</v>
      </c>
      <c r="I504" s="280">
        <f t="shared" si="92"/>
        <v>9.6744000000000003</v>
      </c>
      <c r="J504" s="281">
        <f t="shared" si="93"/>
        <v>10.9716</v>
      </c>
      <c r="K504" s="282">
        <f>IF(Notes!$B$9="Domestic",I504, IF(Notes!$B$9="Commercial",J504))*$K$412</f>
        <v>21.943200000000001</v>
      </c>
      <c r="L504" s="283">
        <f>(SUM(O504:Q504)+(K504+SUM(M504:Q504))*(INDEX($U$412:$AB$412,MATCH(Notes!$C$16,$U$3:$AB$3,0))-100%))*$L$412</f>
        <v>152.04</v>
      </c>
      <c r="M504" s="286"/>
      <c r="N504" s="286"/>
      <c r="O504" s="311">
        <f t="shared" si="142"/>
        <v>152.04</v>
      </c>
      <c r="P504" s="285"/>
      <c r="Q504" s="285"/>
      <c r="R504" s="278"/>
      <c r="S504" s="278"/>
      <c r="T504" s="278"/>
    </row>
    <row r="505" spans="1:20" s="305" customFormat="1" hidden="1" outlineLevel="2" x14ac:dyDescent="0.25">
      <c r="A505" s="278"/>
      <c r="B505" s="279" t="str">
        <f t="shared" si="89"/>
        <v>beam/bearer300x63mmLVLx2</v>
      </c>
      <c r="C505" s="278" t="s">
        <v>2129</v>
      </c>
      <c r="D505" s="278" t="s">
        <v>1951</v>
      </c>
      <c r="E505" s="278" t="str">
        <f t="shared" si="140"/>
        <v>LVLx2</v>
      </c>
      <c r="F505" s="278"/>
      <c r="G505" s="278" t="s">
        <v>15</v>
      </c>
      <c r="H505" s="309">
        <f t="shared" si="141"/>
        <v>0.12</v>
      </c>
      <c r="I505" s="280">
        <f t="shared" si="92"/>
        <v>9.6744000000000003</v>
      </c>
      <c r="J505" s="281">
        <f t="shared" si="93"/>
        <v>10.9716</v>
      </c>
      <c r="K505" s="282">
        <f>IF(Notes!$B$9="Domestic",I505, IF(Notes!$B$9="Commercial",J505))*$K$412</f>
        <v>21.943200000000001</v>
      </c>
      <c r="L505" s="283">
        <f>(SUM(O505:Q505)+(K505+SUM(M505:Q505))*(INDEX($U$412:$AB$412,MATCH(Notes!$C$16,$U$3:$AB$3,0))-100%))*$L$412</f>
        <v>209.74</v>
      </c>
      <c r="M505" s="286"/>
      <c r="N505" s="286"/>
      <c r="O505" s="311">
        <f t="shared" si="142"/>
        <v>209.74</v>
      </c>
      <c r="P505" s="285"/>
      <c r="Q505" s="285"/>
      <c r="R505" s="278"/>
      <c r="S505" s="278"/>
      <c r="T505" s="278"/>
    </row>
    <row r="506" spans="1:20" s="305" customFormat="1" hidden="1" outlineLevel="2" x14ac:dyDescent="0.25">
      <c r="A506" s="278"/>
      <c r="B506" s="279" t="str">
        <f t="shared" si="89"/>
        <v>beam/bearer300x75mmLVLx2</v>
      </c>
      <c r="C506" s="278" t="s">
        <v>2129</v>
      </c>
      <c r="D506" s="278" t="s">
        <v>1970</v>
      </c>
      <c r="E506" s="278" t="str">
        <f t="shared" si="140"/>
        <v>LVLx2</v>
      </c>
      <c r="F506" s="278"/>
      <c r="G506" s="278" t="s">
        <v>15</v>
      </c>
      <c r="H506" s="309">
        <f t="shared" si="141"/>
        <v>0.12</v>
      </c>
      <c r="I506" s="280">
        <f t="shared" si="92"/>
        <v>9.6744000000000003</v>
      </c>
      <c r="J506" s="281">
        <f t="shared" si="93"/>
        <v>10.9716</v>
      </c>
      <c r="K506" s="282">
        <f>IF(Notes!$B$9="Domestic",I506, IF(Notes!$B$9="Commercial",J506))*$K$412</f>
        <v>21.943200000000001</v>
      </c>
      <c r="L506" s="283">
        <f>(SUM(O506:Q506)+(K506+SUM(M506:Q506))*(INDEX($U$412:$AB$412,MATCH(Notes!$C$16,$U$3:$AB$3,0))-100%))*$L$412</f>
        <v>283.62</v>
      </c>
      <c r="M506" s="286"/>
      <c r="N506" s="286"/>
      <c r="O506" s="311">
        <f t="shared" si="142"/>
        <v>283.62</v>
      </c>
      <c r="P506" s="285"/>
      <c r="Q506" s="285"/>
      <c r="R506" s="278"/>
      <c r="S506" s="278"/>
      <c r="T506" s="278"/>
    </row>
    <row r="507" spans="1:20" s="305" customFormat="1" hidden="1" outlineLevel="2" x14ac:dyDescent="0.25">
      <c r="A507" s="278"/>
      <c r="B507" s="279" t="str">
        <f t="shared" ref="B507:B570" si="143">C507&amp;D507&amp;E507&amp;F507</f>
        <v>beam/bearer360x45mmLVLx2</v>
      </c>
      <c r="C507" s="278" t="s">
        <v>2129</v>
      </c>
      <c r="D507" s="278" t="s">
        <v>1971</v>
      </c>
      <c r="E507" s="278" t="str">
        <f t="shared" si="140"/>
        <v>LVLx2</v>
      </c>
      <c r="F507" s="278"/>
      <c r="G507" s="278" t="s">
        <v>15</v>
      </c>
      <c r="H507" s="309">
        <f t="shared" si="141"/>
        <v>0.12</v>
      </c>
      <c r="I507" s="280">
        <f t="shared" ref="I507:I570" si="144">$I$2*H507</f>
        <v>9.6744000000000003</v>
      </c>
      <c r="J507" s="281">
        <f t="shared" ref="J507:J570" si="145">$J$2*H507</f>
        <v>10.9716</v>
      </c>
      <c r="K507" s="282">
        <f>IF(Notes!$B$9="Domestic",I507, IF(Notes!$B$9="Commercial",J507))*$K$412</f>
        <v>21.943200000000001</v>
      </c>
      <c r="L507" s="283">
        <f>(SUM(O507:Q507)+(K507+SUM(M507:Q507))*(INDEX($U$412:$AB$412,MATCH(Notes!$C$16,$U$3:$AB$3,0))-100%))*$L$412</f>
        <v>182.28</v>
      </c>
      <c r="M507" s="286"/>
      <c r="N507" s="286"/>
      <c r="O507" s="311">
        <f t="shared" si="142"/>
        <v>182.28</v>
      </c>
      <c r="P507" s="285"/>
      <c r="Q507" s="285"/>
      <c r="R507" s="278"/>
      <c r="S507" s="278"/>
      <c r="T507" s="278"/>
    </row>
    <row r="508" spans="1:20" s="305" customFormat="1" hidden="1" outlineLevel="2" x14ac:dyDescent="0.25">
      <c r="A508" s="278"/>
      <c r="B508" s="279" t="str">
        <f t="shared" si="143"/>
        <v>beam/bearer360x63mmLVLx2</v>
      </c>
      <c r="C508" s="278" t="s">
        <v>2129</v>
      </c>
      <c r="D508" s="278" t="s">
        <v>1953</v>
      </c>
      <c r="E508" s="278" t="str">
        <f t="shared" si="140"/>
        <v>LVLx2</v>
      </c>
      <c r="F508" s="278"/>
      <c r="G508" s="278" t="s">
        <v>15</v>
      </c>
      <c r="H508" s="309">
        <f t="shared" si="141"/>
        <v>0.12</v>
      </c>
      <c r="I508" s="280">
        <f t="shared" si="144"/>
        <v>9.6744000000000003</v>
      </c>
      <c r="J508" s="281">
        <f t="shared" si="145"/>
        <v>10.9716</v>
      </c>
      <c r="K508" s="282">
        <f>IF(Notes!$B$9="Domestic",I508, IF(Notes!$B$9="Commercial",J508))*$K$412</f>
        <v>21.943200000000001</v>
      </c>
      <c r="L508" s="283">
        <f>(SUM(O508:Q508)+(K508+SUM(M508:Q508))*(INDEX($U$412:$AB$412,MATCH(Notes!$C$16,$U$3:$AB$3,0))-100%))*$L$412</f>
        <v>251.74</v>
      </c>
      <c r="M508" s="286"/>
      <c r="N508" s="286"/>
      <c r="O508" s="311">
        <f t="shared" si="142"/>
        <v>251.74</v>
      </c>
      <c r="P508" s="285"/>
      <c r="Q508" s="285"/>
      <c r="R508" s="278"/>
      <c r="S508" s="278"/>
      <c r="T508" s="278"/>
    </row>
    <row r="509" spans="1:20" s="305" customFormat="1" hidden="1" outlineLevel="2" x14ac:dyDescent="0.25">
      <c r="A509" s="278"/>
      <c r="B509" s="279" t="str">
        <f t="shared" si="143"/>
        <v>beam/bearer400x45mmLVLx2</v>
      </c>
      <c r="C509" s="278" t="s">
        <v>2129</v>
      </c>
      <c r="D509" s="278" t="s">
        <v>1972</v>
      </c>
      <c r="E509" s="278" t="str">
        <f t="shared" si="140"/>
        <v>LVLx2</v>
      </c>
      <c r="F509" s="278"/>
      <c r="G509" s="278" t="s">
        <v>15</v>
      </c>
      <c r="H509" s="309">
        <f t="shared" si="141"/>
        <v>0.12</v>
      </c>
      <c r="I509" s="280">
        <f t="shared" si="144"/>
        <v>9.6744000000000003</v>
      </c>
      <c r="J509" s="281">
        <f t="shared" si="145"/>
        <v>10.9716</v>
      </c>
      <c r="K509" s="282">
        <f>IF(Notes!$B$9="Domestic",I509, IF(Notes!$B$9="Commercial",J509))*$K$412</f>
        <v>21.943200000000001</v>
      </c>
      <c r="L509" s="283">
        <f>(SUM(O509:Q509)+(K509+SUM(M509:Q509))*(INDEX($U$412:$AB$412,MATCH(Notes!$C$16,$U$3:$AB$3,0))-100%))*$L$412</f>
        <v>202.42</v>
      </c>
      <c r="M509" s="286"/>
      <c r="N509" s="286"/>
      <c r="O509" s="311">
        <f t="shared" si="142"/>
        <v>202.42</v>
      </c>
      <c r="P509" s="285"/>
      <c r="Q509" s="285"/>
      <c r="R509" s="278"/>
      <c r="S509" s="278"/>
      <c r="T509" s="278"/>
    </row>
    <row r="510" spans="1:20" s="305" customFormat="1" hidden="1" outlineLevel="2" x14ac:dyDescent="0.25">
      <c r="A510" s="278"/>
      <c r="B510" s="279" t="str">
        <f t="shared" si="143"/>
        <v>beam/bearer400x63mmLVLx2</v>
      </c>
      <c r="C510" s="278" t="s">
        <v>2129</v>
      </c>
      <c r="D510" s="278" t="s">
        <v>1973</v>
      </c>
      <c r="E510" s="278" t="str">
        <f t="shared" si="140"/>
        <v>LVLx2</v>
      </c>
      <c r="F510" s="278"/>
      <c r="G510" s="278" t="s">
        <v>15</v>
      </c>
      <c r="H510" s="309">
        <f t="shared" si="141"/>
        <v>0.12</v>
      </c>
      <c r="I510" s="280">
        <f t="shared" si="144"/>
        <v>9.6744000000000003</v>
      </c>
      <c r="J510" s="281">
        <f t="shared" si="145"/>
        <v>10.9716</v>
      </c>
      <c r="K510" s="282">
        <f>IF(Notes!$B$9="Domestic",I510, IF(Notes!$B$9="Commercial",J510))*$K$412</f>
        <v>21.943200000000001</v>
      </c>
      <c r="L510" s="283">
        <f>(SUM(O510:Q510)+(K510+SUM(M510:Q510))*(INDEX($U$412:$AB$412,MATCH(Notes!$C$16,$U$3:$AB$3,0))-100%))*$L$412</f>
        <v>279.68</v>
      </c>
      <c r="M510" s="286"/>
      <c r="N510" s="286"/>
      <c r="O510" s="311">
        <f t="shared" si="142"/>
        <v>279.68</v>
      </c>
      <c r="P510" s="285"/>
      <c r="Q510" s="285"/>
      <c r="R510" s="278"/>
      <c r="S510" s="278"/>
      <c r="T510" s="278"/>
    </row>
    <row r="511" spans="1:20" s="305" customFormat="1" hidden="1" outlineLevel="2" x14ac:dyDescent="0.25">
      <c r="A511" s="278"/>
      <c r="B511" s="279" t="str">
        <f t="shared" si="143"/>
        <v>beam/bearer400x75mmLVLx2</v>
      </c>
      <c r="C511" s="278" t="s">
        <v>2129</v>
      </c>
      <c r="D511" s="278" t="s">
        <v>1974</v>
      </c>
      <c r="E511" s="278" t="str">
        <f t="shared" si="140"/>
        <v>LVLx2</v>
      </c>
      <c r="F511" s="278"/>
      <c r="G511" s="278" t="s">
        <v>15</v>
      </c>
      <c r="H511" s="309">
        <f t="shared" si="141"/>
        <v>0.12</v>
      </c>
      <c r="I511" s="280">
        <f t="shared" si="144"/>
        <v>9.6744000000000003</v>
      </c>
      <c r="J511" s="281">
        <f t="shared" si="145"/>
        <v>10.9716</v>
      </c>
      <c r="K511" s="282">
        <f>IF(Notes!$B$9="Domestic",I511, IF(Notes!$B$9="Commercial",J511))*$K$412</f>
        <v>21.943200000000001</v>
      </c>
      <c r="L511" s="283">
        <f>(SUM(O511:Q511)+(K511+SUM(M511:Q511))*(INDEX($U$412:$AB$412,MATCH(Notes!$C$16,$U$3:$AB$3,0))-100%))*$L$412</f>
        <v>378.12</v>
      </c>
      <c r="M511" s="286"/>
      <c r="N511" s="286"/>
      <c r="O511" s="311">
        <f t="shared" si="142"/>
        <v>378.12</v>
      </c>
      <c r="P511" s="285"/>
      <c r="Q511" s="285"/>
      <c r="R511" s="278"/>
      <c r="S511" s="278"/>
      <c r="T511" s="278"/>
    </row>
    <row r="512" spans="1:20" s="305" customFormat="1" hidden="1" outlineLevel="2" x14ac:dyDescent="0.25">
      <c r="A512" s="278"/>
      <c r="B512" s="279" t="str">
        <f t="shared" si="143"/>
        <v>beam/bearer450x63mmLVLx2</v>
      </c>
      <c r="C512" s="278" t="s">
        <v>2129</v>
      </c>
      <c r="D512" s="278" t="s">
        <v>1975</v>
      </c>
      <c r="E512" s="278" t="str">
        <f t="shared" si="140"/>
        <v>LVLx2</v>
      </c>
      <c r="F512" s="278"/>
      <c r="G512" s="278" t="s">
        <v>15</v>
      </c>
      <c r="H512" s="309">
        <f t="shared" si="141"/>
        <v>0.12</v>
      </c>
      <c r="I512" s="280">
        <f t="shared" si="144"/>
        <v>9.6744000000000003</v>
      </c>
      <c r="J512" s="281">
        <f t="shared" si="145"/>
        <v>10.9716</v>
      </c>
      <c r="K512" s="282">
        <f>IF(Notes!$B$9="Domestic",I512, IF(Notes!$B$9="Commercial",J512))*$K$412</f>
        <v>21.943200000000001</v>
      </c>
      <c r="L512" s="283">
        <f>(SUM(O512:Q512)+(K512+SUM(M512:Q512))*(INDEX($U$412:$AB$412,MATCH(Notes!$C$16,$U$3:$AB$3,0))-100%))*$L$412</f>
        <v>314.66000000000003</v>
      </c>
      <c r="M512" s="286"/>
      <c r="N512" s="286"/>
      <c r="O512" s="311">
        <f t="shared" si="142"/>
        <v>314.66000000000003</v>
      </c>
      <c r="P512" s="285"/>
      <c r="Q512" s="285"/>
      <c r="R512" s="278"/>
      <c r="S512" s="278"/>
      <c r="T512" s="278"/>
    </row>
    <row r="513" spans="1:20" s="305" customFormat="1" hidden="1" outlineLevel="2" x14ac:dyDescent="0.25">
      <c r="A513" s="278"/>
      <c r="B513" s="279" t="str">
        <f t="shared" si="143"/>
        <v>beam/bearer525x75mmLVLx2</v>
      </c>
      <c r="C513" s="278" t="s">
        <v>2129</v>
      </c>
      <c r="D513" s="278" t="s">
        <v>1976</v>
      </c>
      <c r="E513" s="278" t="str">
        <f t="shared" si="140"/>
        <v>LVLx2</v>
      </c>
      <c r="F513" s="278"/>
      <c r="G513" s="278" t="s">
        <v>15</v>
      </c>
      <c r="H513" s="309">
        <f t="shared" si="141"/>
        <v>0.36</v>
      </c>
      <c r="I513" s="280">
        <f t="shared" si="144"/>
        <v>29.023199999999999</v>
      </c>
      <c r="J513" s="281">
        <f t="shared" si="145"/>
        <v>32.9148</v>
      </c>
      <c r="K513" s="282">
        <f>IF(Notes!$B$9="Domestic",I513, IF(Notes!$B$9="Commercial",J513))*$K$412</f>
        <v>65.829599999999999</v>
      </c>
      <c r="L513" s="283">
        <f>(SUM(O513:Q513)+(K513+SUM(M513:Q513))*(INDEX($U$412:$AB$412,MATCH(Notes!$C$16,$U$3:$AB$3,0))-100%))*$L$412</f>
        <v>434.84</v>
      </c>
      <c r="M513" s="286"/>
      <c r="N513" s="286"/>
      <c r="O513" s="311">
        <f t="shared" si="142"/>
        <v>434.84</v>
      </c>
      <c r="P513" s="285"/>
      <c r="Q513" s="285"/>
      <c r="R513" s="278"/>
      <c r="S513" s="278"/>
      <c r="T513" s="278"/>
    </row>
    <row r="514" spans="1:20" s="305" customFormat="1" hidden="1" outlineLevel="2" x14ac:dyDescent="0.25">
      <c r="A514" s="278"/>
      <c r="B514" s="279" t="str">
        <f t="shared" si="143"/>
        <v>beam/bearer600x75mmLVLx2</v>
      </c>
      <c r="C514" s="278" t="s">
        <v>2129</v>
      </c>
      <c r="D514" s="278" t="s">
        <v>1977</v>
      </c>
      <c r="E514" s="278" t="str">
        <f t="shared" si="140"/>
        <v>LVLx2</v>
      </c>
      <c r="F514" s="278"/>
      <c r="G514" s="278" t="s">
        <v>15</v>
      </c>
      <c r="H514" s="309">
        <f t="shared" si="141"/>
        <v>0.36</v>
      </c>
      <c r="I514" s="280">
        <f t="shared" si="144"/>
        <v>29.023199999999999</v>
      </c>
      <c r="J514" s="281">
        <f t="shared" si="145"/>
        <v>32.9148</v>
      </c>
      <c r="K514" s="282">
        <f>IF(Notes!$B$9="Domestic",I514, IF(Notes!$B$9="Commercial",J514))*$K$412</f>
        <v>65.829599999999999</v>
      </c>
      <c r="L514" s="283">
        <f>(SUM(O514:Q514)+(K514+SUM(M514:Q514))*(INDEX($U$412:$AB$412,MATCH(Notes!$C$16,$U$3:$AB$3,0))-100%))*$L$412</f>
        <v>472.72</v>
      </c>
      <c r="M514" s="286"/>
      <c r="N514" s="286"/>
      <c r="O514" s="311">
        <f t="shared" si="142"/>
        <v>472.72</v>
      </c>
      <c r="P514" s="285"/>
      <c r="Q514" s="285"/>
      <c r="R514" s="278"/>
      <c r="S514" s="278"/>
      <c r="T514" s="278"/>
    </row>
    <row r="515" spans="1:20" s="305" customFormat="1" hidden="1" outlineLevel="2" x14ac:dyDescent="0.25">
      <c r="A515" s="278"/>
      <c r="B515" s="279" t="str">
        <f t="shared" si="143"/>
        <v>beam/bearer50x25mmHWD</v>
      </c>
      <c r="C515" s="278" t="s">
        <v>2129</v>
      </c>
      <c r="D515" s="278" t="s">
        <v>1978</v>
      </c>
      <c r="E515" s="278" t="str">
        <f t="shared" si="140"/>
        <v>HWD</v>
      </c>
      <c r="F515" s="278"/>
      <c r="G515" s="278" t="s">
        <v>15</v>
      </c>
      <c r="H515" s="309">
        <f t="shared" si="141"/>
        <v>0.06</v>
      </c>
      <c r="I515" s="280">
        <f t="shared" si="144"/>
        <v>4.8372000000000002</v>
      </c>
      <c r="J515" s="281">
        <f t="shared" si="145"/>
        <v>5.4858000000000002</v>
      </c>
      <c r="K515" s="282">
        <f>IF(Notes!$B$9="Domestic",I515, IF(Notes!$B$9="Commercial",J515))*$K$412</f>
        <v>10.9716</v>
      </c>
      <c r="L515" s="283">
        <f>(SUM(O515:Q515)+(K515+SUM(M515:Q515))*(INDEX($U$412:$AB$412,MATCH(Notes!$C$16,$U$3:$AB$3,0))-100%))*$L$412</f>
        <v>3.57</v>
      </c>
      <c r="M515" s="286"/>
      <c r="N515" s="286"/>
      <c r="O515" s="311">
        <f t="shared" si="142"/>
        <v>3.57</v>
      </c>
      <c r="P515" s="285"/>
      <c r="Q515" s="285"/>
      <c r="R515" s="278"/>
      <c r="S515" s="278"/>
      <c r="T515" s="278"/>
    </row>
    <row r="516" spans="1:20" s="305" customFormat="1" hidden="1" outlineLevel="2" x14ac:dyDescent="0.25">
      <c r="A516" s="278"/>
      <c r="B516" s="279" t="str">
        <f t="shared" si="143"/>
        <v>beam/bearer50x38mmHWD</v>
      </c>
      <c r="C516" s="278" t="s">
        <v>2129</v>
      </c>
      <c r="D516" s="278" t="s">
        <v>1979</v>
      </c>
      <c r="E516" s="278" t="str">
        <f t="shared" si="140"/>
        <v>HWD</v>
      </c>
      <c r="F516" s="278"/>
      <c r="G516" s="278" t="s">
        <v>15</v>
      </c>
      <c r="H516" s="309">
        <f t="shared" si="141"/>
        <v>0.06</v>
      </c>
      <c r="I516" s="280">
        <f t="shared" si="144"/>
        <v>4.8372000000000002</v>
      </c>
      <c r="J516" s="281">
        <f t="shared" si="145"/>
        <v>5.4858000000000002</v>
      </c>
      <c r="K516" s="282">
        <f>IF(Notes!$B$9="Domestic",I516, IF(Notes!$B$9="Commercial",J516))*$K$412</f>
        <v>10.9716</v>
      </c>
      <c r="L516" s="283">
        <f>(SUM(O516:Q516)+(K516+SUM(M516:Q516))*(INDEX($U$412:$AB$412,MATCH(Notes!$C$16,$U$3:$AB$3,0))-100%))*$L$412</f>
        <v>5.44</v>
      </c>
      <c r="M516" s="286"/>
      <c r="N516" s="286"/>
      <c r="O516" s="311">
        <f t="shared" si="142"/>
        <v>5.44</v>
      </c>
      <c r="P516" s="285"/>
      <c r="Q516" s="285"/>
      <c r="R516" s="278"/>
      <c r="S516" s="278"/>
      <c r="T516" s="278"/>
    </row>
    <row r="517" spans="1:20" s="305" customFormat="1" hidden="1" outlineLevel="2" x14ac:dyDescent="0.25">
      <c r="A517" s="278"/>
      <c r="B517" s="279" t="str">
        <f t="shared" si="143"/>
        <v>beam/bearer75x25mmHWD</v>
      </c>
      <c r="C517" s="278" t="s">
        <v>2129</v>
      </c>
      <c r="D517" s="278" t="s">
        <v>1980</v>
      </c>
      <c r="E517" s="278" t="str">
        <f t="shared" si="140"/>
        <v>HWD</v>
      </c>
      <c r="F517" s="278"/>
      <c r="G517" s="278" t="s">
        <v>15</v>
      </c>
      <c r="H517" s="309">
        <f t="shared" si="141"/>
        <v>0.06</v>
      </c>
      <c r="I517" s="280">
        <f t="shared" si="144"/>
        <v>4.8372000000000002</v>
      </c>
      <c r="J517" s="281">
        <f t="shared" si="145"/>
        <v>5.4858000000000002</v>
      </c>
      <c r="K517" s="282">
        <f>IF(Notes!$B$9="Domestic",I517, IF(Notes!$B$9="Commercial",J517))*$K$412</f>
        <v>10.9716</v>
      </c>
      <c r="L517" s="283">
        <f>(SUM(O517:Q517)+(K517+SUM(M517:Q517))*(INDEX($U$412:$AB$412,MATCH(Notes!$C$16,$U$3:$AB$3,0))-100%))*$L$412</f>
        <v>5.36</v>
      </c>
      <c r="M517" s="286"/>
      <c r="N517" s="286"/>
      <c r="O517" s="311">
        <f t="shared" si="142"/>
        <v>5.36</v>
      </c>
      <c r="P517" s="285"/>
      <c r="Q517" s="285"/>
      <c r="R517" s="278"/>
      <c r="S517" s="278"/>
      <c r="T517" s="278"/>
    </row>
    <row r="518" spans="1:20" s="305" customFormat="1" hidden="1" outlineLevel="2" x14ac:dyDescent="0.25">
      <c r="A518" s="278"/>
      <c r="B518" s="279" t="str">
        <f t="shared" si="143"/>
        <v>beam/bearer75x38mmHWD</v>
      </c>
      <c r="C518" s="278" t="s">
        <v>2129</v>
      </c>
      <c r="D518" s="278" t="s">
        <v>1981</v>
      </c>
      <c r="E518" s="278" t="str">
        <f t="shared" si="140"/>
        <v>HWD</v>
      </c>
      <c r="F518" s="278"/>
      <c r="G518" s="278" t="s">
        <v>15</v>
      </c>
      <c r="H518" s="309">
        <f t="shared" si="141"/>
        <v>0.06</v>
      </c>
      <c r="I518" s="280">
        <f t="shared" si="144"/>
        <v>4.8372000000000002</v>
      </c>
      <c r="J518" s="281">
        <f t="shared" si="145"/>
        <v>5.4858000000000002</v>
      </c>
      <c r="K518" s="282">
        <f>IF(Notes!$B$9="Domestic",I518, IF(Notes!$B$9="Commercial",J518))*$K$412</f>
        <v>10.9716</v>
      </c>
      <c r="L518" s="283">
        <f>(SUM(O518:Q518)+(K518+SUM(M518:Q518))*(INDEX($U$412:$AB$412,MATCH(Notes!$C$16,$U$3:$AB$3,0))-100%))*$L$412</f>
        <v>8.16</v>
      </c>
      <c r="M518" s="286"/>
      <c r="N518" s="286"/>
      <c r="O518" s="311">
        <f t="shared" si="142"/>
        <v>8.16</v>
      </c>
      <c r="P518" s="285"/>
      <c r="Q518" s="285"/>
      <c r="R518" s="278"/>
      <c r="S518" s="278"/>
      <c r="T518" s="278"/>
    </row>
    <row r="519" spans="1:20" s="305" customFormat="1" hidden="1" outlineLevel="2" x14ac:dyDescent="0.25">
      <c r="A519" s="278"/>
      <c r="B519" s="279" t="str">
        <f t="shared" si="143"/>
        <v>beam/bearer75x50mmHWD</v>
      </c>
      <c r="C519" s="278" t="s">
        <v>2129</v>
      </c>
      <c r="D519" s="278" t="s">
        <v>1982</v>
      </c>
      <c r="E519" s="278" t="str">
        <f t="shared" si="140"/>
        <v>HWD</v>
      </c>
      <c r="F519" s="278"/>
      <c r="G519" s="278" t="s">
        <v>15</v>
      </c>
      <c r="H519" s="309">
        <f t="shared" si="141"/>
        <v>0.06</v>
      </c>
      <c r="I519" s="280">
        <f t="shared" si="144"/>
        <v>4.8372000000000002</v>
      </c>
      <c r="J519" s="281">
        <f t="shared" si="145"/>
        <v>5.4858000000000002</v>
      </c>
      <c r="K519" s="282">
        <f>IF(Notes!$B$9="Domestic",I519, IF(Notes!$B$9="Commercial",J519))*$K$412</f>
        <v>10.9716</v>
      </c>
      <c r="L519" s="283">
        <f>(SUM(O519:Q519)+(K519+SUM(M519:Q519))*(INDEX($U$412:$AB$412,MATCH(Notes!$C$16,$U$3:$AB$3,0))-100%))*$L$412</f>
        <v>10.63</v>
      </c>
      <c r="M519" s="286"/>
      <c r="N519" s="286"/>
      <c r="O519" s="311">
        <f t="shared" si="142"/>
        <v>10.63</v>
      </c>
      <c r="P519" s="285"/>
      <c r="Q519" s="285"/>
      <c r="R519" s="278"/>
      <c r="S519" s="278"/>
      <c r="T519" s="278"/>
    </row>
    <row r="520" spans="1:20" s="305" customFormat="1" hidden="1" outlineLevel="2" x14ac:dyDescent="0.25">
      <c r="A520" s="278"/>
      <c r="B520" s="279" t="str">
        <f t="shared" si="143"/>
        <v>beam/bearer75x75mmHWD</v>
      </c>
      <c r="C520" s="278" t="s">
        <v>2129</v>
      </c>
      <c r="D520" s="278" t="s">
        <v>1907</v>
      </c>
      <c r="E520" s="278" t="str">
        <f t="shared" si="140"/>
        <v>HWD</v>
      </c>
      <c r="F520" s="278"/>
      <c r="G520" s="278" t="s">
        <v>15</v>
      </c>
      <c r="H520" s="309">
        <f t="shared" si="141"/>
        <v>0.06</v>
      </c>
      <c r="I520" s="280">
        <f t="shared" si="144"/>
        <v>4.8372000000000002</v>
      </c>
      <c r="J520" s="281">
        <f t="shared" si="145"/>
        <v>5.4858000000000002</v>
      </c>
      <c r="K520" s="282">
        <f>IF(Notes!$B$9="Domestic",I520, IF(Notes!$B$9="Commercial",J520))*$K$412</f>
        <v>10.9716</v>
      </c>
      <c r="L520" s="283">
        <f>(SUM(O520:Q520)+(K520+SUM(M520:Q520))*(INDEX($U$412:$AB$412,MATCH(Notes!$C$16,$U$3:$AB$3,0))-100%))*$L$412</f>
        <v>20.23</v>
      </c>
      <c r="M520" s="286"/>
      <c r="N520" s="286"/>
      <c r="O520" s="311">
        <f t="shared" si="142"/>
        <v>20.23</v>
      </c>
      <c r="P520" s="285"/>
      <c r="Q520" s="285"/>
      <c r="R520" s="278"/>
      <c r="S520" s="278"/>
      <c r="T520" s="278"/>
    </row>
    <row r="521" spans="1:20" s="305" customFormat="1" hidden="1" outlineLevel="2" x14ac:dyDescent="0.25">
      <c r="A521" s="278"/>
      <c r="B521" s="279" t="str">
        <f t="shared" si="143"/>
        <v>beam/bearer100x25mmHWD</v>
      </c>
      <c r="C521" s="278" t="s">
        <v>2129</v>
      </c>
      <c r="D521" s="278" t="s">
        <v>1983</v>
      </c>
      <c r="E521" s="278" t="str">
        <f t="shared" ref="E521:E552" si="146">E359</f>
        <v>HWD</v>
      </c>
      <c r="F521" s="278"/>
      <c r="G521" s="278" t="s">
        <v>15</v>
      </c>
      <c r="H521" s="309">
        <f t="shared" ref="H521:H552" si="147">H359*2</f>
        <v>0.06</v>
      </c>
      <c r="I521" s="280">
        <f t="shared" si="144"/>
        <v>4.8372000000000002</v>
      </c>
      <c r="J521" s="281">
        <f t="shared" si="145"/>
        <v>5.4858000000000002</v>
      </c>
      <c r="K521" s="282">
        <f>IF(Notes!$B$9="Domestic",I521, IF(Notes!$B$9="Commercial",J521))*$K$412</f>
        <v>10.9716</v>
      </c>
      <c r="L521" s="283">
        <f>(SUM(O521:Q521)+(K521+SUM(M521:Q521))*(INDEX($U$412:$AB$412,MATCH(Notes!$C$16,$U$3:$AB$3,0))-100%))*$L$412</f>
        <v>7.14</v>
      </c>
      <c r="M521" s="286"/>
      <c r="N521" s="286"/>
      <c r="O521" s="311">
        <f t="shared" ref="O521:O552" si="148">O359</f>
        <v>7.14</v>
      </c>
      <c r="P521" s="285"/>
      <c r="Q521" s="285"/>
      <c r="R521" s="278"/>
      <c r="S521" s="278"/>
      <c r="T521" s="278"/>
    </row>
    <row r="522" spans="1:20" s="305" customFormat="1" hidden="1" outlineLevel="2" x14ac:dyDescent="0.25">
      <c r="A522" s="278"/>
      <c r="B522" s="279" t="str">
        <f t="shared" si="143"/>
        <v>beam/bearer100x38mmHWD</v>
      </c>
      <c r="C522" s="278" t="s">
        <v>2129</v>
      </c>
      <c r="D522" s="278" t="s">
        <v>1984</v>
      </c>
      <c r="E522" s="278" t="str">
        <f t="shared" si="146"/>
        <v>HWD</v>
      </c>
      <c r="F522" s="278"/>
      <c r="G522" s="278" t="s">
        <v>15</v>
      </c>
      <c r="H522" s="309">
        <f t="shared" si="147"/>
        <v>0.06</v>
      </c>
      <c r="I522" s="280">
        <f t="shared" si="144"/>
        <v>4.8372000000000002</v>
      </c>
      <c r="J522" s="281">
        <f t="shared" si="145"/>
        <v>5.4858000000000002</v>
      </c>
      <c r="K522" s="282">
        <f>IF(Notes!$B$9="Domestic",I522, IF(Notes!$B$9="Commercial",J522))*$K$412</f>
        <v>10.9716</v>
      </c>
      <c r="L522" s="283">
        <f>(SUM(O522:Q522)+(K522+SUM(M522:Q522))*(INDEX($U$412:$AB$412,MATCH(Notes!$C$16,$U$3:$AB$3,0))-100%))*$L$412</f>
        <v>10.88</v>
      </c>
      <c r="M522" s="286"/>
      <c r="N522" s="286"/>
      <c r="O522" s="311">
        <f t="shared" si="148"/>
        <v>10.88</v>
      </c>
      <c r="P522" s="285"/>
      <c r="Q522" s="285"/>
      <c r="R522" s="278"/>
      <c r="S522" s="278"/>
      <c r="T522" s="278"/>
    </row>
    <row r="523" spans="1:20" s="305" customFormat="1" hidden="1" outlineLevel="2" x14ac:dyDescent="0.25">
      <c r="A523" s="278"/>
      <c r="B523" s="279" t="str">
        <f t="shared" si="143"/>
        <v>beam/bearer100x50mmHWD</v>
      </c>
      <c r="C523" s="278" t="s">
        <v>2129</v>
      </c>
      <c r="D523" s="278" t="s">
        <v>1985</v>
      </c>
      <c r="E523" s="278" t="str">
        <f t="shared" si="146"/>
        <v>HWD</v>
      </c>
      <c r="F523" s="278"/>
      <c r="G523" s="278" t="s">
        <v>15</v>
      </c>
      <c r="H523" s="309">
        <f t="shared" si="147"/>
        <v>0.06</v>
      </c>
      <c r="I523" s="280">
        <f t="shared" si="144"/>
        <v>4.8372000000000002</v>
      </c>
      <c r="J523" s="281">
        <f t="shared" si="145"/>
        <v>5.4858000000000002</v>
      </c>
      <c r="K523" s="282">
        <f>IF(Notes!$B$9="Domestic",I523, IF(Notes!$B$9="Commercial",J523))*$K$412</f>
        <v>10.9716</v>
      </c>
      <c r="L523" s="283">
        <f>(SUM(O523:Q523)+(K523+SUM(M523:Q523))*(INDEX($U$412:$AB$412,MATCH(Notes!$C$16,$U$3:$AB$3,0))-100%))*$L$412</f>
        <v>14.28</v>
      </c>
      <c r="M523" s="286"/>
      <c r="N523" s="286"/>
      <c r="O523" s="311">
        <f t="shared" si="148"/>
        <v>14.28</v>
      </c>
      <c r="P523" s="285"/>
      <c r="Q523" s="285"/>
      <c r="R523" s="278"/>
      <c r="S523" s="278"/>
      <c r="T523" s="278"/>
    </row>
    <row r="524" spans="1:20" s="305" customFormat="1" hidden="1" outlineLevel="2" x14ac:dyDescent="0.25">
      <c r="A524" s="278"/>
      <c r="B524" s="279" t="str">
        <f t="shared" si="143"/>
        <v>beam/bearer100x75mmHWD</v>
      </c>
      <c r="C524" s="278" t="s">
        <v>2129</v>
      </c>
      <c r="D524" s="278" t="s">
        <v>1986</v>
      </c>
      <c r="E524" s="278" t="str">
        <f t="shared" si="146"/>
        <v>HWD</v>
      </c>
      <c r="F524" s="278"/>
      <c r="G524" s="278" t="s">
        <v>15</v>
      </c>
      <c r="H524" s="309">
        <f t="shared" si="147"/>
        <v>0.06</v>
      </c>
      <c r="I524" s="280">
        <f t="shared" si="144"/>
        <v>4.8372000000000002</v>
      </c>
      <c r="J524" s="281">
        <f t="shared" si="145"/>
        <v>5.4858000000000002</v>
      </c>
      <c r="K524" s="282">
        <f>IF(Notes!$B$9="Domestic",I524, IF(Notes!$B$9="Commercial",J524))*$K$412</f>
        <v>10.9716</v>
      </c>
      <c r="L524" s="283">
        <f>(SUM(O524:Q524)+(K524+SUM(M524:Q524))*(INDEX($U$412:$AB$412,MATCH(Notes!$C$16,$U$3:$AB$3,0))-100%))*$L$412</f>
        <v>26.95</v>
      </c>
      <c r="M524" s="286"/>
      <c r="N524" s="286"/>
      <c r="O524" s="311">
        <f t="shared" si="148"/>
        <v>26.95</v>
      </c>
      <c r="P524" s="285"/>
      <c r="Q524" s="285"/>
      <c r="R524" s="278"/>
      <c r="S524" s="278"/>
      <c r="T524" s="278"/>
    </row>
    <row r="525" spans="1:20" s="305" customFormat="1" hidden="1" outlineLevel="2" x14ac:dyDescent="0.25">
      <c r="A525" s="278"/>
      <c r="B525" s="279" t="str">
        <f t="shared" si="143"/>
        <v>beam/bearer125x25mmHWD</v>
      </c>
      <c r="C525" s="278" t="s">
        <v>2129</v>
      </c>
      <c r="D525" s="278" t="s">
        <v>1987</v>
      </c>
      <c r="E525" s="278" t="str">
        <f t="shared" si="146"/>
        <v>HWD</v>
      </c>
      <c r="F525" s="278"/>
      <c r="G525" s="278" t="s">
        <v>15</v>
      </c>
      <c r="H525" s="309">
        <f t="shared" si="147"/>
        <v>0.06</v>
      </c>
      <c r="I525" s="280">
        <f t="shared" si="144"/>
        <v>4.8372000000000002</v>
      </c>
      <c r="J525" s="281">
        <f t="shared" si="145"/>
        <v>5.4858000000000002</v>
      </c>
      <c r="K525" s="282">
        <f>IF(Notes!$B$9="Domestic",I525, IF(Notes!$B$9="Commercial",J525))*$K$412</f>
        <v>10.9716</v>
      </c>
      <c r="L525" s="283">
        <f>(SUM(O525:Q525)+(K525+SUM(M525:Q525))*(INDEX($U$412:$AB$412,MATCH(Notes!$C$16,$U$3:$AB$3,0))-100%))*$L$412</f>
        <v>10.119999999999999</v>
      </c>
      <c r="M525" s="286"/>
      <c r="N525" s="286"/>
      <c r="O525" s="311">
        <f t="shared" si="148"/>
        <v>10.119999999999999</v>
      </c>
      <c r="P525" s="285"/>
      <c r="Q525" s="285"/>
      <c r="R525" s="278"/>
      <c r="S525" s="278"/>
      <c r="T525" s="278"/>
    </row>
    <row r="526" spans="1:20" s="305" customFormat="1" hidden="1" outlineLevel="2" x14ac:dyDescent="0.25">
      <c r="A526" s="278"/>
      <c r="B526" s="279" t="str">
        <f t="shared" si="143"/>
        <v>beam/bearer125x38mmHWD</v>
      </c>
      <c r="C526" s="278" t="s">
        <v>2129</v>
      </c>
      <c r="D526" s="278" t="s">
        <v>1988</v>
      </c>
      <c r="E526" s="278" t="str">
        <f t="shared" si="146"/>
        <v>HWD</v>
      </c>
      <c r="F526" s="278"/>
      <c r="G526" s="278" t="s">
        <v>15</v>
      </c>
      <c r="H526" s="309">
        <f t="shared" si="147"/>
        <v>0.06</v>
      </c>
      <c r="I526" s="280">
        <f t="shared" si="144"/>
        <v>4.8372000000000002</v>
      </c>
      <c r="J526" s="281">
        <f t="shared" si="145"/>
        <v>5.4858000000000002</v>
      </c>
      <c r="K526" s="282">
        <f>IF(Notes!$B$9="Domestic",I526, IF(Notes!$B$9="Commercial",J526))*$K$412</f>
        <v>10.9716</v>
      </c>
      <c r="L526" s="283">
        <f>(SUM(O526:Q526)+(K526+SUM(M526:Q526))*(INDEX($U$412:$AB$412,MATCH(Notes!$C$16,$U$3:$AB$3,0))-100%))*$L$412</f>
        <v>15.3</v>
      </c>
      <c r="M526" s="286"/>
      <c r="N526" s="286"/>
      <c r="O526" s="311">
        <f t="shared" si="148"/>
        <v>15.3</v>
      </c>
      <c r="P526" s="285"/>
      <c r="Q526" s="285"/>
      <c r="R526" s="278"/>
      <c r="S526" s="278"/>
      <c r="T526" s="278"/>
    </row>
    <row r="527" spans="1:20" s="305" customFormat="1" hidden="1" outlineLevel="2" x14ac:dyDescent="0.25">
      <c r="A527" s="278"/>
      <c r="B527" s="279" t="str">
        <f t="shared" si="143"/>
        <v>beam/bearer125x50mmHWD</v>
      </c>
      <c r="C527" s="278" t="s">
        <v>2129</v>
      </c>
      <c r="D527" s="278" t="s">
        <v>1989</v>
      </c>
      <c r="E527" s="278" t="str">
        <f t="shared" si="146"/>
        <v>HWD</v>
      </c>
      <c r="F527" s="278"/>
      <c r="G527" s="278" t="s">
        <v>15</v>
      </c>
      <c r="H527" s="309">
        <f t="shared" si="147"/>
        <v>0.06</v>
      </c>
      <c r="I527" s="280">
        <f t="shared" si="144"/>
        <v>4.8372000000000002</v>
      </c>
      <c r="J527" s="281">
        <f t="shared" si="145"/>
        <v>5.4858000000000002</v>
      </c>
      <c r="K527" s="282">
        <f>IF(Notes!$B$9="Domestic",I527, IF(Notes!$B$9="Commercial",J527))*$K$412</f>
        <v>10.9716</v>
      </c>
      <c r="L527" s="283">
        <f>(SUM(O527:Q527)+(K527+SUM(M527:Q527))*(INDEX($U$412:$AB$412,MATCH(Notes!$C$16,$U$3:$AB$3,0))-100%))*$L$412</f>
        <v>20.149999999999999</v>
      </c>
      <c r="M527" s="286"/>
      <c r="N527" s="286"/>
      <c r="O527" s="311">
        <f t="shared" si="148"/>
        <v>20.149999999999999</v>
      </c>
      <c r="P527" s="285"/>
      <c r="Q527" s="285"/>
      <c r="R527" s="278"/>
      <c r="S527" s="278"/>
      <c r="T527" s="278"/>
    </row>
    <row r="528" spans="1:20" s="305" customFormat="1" hidden="1" outlineLevel="2" x14ac:dyDescent="0.25">
      <c r="A528" s="278"/>
      <c r="B528" s="279" t="str">
        <f t="shared" si="143"/>
        <v>beam/bearer125x75mmHWD</v>
      </c>
      <c r="C528" s="278" t="s">
        <v>2129</v>
      </c>
      <c r="D528" s="278" t="s">
        <v>1990</v>
      </c>
      <c r="E528" s="278" t="str">
        <f t="shared" si="146"/>
        <v>HWD</v>
      </c>
      <c r="F528" s="278"/>
      <c r="G528" s="278" t="s">
        <v>15</v>
      </c>
      <c r="H528" s="309">
        <f t="shared" si="147"/>
        <v>0.06</v>
      </c>
      <c r="I528" s="280">
        <f t="shared" si="144"/>
        <v>4.8372000000000002</v>
      </c>
      <c r="J528" s="281">
        <f t="shared" si="145"/>
        <v>5.4858000000000002</v>
      </c>
      <c r="K528" s="282">
        <f>IF(Notes!$B$9="Domestic",I528, IF(Notes!$B$9="Commercial",J528))*$K$412</f>
        <v>10.9716</v>
      </c>
      <c r="L528" s="283">
        <f>(SUM(O528:Q528)+(K528+SUM(M528:Q528))*(INDEX($U$412:$AB$412,MATCH(Notes!$C$16,$U$3:$AB$3,0))-100%))*$L$412</f>
        <v>33.659999999999997</v>
      </c>
      <c r="M528" s="286"/>
      <c r="N528" s="286"/>
      <c r="O528" s="311">
        <f t="shared" si="148"/>
        <v>33.659999999999997</v>
      </c>
      <c r="P528" s="285"/>
      <c r="Q528" s="285"/>
      <c r="R528" s="278"/>
      <c r="S528" s="278"/>
      <c r="T528" s="278"/>
    </row>
    <row r="529" spans="1:20" s="305" customFormat="1" hidden="1" outlineLevel="2" x14ac:dyDescent="0.25">
      <c r="A529" s="278"/>
      <c r="B529" s="279" t="str">
        <f t="shared" si="143"/>
        <v>beam/bearer150x25mmHWD</v>
      </c>
      <c r="C529" s="278" t="s">
        <v>2129</v>
      </c>
      <c r="D529" s="278" t="s">
        <v>1991</v>
      </c>
      <c r="E529" s="278" t="str">
        <f t="shared" si="146"/>
        <v>HWD</v>
      </c>
      <c r="F529" s="278"/>
      <c r="G529" s="278" t="s">
        <v>15</v>
      </c>
      <c r="H529" s="309">
        <f t="shared" si="147"/>
        <v>0.06</v>
      </c>
      <c r="I529" s="280">
        <f t="shared" si="144"/>
        <v>4.8372000000000002</v>
      </c>
      <c r="J529" s="281">
        <f t="shared" si="145"/>
        <v>5.4858000000000002</v>
      </c>
      <c r="K529" s="282">
        <f>IF(Notes!$B$9="Domestic",I529, IF(Notes!$B$9="Commercial",J529))*$K$412</f>
        <v>10.9716</v>
      </c>
      <c r="L529" s="283">
        <f>(SUM(O529:Q529)+(K529+SUM(M529:Q529))*(INDEX($U$412:$AB$412,MATCH(Notes!$C$16,$U$3:$AB$3,0))-100%))*$L$412</f>
        <v>12.16</v>
      </c>
      <c r="M529" s="286"/>
      <c r="N529" s="286"/>
      <c r="O529" s="311">
        <f t="shared" si="148"/>
        <v>12.16</v>
      </c>
      <c r="P529" s="285"/>
      <c r="Q529" s="285"/>
      <c r="R529" s="278"/>
      <c r="S529" s="278"/>
      <c r="T529" s="278"/>
    </row>
    <row r="530" spans="1:20" s="305" customFormat="1" hidden="1" outlineLevel="2" x14ac:dyDescent="0.25">
      <c r="A530" s="278"/>
      <c r="B530" s="279" t="str">
        <f t="shared" si="143"/>
        <v>beam/bearer150x38mmHWD</v>
      </c>
      <c r="C530" s="278" t="s">
        <v>2129</v>
      </c>
      <c r="D530" s="278" t="s">
        <v>1992</v>
      </c>
      <c r="E530" s="278" t="str">
        <f t="shared" si="146"/>
        <v>HWD</v>
      </c>
      <c r="F530" s="278"/>
      <c r="G530" s="278" t="s">
        <v>15</v>
      </c>
      <c r="H530" s="309">
        <f t="shared" si="147"/>
        <v>0.06</v>
      </c>
      <c r="I530" s="280">
        <f t="shared" si="144"/>
        <v>4.8372000000000002</v>
      </c>
      <c r="J530" s="281">
        <f t="shared" si="145"/>
        <v>5.4858000000000002</v>
      </c>
      <c r="K530" s="282">
        <f>IF(Notes!$B$9="Domestic",I530, IF(Notes!$B$9="Commercial",J530))*$K$412</f>
        <v>10.9716</v>
      </c>
      <c r="L530" s="283">
        <f>(SUM(O530:Q530)+(K530+SUM(M530:Q530))*(INDEX($U$412:$AB$412,MATCH(Notes!$C$16,$U$3:$AB$3,0))-100%))*$L$412</f>
        <v>18.36</v>
      </c>
      <c r="M530" s="286"/>
      <c r="N530" s="286"/>
      <c r="O530" s="311">
        <f t="shared" si="148"/>
        <v>18.36</v>
      </c>
      <c r="P530" s="285"/>
      <c r="Q530" s="285"/>
      <c r="R530" s="278"/>
      <c r="S530" s="278"/>
      <c r="T530" s="278"/>
    </row>
    <row r="531" spans="1:20" s="305" customFormat="1" hidden="1" outlineLevel="2" x14ac:dyDescent="0.25">
      <c r="A531" s="278"/>
      <c r="B531" s="279" t="str">
        <f t="shared" si="143"/>
        <v>beam/bearer150x50mmHWD</v>
      </c>
      <c r="C531" s="278" t="s">
        <v>2129</v>
      </c>
      <c r="D531" s="278" t="s">
        <v>1993</v>
      </c>
      <c r="E531" s="278" t="str">
        <f t="shared" si="146"/>
        <v>HWD</v>
      </c>
      <c r="F531" s="278"/>
      <c r="G531" s="278" t="s">
        <v>15</v>
      </c>
      <c r="H531" s="309">
        <f t="shared" si="147"/>
        <v>0.06</v>
      </c>
      <c r="I531" s="280">
        <f t="shared" si="144"/>
        <v>4.8372000000000002</v>
      </c>
      <c r="J531" s="281">
        <f t="shared" si="145"/>
        <v>5.4858000000000002</v>
      </c>
      <c r="K531" s="282">
        <f>IF(Notes!$B$9="Domestic",I531, IF(Notes!$B$9="Commercial",J531))*$K$412</f>
        <v>10.9716</v>
      </c>
      <c r="L531" s="283">
        <f>(SUM(O531:Q531)+(K531+SUM(M531:Q531))*(INDEX($U$412:$AB$412,MATCH(Notes!$C$16,$U$3:$AB$3,0))-100%))*$L$412</f>
        <v>24.14</v>
      </c>
      <c r="M531" s="286"/>
      <c r="N531" s="286"/>
      <c r="O531" s="311">
        <f t="shared" si="148"/>
        <v>24.14</v>
      </c>
      <c r="P531" s="285"/>
      <c r="Q531" s="285"/>
      <c r="R531" s="278"/>
      <c r="S531" s="278"/>
      <c r="T531" s="278"/>
    </row>
    <row r="532" spans="1:20" s="305" customFormat="1" hidden="1" outlineLevel="2" x14ac:dyDescent="0.25">
      <c r="A532" s="278"/>
      <c r="B532" s="279" t="str">
        <f t="shared" si="143"/>
        <v>beam/bearer150x75mmHWD</v>
      </c>
      <c r="C532" s="278" t="s">
        <v>2129</v>
      </c>
      <c r="D532" s="278" t="s">
        <v>1963</v>
      </c>
      <c r="E532" s="278" t="str">
        <f t="shared" si="146"/>
        <v>HWD</v>
      </c>
      <c r="F532" s="278"/>
      <c r="G532" s="278" t="s">
        <v>15</v>
      </c>
      <c r="H532" s="309">
        <f t="shared" si="147"/>
        <v>0.06</v>
      </c>
      <c r="I532" s="280">
        <f t="shared" si="144"/>
        <v>4.8372000000000002</v>
      </c>
      <c r="J532" s="281">
        <f t="shared" si="145"/>
        <v>5.4858000000000002</v>
      </c>
      <c r="K532" s="282">
        <f>IF(Notes!$B$9="Domestic",I532, IF(Notes!$B$9="Commercial",J532))*$K$412</f>
        <v>10.9716</v>
      </c>
      <c r="L532" s="283">
        <f>(SUM(O532:Q532)+(K532+SUM(M532:Q532))*(INDEX($U$412:$AB$412,MATCH(Notes!$C$16,$U$3:$AB$3,0))-100%))*$L$412</f>
        <v>40.380000000000003</v>
      </c>
      <c r="M532" s="286"/>
      <c r="N532" s="286"/>
      <c r="O532" s="311">
        <f t="shared" si="148"/>
        <v>40.380000000000003</v>
      </c>
      <c r="P532" s="285"/>
      <c r="Q532" s="285"/>
      <c r="R532" s="278"/>
      <c r="S532" s="278"/>
      <c r="T532" s="278"/>
    </row>
    <row r="533" spans="1:20" s="305" customFormat="1" hidden="1" outlineLevel="2" x14ac:dyDescent="0.25">
      <c r="A533" s="278"/>
      <c r="B533" s="279" t="str">
        <f t="shared" si="143"/>
        <v>beam/bearer175x50mmHWD</v>
      </c>
      <c r="C533" s="278" t="s">
        <v>2129</v>
      </c>
      <c r="D533" s="278" t="s">
        <v>1994</v>
      </c>
      <c r="E533" s="278" t="str">
        <f t="shared" si="146"/>
        <v>HWD</v>
      </c>
      <c r="F533" s="278"/>
      <c r="G533" s="278" t="s">
        <v>15</v>
      </c>
      <c r="H533" s="309">
        <f t="shared" si="147"/>
        <v>0.06</v>
      </c>
      <c r="I533" s="280">
        <f t="shared" si="144"/>
        <v>4.8372000000000002</v>
      </c>
      <c r="J533" s="281">
        <f t="shared" si="145"/>
        <v>5.4858000000000002</v>
      </c>
      <c r="K533" s="282">
        <f>IF(Notes!$B$9="Domestic",I533, IF(Notes!$B$9="Commercial",J533))*$K$412</f>
        <v>10.9716</v>
      </c>
      <c r="L533" s="283">
        <f>(SUM(O533:Q533)+(K533+SUM(M533:Q533))*(INDEX($U$412:$AB$412,MATCH(Notes!$C$16,$U$3:$AB$3,0))-100%))*$L$412</f>
        <v>31.37</v>
      </c>
      <c r="M533" s="286"/>
      <c r="N533" s="286"/>
      <c r="O533" s="311">
        <f t="shared" si="148"/>
        <v>31.37</v>
      </c>
      <c r="P533" s="285"/>
      <c r="Q533" s="285"/>
      <c r="R533" s="278"/>
      <c r="S533" s="278"/>
      <c r="T533" s="278"/>
    </row>
    <row r="534" spans="1:20" s="305" customFormat="1" hidden="1" outlineLevel="2" x14ac:dyDescent="0.25">
      <c r="A534" s="278"/>
      <c r="B534" s="279" t="str">
        <f t="shared" si="143"/>
        <v>beam/bearer175x75mmHWD</v>
      </c>
      <c r="C534" s="278" t="s">
        <v>2129</v>
      </c>
      <c r="D534" s="278" t="s">
        <v>1995</v>
      </c>
      <c r="E534" s="278" t="str">
        <f t="shared" si="146"/>
        <v>HWD</v>
      </c>
      <c r="F534" s="278"/>
      <c r="G534" s="278" t="s">
        <v>15</v>
      </c>
      <c r="H534" s="309">
        <f t="shared" si="147"/>
        <v>0.06</v>
      </c>
      <c r="I534" s="280">
        <f t="shared" si="144"/>
        <v>4.8372000000000002</v>
      </c>
      <c r="J534" s="281">
        <f t="shared" si="145"/>
        <v>5.4858000000000002</v>
      </c>
      <c r="K534" s="282">
        <f>IF(Notes!$B$9="Domestic",I534, IF(Notes!$B$9="Commercial",J534))*$K$412</f>
        <v>10.9716</v>
      </c>
      <c r="L534" s="283">
        <f>(SUM(O534:Q534)+(K534+SUM(M534:Q534))*(INDEX($U$412:$AB$412,MATCH(Notes!$C$16,$U$3:$AB$3,0))-100%))*$L$412</f>
        <v>47.09</v>
      </c>
      <c r="M534" s="286"/>
      <c r="N534" s="286"/>
      <c r="O534" s="311">
        <f t="shared" si="148"/>
        <v>47.09</v>
      </c>
      <c r="P534" s="285"/>
      <c r="Q534" s="285"/>
      <c r="R534" s="278"/>
      <c r="S534" s="278"/>
      <c r="T534" s="278"/>
    </row>
    <row r="535" spans="1:20" s="305" customFormat="1" hidden="1" outlineLevel="2" x14ac:dyDescent="0.25">
      <c r="A535" s="278"/>
      <c r="B535" s="279" t="str">
        <f t="shared" si="143"/>
        <v>beam/bearer200x25mmHWD</v>
      </c>
      <c r="C535" s="278" t="s">
        <v>2129</v>
      </c>
      <c r="D535" s="278" t="s">
        <v>1996</v>
      </c>
      <c r="E535" s="278" t="str">
        <f t="shared" si="146"/>
        <v>HWD</v>
      </c>
      <c r="F535" s="278"/>
      <c r="G535" s="278" t="s">
        <v>15</v>
      </c>
      <c r="H535" s="309">
        <f t="shared" si="147"/>
        <v>0.06</v>
      </c>
      <c r="I535" s="280">
        <f t="shared" si="144"/>
        <v>4.8372000000000002</v>
      </c>
      <c r="J535" s="281">
        <f t="shared" si="145"/>
        <v>5.4858000000000002</v>
      </c>
      <c r="K535" s="282">
        <f>IF(Notes!$B$9="Domestic",I535, IF(Notes!$B$9="Commercial",J535))*$K$412</f>
        <v>10.9716</v>
      </c>
      <c r="L535" s="283">
        <f>(SUM(O535:Q535)+(K535+SUM(M535:Q535))*(INDEX($U$412:$AB$412,MATCH(Notes!$C$16,$U$3:$AB$3,0))-100%))*$L$412</f>
        <v>18.02</v>
      </c>
      <c r="M535" s="286"/>
      <c r="N535" s="286"/>
      <c r="O535" s="311">
        <f t="shared" si="148"/>
        <v>18.02</v>
      </c>
      <c r="P535" s="285"/>
      <c r="Q535" s="285"/>
      <c r="R535" s="278"/>
      <c r="S535" s="278"/>
      <c r="T535" s="278"/>
    </row>
    <row r="536" spans="1:20" s="305" customFormat="1" hidden="1" outlineLevel="2" x14ac:dyDescent="0.25">
      <c r="A536" s="278"/>
      <c r="B536" s="279" t="str">
        <f t="shared" si="143"/>
        <v>beam/bearer200x38mmHWD</v>
      </c>
      <c r="C536" s="278" t="s">
        <v>2129</v>
      </c>
      <c r="D536" s="278" t="s">
        <v>1997</v>
      </c>
      <c r="E536" s="278" t="str">
        <f t="shared" si="146"/>
        <v>HWD</v>
      </c>
      <c r="F536" s="278"/>
      <c r="G536" s="278" t="s">
        <v>15</v>
      </c>
      <c r="H536" s="309">
        <f t="shared" si="147"/>
        <v>0.06</v>
      </c>
      <c r="I536" s="280">
        <f t="shared" si="144"/>
        <v>4.8372000000000002</v>
      </c>
      <c r="J536" s="281">
        <f t="shared" si="145"/>
        <v>5.4858000000000002</v>
      </c>
      <c r="K536" s="282">
        <f>IF(Notes!$B$9="Domestic",I536, IF(Notes!$B$9="Commercial",J536))*$K$412</f>
        <v>10.9716</v>
      </c>
      <c r="L536" s="283">
        <f>(SUM(O536:Q536)+(K536+SUM(M536:Q536))*(INDEX($U$412:$AB$412,MATCH(Notes!$C$16,$U$3:$AB$3,0))-100%))*$L$412</f>
        <v>27.29</v>
      </c>
      <c r="M536" s="286"/>
      <c r="N536" s="286"/>
      <c r="O536" s="311">
        <f t="shared" si="148"/>
        <v>27.29</v>
      </c>
      <c r="P536" s="285"/>
      <c r="Q536" s="285"/>
      <c r="R536" s="278"/>
      <c r="S536" s="278"/>
      <c r="T536" s="278"/>
    </row>
    <row r="537" spans="1:20" s="305" customFormat="1" hidden="1" outlineLevel="2" x14ac:dyDescent="0.25">
      <c r="A537" s="278"/>
      <c r="B537" s="279" t="str">
        <f t="shared" si="143"/>
        <v>beam/bearer200x50mmHWD</v>
      </c>
      <c r="C537" s="278" t="s">
        <v>2129</v>
      </c>
      <c r="D537" s="278" t="s">
        <v>1998</v>
      </c>
      <c r="E537" s="278" t="str">
        <f t="shared" si="146"/>
        <v>HWD</v>
      </c>
      <c r="F537" s="278"/>
      <c r="G537" s="278" t="s">
        <v>15</v>
      </c>
      <c r="H537" s="309">
        <f t="shared" si="147"/>
        <v>0.08</v>
      </c>
      <c r="I537" s="280">
        <f t="shared" si="144"/>
        <v>6.4496000000000002</v>
      </c>
      <c r="J537" s="281">
        <f t="shared" si="145"/>
        <v>7.3144000000000009</v>
      </c>
      <c r="K537" s="282">
        <f>IF(Notes!$B$9="Domestic",I537, IF(Notes!$B$9="Commercial",J537))*$K$412</f>
        <v>14.628800000000002</v>
      </c>
      <c r="L537" s="283">
        <f>(SUM(O537:Q537)+(K537+SUM(M537:Q537))*(INDEX($U$412:$AB$412,MATCH(Notes!$C$16,$U$3:$AB$3,0))-100%))*$L$412</f>
        <v>35.869999999999997</v>
      </c>
      <c r="M537" s="286"/>
      <c r="N537" s="286"/>
      <c r="O537" s="311">
        <f t="shared" si="148"/>
        <v>35.869999999999997</v>
      </c>
      <c r="P537" s="285"/>
      <c r="Q537" s="285"/>
      <c r="R537" s="278"/>
      <c r="S537" s="278"/>
      <c r="T537" s="278"/>
    </row>
    <row r="538" spans="1:20" s="305" customFormat="1" hidden="1" outlineLevel="2" x14ac:dyDescent="0.25">
      <c r="A538" s="278"/>
      <c r="B538" s="279" t="str">
        <f t="shared" si="143"/>
        <v>beam/bearer200x75mmHWD</v>
      </c>
      <c r="C538" s="278" t="s">
        <v>2129</v>
      </c>
      <c r="D538" s="278" t="s">
        <v>1999</v>
      </c>
      <c r="E538" s="278" t="str">
        <f t="shared" si="146"/>
        <v>HWD</v>
      </c>
      <c r="F538" s="278"/>
      <c r="G538" s="278" t="s">
        <v>15</v>
      </c>
      <c r="H538" s="309">
        <f t="shared" si="147"/>
        <v>0.08</v>
      </c>
      <c r="I538" s="280">
        <f t="shared" si="144"/>
        <v>6.4496000000000002</v>
      </c>
      <c r="J538" s="281">
        <f t="shared" si="145"/>
        <v>7.3144000000000009</v>
      </c>
      <c r="K538" s="282">
        <f>IF(Notes!$B$9="Domestic",I538, IF(Notes!$B$9="Commercial",J538))*$K$412</f>
        <v>14.628800000000002</v>
      </c>
      <c r="L538" s="283">
        <f>(SUM(O538:Q538)+(K538+SUM(M538:Q538))*(INDEX($U$412:$AB$412,MATCH(Notes!$C$16,$U$3:$AB$3,0))-100%))*$L$412</f>
        <v>61.37</v>
      </c>
      <c r="M538" s="286"/>
      <c r="N538" s="286"/>
      <c r="O538" s="311">
        <f t="shared" si="148"/>
        <v>61.37</v>
      </c>
      <c r="P538" s="285"/>
      <c r="Q538" s="285"/>
      <c r="R538" s="278"/>
      <c r="S538" s="278"/>
      <c r="T538" s="278"/>
    </row>
    <row r="539" spans="1:20" s="305" customFormat="1" hidden="1" outlineLevel="2" x14ac:dyDescent="0.25">
      <c r="A539" s="278"/>
      <c r="B539" s="279" t="str">
        <f t="shared" si="143"/>
        <v>beam/bearer250x38mmHWD</v>
      </c>
      <c r="C539" s="278" t="s">
        <v>2129</v>
      </c>
      <c r="D539" s="278" t="s">
        <v>2000</v>
      </c>
      <c r="E539" s="278" t="str">
        <f t="shared" si="146"/>
        <v>HWD</v>
      </c>
      <c r="F539" s="278"/>
      <c r="G539" s="278" t="s">
        <v>15</v>
      </c>
      <c r="H539" s="309">
        <f t="shared" si="147"/>
        <v>0.08</v>
      </c>
      <c r="I539" s="280">
        <f t="shared" si="144"/>
        <v>6.4496000000000002</v>
      </c>
      <c r="J539" s="281">
        <f t="shared" si="145"/>
        <v>7.3144000000000009</v>
      </c>
      <c r="K539" s="282">
        <f>IF(Notes!$B$9="Domestic",I539, IF(Notes!$B$9="Commercial",J539))*$K$412</f>
        <v>14.628800000000002</v>
      </c>
      <c r="L539" s="283">
        <f>(SUM(O539:Q539)+(K539+SUM(M539:Q539))*(INDEX($U$412:$AB$412,MATCH(Notes!$C$16,$U$3:$AB$3,0))-100%))*$L$412</f>
        <v>42.76</v>
      </c>
      <c r="M539" s="286"/>
      <c r="N539" s="286"/>
      <c r="O539" s="311">
        <f t="shared" si="148"/>
        <v>42.76</v>
      </c>
      <c r="P539" s="285"/>
      <c r="Q539" s="285"/>
      <c r="R539" s="278"/>
      <c r="S539" s="278"/>
      <c r="T539" s="278"/>
    </row>
    <row r="540" spans="1:20" s="305" customFormat="1" hidden="1" outlineLevel="2" x14ac:dyDescent="0.25">
      <c r="A540" s="278"/>
      <c r="B540" s="279" t="str">
        <f t="shared" si="143"/>
        <v>beam/bearer250x50mmHWD</v>
      </c>
      <c r="C540" s="278" t="s">
        <v>2129</v>
      </c>
      <c r="D540" s="278" t="s">
        <v>2001</v>
      </c>
      <c r="E540" s="278" t="str">
        <f t="shared" si="146"/>
        <v>HWD</v>
      </c>
      <c r="F540" s="278"/>
      <c r="G540" s="278" t="s">
        <v>15</v>
      </c>
      <c r="H540" s="309">
        <f t="shared" si="147"/>
        <v>0.08</v>
      </c>
      <c r="I540" s="280">
        <f t="shared" si="144"/>
        <v>6.4496000000000002</v>
      </c>
      <c r="J540" s="281">
        <f t="shared" si="145"/>
        <v>7.3144000000000009</v>
      </c>
      <c r="K540" s="282">
        <f>IF(Notes!$B$9="Domestic",I540, IF(Notes!$B$9="Commercial",J540))*$K$412</f>
        <v>14.628800000000002</v>
      </c>
      <c r="L540" s="283">
        <f>(SUM(O540:Q540)+(K540+SUM(M540:Q540))*(INDEX($U$412:$AB$412,MATCH(Notes!$C$16,$U$3:$AB$3,0))-100%))*$L$412</f>
        <v>56.95</v>
      </c>
      <c r="M540" s="286"/>
      <c r="N540" s="286"/>
      <c r="O540" s="311">
        <f t="shared" si="148"/>
        <v>56.95</v>
      </c>
      <c r="P540" s="285"/>
      <c r="Q540" s="285"/>
      <c r="R540" s="278"/>
      <c r="S540" s="278"/>
      <c r="T540" s="278"/>
    </row>
    <row r="541" spans="1:20" s="305" customFormat="1" hidden="1" outlineLevel="2" x14ac:dyDescent="0.25">
      <c r="A541" s="278"/>
      <c r="B541" s="279" t="str">
        <f t="shared" si="143"/>
        <v>beam/bearer250x75mmHWD</v>
      </c>
      <c r="C541" s="278" t="s">
        <v>2129</v>
      </c>
      <c r="D541" s="278" t="s">
        <v>2002</v>
      </c>
      <c r="E541" s="278" t="str">
        <f t="shared" si="146"/>
        <v>HWD</v>
      </c>
      <c r="F541" s="278"/>
      <c r="G541" s="278" t="s">
        <v>15</v>
      </c>
      <c r="H541" s="309">
        <f t="shared" si="147"/>
        <v>0.08</v>
      </c>
      <c r="I541" s="280">
        <f t="shared" si="144"/>
        <v>6.4496000000000002</v>
      </c>
      <c r="J541" s="281">
        <f t="shared" si="145"/>
        <v>7.3144000000000009</v>
      </c>
      <c r="K541" s="282">
        <f>IF(Notes!$B$9="Domestic",I541, IF(Notes!$B$9="Commercial",J541))*$K$412</f>
        <v>14.628800000000002</v>
      </c>
      <c r="L541" s="283">
        <f>(SUM(O541:Q541)+(K541+SUM(M541:Q541))*(INDEX($U$412:$AB$412,MATCH(Notes!$C$16,$U$3:$AB$3,0))-100%))*$L$412</f>
        <v>84.92</v>
      </c>
      <c r="M541" s="286"/>
      <c r="N541" s="286"/>
      <c r="O541" s="311">
        <f t="shared" si="148"/>
        <v>84.92</v>
      </c>
      <c r="P541" s="285"/>
      <c r="Q541" s="285"/>
      <c r="R541" s="278"/>
      <c r="S541" s="278"/>
      <c r="T541" s="278"/>
    </row>
    <row r="542" spans="1:20" s="305" customFormat="1" hidden="1" outlineLevel="2" x14ac:dyDescent="0.25">
      <c r="A542" s="278"/>
      <c r="B542" s="279" t="str">
        <f t="shared" si="143"/>
        <v>beam/bearer300x50mmHWD</v>
      </c>
      <c r="C542" s="278" t="s">
        <v>2129</v>
      </c>
      <c r="D542" s="278" t="s">
        <v>2003</v>
      </c>
      <c r="E542" s="278" t="str">
        <f t="shared" si="146"/>
        <v>HWD</v>
      </c>
      <c r="F542" s="278"/>
      <c r="G542" s="278" t="s">
        <v>15</v>
      </c>
      <c r="H542" s="309">
        <f t="shared" si="147"/>
        <v>0.1</v>
      </c>
      <c r="I542" s="280">
        <f t="shared" si="144"/>
        <v>8.0620000000000012</v>
      </c>
      <c r="J542" s="281">
        <f t="shared" si="145"/>
        <v>9.1430000000000007</v>
      </c>
      <c r="K542" s="282">
        <f>IF(Notes!$B$9="Domestic",I542, IF(Notes!$B$9="Commercial",J542))*$K$412</f>
        <v>18.286000000000001</v>
      </c>
      <c r="L542" s="283">
        <f>(SUM(O542:Q542)+(K542+SUM(M542:Q542))*(INDEX($U$412:$AB$412,MATCH(Notes!$C$16,$U$3:$AB$3,0))-100%))*$L$412</f>
        <v>81.349999999999994</v>
      </c>
      <c r="M542" s="286"/>
      <c r="N542" s="286"/>
      <c r="O542" s="311">
        <f t="shared" si="148"/>
        <v>81.349999999999994</v>
      </c>
      <c r="P542" s="285"/>
      <c r="Q542" s="285"/>
      <c r="R542" s="278"/>
      <c r="S542" s="278"/>
      <c r="T542" s="278"/>
    </row>
    <row r="543" spans="1:20" s="305" customFormat="1" hidden="1" outlineLevel="2" x14ac:dyDescent="0.25">
      <c r="A543" s="278"/>
      <c r="B543" s="279" t="str">
        <f t="shared" si="143"/>
        <v>beam/bearer300x75mmHWD</v>
      </c>
      <c r="C543" s="278" t="s">
        <v>2129</v>
      </c>
      <c r="D543" s="278" t="s">
        <v>1970</v>
      </c>
      <c r="E543" s="278" t="str">
        <f t="shared" si="146"/>
        <v>HWD</v>
      </c>
      <c r="F543" s="278"/>
      <c r="G543" s="278" t="s">
        <v>15</v>
      </c>
      <c r="H543" s="309">
        <f t="shared" si="147"/>
        <v>0.1</v>
      </c>
      <c r="I543" s="280">
        <f t="shared" si="144"/>
        <v>8.0620000000000012</v>
      </c>
      <c r="J543" s="281">
        <f t="shared" si="145"/>
        <v>9.1430000000000007</v>
      </c>
      <c r="K543" s="282">
        <f>IF(Notes!$B$9="Domestic",I543, IF(Notes!$B$9="Commercial",J543))*$K$412</f>
        <v>18.286000000000001</v>
      </c>
      <c r="L543" s="283">
        <f>(SUM(O543:Q543)+(K543+SUM(M543:Q543))*(INDEX($U$412:$AB$412,MATCH(Notes!$C$16,$U$3:$AB$3,0))-100%))*$L$412</f>
        <v>93.55</v>
      </c>
      <c r="M543" s="286"/>
      <c r="N543" s="286"/>
      <c r="O543" s="311">
        <f t="shared" si="148"/>
        <v>93.55</v>
      </c>
      <c r="P543" s="285"/>
      <c r="Q543" s="285"/>
      <c r="R543" s="278"/>
      <c r="S543" s="278"/>
      <c r="T543" s="278"/>
    </row>
    <row r="544" spans="1:20" s="305" customFormat="1" hidden="1" outlineLevel="2" x14ac:dyDescent="0.25">
      <c r="A544" s="278"/>
      <c r="B544" s="279" t="str">
        <f t="shared" si="143"/>
        <v>beam/bearer50x25mmHWDx2</v>
      </c>
      <c r="C544" s="278" t="s">
        <v>2129</v>
      </c>
      <c r="D544" s="278" t="s">
        <v>1978</v>
      </c>
      <c r="E544" s="278" t="str">
        <f t="shared" si="146"/>
        <v>HWDx2</v>
      </c>
      <c r="F544" s="278"/>
      <c r="G544" s="278" t="s">
        <v>15</v>
      </c>
      <c r="H544" s="309">
        <f t="shared" si="147"/>
        <v>0.09</v>
      </c>
      <c r="I544" s="280">
        <f t="shared" si="144"/>
        <v>7.2557999999999998</v>
      </c>
      <c r="J544" s="281">
        <f t="shared" si="145"/>
        <v>8.2286999999999999</v>
      </c>
      <c r="K544" s="282">
        <f>IF(Notes!$B$9="Domestic",I544, IF(Notes!$B$9="Commercial",J544))*$K$412</f>
        <v>16.4574</v>
      </c>
      <c r="L544" s="283">
        <f>(SUM(O544:Q544)+(K544+SUM(M544:Q544))*(INDEX($U$412:$AB$412,MATCH(Notes!$C$16,$U$3:$AB$3,0))-100%))*$L$412</f>
        <v>7.14</v>
      </c>
      <c r="M544" s="286"/>
      <c r="N544" s="286"/>
      <c r="O544" s="311">
        <f t="shared" si="148"/>
        <v>7.14</v>
      </c>
      <c r="P544" s="285"/>
      <c r="Q544" s="285"/>
      <c r="R544" s="278"/>
      <c r="S544" s="278"/>
      <c r="T544" s="278"/>
    </row>
    <row r="545" spans="1:20" s="305" customFormat="1" hidden="1" outlineLevel="2" x14ac:dyDescent="0.25">
      <c r="A545" s="278"/>
      <c r="B545" s="279" t="str">
        <f t="shared" si="143"/>
        <v>beam/bearer50x38mmHWDx2</v>
      </c>
      <c r="C545" s="278" t="s">
        <v>2129</v>
      </c>
      <c r="D545" s="278" t="s">
        <v>1979</v>
      </c>
      <c r="E545" s="278" t="str">
        <f t="shared" si="146"/>
        <v>HWDx2</v>
      </c>
      <c r="F545" s="278"/>
      <c r="G545" s="278" t="s">
        <v>15</v>
      </c>
      <c r="H545" s="309">
        <f t="shared" si="147"/>
        <v>0.09</v>
      </c>
      <c r="I545" s="280">
        <f t="shared" si="144"/>
        <v>7.2557999999999998</v>
      </c>
      <c r="J545" s="281">
        <f t="shared" si="145"/>
        <v>8.2286999999999999</v>
      </c>
      <c r="K545" s="282">
        <f>IF(Notes!$B$9="Domestic",I545, IF(Notes!$B$9="Commercial",J545))*$K$412</f>
        <v>16.4574</v>
      </c>
      <c r="L545" s="283">
        <f>(SUM(O545:Q545)+(K545+SUM(M545:Q545))*(INDEX($U$412:$AB$412,MATCH(Notes!$C$16,$U$3:$AB$3,0))-100%))*$L$412</f>
        <v>10.88</v>
      </c>
      <c r="M545" s="286"/>
      <c r="N545" s="286"/>
      <c r="O545" s="311">
        <f t="shared" si="148"/>
        <v>10.88</v>
      </c>
      <c r="P545" s="285"/>
      <c r="Q545" s="285"/>
      <c r="R545" s="278"/>
      <c r="S545" s="278"/>
      <c r="T545" s="278"/>
    </row>
    <row r="546" spans="1:20" s="305" customFormat="1" hidden="1" outlineLevel="2" x14ac:dyDescent="0.25">
      <c r="A546" s="278"/>
      <c r="B546" s="279" t="str">
        <f t="shared" si="143"/>
        <v>beam/bearer75x25mmHWDx2</v>
      </c>
      <c r="C546" s="278" t="s">
        <v>2129</v>
      </c>
      <c r="D546" s="278" t="s">
        <v>1980</v>
      </c>
      <c r="E546" s="278" t="str">
        <f t="shared" si="146"/>
        <v>HWDx2</v>
      </c>
      <c r="F546" s="278"/>
      <c r="G546" s="278" t="s">
        <v>15</v>
      </c>
      <c r="H546" s="309">
        <f t="shared" si="147"/>
        <v>0.09</v>
      </c>
      <c r="I546" s="280">
        <f t="shared" si="144"/>
        <v>7.2557999999999998</v>
      </c>
      <c r="J546" s="281">
        <f t="shared" si="145"/>
        <v>8.2286999999999999</v>
      </c>
      <c r="K546" s="282">
        <f>IF(Notes!$B$9="Domestic",I546, IF(Notes!$B$9="Commercial",J546))*$K$412</f>
        <v>16.4574</v>
      </c>
      <c r="L546" s="283">
        <f>(SUM(O546:Q546)+(K546+SUM(M546:Q546))*(INDEX($U$412:$AB$412,MATCH(Notes!$C$16,$U$3:$AB$3,0))-100%))*$L$412</f>
        <v>10.72</v>
      </c>
      <c r="M546" s="286"/>
      <c r="N546" s="286"/>
      <c r="O546" s="311">
        <f t="shared" si="148"/>
        <v>10.72</v>
      </c>
      <c r="P546" s="285"/>
      <c r="Q546" s="285"/>
      <c r="R546" s="278"/>
      <c r="S546" s="278"/>
      <c r="T546" s="278"/>
    </row>
    <row r="547" spans="1:20" s="305" customFormat="1" hidden="1" outlineLevel="2" x14ac:dyDescent="0.25">
      <c r="A547" s="278"/>
      <c r="B547" s="279" t="str">
        <f t="shared" si="143"/>
        <v>beam/bearer75x38mmHWDx2</v>
      </c>
      <c r="C547" s="278" t="s">
        <v>2129</v>
      </c>
      <c r="D547" s="278" t="s">
        <v>1981</v>
      </c>
      <c r="E547" s="278" t="str">
        <f t="shared" si="146"/>
        <v>HWDx2</v>
      </c>
      <c r="F547" s="278"/>
      <c r="G547" s="278" t="s">
        <v>15</v>
      </c>
      <c r="H547" s="309">
        <f t="shared" si="147"/>
        <v>0.09</v>
      </c>
      <c r="I547" s="280">
        <f t="shared" si="144"/>
        <v>7.2557999999999998</v>
      </c>
      <c r="J547" s="281">
        <f t="shared" si="145"/>
        <v>8.2286999999999999</v>
      </c>
      <c r="K547" s="282">
        <f>IF(Notes!$B$9="Domestic",I547, IF(Notes!$B$9="Commercial",J547))*$K$412</f>
        <v>16.4574</v>
      </c>
      <c r="L547" s="283">
        <f>(SUM(O547:Q547)+(K547+SUM(M547:Q547))*(INDEX($U$412:$AB$412,MATCH(Notes!$C$16,$U$3:$AB$3,0))-100%))*$L$412</f>
        <v>16.32</v>
      </c>
      <c r="M547" s="286"/>
      <c r="N547" s="286"/>
      <c r="O547" s="311">
        <f t="shared" si="148"/>
        <v>16.32</v>
      </c>
      <c r="P547" s="285"/>
      <c r="Q547" s="285"/>
      <c r="R547" s="278"/>
      <c r="S547" s="278"/>
      <c r="T547" s="278"/>
    </row>
    <row r="548" spans="1:20" s="305" customFormat="1" hidden="1" outlineLevel="2" x14ac:dyDescent="0.25">
      <c r="A548" s="278"/>
      <c r="B548" s="279" t="str">
        <f t="shared" si="143"/>
        <v>beam/bearer75x50mmHWDx2</v>
      </c>
      <c r="C548" s="278" t="s">
        <v>2129</v>
      </c>
      <c r="D548" s="278" t="s">
        <v>1982</v>
      </c>
      <c r="E548" s="278" t="str">
        <f t="shared" si="146"/>
        <v>HWDx2</v>
      </c>
      <c r="F548" s="278"/>
      <c r="G548" s="278" t="s">
        <v>15</v>
      </c>
      <c r="H548" s="309">
        <f t="shared" si="147"/>
        <v>0.09</v>
      </c>
      <c r="I548" s="280">
        <f t="shared" si="144"/>
        <v>7.2557999999999998</v>
      </c>
      <c r="J548" s="281">
        <f t="shared" si="145"/>
        <v>8.2286999999999999</v>
      </c>
      <c r="K548" s="282">
        <f>IF(Notes!$B$9="Domestic",I548, IF(Notes!$B$9="Commercial",J548))*$K$412</f>
        <v>16.4574</v>
      </c>
      <c r="L548" s="283">
        <f>(SUM(O548:Q548)+(K548+SUM(M548:Q548))*(INDEX($U$412:$AB$412,MATCH(Notes!$C$16,$U$3:$AB$3,0))-100%))*$L$412</f>
        <v>21.26</v>
      </c>
      <c r="M548" s="286"/>
      <c r="N548" s="286"/>
      <c r="O548" s="311">
        <f t="shared" si="148"/>
        <v>21.26</v>
      </c>
      <c r="P548" s="285"/>
      <c r="Q548" s="285"/>
      <c r="R548" s="278"/>
      <c r="S548" s="278"/>
      <c r="T548" s="278"/>
    </row>
    <row r="549" spans="1:20" s="305" customFormat="1" hidden="1" outlineLevel="2" x14ac:dyDescent="0.25">
      <c r="A549" s="278"/>
      <c r="B549" s="279" t="str">
        <f t="shared" si="143"/>
        <v>beam/bearer75x75mmHWDx2</v>
      </c>
      <c r="C549" s="278" t="s">
        <v>2129</v>
      </c>
      <c r="D549" s="278" t="s">
        <v>1907</v>
      </c>
      <c r="E549" s="278" t="str">
        <f t="shared" si="146"/>
        <v>HWDx2</v>
      </c>
      <c r="F549" s="278"/>
      <c r="G549" s="278" t="s">
        <v>15</v>
      </c>
      <c r="H549" s="309">
        <f t="shared" si="147"/>
        <v>0.09</v>
      </c>
      <c r="I549" s="280">
        <f t="shared" si="144"/>
        <v>7.2557999999999998</v>
      </c>
      <c r="J549" s="281">
        <f t="shared" si="145"/>
        <v>8.2286999999999999</v>
      </c>
      <c r="K549" s="282">
        <f>IF(Notes!$B$9="Domestic",I549, IF(Notes!$B$9="Commercial",J549))*$K$412</f>
        <v>16.4574</v>
      </c>
      <c r="L549" s="283">
        <f>(SUM(O549:Q549)+(K549+SUM(M549:Q549))*(INDEX($U$412:$AB$412,MATCH(Notes!$C$16,$U$3:$AB$3,0))-100%))*$L$412</f>
        <v>40.46</v>
      </c>
      <c r="M549" s="286"/>
      <c r="N549" s="286"/>
      <c r="O549" s="311">
        <f t="shared" si="148"/>
        <v>40.46</v>
      </c>
      <c r="P549" s="285"/>
      <c r="Q549" s="285"/>
      <c r="R549" s="278"/>
      <c r="S549" s="278"/>
      <c r="T549" s="278"/>
    </row>
    <row r="550" spans="1:20" s="305" customFormat="1" hidden="1" outlineLevel="2" x14ac:dyDescent="0.25">
      <c r="A550" s="278"/>
      <c r="B550" s="279" t="str">
        <f t="shared" si="143"/>
        <v>beam/bearer100x25mmHWDx2</v>
      </c>
      <c r="C550" s="278" t="s">
        <v>2129</v>
      </c>
      <c r="D550" s="278" t="s">
        <v>1983</v>
      </c>
      <c r="E550" s="278" t="str">
        <f t="shared" si="146"/>
        <v>HWDx2</v>
      </c>
      <c r="F550" s="278"/>
      <c r="G550" s="278" t="s">
        <v>15</v>
      </c>
      <c r="H550" s="309">
        <f t="shared" si="147"/>
        <v>0.09</v>
      </c>
      <c r="I550" s="280">
        <f t="shared" si="144"/>
        <v>7.2557999999999998</v>
      </c>
      <c r="J550" s="281">
        <f t="shared" si="145"/>
        <v>8.2286999999999999</v>
      </c>
      <c r="K550" s="282">
        <f>IF(Notes!$B$9="Domestic",I550, IF(Notes!$B$9="Commercial",J550))*$K$412</f>
        <v>16.4574</v>
      </c>
      <c r="L550" s="283">
        <f>(SUM(O550:Q550)+(K550+SUM(M550:Q550))*(INDEX($U$412:$AB$412,MATCH(Notes!$C$16,$U$3:$AB$3,0))-100%))*$L$412</f>
        <v>14.28</v>
      </c>
      <c r="M550" s="286"/>
      <c r="N550" s="286"/>
      <c r="O550" s="311">
        <f t="shared" si="148"/>
        <v>14.28</v>
      </c>
      <c r="P550" s="285"/>
      <c r="Q550" s="285"/>
      <c r="R550" s="278"/>
      <c r="S550" s="278"/>
      <c r="T550" s="278"/>
    </row>
    <row r="551" spans="1:20" s="305" customFormat="1" hidden="1" outlineLevel="2" x14ac:dyDescent="0.25">
      <c r="A551" s="278"/>
      <c r="B551" s="279" t="str">
        <f t="shared" si="143"/>
        <v>beam/bearer100x38mmHWDx2</v>
      </c>
      <c r="C551" s="278" t="s">
        <v>2129</v>
      </c>
      <c r="D551" s="278" t="s">
        <v>1984</v>
      </c>
      <c r="E551" s="278" t="str">
        <f t="shared" si="146"/>
        <v>HWDx2</v>
      </c>
      <c r="F551" s="278"/>
      <c r="G551" s="278" t="s">
        <v>15</v>
      </c>
      <c r="H551" s="309">
        <f t="shared" si="147"/>
        <v>0.09</v>
      </c>
      <c r="I551" s="280">
        <f t="shared" si="144"/>
        <v>7.2557999999999998</v>
      </c>
      <c r="J551" s="281">
        <f t="shared" si="145"/>
        <v>8.2286999999999999</v>
      </c>
      <c r="K551" s="282">
        <f>IF(Notes!$B$9="Domestic",I551, IF(Notes!$B$9="Commercial",J551))*$K$412</f>
        <v>16.4574</v>
      </c>
      <c r="L551" s="283">
        <f>(SUM(O551:Q551)+(K551+SUM(M551:Q551))*(INDEX($U$412:$AB$412,MATCH(Notes!$C$16,$U$3:$AB$3,0))-100%))*$L$412</f>
        <v>21.76</v>
      </c>
      <c r="M551" s="286"/>
      <c r="N551" s="286"/>
      <c r="O551" s="311">
        <f t="shared" si="148"/>
        <v>21.76</v>
      </c>
      <c r="P551" s="285"/>
      <c r="Q551" s="285"/>
      <c r="R551" s="278"/>
      <c r="S551" s="278"/>
      <c r="T551" s="278"/>
    </row>
    <row r="552" spans="1:20" s="305" customFormat="1" hidden="1" outlineLevel="2" x14ac:dyDescent="0.25">
      <c r="A552" s="278"/>
      <c r="B552" s="279" t="str">
        <f t="shared" si="143"/>
        <v>beam/bearer100x50mmHWDx2</v>
      </c>
      <c r="C552" s="278" t="s">
        <v>2129</v>
      </c>
      <c r="D552" s="278" t="s">
        <v>1985</v>
      </c>
      <c r="E552" s="278" t="str">
        <f t="shared" si="146"/>
        <v>HWDx2</v>
      </c>
      <c r="F552" s="278"/>
      <c r="G552" s="278" t="s">
        <v>15</v>
      </c>
      <c r="H552" s="309">
        <f t="shared" si="147"/>
        <v>0.09</v>
      </c>
      <c r="I552" s="280">
        <f t="shared" si="144"/>
        <v>7.2557999999999998</v>
      </c>
      <c r="J552" s="281">
        <f t="shared" si="145"/>
        <v>8.2286999999999999</v>
      </c>
      <c r="K552" s="282">
        <f>IF(Notes!$B$9="Domestic",I552, IF(Notes!$B$9="Commercial",J552))*$K$412</f>
        <v>16.4574</v>
      </c>
      <c r="L552" s="283">
        <f>(SUM(O552:Q552)+(K552+SUM(M552:Q552))*(INDEX($U$412:$AB$412,MATCH(Notes!$C$16,$U$3:$AB$3,0))-100%))*$L$412</f>
        <v>28.56</v>
      </c>
      <c r="M552" s="286"/>
      <c r="N552" s="286"/>
      <c r="O552" s="311">
        <f t="shared" si="148"/>
        <v>28.56</v>
      </c>
      <c r="P552" s="285"/>
      <c r="Q552" s="285"/>
      <c r="R552" s="278"/>
      <c r="S552" s="278"/>
      <c r="T552" s="278"/>
    </row>
    <row r="553" spans="1:20" s="305" customFormat="1" hidden="1" outlineLevel="2" x14ac:dyDescent="0.25">
      <c r="A553" s="278"/>
      <c r="B553" s="279" t="str">
        <f t="shared" si="143"/>
        <v>beam/bearer100x75mmHWDx2</v>
      </c>
      <c r="C553" s="278" t="s">
        <v>2129</v>
      </c>
      <c r="D553" s="278" t="s">
        <v>1986</v>
      </c>
      <c r="E553" s="278" t="str">
        <f t="shared" ref="E553:E572" si="149">E391</f>
        <v>HWDx2</v>
      </c>
      <c r="F553" s="278"/>
      <c r="G553" s="278" t="s">
        <v>15</v>
      </c>
      <c r="H553" s="309">
        <f t="shared" ref="H553:H572" si="150">H391*2</f>
        <v>0.09</v>
      </c>
      <c r="I553" s="280">
        <f t="shared" si="144"/>
        <v>7.2557999999999998</v>
      </c>
      <c r="J553" s="281">
        <f t="shared" si="145"/>
        <v>8.2286999999999999</v>
      </c>
      <c r="K553" s="282">
        <f>IF(Notes!$B$9="Domestic",I553, IF(Notes!$B$9="Commercial",J553))*$K$412</f>
        <v>16.4574</v>
      </c>
      <c r="L553" s="283">
        <f>(SUM(O553:Q553)+(K553+SUM(M553:Q553))*(INDEX($U$412:$AB$412,MATCH(Notes!$C$16,$U$3:$AB$3,0))-100%))*$L$412</f>
        <v>53.9</v>
      </c>
      <c r="M553" s="286"/>
      <c r="N553" s="286"/>
      <c r="O553" s="311">
        <f t="shared" ref="O553:O572" si="151">O391</f>
        <v>53.9</v>
      </c>
      <c r="P553" s="285"/>
      <c r="Q553" s="285"/>
      <c r="R553" s="278"/>
      <c r="S553" s="278"/>
      <c r="T553" s="278"/>
    </row>
    <row r="554" spans="1:20" s="305" customFormat="1" hidden="1" outlineLevel="2" x14ac:dyDescent="0.25">
      <c r="A554" s="278"/>
      <c r="B554" s="279" t="str">
        <f t="shared" si="143"/>
        <v>beam/bearer125x25mmHWDx2</v>
      </c>
      <c r="C554" s="278" t="s">
        <v>2129</v>
      </c>
      <c r="D554" s="278" t="s">
        <v>1987</v>
      </c>
      <c r="E554" s="278" t="str">
        <f t="shared" si="149"/>
        <v>HWDx2</v>
      </c>
      <c r="F554" s="278"/>
      <c r="G554" s="278" t="s">
        <v>15</v>
      </c>
      <c r="H554" s="309">
        <f t="shared" si="150"/>
        <v>0.09</v>
      </c>
      <c r="I554" s="280">
        <f t="shared" si="144"/>
        <v>7.2557999999999998</v>
      </c>
      <c r="J554" s="281">
        <f t="shared" si="145"/>
        <v>8.2286999999999999</v>
      </c>
      <c r="K554" s="282">
        <f>IF(Notes!$B$9="Domestic",I554, IF(Notes!$B$9="Commercial",J554))*$K$412</f>
        <v>16.4574</v>
      </c>
      <c r="L554" s="283">
        <f>(SUM(O554:Q554)+(K554+SUM(M554:Q554))*(INDEX($U$412:$AB$412,MATCH(Notes!$C$16,$U$3:$AB$3,0))-100%))*$L$412</f>
        <v>20.239999999999998</v>
      </c>
      <c r="M554" s="286"/>
      <c r="N554" s="286"/>
      <c r="O554" s="311">
        <f t="shared" si="151"/>
        <v>20.239999999999998</v>
      </c>
      <c r="P554" s="285"/>
      <c r="Q554" s="285"/>
      <c r="R554" s="278"/>
      <c r="S554" s="278"/>
      <c r="T554" s="278"/>
    </row>
    <row r="555" spans="1:20" s="305" customFormat="1" hidden="1" outlineLevel="2" x14ac:dyDescent="0.25">
      <c r="A555" s="278"/>
      <c r="B555" s="279" t="str">
        <f t="shared" si="143"/>
        <v>beam/bearer125x38mmHWDx2</v>
      </c>
      <c r="C555" s="278" t="s">
        <v>2129</v>
      </c>
      <c r="D555" s="278" t="s">
        <v>1988</v>
      </c>
      <c r="E555" s="278" t="str">
        <f t="shared" si="149"/>
        <v>HWDx2</v>
      </c>
      <c r="F555" s="278"/>
      <c r="G555" s="278" t="s">
        <v>15</v>
      </c>
      <c r="H555" s="309">
        <f t="shared" si="150"/>
        <v>0.09</v>
      </c>
      <c r="I555" s="280">
        <f t="shared" si="144"/>
        <v>7.2557999999999998</v>
      </c>
      <c r="J555" s="281">
        <f t="shared" si="145"/>
        <v>8.2286999999999999</v>
      </c>
      <c r="K555" s="282">
        <f>IF(Notes!$B$9="Domestic",I555, IF(Notes!$B$9="Commercial",J555))*$K$412</f>
        <v>16.4574</v>
      </c>
      <c r="L555" s="283">
        <f>(SUM(O555:Q555)+(K555+SUM(M555:Q555))*(INDEX($U$412:$AB$412,MATCH(Notes!$C$16,$U$3:$AB$3,0))-100%))*$L$412</f>
        <v>30.6</v>
      </c>
      <c r="M555" s="286"/>
      <c r="N555" s="286"/>
      <c r="O555" s="311">
        <f t="shared" si="151"/>
        <v>30.6</v>
      </c>
      <c r="P555" s="285"/>
      <c r="Q555" s="285"/>
      <c r="R555" s="278"/>
      <c r="S555" s="278"/>
      <c r="T555" s="278"/>
    </row>
    <row r="556" spans="1:20" s="305" customFormat="1" hidden="1" outlineLevel="2" x14ac:dyDescent="0.25">
      <c r="A556" s="278"/>
      <c r="B556" s="279" t="str">
        <f t="shared" si="143"/>
        <v>beam/bearer125x50mmHWDx2</v>
      </c>
      <c r="C556" s="278" t="s">
        <v>2129</v>
      </c>
      <c r="D556" s="278" t="s">
        <v>1989</v>
      </c>
      <c r="E556" s="278" t="str">
        <f t="shared" si="149"/>
        <v>HWDx2</v>
      </c>
      <c r="F556" s="278"/>
      <c r="G556" s="278" t="s">
        <v>15</v>
      </c>
      <c r="H556" s="309">
        <f t="shared" si="150"/>
        <v>0.09</v>
      </c>
      <c r="I556" s="280">
        <f t="shared" si="144"/>
        <v>7.2557999999999998</v>
      </c>
      <c r="J556" s="281">
        <f t="shared" si="145"/>
        <v>8.2286999999999999</v>
      </c>
      <c r="K556" s="282">
        <f>IF(Notes!$B$9="Domestic",I556, IF(Notes!$B$9="Commercial",J556))*$K$412</f>
        <v>16.4574</v>
      </c>
      <c r="L556" s="283">
        <f>(SUM(O556:Q556)+(K556+SUM(M556:Q556))*(INDEX($U$412:$AB$412,MATCH(Notes!$C$16,$U$3:$AB$3,0))-100%))*$L$412</f>
        <v>40.299999999999997</v>
      </c>
      <c r="M556" s="286"/>
      <c r="N556" s="286"/>
      <c r="O556" s="311">
        <f t="shared" si="151"/>
        <v>40.299999999999997</v>
      </c>
      <c r="P556" s="285"/>
      <c r="Q556" s="285"/>
      <c r="R556" s="278"/>
      <c r="S556" s="278"/>
      <c r="T556" s="278"/>
    </row>
    <row r="557" spans="1:20" s="305" customFormat="1" hidden="1" outlineLevel="2" x14ac:dyDescent="0.25">
      <c r="A557" s="278"/>
      <c r="B557" s="279" t="str">
        <f t="shared" si="143"/>
        <v>beam/bearer125x75mmHWDx2</v>
      </c>
      <c r="C557" s="278" t="s">
        <v>2129</v>
      </c>
      <c r="D557" s="278" t="s">
        <v>1990</v>
      </c>
      <c r="E557" s="278" t="str">
        <f t="shared" si="149"/>
        <v>HWDx2</v>
      </c>
      <c r="F557" s="278"/>
      <c r="G557" s="278" t="s">
        <v>15</v>
      </c>
      <c r="H557" s="309">
        <f t="shared" si="150"/>
        <v>0.09</v>
      </c>
      <c r="I557" s="280">
        <f t="shared" si="144"/>
        <v>7.2557999999999998</v>
      </c>
      <c r="J557" s="281">
        <f t="shared" si="145"/>
        <v>8.2286999999999999</v>
      </c>
      <c r="K557" s="282">
        <f>IF(Notes!$B$9="Domestic",I557, IF(Notes!$B$9="Commercial",J557))*$K$412</f>
        <v>16.4574</v>
      </c>
      <c r="L557" s="283">
        <f>(SUM(O557:Q557)+(K557+SUM(M557:Q557))*(INDEX($U$412:$AB$412,MATCH(Notes!$C$16,$U$3:$AB$3,0))-100%))*$L$412</f>
        <v>67.319999999999993</v>
      </c>
      <c r="M557" s="286"/>
      <c r="N557" s="286"/>
      <c r="O557" s="311">
        <f t="shared" si="151"/>
        <v>67.319999999999993</v>
      </c>
      <c r="P557" s="285"/>
      <c r="Q557" s="285"/>
      <c r="R557" s="278"/>
      <c r="S557" s="278"/>
      <c r="T557" s="278"/>
    </row>
    <row r="558" spans="1:20" s="305" customFormat="1" hidden="1" outlineLevel="2" x14ac:dyDescent="0.25">
      <c r="A558" s="278"/>
      <c r="B558" s="279" t="str">
        <f t="shared" si="143"/>
        <v>beam/bearer150x25mmHWDx2</v>
      </c>
      <c r="C558" s="278" t="s">
        <v>2129</v>
      </c>
      <c r="D558" s="278" t="s">
        <v>1991</v>
      </c>
      <c r="E558" s="278" t="str">
        <f t="shared" si="149"/>
        <v>HWDx2</v>
      </c>
      <c r="F558" s="278"/>
      <c r="G558" s="278" t="s">
        <v>15</v>
      </c>
      <c r="H558" s="309">
        <f t="shared" si="150"/>
        <v>0.09</v>
      </c>
      <c r="I558" s="280">
        <f t="shared" si="144"/>
        <v>7.2557999999999998</v>
      </c>
      <c r="J558" s="281">
        <f t="shared" si="145"/>
        <v>8.2286999999999999</v>
      </c>
      <c r="K558" s="282">
        <f>IF(Notes!$B$9="Domestic",I558, IF(Notes!$B$9="Commercial",J558))*$K$412</f>
        <v>16.4574</v>
      </c>
      <c r="L558" s="283">
        <f>(SUM(O558:Q558)+(K558+SUM(M558:Q558))*(INDEX($U$412:$AB$412,MATCH(Notes!$C$16,$U$3:$AB$3,0))-100%))*$L$412</f>
        <v>24.32</v>
      </c>
      <c r="M558" s="286"/>
      <c r="N558" s="286"/>
      <c r="O558" s="311">
        <f t="shared" si="151"/>
        <v>24.32</v>
      </c>
      <c r="P558" s="285"/>
      <c r="Q558" s="285"/>
      <c r="R558" s="278"/>
      <c r="S558" s="278"/>
      <c r="T558" s="278"/>
    </row>
    <row r="559" spans="1:20" s="305" customFormat="1" hidden="1" outlineLevel="2" x14ac:dyDescent="0.25">
      <c r="A559" s="278"/>
      <c r="B559" s="279" t="str">
        <f t="shared" si="143"/>
        <v>beam/bearer150x38mmHWDx2</v>
      </c>
      <c r="C559" s="278" t="s">
        <v>2129</v>
      </c>
      <c r="D559" s="278" t="s">
        <v>1992</v>
      </c>
      <c r="E559" s="278" t="str">
        <f t="shared" si="149"/>
        <v>HWDx2</v>
      </c>
      <c r="F559" s="278"/>
      <c r="G559" s="278" t="s">
        <v>15</v>
      </c>
      <c r="H559" s="309">
        <f t="shared" si="150"/>
        <v>0.09</v>
      </c>
      <c r="I559" s="280">
        <f t="shared" si="144"/>
        <v>7.2557999999999998</v>
      </c>
      <c r="J559" s="281">
        <f t="shared" si="145"/>
        <v>8.2286999999999999</v>
      </c>
      <c r="K559" s="282">
        <f>IF(Notes!$B$9="Domestic",I559, IF(Notes!$B$9="Commercial",J559))*$K$412</f>
        <v>16.4574</v>
      </c>
      <c r="L559" s="283">
        <f>(SUM(O559:Q559)+(K559+SUM(M559:Q559))*(INDEX($U$412:$AB$412,MATCH(Notes!$C$16,$U$3:$AB$3,0))-100%))*$L$412</f>
        <v>36.72</v>
      </c>
      <c r="M559" s="286"/>
      <c r="N559" s="286"/>
      <c r="O559" s="311">
        <f t="shared" si="151"/>
        <v>36.72</v>
      </c>
      <c r="P559" s="285"/>
      <c r="Q559" s="285"/>
      <c r="R559" s="278"/>
      <c r="S559" s="278"/>
      <c r="T559" s="278"/>
    </row>
    <row r="560" spans="1:20" s="305" customFormat="1" hidden="1" outlineLevel="2" x14ac:dyDescent="0.25">
      <c r="A560" s="278"/>
      <c r="B560" s="279" t="str">
        <f t="shared" si="143"/>
        <v>beam/bearer150x50mmHWDx2</v>
      </c>
      <c r="C560" s="278" t="s">
        <v>2129</v>
      </c>
      <c r="D560" s="278" t="s">
        <v>1993</v>
      </c>
      <c r="E560" s="278" t="str">
        <f t="shared" si="149"/>
        <v>HWDx2</v>
      </c>
      <c r="F560" s="278"/>
      <c r="G560" s="278" t="s">
        <v>15</v>
      </c>
      <c r="H560" s="309">
        <f t="shared" si="150"/>
        <v>0.09</v>
      </c>
      <c r="I560" s="280">
        <f t="shared" si="144"/>
        <v>7.2557999999999998</v>
      </c>
      <c r="J560" s="281">
        <f t="shared" si="145"/>
        <v>8.2286999999999999</v>
      </c>
      <c r="K560" s="282">
        <f>IF(Notes!$B$9="Domestic",I560, IF(Notes!$B$9="Commercial",J560))*$K$412</f>
        <v>16.4574</v>
      </c>
      <c r="L560" s="283">
        <f>(SUM(O560:Q560)+(K560+SUM(M560:Q560))*(INDEX($U$412:$AB$412,MATCH(Notes!$C$16,$U$3:$AB$3,0))-100%))*$L$412</f>
        <v>48.28</v>
      </c>
      <c r="M560" s="286"/>
      <c r="N560" s="286"/>
      <c r="O560" s="311">
        <f t="shared" si="151"/>
        <v>48.28</v>
      </c>
      <c r="P560" s="285"/>
      <c r="Q560" s="285"/>
      <c r="R560" s="278"/>
      <c r="S560" s="278"/>
      <c r="T560" s="278"/>
    </row>
    <row r="561" spans="1:20" s="305" customFormat="1" hidden="1" outlineLevel="2" x14ac:dyDescent="0.25">
      <c r="A561" s="278"/>
      <c r="B561" s="279" t="str">
        <f t="shared" si="143"/>
        <v>beam/bearer150x75mmHWDx2</v>
      </c>
      <c r="C561" s="278" t="s">
        <v>2129</v>
      </c>
      <c r="D561" s="278" t="s">
        <v>1963</v>
      </c>
      <c r="E561" s="278" t="str">
        <f t="shared" si="149"/>
        <v>HWDx2</v>
      </c>
      <c r="F561" s="278"/>
      <c r="G561" s="278" t="s">
        <v>15</v>
      </c>
      <c r="H561" s="309">
        <f t="shared" si="150"/>
        <v>0.09</v>
      </c>
      <c r="I561" s="280">
        <f t="shared" si="144"/>
        <v>7.2557999999999998</v>
      </c>
      <c r="J561" s="281">
        <f t="shared" si="145"/>
        <v>8.2286999999999999</v>
      </c>
      <c r="K561" s="282">
        <f>IF(Notes!$B$9="Domestic",I561, IF(Notes!$B$9="Commercial",J561))*$K$412</f>
        <v>16.4574</v>
      </c>
      <c r="L561" s="283">
        <f>(SUM(O561:Q561)+(K561+SUM(M561:Q561))*(INDEX($U$412:$AB$412,MATCH(Notes!$C$16,$U$3:$AB$3,0))-100%))*$L$412</f>
        <v>80.760000000000005</v>
      </c>
      <c r="M561" s="286"/>
      <c r="N561" s="286"/>
      <c r="O561" s="311">
        <f t="shared" si="151"/>
        <v>80.760000000000005</v>
      </c>
      <c r="P561" s="285"/>
      <c r="Q561" s="285"/>
      <c r="R561" s="278"/>
      <c r="S561" s="278"/>
      <c r="T561" s="278"/>
    </row>
    <row r="562" spans="1:20" s="305" customFormat="1" hidden="1" outlineLevel="2" x14ac:dyDescent="0.25">
      <c r="A562" s="278"/>
      <c r="B562" s="279" t="str">
        <f t="shared" si="143"/>
        <v>beam/bearer175x50mmHWDx2</v>
      </c>
      <c r="C562" s="278" t="s">
        <v>2129</v>
      </c>
      <c r="D562" s="278" t="s">
        <v>1994</v>
      </c>
      <c r="E562" s="278" t="str">
        <f t="shared" si="149"/>
        <v>HWDx2</v>
      </c>
      <c r="F562" s="278"/>
      <c r="G562" s="278" t="s">
        <v>15</v>
      </c>
      <c r="H562" s="309">
        <f t="shared" si="150"/>
        <v>0.09</v>
      </c>
      <c r="I562" s="280">
        <f t="shared" si="144"/>
        <v>7.2557999999999998</v>
      </c>
      <c r="J562" s="281">
        <f t="shared" si="145"/>
        <v>8.2286999999999999</v>
      </c>
      <c r="K562" s="282">
        <f>IF(Notes!$B$9="Domestic",I562, IF(Notes!$B$9="Commercial",J562))*$K$412</f>
        <v>16.4574</v>
      </c>
      <c r="L562" s="283">
        <f>(SUM(O562:Q562)+(K562+SUM(M562:Q562))*(INDEX($U$412:$AB$412,MATCH(Notes!$C$16,$U$3:$AB$3,0))-100%))*$L$412</f>
        <v>62.74</v>
      </c>
      <c r="M562" s="286"/>
      <c r="N562" s="286"/>
      <c r="O562" s="311">
        <f t="shared" si="151"/>
        <v>62.74</v>
      </c>
      <c r="P562" s="285"/>
      <c r="Q562" s="285"/>
      <c r="R562" s="278"/>
      <c r="S562" s="278"/>
      <c r="T562" s="278"/>
    </row>
    <row r="563" spans="1:20" s="305" customFormat="1" hidden="1" outlineLevel="2" x14ac:dyDescent="0.25">
      <c r="A563" s="278"/>
      <c r="B563" s="279" t="str">
        <f t="shared" si="143"/>
        <v>beam/bearer175x75mmHWDx2</v>
      </c>
      <c r="C563" s="278" t="s">
        <v>2129</v>
      </c>
      <c r="D563" s="278" t="s">
        <v>1995</v>
      </c>
      <c r="E563" s="278" t="str">
        <f t="shared" si="149"/>
        <v>HWDx2</v>
      </c>
      <c r="F563" s="278"/>
      <c r="G563" s="278" t="s">
        <v>15</v>
      </c>
      <c r="H563" s="309">
        <f t="shared" si="150"/>
        <v>0.09</v>
      </c>
      <c r="I563" s="280">
        <f t="shared" si="144"/>
        <v>7.2557999999999998</v>
      </c>
      <c r="J563" s="281">
        <f t="shared" si="145"/>
        <v>8.2286999999999999</v>
      </c>
      <c r="K563" s="282">
        <f>IF(Notes!$B$9="Domestic",I563, IF(Notes!$B$9="Commercial",J563))*$K$412</f>
        <v>16.4574</v>
      </c>
      <c r="L563" s="283">
        <f>(SUM(O563:Q563)+(K563+SUM(M563:Q563))*(INDEX($U$412:$AB$412,MATCH(Notes!$C$16,$U$3:$AB$3,0))-100%))*$L$412</f>
        <v>94.18</v>
      </c>
      <c r="M563" s="286"/>
      <c r="N563" s="286"/>
      <c r="O563" s="311">
        <f t="shared" si="151"/>
        <v>94.18</v>
      </c>
      <c r="P563" s="285"/>
      <c r="Q563" s="285"/>
      <c r="R563" s="278"/>
      <c r="S563" s="278"/>
      <c r="T563" s="278"/>
    </row>
    <row r="564" spans="1:20" s="305" customFormat="1" hidden="1" outlineLevel="2" x14ac:dyDescent="0.25">
      <c r="A564" s="278"/>
      <c r="B564" s="279" t="str">
        <f t="shared" si="143"/>
        <v>beam/bearer200x25mmHWDx2</v>
      </c>
      <c r="C564" s="278" t="s">
        <v>2129</v>
      </c>
      <c r="D564" s="278" t="s">
        <v>1996</v>
      </c>
      <c r="E564" s="278" t="str">
        <f t="shared" si="149"/>
        <v>HWDx2</v>
      </c>
      <c r="F564" s="278"/>
      <c r="G564" s="278" t="s">
        <v>15</v>
      </c>
      <c r="H564" s="309">
        <f t="shared" si="150"/>
        <v>0.09</v>
      </c>
      <c r="I564" s="280">
        <f t="shared" si="144"/>
        <v>7.2557999999999998</v>
      </c>
      <c r="J564" s="281">
        <f t="shared" si="145"/>
        <v>8.2286999999999999</v>
      </c>
      <c r="K564" s="282">
        <f>IF(Notes!$B$9="Domestic",I564, IF(Notes!$B$9="Commercial",J564))*$K$412</f>
        <v>16.4574</v>
      </c>
      <c r="L564" s="283">
        <f>(SUM(O564:Q564)+(K564+SUM(M564:Q564))*(INDEX($U$412:$AB$412,MATCH(Notes!$C$16,$U$3:$AB$3,0))-100%))*$L$412</f>
        <v>36.04</v>
      </c>
      <c r="M564" s="286"/>
      <c r="N564" s="286"/>
      <c r="O564" s="311">
        <f t="shared" si="151"/>
        <v>36.04</v>
      </c>
      <c r="P564" s="285"/>
      <c r="Q564" s="285"/>
      <c r="R564" s="278"/>
      <c r="S564" s="278"/>
      <c r="T564" s="278"/>
    </row>
    <row r="565" spans="1:20" s="305" customFormat="1" hidden="1" outlineLevel="2" x14ac:dyDescent="0.25">
      <c r="A565" s="278"/>
      <c r="B565" s="279" t="str">
        <f t="shared" si="143"/>
        <v>beam/bearer200x38mmHWDx2</v>
      </c>
      <c r="C565" s="278" t="s">
        <v>2129</v>
      </c>
      <c r="D565" s="278" t="s">
        <v>1997</v>
      </c>
      <c r="E565" s="278" t="str">
        <f t="shared" si="149"/>
        <v>HWDx2</v>
      </c>
      <c r="F565" s="278"/>
      <c r="G565" s="278" t="s">
        <v>15</v>
      </c>
      <c r="H565" s="309">
        <f t="shared" si="150"/>
        <v>0.09</v>
      </c>
      <c r="I565" s="280">
        <f t="shared" si="144"/>
        <v>7.2557999999999998</v>
      </c>
      <c r="J565" s="281">
        <f t="shared" si="145"/>
        <v>8.2286999999999999</v>
      </c>
      <c r="K565" s="282">
        <f>IF(Notes!$B$9="Domestic",I565, IF(Notes!$B$9="Commercial",J565))*$K$412</f>
        <v>16.4574</v>
      </c>
      <c r="L565" s="283">
        <f>(SUM(O565:Q565)+(K565+SUM(M565:Q565))*(INDEX($U$412:$AB$412,MATCH(Notes!$C$16,$U$3:$AB$3,0))-100%))*$L$412</f>
        <v>54.58</v>
      </c>
      <c r="M565" s="286"/>
      <c r="N565" s="286"/>
      <c r="O565" s="311">
        <f t="shared" si="151"/>
        <v>54.58</v>
      </c>
      <c r="P565" s="285"/>
      <c r="Q565" s="285"/>
      <c r="R565" s="278"/>
      <c r="S565" s="278"/>
      <c r="T565" s="278"/>
    </row>
    <row r="566" spans="1:20" s="305" customFormat="1" hidden="1" outlineLevel="2" x14ac:dyDescent="0.25">
      <c r="A566" s="278"/>
      <c r="B566" s="279" t="str">
        <f t="shared" si="143"/>
        <v>beam/bearer200x50mmHWDx2</v>
      </c>
      <c r="C566" s="278" t="s">
        <v>2129</v>
      </c>
      <c r="D566" s="278" t="s">
        <v>1998</v>
      </c>
      <c r="E566" s="278" t="str">
        <f t="shared" si="149"/>
        <v>HWDx2</v>
      </c>
      <c r="F566" s="278"/>
      <c r="G566" s="278" t="s">
        <v>15</v>
      </c>
      <c r="H566" s="309">
        <f t="shared" si="150"/>
        <v>0.12</v>
      </c>
      <c r="I566" s="280">
        <f t="shared" si="144"/>
        <v>9.6744000000000003</v>
      </c>
      <c r="J566" s="281">
        <f t="shared" si="145"/>
        <v>10.9716</v>
      </c>
      <c r="K566" s="282">
        <f>IF(Notes!$B$9="Domestic",I566, IF(Notes!$B$9="Commercial",J566))*$K$412</f>
        <v>21.943200000000001</v>
      </c>
      <c r="L566" s="283">
        <f>(SUM(O566:Q566)+(K566+SUM(M566:Q566))*(INDEX($U$412:$AB$412,MATCH(Notes!$C$16,$U$3:$AB$3,0))-100%))*$L$412</f>
        <v>71.739999999999995</v>
      </c>
      <c r="M566" s="286"/>
      <c r="N566" s="286"/>
      <c r="O566" s="311">
        <f t="shared" si="151"/>
        <v>71.739999999999995</v>
      </c>
      <c r="P566" s="285"/>
      <c r="Q566" s="285"/>
      <c r="R566" s="278"/>
      <c r="S566" s="278"/>
      <c r="T566" s="278"/>
    </row>
    <row r="567" spans="1:20" s="305" customFormat="1" hidden="1" outlineLevel="2" x14ac:dyDescent="0.25">
      <c r="A567" s="278"/>
      <c r="B567" s="279" t="str">
        <f t="shared" si="143"/>
        <v>beam/bearer200x75mmHWDx2</v>
      </c>
      <c r="C567" s="278" t="s">
        <v>2129</v>
      </c>
      <c r="D567" s="278" t="s">
        <v>1999</v>
      </c>
      <c r="E567" s="278" t="str">
        <f t="shared" si="149"/>
        <v>HWDx2</v>
      </c>
      <c r="F567" s="278"/>
      <c r="G567" s="278" t="s">
        <v>15</v>
      </c>
      <c r="H567" s="309">
        <f t="shared" si="150"/>
        <v>0.12</v>
      </c>
      <c r="I567" s="280">
        <f t="shared" si="144"/>
        <v>9.6744000000000003</v>
      </c>
      <c r="J567" s="281">
        <f t="shared" si="145"/>
        <v>10.9716</v>
      </c>
      <c r="K567" s="282">
        <f>IF(Notes!$B$9="Domestic",I567, IF(Notes!$B$9="Commercial",J567))*$K$412</f>
        <v>21.943200000000001</v>
      </c>
      <c r="L567" s="283">
        <f>(SUM(O567:Q567)+(K567+SUM(M567:Q567))*(INDEX($U$412:$AB$412,MATCH(Notes!$C$16,$U$3:$AB$3,0))-100%))*$L$412</f>
        <v>122.74</v>
      </c>
      <c r="M567" s="286"/>
      <c r="N567" s="286"/>
      <c r="O567" s="311">
        <f t="shared" si="151"/>
        <v>122.74</v>
      </c>
      <c r="P567" s="285"/>
      <c r="Q567" s="285"/>
      <c r="R567" s="278"/>
      <c r="S567" s="278"/>
      <c r="T567" s="278"/>
    </row>
    <row r="568" spans="1:20" s="305" customFormat="1" hidden="1" outlineLevel="2" x14ac:dyDescent="0.25">
      <c r="A568" s="278"/>
      <c r="B568" s="279" t="str">
        <f t="shared" si="143"/>
        <v>beam/bearer250x38mmHWDx2</v>
      </c>
      <c r="C568" s="278" t="s">
        <v>2129</v>
      </c>
      <c r="D568" s="278" t="s">
        <v>2000</v>
      </c>
      <c r="E568" s="278" t="str">
        <f t="shared" si="149"/>
        <v>HWDx2</v>
      </c>
      <c r="F568" s="278"/>
      <c r="G568" s="278" t="s">
        <v>15</v>
      </c>
      <c r="H568" s="309">
        <f t="shared" si="150"/>
        <v>0.12</v>
      </c>
      <c r="I568" s="280">
        <f t="shared" si="144"/>
        <v>9.6744000000000003</v>
      </c>
      <c r="J568" s="281">
        <f t="shared" si="145"/>
        <v>10.9716</v>
      </c>
      <c r="K568" s="282">
        <f>IF(Notes!$B$9="Domestic",I568, IF(Notes!$B$9="Commercial",J568))*$K$412</f>
        <v>21.943200000000001</v>
      </c>
      <c r="L568" s="283">
        <f>(SUM(O568:Q568)+(K568+SUM(M568:Q568))*(INDEX($U$412:$AB$412,MATCH(Notes!$C$16,$U$3:$AB$3,0))-100%))*$L$412</f>
        <v>85.52</v>
      </c>
      <c r="M568" s="286"/>
      <c r="N568" s="286"/>
      <c r="O568" s="311">
        <f t="shared" si="151"/>
        <v>85.52</v>
      </c>
      <c r="P568" s="285"/>
      <c r="Q568" s="285"/>
      <c r="R568" s="278"/>
      <c r="S568" s="278"/>
      <c r="T568" s="278"/>
    </row>
    <row r="569" spans="1:20" s="305" customFormat="1" hidden="1" outlineLevel="2" x14ac:dyDescent="0.25">
      <c r="A569" s="278"/>
      <c r="B569" s="279" t="str">
        <f t="shared" si="143"/>
        <v>beam/bearer250x50mmHWDx2</v>
      </c>
      <c r="C569" s="278" t="s">
        <v>2129</v>
      </c>
      <c r="D569" s="278" t="s">
        <v>2001</v>
      </c>
      <c r="E569" s="278" t="str">
        <f t="shared" si="149"/>
        <v>HWDx2</v>
      </c>
      <c r="F569" s="278"/>
      <c r="G569" s="278" t="s">
        <v>15</v>
      </c>
      <c r="H569" s="309">
        <f t="shared" si="150"/>
        <v>0.12</v>
      </c>
      <c r="I569" s="280">
        <f t="shared" si="144"/>
        <v>9.6744000000000003</v>
      </c>
      <c r="J569" s="281">
        <f t="shared" si="145"/>
        <v>10.9716</v>
      </c>
      <c r="K569" s="282">
        <f>IF(Notes!$B$9="Domestic",I569, IF(Notes!$B$9="Commercial",J569))*$K$412</f>
        <v>21.943200000000001</v>
      </c>
      <c r="L569" s="283">
        <f>(SUM(O569:Q569)+(K569+SUM(M569:Q569))*(INDEX($U$412:$AB$412,MATCH(Notes!$C$16,$U$3:$AB$3,0))-100%))*$L$412</f>
        <v>113.9</v>
      </c>
      <c r="M569" s="286"/>
      <c r="N569" s="286"/>
      <c r="O569" s="311">
        <f t="shared" si="151"/>
        <v>113.9</v>
      </c>
      <c r="P569" s="285"/>
      <c r="Q569" s="285"/>
      <c r="R569" s="278"/>
      <c r="S569" s="278"/>
      <c r="T569" s="278"/>
    </row>
    <row r="570" spans="1:20" s="305" customFormat="1" hidden="1" outlineLevel="2" x14ac:dyDescent="0.25">
      <c r="A570" s="278"/>
      <c r="B570" s="279" t="str">
        <f t="shared" si="143"/>
        <v>beam/bearer250x75mmHWDx2</v>
      </c>
      <c r="C570" s="278" t="s">
        <v>2129</v>
      </c>
      <c r="D570" s="278" t="s">
        <v>2002</v>
      </c>
      <c r="E570" s="278" t="str">
        <f t="shared" si="149"/>
        <v>HWDx2</v>
      </c>
      <c r="F570" s="278"/>
      <c r="G570" s="278" t="s">
        <v>15</v>
      </c>
      <c r="H570" s="309">
        <f t="shared" si="150"/>
        <v>0.12</v>
      </c>
      <c r="I570" s="280">
        <f t="shared" si="144"/>
        <v>9.6744000000000003</v>
      </c>
      <c r="J570" s="281">
        <f t="shared" si="145"/>
        <v>10.9716</v>
      </c>
      <c r="K570" s="282">
        <f>IF(Notes!$B$9="Domestic",I570, IF(Notes!$B$9="Commercial",J570))*$K$412</f>
        <v>21.943200000000001</v>
      </c>
      <c r="L570" s="283">
        <f>(SUM(O570:Q570)+(K570+SUM(M570:Q570))*(INDEX($U$412:$AB$412,MATCH(Notes!$C$16,$U$3:$AB$3,0))-100%))*$L$412</f>
        <v>169.84</v>
      </c>
      <c r="M570" s="286"/>
      <c r="N570" s="286"/>
      <c r="O570" s="311">
        <f t="shared" si="151"/>
        <v>169.84</v>
      </c>
      <c r="P570" s="285"/>
      <c r="Q570" s="285"/>
      <c r="R570" s="278"/>
      <c r="S570" s="278"/>
      <c r="T570" s="278"/>
    </row>
    <row r="571" spans="1:20" s="305" customFormat="1" hidden="1" outlineLevel="2" x14ac:dyDescent="0.25">
      <c r="A571" s="278"/>
      <c r="B571" s="279" t="str">
        <f t="shared" ref="B571:B609" si="152">C571&amp;D571&amp;E571&amp;F571</f>
        <v>beam/bearer300x50mmHWDx2</v>
      </c>
      <c r="C571" s="278" t="s">
        <v>2129</v>
      </c>
      <c r="D571" s="278" t="s">
        <v>2003</v>
      </c>
      <c r="E571" s="278" t="str">
        <f t="shared" si="149"/>
        <v>HWDx2</v>
      </c>
      <c r="F571" s="278"/>
      <c r="G571" s="278" t="s">
        <v>15</v>
      </c>
      <c r="H571" s="309">
        <f t="shared" si="150"/>
        <v>0.15000000000000002</v>
      </c>
      <c r="I571" s="280">
        <f t="shared" ref="I571:I609" si="153">$I$2*H571</f>
        <v>12.093000000000002</v>
      </c>
      <c r="J571" s="281">
        <f t="shared" ref="J571:J609" si="154">$J$2*H571</f>
        <v>13.714500000000003</v>
      </c>
      <c r="K571" s="282">
        <f>IF(Notes!$B$9="Domestic",I571, IF(Notes!$B$9="Commercial",J571))*$K$412</f>
        <v>27.429000000000006</v>
      </c>
      <c r="L571" s="283">
        <f>(SUM(O571:Q571)+(K571+SUM(M571:Q571))*(INDEX($U$412:$AB$412,MATCH(Notes!$C$16,$U$3:$AB$3,0))-100%))*$L$412</f>
        <v>162.69999999999999</v>
      </c>
      <c r="M571" s="286"/>
      <c r="N571" s="286"/>
      <c r="O571" s="311">
        <f t="shared" si="151"/>
        <v>162.69999999999999</v>
      </c>
      <c r="P571" s="285"/>
      <c r="Q571" s="285"/>
      <c r="R571" s="278"/>
      <c r="S571" s="278"/>
      <c r="T571" s="278"/>
    </row>
    <row r="572" spans="1:20" s="305" customFormat="1" hidden="1" outlineLevel="2" x14ac:dyDescent="0.25">
      <c r="A572" s="278"/>
      <c r="B572" s="279" t="str">
        <f t="shared" si="152"/>
        <v>beam/bearer300x75mmHWDx2</v>
      </c>
      <c r="C572" s="278" t="s">
        <v>2129</v>
      </c>
      <c r="D572" s="278" t="s">
        <v>1970</v>
      </c>
      <c r="E572" s="278" t="str">
        <f t="shared" si="149"/>
        <v>HWDx2</v>
      </c>
      <c r="F572" s="278"/>
      <c r="G572" s="278" t="s">
        <v>15</v>
      </c>
      <c r="H572" s="309">
        <f t="shared" si="150"/>
        <v>0.15000000000000002</v>
      </c>
      <c r="I572" s="280">
        <f t="shared" si="153"/>
        <v>12.093000000000002</v>
      </c>
      <c r="J572" s="281">
        <f t="shared" si="154"/>
        <v>13.714500000000003</v>
      </c>
      <c r="K572" s="282">
        <f>IF(Notes!$B$9="Domestic",I572, IF(Notes!$B$9="Commercial",J572))*$K$412</f>
        <v>27.429000000000006</v>
      </c>
      <c r="L572" s="283">
        <f>(SUM(O572:Q572)+(K572+SUM(M572:Q572))*(INDEX($U$412:$AB$412,MATCH(Notes!$C$16,$U$3:$AB$3,0))-100%))*$L$412</f>
        <v>187.1</v>
      </c>
      <c r="M572" s="286"/>
      <c r="N572" s="286"/>
      <c r="O572" s="311">
        <f t="shared" si="151"/>
        <v>187.1</v>
      </c>
      <c r="P572" s="285"/>
      <c r="Q572" s="285"/>
      <c r="R572" s="278"/>
      <c r="S572" s="278"/>
      <c r="T572" s="278"/>
    </row>
    <row r="573" spans="1:20" s="305" customFormat="1" hidden="1" outlineLevel="2" x14ac:dyDescent="0.25">
      <c r="A573" s="278"/>
      <c r="B573" s="279" t="str">
        <f t="shared" si="152"/>
        <v>beam/bearer260x65mmGL17</v>
      </c>
      <c r="C573" s="278" t="s">
        <v>2129</v>
      </c>
      <c r="D573" s="278" t="s">
        <v>2004</v>
      </c>
      <c r="E573" s="278" t="s">
        <v>837</v>
      </c>
      <c r="F573" s="278"/>
      <c r="G573" s="278" t="s">
        <v>15</v>
      </c>
      <c r="H573" s="310">
        <v>0.19</v>
      </c>
      <c r="I573" s="280">
        <f t="shared" si="153"/>
        <v>15.317800000000002</v>
      </c>
      <c r="J573" s="281">
        <f t="shared" si="154"/>
        <v>17.371700000000001</v>
      </c>
      <c r="K573" s="282">
        <f>IF(Notes!$B$9="Domestic",I573, IF(Notes!$B$9="Commercial",J573))*$K$412</f>
        <v>34.743400000000001</v>
      </c>
      <c r="L573" s="283">
        <f>(SUM(O573:Q573)+(K573+SUM(M573:Q573))*(INDEX($U$412:$AB$412,MATCH(Notes!$C$16,$U$3:$AB$3,0))-100%))*$L$412</f>
        <v>93.49</v>
      </c>
      <c r="M573" s="286"/>
      <c r="N573" s="286"/>
      <c r="O573" s="285">
        <v>93.49</v>
      </c>
      <c r="P573" s="285"/>
      <c r="Q573" s="285"/>
      <c r="R573" s="278"/>
      <c r="S573" s="278"/>
      <c r="T573" s="278"/>
    </row>
    <row r="574" spans="1:20" s="305" customFormat="1" hidden="1" outlineLevel="2" x14ac:dyDescent="0.25">
      <c r="A574" s="278"/>
      <c r="B574" s="279" t="str">
        <f t="shared" ref="B574" si="155">C574&amp;D574&amp;E574&amp;F574</f>
        <v>beam/bearer260x85mmGL17</v>
      </c>
      <c r="C574" s="278" t="s">
        <v>2129</v>
      </c>
      <c r="D574" s="278" t="s">
        <v>2005</v>
      </c>
      <c r="E574" s="278" t="s">
        <v>837</v>
      </c>
      <c r="F574" s="278"/>
      <c r="G574" s="278" t="s">
        <v>15</v>
      </c>
      <c r="H574" s="310">
        <v>0.19</v>
      </c>
      <c r="I574" s="280">
        <f t="shared" ref="I574" si="156">$I$2*H574</f>
        <v>15.317800000000002</v>
      </c>
      <c r="J574" s="281">
        <f t="shared" ref="J574" si="157">$J$2*H574</f>
        <v>17.371700000000001</v>
      </c>
      <c r="K574" s="282">
        <f>IF(Notes!$B$9="Domestic",I574, IF(Notes!$B$9="Commercial",J574))*$K$412</f>
        <v>34.743400000000001</v>
      </c>
      <c r="L574" s="283">
        <f>(SUM(O574:Q574)+(K574+SUM(M574:Q574))*(INDEX($U$412:$AB$412,MATCH(Notes!$C$16,$U$3:$AB$3,0))-100%))*$L$412</f>
        <v>113.66</v>
      </c>
      <c r="M574" s="286"/>
      <c r="N574" s="286"/>
      <c r="O574" s="285">
        <v>113.66</v>
      </c>
      <c r="P574" s="285"/>
      <c r="Q574" s="285"/>
      <c r="R574" s="278"/>
      <c r="S574" s="278"/>
      <c r="T574" s="278"/>
    </row>
    <row r="575" spans="1:20" s="305" customFormat="1" hidden="1" outlineLevel="2" x14ac:dyDescent="0.25">
      <c r="A575" s="278"/>
      <c r="B575" s="279" t="str">
        <f t="shared" si="152"/>
        <v>beam/bearer295x65mmGL17</v>
      </c>
      <c r="C575" s="278" t="s">
        <v>2129</v>
      </c>
      <c r="D575" s="278" t="s">
        <v>2006</v>
      </c>
      <c r="E575" s="278" t="s">
        <v>837</v>
      </c>
      <c r="F575" s="278"/>
      <c r="G575" s="278" t="s">
        <v>15</v>
      </c>
      <c r="H575" s="310">
        <v>0.19</v>
      </c>
      <c r="I575" s="280">
        <f t="shared" si="153"/>
        <v>15.317800000000002</v>
      </c>
      <c r="J575" s="281">
        <f t="shared" si="154"/>
        <v>17.371700000000001</v>
      </c>
      <c r="K575" s="282">
        <f>IF(Notes!$B$9="Domestic",I575, IF(Notes!$B$9="Commercial",J575))*$K$412</f>
        <v>34.743400000000001</v>
      </c>
      <c r="L575" s="283">
        <f>(SUM(O575:Q575)+(K575+SUM(M575:Q575))*(INDEX($U$412:$AB$412,MATCH(Notes!$C$16,$U$3:$AB$3,0))-100%))*$L$412</f>
        <v>103.09</v>
      </c>
      <c r="M575" s="286"/>
      <c r="N575" s="286"/>
      <c r="O575" s="285">
        <v>103.09</v>
      </c>
      <c r="P575" s="285"/>
      <c r="Q575" s="285"/>
      <c r="R575" s="278"/>
      <c r="S575" s="278"/>
      <c r="T575" s="278"/>
    </row>
    <row r="576" spans="1:20" s="305" customFormat="1" hidden="1" outlineLevel="2" x14ac:dyDescent="0.25">
      <c r="A576" s="278"/>
      <c r="B576" s="279" t="str">
        <f t="shared" si="152"/>
        <v>beam/bearer295x85mmGL17</v>
      </c>
      <c r="C576" s="278" t="s">
        <v>2129</v>
      </c>
      <c r="D576" s="278" t="s">
        <v>2007</v>
      </c>
      <c r="E576" s="278" t="s">
        <v>837</v>
      </c>
      <c r="F576" s="278"/>
      <c r="G576" s="278" t="s">
        <v>15</v>
      </c>
      <c r="H576" s="310">
        <v>0.19</v>
      </c>
      <c r="I576" s="280">
        <f t="shared" si="153"/>
        <v>15.317800000000002</v>
      </c>
      <c r="J576" s="281">
        <f t="shared" si="154"/>
        <v>17.371700000000001</v>
      </c>
      <c r="K576" s="282">
        <f>IF(Notes!$B$9="Domestic",I576, IF(Notes!$B$9="Commercial",J576))*$K$412</f>
        <v>34.743400000000001</v>
      </c>
      <c r="L576" s="283">
        <f>(SUM(O576:Q576)+(K576+SUM(M576:Q576))*(INDEX($U$412:$AB$412,MATCH(Notes!$C$16,$U$3:$AB$3,0))-100%))*$L$412</f>
        <v>126.78</v>
      </c>
      <c r="M576" s="286"/>
      <c r="N576" s="286"/>
      <c r="O576" s="285">
        <v>126.78</v>
      </c>
      <c r="P576" s="285"/>
      <c r="Q576" s="285"/>
      <c r="R576" s="278"/>
      <c r="S576" s="278"/>
      <c r="T576" s="278"/>
    </row>
    <row r="577" spans="1:20" s="305" customFormat="1" hidden="1" outlineLevel="2" x14ac:dyDescent="0.25">
      <c r="A577" s="278"/>
      <c r="B577" s="279" t="str">
        <f t="shared" si="152"/>
        <v>beam/bearer360x65mmGL17</v>
      </c>
      <c r="C577" s="278" t="s">
        <v>2129</v>
      </c>
      <c r="D577" s="278" t="s">
        <v>2008</v>
      </c>
      <c r="E577" s="278" t="s">
        <v>837</v>
      </c>
      <c r="F577" s="278"/>
      <c r="G577" s="278" t="s">
        <v>15</v>
      </c>
      <c r="H577" s="310">
        <v>0.2</v>
      </c>
      <c r="I577" s="280">
        <f t="shared" si="153"/>
        <v>16.124000000000002</v>
      </c>
      <c r="J577" s="281">
        <f t="shared" si="154"/>
        <v>18.286000000000001</v>
      </c>
      <c r="K577" s="282">
        <f>IF(Notes!$B$9="Domestic",I577, IF(Notes!$B$9="Commercial",J577))*$K$412</f>
        <v>36.572000000000003</v>
      </c>
      <c r="L577" s="283">
        <f>(SUM(O577:Q577)+(K577+SUM(M577:Q577))*(INDEX($U$412:$AB$412,MATCH(Notes!$C$16,$U$3:$AB$3,0))-100%))*$L$412</f>
        <v>137.08000000000001</v>
      </c>
      <c r="M577" s="286"/>
      <c r="N577" s="286"/>
      <c r="O577" s="285">
        <v>137.08000000000001</v>
      </c>
      <c r="P577" s="285"/>
      <c r="Q577" s="285"/>
      <c r="R577" s="278"/>
      <c r="S577" s="278"/>
      <c r="T577" s="278"/>
    </row>
    <row r="578" spans="1:20" s="305" customFormat="1" hidden="1" outlineLevel="2" x14ac:dyDescent="0.25">
      <c r="A578" s="278"/>
      <c r="B578" s="279" t="str">
        <f t="shared" si="152"/>
        <v>beam/bearer360x85mmGL17</v>
      </c>
      <c r="C578" s="278" t="s">
        <v>2129</v>
      </c>
      <c r="D578" s="278" t="s">
        <v>2009</v>
      </c>
      <c r="E578" s="278" t="s">
        <v>837</v>
      </c>
      <c r="F578" s="278"/>
      <c r="G578" s="278" t="s">
        <v>15</v>
      </c>
      <c r="H578" s="310">
        <v>0.2</v>
      </c>
      <c r="I578" s="280">
        <f t="shared" si="153"/>
        <v>16.124000000000002</v>
      </c>
      <c r="J578" s="281">
        <f t="shared" si="154"/>
        <v>18.286000000000001</v>
      </c>
      <c r="K578" s="282">
        <f>IF(Notes!$B$9="Domestic",I578, IF(Notes!$B$9="Commercial",J578))*$K$412</f>
        <v>36.572000000000003</v>
      </c>
      <c r="L578" s="283">
        <f>(SUM(O578:Q578)+(K578+SUM(M578:Q578))*(INDEX($U$412:$AB$412,MATCH(Notes!$C$16,$U$3:$AB$3,0))-100%))*$L$412</f>
        <v>157.47</v>
      </c>
      <c r="M578" s="286"/>
      <c r="N578" s="286"/>
      <c r="O578" s="285">
        <v>157.47</v>
      </c>
      <c r="P578" s="285"/>
      <c r="Q578" s="285"/>
      <c r="R578" s="278"/>
      <c r="S578" s="278"/>
      <c r="T578" s="278"/>
    </row>
    <row r="579" spans="1:20" s="305" customFormat="1" hidden="1" outlineLevel="2" x14ac:dyDescent="0.25">
      <c r="A579" s="278"/>
      <c r="B579" s="279" t="str">
        <f t="shared" si="152"/>
        <v>beam/bearer395x65mmGL17</v>
      </c>
      <c r="C579" s="278" t="s">
        <v>2129</v>
      </c>
      <c r="D579" s="278" t="s">
        <v>2010</v>
      </c>
      <c r="E579" s="278" t="s">
        <v>837</v>
      </c>
      <c r="F579" s="278"/>
      <c r="G579" s="278" t="s">
        <v>15</v>
      </c>
      <c r="H579" s="310">
        <v>0.2</v>
      </c>
      <c r="I579" s="280">
        <f t="shared" si="153"/>
        <v>16.124000000000002</v>
      </c>
      <c r="J579" s="281">
        <f t="shared" si="154"/>
        <v>18.286000000000001</v>
      </c>
      <c r="K579" s="282">
        <f>IF(Notes!$B$9="Domestic",I579, IF(Notes!$B$9="Commercial",J579))*$K$412</f>
        <v>36.572000000000003</v>
      </c>
      <c r="L579" s="283">
        <f>(SUM(O579:Q579)+(K579+SUM(M579:Q579))*(INDEX($U$412:$AB$412,MATCH(Notes!$C$16,$U$3:$AB$3,0))-100%))*$L$412</f>
        <v>165.63</v>
      </c>
      <c r="M579" s="286"/>
      <c r="N579" s="286"/>
      <c r="O579" s="285">
        <v>165.63</v>
      </c>
      <c r="P579" s="285"/>
      <c r="Q579" s="285"/>
      <c r="R579" s="278"/>
      <c r="S579" s="278"/>
      <c r="T579" s="278"/>
    </row>
    <row r="580" spans="1:20" s="305" customFormat="1" hidden="1" outlineLevel="2" x14ac:dyDescent="0.25">
      <c r="A580" s="278"/>
      <c r="B580" s="279" t="str">
        <f t="shared" si="152"/>
        <v>beam/bearer395x85mmGL17</v>
      </c>
      <c r="C580" s="278" t="s">
        <v>2129</v>
      </c>
      <c r="D580" s="278" t="s">
        <v>2011</v>
      </c>
      <c r="E580" s="278" t="s">
        <v>837</v>
      </c>
      <c r="F580" s="278"/>
      <c r="G580" s="278" t="s">
        <v>15</v>
      </c>
      <c r="H580" s="310">
        <v>0.2</v>
      </c>
      <c r="I580" s="280">
        <f t="shared" si="153"/>
        <v>16.124000000000002</v>
      </c>
      <c r="J580" s="281">
        <f t="shared" si="154"/>
        <v>18.286000000000001</v>
      </c>
      <c r="K580" s="282">
        <f>IF(Notes!$B$9="Domestic",I580, IF(Notes!$B$9="Commercial",J580))*$K$412</f>
        <v>36.572000000000003</v>
      </c>
      <c r="L580" s="283">
        <f>(SUM(O580:Q580)+(K580+SUM(M580:Q580))*(INDEX($U$412:$AB$412,MATCH(Notes!$C$16,$U$3:$AB$3,0))-100%))*$L$412</f>
        <v>194.06</v>
      </c>
      <c r="M580" s="286"/>
      <c r="N580" s="286"/>
      <c r="O580" s="285">
        <v>194.06</v>
      </c>
      <c r="P580" s="285"/>
      <c r="Q580" s="285"/>
      <c r="R580" s="278"/>
      <c r="S580" s="278"/>
      <c r="T580" s="278"/>
    </row>
    <row r="581" spans="1:20" s="305" customFormat="1" hidden="1" outlineLevel="2" x14ac:dyDescent="0.25">
      <c r="A581" s="278"/>
      <c r="B581" s="279" t="str">
        <f t="shared" si="152"/>
        <v>beam/bearer460x65mmGL17</v>
      </c>
      <c r="C581" s="278" t="s">
        <v>2129</v>
      </c>
      <c r="D581" s="278" t="s">
        <v>2012</v>
      </c>
      <c r="E581" s="278" t="s">
        <v>837</v>
      </c>
      <c r="F581" s="278"/>
      <c r="G581" s="278" t="s">
        <v>15</v>
      </c>
      <c r="H581" s="310">
        <v>0.28999999999999998</v>
      </c>
      <c r="I581" s="280">
        <f t="shared" si="153"/>
        <v>23.379799999999999</v>
      </c>
      <c r="J581" s="281">
        <f t="shared" si="154"/>
        <v>26.514700000000001</v>
      </c>
      <c r="K581" s="282">
        <f>IF(Notes!$B$9="Domestic",I581, IF(Notes!$B$9="Commercial",J581))*$K$412</f>
        <v>53.029400000000003</v>
      </c>
      <c r="L581" s="283">
        <f>(SUM(O581:Q581)+(K581+SUM(M581:Q581))*(INDEX($U$412:$AB$412,MATCH(Notes!$C$16,$U$3:$AB$3,0))-100%))*$L$412</f>
        <v>196.13</v>
      </c>
      <c r="M581" s="286"/>
      <c r="N581" s="286"/>
      <c r="O581" s="285">
        <v>196.13</v>
      </c>
      <c r="P581" s="285"/>
      <c r="Q581" s="285"/>
      <c r="R581" s="278"/>
      <c r="S581" s="278"/>
      <c r="T581" s="278"/>
    </row>
    <row r="582" spans="1:20" s="305" customFormat="1" hidden="1" outlineLevel="2" x14ac:dyDescent="0.25">
      <c r="A582" s="278"/>
      <c r="B582" s="279" t="str">
        <f t="shared" si="152"/>
        <v>beam/bearer460x85mmGL17</v>
      </c>
      <c r="C582" s="278" t="s">
        <v>2129</v>
      </c>
      <c r="D582" s="278" t="s">
        <v>2013</v>
      </c>
      <c r="E582" s="278" t="s">
        <v>837</v>
      </c>
      <c r="F582" s="278"/>
      <c r="G582" s="278" t="s">
        <v>15</v>
      </c>
      <c r="H582" s="310">
        <v>0.28999999999999998</v>
      </c>
      <c r="I582" s="280">
        <f t="shared" si="153"/>
        <v>23.379799999999999</v>
      </c>
      <c r="J582" s="281">
        <f t="shared" si="154"/>
        <v>26.514700000000001</v>
      </c>
      <c r="K582" s="282">
        <f>IF(Notes!$B$9="Domestic",I582, IF(Notes!$B$9="Commercial",J582))*$K$412</f>
        <v>53.029400000000003</v>
      </c>
      <c r="L582" s="283">
        <f>(SUM(O582:Q582)+(K582+SUM(M582:Q582))*(INDEX($U$412:$AB$412,MATCH(Notes!$C$16,$U$3:$AB$3,0))-100%))*$L$412</f>
        <v>225.75</v>
      </c>
      <c r="M582" s="286"/>
      <c r="N582" s="286"/>
      <c r="O582" s="285">
        <v>225.75</v>
      </c>
      <c r="P582" s="285"/>
      <c r="Q582" s="285"/>
      <c r="R582" s="278"/>
      <c r="S582" s="278"/>
      <c r="T582" s="278"/>
    </row>
    <row r="583" spans="1:20" s="305" customFormat="1" hidden="1" outlineLevel="2" x14ac:dyDescent="0.25">
      <c r="A583" s="278"/>
      <c r="B583" s="279" t="str">
        <f t="shared" si="152"/>
        <v>beam/bearer495x65mmGL17</v>
      </c>
      <c r="C583" s="278" t="s">
        <v>2129</v>
      </c>
      <c r="D583" s="278" t="s">
        <v>2014</v>
      </c>
      <c r="E583" s="278" t="s">
        <v>837</v>
      </c>
      <c r="F583" s="278"/>
      <c r="G583" s="278" t="s">
        <v>15</v>
      </c>
      <c r="H583" s="310">
        <v>0.28999999999999998</v>
      </c>
      <c r="I583" s="280">
        <f t="shared" si="153"/>
        <v>23.379799999999999</v>
      </c>
      <c r="J583" s="281">
        <f t="shared" si="154"/>
        <v>26.514700000000001</v>
      </c>
      <c r="K583" s="282">
        <f>IF(Notes!$B$9="Domestic",I583, IF(Notes!$B$9="Commercial",J583))*$K$412</f>
        <v>53.029400000000003</v>
      </c>
      <c r="L583" s="283">
        <f>(SUM(O583:Q583)+(K583+SUM(M583:Q583))*(INDEX($U$412:$AB$412,MATCH(Notes!$C$16,$U$3:$AB$3,0))-100%))*$L$412</f>
        <v>211.01</v>
      </c>
      <c r="M583" s="286"/>
      <c r="N583" s="286"/>
      <c r="O583" s="285">
        <v>211.01</v>
      </c>
      <c r="P583" s="285"/>
      <c r="Q583" s="285"/>
      <c r="R583" s="278"/>
      <c r="S583" s="278"/>
      <c r="T583" s="278"/>
    </row>
    <row r="584" spans="1:20" s="305" customFormat="1" hidden="1" outlineLevel="2" x14ac:dyDescent="0.25">
      <c r="A584" s="278"/>
      <c r="B584" s="279" t="str">
        <f t="shared" si="152"/>
        <v>beam/bearer495x85mmGL17</v>
      </c>
      <c r="C584" s="278" t="s">
        <v>2129</v>
      </c>
      <c r="D584" s="278" t="s">
        <v>2015</v>
      </c>
      <c r="E584" s="278" t="s">
        <v>837</v>
      </c>
      <c r="F584" s="278"/>
      <c r="G584" s="278" t="s">
        <v>15</v>
      </c>
      <c r="H584" s="310">
        <v>0.28999999999999998</v>
      </c>
      <c r="I584" s="280">
        <f t="shared" si="153"/>
        <v>23.379799999999999</v>
      </c>
      <c r="J584" s="281">
        <f t="shared" si="154"/>
        <v>26.514700000000001</v>
      </c>
      <c r="K584" s="282">
        <f>IF(Notes!$B$9="Domestic",I584, IF(Notes!$B$9="Commercial",J584))*$K$412</f>
        <v>53.029400000000003</v>
      </c>
      <c r="L584" s="283">
        <f>(SUM(O584:Q584)+(K584+SUM(M584:Q584))*(INDEX($U$412:$AB$412,MATCH(Notes!$C$16,$U$3:$AB$3,0))-100%))*$L$412</f>
        <v>245.86</v>
      </c>
      <c r="M584" s="286"/>
      <c r="N584" s="286"/>
      <c r="O584" s="285">
        <v>245.86</v>
      </c>
      <c r="P584" s="285"/>
      <c r="Q584" s="285"/>
      <c r="R584" s="278"/>
      <c r="S584" s="278"/>
      <c r="T584" s="278"/>
    </row>
    <row r="585" spans="1:20" s="305" customFormat="1" hidden="1" outlineLevel="2" x14ac:dyDescent="0.25">
      <c r="A585" s="278"/>
      <c r="B585" s="279" t="str">
        <f t="shared" si="152"/>
        <v>beam/bearer150x40mmGL18</v>
      </c>
      <c r="C585" s="278" t="s">
        <v>2129</v>
      </c>
      <c r="D585" s="278" t="s">
        <v>2016</v>
      </c>
      <c r="E585" s="278" t="s">
        <v>519</v>
      </c>
      <c r="F585" s="278"/>
      <c r="G585" s="278" t="s">
        <v>15</v>
      </c>
      <c r="H585" s="310">
        <v>0.15</v>
      </c>
      <c r="I585" s="280">
        <f t="shared" si="153"/>
        <v>12.093</v>
      </c>
      <c r="J585" s="281">
        <f t="shared" si="154"/>
        <v>13.714500000000001</v>
      </c>
      <c r="K585" s="282">
        <f>IF(Notes!$B$9="Domestic",I585, IF(Notes!$B$9="Commercial",J585))*$K$412</f>
        <v>27.429000000000002</v>
      </c>
      <c r="L585" s="283">
        <f>(SUM(O585:Q585)+(K585+SUM(M585:Q585))*(INDEX($U$412:$AB$412,MATCH(Notes!$C$16,$U$3:$AB$3,0))-100%))*$L$412</f>
        <v>59.9</v>
      </c>
      <c r="M585" s="286"/>
      <c r="N585" s="286"/>
      <c r="O585" s="285">
        <v>59.9</v>
      </c>
      <c r="P585" s="285"/>
      <c r="Q585" s="285"/>
      <c r="R585" s="278"/>
      <c r="S585" s="278"/>
      <c r="T585" s="278"/>
    </row>
    <row r="586" spans="1:20" s="305" customFormat="1" hidden="1" outlineLevel="2" x14ac:dyDescent="0.25">
      <c r="A586" s="278"/>
      <c r="B586" s="279" t="str">
        <f t="shared" si="152"/>
        <v>beam/bearer150x65mmGL18</v>
      </c>
      <c r="C586" s="278" t="s">
        <v>2129</v>
      </c>
      <c r="D586" s="278" t="s">
        <v>2017</v>
      </c>
      <c r="E586" s="278" t="s">
        <v>519</v>
      </c>
      <c r="F586" s="278"/>
      <c r="G586" s="278" t="s">
        <v>15</v>
      </c>
      <c r="H586" s="310">
        <v>0.15</v>
      </c>
      <c r="I586" s="280">
        <f t="shared" si="153"/>
        <v>12.093</v>
      </c>
      <c r="J586" s="281">
        <f t="shared" si="154"/>
        <v>13.714500000000001</v>
      </c>
      <c r="K586" s="282">
        <f>IF(Notes!$B$9="Domestic",I586, IF(Notes!$B$9="Commercial",J586))*$K$412</f>
        <v>27.429000000000002</v>
      </c>
      <c r="L586" s="283">
        <f>(SUM(O586:Q586)+(K586+SUM(M586:Q586))*(INDEX($U$412:$AB$412,MATCH(Notes!$C$16,$U$3:$AB$3,0))-100%))*$L$412</f>
        <v>85.5</v>
      </c>
      <c r="M586" s="286"/>
      <c r="N586" s="286"/>
      <c r="O586" s="285">
        <v>85.5</v>
      </c>
      <c r="P586" s="285"/>
      <c r="Q586" s="285"/>
      <c r="R586" s="278"/>
      <c r="S586" s="278"/>
      <c r="T586" s="278"/>
    </row>
    <row r="587" spans="1:20" s="305" customFormat="1" hidden="1" outlineLevel="2" x14ac:dyDescent="0.25">
      <c r="A587" s="278"/>
      <c r="B587" s="279" t="str">
        <f t="shared" si="152"/>
        <v>beam/bearer150x85mmGL18</v>
      </c>
      <c r="C587" s="278" t="s">
        <v>2129</v>
      </c>
      <c r="D587" s="278" t="s">
        <v>2018</v>
      </c>
      <c r="E587" s="278" t="s">
        <v>519</v>
      </c>
      <c r="F587" s="278"/>
      <c r="G587" s="278" t="s">
        <v>15</v>
      </c>
      <c r="H587" s="310">
        <v>0.15</v>
      </c>
      <c r="I587" s="280">
        <f t="shared" si="153"/>
        <v>12.093</v>
      </c>
      <c r="J587" s="281">
        <f t="shared" si="154"/>
        <v>13.714500000000001</v>
      </c>
      <c r="K587" s="282">
        <f>IF(Notes!$B$9="Domestic",I587, IF(Notes!$B$9="Commercial",J587))*$K$412</f>
        <v>27.429000000000002</v>
      </c>
      <c r="L587" s="283">
        <f>(SUM(O587:Q587)+(K587+SUM(M587:Q587))*(INDEX($U$412:$AB$412,MATCH(Notes!$C$16,$U$3:$AB$3,0))-100%))*$L$412</f>
        <v>105.9</v>
      </c>
      <c r="M587" s="286"/>
      <c r="N587" s="286"/>
      <c r="O587" s="285">
        <v>105.9</v>
      </c>
      <c r="P587" s="285"/>
      <c r="Q587" s="285"/>
      <c r="R587" s="278"/>
      <c r="S587" s="278"/>
      <c r="T587" s="278"/>
    </row>
    <row r="588" spans="1:20" s="305" customFormat="1" hidden="1" outlineLevel="2" x14ac:dyDescent="0.25">
      <c r="A588" s="278"/>
      <c r="B588" s="279" t="str">
        <f t="shared" si="152"/>
        <v>beam/bearer210x40mmGL18</v>
      </c>
      <c r="C588" s="278" t="s">
        <v>2129</v>
      </c>
      <c r="D588" s="278" t="s">
        <v>2019</v>
      </c>
      <c r="E588" s="278" t="s">
        <v>519</v>
      </c>
      <c r="F588" s="278"/>
      <c r="G588" s="278" t="s">
        <v>15</v>
      </c>
      <c r="H588" s="310">
        <v>0.15</v>
      </c>
      <c r="I588" s="280">
        <f t="shared" si="153"/>
        <v>12.093</v>
      </c>
      <c r="J588" s="281">
        <f t="shared" si="154"/>
        <v>13.714500000000001</v>
      </c>
      <c r="K588" s="282">
        <f>IF(Notes!$B$9="Domestic",I588, IF(Notes!$B$9="Commercial",J588))*$K$412</f>
        <v>27.429000000000002</v>
      </c>
      <c r="L588" s="283">
        <f>(SUM(O588:Q588)+(K588+SUM(M588:Q588))*(INDEX($U$412:$AB$412,MATCH(Notes!$C$16,$U$3:$AB$3,0))-100%))*$L$412</f>
        <v>74.5</v>
      </c>
      <c r="M588" s="286"/>
      <c r="N588" s="286"/>
      <c r="O588" s="285">
        <v>74.5</v>
      </c>
      <c r="P588" s="285"/>
      <c r="Q588" s="285"/>
      <c r="R588" s="278"/>
      <c r="S588" s="278"/>
      <c r="T588" s="278"/>
    </row>
    <row r="589" spans="1:20" s="305" customFormat="1" hidden="1" outlineLevel="2" x14ac:dyDescent="0.25">
      <c r="A589" s="278"/>
      <c r="B589" s="279" t="str">
        <f t="shared" si="152"/>
        <v>beam/bearer210x65mmGL18</v>
      </c>
      <c r="C589" s="278" t="s">
        <v>2129</v>
      </c>
      <c r="D589" s="278" t="s">
        <v>2020</v>
      </c>
      <c r="E589" s="278" t="s">
        <v>519</v>
      </c>
      <c r="F589" s="278"/>
      <c r="G589" s="278" t="s">
        <v>15</v>
      </c>
      <c r="H589" s="310">
        <v>0.15</v>
      </c>
      <c r="I589" s="280">
        <f t="shared" si="153"/>
        <v>12.093</v>
      </c>
      <c r="J589" s="281">
        <f t="shared" si="154"/>
        <v>13.714500000000001</v>
      </c>
      <c r="K589" s="282">
        <f>IF(Notes!$B$9="Domestic",I589, IF(Notes!$B$9="Commercial",J589))*$K$412</f>
        <v>27.429000000000002</v>
      </c>
      <c r="L589" s="283">
        <f>(SUM(O589:Q589)+(K589+SUM(M589:Q589))*(INDEX($U$412:$AB$412,MATCH(Notes!$C$16,$U$3:$AB$3,0))-100%))*$L$412</f>
        <v>106.9</v>
      </c>
      <c r="M589" s="286"/>
      <c r="N589" s="286"/>
      <c r="O589" s="285">
        <v>106.9</v>
      </c>
      <c r="P589" s="285"/>
      <c r="Q589" s="285"/>
      <c r="R589" s="278"/>
      <c r="S589" s="278"/>
      <c r="T589" s="278"/>
    </row>
    <row r="590" spans="1:20" s="305" customFormat="1" hidden="1" outlineLevel="2" x14ac:dyDescent="0.25">
      <c r="A590" s="278"/>
      <c r="B590" s="279" t="str">
        <f t="shared" si="152"/>
        <v>beam/bearer210x85mmGL18</v>
      </c>
      <c r="C590" s="278" t="s">
        <v>2129</v>
      </c>
      <c r="D590" s="278" t="s">
        <v>2021</v>
      </c>
      <c r="E590" s="278" t="s">
        <v>519</v>
      </c>
      <c r="F590" s="278"/>
      <c r="G590" s="278" t="s">
        <v>15</v>
      </c>
      <c r="H590" s="310">
        <v>0.15</v>
      </c>
      <c r="I590" s="280">
        <f t="shared" si="153"/>
        <v>12.093</v>
      </c>
      <c r="J590" s="281">
        <f t="shared" si="154"/>
        <v>13.714500000000001</v>
      </c>
      <c r="K590" s="282">
        <f>IF(Notes!$B$9="Domestic",I590, IF(Notes!$B$9="Commercial",J590))*$K$412</f>
        <v>27.429000000000002</v>
      </c>
      <c r="L590" s="283">
        <f>(SUM(O590:Q590)+(K590+SUM(M590:Q590))*(INDEX($U$412:$AB$412,MATCH(Notes!$C$16,$U$3:$AB$3,0))-100%))*$L$412</f>
        <v>132.4</v>
      </c>
      <c r="M590" s="286"/>
      <c r="N590" s="286"/>
      <c r="O590" s="285">
        <v>132.4</v>
      </c>
      <c r="P590" s="285"/>
      <c r="Q590" s="285"/>
      <c r="R590" s="278"/>
      <c r="S590" s="278"/>
      <c r="T590" s="278"/>
    </row>
    <row r="591" spans="1:20" s="305" customFormat="1" hidden="1" outlineLevel="2" x14ac:dyDescent="0.25">
      <c r="A591" s="278"/>
      <c r="B591" s="279" t="str">
        <f t="shared" si="152"/>
        <v>beam/bearer240x40mmGL18</v>
      </c>
      <c r="C591" s="278" t="s">
        <v>2129</v>
      </c>
      <c r="D591" s="278" t="s">
        <v>1946</v>
      </c>
      <c r="E591" s="278" t="s">
        <v>519</v>
      </c>
      <c r="F591" s="278"/>
      <c r="G591" s="278" t="s">
        <v>15</v>
      </c>
      <c r="H591" s="310">
        <v>0.15</v>
      </c>
      <c r="I591" s="280">
        <f t="shared" si="153"/>
        <v>12.093</v>
      </c>
      <c r="J591" s="281">
        <f t="shared" si="154"/>
        <v>13.714500000000001</v>
      </c>
      <c r="K591" s="282">
        <f>IF(Notes!$B$9="Domestic",I591, IF(Notes!$B$9="Commercial",J591))*$K$412</f>
        <v>27.429000000000002</v>
      </c>
      <c r="L591" s="283">
        <f>(SUM(O591:Q591)+(K591+SUM(M591:Q591))*(INDEX($U$412:$AB$412,MATCH(Notes!$C$16,$U$3:$AB$3,0))-100%))*$L$412</f>
        <v>89.4</v>
      </c>
      <c r="M591" s="286"/>
      <c r="N591" s="286"/>
      <c r="O591" s="285">
        <v>89.4</v>
      </c>
      <c r="P591" s="285"/>
      <c r="Q591" s="285"/>
      <c r="R591" s="278"/>
      <c r="S591" s="278"/>
      <c r="T591" s="278"/>
    </row>
    <row r="592" spans="1:20" s="305" customFormat="1" hidden="1" outlineLevel="2" x14ac:dyDescent="0.25">
      <c r="A592" s="278"/>
      <c r="B592" s="279" t="str">
        <f t="shared" si="152"/>
        <v>beam/bearer240x65mmGL18</v>
      </c>
      <c r="C592" s="278" t="s">
        <v>2129</v>
      </c>
      <c r="D592" s="278" t="s">
        <v>2022</v>
      </c>
      <c r="E592" s="278" t="s">
        <v>519</v>
      </c>
      <c r="F592" s="278"/>
      <c r="G592" s="278" t="s">
        <v>15</v>
      </c>
      <c r="H592" s="310">
        <v>0.15</v>
      </c>
      <c r="I592" s="280">
        <f t="shared" si="153"/>
        <v>12.093</v>
      </c>
      <c r="J592" s="281">
        <f t="shared" si="154"/>
        <v>13.714500000000001</v>
      </c>
      <c r="K592" s="282">
        <f>IF(Notes!$B$9="Domestic",I592, IF(Notes!$B$9="Commercial",J592))*$K$412</f>
        <v>27.429000000000002</v>
      </c>
      <c r="L592" s="283">
        <f>(SUM(O592:Q592)+(K592+SUM(M592:Q592))*(INDEX($U$412:$AB$412,MATCH(Notes!$C$16,$U$3:$AB$3,0))-100%))*$L$412</f>
        <v>122.9</v>
      </c>
      <c r="M592" s="286"/>
      <c r="N592" s="286"/>
      <c r="O592" s="285">
        <v>122.9</v>
      </c>
      <c r="P592" s="285"/>
      <c r="Q592" s="285"/>
      <c r="R592" s="278"/>
      <c r="S592" s="278"/>
      <c r="T592" s="278"/>
    </row>
    <row r="593" spans="1:20" s="305" customFormat="1" hidden="1" outlineLevel="2" x14ac:dyDescent="0.25">
      <c r="A593" s="278"/>
      <c r="B593" s="279" t="str">
        <f t="shared" si="152"/>
        <v>beam/bearer240x85mmGL18</v>
      </c>
      <c r="C593" s="278" t="s">
        <v>2129</v>
      </c>
      <c r="D593" s="278" t="s">
        <v>2023</v>
      </c>
      <c r="E593" s="278" t="s">
        <v>519</v>
      </c>
      <c r="F593" s="278"/>
      <c r="G593" s="278" t="s">
        <v>15</v>
      </c>
      <c r="H593" s="310">
        <v>0.15</v>
      </c>
      <c r="I593" s="280">
        <f t="shared" si="153"/>
        <v>12.093</v>
      </c>
      <c r="J593" s="281">
        <f t="shared" si="154"/>
        <v>13.714500000000001</v>
      </c>
      <c r="K593" s="282">
        <f>IF(Notes!$B$9="Domestic",I593, IF(Notes!$B$9="Commercial",J593))*$K$412</f>
        <v>27.429000000000002</v>
      </c>
      <c r="L593" s="283">
        <f>(SUM(O593:Q593)+(K593+SUM(M593:Q593))*(INDEX($U$412:$AB$412,MATCH(Notes!$C$16,$U$3:$AB$3,0))-100%))*$L$412</f>
        <v>152.19999999999999</v>
      </c>
      <c r="M593" s="286"/>
      <c r="N593" s="286"/>
      <c r="O593" s="285">
        <v>152.19999999999999</v>
      </c>
      <c r="P593" s="285"/>
      <c r="Q593" s="285"/>
      <c r="R593" s="278"/>
      <c r="S593" s="278"/>
      <c r="T593" s="278"/>
    </row>
    <row r="594" spans="1:20" s="305" customFormat="1" hidden="1" outlineLevel="2" x14ac:dyDescent="0.25">
      <c r="A594" s="278"/>
      <c r="B594" s="279" t="str">
        <f t="shared" si="152"/>
        <v>beam/bearer270x40mmGL18</v>
      </c>
      <c r="C594" s="278" t="s">
        <v>2129</v>
      </c>
      <c r="D594" s="278" t="s">
        <v>2024</v>
      </c>
      <c r="E594" s="278" t="s">
        <v>519</v>
      </c>
      <c r="F594" s="278"/>
      <c r="G594" s="278" t="s">
        <v>15</v>
      </c>
      <c r="H594" s="310">
        <v>0.19</v>
      </c>
      <c r="I594" s="280">
        <f t="shared" si="153"/>
        <v>15.317800000000002</v>
      </c>
      <c r="J594" s="281">
        <f t="shared" si="154"/>
        <v>17.371700000000001</v>
      </c>
      <c r="K594" s="282">
        <f>IF(Notes!$B$9="Domestic",I594, IF(Notes!$B$9="Commercial",J594))*$K$412</f>
        <v>34.743400000000001</v>
      </c>
      <c r="L594" s="283">
        <f>(SUM(O594:Q594)+(K594+SUM(M594:Q594))*(INDEX($U$412:$AB$412,MATCH(Notes!$C$16,$U$3:$AB$3,0))-100%))*$L$412</f>
        <v>104.2</v>
      </c>
      <c r="M594" s="286"/>
      <c r="N594" s="286"/>
      <c r="O594" s="285">
        <v>104.2</v>
      </c>
      <c r="P594" s="285"/>
      <c r="Q594" s="285"/>
      <c r="R594" s="278"/>
      <c r="S594" s="278"/>
      <c r="T594" s="278"/>
    </row>
    <row r="595" spans="1:20" s="305" customFormat="1" hidden="1" outlineLevel="2" x14ac:dyDescent="0.25">
      <c r="A595" s="278"/>
      <c r="B595" s="279" t="str">
        <f t="shared" si="152"/>
        <v>beam/bearer270x65mmGL18</v>
      </c>
      <c r="C595" s="278" t="s">
        <v>2129</v>
      </c>
      <c r="D595" s="278" t="s">
        <v>2025</v>
      </c>
      <c r="E595" s="278" t="s">
        <v>519</v>
      </c>
      <c r="F595" s="278"/>
      <c r="G595" s="278" t="s">
        <v>15</v>
      </c>
      <c r="H595" s="310">
        <v>0.19</v>
      </c>
      <c r="I595" s="280">
        <f t="shared" si="153"/>
        <v>15.317800000000002</v>
      </c>
      <c r="J595" s="281">
        <f t="shared" si="154"/>
        <v>17.371700000000001</v>
      </c>
      <c r="K595" s="282">
        <f>IF(Notes!$B$9="Domestic",I595, IF(Notes!$B$9="Commercial",J595))*$K$412</f>
        <v>34.743400000000001</v>
      </c>
      <c r="L595" s="283">
        <f>(SUM(O595:Q595)+(K595+SUM(M595:Q595))*(INDEX($U$412:$AB$412,MATCH(Notes!$C$16,$U$3:$AB$3,0))-100%))*$L$412</f>
        <v>149.6</v>
      </c>
      <c r="M595" s="286"/>
      <c r="N595" s="286"/>
      <c r="O595" s="285">
        <v>149.6</v>
      </c>
      <c r="P595" s="285"/>
      <c r="Q595" s="285"/>
      <c r="R595" s="278"/>
      <c r="S595" s="278"/>
      <c r="T595" s="278"/>
    </row>
    <row r="596" spans="1:20" s="305" customFormat="1" hidden="1" outlineLevel="2" x14ac:dyDescent="0.25">
      <c r="A596" s="278"/>
      <c r="B596" s="279" t="str">
        <f t="shared" si="152"/>
        <v>beam/bearer270x85mmGL18</v>
      </c>
      <c r="C596" s="278" t="s">
        <v>2129</v>
      </c>
      <c r="D596" s="278" t="s">
        <v>2026</v>
      </c>
      <c r="E596" s="278" t="s">
        <v>519</v>
      </c>
      <c r="F596" s="278"/>
      <c r="G596" s="278" t="s">
        <v>15</v>
      </c>
      <c r="H596" s="310">
        <v>0.19</v>
      </c>
      <c r="I596" s="280">
        <f t="shared" si="153"/>
        <v>15.317800000000002</v>
      </c>
      <c r="J596" s="281">
        <f t="shared" si="154"/>
        <v>17.371700000000001</v>
      </c>
      <c r="K596" s="282">
        <f>IF(Notes!$B$9="Domestic",I596, IF(Notes!$B$9="Commercial",J596))*$K$412</f>
        <v>34.743400000000001</v>
      </c>
      <c r="L596" s="283">
        <f>(SUM(O596:Q596)+(K596+SUM(M596:Q596))*(INDEX($U$412:$AB$412,MATCH(Notes!$C$16,$U$3:$AB$3,0))-100%))*$L$412</f>
        <v>185.3</v>
      </c>
      <c r="M596" s="286"/>
      <c r="N596" s="286"/>
      <c r="O596" s="285">
        <v>185.3</v>
      </c>
      <c r="P596" s="285"/>
      <c r="Q596" s="285"/>
      <c r="R596" s="278"/>
      <c r="S596" s="278"/>
      <c r="T596" s="278"/>
    </row>
    <row r="597" spans="1:20" s="305" customFormat="1" hidden="1" outlineLevel="2" x14ac:dyDescent="0.25">
      <c r="A597" s="278"/>
      <c r="B597" s="279" t="str">
        <f t="shared" si="152"/>
        <v>beam/bearer300x40mmGL18</v>
      </c>
      <c r="C597" s="278" t="s">
        <v>2129</v>
      </c>
      <c r="D597" s="278" t="s">
        <v>1949</v>
      </c>
      <c r="E597" s="278" t="s">
        <v>519</v>
      </c>
      <c r="F597" s="278"/>
      <c r="G597" s="278" t="s">
        <v>15</v>
      </c>
      <c r="H597" s="310">
        <v>0.19</v>
      </c>
      <c r="I597" s="280">
        <f t="shared" si="153"/>
        <v>15.317800000000002</v>
      </c>
      <c r="J597" s="281">
        <f t="shared" si="154"/>
        <v>17.371700000000001</v>
      </c>
      <c r="K597" s="282">
        <f>IF(Notes!$B$9="Domestic",I597, IF(Notes!$B$9="Commercial",J597))*$K$412</f>
        <v>34.743400000000001</v>
      </c>
      <c r="L597" s="283">
        <f>(SUM(O597:Q597)+(K597+SUM(M597:Q597))*(INDEX($U$412:$AB$412,MATCH(Notes!$C$16,$U$3:$AB$3,0))-100%))*$L$412</f>
        <v>119.2</v>
      </c>
      <c r="M597" s="286"/>
      <c r="N597" s="286"/>
      <c r="O597" s="285">
        <v>119.2</v>
      </c>
      <c r="P597" s="285"/>
      <c r="Q597" s="285"/>
      <c r="R597" s="278"/>
      <c r="S597" s="278"/>
      <c r="T597" s="278"/>
    </row>
    <row r="598" spans="1:20" s="305" customFormat="1" hidden="1" outlineLevel="2" x14ac:dyDescent="0.25">
      <c r="A598" s="278"/>
      <c r="B598" s="279" t="str">
        <f t="shared" si="152"/>
        <v>beam/bearer300x65mmGL18</v>
      </c>
      <c r="C598" s="278" t="s">
        <v>2129</v>
      </c>
      <c r="D598" s="278" t="s">
        <v>2027</v>
      </c>
      <c r="E598" s="278" t="s">
        <v>519</v>
      </c>
      <c r="F598" s="278"/>
      <c r="G598" s="278" t="s">
        <v>15</v>
      </c>
      <c r="H598" s="310">
        <v>0.19</v>
      </c>
      <c r="I598" s="280">
        <f t="shared" si="153"/>
        <v>15.317800000000002</v>
      </c>
      <c r="J598" s="281">
        <f t="shared" si="154"/>
        <v>17.371700000000001</v>
      </c>
      <c r="K598" s="282">
        <f>IF(Notes!$B$9="Domestic",I598, IF(Notes!$B$9="Commercial",J598))*$K$412</f>
        <v>34.743400000000001</v>
      </c>
      <c r="L598" s="283">
        <f>(SUM(O598:Q598)+(K598+SUM(M598:Q598))*(INDEX($U$412:$AB$412,MATCH(Notes!$C$16,$U$3:$AB$3,0))-100%))*$L$412</f>
        <v>170.9</v>
      </c>
      <c r="M598" s="286"/>
      <c r="N598" s="286"/>
      <c r="O598" s="285">
        <v>170.9</v>
      </c>
      <c r="P598" s="285"/>
      <c r="Q598" s="285"/>
      <c r="R598" s="278"/>
      <c r="S598" s="278"/>
      <c r="T598" s="278"/>
    </row>
    <row r="599" spans="1:20" s="305" customFormat="1" hidden="1" outlineLevel="2" x14ac:dyDescent="0.25">
      <c r="A599" s="278"/>
      <c r="B599" s="279" t="str">
        <f t="shared" si="152"/>
        <v>beam/bearer300x85mmGL18</v>
      </c>
      <c r="C599" s="278" t="s">
        <v>2129</v>
      </c>
      <c r="D599" s="278" t="s">
        <v>2028</v>
      </c>
      <c r="E599" s="278" t="s">
        <v>519</v>
      </c>
      <c r="F599" s="278"/>
      <c r="G599" s="278" t="s">
        <v>15</v>
      </c>
      <c r="H599" s="310">
        <v>0.19</v>
      </c>
      <c r="I599" s="280">
        <f t="shared" si="153"/>
        <v>15.317800000000002</v>
      </c>
      <c r="J599" s="281">
        <f t="shared" si="154"/>
        <v>17.371700000000001</v>
      </c>
      <c r="K599" s="282">
        <f>IF(Notes!$B$9="Domestic",I599, IF(Notes!$B$9="Commercial",J599))*$K$412</f>
        <v>34.743400000000001</v>
      </c>
      <c r="L599" s="283">
        <f>(SUM(O599:Q599)+(K599+SUM(M599:Q599))*(INDEX($U$412:$AB$412,MATCH(Notes!$C$16,$U$3:$AB$3,0))-100%))*$L$412</f>
        <v>211.8</v>
      </c>
      <c r="M599" s="286"/>
      <c r="N599" s="286"/>
      <c r="O599" s="285">
        <v>211.8</v>
      </c>
      <c r="P599" s="285"/>
      <c r="Q599" s="285"/>
      <c r="R599" s="278"/>
      <c r="S599" s="278"/>
      <c r="T599" s="278"/>
    </row>
    <row r="600" spans="1:20" s="305" customFormat="1" hidden="1" outlineLevel="2" x14ac:dyDescent="0.25">
      <c r="A600" s="278"/>
      <c r="B600" s="279" t="str">
        <f t="shared" si="152"/>
        <v>beam/bearer360x40mmGL18</v>
      </c>
      <c r="C600" s="278" t="s">
        <v>2129</v>
      </c>
      <c r="D600" s="278" t="s">
        <v>2029</v>
      </c>
      <c r="E600" s="278" t="s">
        <v>519</v>
      </c>
      <c r="F600" s="278"/>
      <c r="G600" s="278" t="s">
        <v>15</v>
      </c>
      <c r="H600" s="310">
        <v>0.2</v>
      </c>
      <c r="I600" s="280">
        <f t="shared" si="153"/>
        <v>16.124000000000002</v>
      </c>
      <c r="J600" s="281">
        <f t="shared" si="154"/>
        <v>18.286000000000001</v>
      </c>
      <c r="K600" s="282">
        <f>IF(Notes!$B$9="Domestic",I600, IF(Notes!$B$9="Commercial",J600))*$K$412</f>
        <v>36.572000000000003</v>
      </c>
      <c r="L600" s="283">
        <f>(SUM(O600:Q600)+(K600+SUM(M600:Q600))*(INDEX($U$412:$AB$412,MATCH(Notes!$C$16,$U$3:$AB$3,0))-100%))*$L$412</f>
        <v>134.1</v>
      </c>
      <c r="M600" s="286"/>
      <c r="N600" s="286"/>
      <c r="O600" s="285">
        <v>134.1</v>
      </c>
      <c r="P600" s="285"/>
      <c r="Q600" s="285"/>
      <c r="R600" s="278"/>
      <c r="S600" s="278"/>
      <c r="T600" s="278"/>
    </row>
    <row r="601" spans="1:20" s="305" customFormat="1" hidden="1" outlineLevel="2" x14ac:dyDescent="0.25">
      <c r="A601" s="278"/>
      <c r="B601" s="279" t="str">
        <f t="shared" si="152"/>
        <v>beam/bearer360x65mmGL18</v>
      </c>
      <c r="C601" s="278" t="s">
        <v>2129</v>
      </c>
      <c r="D601" s="278" t="s">
        <v>2008</v>
      </c>
      <c r="E601" s="278" t="s">
        <v>519</v>
      </c>
      <c r="F601" s="278"/>
      <c r="G601" s="278" t="s">
        <v>15</v>
      </c>
      <c r="H601" s="310">
        <v>0.2</v>
      </c>
      <c r="I601" s="280">
        <f t="shared" si="153"/>
        <v>16.124000000000002</v>
      </c>
      <c r="J601" s="281">
        <f t="shared" si="154"/>
        <v>18.286000000000001</v>
      </c>
      <c r="K601" s="282">
        <f>IF(Notes!$B$9="Domestic",I601, IF(Notes!$B$9="Commercial",J601))*$K$412</f>
        <v>36.572000000000003</v>
      </c>
      <c r="L601" s="283">
        <f>(SUM(O601:Q601)+(K601+SUM(M601:Q601))*(INDEX($U$412:$AB$412,MATCH(Notes!$C$16,$U$3:$AB$3,0))-100%))*$L$412</f>
        <v>192.4</v>
      </c>
      <c r="M601" s="286"/>
      <c r="N601" s="286"/>
      <c r="O601" s="285">
        <v>192.4</v>
      </c>
      <c r="P601" s="285"/>
      <c r="Q601" s="285"/>
      <c r="R601" s="278"/>
      <c r="S601" s="278"/>
      <c r="T601" s="278"/>
    </row>
    <row r="602" spans="1:20" s="305" customFormat="1" hidden="1" outlineLevel="2" x14ac:dyDescent="0.25">
      <c r="A602" s="278"/>
      <c r="B602" s="279" t="str">
        <f t="shared" si="152"/>
        <v>beam/bearer360x85mmGL18</v>
      </c>
      <c r="C602" s="278" t="s">
        <v>2129</v>
      </c>
      <c r="D602" s="278" t="s">
        <v>2009</v>
      </c>
      <c r="E602" s="278" t="s">
        <v>519</v>
      </c>
      <c r="F602" s="278"/>
      <c r="G602" s="278" t="s">
        <v>15</v>
      </c>
      <c r="H602" s="310">
        <v>0.2</v>
      </c>
      <c r="I602" s="280">
        <f t="shared" si="153"/>
        <v>16.124000000000002</v>
      </c>
      <c r="J602" s="281">
        <f t="shared" si="154"/>
        <v>18.286000000000001</v>
      </c>
      <c r="K602" s="282">
        <f>IF(Notes!$B$9="Domestic",I602, IF(Notes!$B$9="Commercial",J602))*$K$412</f>
        <v>36.572000000000003</v>
      </c>
      <c r="L602" s="283">
        <f>(SUM(O602:Q602)+(K602+SUM(M602:Q602))*(INDEX($U$412:$AB$412,MATCH(Notes!$C$16,$U$3:$AB$3,0))-100%))*$L$412</f>
        <v>238.2</v>
      </c>
      <c r="M602" s="286"/>
      <c r="N602" s="286"/>
      <c r="O602" s="285">
        <v>238.2</v>
      </c>
      <c r="P602" s="285"/>
      <c r="Q602" s="285"/>
      <c r="R602" s="278"/>
      <c r="S602" s="278"/>
      <c r="T602" s="278"/>
    </row>
    <row r="603" spans="1:20" s="305" customFormat="1" hidden="1" outlineLevel="2" x14ac:dyDescent="0.25">
      <c r="A603" s="278"/>
      <c r="B603" s="279" t="str">
        <f t="shared" si="152"/>
        <v>beam/bearer420x40mmGL18</v>
      </c>
      <c r="C603" s="278" t="s">
        <v>2129</v>
      </c>
      <c r="D603" s="278" t="s">
        <v>2030</v>
      </c>
      <c r="E603" s="278" t="s">
        <v>519</v>
      </c>
      <c r="F603" s="278"/>
      <c r="G603" s="278" t="s">
        <v>15</v>
      </c>
      <c r="H603" s="310">
        <v>0.2</v>
      </c>
      <c r="I603" s="280">
        <f t="shared" si="153"/>
        <v>16.124000000000002</v>
      </c>
      <c r="J603" s="281">
        <f t="shared" si="154"/>
        <v>18.286000000000001</v>
      </c>
      <c r="K603" s="282">
        <f>IF(Notes!$B$9="Domestic",I603, IF(Notes!$B$9="Commercial",J603))*$K$412</f>
        <v>36.572000000000003</v>
      </c>
      <c r="L603" s="283">
        <f>(SUM(O603:Q603)+(K603+SUM(M603:Q603))*(INDEX($U$412:$AB$412,MATCH(Notes!$C$16,$U$3:$AB$3,0))-100%))*$L$412</f>
        <v>148.9</v>
      </c>
      <c r="M603" s="286"/>
      <c r="N603" s="286"/>
      <c r="O603" s="285">
        <v>148.9</v>
      </c>
      <c r="P603" s="285"/>
      <c r="Q603" s="285"/>
      <c r="R603" s="278"/>
      <c r="S603" s="278"/>
      <c r="T603" s="278"/>
    </row>
    <row r="604" spans="1:20" s="305" customFormat="1" hidden="1" outlineLevel="2" x14ac:dyDescent="0.25">
      <c r="A604" s="278"/>
      <c r="B604" s="279" t="str">
        <f t="shared" si="152"/>
        <v>beam/bearer420x65mmGL18</v>
      </c>
      <c r="C604" s="278" t="s">
        <v>2129</v>
      </c>
      <c r="D604" s="278" t="s">
        <v>2031</v>
      </c>
      <c r="E604" s="278" t="s">
        <v>519</v>
      </c>
      <c r="F604" s="278"/>
      <c r="G604" s="278" t="s">
        <v>15</v>
      </c>
      <c r="H604" s="310">
        <v>0.2</v>
      </c>
      <c r="I604" s="280">
        <f t="shared" si="153"/>
        <v>16.124000000000002</v>
      </c>
      <c r="J604" s="281">
        <f t="shared" si="154"/>
        <v>18.286000000000001</v>
      </c>
      <c r="K604" s="282">
        <f>IF(Notes!$B$9="Domestic",I604, IF(Notes!$B$9="Commercial",J604))*$K$412</f>
        <v>36.572000000000003</v>
      </c>
      <c r="L604" s="283">
        <f>(SUM(O604:Q604)+(K604+SUM(M604:Q604))*(INDEX($U$412:$AB$412,MATCH(Notes!$C$16,$U$3:$AB$3,0))-100%))*$L$412</f>
        <v>213.8</v>
      </c>
      <c r="M604" s="286"/>
      <c r="N604" s="286"/>
      <c r="O604" s="285">
        <v>213.8</v>
      </c>
      <c r="P604" s="285"/>
      <c r="Q604" s="285"/>
      <c r="R604" s="278"/>
      <c r="S604" s="278"/>
      <c r="T604" s="278"/>
    </row>
    <row r="605" spans="1:20" s="305" customFormat="1" hidden="1" outlineLevel="2" x14ac:dyDescent="0.25">
      <c r="A605" s="278"/>
      <c r="B605" s="279" t="str">
        <f t="shared" si="152"/>
        <v>beam/bearer420x85mmGL18</v>
      </c>
      <c r="C605" s="278" t="s">
        <v>2129</v>
      </c>
      <c r="D605" s="278" t="s">
        <v>2032</v>
      </c>
      <c r="E605" s="278" t="s">
        <v>519</v>
      </c>
      <c r="F605" s="278"/>
      <c r="G605" s="278" t="s">
        <v>15</v>
      </c>
      <c r="H605" s="310">
        <v>0.2</v>
      </c>
      <c r="I605" s="280">
        <f t="shared" si="153"/>
        <v>16.124000000000002</v>
      </c>
      <c r="J605" s="281">
        <f t="shared" si="154"/>
        <v>18.286000000000001</v>
      </c>
      <c r="K605" s="282">
        <f>IF(Notes!$B$9="Domestic",I605, IF(Notes!$B$9="Commercial",J605))*$K$412</f>
        <v>36.572000000000003</v>
      </c>
      <c r="L605" s="283">
        <f>(SUM(O605:Q605)+(K605+SUM(M605:Q605))*(INDEX($U$412:$AB$412,MATCH(Notes!$C$16,$U$3:$AB$3,0))-100%))*$L$412</f>
        <v>264.7</v>
      </c>
      <c r="M605" s="286"/>
      <c r="N605" s="286"/>
      <c r="O605" s="285">
        <v>264.7</v>
      </c>
      <c r="P605" s="285"/>
      <c r="Q605" s="285"/>
      <c r="R605" s="278"/>
      <c r="S605" s="278"/>
      <c r="T605" s="278"/>
    </row>
    <row r="606" spans="1:20" s="305" customFormat="1" hidden="1" outlineLevel="2" x14ac:dyDescent="0.25">
      <c r="A606" s="278"/>
      <c r="B606" s="279" t="str">
        <f t="shared" si="152"/>
        <v>beam/bearer450x65mmGL18</v>
      </c>
      <c r="C606" s="278" t="s">
        <v>2129</v>
      </c>
      <c r="D606" s="278" t="s">
        <v>2033</v>
      </c>
      <c r="E606" s="278" t="s">
        <v>519</v>
      </c>
      <c r="F606" s="278"/>
      <c r="G606" s="278" t="s">
        <v>15</v>
      </c>
      <c r="H606" s="310">
        <v>0.28999999999999998</v>
      </c>
      <c r="I606" s="280">
        <f t="shared" si="153"/>
        <v>23.379799999999999</v>
      </c>
      <c r="J606" s="281">
        <f t="shared" si="154"/>
        <v>26.514700000000001</v>
      </c>
      <c r="K606" s="282">
        <f>IF(Notes!$B$9="Domestic",I606, IF(Notes!$B$9="Commercial",J606))*$K$412</f>
        <v>53.029400000000003</v>
      </c>
      <c r="L606" s="283">
        <f>(SUM(O606:Q606)+(K606+SUM(M606:Q606))*(INDEX($U$412:$AB$412,MATCH(Notes!$C$16,$U$3:$AB$3,0))-100%))*$L$412</f>
        <v>235.1</v>
      </c>
      <c r="M606" s="286"/>
      <c r="N606" s="286"/>
      <c r="O606" s="285">
        <v>235.1</v>
      </c>
      <c r="P606" s="285"/>
      <c r="Q606" s="285"/>
      <c r="R606" s="278"/>
      <c r="S606" s="278"/>
      <c r="T606" s="278"/>
    </row>
    <row r="607" spans="1:20" s="305" customFormat="1" hidden="1" outlineLevel="2" x14ac:dyDescent="0.25">
      <c r="A607" s="278"/>
      <c r="B607" s="279" t="str">
        <f t="shared" si="152"/>
        <v>beam/bearer450x85mmGL18</v>
      </c>
      <c r="C607" s="278" t="s">
        <v>2129</v>
      </c>
      <c r="D607" s="278" t="s">
        <v>2034</v>
      </c>
      <c r="E607" s="278" t="s">
        <v>519</v>
      </c>
      <c r="F607" s="278"/>
      <c r="G607" s="278" t="s">
        <v>15</v>
      </c>
      <c r="H607" s="310">
        <v>0.28999999999999998</v>
      </c>
      <c r="I607" s="280">
        <f t="shared" si="153"/>
        <v>23.379799999999999</v>
      </c>
      <c r="J607" s="281">
        <f t="shared" si="154"/>
        <v>26.514700000000001</v>
      </c>
      <c r="K607" s="282">
        <f>IF(Notes!$B$9="Domestic",I607, IF(Notes!$B$9="Commercial",J607))*$K$412</f>
        <v>53.029400000000003</v>
      </c>
      <c r="L607" s="283">
        <f>(SUM(O607:Q607)+(K607+SUM(M607:Q607))*(INDEX($U$412:$AB$412,MATCH(Notes!$C$16,$U$3:$AB$3,0))-100%))*$L$412</f>
        <v>291.10000000000002</v>
      </c>
      <c r="M607" s="286"/>
      <c r="N607" s="286"/>
      <c r="O607" s="285">
        <v>291.10000000000002</v>
      </c>
      <c r="P607" s="285"/>
      <c r="Q607" s="285"/>
      <c r="R607" s="278"/>
      <c r="S607" s="278"/>
      <c r="T607" s="278"/>
    </row>
    <row r="608" spans="1:20" s="305" customFormat="1" hidden="1" outlineLevel="2" x14ac:dyDescent="0.25">
      <c r="A608" s="278"/>
      <c r="B608" s="279" t="str">
        <f t="shared" si="152"/>
        <v>beam/bearer510x65mmGL18</v>
      </c>
      <c r="C608" s="278" t="s">
        <v>2129</v>
      </c>
      <c r="D608" s="278" t="s">
        <v>2035</v>
      </c>
      <c r="E608" s="278" t="s">
        <v>519</v>
      </c>
      <c r="F608" s="278"/>
      <c r="G608" s="278" t="s">
        <v>15</v>
      </c>
      <c r="H608" s="310">
        <v>0.28999999999999998</v>
      </c>
      <c r="I608" s="280">
        <f t="shared" si="153"/>
        <v>23.379799999999999</v>
      </c>
      <c r="J608" s="281">
        <f t="shared" si="154"/>
        <v>26.514700000000001</v>
      </c>
      <c r="K608" s="282">
        <f>IF(Notes!$B$9="Domestic",I608, IF(Notes!$B$9="Commercial",J608))*$K$412</f>
        <v>53.029400000000003</v>
      </c>
      <c r="L608" s="283">
        <f>(SUM(O608:Q608)+(K608+SUM(M608:Q608))*(INDEX($U$412:$AB$412,MATCH(Notes!$C$16,$U$3:$AB$3,0))-100%))*$L$412</f>
        <v>277.89999999999998</v>
      </c>
      <c r="M608" s="286"/>
      <c r="N608" s="286"/>
      <c r="O608" s="285">
        <v>277.89999999999998</v>
      </c>
      <c r="P608" s="285"/>
      <c r="Q608" s="285"/>
      <c r="R608" s="278"/>
      <c r="S608" s="278"/>
      <c r="T608" s="278"/>
    </row>
    <row r="609" spans="1:28" s="305" customFormat="1" hidden="1" outlineLevel="2" x14ac:dyDescent="0.25">
      <c r="A609" s="278"/>
      <c r="B609" s="279" t="str">
        <f t="shared" si="152"/>
        <v>beam/bearer510x85mmGL18</v>
      </c>
      <c r="C609" s="278" t="s">
        <v>2129</v>
      </c>
      <c r="D609" s="278" t="s">
        <v>2036</v>
      </c>
      <c r="E609" s="278" t="s">
        <v>519</v>
      </c>
      <c r="F609" s="278"/>
      <c r="G609" s="278" t="s">
        <v>15</v>
      </c>
      <c r="H609" s="310">
        <v>0.28999999999999998</v>
      </c>
      <c r="I609" s="280">
        <f t="shared" si="153"/>
        <v>23.379799999999999</v>
      </c>
      <c r="J609" s="281">
        <f t="shared" si="154"/>
        <v>26.514700000000001</v>
      </c>
      <c r="K609" s="282">
        <f>IF(Notes!$B$9="Domestic",I609, IF(Notes!$B$9="Commercial",J609))*$K$412</f>
        <v>53.029400000000003</v>
      </c>
      <c r="L609" s="283">
        <f>(SUM(O609:Q609)+(K609+SUM(M609:Q609))*(INDEX($U$412:$AB$412,MATCH(Notes!$C$16,$U$3:$AB$3,0))-100%))*$L$412</f>
        <v>344</v>
      </c>
      <c r="M609" s="286"/>
      <c r="N609" s="286"/>
      <c r="O609" s="285">
        <v>344</v>
      </c>
      <c r="P609" s="285"/>
      <c r="Q609" s="285"/>
      <c r="R609" s="278"/>
      <c r="S609" s="278"/>
      <c r="T609" s="278"/>
    </row>
    <row r="610" spans="1:28" ht="21" hidden="1" outlineLevel="1" collapsed="1" x14ac:dyDescent="0.25">
      <c r="A610" s="299" t="s">
        <v>2077</v>
      </c>
      <c r="B610" s="299"/>
      <c r="C610" s="299"/>
      <c r="D610" s="299"/>
      <c r="E610" s="299"/>
      <c r="F610" s="299"/>
      <c r="G610" s="299"/>
      <c r="H610" s="348"/>
      <c r="I610" s="299"/>
      <c r="J610" s="299"/>
      <c r="K610" s="299"/>
      <c r="L610" s="299"/>
      <c r="M610" s="299"/>
      <c r="N610" s="299"/>
      <c r="O610" s="299"/>
      <c r="P610" s="299"/>
      <c r="Q610" s="299"/>
      <c r="R610" s="299"/>
      <c r="S610" s="299"/>
      <c r="T610" s="299"/>
      <c r="U610" s="299"/>
      <c r="V610" s="299"/>
      <c r="W610" s="299"/>
      <c r="X610" s="299"/>
      <c r="Y610" s="299"/>
      <c r="Z610" s="299"/>
      <c r="AA610" s="299"/>
      <c r="AB610" s="299"/>
    </row>
    <row r="611" spans="1:28" ht="15.75" hidden="1" outlineLevel="1" x14ac:dyDescent="0.25">
      <c r="A611" s="291"/>
      <c r="B611" s="291"/>
      <c r="C611" s="291"/>
      <c r="D611" s="291"/>
      <c r="E611" s="291"/>
      <c r="F611" s="291"/>
      <c r="G611" s="291"/>
      <c r="H611" s="325"/>
      <c r="I611" s="291"/>
      <c r="J611" s="291"/>
      <c r="K611" s="291">
        <v>2</v>
      </c>
      <c r="L611" s="291">
        <f>L$2</f>
        <v>1</v>
      </c>
      <c r="M611" s="291"/>
      <c r="N611" s="291"/>
      <c r="O611" s="303"/>
      <c r="P611" s="303"/>
      <c r="Q611" s="303"/>
      <c r="R611" s="291"/>
      <c r="S611" s="291"/>
      <c r="T611" s="291"/>
      <c r="U611" s="381">
        <f>U$2</f>
        <v>1.0309523809523808</v>
      </c>
      <c r="V611" s="381">
        <f>V$2</f>
        <v>1</v>
      </c>
      <c r="W611" s="381">
        <f t="shared" ref="W611:AB611" si="158">W$2</f>
        <v>1.0705952380952379</v>
      </c>
      <c r="X611" s="381">
        <f t="shared" si="158"/>
        <v>1.1199999999999999</v>
      </c>
      <c r="Y611" s="381">
        <f t="shared" si="158"/>
        <v>1.0571428571428572</v>
      </c>
      <c r="Z611" s="381">
        <f t="shared" si="158"/>
        <v>1.1299999999999999</v>
      </c>
      <c r="AA611" s="381">
        <f t="shared" si="158"/>
        <v>1.0776942355889725</v>
      </c>
      <c r="AB611" s="381">
        <f t="shared" si="158"/>
        <v>1.0325814536340854</v>
      </c>
    </row>
    <row r="612" spans="1:28" s="305" customFormat="1" hidden="1" outlineLevel="2" x14ac:dyDescent="0.25">
      <c r="A612" s="278"/>
      <c r="B612" s="279" t="str">
        <f>C612&amp;D612&amp;E612&amp;F612</f>
        <v>blocking</v>
      </c>
      <c r="C612" s="278" t="s">
        <v>2078</v>
      </c>
      <c r="D612" s="278"/>
      <c r="E612" s="278"/>
      <c r="F612" s="278"/>
      <c r="G612" s="278" t="s">
        <v>15</v>
      </c>
      <c r="H612" s="310">
        <v>0.03</v>
      </c>
      <c r="I612" s="280">
        <f>$I$2*H612</f>
        <v>2.4186000000000001</v>
      </c>
      <c r="J612" s="281">
        <f>$J$2*H612</f>
        <v>2.7429000000000001</v>
      </c>
      <c r="K612" s="282">
        <f>IF(Notes!$B$9="Domestic",I612, IF(Notes!$B$9="Commercial",J612))*$K$611</f>
        <v>5.4858000000000002</v>
      </c>
      <c r="L612" s="283">
        <f>(SUM(O612:Q612)+(K612+SUM(M612:Q612))*(INDEX($U$611:$AB$611,MATCH(Notes!$C$16,$U$3:$AB$3,0))-100%))*$L$611</f>
        <v>23.52</v>
      </c>
      <c r="M612" s="286"/>
      <c r="N612" s="286"/>
      <c r="O612" s="285">
        <v>23.52</v>
      </c>
      <c r="P612" s="285"/>
      <c r="Q612" s="285"/>
      <c r="R612" s="278"/>
      <c r="S612" s="278"/>
      <c r="T612" s="278"/>
    </row>
    <row r="613" spans="1:28" ht="21" hidden="1" outlineLevel="1" collapsed="1" x14ac:dyDescent="0.25">
      <c r="A613" s="299" t="s">
        <v>1877</v>
      </c>
      <c r="B613" s="299"/>
      <c r="C613" s="299"/>
      <c r="D613" s="299"/>
      <c r="E613" s="299"/>
      <c r="F613" s="299"/>
      <c r="G613" s="299"/>
      <c r="H613" s="348"/>
      <c r="I613" s="299"/>
      <c r="J613" s="299"/>
      <c r="K613" s="299"/>
      <c r="L613" s="299"/>
      <c r="M613" s="299"/>
      <c r="N613" s="299"/>
      <c r="O613" s="299"/>
      <c r="P613" s="299"/>
      <c r="Q613" s="299"/>
      <c r="R613" s="299"/>
      <c r="S613" s="299"/>
      <c r="T613" s="299"/>
      <c r="U613" s="299"/>
      <c r="V613" s="299"/>
      <c r="W613" s="299"/>
      <c r="X613" s="299"/>
      <c r="Y613" s="299"/>
      <c r="Z613" s="299"/>
      <c r="AA613" s="299"/>
      <c r="AB613" s="299"/>
    </row>
    <row r="614" spans="1:28" ht="15.75" hidden="1" outlineLevel="1" x14ac:dyDescent="0.25">
      <c r="A614" s="291"/>
      <c r="B614" s="291"/>
      <c r="C614" s="291"/>
      <c r="D614" s="291"/>
      <c r="E614" s="291"/>
      <c r="F614" s="291"/>
      <c r="G614" s="291"/>
      <c r="H614" s="325"/>
      <c r="I614" s="291"/>
      <c r="J614" s="291"/>
      <c r="K614" s="291">
        <v>2</v>
      </c>
      <c r="L614" s="291">
        <f>L$2</f>
        <v>1</v>
      </c>
      <c r="M614" s="291"/>
      <c r="N614" s="291"/>
      <c r="O614" s="303"/>
      <c r="P614" s="303"/>
      <c r="Q614" s="303"/>
      <c r="R614" s="291"/>
      <c r="S614" s="291"/>
      <c r="T614" s="291"/>
      <c r="U614" s="381">
        <f>U$2</f>
        <v>1.0309523809523808</v>
      </c>
      <c r="V614" s="381">
        <f>V$2</f>
        <v>1</v>
      </c>
      <c r="W614" s="381">
        <f t="shared" ref="W614:AB614" si="159">W$2</f>
        <v>1.0705952380952379</v>
      </c>
      <c r="X614" s="381">
        <f t="shared" si="159"/>
        <v>1.1199999999999999</v>
      </c>
      <c r="Y614" s="381">
        <f t="shared" si="159"/>
        <v>1.0571428571428572</v>
      </c>
      <c r="Z614" s="381">
        <f t="shared" si="159"/>
        <v>1.1299999999999999</v>
      </c>
      <c r="AA614" s="381">
        <f t="shared" si="159"/>
        <v>1.0776942355889725</v>
      </c>
      <c r="AB614" s="381">
        <f t="shared" si="159"/>
        <v>1.0325814536340854</v>
      </c>
    </row>
    <row r="615" spans="1:28" s="305" customFormat="1" hidden="1" outlineLevel="2" x14ac:dyDescent="0.25">
      <c r="A615" s="278"/>
      <c r="B615" s="279" t="str">
        <f>C615&amp;D615&amp;E615&amp;F615</f>
        <v>PCT200x70x35mmMGP10</v>
      </c>
      <c r="C615" s="278" t="s">
        <v>1876</v>
      </c>
      <c r="D615" s="278" t="s">
        <v>1922</v>
      </c>
      <c r="E615" s="278" t="s">
        <v>505</v>
      </c>
      <c r="F615" s="278"/>
      <c r="G615" s="278" t="s">
        <v>15</v>
      </c>
      <c r="H615" s="310">
        <v>0.03</v>
      </c>
      <c r="I615" s="280">
        <f>$I$2*H615</f>
        <v>2.4186000000000001</v>
      </c>
      <c r="J615" s="281">
        <f>$J$2*H615</f>
        <v>2.7429000000000001</v>
      </c>
      <c r="K615" s="282">
        <f>IF(Notes!$B$9="Domestic",I615, IF(Notes!$B$9="Commercial",J615))*$K$614</f>
        <v>5.4858000000000002</v>
      </c>
      <c r="L615" s="283">
        <f>(SUM(O615:Q615)+(K615+SUM(M615:Q615))*(INDEX($U$614:$AB$614,MATCH(Notes!$C$16,$U$3:$AB$3,0))-100%))*$L$614</f>
        <v>44.62</v>
      </c>
      <c r="M615" s="286"/>
      <c r="N615" s="286"/>
      <c r="O615" s="285">
        <v>44.62</v>
      </c>
      <c r="P615" s="285"/>
      <c r="Q615" s="285"/>
      <c r="R615" s="278"/>
      <c r="S615" s="278"/>
      <c r="T615" s="278"/>
    </row>
    <row r="616" spans="1:28" s="305" customFormat="1" hidden="1" outlineLevel="2" x14ac:dyDescent="0.25">
      <c r="A616" s="278"/>
      <c r="B616" s="279" t="str">
        <f t="shared" ref="B616" si="160">C616&amp;D616&amp;E616&amp;F616</f>
        <v>PCT200x90x35mmMGP10</v>
      </c>
      <c r="C616" s="278" t="s">
        <v>1876</v>
      </c>
      <c r="D616" s="278" t="s">
        <v>1923</v>
      </c>
      <c r="E616" s="278" t="s">
        <v>505</v>
      </c>
      <c r="F616" s="278"/>
      <c r="G616" s="278" t="s">
        <v>15</v>
      </c>
      <c r="H616" s="310">
        <v>0.03</v>
      </c>
      <c r="I616" s="280">
        <f t="shared" ref="I616" si="161">$I$2*H616</f>
        <v>2.4186000000000001</v>
      </c>
      <c r="J616" s="281">
        <f t="shared" ref="J616" si="162">$J$2*H616</f>
        <v>2.7429000000000001</v>
      </c>
      <c r="K616" s="282">
        <f>IF(Notes!$B$9="Domestic",I616, IF(Notes!$B$9="Commercial",J616))*$K$614</f>
        <v>5.4858000000000002</v>
      </c>
      <c r="L616" s="283">
        <f>(SUM(O616:Q616)+(K616+SUM(M616:Q616))*(INDEX($U$614:$AB$614,MATCH(Notes!$C$16,$U$3:$AB$3,0))-100%))*$L$614</f>
        <v>47.31</v>
      </c>
      <c r="M616" s="286"/>
      <c r="N616" s="286"/>
      <c r="O616" s="285">
        <v>47.31</v>
      </c>
      <c r="P616" s="285"/>
      <c r="Q616" s="285"/>
      <c r="R616" s="278"/>
      <c r="S616" s="278"/>
      <c r="T616" s="278"/>
    </row>
    <row r="617" spans="1:28" s="305" customFormat="1" hidden="1" outlineLevel="2" x14ac:dyDescent="0.25">
      <c r="A617" s="278"/>
      <c r="B617" s="279" t="str">
        <f t="shared" ref="B617:B623" si="163">C617&amp;D617&amp;E617&amp;F617</f>
        <v>PCT250x70x35mmMGP10</v>
      </c>
      <c r="C617" s="278" t="s">
        <v>1876</v>
      </c>
      <c r="D617" s="278" t="s">
        <v>1924</v>
      </c>
      <c r="E617" s="278" t="s">
        <v>505</v>
      </c>
      <c r="F617" s="278"/>
      <c r="G617" s="278" t="s">
        <v>15</v>
      </c>
      <c r="H617" s="310">
        <v>0.03</v>
      </c>
      <c r="I617" s="280">
        <f t="shared" ref="I617:I621" si="164">$I$2*H617</f>
        <v>2.4186000000000001</v>
      </c>
      <c r="J617" s="281">
        <f t="shared" ref="J617:J623" si="165">$J$2*H617</f>
        <v>2.7429000000000001</v>
      </c>
      <c r="K617" s="282">
        <f>IF(Notes!$B$9="Domestic",I617, IF(Notes!$B$9="Commercial",J617))*$K$614</f>
        <v>5.4858000000000002</v>
      </c>
      <c r="L617" s="283">
        <f>(SUM(O617:Q617)+(K617+SUM(M617:Q617))*(INDEX($U$614:$AB$614,MATCH(Notes!$C$16,$U$3:$AB$3,0))-100%))*$L$614</f>
        <v>48.7</v>
      </c>
      <c r="M617" s="286"/>
      <c r="N617" s="286"/>
      <c r="O617" s="285">
        <v>48.7</v>
      </c>
      <c r="P617" s="285"/>
      <c r="Q617" s="285"/>
      <c r="R617" s="278"/>
      <c r="S617" s="278"/>
      <c r="T617" s="278"/>
    </row>
    <row r="618" spans="1:28" s="305" customFormat="1" hidden="1" outlineLevel="2" x14ac:dyDescent="0.25">
      <c r="A618" s="278"/>
      <c r="B618" s="279" t="str">
        <f t="shared" ref="B618:B620" si="166">C618&amp;D618&amp;E618&amp;F618</f>
        <v>PCT250x70x45mmMGP10</v>
      </c>
      <c r="C618" s="278" t="s">
        <v>1876</v>
      </c>
      <c r="D618" s="278" t="s">
        <v>1925</v>
      </c>
      <c r="E618" s="278" t="s">
        <v>505</v>
      </c>
      <c r="F618" s="278"/>
      <c r="G618" s="278" t="s">
        <v>15</v>
      </c>
      <c r="H618" s="310">
        <v>0.03</v>
      </c>
      <c r="I618" s="280">
        <f t="shared" ref="I618:I620" si="167">$I$2*H618</f>
        <v>2.4186000000000001</v>
      </c>
      <c r="J618" s="281">
        <f t="shared" ref="J618:J620" si="168">$J$2*H618</f>
        <v>2.7429000000000001</v>
      </c>
      <c r="K618" s="282">
        <f>IF(Notes!$B$9="Domestic",I618, IF(Notes!$B$9="Commercial",J618))*$K$614</f>
        <v>5.4858000000000002</v>
      </c>
      <c r="L618" s="283">
        <f>(SUM(O618:Q618)+(K618+SUM(M618:Q618))*(INDEX($U$614:$AB$614,MATCH(Notes!$C$16,$U$3:$AB$3,0))-100%))*$L$614</f>
        <v>67.03</v>
      </c>
      <c r="M618" s="286"/>
      <c r="N618" s="286"/>
      <c r="O618" s="285">
        <v>67.03</v>
      </c>
      <c r="P618" s="285"/>
      <c r="Q618" s="285"/>
      <c r="R618" s="278"/>
      <c r="S618" s="278"/>
      <c r="T618" s="278"/>
    </row>
    <row r="619" spans="1:28" s="305" customFormat="1" hidden="1" outlineLevel="2" x14ac:dyDescent="0.25">
      <c r="A619" s="278"/>
      <c r="B619" s="279" t="str">
        <f t="shared" si="166"/>
        <v>PCT250x90x35mmMGP10</v>
      </c>
      <c r="C619" s="278" t="s">
        <v>1876</v>
      </c>
      <c r="D619" s="278" t="s">
        <v>1926</v>
      </c>
      <c r="E619" s="278" t="s">
        <v>505</v>
      </c>
      <c r="F619" s="278"/>
      <c r="G619" s="278" t="s">
        <v>15</v>
      </c>
      <c r="H619" s="310">
        <v>0.03</v>
      </c>
      <c r="I619" s="280">
        <f t="shared" si="167"/>
        <v>2.4186000000000001</v>
      </c>
      <c r="J619" s="281">
        <f t="shared" si="168"/>
        <v>2.7429000000000001</v>
      </c>
      <c r="K619" s="282">
        <f>IF(Notes!$B$9="Domestic",I619, IF(Notes!$B$9="Commercial",J619))*$K$614</f>
        <v>5.4858000000000002</v>
      </c>
      <c r="L619" s="283">
        <f>(SUM(O619:Q619)+(K619+SUM(M619:Q619))*(INDEX($U$614:$AB$614,MATCH(Notes!$C$16,$U$3:$AB$3,0))-100%))*$L$614</f>
        <v>53.16</v>
      </c>
      <c r="M619" s="286"/>
      <c r="N619" s="286"/>
      <c r="O619" s="285">
        <v>53.16</v>
      </c>
      <c r="P619" s="285"/>
      <c r="Q619" s="285"/>
      <c r="R619" s="278"/>
      <c r="S619" s="278"/>
      <c r="T619" s="278"/>
    </row>
    <row r="620" spans="1:28" s="305" customFormat="1" hidden="1" outlineLevel="2" x14ac:dyDescent="0.25">
      <c r="A620" s="278"/>
      <c r="B620" s="279" t="str">
        <f t="shared" si="166"/>
        <v>PCT250x90x45mmMGP10</v>
      </c>
      <c r="C620" s="278" t="s">
        <v>1876</v>
      </c>
      <c r="D620" s="278" t="s">
        <v>1927</v>
      </c>
      <c r="E620" s="278" t="s">
        <v>505</v>
      </c>
      <c r="F620" s="278"/>
      <c r="G620" s="278" t="s">
        <v>15</v>
      </c>
      <c r="H620" s="310">
        <v>0.03</v>
      </c>
      <c r="I620" s="280">
        <f t="shared" si="167"/>
        <v>2.4186000000000001</v>
      </c>
      <c r="J620" s="281">
        <f t="shared" si="168"/>
        <v>2.7429000000000001</v>
      </c>
      <c r="K620" s="282">
        <f>IF(Notes!$B$9="Domestic",I620, IF(Notes!$B$9="Commercial",J620))*$K$614</f>
        <v>5.4858000000000002</v>
      </c>
      <c r="L620" s="283">
        <f>(SUM(O620:Q620)+(K620+SUM(M620:Q620))*(INDEX($U$614:$AB$614,MATCH(Notes!$C$16,$U$3:$AB$3,0))-100%))*$L$614</f>
        <v>70.37</v>
      </c>
      <c r="M620" s="286"/>
      <c r="N620" s="286"/>
      <c r="O620" s="285">
        <v>70.37</v>
      </c>
      <c r="P620" s="285"/>
      <c r="Q620" s="285"/>
      <c r="R620" s="278"/>
      <c r="S620" s="278"/>
      <c r="T620" s="278"/>
    </row>
    <row r="621" spans="1:28" s="305" customFormat="1" hidden="1" outlineLevel="2" x14ac:dyDescent="0.25">
      <c r="A621" s="278"/>
      <c r="B621" s="279" t="str">
        <f t="shared" si="163"/>
        <v>PCT300x70x35mmMGP10</v>
      </c>
      <c r="C621" s="278" t="s">
        <v>1876</v>
      </c>
      <c r="D621" s="278" t="s">
        <v>1928</v>
      </c>
      <c r="E621" s="278" t="s">
        <v>505</v>
      </c>
      <c r="F621" s="278"/>
      <c r="G621" s="278" t="s">
        <v>15</v>
      </c>
      <c r="H621" s="310">
        <v>0.03</v>
      </c>
      <c r="I621" s="280">
        <f t="shared" si="164"/>
        <v>2.4186000000000001</v>
      </c>
      <c r="J621" s="281">
        <f t="shared" si="165"/>
        <v>2.7429000000000001</v>
      </c>
      <c r="K621" s="282">
        <f>IF(Notes!$B$9="Domestic",I621, IF(Notes!$B$9="Commercial",J621))*$K$614</f>
        <v>5.4858000000000002</v>
      </c>
      <c r="L621" s="283">
        <f>(SUM(O621:Q621)+(K621+SUM(M621:Q621))*(INDEX($U$614:$AB$614,MATCH(Notes!$C$16,$U$3:$AB$3,0))-100%))*$L$614</f>
        <v>62.58</v>
      </c>
      <c r="M621" s="286"/>
      <c r="N621" s="286"/>
      <c r="O621" s="285">
        <v>62.58</v>
      </c>
      <c r="P621" s="285"/>
      <c r="Q621" s="285"/>
      <c r="R621" s="278"/>
      <c r="S621" s="278"/>
      <c r="T621" s="278"/>
    </row>
    <row r="622" spans="1:28" s="305" customFormat="1" hidden="1" outlineLevel="2" x14ac:dyDescent="0.25">
      <c r="A622" s="278"/>
      <c r="B622" s="279" t="str">
        <f t="shared" ref="B622" si="169">C622&amp;D622&amp;E622&amp;F622</f>
        <v>PCT300x70x45mmMGP10</v>
      </c>
      <c r="C622" s="278" t="s">
        <v>1876</v>
      </c>
      <c r="D622" s="278" t="s">
        <v>1929</v>
      </c>
      <c r="E622" s="278" t="s">
        <v>505</v>
      </c>
      <c r="F622" s="278"/>
      <c r="G622" s="278" t="s">
        <v>15</v>
      </c>
      <c r="H622" s="310">
        <v>0.03</v>
      </c>
      <c r="I622" s="280">
        <f t="shared" ref="I622" si="170">$I$2*H622</f>
        <v>2.4186000000000001</v>
      </c>
      <c r="J622" s="281">
        <f t="shared" ref="J622" si="171">$J$2*H622</f>
        <v>2.7429000000000001</v>
      </c>
      <c r="K622" s="282">
        <f>IF(Notes!$B$9="Domestic",I622, IF(Notes!$B$9="Commercial",J622))*$K$614</f>
        <v>5.4858000000000002</v>
      </c>
      <c r="L622" s="283">
        <f>(SUM(O622:Q622)+(K622+SUM(M622:Q622))*(INDEX($U$614:$AB$614,MATCH(Notes!$C$16,$U$3:$AB$3,0))-100%))*$L$614</f>
        <v>81.353999999999999</v>
      </c>
      <c r="M622" s="286"/>
      <c r="N622" s="286"/>
      <c r="O622" s="311">
        <f>O621*1.3</f>
        <v>81.353999999999999</v>
      </c>
      <c r="P622" s="285"/>
      <c r="Q622" s="285"/>
      <c r="R622" s="278"/>
      <c r="S622" s="278"/>
      <c r="T622" s="278"/>
    </row>
    <row r="623" spans="1:28" s="305" customFormat="1" hidden="1" outlineLevel="2" x14ac:dyDescent="0.25">
      <c r="A623" s="278"/>
      <c r="B623" s="279" t="str">
        <f t="shared" si="163"/>
        <v>PCT300x90x35mmMGP10</v>
      </c>
      <c r="C623" s="278" t="s">
        <v>1876</v>
      </c>
      <c r="D623" s="278" t="s">
        <v>1930</v>
      </c>
      <c r="E623" s="278" t="s">
        <v>505</v>
      </c>
      <c r="F623" s="278"/>
      <c r="G623" s="278" t="s">
        <v>15</v>
      </c>
      <c r="H623" s="310">
        <v>0.03</v>
      </c>
      <c r="I623" s="280">
        <f t="shared" ref="I623" si="172">$I$2*H623</f>
        <v>2.4186000000000001</v>
      </c>
      <c r="J623" s="281">
        <f t="shared" si="165"/>
        <v>2.7429000000000001</v>
      </c>
      <c r="K623" s="282">
        <f>IF(Notes!$B$9="Domestic",I623, IF(Notes!$B$9="Commercial",J623))*$K$614</f>
        <v>5.4858000000000002</v>
      </c>
      <c r="L623" s="283">
        <f>(SUM(O623:Q623)+(K623+SUM(M623:Q623))*(INDEX($U$614:$AB$614,MATCH(Notes!$C$16,$U$3:$AB$3,0))-100%))*$L$614</f>
        <v>67.78</v>
      </c>
      <c r="M623" s="286"/>
      <c r="N623" s="286"/>
      <c r="O623" s="285">
        <v>67.78</v>
      </c>
      <c r="P623" s="285"/>
      <c r="Q623" s="285"/>
      <c r="R623" s="278"/>
      <c r="S623" s="278"/>
      <c r="T623" s="278"/>
    </row>
    <row r="624" spans="1:28" s="305" customFormat="1" hidden="1" outlineLevel="2" x14ac:dyDescent="0.25">
      <c r="A624" s="278"/>
      <c r="B624" s="279" t="str">
        <f t="shared" ref="B624:B650" si="173">C624&amp;D624&amp;E624&amp;F624</f>
        <v>PCT300x90x45mmMGP10</v>
      </c>
      <c r="C624" s="278" t="s">
        <v>1876</v>
      </c>
      <c r="D624" s="278" t="s">
        <v>1931</v>
      </c>
      <c r="E624" s="278" t="s">
        <v>505</v>
      </c>
      <c r="F624" s="278"/>
      <c r="G624" s="278" t="s">
        <v>15</v>
      </c>
      <c r="H624" s="310">
        <v>0.03</v>
      </c>
      <c r="I624" s="280">
        <f t="shared" ref="I624:I650" si="174">$I$2*H624</f>
        <v>2.4186000000000001</v>
      </c>
      <c r="J624" s="281">
        <f t="shared" ref="J624:J650" si="175">$J$2*H624</f>
        <v>2.7429000000000001</v>
      </c>
      <c r="K624" s="282">
        <f>IF(Notes!$B$9="Domestic",I624, IF(Notes!$B$9="Commercial",J624))*$K$614</f>
        <v>5.4858000000000002</v>
      </c>
      <c r="L624" s="283">
        <f>(SUM(O624:Q624)+(K624+SUM(M624:Q624))*(INDEX($U$614:$AB$614,MATCH(Notes!$C$16,$U$3:$AB$3,0))-100%))*$L$614</f>
        <v>88.114000000000004</v>
      </c>
      <c r="M624" s="286"/>
      <c r="N624" s="286"/>
      <c r="O624" s="311">
        <f>O623*1.3</f>
        <v>88.114000000000004</v>
      </c>
      <c r="P624" s="285"/>
      <c r="Q624" s="285"/>
      <c r="R624" s="278"/>
      <c r="S624" s="278"/>
      <c r="T624" s="278"/>
    </row>
    <row r="625" spans="1:20" s="305" customFormat="1" hidden="1" outlineLevel="2" x14ac:dyDescent="0.25">
      <c r="A625" s="278"/>
      <c r="B625" s="279" t="str">
        <f t="shared" si="173"/>
        <v>PCT400x70x45mmMGP10</v>
      </c>
      <c r="C625" s="278" t="s">
        <v>1876</v>
      </c>
      <c r="D625" s="278" t="s">
        <v>1932</v>
      </c>
      <c r="E625" s="278" t="s">
        <v>505</v>
      </c>
      <c r="F625" s="278"/>
      <c r="G625" s="278" t="s">
        <v>15</v>
      </c>
      <c r="H625" s="310">
        <v>0.03</v>
      </c>
      <c r="I625" s="280">
        <f>$I$2*H625</f>
        <v>2.4186000000000001</v>
      </c>
      <c r="J625" s="281">
        <f t="shared" si="175"/>
        <v>2.7429000000000001</v>
      </c>
      <c r="K625" s="282">
        <f>IF(Notes!$B$9="Domestic",I625, IF(Notes!$B$9="Commercial",J625))*$K$614</f>
        <v>5.4858000000000002</v>
      </c>
      <c r="L625" s="283">
        <f>(SUM(O625:Q625)+(K625+SUM(M625:Q625))*(INDEX($U$614:$AB$614,MATCH(Notes!$C$16,$U$3:$AB$3,0))-100%))*$L$614</f>
        <v>81.81</v>
      </c>
      <c r="M625" s="286"/>
      <c r="N625" s="286"/>
      <c r="O625" s="285">
        <v>81.81</v>
      </c>
      <c r="P625" s="285"/>
      <c r="Q625" s="285"/>
      <c r="R625" s="278"/>
      <c r="S625" s="278"/>
      <c r="T625" s="278"/>
    </row>
    <row r="626" spans="1:20" s="305" customFormat="1" hidden="1" outlineLevel="2" x14ac:dyDescent="0.25">
      <c r="A626" s="278"/>
      <c r="B626" s="279" t="str">
        <f t="shared" ref="B626" si="176">C626&amp;D626&amp;E626&amp;F626</f>
        <v>PCT400x90x45mmMGP10</v>
      </c>
      <c r="C626" s="278" t="s">
        <v>1876</v>
      </c>
      <c r="D626" s="278" t="s">
        <v>1933</v>
      </c>
      <c r="E626" s="278" t="s">
        <v>505</v>
      </c>
      <c r="F626" s="278"/>
      <c r="G626" s="278" t="s">
        <v>15</v>
      </c>
      <c r="H626" s="310">
        <v>0.03</v>
      </c>
      <c r="I626" s="280">
        <f>$I$2*H626</f>
        <v>2.4186000000000001</v>
      </c>
      <c r="J626" s="281">
        <f t="shared" ref="J626" si="177">$J$2*H626</f>
        <v>2.7429000000000001</v>
      </c>
      <c r="K626" s="282">
        <f>IF(Notes!$B$9="Domestic",I626, IF(Notes!$B$9="Commercial",J626))*$K$614</f>
        <v>5.4858000000000002</v>
      </c>
      <c r="L626" s="283">
        <f>(SUM(O626:Q626)+(K626+SUM(M626:Q626))*(INDEX($U$614:$AB$614,MATCH(Notes!$C$16,$U$3:$AB$3,0))-100%))*$L$614</f>
        <v>85.900500000000008</v>
      </c>
      <c r="M626" s="286"/>
      <c r="N626" s="286"/>
      <c r="O626" s="311">
        <f>O625*1.05</f>
        <v>85.900500000000008</v>
      </c>
      <c r="P626" s="285"/>
      <c r="Q626" s="285"/>
      <c r="R626" s="278"/>
      <c r="S626" s="278"/>
      <c r="T626" s="278"/>
    </row>
    <row r="627" spans="1:20" s="305" customFormat="1" hidden="1" outlineLevel="2" x14ac:dyDescent="0.25">
      <c r="A627" s="278"/>
      <c r="B627" s="279" t="str">
        <f t="shared" si="173"/>
        <v>PCT200x70x35mmMGP12</v>
      </c>
      <c r="C627" s="278" t="s">
        <v>1876</v>
      </c>
      <c r="D627" s="278" t="s">
        <v>1922</v>
      </c>
      <c r="E627" s="278" t="s">
        <v>506</v>
      </c>
      <c r="F627" s="278"/>
      <c r="G627" s="278" t="s">
        <v>15</v>
      </c>
      <c r="H627" s="310">
        <v>0.03</v>
      </c>
      <c r="I627" s="280">
        <f t="shared" si="174"/>
        <v>2.4186000000000001</v>
      </c>
      <c r="J627" s="281">
        <f t="shared" si="175"/>
        <v>2.7429000000000001</v>
      </c>
      <c r="K627" s="282">
        <f>IF(Notes!$B$9="Domestic",I627, IF(Notes!$B$9="Commercial",J627))*$K$614</f>
        <v>5.4858000000000002</v>
      </c>
      <c r="L627" s="283">
        <f>(SUM(O627:Q627)+(K627+SUM(M627:Q627))*(INDEX($U$614:$AB$614,MATCH(Notes!$C$16,$U$3:$AB$3,0))-100%))*$L$614</f>
        <v>46.850999999999999</v>
      </c>
      <c r="M627" s="286"/>
      <c r="N627" s="286"/>
      <c r="O627" s="311">
        <f>O615*1.05</f>
        <v>46.850999999999999</v>
      </c>
      <c r="P627" s="285"/>
      <c r="Q627" s="285"/>
      <c r="R627" s="278"/>
      <c r="S627" s="278"/>
      <c r="T627" s="278"/>
    </row>
    <row r="628" spans="1:20" s="305" customFormat="1" hidden="1" outlineLevel="2" x14ac:dyDescent="0.25">
      <c r="A628" s="278"/>
      <c r="B628" s="279" t="str">
        <f t="shared" si="173"/>
        <v>PCT200x90x35mmMGP12</v>
      </c>
      <c r="C628" s="278" t="s">
        <v>1876</v>
      </c>
      <c r="D628" s="278" t="s">
        <v>1923</v>
      </c>
      <c r="E628" s="278" t="s">
        <v>506</v>
      </c>
      <c r="F628" s="278"/>
      <c r="G628" s="278" t="s">
        <v>15</v>
      </c>
      <c r="H628" s="310">
        <v>0.03</v>
      </c>
      <c r="I628" s="280">
        <f t="shared" si="174"/>
        <v>2.4186000000000001</v>
      </c>
      <c r="J628" s="281">
        <f t="shared" si="175"/>
        <v>2.7429000000000001</v>
      </c>
      <c r="K628" s="282">
        <f>IF(Notes!$B$9="Domestic",I628, IF(Notes!$B$9="Commercial",J628))*$K$614</f>
        <v>5.4858000000000002</v>
      </c>
      <c r="L628" s="283">
        <f>(SUM(O628:Q628)+(K628+SUM(M628:Q628))*(INDEX($U$614:$AB$614,MATCH(Notes!$C$16,$U$3:$AB$3,0))-100%))*$L$614</f>
        <v>49.675500000000007</v>
      </c>
      <c r="M628" s="286"/>
      <c r="N628" s="286"/>
      <c r="O628" s="311">
        <f t="shared" ref="O628:O638" si="178">O616*1.05</f>
        <v>49.675500000000007</v>
      </c>
      <c r="P628" s="285"/>
      <c r="Q628" s="285"/>
      <c r="R628" s="278"/>
      <c r="S628" s="278"/>
      <c r="T628" s="278"/>
    </row>
    <row r="629" spans="1:20" s="305" customFormat="1" hidden="1" outlineLevel="2" x14ac:dyDescent="0.25">
      <c r="A629" s="278"/>
      <c r="B629" s="279" t="str">
        <f t="shared" ref="B629:B630" si="179">C629&amp;D629&amp;E629&amp;F629</f>
        <v>PCT250x70x35mmMGP12</v>
      </c>
      <c r="C629" s="278" t="s">
        <v>1876</v>
      </c>
      <c r="D629" s="278" t="s">
        <v>1924</v>
      </c>
      <c r="E629" s="278" t="s">
        <v>506</v>
      </c>
      <c r="F629" s="278"/>
      <c r="G629" s="278" t="s">
        <v>15</v>
      </c>
      <c r="H629" s="310">
        <v>0.03</v>
      </c>
      <c r="I629" s="280">
        <f t="shared" ref="I629:I630" si="180">$I$2*H629</f>
        <v>2.4186000000000001</v>
      </c>
      <c r="J629" s="281">
        <f t="shared" ref="J629:J630" si="181">$J$2*H629</f>
        <v>2.7429000000000001</v>
      </c>
      <c r="K629" s="282">
        <f>IF(Notes!$B$9="Domestic",I629, IF(Notes!$B$9="Commercial",J629))*$K$614</f>
        <v>5.4858000000000002</v>
      </c>
      <c r="L629" s="283">
        <f>(SUM(O629:Q629)+(K629+SUM(M629:Q629))*(INDEX($U$614:$AB$614,MATCH(Notes!$C$16,$U$3:$AB$3,0))-100%))*$L$614</f>
        <v>51.135000000000005</v>
      </c>
      <c r="M629" s="286"/>
      <c r="N629" s="286"/>
      <c r="O629" s="311">
        <f t="shared" si="178"/>
        <v>51.135000000000005</v>
      </c>
      <c r="P629" s="285"/>
      <c r="Q629" s="285"/>
      <c r="R629" s="278"/>
      <c r="S629" s="278"/>
      <c r="T629" s="278"/>
    </row>
    <row r="630" spans="1:20" s="305" customFormat="1" hidden="1" outlineLevel="2" x14ac:dyDescent="0.25">
      <c r="A630" s="278"/>
      <c r="B630" s="279" t="str">
        <f t="shared" si="179"/>
        <v>PCT250x70x45mmMGP12</v>
      </c>
      <c r="C630" s="278" t="s">
        <v>1876</v>
      </c>
      <c r="D630" s="278" t="s">
        <v>1925</v>
      </c>
      <c r="E630" s="278" t="s">
        <v>506</v>
      </c>
      <c r="F630" s="278"/>
      <c r="G630" s="278" t="s">
        <v>15</v>
      </c>
      <c r="H630" s="310">
        <v>0.03</v>
      </c>
      <c r="I630" s="280">
        <f t="shared" si="180"/>
        <v>2.4186000000000001</v>
      </c>
      <c r="J630" s="281">
        <f t="shared" si="181"/>
        <v>2.7429000000000001</v>
      </c>
      <c r="K630" s="282">
        <f>IF(Notes!$B$9="Domestic",I630, IF(Notes!$B$9="Commercial",J630))*$K$614</f>
        <v>5.4858000000000002</v>
      </c>
      <c r="L630" s="283">
        <f>(SUM(O630:Q630)+(K630+SUM(M630:Q630))*(INDEX($U$614:$AB$614,MATCH(Notes!$C$16,$U$3:$AB$3,0))-100%))*$L$614</f>
        <v>70.381500000000003</v>
      </c>
      <c r="M630" s="286"/>
      <c r="N630" s="286"/>
      <c r="O630" s="311">
        <f t="shared" si="178"/>
        <v>70.381500000000003</v>
      </c>
      <c r="P630" s="285"/>
      <c r="Q630" s="285"/>
      <c r="R630" s="278"/>
      <c r="S630" s="278"/>
      <c r="T630" s="278"/>
    </row>
    <row r="631" spans="1:20" s="305" customFormat="1" hidden="1" outlineLevel="2" x14ac:dyDescent="0.25">
      <c r="A631" s="278"/>
      <c r="B631" s="279" t="str">
        <f t="shared" si="173"/>
        <v>PCT250x90x35mmMGP12</v>
      </c>
      <c r="C631" s="278" t="s">
        <v>1876</v>
      </c>
      <c r="D631" s="278" t="s">
        <v>1926</v>
      </c>
      <c r="E631" s="278" t="s">
        <v>506</v>
      </c>
      <c r="F631" s="278"/>
      <c r="G631" s="278" t="s">
        <v>15</v>
      </c>
      <c r="H631" s="310">
        <v>0.03</v>
      </c>
      <c r="I631" s="280">
        <f t="shared" si="174"/>
        <v>2.4186000000000001</v>
      </c>
      <c r="J631" s="281">
        <f t="shared" si="175"/>
        <v>2.7429000000000001</v>
      </c>
      <c r="K631" s="282">
        <f>IF(Notes!$B$9="Domestic",I631, IF(Notes!$B$9="Commercial",J631))*$K$614</f>
        <v>5.4858000000000002</v>
      </c>
      <c r="L631" s="283">
        <f>(SUM(O631:Q631)+(K631+SUM(M631:Q631))*(INDEX($U$614:$AB$614,MATCH(Notes!$C$16,$U$3:$AB$3,0))-100%))*$L$614</f>
        <v>55.817999999999998</v>
      </c>
      <c r="M631" s="286"/>
      <c r="N631" s="286"/>
      <c r="O631" s="311">
        <f t="shared" si="178"/>
        <v>55.817999999999998</v>
      </c>
      <c r="P631" s="285"/>
      <c r="Q631" s="285"/>
      <c r="R631" s="278"/>
      <c r="S631" s="278"/>
      <c r="T631" s="278"/>
    </row>
    <row r="632" spans="1:20" s="305" customFormat="1" hidden="1" outlineLevel="2" x14ac:dyDescent="0.25">
      <c r="A632" s="278"/>
      <c r="B632" s="279" t="str">
        <f t="shared" si="173"/>
        <v>PCT250x90x45mmMGP12</v>
      </c>
      <c r="C632" s="278" t="s">
        <v>1876</v>
      </c>
      <c r="D632" s="278" t="s">
        <v>1927</v>
      </c>
      <c r="E632" s="278" t="s">
        <v>506</v>
      </c>
      <c r="F632" s="278"/>
      <c r="G632" s="278" t="s">
        <v>15</v>
      </c>
      <c r="H632" s="310">
        <v>0.03</v>
      </c>
      <c r="I632" s="280">
        <f t="shared" si="174"/>
        <v>2.4186000000000001</v>
      </c>
      <c r="J632" s="281">
        <f t="shared" si="175"/>
        <v>2.7429000000000001</v>
      </c>
      <c r="K632" s="282">
        <f>IF(Notes!$B$9="Domestic",I632, IF(Notes!$B$9="Commercial",J632))*$K$614</f>
        <v>5.4858000000000002</v>
      </c>
      <c r="L632" s="283">
        <f>(SUM(O632:Q632)+(K632+SUM(M632:Q632))*(INDEX($U$614:$AB$614,MATCH(Notes!$C$16,$U$3:$AB$3,0))-100%))*$L$614</f>
        <v>73.888500000000008</v>
      </c>
      <c r="M632" s="286"/>
      <c r="N632" s="286"/>
      <c r="O632" s="311">
        <f t="shared" si="178"/>
        <v>73.888500000000008</v>
      </c>
      <c r="P632" s="285"/>
      <c r="Q632" s="285"/>
      <c r="R632" s="278"/>
      <c r="S632" s="278"/>
      <c r="T632" s="278"/>
    </row>
    <row r="633" spans="1:20" s="305" customFormat="1" hidden="1" outlineLevel="2" x14ac:dyDescent="0.25">
      <c r="A633" s="278"/>
      <c r="B633" s="279" t="str">
        <f t="shared" si="173"/>
        <v>PCT300x70x35mmMGP12</v>
      </c>
      <c r="C633" s="278" t="s">
        <v>1876</v>
      </c>
      <c r="D633" s="278" t="s">
        <v>1928</v>
      </c>
      <c r="E633" s="278" t="s">
        <v>506</v>
      </c>
      <c r="F633" s="278"/>
      <c r="G633" s="278" t="s">
        <v>15</v>
      </c>
      <c r="H633" s="310">
        <v>0.03</v>
      </c>
      <c r="I633" s="280">
        <f t="shared" si="174"/>
        <v>2.4186000000000001</v>
      </c>
      <c r="J633" s="281">
        <f t="shared" si="175"/>
        <v>2.7429000000000001</v>
      </c>
      <c r="K633" s="282">
        <f>IF(Notes!$B$9="Domestic",I633, IF(Notes!$B$9="Commercial",J633))*$K$614</f>
        <v>5.4858000000000002</v>
      </c>
      <c r="L633" s="283">
        <f>(SUM(O633:Q633)+(K633+SUM(M633:Q633))*(INDEX($U$614:$AB$614,MATCH(Notes!$C$16,$U$3:$AB$3,0))-100%))*$L$614</f>
        <v>65.709000000000003</v>
      </c>
      <c r="M633" s="286"/>
      <c r="N633" s="286"/>
      <c r="O633" s="311">
        <f t="shared" si="178"/>
        <v>65.709000000000003</v>
      </c>
      <c r="P633" s="285"/>
      <c r="Q633" s="285"/>
      <c r="R633" s="278"/>
      <c r="S633" s="278"/>
      <c r="T633" s="278"/>
    </row>
    <row r="634" spans="1:20" s="305" customFormat="1" hidden="1" outlineLevel="2" x14ac:dyDescent="0.25">
      <c r="A634" s="278"/>
      <c r="B634" s="279" t="str">
        <f t="shared" si="173"/>
        <v>PCT300x70x45mmMGP12</v>
      </c>
      <c r="C634" s="278" t="s">
        <v>1876</v>
      </c>
      <c r="D634" s="278" t="s">
        <v>1929</v>
      </c>
      <c r="E634" s="278" t="s">
        <v>506</v>
      </c>
      <c r="F634" s="278"/>
      <c r="G634" s="278" t="s">
        <v>15</v>
      </c>
      <c r="H634" s="310">
        <v>0.03</v>
      </c>
      <c r="I634" s="280">
        <f t="shared" si="174"/>
        <v>2.4186000000000001</v>
      </c>
      <c r="J634" s="281">
        <f t="shared" si="175"/>
        <v>2.7429000000000001</v>
      </c>
      <c r="K634" s="282">
        <f>IF(Notes!$B$9="Domestic",I634, IF(Notes!$B$9="Commercial",J634))*$K$614</f>
        <v>5.4858000000000002</v>
      </c>
      <c r="L634" s="283">
        <f>(SUM(O634:Q634)+(K634+SUM(M634:Q634))*(INDEX($U$614:$AB$614,MATCH(Notes!$C$16,$U$3:$AB$3,0))-100%))*$L$614</f>
        <v>85.421700000000001</v>
      </c>
      <c r="M634" s="286"/>
      <c r="N634" s="286"/>
      <c r="O634" s="311">
        <f t="shared" si="178"/>
        <v>85.421700000000001</v>
      </c>
      <c r="P634" s="285"/>
      <c r="Q634" s="285"/>
      <c r="R634" s="278"/>
      <c r="S634" s="278"/>
      <c r="T634" s="278"/>
    </row>
    <row r="635" spans="1:20" s="305" customFormat="1" hidden="1" outlineLevel="2" x14ac:dyDescent="0.25">
      <c r="A635" s="278"/>
      <c r="B635" s="279" t="str">
        <f t="shared" si="173"/>
        <v>PCT300x90x35mmMGP12</v>
      </c>
      <c r="C635" s="278" t="s">
        <v>1876</v>
      </c>
      <c r="D635" s="278" t="s">
        <v>1930</v>
      </c>
      <c r="E635" s="278" t="s">
        <v>506</v>
      </c>
      <c r="F635" s="278"/>
      <c r="G635" s="278" t="s">
        <v>15</v>
      </c>
      <c r="H635" s="310">
        <v>0.03</v>
      </c>
      <c r="I635" s="280">
        <f t="shared" si="174"/>
        <v>2.4186000000000001</v>
      </c>
      <c r="J635" s="281">
        <f t="shared" si="175"/>
        <v>2.7429000000000001</v>
      </c>
      <c r="K635" s="282">
        <f>IF(Notes!$B$9="Domestic",I635, IF(Notes!$B$9="Commercial",J635))*$K$614</f>
        <v>5.4858000000000002</v>
      </c>
      <c r="L635" s="283">
        <f>(SUM(O635:Q635)+(K635+SUM(M635:Q635))*(INDEX($U$614:$AB$614,MATCH(Notes!$C$16,$U$3:$AB$3,0))-100%))*$L$614</f>
        <v>71.169000000000011</v>
      </c>
      <c r="M635" s="286"/>
      <c r="N635" s="286"/>
      <c r="O635" s="311">
        <f t="shared" si="178"/>
        <v>71.169000000000011</v>
      </c>
      <c r="P635" s="285"/>
      <c r="Q635" s="285"/>
      <c r="R635" s="278"/>
      <c r="S635" s="278"/>
      <c r="T635" s="278"/>
    </row>
    <row r="636" spans="1:20" s="305" customFormat="1" hidden="1" outlineLevel="2" x14ac:dyDescent="0.25">
      <c r="A636" s="278"/>
      <c r="B636" s="279" t="str">
        <f t="shared" si="173"/>
        <v>PCT300x90x45mmMGP12</v>
      </c>
      <c r="C636" s="278" t="s">
        <v>1876</v>
      </c>
      <c r="D636" s="278" t="s">
        <v>1931</v>
      </c>
      <c r="E636" s="278" t="s">
        <v>506</v>
      </c>
      <c r="F636" s="278"/>
      <c r="G636" s="278" t="s">
        <v>15</v>
      </c>
      <c r="H636" s="310">
        <v>0.03</v>
      </c>
      <c r="I636" s="280">
        <f t="shared" si="174"/>
        <v>2.4186000000000001</v>
      </c>
      <c r="J636" s="281">
        <f t="shared" si="175"/>
        <v>2.7429000000000001</v>
      </c>
      <c r="K636" s="282">
        <f>IF(Notes!$B$9="Domestic",I636, IF(Notes!$B$9="Commercial",J636))*$K$614</f>
        <v>5.4858000000000002</v>
      </c>
      <c r="L636" s="283">
        <f>(SUM(O636:Q636)+(K636+SUM(M636:Q636))*(INDEX($U$614:$AB$614,MATCH(Notes!$C$16,$U$3:$AB$3,0))-100%))*$L$614</f>
        <v>92.519700000000014</v>
      </c>
      <c r="M636" s="286"/>
      <c r="N636" s="286"/>
      <c r="O636" s="311">
        <f t="shared" si="178"/>
        <v>92.519700000000014</v>
      </c>
      <c r="P636" s="285"/>
      <c r="Q636" s="285"/>
      <c r="R636" s="278"/>
      <c r="S636" s="278"/>
      <c r="T636" s="278"/>
    </row>
    <row r="637" spans="1:20" s="305" customFormat="1" hidden="1" outlineLevel="2" x14ac:dyDescent="0.25">
      <c r="A637" s="278"/>
      <c r="B637" s="279" t="str">
        <f t="shared" si="173"/>
        <v>PCT400x70x45mmMGP12</v>
      </c>
      <c r="C637" s="278" t="s">
        <v>1876</v>
      </c>
      <c r="D637" s="278" t="s">
        <v>1932</v>
      </c>
      <c r="E637" s="278" t="s">
        <v>506</v>
      </c>
      <c r="F637" s="278"/>
      <c r="G637" s="278" t="s">
        <v>15</v>
      </c>
      <c r="H637" s="310">
        <v>0.03</v>
      </c>
      <c r="I637" s="280">
        <f t="shared" si="174"/>
        <v>2.4186000000000001</v>
      </c>
      <c r="J637" s="281">
        <f t="shared" si="175"/>
        <v>2.7429000000000001</v>
      </c>
      <c r="K637" s="282">
        <f>IF(Notes!$B$9="Domestic",I637, IF(Notes!$B$9="Commercial",J637))*$K$614</f>
        <v>5.4858000000000002</v>
      </c>
      <c r="L637" s="283">
        <f>(SUM(O637:Q637)+(K637+SUM(M637:Q637))*(INDEX($U$614:$AB$614,MATCH(Notes!$C$16,$U$3:$AB$3,0))-100%))*$L$614</f>
        <v>85.900500000000008</v>
      </c>
      <c r="M637" s="286"/>
      <c r="N637" s="286"/>
      <c r="O637" s="311">
        <f t="shared" si="178"/>
        <v>85.900500000000008</v>
      </c>
      <c r="P637" s="285"/>
      <c r="Q637" s="285"/>
      <c r="R637" s="278"/>
      <c r="S637" s="278"/>
      <c r="T637" s="278"/>
    </row>
    <row r="638" spans="1:20" s="305" customFormat="1" hidden="1" outlineLevel="2" x14ac:dyDescent="0.25">
      <c r="A638" s="278"/>
      <c r="B638" s="279" t="str">
        <f t="shared" si="173"/>
        <v>PCT400x90x45mmMGP12</v>
      </c>
      <c r="C638" s="278" t="s">
        <v>1876</v>
      </c>
      <c r="D638" s="278" t="s">
        <v>1933</v>
      </c>
      <c r="E638" s="278" t="s">
        <v>506</v>
      </c>
      <c r="F638" s="278"/>
      <c r="G638" s="278" t="s">
        <v>15</v>
      </c>
      <c r="H638" s="310">
        <v>0.03</v>
      </c>
      <c r="I638" s="280">
        <f t="shared" si="174"/>
        <v>2.4186000000000001</v>
      </c>
      <c r="J638" s="281">
        <f t="shared" si="175"/>
        <v>2.7429000000000001</v>
      </c>
      <c r="K638" s="282">
        <f>IF(Notes!$B$9="Domestic",I638, IF(Notes!$B$9="Commercial",J638))*$K$614</f>
        <v>5.4858000000000002</v>
      </c>
      <c r="L638" s="283">
        <f>(SUM(O638:Q638)+(K638+SUM(M638:Q638))*(INDEX($U$614:$AB$614,MATCH(Notes!$C$16,$U$3:$AB$3,0))-100%))*$L$614</f>
        <v>90.195525000000018</v>
      </c>
      <c r="M638" s="286"/>
      <c r="N638" s="286"/>
      <c r="O638" s="311">
        <f t="shared" si="178"/>
        <v>90.195525000000018</v>
      </c>
      <c r="P638" s="285"/>
      <c r="Q638" s="285"/>
      <c r="R638" s="278"/>
      <c r="S638" s="278"/>
      <c r="T638" s="278"/>
    </row>
    <row r="639" spans="1:20" s="305" customFormat="1" hidden="1" outlineLevel="2" x14ac:dyDescent="0.25">
      <c r="A639" s="278"/>
      <c r="B639" s="279" t="str">
        <f t="shared" si="173"/>
        <v>PCT200x70x35mmHWD</v>
      </c>
      <c r="C639" s="278" t="s">
        <v>1876</v>
      </c>
      <c r="D639" s="278" t="s">
        <v>1922</v>
      </c>
      <c r="E639" s="278" t="s">
        <v>507</v>
      </c>
      <c r="F639" s="278"/>
      <c r="G639" s="278" t="s">
        <v>15</v>
      </c>
      <c r="H639" s="310">
        <v>0.03</v>
      </c>
      <c r="I639" s="280">
        <f t="shared" si="174"/>
        <v>2.4186000000000001</v>
      </c>
      <c r="J639" s="281">
        <f t="shared" si="175"/>
        <v>2.7429000000000001</v>
      </c>
      <c r="K639" s="282">
        <f>IF(Notes!$B$9="Domestic",I639, IF(Notes!$B$9="Commercial",J639))*$K$614</f>
        <v>5.4858000000000002</v>
      </c>
      <c r="L639" s="283">
        <f>(SUM(O639:Q639)+(K639+SUM(M639:Q639))*(INDEX($U$614:$AB$614,MATCH(Notes!$C$16,$U$3:$AB$3,0))-100%))*$L$614</f>
        <v>49.082000000000001</v>
      </c>
      <c r="M639" s="286"/>
      <c r="N639" s="286"/>
      <c r="O639" s="311">
        <f>O615*1.1</f>
        <v>49.082000000000001</v>
      </c>
      <c r="P639" s="285"/>
      <c r="Q639" s="285"/>
      <c r="R639" s="278"/>
      <c r="S639" s="278"/>
      <c r="T639" s="278"/>
    </row>
    <row r="640" spans="1:20" s="305" customFormat="1" hidden="1" outlineLevel="2" x14ac:dyDescent="0.25">
      <c r="A640" s="278"/>
      <c r="B640" s="279" t="str">
        <f t="shared" si="173"/>
        <v>PCT200x90x35mmHWD</v>
      </c>
      <c r="C640" s="278" t="s">
        <v>1876</v>
      </c>
      <c r="D640" s="278" t="s">
        <v>1923</v>
      </c>
      <c r="E640" s="278" t="s">
        <v>507</v>
      </c>
      <c r="F640" s="278"/>
      <c r="G640" s="278" t="s">
        <v>15</v>
      </c>
      <c r="H640" s="310">
        <v>0.03</v>
      </c>
      <c r="I640" s="280">
        <f t="shared" si="174"/>
        <v>2.4186000000000001</v>
      </c>
      <c r="J640" s="281">
        <f t="shared" si="175"/>
        <v>2.7429000000000001</v>
      </c>
      <c r="K640" s="282">
        <f>IF(Notes!$B$9="Domestic",I640, IF(Notes!$B$9="Commercial",J640))*$K$614</f>
        <v>5.4858000000000002</v>
      </c>
      <c r="L640" s="283">
        <f>(SUM(O640:Q640)+(K640+SUM(M640:Q640))*(INDEX($U$614:$AB$614,MATCH(Notes!$C$16,$U$3:$AB$3,0))-100%))*$L$614</f>
        <v>52.041000000000004</v>
      </c>
      <c r="M640" s="286"/>
      <c r="N640" s="286"/>
      <c r="O640" s="311">
        <f>O616*1.1</f>
        <v>52.041000000000004</v>
      </c>
      <c r="P640" s="285"/>
      <c r="Q640" s="285"/>
      <c r="R640" s="278"/>
      <c r="S640" s="278"/>
      <c r="T640" s="278"/>
    </row>
    <row r="641" spans="1:28" s="305" customFormat="1" hidden="1" outlineLevel="2" x14ac:dyDescent="0.25">
      <c r="A641" s="278"/>
      <c r="B641" s="279" t="str">
        <f t="shared" si="173"/>
        <v>PCT250x70x35mmHWD</v>
      </c>
      <c r="C641" s="278" t="s">
        <v>1876</v>
      </c>
      <c r="D641" s="278" t="s">
        <v>1924</v>
      </c>
      <c r="E641" s="278" t="s">
        <v>507</v>
      </c>
      <c r="F641" s="278"/>
      <c r="G641" s="278" t="s">
        <v>15</v>
      </c>
      <c r="H641" s="310">
        <v>0.03</v>
      </c>
      <c r="I641" s="280">
        <f t="shared" si="174"/>
        <v>2.4186000000000001</v>
      </c>
      <c r="J641" s="281">
        <f t="shared" si="175"/>
        <v>2.7429000000000001</v>
      </c>
      <c r="K641" s="282">
        <f>IF(Notes!$B$9="Domestic",I641, IF(Notes!$B$9="Commercial",J641))*$K$614</f>
        <v>5.4858000000000002</v>
      </c>
      <c r="L641" s="283">
        <f>(SUM(O641:Q641)+(K641+SUM(M641:Q641))*(INDEX($U$614:$AB$614,MATCH(Notes!$C$16,$U$3:$AB$3,0))-100%))*$L$614</f>
        <v>53.08</v>
      </c>
      <c r="M641" s="286"/>
      <c r="N641" s="286"/>
      <c r="O641" s="285">
        <v>53.08</v>
      </c>
      <c r="P641" s="285"/>
      <c r="Q641" s="285"/>
      <c r="R641" s="278"/>
      <c r="S641" s="278"/>
      <c r="T641" s="278"/>
    </row>
    <row r="642" spans="1:28" s="305" customFormat="1" hidden="1" outlineLevel="2" x14ac:dyDescent="0.25">
      <c r="A642" s="278"/>
      <c r="B642" s="279" t="str">
        <f t="shared" si="173"/>
        <v>PCT250x70x45mmHWD</v>
      </c>
      <c r="C642" s="278" t="s">
        <v>1876</v>
      </c>
      <c r="D642" s="278" t="s">
        <v>1925</v>
      </c>
      <c r="E642" s="278" t="s">
        <v>507</v>
      </c>
      <c r="F642" s="278"/>
      <c r="G642" s="278" t="s">
        <v>15</v>
      </c>
      <c r="H642" s="310">
        <v>0.03</v>
      </c>
      <c r="I642" s="280">
        <f t="shared" si="174"/>
        <v>2.4186000000000001</v>
      </c>
      <c r="J642" s="281">
        <f t="shared" si="175"/>
        <v>2.7429000000000001</v>
      </c>
      <c r="K642" s="282">
        <f>IF(Notes!$B$9="Domestic",I642, IF(Notes!$B$9="Commercial",J642))*$K$614</f>
        <v>5.4858000000000002</v>
      </c>
      <c r="L642" s="283">
        <f>(SUM(O642:Q642)+(K642+SUM(M642:Q642))*(INDEX($U$614:$AB$614,MATCH(Notes!$C$16,$U$3:$AB$3,0))-100%))*$L$614</f>
        <v>75.73</v>
      </c>
      <c r="M642" s="286"/>
      <c r="N642" s="286"/>
      <c r="O642" s="285">
        <v>75.73</v>
      </c>
      <c r="P642" s="285"/>
      <c r="Q642" s="285"/>
      <c r="R642" s="278"/>
      <c r="S642" s="278"/>
      <c r="T642" s="278"/>
    </row>
    <row r="643" spans="1:28" s="305" customFormat="1" hidden="1" outlineLevel="2" x14ac:dyDescent="0.25">
      <c r="A643" s="278"/>
      <c r="B643" s="279" t="str">
        <f t="shared" si="173"/>
        <v>PCT250x90x35mmHWD</v>
      </c>
      <c r="C643" s="278" t="s">
        <v>1876</v>
      </c>
      <c r="D643" s="278" t="s">
        <v>1926</v>
      </c>
      <c r="E643" s="278" t="s">
        <v>507</v>
      </c>
      <c r="F643" s="278"/>
      <c r="G643" s="278" t="s">
        <v>15</v>
      </c>
      <c r="H643" s="310">
        <v>0.03</v>
      </c>
      <c r="I643" s="280">
        <f t="shared" si="174"/>
        <v>2.4186000000000001</v>
      </c>
      <c r="J643" s="281">
        <f t="shared" si="175"/>
        <v>2.7429000000000001</v>
      </c>
      <c r="K643" s="282">
        <f>IF(Notes!$B$9="Domestic",I643, IF(Notes!$B$9="Commercial",J643))*$K$614</f>
        <v>5.4858000000000002</v>
      </c>
      <c r="L643" s="283">
        <f>(SUM(O643:Q643)+(K643+SUM(M643:Q643))*(INDEX($U$614:$AB$614,MATCH(Notes!$C$16,$U$3:$AB$3,0))-100%))*$L$614</f>
        <v>60.02</v>
      </c>
      <c r="M643" s="286"/>
      <c r="N643" s="286"/>
      <c r="O643" s="285">
        <v>60.02</v>
      </c>
      <c r="P643" s="285"/>
      <c r="Q643" s="285"/>
      <c r="R643" s="278"/>
      <c r="S643" s="278"/>
      <c r="T643" s="278"/>
    </row>
    <row r="644" spans="1:28" s="305" customFormat="1" hidden="1" outlineLevel="2" x14ac:dyDescent="0.25">
      <c r="A644" s="278"/>
      <c r="B644" s="279" t="str">
        <f t="shared" si="173"/>
        <v>PCT250x90x45mmHWD</v>
      </c>
      <c r="C644" s="278" t="s">
        <v>1876</v>
      </c>
      <c r="D644" s="278" t="s">
        <v>1927</v>
      </c>
      <c r="E644" s="278" t="s">
        <v>507</v>
      </c>
      <c r="F644" s="278"/>
      <c r="G644" s="278" t="s">
        <v>15</v>
      </c>
      <c r="H644" s="310">
        <v>0.03</v>
      </c>
      <c r="I644" s="280">
        <f t="shared" si="174"/>
        <v>2.4186000000000001</v>
      </c>
      <c r="J644" s="281">
        <f t="shared" si="175"/>
        <v>2.7429000000000001</v>
      </c>
      <c r="K644" s="282">
        <f>IF(Notes!$B$9="Domestic",I644, IF(Notes!$B$9="Commercial",J644))*$K$614</f>
        <v>5.4858000000000002</v>
      </c>
      <c r="L644" s="283">
        <f>(SUM(O644:Q644)+(K644+SUM(M644:Q644))*(INDEX($U$614:$AB$614,MATCH(Notes!$C$16,$U$3:$AB$3,0))-100%))*$L$614</f>
        <v>76.92</v>
      </c>
      <c r="M644" s="286"/>
      <c r="N644" s="286"/>
      <c r="O644" s="285">
        <v>76.92</v>
      </c>
      <c r="P644" s="285"/>
      <c r="Q644" s="285"/>
      <c r="R644" s="278"/>
      <c r="S644" s="278"/>
      <c r="T644" s="278"/>
    </row>
    <row r="645" spans="1:28" s="305" customFormat="1" hidden="1" outlineLevel="2" x14ac:dyDescent="0.25">
      <c r="A645" s="278"/>
      <c r="B645" s="279" t="str">
        <f t="shared" si="173"/>
        <v>PCT300x70x35mmHWD</v>
      </c>
      <c r="C645" s="278" t="s">
        <v>1876</v>
      </c>
      <c r="D645" s="278" t="s">
        <v>1928</v>
      </c>
      <c r="E645" s="278" t="s">
        <v>507</v>
      </c>
      <c r="F645" s="278"/>
      <c r="G645" s="278" t="s">
        <v>15</v>
      </c>
      <c r="H645" s="310">
        <v>0.03</v>
      </c>
      <c r="I645" s="280">
        <f t="shared" si="174"/>
        <v>2.4186000000000001</v>
      </c>
      <c r="J645" s="281">
        <f t="shared" si="175"/>
        <v>2.7429000000000001</v>
      </c>
      <c r="K645" s="282">
        <f>IF(Notes!$B$9="Domestic",I645, IF(Notes!$B$9="Commercial",J645))*$K$614</f>
        <v>5.4858000000000002</v>
      </c>
      <c r="L645" s="283">
        <f>(SUM(O645:Q645)+(K645+SUM(M645:Q645))*(INDEX($U$614:$AB$614,MATCH(Notes!$C$16,$U$3:$AB$3,0))-100%))*$L$614</f>
        <v>67.91</v>
      </c>
      <c r="M645" s="286"/>
      <c r="N645" s="286"/>
      <c r="O645" s="285">
        <v>67.91</v>
      </c>
      <c r="P645" s="285"/>
      <c r="Q645" s="285"/>
      <c r="R645" s="278"/>
      <c r="S645" s="278"/>
      <c r="T645" s="278"/>
    </row>
    <row r="646" spans="1:28" s="305" customFormat="1" hidden="1" outlineLevel="2" x14ac:dyDescent="0.25">
      <c r="A646" s="278"/>
      <c r="B646" s="279" t="str">
        <f t="shared" si="173"/>
        <v>PCT300x70x45mmHWD</v>
      </c>
      <c r="C646" s="278" t="s">
        <v>1876</v>
      </c>
      <c r="D646" s="278" t="s">
        <v>1929</v>
      </c>
      <c r="E646" s="278" t="s">
        <v>507</v>
      </c>
      <c r="F646" s="278"/>
      <c r="G646" s="278" t="s">
        <v>15</v>
      </c>
      <c r="H646" s="310">
        <v>0.03</v>
      </c>
      <c r="I646" s="280">
        <f t="shared" si="174"/>
        <v>2.4186000000000001</v>
      </c>
      <c r="J646" s="281">
        <f t="shared" si="175"/>
        <v>2.7429000000000001</v>
      </c>
      <c r="K646" s="282">
        <f>IF(Notes!$B$9="Domestic",I646, IF(Notes!$B$9="Commercial",J646))*$K$614</f>
        <v>5.4858000000000002</v>
      </c>
      <c r="L646" s="283">
        <f>(SUM(O646:Q646)+(K646+SUM(M646:Q646))*(INDEX($U$614:$AB$614,MATCH(Notes!$C$16,$U$3:$AB$3,0))-100%))*$L$614</f>
        <v>91.46</v>
      </c>
      <c r="M646" s="286"/>
      <c r="N646" s="286"/>
      <c r="O646" s="285">
        <v>91.46</v>
      </c>
      <c r="P646" s="285"/>
      <c r="Q646" s="285"/>
      <c r="R646" s="278"/>
      <c r="S646" s="278"/>
      <c r="T646" s="278"/>
    </row>
    <row r="647" spans="1:28" s="305" customFormat="1" hidden="1" outlineLevel="2" x14ac:dyDescent="0.25">
      <c r="A647" s="278"/>
      <c r="B647" s="279" t="str">
        <f t="shared" si="173"/>
        <v>PCT300x90x35mmHWD</v>
      </c>
      <c r="C647" s="278" t="s">
        <v>1876</v>
      </c>
      <c r="D647" s="278" t="s">
        <v>1930</v>
      </c>
      <c r="E647" s="278" t="s">
        <v>507</v>
      </c>
      <c r="F647" s="278"/>
      <c r="G647" s="278" t="s">
        <v>15</v>
      </c>
      <c r="H647" s="310">
        <v>0.03</v>
      </c>
      <c r="I647" s="280">
        <f t="shared" si="174"/>
        <v>2.4186000000000001</v>
      </c>
      <c r="J647" s="281">
        <f t="shared" si="175"/>
        <v>2.7429000000000001</v>
      </c>
      <c r="K647" s="282">
        <f>IF(Notes!$B$9="Domestic",I647, IF(Notes!$B$9="Commercial",J647))*$K$614</f>
        <v>5.4858000000000002</v>
      </c>
      <c r="L647" s="283">
        <f>(SUM(O647:Q647)+(K647+SUM(M647:Q647))*(INDEX($U$614:$AB$614,MATCH(Notes!$C$16,$U$3:$AB$3,0))-100%))*$L$614</f>
        <v>74.510000000000005</v>
      </c>
      <c r="M647" s="286"/>
      <c r="N647" s="286"/>
      <c r="O647" s="285">
        <v>74.510000000000005</v>
      </c>
      <c r="P647" s="285"/>
      <c r="Q647" s="285"/>
      <c r="R647" s="278"/>
      <c r="S647" s="278"/>
      <c r="T647" s="278"/>
    </row>
    <row r="648" spans="1:28" s="305" customFormat="1" hidden="1" outlineLevel="2" x14ac:dyDescent="0.25">
      <c r="A648" s="278"/>
      <c r="B648" s="279" t="str">
        <f t="shared" si="173"/>
        <v>PCT300x90x45mmHWD</v>
      </c>
      <c r="C648" s="278" t="s">
        <v>1876</v>
      </c>
      <c r="D648" s="278" t="s">
        <v>1931</v>
      </c>
      <c r="E648" s="278" t="s">
        <v>507</v>
      </c>
      <c r="F648" s="278"/>
      <c r="G648" s="278" t="s">
        <v>15</v>
      </c>
      <c r="H648" s="310">
        <v>0.03</v>
      </c>
      <c r="I648" s="280">
        <f t="shared" si="174"/>
        <v>2.4186000000000001</v>
      </c>
      <c r="J648" s="281">
        <f t="shared" si="175"/>
        <v>2.7429000000000001</v>
      </c>
      <c r="K648" s="282">
        <f>IF(Notes!$B$9="Domestic",I648, IF(Notes!$B$9="Commercial",J648))*$K$614</f>
        <v>5.4858000000000002</v>
      </c>
      <c r="L648" s="283">
        <f>(SUM(O648:Q648)+(K648+SUM(M648:Q648))*(INDEX($U$614:$AB$614,MATCH(Notes!$C$16,$U$3:$AB$3,0))-100%))*$L$614</f>
        <v>94.94</v>
      </c>
      <c r="M648" s="286"/>
      <c r="N648" s="286"/>
      <c r="O648" s="285">
        <v>94.94</v>
      </c>
      <c r="P648" s="285"/>
      <c r="Q648" s="285"/>
      <c r="R648" s="278"/>
      <c r="S648" s="278"/>
      <c r="T648" s="278"/>
    </row>
    <row r="649" spans="1:28" s="305" customFormat="1" hidden="1" outlineLevel="2" x14ac:dyDescent="0.25">
      <c r="A649" s="278"/>
      <c r="B649" s="279" t="str">
        <f t="shared" si="173"/>
        <v>PCT400x70x45mmHWD</v>
      </c>
      <c r="C649" s="278" t="s">
        <v>1876</v>
      </c>
      <c r="D649" s="278" t="s">
        <v>1932</v>
      </c>
      <c r="E649" s="278" t="s">
        <v>507</v>
      </c>
      <c r="F649" s="278"/>
      <c r="G649" s="278" t="s">
        <v>15</v>
      </c>
      <c r="H649" s="310">
        <v>0.03</v>
      </c>
      <c r="I649" s="280">
        <f t="shared" si="174"/>
        <v>2.4186000000000001</v>
      </c>
      <c r="J649" s="281">
        <f t="shared" si="175"/>
        <v>2.7429000000000001</v>
      </c>
      <c r="K649" s="282">
        <f>IF(Notes!$B$9="Domestic",I649, IF(Notes!$B$9="Commercial",J649))*$K$614</f>
        <v>5.4858000000000002</v>
      </c>
      <c r="L649" s="283">
        <f>(SUM(O649:Q649)+(K649+SUM(M649:Q649))*(INDEX($U$614:$AB$614,MATCH(Notes!$C$16,$U$3:$AB$3,0))-100%))*$L$614</f>
        <v>93.82</v>
      </c>
      <c r="M649" s="286"/>
      <c r="N649" s="286"/>
      <c r="O649" s="285">
        <v>93.82</v>
      </c>
      <c r="P649" s="285"/>
      <c r="Q649" s="285"/>
      <c r="R649" s="278"/>
      <c r="S649" s="278"/>
      <c r="T649" s="278"/>
    </row>
    <row r="650" spans="1:28" s="305" customFormat="1" hidden="1" outlineLevel="2" x14ac:dyDescent="0.25">
      <c r="A650" s="278"/>
      <c r="B650" s="279" t="str">
        <f t="shared" si="173"/>
        <v>PCT400x90x45mmHWD</v>
      </c>
      <c r="C650" s="278" t="s">
        <v>1876</v>
      </c>
      <c r="D650" s="278" t="s">
        <v>1933</v>
      </c>
      <c r="E650" s="278" t="s">
        <v>507</v>
      </c>
      <c r="F650" s="278"/>
      <c r="G650" s="278" t="s">
        <v>15</v>
      </c>
      <c r="H650" s="310">
        <v>0.03</v>
      </c>
      <c r="I650" s="280">
        <f t="shared" si="174"/>
        <v>2.4186000000000001</v>
      </c>
      <c r="J650" s="281">
        <f t="shared" si="175"/>
        <v>2.7429000000000001</v>
      </c>
      <c r="K650" s="282">
        <f>IF(Notes!$B$9="Domestic",I650, IF(Notes!$B$9="Commercial",J650))*$K$614</f>
        <v>5.4858000000000002</v>
      </c>
      <c r="L650" s="283">
        <f>(SUM(O650:Q650)+(K650+SUM(M650:Q650))*(INDEX($U$614:$AB$614,MATCH(Notes!$C$16,$U$3:$AB$3,0))-100%))*$L$614</f>
        <v>97.69</v>
      </c>
      <c r="M650" s="286"/>
      <c r="N650" s="286"/>
      <c r="O650" s="285">
        <v>97.69</v>
      </c>
      <c r="P650" s="285"/>
      <c r="Q650" s="285"/>
      <c r="R650" s="278"/>
      <c r="S650" s="278"/>
      <c r="T650" s="278"/>
    </row>
    <row r="651" spans="1:28" ht="21" hidden="1" outlineLevel="1" collapsed="1" x14ac:dyDescent="0.25">
      <c r="A651" s="299" t="s">
        <v>2132</v>
      </c>
      <c r="B651" s="299"/>
      <c r="C651" s="299"/>
      <c r="D651" s="299"/>
      <c r="E651" s="299"/>
      <c r="F651" s="299"/>
      <c r="G651" s="299"/>
      <c r="H651" s="348"/>
      <c r="I651" s="299"/>
      <c r="J651" s="299"/>
      <c r="K651" s="299"/>
      <c r="L651" s="299"/>
      <c r="M651" s="299"/>
      <c r="N651" s="299"/>
      <c r="O651" s="299"/>
      <c r="P651" s="299"/>
      <c r="Q651" s="299"/>
      <c r="R651" s="299"/>
      <c r="S651" s="299"/>
      <c r="T651" s="299"/>
      <c r="U651" s="299"/>
      <c r="V651" s="299"/>
      <c r="W651" s="299"/>
      <c r="X651" s="299"/>
      <c r="Y651" s="299"/>
      <c r="Z651" s="299"/>
      <c r="AA651" s="299"/>
      <c r="AB651" s="299"/>
    </row>
    <row r="652" spans="1:28" ht="15.75" hidden="1" outlineLevel="1" x14ac:dyDescent="0.25">
      <c r="A652" s="291"/>
      <c r="B652" s="291"/>
      <c r="C652" s="291"/>
      <c r="D652" s="291"/>
      <c r="E652" s="291"/>
      <c r="F652" s="291"/>
      <c r="G652" s="291"/>
      <c r="H652" s="325"/>
      <c r="I652" s="291"/>
      <c r="J652" s="291"/>
      <c r="K652" s="291">
        <v>2</v>
      </c>
      <c r="L652" s="291">
        <f>L$2</f>
        <v>1</v>
      </c>
      <c r="M652" s="291"/>
      <c r="N652" s="291"/>
      <c r="O652" s="303"/>
      <c r="P652" s="303"/>
      <c r="Q652" s="303"/>
      <c r="R652" s="291"/>
      <c r="S652" s="291"/>
      <c r="T652" s="291"/>
      <c r="U652" s="381">
        <f>U$2</f>
        <v>1.0309523809523808</v>
      </c>
      <c r="V652" s="381">
        <f>V$2</f>
        <v>1</v>
      </c>
      <c r="W652" s="381">
        <f t="shared" ref="W652:AB652" si="182">W$2</f>
        <v>1.0705952380952379</v>
      </c>
      <c r="X652" s="381">
        <f t="shared" si="182"/>
        <v>1.1199999999999999</v>
      </c>
      <c r="Y652" s="381">
        <f t="shared" si="182"/>
        <v>1.0571428571428572</v>
      </c>
      <c r="Z652" s="381">
        <f t="shared" si="182"/>
        <v>1.1299999999999999</v>
      </c>
      <c r="AA652" s="381">
        <f t="shared" si="182"/>
        <v>1.0776942355889725</v>
      </c>
      <c r="AB652" s="381">
        <f t="shared" si="182"/>
        <v>1.0325814536340854</v>
      </c>
    </row>
    <row r="653" spans="1:28" s="305" customFormat="1" hidden="1" outlineLevel="2" x14ac:dyDescent="0.25">
      <c r="A653" s="278"/>
      <c r="B653" s="279" t="str">
        <f>C653&amp;D653&amp;E653&amp;F653</f>
        <v>450mm200x45mm/200x63mmground floor</v>
      </c>
      <c r="C653" s="278" t="s">
        <v>1865</v>
      </c>
      <c r="D653" s="278" t="s">
        <v>2135</v>
      </c>
      <c r="E653" s="278" t="s">
        <v>2133</v>
      </c>
      <c r="F653" s="278"/>
      <c r="G653" s="278" t="s">
        <v>11</v>
      </c>
      <c r="H653" s="310">
        <v>0.14000000000000001</v>
      </c>
      <c r="I653" s="280">
        <f>$I$2*H653</f>
        <v>11.286800000000001</v>
      </c>
      <c r="J653" s="281">
        <f>$J$2*H653</f>
        <v>12.800200000000002</v>
      </c>
      <c r="K653" s="282">
        <f>IF(Notes!$B$9="Domestic",I653, IF(Notes!$B$9="Commercial",J653))*$K$652</f>
        <v>25.600400000000004</v>
      </c>
      <c r="L653" s="283">
        <f>(SUM(O653:Q653)+(K653+SUM(M653:Q653))*(INDEX($U$652:$AB$652,MATCH(Notes!$C$16,$U$3:$AB$3,0))-100%))*$L$652</f>
        <v>178.94</v>
      </c>
      <c r="M653" s="286"/>
      <c r="N653" s="286"/>
      <c r="O653" s="285">
        <v>178.94</v>
      </c>
      <c r="P653" s="285"/>
      <c r="Q653" s="285"/>
      <c r="R653" s="278"/>
      <c r="S653" s="278"/>
      <c r="T653" s="278"/>
    </row>
    <row r="654" spans="1:28" s="305" customFormat="1" hidden="1" outlineLevel="2" x14ac:dyDescent="0.25">
      <c r="A654" s="278"/>
      <c r="B654" s="279" t="str">
        <f t="shared" ref="B654:B655" si="183">C654&amp;D654&amp;E654&amp;F654</f>
        <v>450mm240x45mm/240x63mmground floor</v>
      </c>
      <c r="C654" s="278" t="s">
        <v>1865</v>
      </c>
      <c r="D654" s="278" t="s">
        <v>2136</v>
      </c>
      <c r="E654" s="278" t="s">
        <v>2133</v>
      </c>
      <c r="F654" s="278"/>
      <c r="G654" s="278" t="s">
        <v>11</v>
      </c>
      <c r="H654" s="310">
        <v>0.15</v>
      </c>
      <c r="I654" s="280">
        <f t="shared" ref="I654:I655" si="184">$I$2*H654</f>
        <v>12.093</v>
      </c>
      <c r="J654" s="281">
        <f t="shared" ref="J654:J655" si="185">$J$2*H654</f>
        <v>13.714500000000001</v>
      </c>
      <c r="K654" s="282">
        <f>IF(Notes!$B$9="Domestic",I654, IF(Notes!$B$9="Commercial",J654))*$K$652</f>
        <v>27.429000000000002</v>
      </c>
      <c r="L654" s="283">
        <f>(SUM(O654:Q654)+(K654+SUM(M654:Q654))*(INDEX($U$652:$AB$652,MATCH(Notes!$C$16,$U$3:$AB$3,0))-100%))*$L$652</f>
        <v>214.33</v>
      </c>
      <c r="M654" s="286"/>
      <c r="N654" s="286"/>
      <c r="O654" s="285">
        <v>214.33</v>
      </c>
      <c r="P654" s="285"/>
      <c r="Q654" s="285"/>
      <c r="R654" s="278"/>
      <c r="S654" s="278"/>
      <c r="T654" s="278"/>
    </row>
    <row r="655" spans="1:28" s="305" customFormat="1" hidden="1" outlineLevel="2" x14ac:dyDescent="0.25">
      <c r="A655" s="278"/>
      <c r="B655" s="279" t="str">
        <f t="shared" si="183"/>
        <v>450mm300x45mm/300x75mmground floor</v>
      </c>
      <c r="C655" s="278" t="s">
        <v>1865</v>
      </c>
      <c r="D655" s="278" t="s">
        <v>2137</v>
      </c>
      <c r="E655" s="278" t="s">
        <v>2133</v>
      </c>
      <c r="F655" s="278"/>
      <c r="G655" s="278" t="s">
        <v>11</v>
      </c>
      <c r="H655" s="310">
        <v>0.17</v>
      </c>
      <c r="I655" s="280">
        <f t="shared" si="184"/>
        <v>13.705400000000001</v>
      </c>
      <c r="J655" s="281">
        <f t="shared" si="185"/>
        <v>15.543100000000003</v>
      </c>
      <c r="K655" s="282">
        <f>IF(Notes!$B$9="Domestic",I655, IF(Notes!$B$9="Commercial",J655))*$K$652</f>
        <v>31.086200000000005</v>
      </c>
      <c r="L655" s="283">
        <f>(SUM(O655:Q655)+(K655+SUM(M655:Q655))*(INDEX($U$652:$AB$652,MATCH(Notes!$C$16,$U$3:$AB$3,0))-100%))*$L$652</f>
        <v>283.45999999999998</v>
      </c>
      <c r="M655" s="286"/>
      <c r="N655" s="286"/>
      <c r="O655" s="285">
        <v>283.45999999999998</v>
      </c>
      <c r="P655" s="285"/>
      <c r="Q655" s="285"/>
      <c r="R655" s="278"/>
      <c r="S655" s="278"/>
      <c r="T655" s="278"/>
    </row>
    <row r="656" spans="1:28" s="305" customFormat="1" hidden="1" outlineLevel="2" x14ac:dyDescent="0.25">
      <c r="A656" s="278"/>
      <c r="B656" s="279" t="str">
        <f t="shared" ref="B656:B658" si="186">C656&amp;D656&amp;E656&amp;F656</f>
        <v>450mm200x45mmupper floor</v>
      </c>
      <c r="C656" s="278" t="s">
        <v>1865</v>
      </c>
      <c r="D656" s="278" t="s">
        <v>1945</v>
      </c>
      <c r="E656" s="278" t="s">
        <v>2134</v>
      </c>
      <c r="F656" s="278"/>
      <c r="G656" s="278" t="s">
        <v>11</v>
      </c>
      <c r="H656" s="310">
        <v>0.12</v>
      </c>
      <c r="I656" s="280">
        <f t="shared" ref="I656:I658" si="187">$I$2*H656</f>
        <v>9.6744000000000003</v>
      </c>
      <c r="J656" s="281">
        <f t="shared" ref="J656:J658" si="188">$J$2*H656</f>
        <v>10.9716</v>
      </c>
      <c r="K656" s="282">
        <f>IF(Notes!$B$9="Domestic",I656, IF(Notes!$B$9="Commercial",J656))*$K$652</f>
        <v>21.943200000000001</v>
      </c>
      <c r="L656" s="283">
        <f>(SUM(O656:Q656)+(K656+SUM(M656:Q656))*(INDEX($U$652:$AB$652,MATCH(Notes!$C$16,$U$3:$AB$3,0))-100%))*$L$652</f>
        <v>156.13</v>
      </c>
      <c r="M656" s="286"/>
      <c r="N656" s="286"/>
      <c r="O656" s="285">
        <v>156.13</v>
      </c>
      <c r="P656" s="285"/>
      <c r="Q656" s="285"/>
      <c r="R656" s="278"/>
      <c r="S656" s="278"/>
      <c r="T656" s="278"/>
    </row>
    <row r="657" spans="1:28" s="305" customFormat="1" hidden="1" outlineLevel="2" x14ac:dyDescent="0.25">
      <c r="A657" s="278"/>
      <c r="B657" s="279" t="str">
        <f t="shared" si="186"/>
        <v>450mm240x45mmupper floor</v>
      </c>
      <c r="C657" s="278" t="s">
        <v>1865</v>
      </c>
      <c r="D657" s="278" t="s">
        <v>1943</v>
      </c>
      <c r="E657" s="278" t="s">
        <v>2134</v>
      </c>
      <c r="F657" s="278"/>
      <c r="G657" s="278" t="s">
        <v>11</v>
      </c>
      <c r="H657" s="310">
        <v>0.14000000000000001</v>
      </c>
      <c r="I657" s="280">
        <f t="shared" si="187"/>
        <v>11.286800000000001</v>
      </c>
      <c r="J657" s="281">
        <f t="shared" si="188"/>
        <v>12.800200000000002</v>
      </c>
      <c r="K657" s="282">
        <f>IF(Notes!$B$9="Domestic",I657, IF(Notes!$B$9="Commercial",J657))*$K$652</f>
        <v>25.600400000000004</v>
      </c>
      <c r="L657" s="283">
        <f>(SUM(O657:Q657)+(K657+SUM(M657:Q657))*(INDEX($U$652:$AB$652,MATCH(Notes!$C$16,$U$3:$AB$3,0))-100%))*$L$652</f>
        <v>186.6</v>
      </c>
      <c r="M657" s="286"/>
      <c r="N657" s="286"/>
      <c r="O657" s="285">
        <v>186.6</v>
      </c>
      <c r="P657" s="285"/>
      <c r="Q657" s="285"/>
      <c r="R657" s="278"/>
      <c r="S657" s="278"/>
      <c r="T657" s="278"/>
    </row>
    <row r="658" spans="1:28" s="305" customFormat="1" hidden="1" outlineLevel="2" x14ac:dyDescent="0.25">
      <c r="A658" s="278"/>
      <c r="B658" s="279" t="str">
        <f t="shared" si="186"/>
        <v>450mm300x45mmupper floor</v>
      </c>
      <c r="C658" s="278" t="s">
        <v>1865</v>
      </c>
      <c r="D658" s="278" t="s">
        <v>1950</v>
      </c>
      <c r="E658" s="278" t="s">
        <v>2134</v>
      </c>
      <c r="F658" s="278"/>
      <c r="G658" s="278" t="s">
        <v>11</v>
      </c>
      <c r="H658" s="310">
        <v>0.15</v>
      </c>
      <c r="I658" s="280">
        <f t="shared" si="187"/>
        <v>12.093</v>
      </c>
      <c r="J658" s="281">
        <f t="shared" si="188"/>
        <v>13.714500000000001</v>
      </c>
      <c r="K658" s="282">
        <f>IF(Notes!$B$9="Domestic",I658, IF(Notes!$B$9="Commercial",J658))*$K$652</f>
        <v>27.429000000000002</v>
      </c>
      <c r="L658" s="283">
        <f>(SUM(O658:Q658)+(K658+SUM(M658:Q658))*(INDEX($U$652:$AB$652,MATCH(Notes!$C$16,$U$3:$AB$3,0))-100%))*$L$652</f>
        <v>231.58</v>
      </c>
      <c r="M658" s="286"/>
      <c r="N658" s="286"/>
      <c r="O658" s="285">
        <v>231.58</v>
      </c>
      <c r="P658" s="285"/>
      <c r="Q658" s="285"/>
      <c r="R658" s="278"/>
      <c r="S658" s="278"/>
      <c r="T658" s="278"/>
    </row>
    <row r="659" spans="1:28" ht="21" hidden="1" outlineLevel="1" collapsed="1" x14ac:dyDescent="0.25">
      <c r="A659" s="299" t="s">
        <v>1881</v>
      </c>
      <c r="B659" s="299"/>
      <c r="C659" s="299"/>
      <c r="D659" s="299"/>
      <c r="E659" s="299"/>
      <c r="F659" s="299"/>
      <c r="G659" s="299"/>
      <c r="H659" s="348"/>
      <c r="I659" s="299"/>
      <c r="J659" s="299"/>
      <c r="K659" s="299"/>
      <c r="L659" s="299"/>
      <c r="M659" s="299"/>
      <c r="N659" s="299"/>
      <c r="O659" s="299"/>
      <c r="P659" s="299"/>
      <c r="Q659" s="299"/>
      <c r="R659" s="299"/>
      <c r="S659" s="299"/>
      <c r="T659" s="299"/>
      <c r="U659" s="299"/>
      <c r="V659" s="299"/>
      <c r="W659" s="299"/>
      <c r="X659" s="299"/>
      <c r="Y659" s="299"/>
      <c r="Z659" s="299"/>
      <c r="AA659" s="299"/>
      <c r="AB659" s="299"/>
    </row>
    <row r="660" spans="1:28" ht="15.75" hidden="1" outlineLevel="1" x14ac:dyDescent="0.25">
      <c r="A660" s="291"/>
      <c r="B660" s="291"/>
      <c r="C660" s="291"/>
      <c r="D660" s="291"/>
      <c r="E660" s="291"/>
      <c r="F660" s="291"/>
      <c r="G660" s="291"/>
      <c r="H660" s="325"/>
      <c r="I660" s="291"/>
      <c r="J660" s="291"/>
      <c r="K660" s="291">
        <v>2</v>
      </c>
      <c r="L660" s="291">
        <f>L$2</f>
        <v>1</v>
      </c>
      <c r="M660" s="291"/>
      <c r="N660" s="291"/>
      <c r="O660" s="303"/>
      <c r="P660" s="303"/>
      <c r="Q660" s="303"/>
      <c r="R660" s="291"/>
      <c r="S660" s="291"/>
      <c r="T660" s="291"/>
      <c r="U660" s="381">
        <f>U$2</f>
        <v>1.0309523809523808</v>
      </c>
      <c r="V660" s="381">
        <f>V$2</f>
        <v>1</v>
      </c>
      <c r="W660" s="381">
        <f t="shared" ref="W660:AB660" si="189">W$2</f>
        <v>1.0705952380952379</v>
      </c>
      <c r="X660" s="381">
        <f t="shared" si="189"/>
        <v>1.1199999999999999</v>
      </c>
      <c r="Y660" s="381">
        <f t="shared" si="189"/>
        <v>1.0571428571428572</v>
      </c>
      <c r="Z660" s="381">
        <f t="shared" si="189"/>
        <v>1.1299999999999999</v>
      </c>
      <c r="AA660" s="381">
        <f t="shared" si="189"/>
        <v>1.0776942355889725</v>
      </c>
      <c r="AB660" s="381">
        <f t="shared" si="189"/>
        <v>1.0325814536340854</v>
      </c>
    </row>
    <row r="661" spans="1:28" s="305" customFormat="1" hidden="1" outlineLevel="2" x14ac:dyDescent="0.25">
      <c r="A661" s="278"/>
      <c r="B661" s="279" t="str">
        <f>C661&amp;D661&amp;E661&amp;F661</f>
        <v>subflooring19mmparticleboard</v>
      </c>
      <c r="C661" s="278" t="s">
        <v>2148</v>
      </c>
      <c r="D661" s="278" t="s">
        <v>726</v>
      </c>
      <c r="E661" s="278" t="s">
        <v>725</v>
      </c>
      <c r="F661" s="278"/>
      <c r="G661" s="278" t="s">
        <v>11</v>
      </c>
      <c r="H661" s="310">
        <v>0.12</v>
      </c>
      <c r="I661" s="280">
        <f>$I$2*H661</f>
        <v>9.6744000000000003</v>
      </c>
      <c r="J661" s="281">
        <f>$J$2*H661</f>
        <v>10.9716</v>
      </c>
      <c r="K661" s="282">
        <f>IF(Notes!$B$9="Domestic",I661, IF(Notes!$B$9="Commercial",J661))*$K$660</f>
        <v>21.943200000000001</v>
      </c>
      <c r="L661" s="283">
        <f>(SUM(O661:Q661)+(K661+SUM(M661:Q661))*(INDEX($U$660:$AB$660,MATCH(Notes!$C$16,$U$3:$AB$3,0))-100%))*$L$660</f>
        <v>14.91</v>
      </c>
      <c r="M661" s="286"/>
      <c r="N661" s="286"/>
      <c r="O661" s="285">
        <v>14.91</v>
      </c>
      <c r="P661" s="285"/>
      <c r="Q661" s="285"/>
      <c r="R661" s="278"/>
      <c r="S661" s="278"/>
      <c r="T661" s="278"/>
    </row>
    <row r="662" spans="1:28" s="305" customFormat="1" hidden="1" outlineLevel="2" x14ac:dyDescent="0.25">
      <c r="A662" s="278"/>
      <c r="B662" s="279" t="str">
        <f t="shared" ref="B662:B671" si="190">C662&amp;D662&amp;E662&amp;F662</f>
        <v>subflooring22mmparticleboard</v>
      </c>
      <c r="C662" s="278" t="s">
        <v>2148</v>
      </c>
      <c r="D662" s="278" t="s">
        <v>727</v>
      </c>
      <c r="E662" s="278" t="s">
        <v>725</v>
      </c>
      <c r="F662" s="278"/>
      <c r="G662" s="278" t="s">
        <v>11</v>
      </c>
      <c r="H662" s="310">
        <v>0.14000000000000001</v>
      </c>
      <c r="I662" s="280">
        <f t="shared" ref="I662:I665" si="191">$I$2*H662</f>
        <v>11.286800000000001</v>
      </c>
      <c r="J662" s="281">
        <f t="shared" ref="J662:J671" si="192">$J$2*H662</f>
        <v>12.800200000000002</v>
      </c>
      <c r="K662" s="282">
        <f>IF(Notes!$B$9="Domestic",I662, IF(Notes!$B$9="Commercial",J662))*$K$660</f>
        <v>25.600400000000004</v>
      </c>
      <c r="L662" s="283">
        <f>(SUM(O662:Q662)+(K662+SUM(M662:Q662))*(INDEX($U$660:$AB$660,MATCH(Notes!$C$16,$U$3:$AB$3,0))-100%))*$L$660</f>
        <v>21.22</v>
      </c>
      <c r="M662" s="286"/>
      <c r="N662" s="286"/>
      <c r="O662" s="285">
        <v>21.22</v>
      </c>
      <c r="P662" s="285"/>
      <c r="Q662" s="285"/>
      <c r="R662" s="278"/>
      <c r="S662" s="278"/>
      <c r="T662" s="278"/>
    </row>
    <row r="663" spans="1:28" s="305" customFormat="1" hidden="1" outlineLevel="2" x14ac:dyDescent="0.25">
      <c r="A663" s="278"/>
      <c r="B663" s="279" t="str">
        <f t="shared" si="190"/>
        <v>subflooring25mmparticleboard</v>
      </c>
      <c r="C663" s="278" t="s">
        <v>2148</v>
      </c>
      <c r="D663" s="278" t="s">
        <v>728</v>
      </c>
      <c r="E663" s="278" t="s">
        <v>725</v>
      </c>
      <c r="F663" s="278"/>
      <c r="G663" s="278" t="s">
        <v>11</v>
      </c>
      <c r="H663" s="310">
        <v>0.14000000000000001</v>
      </c>
      <c r="I663" s="280">
        <f t="shared" si="191"/>
        <v>11.286800000000001</v>
      </c>
      <c r="J663" s="281">
        <f t="shared" si="192"/>
        <v>12.800200000000002</v>
      </c>
      <c r="K663" s="282">
        <f>IF(Notes!$B$9="Domestic",I663, IF(Notes!$B$9="Commercial",J663))*$K$660</f>
        <v>25.600400000000004</v>
      </c>
      <c r="L663" s="283">
        <f>(SUM(O663:Q663)+(K663+SUM(M663:Q663))*(INDEX($U$660:$AB$660,MATCH(Notes!$C$16,$U$3:$AB$3,0))-100%))*$L$660</f>
        <v>27.68</v>
      </c>
      <c r="M663" s="286"/>
      <c r="N663" s="286"/>
      <c r="O663" s="285">
        <v>27.68</v>
      </c>
      <c r="P663" s="285"/>
      <c r="Q663" s="285"/>
      <c r="R663" s="278"/>
      <c r="S663" s="278"/>
      <c r="T663" s="278"/>
    </row>
    <row r="664" spans="1:28" s="305" customFormat="1" hidden="1" outlineLevel="2" x14ac:dyDescent="0.25">
      <c r="A664" s="278"/>
      <c r="B664" s="279" t="str">
        <f t="shared" ref="B664" si="193">C664&amp;D664&amp;E664&amp;F664</f>
        <v>subflooring12mmplywood</v>
      </c>
      <c r="C664" s="278" t="s">
        <v>2148</v>
      </c>
      <c r="D664" s="278" t="s">
        <v>593</v>
      </c>
      <c r="E664" s="278" t="s">
        <v>732</v>
      </c>
      <c r="F664" s="278"/>
      <c r="G664" s="278" t="s">
        <v>11</v>
      </c>
      <c r="H664" s="310">
        <v>0.05</v>
      </c>
      <c r="I664" s="280">
        <f t="shared" ref="I664" si="194">$I$2*H664</f>
        <v>4.0310000000000006</v>
      </c>
      <c r="J664" s="281">
        <f t="shared" ref="J664" si="195">$J$2*H664</f>
        <v>4.5715000000000003</v>
      </c>
      <c r="K664" s="282">
        <f>IF(Notes!$B$9="Domestic",I664, IF(Notes!$B$9="Commercial",J664))*$K$660</f>
        <v>9.1430000000000007</v>
      </c>
      <c r="L664" s="283">
        <f>(SUM(O664:Q664)+(K664+SUM(M664:Q664))*(INDEX($U$660:$AB$660,MATCH(Notes!$C$16,$U$3:$AB$3,0))-100%))*$L$660</f>
        <v>18.170000000000002</v>
      </c>
      <c r="M664" s="286"/>
      <c r="N664" s="286"/>
      <c r="O664" s="285">
        <v>18.170000000000002</v>
      </c>
      <c r="P664" s="285"/>
      <c r="Q664" s="285"/>
      <c r="R664" s="278"/>
      <c r="S664" s="278"/>
      <c r="T664" s="278"/>
    </row>
    <row r="665" spans="1:28" s="305" customFormat="1" hidden="1" outlineLevel="2" x14ac:dyDescent="0.25">
      <c r="A665" s="278"/>
      <c r="B665" s="279" t="str">
        <f t="shared" si="190"/>
        <v>subflooring15mmplywood</v>
      </c>
      <c r="C665" s="278" t="s">
        <v>2148</v>
      </c>
      <c r="D665" s="278" t="s">
        <v>729</v>
      </c>
      <c r="E665" s="278" t="s">
        <v>732</v>
      </c>
      <c r="F665" s="278"/>
      <c r="G665" s="278" t="s">
        <v>11</v>
      </c>
      <c r="H665" s="310">
        <v>0.1</v>
      </c>
      <c r="I665" s="280">
        <f t="shared" si="191"/>
        <v>8.0620000000000012</v>
      </c>
      <c r="J665" s="281">
        <f t="shared" si="192"/>
        <v>9.1430000000000007</v>
      </c>
      <c r="K665" s="282">
        <f>IF(Notes!$B$9="Domestic",I665, IF(Notes!$B$9="Commercial",J665))*$K$660</f>
        <v>18.286000000000001</v>
      </c>
      <c r="L665" s="283">
        <f>(SUM(O665:Q665)+(K665+SUM(M665:Q665))*(INDEX($U$660:$AB$660,MATCH(Notes!$C$16,$U$3:$AB$3,0))-100%))*$L$660</f>
        <v>30.52</v>
      </c>
      <c r="M665" s="286"/>
      <c r="N665" s="286"/>
      <c r="O665" s="285">
        <v>30.52</v>
      </c>
      <c r="P665" s="285"/>
      <c r="Q665" s="285"/>
      <c r="R665" s="278"/>
      <c r="S665" s="278"/>
      <c r="T665" s="278"/>
    </row>
    <row r="666" spans="1:28" s="305" customFormat="1" hidden="1" outlineLevel="2" x14ac:dyDescent="0.25">
      <c r="A666" s="278"/>
      <c r="B666" s="279" t="str">
        <f t="shared" si="190"/>
        <v>subflooring17mmplywood</v>
      </c>
      <c r="C666" s="278" t="s">
        <v>2148</v>
      </c>
      <c r="D666" s="278" t="s">
        <v>730</v>
      </c>
      <c r="E666" s="278" t="s">
        <v>732</v>
      </c>
      <c r="F666" s="278"/>
      <c r="G666" s="278" t="s">
        <v>11</v>
      </c>
      <c r="H666" s="310">
        <v>0.1</v>
      </c>
      <c r="I666" s="280">
        <f>$I$2*H666</f>
        <v>8.0620000000000012</v>
      </c>
      <c r="J666" s="281">
        <f t="shared" si="192"/>
        <v>9.1430000000000007</v>
      </c>
      <c r="K666" s="282">
        <f>IF(Notes!$B$9="Domestic",I666, IF(Notes!$B$9="Commercial",J666))*$K$660</f>
        <v>18.286000000000001</v>
      </c>
      <c r="L666" s="283">
        <f>(SUM(O666:Q666)+(K666+SUM(M666:Q666))*(INDEX($U$660:$AB$660,MATCH(Notes!$C$16,$U$3:$AB$3,0))-100%))*$L$660</f>
        <v>34.64</v>
      </c>
      <c r="M666" s="286"/>
      <c r="N666" s="286"/>
      <c r="O666" s="285">
        <v>34.64</v>
      </c>
      <c r="P666" s="285"/>
      <c r="Q666" s="285"/>
      <c r="R666" s="278"/>
      <c r="S666" s="278"/>
      <c r="T666" s="278"/>
    </row>
    <row r="667" spans="1:28" s="305" customFormat="1" hidden="1" outlineLevel="2" x14ac:dyDescent="0.25">
      <c r="A667" s="278"/>
      <c r="B667" s="279" t="str">
        <f t="shared" si="190"/>
        <v>subflooring19mmplywood</v>
      </c>
      <c r="C667" s="278" t="s">
        <v>2148</v>
      </c>
      <c r="D667" s="278" t="s">
        <v>726</v>
      </c>
      <c r="E667" s="278" t="s">
        <v>732</v>
      </c>
      <c r="F667" s="278"/>
      <c r="G667" s="278" t="s">
        <v>11</v>
      </c>
      <c r="H667" s="310">
        <v>0.12</v>
      </c>
      <c r="I667" s="280">
        <f t="shared" ref="I667:I671" si="196">$I$2*H667</f>
        <v>9.6744000000000003</v>
      </c>
      <c r="J667" s="281">
        <f t="shared" si="192"/>
        <v>10.9716</v>
      </c>
      <c r="K667" s="282">
        <f>IF(Notes!$B$9="Domestic",I667, IF(Notes!$B$9="Commercial",J667))*$K$660</f>
        <v>21.943200000000001</v>
      </c>
      <c r="L667" s="283">
        <f>(SUM(O667:Q667)+(K667+SUM(M667:Q667))*(INDEX($U$660:$AB$660,MATCH(Notes!$C$16,$U$3:$AB$3,0))-100%))*$L$660</f>
        <v>38.76</v>
      </c>
      <c r="M667" s="286"/>
      <c r="N667" s="286"/>
      <c r="O667" s="285">
        <v>38.76</v>
      </c>
      <c r="P667" s="285"/>
      <c r="Q667" s="285"/>
      <c r="R667" s="278"/>
      <c r="S667" s="278"/>
      <c r="T667" s="278"/>
    </row>
    <row r="668" spans="1:28" s="305" customFormat="1" hidden="1" outlineLevel="2" x14ac:dyDescent="0.25">
      <c r="A668" s="278"/>
      <c r="B668" s="279" t="str">
        <f t="shared" si="190"/>
        <v>subflooring21mmplywood</v>
      </c>
      <c r="C668" s="278" t="s">
        <v>2148</v>
      </c>
      <c r="D668" s="278" t="s">
        <v>731</v>
      </c>
      <c r="E668" s="278" t="s">
        <v>732</v>
      </c>
      <c r="F668" s="278"/>
      <c r="G668" s="278" t="s">
        <v>11</v>
      </c>
      <c r="H668" s="310">
        <v>0.14000000000000001</v>
      </c>
      <c r="I668" s="280">
        <f t="shared" si="196"/>
        <v>11.286800000000001</v>
      </c>
      <c r="J668" s="281">
        <f t="shared" si="192"/>
        <v>12.800200000000002</v>
      </c>
      <c r="K668" s="282">
        <f>IF(Notes!$B$9="Domestic",I668, IF(Notes!$B$9="Commercial",J668))*$K$660</f>
        <v>25.600400000000004</v>
      </c>
      <c r="L668" s="283">
        <f>(SUM(O668:Q668)+(K668+SUM(M668:Q668))*(INDEX($U$660:$AB$660,MATCH(Notes!$C$16,$U$3:$AB$3,0))-100%))*$L$660</f>
        <v>41.22</v>
      </c>
      <c r="M668" s="286"/>
      <c r="N668" s="286"/>
      <c r="O668" s="285">
        <v>41.22</v>
      </c>
      <c r="P668" s="285"/>
      <c r="Q668" s="285"/>
      <c r="R668" s="278"/>
      <c r="S668" s="278"/>
      <c r="T668" s="278"/>
    </row>
    <row r="669" spans="1:28" s="305" customFormat="1" hidden="1" outlineLevel="2" x14ac:dyDescent="0.25">
      <c r="A669" s="278"/>
      <c r="B669" s="279" t="str">
        <f t="shared" si="190"/>
        <v>subflooring15mmCFC</v>
      </c>
      <c r="C669" s="278" t="s">
        <v>2148</v>
      </c>
      <c r="D669" s="278" t="s">
        <v>729</v>
      </c>
      <c r="E669" s="278" t="s">
        <v>735</v>
      </c>
      <c r="F669" s="278"/>
      <c r="G669" s="278" t="s">
        <v>11</v>
      </c>
      <c r="H669" s="310">
        <v>0.2</v>
      </c>
      <c r="I669" s="280">
        <f t="shared" si="196"/>
        <v>16.124000000000002</v>
      </c>
      <c r="J669" s="281">
        <f t="shared" si="192"/>
        <v>18.286000000000001</v>
      </c>
      <c r="K669" s="282">
        <f>IF(Notes!$B$9="Domestic",I669, IF(Notes!$B$9="Commercial",J669))*$K$660</f>
        <v>36.572000000000003</v>
      </c>
      <c r="L669" s="283">
        <f>(SUM(O669:Q669)+(K669+SUM(M669:Q669))*(INDEX($U$660:$AB$660,MATCH(Notes!$C$16,$U$3:$AB$3,0))-100%))*$L$660</f>
        <v>65.150000000000006</v>
      </c>
      <c r="M669" s="286"/>
      <c r="N669" s="286"/>
      <c r="O669" s="285">
        <v>65.150000000000006</v>
      </c>
      <c r="P669" s="285"/>
      <c r="Q669" s="285"/>
      <c r="R669" s="278"/>
      <c r="S669" s="278"/>
      <c r="T669" s="278"/>
    </row>
    <row r="670" spans="1:28" s="305" customFormat="1" hidden="1" outlineLevel="2" x14ac:dyDescent="0.25">
      <c r="A670" s="278"/>
      <c r="B670" s="279" t="str">
        <f t="shared" si="190"/>
        <v>subflooring18mmCFC</v>
      </c>
      <c r="C670" s="278" t="s">
        <v>2148</v>
      </c>
      <c r="D670" s="278" t="s">
        <v>733</v>
      </c>
      <c r="E670" s="278" t="s">
        <v>735</v>
      </c>
      <c r="F670" s="278"/>
      <c r="G670" s="278" t="s">
        <v>11</v>
      </c>
      <c r="H670" s="310">
        <v>0.22</v>
      </c>
      <c r="I670" s="280">
        <f t="shared" si="196"/>
        <v>17.7364</v>
      </c>
      <c r="J670" s="281">
        <f t="shared" si="192"/>
        <v>20.114600000000003</v>
      </c>
      <c r="K670" s="282">
        <f>IF(Notes!$B$9="Domestic",I670, IF(Notes!$B$9="Commercial",J670))*$K$660</f>
        <v>40.229200000000006</v>
      </c>
      <c r="L670" s="283">
        <f>(SUM(O670:Q670)+(K670+SUM(M670:Q670))*(INDEX($U$660:$AB$660,MATCH(Notes!$C$16,$U$3:$AB$3,0))-100%))*$L$660</f>
        <v>74.459999999999994</v>
      </c>
      <c r="M670" s="286"/>
      <c r="N670" s="286"/>
      <c r="O670" s="285">
        <v>74.459999999999994</v>
      </c>
      <c r="P670" s="285"/>
      <c r="Q670" s="285"/>
      <c r="R670" s="278"/>
      <c r="S670" s="278"/>
      <c r="T670" s="278"/>
    </row>
    <row r="671" spans="1:28" s="305" customFormat="1" hidden="1" outlineLevel="2" x14ac:dyDescent="0.25">
      <c r="A671" s="278"/>
      <c r="B671" s="279" t="str">
        <f t="shared" si="190"/>
        <v>subflooring24mmCFC</v>
      </c>
      <c r="C671" s="278" t="s">
        <v>2148</v>
      </c>
      <c r="D671" s="278" t="s">
        <v>734</v>
      </c>
      <c r="E671" s="278" t="s">
        <v>735</v>
      </c>
      <c r="F671" s="278"/>
      <c r="G671" s="278" t="s">
        <v>11</v>
      </c>
      <c r="H671" s="310">
        <v>0.25</v>
      </c>
      <c r="I671" s="280">
        <f t="shared" si="196"/>
        <v>20.155000000000001</v>
      </c>
      <c r="J671" s="281">
        <f t="shared" si="192"/>
        <v>22.857500000000002</v>
      </c>
      <c r="K671" s="282">
        <f>IF(Notes!$B$9="Domestic",I671, IF(Notes!$B$9="Commercial",J671))*$K$660</f>
        <v>45.715000000000003</v>
      </c>
      <c r="L671" s="283">
        <f>(SUM(O671:Q671)+(K671+SUM(M671:Q671))*(INDEX($U$660:$AB$660,MATCH(Notes!$C$16,$U$3:$AB$3,0))-100%))*$L$660</f>
        <v>104.05</v>
      </c>
      <c r="M671" s="286"/>
      <c r="N671" s="286"/>
      <c r="O671" s="285">
        <v>104.05</v>
      </c>
      <c r="P671" s="285"/>
      <c r="Q671" s="285"/>
      <c r="R671" s="278"/>
      <c r="S671" s="278"/>
      <c r="T671" s="278"/>
    </row>
    <row r="672" spans="1:28" ht="21" hidden="1" outlineLevel="1" collapsed="1" x14ac:dyDescent="0.25">
      <c r="A672" s="299" t="s">
        <v>1882</v>
      </c>
      <c r="B672" s="299"/>
      <c r="C672" s="299"/>
      <c r="D672" s="299"/>
      <c r="E672" s="299"/>
      <c r="F672" s="299"/>
      <c r="G672" s="299"/>
      <c r="H672" s="348"/>
      <c r="I672" s="299"/>
      <c r="J672" s="299"/>
      <c r="K672" s="299"/>
      <c r="L672" s="299"/>
      <c r="M672" s="299"/>
      <c r="N672" s="299"/>
      <c r="O672" s="299"/>
      <c r="P672" s="299"/>
      <c r="Q672" s="299"/>
      <c r="R672" s="299"/>
      <c r="S672" s="299"/>
      <c r="T672" s="299"/>
      <c r="U672" s="299"/>
      <c r="V672" s="299"/>
      <c r="W672" s="299"/>
      <c r="X672" s="299"/>
      <c r="Y672" s="299"/>
      <c r="Z672" s="299"/>
      <c r="AA672" s="299"/>
      <c r="AB672" s="299"/>
    </row>
    <row r="673" spans="1:28" ht="15.75" hidden="1" outlineLevel="1" x14ac:dyDescent="0.25">
      <c r="A673" s="291"/>
      <c r="B673" s="291"/>
      <c r="C673" s="291"/>
      <c r="D673" s="291"/>
      <c r="E673" s="291"/>
      <c r="F673" s="291"/>
      <c r="G673" s="291"/>
      <c r="H673" s="325"/>
      <c r="I673" s="291"/>
      <c r="J673" s="291"/>
      <c r="K673" s="291">
        <v>2</v>
      </c>
      <c r="L673" s="291">
        <f>L$2</f>
        <v>1</v>
      </c>
      <c r="M673" s="291"/>
      <c r="N673" s="291"/>
      <c r="O673" s="303"/>
      <c r="P673" s="303"/>
      <c r="Q673" s="303"/>
      <c r="R673" s="291"/>
      <c r="S673" s="291"/>
      <c r="T673" s="291"/>
      <c r="U673" s="381">
        <f>U$2</f>
        <v>1.0309523809523808</v>
      </c>
      <c r="V673" s="381">
        <f>V$2</f>
        <v>1</v>
      </c>
      <c r="W673" s="381">
        <f t="shared" ref="W673:AB673" si="197">W$2</f>
        <v>1.0705952380952379</v>
      </c>
      <c r="X673" s="381">
        <f t="shared" si="197"/>
        <v>1.1199999999999999</v>
      </c>
      <c r="Y673" s="381">
        <f t="shared" si="197"/>
        <v>1.0571428571428572</v>
      </c>
      <c r="Z673" s="381">
        <f t="shared" si="197"/>
        <v>1.1299999999999999</v>
      </c>
      <c r="AA673" s="381">
        <f t="shared" si="197"/>
        <v>1.0776942355889725</v>
      </c>
      <c r="AB673" s="381">
        <f t="shared" si="197"/>
        <v>1.0325814536340854</v>
      </c>
    </row>
    <row r="674" spans="1:28" s="305" customFormat="1" hidden="1" outlineLevel="2" x14ac:dyDescent="0.25">
      <c r="A674" s="278"/>
      <c r="B674" s="279" t="str">
        <f>C674&amp;D674&amp;E674&amp;F674</f>
        <v>ceiling batten</v>
      </c>
      <c r="C674" s="278" t="s">
        <v>1883</v>
      </c>
      <c r="D674" s="278"/>
      <c r="E674" s="278"/>
      <c r="F674" s="278"/>
      <c r="G674" s="278" t="s">
        <v>11</v>
      </c>
      <c r="H674" s="310">
        <v>0.08</v>
      </c>
      <c r="I674" s="280">
        <f>$I$2*H674</f>
        <v>6.4496000000000002</v>
      </c>
      <c r="J674" s="281">
        <f>$J$2*H674</f>
        <v>7.3144000000000009</v>
      </c>
      <c r="K674" s="282">
        <f>IF(Notes!$B$9="Domestic",I674, IF(Notes!$B$9="Commercial",J674))*$K$673</f>
        <v>14.628800000000002</v>
      </c>
      <c r="L674" s="283">
        <f>(SUM(O674:Q674)+(K674+SUM(M674:Q674))*(INDEX($U$673:$AB$673,MATCH(Notes!$C$16,$U$3:$AB$3,0))-100%))*$L$673</f>
        <v>8.09</v>
      </c>
      <c r="M674" s="286"/>
      <c r="N674" s="286"/>
      <c r="O674" s="285">
        <v>8.09</v>
      </c>
      <c r="P674" s="285"/>
      <c r="Q674" s="285"/>
      <c r="R674" s="278"/>
      <c r="S674" s="278"/>
      <c r="T674" s="278"/>
    </row>
    <row r="675" spans="1:28" s="305" customFormat="1" hidden="1" outlineLevel="2" x14ac:dyDescent="0.25">
      <c r="A675" s="278"/>
      <c r="B675" s="279" t="str">
        <f t="shared" ref="B675" si="198">C675&amp;D675&amp;E675&amp;F675</f>
        <v>soffit batten</v>
      </c>
      <c r="C675" s="278" t="s">
        <v>1884</v>
      </c>
      <c r="D675" s="278"/>
      <c r="E675" s="278"/>
      <c r="F675" s="278"/>
      <c r="G675" s="278" t="s">
        <v>11</v>
      </c>
      <c r="H675" s="310">
        <v>0.12</v>
      </c>
      <c r="I675" s="280">
        <f t="shared" ref="I675" si="199">$I$2*H675</f>
        <v>9.6744000000000003</v>
      </c>
      <c r="J675" s="281">
        <f t="shared" ref="J675" si="200">$J$2*H675</f>
        <v>10.9716</v>
      </c>
      <c r="K675" s="282">
        <f>IF(Notes!$B$9="Domestic",I675, IF(Notes!$B$9="Commercial",J675))*$K$673</f>
        <v>21.943200000000001</v>
      </c>
      <c r="L675" s="283">
        <f>(SUM(O675:Q675)+(K675+SUM(M675:Q675))*(INDEX($U$673:$AB$673,MATCH(Notes!$C$16,$U$3:$AB$3,0))-100%))*$L$673</f>
        <v>8.19</v>
      </c>
      <c r="M675" s="286"/>
      <c r="N675" s="286"/>
      <c r="O675" s="285">
        <v>8.19</v>
      </c>
      <c r="P675" s="285"/>
      <c r="Q675" s="285"/>
      <c r="R675" s="278"/>
      <c r="S675" s="278"/>
      <c r="T675" s="278"/>
    </row>
    <row r="676" spans="1:28" ht="21" hidden="1" outlineLevel="1" collapsed="1" x14ac:dyDescent="0.25">
      <c r="A676" s="299" t="s">
        <v>1885</v>
      </c>
      <c r="B676" s="299"/>
      <c r="C676" s="299"/>
      <c r="D676" s="299"/>
      <c r="E676" s="299"/>
      <c r="F676" s="299"/>
      <c r="G676" s="299"/>
      <c r="H676" s="348"/>
      <c r="I676" s="299"/>
      <c r="J676" s="299"/>
      <c r="K676" s="299"/>
      <c r="L676" s="299"/>
      <c r="M676" s="299"/>
      <c r="N676" s="299"/>
      <c r="O676" s="299"/>
      <c r="P676" s="299"/>
      <c r="Q676" s="299"/>
      <c r="R676" s="299"/>
      <c r="S676" s="299"/>
      <c r="T676" s="299"/>
      <c r="U676" s="299"/>
      <c r="V676" s="299"/>
      <c r="W676" s="299"/>
      <c r="X676" s="299"/>
      <c r="Y676" s="299"/>
      <c r="Z676" s="299"/>
      <c r="AA676" s="299"/>
      <c r="AB676" s="299"/>
    </row>
    <row r="677" spans="1:28" ht="15.75" hidden="1" outlineLevel="1" x14ac:dyDescent="0.25">
      <c r="A677" s="291"/>
      <c r="B677" s="291"/>
      <c r="C677" s="291"/>
      <c r="D677" s="291"/>
      <c r="E677" s="291"/>
      <c r="F677" s="291"/>
      <c r="G677" s="291"/>
      <c r="H677" s="325"/>
      <c r="I677" s="291"/>
      <c r="J677" s="291"/>
      <c r="K677" s="291">
        <v>2</v>
      </c>
      <c r="L677" s="291">
        <f>L$2</f>
        <v>1</v>
      </c>
      <c r="M677" s="291"/>
      <c r="N677" s="291"/>
      <c r="O677" s="303"/>
      <c r="P677" s="303"/>
      <c r="Q677" s="303"/>
      <c r="R677" s="291"/>
      <c r="S677" s="291"/>
      <c r="T677" s="291"/>
      <c r="U677" s="381">
        <f>U$2</f>
        <v>1.0309523809523808</v>
      </c>
      <c r="V677" s="381">
        <f>V$2</f>
        <v>1</v>
      </c>
      <c r="W677" s="381">
        <f t="shared" ref="W677:AB677" si="201">W$2</f>
        <v>1.0705952380952379</v>
      </c>
      <c r="X677" s="381">
        <f t="shared" si="201"/>
        <v>1.1199999999999999</v>
      </c>
      <c r="Y677" s="381">
        <f t="shared" si="201"/>
        <v>1.0571428571428572</v>
      </c>
      <c r="Z677" s="381">
        <f t="shared" si="201"/>
        <v>1.1299999999999999</v>
      </c>
      <c r="AA677" s="381">
        <f t="shared" si="201"/>
        <v>1.0776942355889725</v>
      </c>
      <c r="AB677" s="381">
        <f t="shared" si="201"/>
        <v>1.0325814536340854</v>
      </c>
    </row>
    <row r="678" spans="1:28" s="305" customFormat="1" hidden="1" outlineLevel="2" x14ac:dyDescent="0.25">
      <c r="A678" s="278"/>
      <c r="B678" s="279" t="str">
        <f>C678&amp;D678&amp;E678&amp;F678</f>
        <v>fascia/barge140x19mm</v>
      </c>
      <c r="C678" s="278" t="s">
        <v>1886</v>
      </c>
      <c r="D678" s="278" t="s">
        <v>561</v>
      </c>
      <c r="E678" s="278"/>
      <c r="F678" s="278"/>
      <c r="G678" s="278" t="s">
        <v>15</v>
      </c>
      <c r="H678" s="310">
        <v>0.17</v>
      </c>
      <c r="I678" s="280">
        <f>$I$2*H678</f>
        <v>13.705400000000001</v>
      </c>
      <c r="J678" s="281">
        <f>$J$2*H678</f>
        <v>15.543100000000003</v>
      </c>
      <c r="K678" s="282">
        <f>IF(Notes!$B$9="Domestic",I678, IF(Notes!$B$9="Commercial",J678))*$K$677</f>
        <v>31.086200000000005</v>
      </c>
      <c r="L678" s="283">
        <f>(SUM(O678:Q678)+(K678+SUM(M678:Q678))*(INDEX($U$677:$AB$677,MATCH(Notes!$C$16,$U$3:$AB$3,0))-100%))*$L$677</f>
        <v>11.27</v>
      </c>
      <c r="M678" s="286"/>
      <c r="N678" s="286"/>
      <c r="O678" s="285">
        <v>11.27</v>
      </c>
      <c r="P678" s="285"/>
      <c r="Q678" s="285"/>
      <c r="R678" s="278"/>
      <c r="S678" s="278"/>
      <c r="T678" s="278"/>
    </row>
    <row r="679" spans="1:28" s="305" customFormat="1" hidden="1" outlineLevel="2" x14ac:dyDescent="0.25">
      <c r="A679" s="278"/>
      <c r="B679" s="279" t="str">
        <f t="shared" ref="B679:B683" si="202">C679&amp;D679&amp;E679&amp;F679</f>
        <v>fascia/barge190x19mm</v>
      </c>
      <c r="C679" s="278" t="s">
        <v>1886</v>
      </c>
      <c r="D679" s="278" t="s">
        <v>1917</v>
      </c>
      <c r="E679" s="278"/>
      <c r="F679" s="278"/>
      <c r="G679" s="278" t="s">
        <v>15</v>
      </c>
      <c r="H679" s="310">
        <v>0.19</v>
      </c>
      <c r="I679" s="280">
        <f t="shared" ref="I679:I681" si="203">$I$2*H679</f>
        <v>15.317800000000002</v>
      </c>
      <c r="J679" s="281">
        <f t="shared" ref="J679:J683" si="204">$J$2*H679</f>
        <v>17.371700000000001</v>
      </c>
      <c r="K679" s="282">
        <f>IF(Notes!$B$9="Domestic",I679, IF(Notes!$B$9="Commercial",J679))*$K$677</f>
        <v>34.743400000000001</v>
      </c>
      <c r="L679" s="283">
        <f>(SUM(O679:Q679)+(K679+SUM(M679:Q679))*(INDEX($U$677:$AB$677,MATCH(Notes!$C$16,$U$3:$AB$3,0))-100%))*$L$677</f>
        <v>13.54</v>
      </c>
      <c r="M679" s="286"/>
      <c r="N679" s="286"/>
      <c r="O679" s="285">
        <v>13.54</v>
      </c>
      <c r="P679" s="285"/>
      <c r="Q679" s="285"/>
      <c r="R679" s="278"/>
      <c r="S679" s="278"/>
      <c r="T679" s="278"/>
    </row>
    <row r="680" spans="1:28" s="305" customFormat="1" hidden="1" outlineLevel="2" x14ac:dyDescent="0.25">
      <c r="A680" s="278"/>
      <c r="B680" s="279" t="str">
        <f t="shared" si="202"/>
        <v>fascia/barge180x25mm</v>
      </c>
      <c r="C680" s="278" t="s">
        <v>1886</v>
      </c>
      <c r="D680" s="278" t="s">
        <v>1918</v>
      </c>
      <c r="E680" s="278"/>
      <c r="F680" s="278"/>
      <c r="G680" s="278" t="s">
        <v>15</v>
      </c>
      <c r="H680" s="310">
        <v>0.25</v>
      </c>
      <c r="I680" s="280">
        <f t="shared" si="203"/>
        <v>20.155000000000001</v>
      </c>
      <c r="J680" s="281">
        <f t="shared" si="204"/>
        <v>22.857500000000002</v>
      </c>
      <c r="K680" s="282">
        <f>IF(Notes!$B$9="Domestic",I680, IF(Notes!$B$9="Commercial",J680))*$K$677</f>
        <v>45.715000000000003</v>
      </c>
      <c r="L680" s="283">
        <f>(SUM(O680:Q680)+(K680+SUM(M680:Q680))*(INDEX($U$677:$AB$677,MATCH(Notes!$C$16,$U$3:$AB$3,0))-100%))*$L$677</f>
        <v>21.59</v>
      </c>
      <c r="M680" s="286"/>
      <c r="N680" s="286"/>
      <c r="O680" s="285">
        <v>21.59</v>
      </c>
      <c r="P680" s="285"/>
      <c r="Q680" s="285"/>
      <c r="R680" s="278"/>
      <c r="S680" s="278"/>
      <c r="T680" s="278"/>
    </row>
    <row r="681" spans="1:28" s="305" customFormat="1" hidden="1" outlineLevel="2" x14ac:dyDescent="0.25">
      <c r="A681" s="278"/>
      <c r="B681" s="279" t="str">
        <f>C681&amp;D681&amp;E681&amp;F681</f>
        <v>fascia/barge190x30mm</v>
      </c>
      <c r="C681" s="278" t="s">
        <v>1886</v>
      </c>
      <c r="D681" s="278" t="s">
        <v>1919</v>
      </c>
      <c r="E681" s="278"/>
      <c r="F681" s="278"/>
      <c r="G681" s="278" t="s">
        <v>15</v>
      </c>
      <c r="H681" s="310">
        <v>0.25</v>
      </c>
      <c r="I681" s="280">
        <f t="shared" si="203"/>
        <v>20.155000000000001</v>
      </c>
      <c r="J681" s="281">
        <f t="shared" si="204"/>
        <v>22.857500000000002</v>
      </c>
      <c r="K681" s="282">
        <f>IF(Notes!$B$9="Domestic",I681, IF(Notes!$B$9="Commercial",J681))*$K$677</f>
        <v>45.715000000000003</v>
      </c>
      <c r="L681" s="283">
        <f>(SUM(O681:Q681)+(K681+SUM(M681:Q681))*(INDEX($U$677:$AB$677,MATCH(Notes!$C$16,$U$3:$AB$3,0))-100%))*$L$677</f>
        <v>23.75</v>
      </c>
      <c r="M681" s="286"/>
      <c r="N681" s="286"/>
      <c r="O681" s="285">
        <v>23.75</v>
      </c>
      <c r="P681" s="285"/>
      <c r="Q681" s="285"/>
      <c r="R681" s="278"/>
      <c r="S681" s="278"/>
      <c r="T681" s="278"/>
    </row>
    <row r="682" spans="1:28" s="305" customFormat="1" hidden="1" outlineLevel="2" x14ac:dyDescent="0.25">
      <c r="A682" s="278"/>
      <c r="B682" s="279" t="str">
        <f t="shared" si="202"/>
        <v>fascia/barge240x25mm</v>
      </c>
      <c r="C682" s="278" t="s">
        <v>1886</v>
      </c>
      <c r="D682" s="278" t="s">
        <v>1920</v>
      </c>
      <c r="E682" s="278"/>
      <c r="F682" s="278"/>
      <c r="G682" s="278" t="s">
        <v>15</v>
      </c>
      <c r="H682" s="310">
        <v>0.31</v>
      </c>
      <c r="I682" s="280">
        <f>$I$2*H682</f>
        <v>24.9922</v>
      </c>
      <c r="J682" s="281">
        <f t="shared" si="204"/>
        <v>28.343300000000003</v>
      </c>
      <c r="K682" s="282">
        <f>IF(Notes!$B$9="Domestic",I682, IF(Notes!$B$9="Commercial",J682))*$K$677</f>
        <v>56.686600000000006</v>
      </c>
      <c r="L682" s="283">
        <f>(SUM(O682:Q682)+(K682+SUM(M682:Q682))*(INDEX($U$677:$AB$677,MATCH(Notes!$C$16,$U$3:$AB$3,0))-100%))*$L$677</f>
        <v>27.54</v>
      </c>
      <c r="M682" s="286"/>
      <c r="N682" s="286"/>
      <c r="O682" s="285">
        <v>27.54</v>
      </c>
      <c r="P682" s="285"/>
      <c r="Q682" s="285"/>
      <c r="R682" s="278"/>
      <c r="S682" s="278"/>
      <c r="T682" s="278"/>
    </row>
    <row r="683" spans="1:28" s="305" customFormat="1" hidden="1" outlineLevel="2" x14ac:dyDescent="0.25">
      <c r="A683" s="278"/>
      <c r="B683" s="279" t="str">
        <f t="shared" si="202"/>
        <v>fascia/barge280x30mm</v>
      </c>
      <c r="C683" s="278" t="s">
        <v>1886</v>
      </c>
      <c r="D683" s="278" t="s">
        <v>1921</v>
      </c>
      <c r="E683" s="278"/>
      <c r="F683" s="278"/>
      <c r="G683" s="278" t="s">
        <v>15</v>
      </c>
      <c r="H683" s="310">
        <v>0.4</v>
      </c>
      <c r="I683" s="280">
        <f t="shared" ref="I683" si="205">$I$2*H683</f>
        <v>32.248000000000005</v>
      </c>
      <c r="J683" s="281">
        <f t="shared" si="204"/>
        <v>36.572000000000003</v>
      </c>
      <c r="K683" s="282">
        <f>IF(Notes!$B$9="Domestic",I683, IF(Notes!$B$9="Commercial",J683))*$K$677</f>
        <v>73.144000000000005</v>
      </c>
      <c r="L683" s="283">
        <f>(SUM(O683:Q683)+(K683+SUM(M683:Q683))*(INDEX($U$677:$AB$677,MATCH(Notes!$C$16,$U$3:$AB$3,0))-100%))*$L$677</f>
        <v>32.5</v>
      </c>
      <c r="M683" s="286"/>
      <c r="N683" s="286"/>
      <c r="O683" s="285">
        <v>32.5</v>
      </c>
      <c r="P683" s="285"/>
      <c r="Q683" s="285"/>
      <c r="R683" s="278"/>
      <c r="S683" s="278"/>
      <c r="T683" s="278"/>
    </row>
    <row r="684" spans="1:28" ht="21" hidden="1" outlineLevel="1" collapsed="1" x14ac:dyDescent="0.25">
      <c r="A684" s="299" t="s">
        <v>2198</v>
      </c>
      <c r="B684" s="299"/>
      <c r="C684" s="299"/>
      <c r="D684" s="299"/>
      <c r="E684" s="299"/>
      <c r="F684" s="299"/>
      <c r="G684" s="299"/>
      <c r="H684" s="348"/>
      <c r="I684" s="299"/>
      <c r="J684" s="299"/>
      <c r="K684" s="299"/>
      <c r="L684" s="299"/>
      <c r="M684" s="299"/>
      <c r="N684" s="299"/>
      <c r="O684" s="299"/>
      <c r="P684" s="299"/>
      <c r="Q684" s="299"/>
      <c r="R684" s="299"/>
      <c r="S684" s="299"/>
      <c r="T684" s="299"/>
      <c r="U684" s="299"/>
      <c r="V684" s="299"/>
      <c r="W684" s="299"/>
      <c r="X684" s="299"/>
      <c r="Y684" s="299"/>
      <c r="Z684" s="299"/>
      <c r="AA684" s="299"/>
      <c r="AB684" s="299"/>
    </row>
    <row r="685" spans="1:28" ht="15.75" hidden="1" outlineLevel="1" x14ac:dyDescent="0.25">
      <c r="A685" s="291"/>
      <c r="B685" s="291"/>
      <c r="C685" s="291"/>
      <c r="D685" s="291"/>
      <c r="E685" s="291"/>
      <c r="F685" s="291"/>
      <c r="G685" s="291"/>
      <c r="H685" s="325"/>
      <c r="I685" s="291"/>
      <c r="J685" s="291"/>
      <c r="K685" s="291">
        <v>2</v>
      </c>
      <c r="L685" s="291">
        <f>L$2</f>
        <v>1</v>
      </c>
      <c r="M685" s="291"/>
      <c r="N685" s="291"/>
      <c r="O685" s="303"/>
      <c r="P685" s="303"/>
      <c r="Q685" s="303"/>
      <c r="R685" s="291"/>
      <c r="S685" s="291"/>
      <c r="T685" s="291"/>
      <c r="U685" s="381">
        <f>U$2</f>
        <v>1.0309523809523808</v>
      </c>
      <c r="V685" s="381">
        <f>V$2</f>
        <v>1</v>
      </c>
      <c r="W685" s="381">
        <f t="shared" ref="W685:AB685" si="206">W$2</f>
        <v>1.0705952380952379</v>
      </c>
      <c r="X685" s="381">
        <f t="shared" si="206"/>
        <v>1.1199999999999999</v>
      </c>
      <c r="Y685" s="381">
        <f t="shared" si="206"/>
        <v>1.0571428571428572</v>
      </c>
      <c r="Z685" s="381">
        <f t="shared" si="206"/>
        <v>1.1299999999999999</v>
      </c>
      <c r="AA685" s="381">
        <f t="shared" si="206"/>
        <v>1.0776942355889725</v>
      </c>
      <c r="AB685" s="381">
        <f t="shared" si="206"/>
        <v>1.0325814536340854</v>
      </c>
    </row>
    <row r="686" spans="1:28" s="305" customFormat="1" hidden="1" outlineLevel="2" x14ac:dyDescent="0.25">
      <c r="A686" s="278"/>
      <c r="B686" s="279" t="str">
        <f>C686&amp;D686&amp;E686&amp;F686</f>
        <v>wall (on site)70x35mm @ 450mm ctsMGP10</v>
      </c>
      <c r="C686" s="278" t="s">
        <v>2200</v>
      </c>
      <c r="D686" s="351" t="s">
        <v>856</v>
      </c>
      <c r="E686" s="278" t="s">
        <v>505</v>
      </c>
      <c r="F686" s="278"/>
      <c r="G686" s="278" t="s">
        <v>11</v>
      </c>
      <c r="H686" s="310">
        <v>0.16</v>
      </c>
      <c r="I686" s="280">
        <f>$I$2*H686</f>
        <v>12.8992</v>
      </c>
      <c r="J686" s="281">
        <f>$J$2*H686</f>
        <v>14.628800000000002</v>
      </c>
      <c r="K686" s="282">
        <f>IF(Notes!$B$9="Domestic",I686, IF(Notes!$B$9="Commercial",J686))*$K$685</f>
        <v>29.257600000000004</v>
      </c>
      <c r="L686" s="283">
        <f>(SUM(O686:Q686)+(K686+SUM(M686:Q686))*(INDEX($U$685:$AB$685,MATCH(Notes!$C$16,$U$3:$AB$3,0))-100%))*$L$685</f>
        <v>22.314814814814813</v>
      </c>
      <c r="M686" s="286"/>
      <c r="N686" s="286"/>
      <c r="O686" s="285">
        <f>60.25/2.7</f>
        <v>22.314814814814813</v>
      </c>
      <c r="P686" s="285"/>
      <c r="Q686" s="285"/>
      <c r="R686" s="278"/>
      <c r="S686" s="278"/>
      <c r="T686" s="278"/>
    </row>
    <row r="687" spans="1:28" s="305" customFormat="1" hidden="1" outlineLevel="2" x14ac:dyDescent="0.25">
      <c r="A687" s="278"/>
      <c r="B687" s="279" t="str">
        <f t="shared" ref="B687:B721" si="207">C687&amp;D687&amp;E687&amp;F687</f>
        <v>wall (on site)70x45mm @ 450mm ctsMGP10</v>
      </c>
      <c r="C687" s="278" t="s">
        <v>2200</v>
      </c>
      <c r="D687" s="351" t="s">
        <v>857</v>
      </c>
      <c r="E687" s="278" t="s">
        <v>505</v>
      </c>
      <c r="F687" s="278"/>
      <c r="G687" s="278" t="s">
        <v>11</v>
      </c>
      <c r="H687" s="310">
        <v>0.16</v>
      </c>
      <c r="I687" s="280">
        <f t="shared" ref="I687:I689" si="208">$I$2*H687</f>
        <v>12.8992</v>
      </c>
      <c r="J687" s="281">
        <f t="shared" ref="J687:J689" si="209">$J$2*H687</f>
        <v>14.628800000000002</v>
      </c>
      <c r="K687" s="282">
        <f>IF(Notes!$B$9="Domestic",I687, IF(Notes!$B$9="Commercial",J687))*$K$685</f>
        <v>29.257600000000004</v>
      </c>
      <c r="L687" s="283">
        <f>(SUM(O687:Q687)+(K687+SUM(M687:Q687))*(INDEX($U$685:$AB$685,MATCH(Notes!$C$16,$U$3:$AB$3,0))-100%))*$L$685</f>
        <v>27.029629629629628</v>
      </c>
      <c r="M687" s="286"/>
      <c r="N687" s="286"/>
      <c r="O687" s="285">
        <f>72.98/2.7</f>
        <v>27.029629629629628</v>
      </c>
      <c r="P687" s="285"/>
      <c r="Q687" s="285"/>
      <c r="R687" s="278"/>
      <c r="S687" s="278"/>
      <c r="T687" s="278"/>
    </row>
    <row r="688" spans="1:28" s="305" customFormat="1" hidden="1" outlineLevel="2" x14ac:dyDescent="0.25">
      <c r="A688" s="278"/>
      <c r="B688" s="279" t="str">
        <f t="shared" si="207"/>
        <v>wall (on site)90x35mm @ 450mm ctsMGP10</v>
      </c>
      <c r="C688" s="278" t="s">
        <v>2200</v>
      </c>
      <c r="D688" s="351" t="s">
        <v>858</v>
      </c>
      <c r="E688" s="278" t="s">
        <v>505</v>
      </c>
      <c r="F688" s="278"/>
      <c r="G688" s="278" t="s">
        <v>11</v>
      </c>
      <c r="H688" s="310">
        <v>0.17</v>
      </c>
      <c r="I688" s="280">
        <f t="shared" si="208"/>
        <v>13.705400000000001</v>
      </c>
      <c r="J688" s="281">
        <f t="shared" si="209"/>
        <v>15.543100000000003</v>
      </c>
      <c r="K688" s="282">
        <f>IF(Notes!$B$9="Domestic",I688, IF(Notes!$B$9="Commercial",J688))*$K$685</f>
        <v>31.086200000000005</v>
      </c>
      <c r="L688" s="283">
        <f>(SUM(O688:Q688)+(K688+SUM(M688:Q688))*(INDEX($U$685:$AB$685,MATCH(Notes!$C$16,$U$3:$AB$3,0))-100%))*$L$685</f>
        <v>28.373333333333335</v>
      </c>
      <c r="M688" s="286"/>
      <c r="N688" s="286"/>
      <c r="O688" s="285">
        <f>85.12/3</f>
        <v>28.373333333333335</v>
      </c>
      <c r="P688" s="285"/>
      <c r="Q688" s="285"/>
      <c r="R688" s="278"/>
      <c r="S688" s="278"/>
      <c r="T688" s="278"/>
    </row>
    <row r="689" spans="1:20" s="305" customFormat="1" hidden="1" outlineLevel="2" x14ac:dyDescent="0.25">
      <c r="A689" s="278"/>
      <c r="B689" s="279" t="str">
        <f t="shared" si="207"/>
        <v>wall (on site)90x45mm @ 450mm ctsMGP10</v>
      </c>
      <c r="C689" s="278" t="s">
        <v>2200</v>
      </c>
      <c r="D689" s="351" t="s">
        <v>859</v>
      </c>
      <c r="E689" s="278" t="s">
        <v>505</v>
      </c>
      <c r="F689" s="278"/>
      <c r="G689" s="278" t="s">
        <v>11</v>
      </c>
      <c r="H689" s="310">
        <v>0.17</v>
      </c>
      <c r="I689" s="280">
        <f t="shared" si="208"/>
        <v>13.705400000000001</v>
      </c>
      <c r="J689" s="281">
        <f t="shared" si="209"/>
        <v>15.543100000000003</v>
      </c>
      <c r="K689" s="282">
        <f>IF(Notes!$B$9="Domestic",I689, IF(Notes!$B$9="Commercial",J689))*$K$685</f>
        <v>31.086200000000005</v>
      </c>
      <c r="L689" s="283">
        <f>(SUM(O689:Q689)+(K689+SUM(M689:Q689))*(INDEX($U$685:$AB$685,MATCH(Notes!$C$16,$U$3:$AB$3,0))-100%))*$L$685</f>
        <v>33.286666666666669</v>
      </c>
      <c r="M689" s="286"/>
      <c r="N689" s="286"/>
      <c r="O689" s="285">
        <f>99.86/3</f>
        <v>33.286666666666669</v>
      </c>
      <c r="P689" s="285"/>
      <c r="Q689" s="285"/>
      <c r="R689" s="278"/>
      <c r="S689" s="278"/>
      <c r="T689" s="278"/>
    </row>
    <row r="690" spans="1:20" s="305" customFormat="1" hidden="1" outlineLevel="2" x14ac:dyDescent="0.25">
      <c r="A690" s="278"/>
      <c r="B690" s="279" t="str">
        <f t="shared" si="207"/>
        <v>wall (on site)140x35mm @ 450mm ctsMGP10</v>
      </c>
      <c r="C690" s="278" t="s">
        <v>2200</v>
      </c>
      <c r="D690" s="351" t="s">
        <v>860</v>
      </c>
      <c r="E690" s="278" t="s">
        <v>505</v>
      </c>
      <c r="F690" s="278"/>
      <c r="G690" s="278" t="s">
        <v>11</v>
      </c>
      <c r="H690" s="310">
        <v>0.18</v>
      </c>
      <c r="I690" s="280">
        <f>$I$2*H690</f>
        <v>14.5116</v>
      </c>
      <c r="J690" s="281">
        <f>$J$2*H690</f>
        <v>16.4574</v>
      </c>
      <c r="K690" s="282">
        <f>IF(Notes!$B$9="Domestic",I690, IF(Notes!$B$9="Commercial",J690))*$K$685</f>
        <v>32.9148</v>
      </c>
      <c r="L690" s="283">
        <f>(SUM(O690:Q690)+(K690+SUM(M690:Q690))*(INDEX($U$685:$AB$685,MATCH(Notes!$C$16,$U$3:$AB$3,0))-100%))*$L$685</f>
        <v>44.170370370370371</v>
      </c>
      <c r="M690" s="286"/>
      <c r="N690" s="286"/>
      <c r="O690" s="285">
        <f>119.26/2.7</f>
        <v>44.170370370370371</v>
      </c>
      <c r="P690" s="285"/>
      <c r="Q690" s="285"/>
      <c r="R690" s="278"/>
      <c r="S690" s="278"/>
      <c r="T690" s="278"/>
    </row>
    <row r="691" spans="1:20" s="305" customFormat="1" hidden="1" outlineLevel="2" x14ac:dyDescent="0.25">
      <c r="A691" s="278"/>
      <c r="B691" s="279" t="str">
        <f t="shared" si="207"/>
        <v>wall (on site)140x45mm @ 450mm ctsMGP10</v>
      </c>
      <c r="C691" s="278" t="s">
        <v>2200</v>
      </c>
      <c r="D691" s="351" t="s">
        <v>861</v>
      </c>
      <c r="E691" s="278" t="s">
        <v>505</v>
      </c>
      <c r="F691" s="278"/>
      <c r="G691" s="278" t="s">
        <v>11</v>
      </c>
      <c r="H691" s="310">
        <v>0.18</v>
      </c>
      <c r="I691" s="280">
        <f>$I$2*H691</f>
        <v>14.5116</v>
      </c>
      <c r="J691" s="281">
        <f>$J$2*H691</f>
        <v>16.4574</v>
      </c>
      <c r="K691" s="282">
        <f>IF(Notes!$B$9="Domestic",I691, IF(Notes!$B$9="Commercial",J691))*$K$685</f>
        <v>32.9148</v>
      </c>
      <c r="L691" s="283">
        <f>(SUM(O691:Q691)+(K691+SUM(M691:Q691))*(INDEX($U$685:$AB$685,MATCH(Notes!$C$16,$U$3:$AB$3,0))-100%))*$L$685</f>
        <v>49.725925925925921</v>
      </c>
      <c r="M691" s="286"/>
      <c r="N691" s="286"/>
      <c r="O691" s="285">
        <f>134.26/2.7</f>
        <v>49.725925925925921</v>
      </c>
      <c r="P691" s="285"/>
      <c r="Q691" s="285"/>
      <c r="R691" s="278"/>
      <c r="S691" s="278"/>
      <c r="T691" s="278"/>
    </row>
    <row r="692" spans="1:20" s="305" customFormat="1" hidden="1" outlineLevel="2" x14ac:dyDescent="0.25">
      <c r="A692" s="278"/>
      <c r="B692" s="279" t="str">
        <f t="shared" si="207"/>
        <v>wall (on site)70x35mm @ 600mm ctsMGP10</v>
      </c>
      <c r="C692" s="278" t="s">
        <v>2200</v>
      </c>
      <c r="D692" s="351" t="s">
        <v>855</v>
      </c>
      <c r="E692" s="278" t="s">
        <v>505</v>
      </c>
      <c r="F692" s="278"/>
      <c r="G692" s="278" t="s">
        <v>11</v>
      </c>
      <c r="H692" s="310">
        <v>0.14000000000000001</v>
      </c>
      <c r="I692" s="280">
        <f t="shared" ref="I692:I721" si="210">$I$2*H692</f>
        <v>11.286800000000001</v>
      </c>
      <c r="J692" s="281">
        <f t="shared" ref="J692:J721" si="211">$J$2*H692</f>
        <v>12.800200000000002</v>
      </c>
      <c r="K692" s="282">
        <f>IF(Notes!$B$9="Domestic",I692, IF(Notes!$B$9="Commercial",J692))*$K$685</f>
        <v>25.600400000000004</v>
      </c>
      <c r="L692" s="283">
        <f>(SUM(O692:Q692)+(K692+SUM(M692:Q692))*(INDEX($U$685:$AB$685,MATCH(Notes!$C$16,$U$3:$AB$3,0))-100%))*$L$685</f>
        <v>17.522222222222222</v>
      </c>
      <c r="M692" s="286"/>
      <c r="N692" s="286"/>
      <c r="O692" s="285">
        <f>47.31/2.7</f>
        <v>17.522222222222222</v>
      </c>
      <c r="P692" s="285"/>
      <c r="Q692" s="285"/>
      <c r="R692" s="278"/>
      <c r="S692" s="278"/>
      <c r="T692" s="278"/>
    </row>
    <row r="693" spans="1:20" s="305" customFormat="1" hidden="1" outlineLevel="2" x14ac:dyDescent="0.25">
      <c r="A693" s="278"/>
      <c r="B693" s="279" t="str">
        <f t="shared" si="207"/>
        <v>wall (on site)70x45mm @ 600mm ctsMGP10</v>
      </c>
      <c r="C693" s="278" t="s">
        <v>2200</v>
      </c>
      <c r="D693" s="351" t="s">
        <v>862</v>
      </c>
      <c r="E693" s="278" t="s">
        <v>505</v>
      </c>
      <c r="F693" s="278"/>
      <c r="G693" s="278" t="s">
        <v>11</v>
      </c>
      <c r="H693" s="310">
        <v>0.14000000000000001</v>
      </c>
      <c r="I693" s="280">
        <f t="shared" si="210"/>
        <v>11.286800000000001</v>
      </c>
      <c r="J693" s="281">
        <f t="shared" si="211"/>
        <v>12.800200000000002</v>
      </c>
      <c r="K693" s="282">
        <f>IF(Notes!$B$9="Domestic",I693, IF(Notes!$B$9="Commercial",J693))*$K$685</f>
        <v>25.600400000000004</v>
      </c>
      <c r="L693" s="283">
        <f>(SUM(O693:Q693)+(K693+SUM(M693:Q693))*(INDEX($U$685:$AB$685,MATCH(Notes!$C$16,$U$3:$AB$3,0))-100%))*$L$685</f>
        <v>21.906666666666666</v>
      </c>
      <c r="M693" s="286"/>
      <c r="N693" s="286"/>
      <c r="O693" s="285">
        <f>65.72/3</f>
        <v>21.906666666666666</v>
      </c>
      <c r="P693" s="285"/>
      <c r="Q693" s="285"/>
      <c r="R693" s="278"/>
      <c r="S693" s="278"/>
      <c r="T693" s="278"/>
    </row>
    <row r="694" spans="1:20" s="305" customFormat="1" hidden="1" outlineLevel="2" x14ac:dyDescent="0.25">
      <c r="A694" s="278"/>
      <c r="B694" s="279" t="str">
        <f t="shared" si="207"/>
        <v>wall (on site)90x35mm @ 600mm ctsMGP10</v>
      </c>
      <c r="C694" s="278" t="s">
        <v>2200</v>
      </c>
      <c r="D694" s="351" t="s">
        <v>863</v>
      </c>
      <c r="E694" s="278" t="s">
        <v>505</v>
      </c>
      <c r="F694" s="278"/>
      <c r="G694" s="278" t="s">
        <v>11</v>
      </c>
      <c r="H694" s="310">
        <f>0.44/3</f>
        <v>0.14666666666666667</v>
      </c>
      <c r="I694" s="280">
        <f t="shared" si="210"/>
        <v>11.824266666666668</v>
      </c>
      <c r="J694" s="281">
        <f t="shared" si="211"/>
        <v>13.409733333333335</v>
      </c>
      <c r="K694" s="282">
        <f>IF(Notes!$B$9="Domestic",I694, IF(Notes!$B$9="Commercial",J694))*$K$685</f>
        <v>26.819466666666671</v>
      </c>
      <c r="L694" s="283">
        <f>(SUM(O694:Q694)+(K694+SUM(M694:Q694))*(INDEX($U$685:$AB$685,MATCH(Notes!$C$16,$U$3:$AB$3,0))-100%))*$L$685</f>
        <v>24.74</v>
      </c>
      <c r="M694" s="286"/>
      <c r="N694" s="286"/>
      <c r="O694" s="285">
        <f>74.22/3</f>
        <v>24.74</v>
      </c>
      <c r="P694" s="285"/>
      <c r="Q694" s="285"/>
      <c r="R694" s="278"/>
      <c r="S694" s="278"/>
      <c r="T694" s="278"/>
    </row>
    <row r="695" spans="1:20" s="305" customFormat="1" hidden="1" outlineLevel="2" x14ac:dyDescent="0.25">
      <c r="A695" s="278"/>
      <c r="B695" s="279" t="str">
        <f t="shared" si="207"/>
        <v>wall (on site)90x45mm @ 600mm ctsMGP10</v>
      </c>
      <c r="C695" s="278" t="s">
        <v>2200</v>
      </c>
      <c r="D695" s="351" t="s">
        <v>864</v>
      </c>
      <c r="E695" s="278" t="s">
        <v>505</v>
      </c>
      <c r="F695" s="278"/>
      <c r="G695" s="278" t="s">
        <v>11</v>
      </c>
      <c r="H695" s="310">
        <f>0.44/3</f>
        <v>0.14666666666666667</v>
      </c>
      <c r="I695" s="280">
        <f t="shared" si="210"/>
        <v>11.824266666666668</v>
      </c>
      <c r="J695" s="281">
        <f t="shared" si="211"/>
        <v>13.409733333333335</v>
      </c>
      <c r="K695" s="282">
        <f>IF(Notes!$B$9="Domestic",I695, IF(Notes!$B$9="Commercial",J695))*$K$685</f>
        <v>26.819466666666671</v>
      </c>
      <c r="L695" s="283">
        <f>(SUM(O695:Q695)+(K695+SUM(M695:Q695))*(INDEX($U$685:$AB$685,MATCH(Notes!$C$16,$U$3:$AB$3,0))-100%))*$L$685</f>
        <v>28.430000000000003</v>
      </c>
      <c r="M695" s="286"/>
      <c r="N695" s="286"/>
      <c r="O695" s="285">
        <f>85.29/3</f>
        <v>28.430000000000003</v>
      </c>
      <c r="P695" s="285"/>
      <c r="Q695" s="285"/>
      <c r="R695" s="278"/>
      <c r="S695" s="278"/>
      <c r="T695" s="278"/>
    </row>
    <row r="696" spans="1:20" s="305" customFormat="1" hidden="1" outlineLevel="2" x14ac:dyDescent="0.25">
      <c r="A696" s="278"/>
      <c r="B696" s="279" t="str">
        <f t="shared" si="207"/>
        <v>wall (on site)140x35mm @ 600mm ctsMGP10</v>
      </c>
      <c r="C696" s="278" t="s">
        <v>2200</v>
      </c>
      <c r="D696" s="351" t="s">
        <v>865</v>
      </c>
      <c r="E696" s="278" t="s">
        <v>505</v>
      </c>
      <c r="F696" s="278"/>
      <c r="G696" s="278" t="s">
        <v>11</v>
      </c>
      <c r="H696" s="310">
        <v>0.16</v>
      </c>
      <c r="I696" s="280">
        <f t="shared" si="210"/>
        <v>12.8992</v>
      </c>
      <c r="J696" s="281">
        <f t="shared" si="211"/>
        <v>14.628800000000002</v>
      </c>
      <c r="K696" s="282">
        <f>IF(Notes!$B$9="Domestic",I696, IF(Notes!$B$9="Commercial",J696))*$K$685</f>
        <v>29.257600000000004</v>
      </c>
      <c r="L696" s="283">
        <f>(SUM(O696:Q696)+(K696+SUM(M696:Q696))*(INDEX($U$685:$AB$685,MATCH(Notes!$C$16,$U$3:$AB$3,0))-100%))*$L$685</f>
        <v>33.906666666666666</v>
      </c>
      <c r="M696" s="286"/>
      <c r="N696" s="286"/>
      <c r="O696" s="285">
        <f>101.72/3</f>
        <v>33.906666666666666</v>
      </c>
      <c r="P696" s="285"/>
      <c r="Q696" s="285"/>
      <c r="R696" s="278"/>
      <c r="S696" s="278"/>
      <c r="T696" s="278"/>
    </row>
    <row r="697" spans="1:20" s="305" customFormat="1" hidden="1" outlineLevel="2" x14ac:dyDescent="0.25">
      <c r="A697" s="278"/>
      <c r="B697" s="279" t="str">
        <f t="shared" si="207"/>
        <v>wall (on site)140x45mm @ 600mm ctsMGP10</v>
      </c>
      <c r="C697" s="278" t="s">
        <v>2200</v>
      </c>
      <c r="D697" s="351" t="s">
        <v>866</v>
      </c>
      <c r="E697" s="278" t="s">
        <v>505</v>
      </c>
      <c r="F697" s="278"/>
      <c r="G697" s="278" t="s">
        <v>11</v>
      </c>
      <c r="H697" s="310">
        <v>0.16</v>
      </c>
      <c r="I697" s="280">
        <f t="shared" si="210"/>
        <v>12.8992</v>
      </c>
      <c r="J697" s="281">
        <f t="shared" si="211"/>
        <v>14.628800000000002</v>
      </c>
      <c r="K697" s="282">
        <f>IF(Notes!$B$9="Domestic",I697, IF(Notes!$B$9="Commercial",J697))*$K$685</f>
        <v>29.257600000000004</v>
      </c>
      <c r="L697" s="283">
        <f>(SUM(O697:Q697)+(K697+SUM(M697:Q697))*(INDEX($U$685:$AB$685,MATCH(Notes!$C$16,$U$3:$AB$3,0))-100%))*$L$685</f>
        <v>37.926666666666669</v>
      </c>
      <c r="M697" s="286"/>
      <c r="N697" s="286"/>
      <c r="O697" s="285">
        <f>113.78/3</f>
        <v>37.926666666666669</v>
      </c>
      <c r="P697" s="285"/>
      <c r="Q697" s="285"/>
      <c r="R697" s="278"/>
      <c r="S697" s="278"/>
      <c r="T697" s="278"/>
    </row>
    <row r="698" spans="1:20" s="305" customFormat="1" hidden="1" outlineLevel="2" x14ac:dyDescent="0.25">
      <c r="A698" s="278"/>
      <c r="B698" s="279" t="str">
        <f t="shared" si="207"/>
        <v>wall (on site)70x35mm @ 450mm ctsMGP12</v>
      </c>
      <c r="C698" s="278" t="s">
        <v>2200</v>
      </c>
      <c r="D698" s="351" t="s">
        <v>856</v>
      </c>
      <c r="E698" s="278" t="s">
        <v>506</v>
      </c>
      <c r="F698" s="278"/>
      <c r="G698" s="278" t="s">
        <v>11</v>
      </c>
      <c r="H698" s="309">
        <f>H686</f>
        <v>0.16</v>
      </c>
      <c r="I698" s="280">
        <f t="shared" si="210"/>
        <v>12.8992</v>
      </c>
      <c r="J698" s="281">
        <f t="shared" si="211"/>
        <v>14.628800000000002</v>
      </c>
      <c r="K698" s="282">
        <f>IF(Notes!$B$9="Domestic",I698, IF(Notes!$B$9="Commercial",J698))*$K$685</f>
        <v>29.257600000000004</v>
      </c>
      <c r="L698" s="283">
        <f>(SUM(O698:Q698)+(K698+SUM(M698:Q698))*(INDEX($U$685:$AB$685,MATCH(Notes!$C$16,$U$3:$AB$3,0))-100%))*$L$685</f>
        <v>27.893518518518515</v>
      </c>
      <c r="M698" s="286"/>
      <c r="N698" s="286"/>
      <c r="O698" s="311">
        <f>O686*1.25</f>
        <v>27.893518518518515</v>
      </c>
      <c r="P698" s="285"/>
      <c r="Q698" s="285"/>
      <c r="R698" s="278"/>
      <c r="S698" s="278"/>
      <c r="T698" s="278"/>
    </row>
    <row r="699" spans="1:20" s="305" customFormat="1" hidden="1" outlineLevel="2" x14ac:dyDescent="0.25">
      <c r="A699" s="278"/>
      <c r="B699" s="279" t="str">
        <f t="shared" si="207"/>
        <v>wall (on site)70x45mm @ 450mm ctsMGP12</v>
      </c>
      <c r="C699" s="278" t="s">
        <v>2200</v>
      </c>
      <c r="D699" s="351" t="s">
        <v>857</v>
      </c>
      <c r="E699" s="278" t="s">
        <v>506</v>
      </c>
      <c r="F699" s="278"/>
      <c r="G699" s="278" t="s">
        <v>11</v>
      </c>
      <c r="H699" s="309">
        <f t="shared" ref="H699:H721" si="212">H687</f>
        <v>0.16</v>
      </c>
      <c r="I699" s="280">
        <f t="shared" si="210"/>
        <v>12.8992</v>
      </c>
      <c r="J699" s="281">
        <f t="shared" si="211"/>
        <v>14.628800000000002</v>
      </c>
      <c r="K699" s="282">
        <f>IF(Notes!$B$9="Domestic",I699, IF(Notes!$B$9="Commercial",J699))*$K$685</f>
        <v>29.257600000000004</v>
      </c>
      <c r="L699" s="283">
        <f>(SUM(O699:Q699)+(K699+SUM(M699:Q699))*(INDEX($U$685:$AB$685,MATCH(Notes!$C$16,$U$3:$AB$3,0))-100%))*$L$685</f>
        <v>33.787037037037038</v>
      </c>
      <c r="M699" s="286"/>
      <c r="N699" s="286"/>
      <c r="O699" s="311">
        <f t="shared" ref="O699:O709" si="213">O687*1.25</f>
        <v>33.787037037037038</v>
      </c>
      <c r="P699" s="285"/>
      <c r="Q699" s="285"/>
      <c r="R699" s="278"/>
      <c r="S699" s="278"/>
      <c r="T699" s="278"/>
    </row>
    <row r="700" spans="1:20" s="305" customFormat="1" hidden="1" outlineLevel="2" x14ac:dyDescent="0.25">
      <c r="A700" s="278"/>
      <c r="B700" s="279" t="str">
        <f t="shared" si="207"/>
        <v>wall (on site)90x35mm @ 450mm ctsMGP12</v>
      </c>
      <c r="C700" s="278" t="s">
        <v>2200</v>
      </c>
      <c r="D700" s="351" t="s">
        <v>858</v>
      </c>
      <c r="E700" s="278" t="s">
        <v>506</v>
      </c>
      <c r="F700" s="278"/>
      <c r="G700" s="278" t="s">
        <v>11</v>
      </c>
      <c r="H700" s="309">
        <f t="shared" si="212"/>
        <v>0.17</v>
      </c>
      <c r="I700" s="280">
        <f t="shared" si="210"/>
        <v>13.705400000000001</v>
      </c>
      <c r="J700" s="281">
        <f t="shared" si="211"/>
        <v>15.543100000000003</v>
      </c>
      <c r="K700" s="282">
        <f>IF(Notes!$B$9="Domestic",I700, IF(Notes!$B$9="Commercial",J700))*$K$685</f>
        <v>31.086200000000005</v>
      </c>
      <c r="L700" s="283">
        <f>(SUM(O700:Q700)+(K700+SUM(M700:Q700))*(INDEX($U$685:$AB$685,MATCH(Notes!$C$16,$U$3:$AB$3,0))-100%))*$L$685</f>
        <v>35.466666666666669</v>
      </c>
      <c r="M700" s="286"/>
      <c r="N700" s="286"/>
      <c r="O700" s="311">
        <f t="shared" si="213"/>
        <v>35.466666666666669</v>
      </c>
      <c r="P700" s="285"/>
      <c r="Q700" s="285"/>
      <c r="R700" s="278"/>
      <c r="S700" s="278"/>
      <c r="T700" s="278"/>
    </row>
    <row r="701" spans="1:20" s="305" customFormat="1" hidden="1" outlineLevel="2" x14ac:dyDescent="0.25">
      <c r="A701" s="278"/>
      <c r="B701" s="279" t="str">
        <f t="shared" si="207"/>
        <v>wall (on site)90x45mm @ 450mm ctsMGP12</v>
      </c>
      <c r="C701" s="278" t="s">
        <v>2200</v>
      </c>
      <c r="D701" s="351" t="s">
        <v>859</v>
      </c>
      <c r="E701" s="278" t="s">
        <v>506</v>
      </c>
      <c r="F701" s="278"/>
      <c r="G701" s="278" t="s">
        <v>11</v>
      </c>
      <c r="H701" s="309">
        <f t="shared" si="212"/>
        <v>0.17</v>
      </c>
      <c r="I701" s="280">
        <f t="shared" si="210"/>
        <v>13.705400000000001</v>
      </c>
      <c r="J701" s="281">
        <f t="shared" si="211"/>
        <v>15.543100000000003</v>
      </c>
      <c r="K701" s="282">
        <f>IF(Notes!$B$9="Domestic",I701, IF(Notes!$B$9="Commercial",J701))*$K$685</f>
        <v>31.086200000000005</v>
      </c>
      <c r="L701" s="283">
        <f>(SUM(O701:Q701)+(K701+SUM(M701:Q701))*(INDEX($U$685:$AB$685,MATCH(Notes!$C$16,$U$3:$AB$3,0))-100%))*$L$685</f>
        <v>41.608333333333334</v>
      </c>
      <c r="M701" s="286"/>
      <c r="N701" s="286"/>
      <c r="O701" s="311">
        <f t="shared" si="213"/>
        <v>41.608333333333334</v>
      </c>
      <c r="P701" s="285"/>
      <c r="Q701" s="285"/>
      <c r="R701" s="278"/>
      <c r="S701" s="278"/>
      <c r="T701" s="278"/>
    </row>
    <row r="702" spans="1:20" s="305" customFormat="1" hidden="1" outlineLevel="2" x14ac:dyDescent="0.25">
      <c r="A702" s="278"/>
      <c r="B702" s="279" t="str">
        <f t="shared" si="207"/>
        <v>wall (on site)140x35mm @ 450mm ctsMGP12</v>
      </c>
      <c r="C702" s="278" t="s">
        <v>2200</v>
      </c>
      <c r="D702" s="351" t="s">
        <v>860</v>
      </c>
      <c r="E702" s="278" t="s">
        <v>506</v>
      </c>
      <c r="F702" s="278"/>
      <c r="G702" s="278" t="s">
        <v>11</v>
      </c>
      <c r="H702" s="309">
        <f t="shared" si="212"/>
        <v>0.18</v>
      </c>
      <c r="I702" s="280">
        <f t="shared" si="210"/>
        <v>14.5116</v>
      </c>
      <c r="J702" s="281">
        <f t="shared" si="211"/>
        <v>16.4574</v>
      </c>
      <c r="K702" s="282">
        <f>IF(Notes!$B$9="Domestic",I702, IF(Notes!$B$9="Commercial",J702))*$K$685</f>
        <v>32.9148</v>
      </c>
      <c r="L702" s="283">
        <f>(SUM(O702:Q702)+(K702+SUM(M702:Q702))*(INDEX($U$685:$AB$685,MATCH(Notes!$C$16,$U$3:$AB$3,0))-100%))*$L$685</f>
        <v>55.212962962962962</v>
      </c>
      <c r="M702" s="286"/>
      <c r="N702" s="286"/>
      <c r="O702" s="311">
        <f t="shared" si="213"/>
        <v>55.212962962962962</v>
      </c>
      <c r="P702" s="285"/>
      <c r="Q702" s="285"/>
      <c r="R702" s="278"/>
      <c r="S702" s="278"/>
      <c r="T702" s="278"/>
    </row>
    <row r="703" spans="1:20" s="305" customFormat="1" hidden="1" outlineLevel="2" x14ac:dyDescent="0.25">
      <c r="A703" s="278"/>
      <c r="B703" s="279" t="str">
        <f t="shared" si="207"/>
        <v>wall (on site)140x45mm @ 450mm ctsMGP12</v>
      </c>
      <c r="C703" s="278" t="s">
        <v>2200</v>
      </c>
      <c r="D703" s="351" t="s">
        <v>861</v>
      </c>
      <c r="E703" s="278" t="s">
        <v>506</v>
      </c>
      <c r="F703" s="278"/>
      <c r="G703" s="278" t="s">
        <v>11</v>
      </c>
      <c r="H703" s="309">
        <f t="shared" si="212"/>
        <v>0.18</v>
      </c>
      <c r="I703" s="280">
        <f t="shared" si="210"/>
        <v>14.5116</v>
      </c>
      <c r="J703" s="281">
        <f t="shared" si="211"/>
        <v>16.4574</v>
      </c>
      <c r="K703" s="282">
        <f>IF(Notes!$B$9="Domestic",I703, IF(Notes!$B$9="Commercial",J703))*$K$685</f>
        <v>32.9148</v>
      </c>
      <c r="L703" s="283">
        <f>(SUM(O703:Q703)+(K703+SUM(M703:Q703))*(INDEX($U$685:$AB$685,MATCH(Notes!$C$16,$U$3:$AB$3,0))-100%))*$L$685</f>
        <v>62.157407407407405</v>
      </c>
      <c r="M703" s="286"/>
      <c r="N703" s="286"/>
      <c r="O703" s="311">
        <f t="shared" si="213"/>
        <v>62.157407407407405</v>
      </c>
      <c r="P703" s="285"/>
      <c r="Q703" s="285"/>
      <c r="R703" s="278"/>
      <c r="S703" s="278"/>
      <c r="T703" s="278"/>
    </row>
    <row r="704" spans="1:20" s="305" customFormat="1" hidden="1" outlineLevel="2" x14ac:dyDescent="0.25">
      <c r="A704" s="278"/>
      <c r="B704" s="279" t="str">
        <f t="shared" si="207"/>
        <v>wall (on site)70x35mm @ 600mm ctsMGP12</v>
      </c>
      <c r="C704" s="278" t="s">
        <v>2200</v>
      </c>
      <c r="D704" s="351" t="s">
        <v>855</v>
      </c>
      <c r="E704" s="278" t="s">
        <v>506</v>
      </c>
      <c r="F704" s="278"/>
      <c r="G704" s="278" t="s">
        <v>11</v>
      </c>
      <c r="H704" s="309">
        <f t="shared" si="212"/>
        <v>0.14000000000000001</v>
      </c>
      <c r="I704" s="280">
        <f t="shared" si="210"/>
        <v>11.286800000000001</v>
      </c>
      <c r="J704" s="281">
        <f t="shared" si="211"/>
        <v>12.800200000000002</v>
      </c>
      <c r="K704" s="282">
        <f>IF(Notes!$B$9="Domestic",I704, IF(Notes!$B$9="Commercial",J704))*$K$685</f>
        <v>25.600400000000004</v>
      </c>
      <c r="L704" s="283">
        <f>(SUM(O704:Q704)+(K704+SUM(M704:Q704))*(INDEX($U$685:$AB$685,MATCH(Notes!$C$16,$U$3:$AB$3,0))-100%))*$L$685</f>
        <v>21.902777777777779</v>
      </c>
      <c r="M704" s="286"/>
      <c r="N704" s="286"/>
      <c r="O704" s="311">
        <f t="shared" si="213"/>
        <v>21.902777777777779</v>
      </c>
      <c r="P704" s="285"/>
      <c r="Q704" s="285"/>
      <c r="R704" s="278"/>
      <c r="S704" s="278"/>
      <c r="T704" s="278"/>
    </row>
    <row r="705" spans="1:20" s="305" customFormat="1" hidden="1" outlineLevel="2" x14ac:dyDescent="0.25">
      <c r="A705" s="278"/>
      <c r="B705" s="279" t="str">
        <f t="shared" si="207"/>
        <v>wall (on site)70x45mm @ 600mm ctsMGP12</v>
      </c>
      <c r="C705" s="278" t="s">
        <v>2200</v>
      </c>
      <c r="D705" s="351" t="s">
        <v>862</v>
      </c>
      <c r="E705" s="278" t="s">
        <v>506</v>
      </c>
      <c r="F705" s="278"/>
      <c r="G705" s="278" t="s">
        <v>11</v>
      </c>
      <c r="H705" s="309">
        <f t="shared" si="212"/>
        <v>0.14000000000000001</v>
      </c>
      <c r="I705" s="280">
        <f t="shared" si="210"/>
        <v>11.286800000000001</v>
      </c>
      <c r="J705" s="281">
        <f t="shared" si="211"/>
        <v>12.800200000000002</v>
      </c>
      <c r="K705" s="282">
        <f>IF(Notes!$B$9="Domestic",I705, IF(Notes!$B$9="Commercial",J705))*$K$685</f>
        <v>25.600400000000004</v>
      </c>
      <c r="L705" s="283">
        <f>(SUM(O705:Q705)+(K705+SUM(M705:Q705))*(INDEX($U$685:$AB$685,MATCH(Notes!$C$16,$U$3:$AB$3,0))-100%))*$L$685</f>
        <v>27.383333333333333</v>
      </c>
      <c r="M705" s="286"/>
      <c r="N705" s="286"/>
      <c r="O705" s="311">
        <f t="shared" si="213"/>
        <v>27.383333333333333</v>
      </c>
      <c r="P705" s="285"/>
      <c r="Q705" s="285"/>
      <c r="R705" s="278"/>
      <c r="S705" s="278"/>
      <c r="T705" s="278"/>
    </row>
    <row r="706" spans="1:20" s="305" customFormat="1" hidden="1" outlineLevel="2" x14ac:dyDescent="0.25">
      <c r="A706" s="278"/>
      <c r="B706" s="279" t="str">
        <f t="shared" si="207"/>
        <v>wall (on site)90x35mm @ 600mm ctsMGP12</v>
      </c>
      <c r="C706" s="278" t="s">
        <v>2200</v>
      </c>
      <c r="D706" s="351" t="s">
        <v>863</v>
      </c>
      <c r="E706" s="278" t="s">
        <v>506</v>
      </c>
      <c r="F706" s="278"/>
      <c r="G706" s="278" t="s">
        <v>11</v>
      </c>
      <c r="H706" s="309">
        <f t="shared" si="212"/>
        <v>0.14666666666666667</v>
      </c>
      <c r="I706" s="280">
        <f t="shared" si="210"/>
        <v>11.824266666666668</v>
      </c>
      <c r="J706" s="281">
        <f t="shared" si="211"/>
        <v>13.409733333333335</v>
      </c>
      <c r="K706" s="282">
        <f>IF(Notes!$B$9="Domestic",I706, IF(Notes!$B$9="Commercial",J706))*$K$685</f>
        <v>26.819466666666671</v>
      </c>
      <c r="L706" s="283">
        <f>(SUM(O706:Q706)+(K706+SUM(M706:Q706))*(INDEX($U$685:$AB$685,MATCH(Notes!$C$16,$U$3:$AB$3,0))-100%))*$L$685</f>
        <v>30.924999999999997</v>
      </c>
      <c r="M706" s="286"/>
      <c r="N706" s="286"/>
      <c r="O706" s="311">
        <f t="shared" si="213"/>
        <v>30.924999999999997</v>
      </c>
      <c r="P706" s="285"/>
      <c r="Q706" s="285"/>
      <c r="R706" s="278"/>
      <c r="S706" s="278"/>
      <c r="T706" s="278"/>
    </row>
    <row r="707" spans="1:20" s="305" customFormat="1" hidden="1" outlineLevel="2" x14ac:dyDescent="0.25">
      <c r="A707" s="278"/>
      <c r="B707" s="279" t="str">
        <f t="shared" si="207"/>
        <v>wall (on site)90x45mm @ 600mm ctsMGP12</v>
      </c>
      <c r="C707" s="278" t="s">
        <v>2200</v>
      </c>
      <c r="D707" s="351" t="s">
        <v>864</v>
      </c>
      <c r="E707" s="278" t="s">
        <v>506</v>
      </c>
      <c r="F707" s="278"/>
      <c r="G707" s="278" t="s">
        <v>11</v>
      </c>
      <c r="H707" s="309">
        <f t="shared" si="212"/>
        <v>0.14666666666666667</v>
      </c>
      <c r="I707" s="280">
        <f t="shared" si="210"/>
        <v>11.824266666666668</v>
      </c>
      <c r="J707" s="281">
        <f t="shared" si="211"/>
        <v>13.409733333333335</v>
      </c>
      <c r="K707" s="282">
        <f>IF(Notes!$B$9="Domestic",I707, IF(Notes!$B$9="Commercial",J707))*$K$685</f>
        <v>26.819466666666671</v>
      </c>
      <c r="L707" s="283">
        <f>(SUM(O707:Q707)+(K707+SUM(M707:Q707))*(INDEX($U$685:$AB$685,MATCH(Notes!$C$16,$U$3:$AB$3,0))-100%))*$L$685</f>
        <v>35.537500000000001</v>
      </c>
      <c r="M707" s="286"/>
      <c r="N707" s="286"/>
      <c r="O707" s="311">
        <f t="shared" si="213"/>
        <v>35.537500000000001</v>
      </c>
      <c r="P707" s="285"/>
      <c r="Q707" s="285"/>
      <c r="R707" s="278"/>
      <c r="S707" s="278"/>
      <c r="T707" s="278"/>
    </row>
    <row r="708" spans="1:20" s="305" customFormat="1" hidden="1" outlineLevel="2" x14ac:dyDescent="0.25">
      <c r="A708" s="278"/>
      <c r="B708" s="279" t="str">
        <f t="shared" si="207"/>
        <v>wall (on site)140x35mm @ 600mm ctsMGP12</v>
      </c>
      <c r="C708" s="278" t="s">
        <v>2200</v>
      </c>
      <c r="D708" s="351" t="s">
        <v>865</v>
      </c>
      <c r="E708" s="278" t="s">
        <v>506</v>
      </c>
      <c r="F708" s="278"/>
      <c r="G708" s="278" t="s">
        <v>11</v>
      </c>
      <c r="H708" s="309">
        <f t="shared" si="212"/>
        <v>0.16</v>
      </c>
      <c r="I708" s="280">
        <f t="shared" si="210"/>
        <v>12.8992</v>
      </c>
      <c r="J708" s="281">
        <f t="shared" si="211"/>
        <v>14.628800000000002</v>
      </c>
      <c r="K708" s="282">
        <f>IF(Notes!$B$9="Domestic",I708, IF(Notes!$B$9="Commercial",J708))*$K$685</f>
        <v>29.257600000000004</v>
      </c>
      <c r="L708" s="283">
        <f>(SUM(O708:Q708)+(K708+SUM(M708:Q708))*(INDEX($U$685:$AB$685,MATCH(Notes!$C$16,$U$3:$AB$3,0))-100%))*$L$685</f>
        <v>42.383333333333333</v>
      </c>
      <c r="M708" s="286"/>
      <c r="N708" s="286"/>
      <c r="O708" s="311">
        <f t="shared" si="213"/>
        <v>42.383333333333333</v>
      </c>
      <c r="P708" s="285"/>
      <c r="Q708" s="285"/>
      <c r="R708" s="278"/>
      <c r="S708" s="278"/>
      <c r="T708" s="278"/>
    </row>
    <row r="709" spans="1:20" s="305" customFormat="1" hidden="1" outlineLevel="2" x14ac:dyDescent="0.25">
      <c r="A709" s="278"/>
      <c r="B709" s="279" t="str">
        <f t="shared" si="207"/>
        <v>wall (on site)140x45mm @ 600mm ctsMGP12</v>
      </c>
      <c r="C709" s="278" t="s">
        <v>2200</v>
      </c>
      <c r="D709" s="351" t="s">
        <v>866</v>
      </c>
      <c r="E709" s="278" t="s">
        <v>506</v>
      </c>
      <c r="F709" s="278"/>
      <c r="G709" s="278" t="s">
        <v>11</v>
      </c>
      <c r="H709" s="309">
        <f t="shared" si="212"/>
        <v>0.16</v>
      </c>
      <c r="I709" s="280">
        <f t="shared" si="210"/>
        <v>12.8992</v>
      </c>
      <c r="J709" s="281">
        <f t="shared" si="211"/>
        <v>14.628800000000002</v>
      </c>
      <c r="K709" s="282">
        <f>IF(Notes!$B$9="Domestic",I709, IF(Notes!$B$9="Commercial",J709))*$K$685</f>
        <v>29.257600000000004</v>
      </c>
      <c r="L709" s="283">
        <f>(SUM(O709:Q709)+(K709+SUM(M709:Q709))*(INDEX($U$685:$AB$685,MATCH(Notes!$C$16,$U$3:$AB$3,0))-100%))*$L$685</f>
        <v>47.408333333333339</v>
      </c>
      <c r="M709" s="286"/>
      <c r="N709" s="286"/>
      <c r="O709" s="311">
        <f t="shared" si="213"/>
        <v>47.408333333333339</v>
      </c>
      <c r="P709" s="285"/>
      <c r="Q709" s="285"/>
      <c r="R709" s="278"/>
      <c r="S709" s="278"/>
      <c r="T709" s="278"/>
    </row>
    <row r="710" spans="1:20" s="305" customFormat="1" hidden="1" outlineLevel="2" x14ac:dyDescent="0.25">
      <c r="A710" s="278"/>
      <c r="B710" s="279" t="str">
        <f t="shared" si="207"/>
        <v>wall (on site)70x35mm @ 450mm ctsHWD</v>
      </c>
      <c r="C710" s="278" t="s">
        <v>2200</v>
      </c>
      <c r="D710" s="351" t="s">
        <v>856</v>
      </c>
      <c r="E710" s="278" t="s">
        <v>507</v>
      </c>
      <c r="F710" s="278"/>
      <c r="G710" s="278" t="s">
        <v>11</v>
      </c>
      <c r="H710" s="309">
        <f t="shared" si="212"/>
        <v>0.16</v>
      </c>
      <c r="I710" s="280">
        <f t="shared" si="210"/>
        <v>12.8992</v>
      </c>
      <c r="J710" s="281">
        <f t="shared" si="211"/>
        <v>14.628800000000002</v>
      </c>
      <c r="K710" s="282">
        <f>IF(Notes!$B$9="Domestic",I710, IF(Notes!$B$9="Commercial",J710))*$K$685</f>
        <v>29.257600000000004</v>
      </c>
      <c r="L710" s="283">
        <f>(SUM(O710:Q710)+(K710+SUM(M710:Q710))*(INDEX($U$685:$AB$685,MATCH(Notes!$C$16,$U$3:$AB$3,0))-100%))*$L$685</f>
        <v>39.050925925925924</v>
      </c>
      <c r="M710" s="286"/>
      <c r="N710" s="286"/>
      <c r="O710" s="311">
        <f>O686*1.75</f>
        <v>39.050925925925924</v>
      </c>
      <c r="P710" s="285"/>
      <c r="Q710" s="285"/>
      <c r="R710" s="278"/>
      <c r="S710" s="278"/>
      <c r="T710" s="278"/>
    </row>
    <row r="711" spans="1:20" s="305" customFormat="1" hidden="1" outlineLevel="2" x14ac:dyDescent="0.25">
      <c r="A711" s="278"/>
      <c r="B711" s="279" t="str">
        <f t="shared" si="207"/>
        <v>wall (on site)70x45mm @ 450mm ctsHWD</v>
      </c>
      <c r="C711" s="278" t="s">
        <v>2200</v>
      </c>
      <c r="D711" s="351" t="s">
        <v>857</v>
      </c>
      <c r="E711" s="278" t="s">
        <v>507</v>
      </c>
      <c r="F711" s="278"/>
      <c r="G711" s="278" t="s">
        <v>11</v>
      </c>
      <c r="H711" s="309">
        <f t="shared" si="212"/>
        <v>0.16</v>
      </c>
      <c r="I711" s="280">
        <f t="shared" si="210"/>
        <v>12.8992</v>
      </c>
      <c r="J711" s="281">
        <f t="shared" si="211"/>
        <v>14.628800000000002</v>
      </c>
      <c r="K711" s="282">
        <f>IF(Notes!$B$9="Domestic",I711, IF(Notes!$B$9="Commercial",J711))*$K$685</f>
        <v>29.257600000000004</v>
      </c>
      <c r="L711" s="283">
        <f>(SUM(O711:Q711)+(K711+SUM(M711:Q711))*(INDEX($U$685:$AB$685,MATCH(Notes!$C$16,$U$3:$AB$3,0))-100%))*$L$685</f>
        <v>47.30185185185185</v>
      </c>
      <c r="M711" s="286"/>
      <c r="N711" s="286"/>
      <c r="O711" s="311">
        <f t="shared" ref="O711:O721" si="214">O687*1.75</f>
        <v>47.30185185185185</v>
      </c>
      <c r="P711" s="285"/>
      <c r="Q711" s="285"/>
      <c r="R711" s="278"/>
      <c r="S711" s="278"/>
      <c r="T711" s="278"/>
    </row>
    <row r="712" spans="1:20" s="305" customFormat="1" hidden="1" outlineLevel="2" x14ac:dyDescent="0.25">
      <c r="A712" s="278"/>
      <c r="B712" s="279" t="str">
        <f t="shared" si="207"/>
        <v>wall (on site)90x35mm @ 450mm ctsHWD</v>
      </c>
      <c r="C712" s="278" t="s">
        <v>2200</v>
      </c>
      <c r="D712" s="351" t="s">
        <v>858</v>
      </c>
      <c r="E712" s="278" t="s">
        <v>507</v>
      </c>
      <c r="F712" s="278"/>
      <c r="G712" s="278" t="s">
        <v>11</v>
      </c>
      <c r="H712" s="309">
        <f t="shared" si="212"/>
        <v>0.17</v>
      </c>
      <c r="I712" s="280">
        <f t="shared" si="210"/>
        <v>13.705400000000001</v>
      </c>
      <c r="J712" s="281">
        <f t="shared" si="211"/>
        <v>15.543100000000003</v>
      </c>
      <c r="K712" s="282">
        <f>IF(Notes!$B$9="Domestic",I712, IF(Notes!$B$9="Commercial",J712))*$K$685</f>
        <v>31.086200000000005</v>
      </c>
      <c r="L712" s="283">
        <f>(SUM(O712:Q712)+(K712+SUM(M712:Q712))*(INDEX($U$685:$AB$685,MATCH(Notes!$C$16,$U$3:$AB$3,0))-100%))*$L$685</f>
        <v>49.653333333333336</v>
      </c>
      <c r="M712" s="286"/>
      <c r="N712" s="286"/>
      <c r="O712" s="311">
        <f t="shared" si="214"/>
        <v>49.653333333333336</v>
      </c>
      <c r="P712" s="285"/>
      <c r="Q712" s="285"/>
      <c r="R712" s="278"/>
      <c r="S712" s="278"/>
      <c r="T712" s="278"/>
    </row>
    <row r="713" spans="1:20" s="305" customFormat="1" hidden="1" outlineLevel="2" x14ac:dyDescent="0.25">
      <c r="A713" s="278"/>
      <c r="B713" s="279" t="str">
        <f t="shared" si="207"/>
        <v>wall (on site)90x45mm @ 450mm ctsHWD</v>
      </c>
      <c r="C713" s="278" t="s">
        <v>2200</v>
      </c>
      <c r="D713" s="351" t="s">
        <v>859</v>
      </c>
      <c r="E713" s="278" t="s">
        <v>507</v>
      </c>
      <c r="F713" s="278"/>
      <c r="G713" s="278" t="s">
        <v>11</v>
      </c>
      <c r="H713" s="309">
        <f t="shared" si="212"/>
        <v>0.17</v>
      </c>
      <c r="I713" s="280">
        <f t="shared" si="210"/>
        <v>13.705400000000001</v>
      </c>
      <c r="J713" s="281">
        <f t="shared" si="211"/>
        <v>15.543100000000003</v>
      </c>
      <c r="K713" s="282">
        <f>IF(Notes!$B$9="Domestic",I713, IF(Notes!$B$9="Commercial",J713))*$K$685</f>
        <v>31.086200000000005</v>
      </c>
      <c r="L713" s="283">
        <f>(SUM(O713:Q713)+(K713+SUM(M713:Q713))*(INDEX($U$685:$AB$685,MATCH(Notes!$C$16,$U$3:$AB$3,0))-100%))*$L$685</f>
        <v>58.251666666666672</v>
      </c>
      <c r="M713" s="286"/>
      <c r="N713" s="286"/>
      <c r="O713" s="311">
        <f t="shared" si="214"/>
        <v>58.251666666666672</v>
      </c>
      <c r="P713" s="285"/>
      <c r="Q713" s="285"/>
      <c r="R713" s="278"/>
      <c r="S713" s="278"/>
      <c r="T713" s="278"/>
    </row>
    <row r="714" spans="1:20" s="305" customFormat="1" hidden="1" outlineLevel="2" x14ac:dyDescent="0.25">
      <c r="A714" s="278"/>
      <c r="B714" s="279" t="str">
        <f t="shared" si="207"/>
        <v>wall (on site)140x35mm @ 450mm ctsHWD</v>
      </c>
      <c r="C714" s="278" t="s">
        <v>2200</v>
      </c>
      <c r="D714" s="351" t="s">
        <v>860</v>
      </c>
      <c r="E714" s="278" t="s">
        <v>507</v>
      </c>
      <c r="F714" s="278"/>
      <c r="G714" s="278" t="s">
        <v>11</v>
      </c>
      <c r="H714" s="309">
        <f t="shared" si="212"/>
        <v>0.18</v>
      </c>
      <c r="I714" s="280">
        <f t="shared" si="210"/>
        <v>14.5116</v>
      </c>
      <c r="J714" s="281">
        <f t="shared" si="211"/>
        <v>16.4574</v>
      </c>
      <c r="K714" s="282">
        <f>IF(Notes!$B$9="Domestic",I714, IF(Notes!$B$9="Commercial",J714))*$K$685</f>
        <v>32.9148</v>
      </c>
      <c r="L714" s="283">
        <f>(SUM(O714:Q714)+(K714+SUM(M714:Q714))*(INDEX($U$685:$AB$685,MATCH(Notes!$C$16,$U$3:$AB$3,0))-100%))*$L$685</f>
        <v>77.298148148148144</v>
      </c>
      <c r="M714" s="286"/>
      <c r="N714" s="286"/>
      <c r="O714" s="311">
        <f t="shared" si="214"/>
        <v>77.298148148148144</v>
      </c>
      <c r="P714" s="285"/>
      <c r="Q714" s="285"/>
      <c r="R714" s="278"/>
      <c r="S714" s="278"/>
      <c r="T714" s="278"/>
    </row>
    <row r="715" spans="1:20" s="305" customFormat="1" hidden="1" outlineLevel="2" x14ac:dyDescent="0.25">
      <c r="A715" s="278"/>
      <c r="B715" s="279" t="str">
        <f t="shared" si="207"/>
        <v>wall (on site)140x45mm @ 450mm ctsHWD</v>
      </c>
      <c r="C715" s="278" t="s">
        <v>2200</v>
      </c>
      <c r="D715" s="351" t="s">
        <v>861</v>
      </c>
      <c r="E715" s="278" t="s">
        <v>507</v>
      </c>
      <c r="F715" s="278"/>
      <c r="G715" s="278" t="s">
        <v>11</v>
      </c>
      <c r="H715" s="309">
        <f t="shared" si="212"/>
        <v>0.18</v>
      </c>
      <c r="I715" s="280">
        <f t="shared" si="210"/>
        <v>14.5116</v>
      </c>
      <c r="J715" s="281">
        <f t="shared" si="211"/>
        <v>16.4574</v>
      </c>
      <c r="K715" s="282">
        <f>IF(Notes!$B$9="Domestic",I715, IF(Notes!$B$9="Commercial",J715))*$K$685</f>
        <v>32.9148</v>
      </c>
      <c r="L715" s="283">
        <f>(SUM(O715:Q715)+(K715+SUM(M715:Q715))*(INDEX($U$685:$AB$685,MATCH(Notes!$C$16,$U$3:$AB$3,0))-100%))*$L$685</f>
        <v>87.020370370370358</v>
      </c>
      <c r="M715" s="286"/>
      <c r="N715" s="286"/>
      <c r="O715" s="311">
        <f t="shared" si="214"/>
        <v>87.020370370370358</v>
      </c>
      <c r="P715" s="285"/>
      <c r="Q715" s="285"/>
      <c r="R715" s="278"/>
      <c r="S715" s="278"/>
      <c r="T715" s="278"/>
    </row>
    <row r="716" spans="1:20" s="305" customFormat="1" hidden="1" outlineLevel="2" x14ac:dyDescent="0.25">
      <c r="A716" s="278"/>
      <c r="B716" s="279" t="str">
        <f t="shared" si="207"/>
        <v>wall (on site)70x35mm @ 600mm ctsHWD</v>
      </c>
      <c r="C716" s="278" t="s">
        <v>2200</v>
      </c>
      <c r="D716" s="351" t="s">
        <v>855</v>
      </c>
      <c r="E716" s="278" t="s">
        <v>507</v>
      </c>
      <c r="F716" s="278"/>
      <c r="G716" s="278" t="s">
        <v>11</v>
      </c>
      <c r="H716" s="309">
        <f t="shared" si="212"/>
        <v>0.14000000000000001</v>
      </c>
      <c r="I716" s="280">
        <f t="shared" si="210"/>
        <v>11.286800000000001</v>
      </c>
      <c r="J716" s="281">
        <f t="shared" si="211"/>
        <v>12.800200000000002</v>
      </c>
      <c r="K716" s="282">
        <f>IF(Notes!$B$9="Domestic",I716, IF(Notes!$B$9="Commercial",J716))*$K$685</f>
        <v>25.600400000000004</v>
      </c>
      <c r="L716" s="283">
        <f>(SUM(O716:Q716)+(K716+SUM(M716:Q716))*(INDEX($U$685:$AB$685,MATCH(Notes!$C$16,$U$3:$AB$3,0))-100%))*$L$685</f>
        <v>30.663888888888888</v>
      </c>
      <c r="M716" s="286"/>
      <c r="N716" s="286"/>
      <c r="O716" s="311">
        <f t="shared" si="214"/>
        <v>30.663888888888888</v>
      </c>
      <c r="P716" s="285"/>
      <c r="Q716" s="285"/>
      <c r="R716" s="278"/>
      <c r="S716" s="278"/>
      <c r="T716" s="278"/>
    </row>
    <row r="717" spans="1:20" s="305" customFormat="1" hidden="1" outlineLevel="2" x14ac:dyDescent="0.25">
      <c r="A717" s="278"/>
      <c r="B717" s="279" t="str">
        <f t="shared" si="207"/>
        <v>wall (on site)70x45mm @ 600mm ctsHWD</v>
      </c>
      <c r="C717" s="278" t="s">
        <v>2200</v>
      </c>
      <c r="D717" s="351" t="s">
        <v>862</v>
      </c>
      <c r="E717" s="278" t="s">
        <v>507</v>
      </c>
      <c r="F717" s="278"/>
      <c r="G717" s="278" t="s">
        <v>11</v>
      </c>
      <c r="H717" s="309">
        <f t="shared" si="212"/>
        <v>0.14000000000000001</v>
      </c>
      <c r="I717" s="280">
        <f t="shared" si="210"/>
        <v>11.286800000000001</v>
      </c>
      <c r="J717" s="281">
        <f t="shared" si="211"/>
        <v>12.800200000000002</v>
      </c>
      <c r="K717" s="282">
        <f>IF(Notes!$B$9="Domestic",I717, IF(Notes!$B$9="Commercial",J717))*$K$685</f>
        <v>25.600400000000004</v>
      </c>
      <c r="L717" s="283">
        <f>(SUM(O717:Q717)+(K717+SUM(M717:Q717))*(INDEX($U$685:$AB$685,MATCH(Notes!$C$16,$U$3:$AB$3,0))-100%))*$L$685</f>
        <v>38.336666666666666</v>
      </c>
      <c r="M717" s="286"/>
      <c r="N717" s="286"/>
      <c r="O717" s="311">
        <f t="shared" si="214"/>
        <v>38.336666666666666</v>
      </c>
      <c r="P717" s="285"/>
      <c r="Q717" s="285"/>
      <c r="R717" s="278"/>
      <c r="S717" s="278"/>
      <c r="T717" s="278"/>
    </row>
    <row r="718" spans="1:20" s="305" customFormat="1" hidden="1" outlineLevel="2" x14ac:dyDescent="0.25">
      <c r="A718" s="278"/>
      <c r="B718" s="279" t="str">
        <f t="shared" si="207"/>
        <v>wall (on site)90x35mm @ 600mm ctsHWD</v>
      </c>
      <c r="C718" s="278" t="s">
        <v>2200</v>
      </c>
      <c r="D718" s="351" t="s">
        <v>863</v>
      </c>
      <c r="E718" s="278" t="s">
        <v>507</v>
      </c>
      <c r="F718" s="278"/>
      <c r="G718" s="278" t="s">
        <v>11</v>
      </c>
      <c r="H718" s="309">
        <f t="shared" si="212"/>
        <v>0.14666666666666667</v>
      </c>
      <c r="I718" s="280">
        <f t="shared" si="210"/>
        <v>11.824266666666668</v>
      </c>
      <c r="J718" s="281">
        <f t="shared" si="211"/>
        <v>13.409733333333335</v>
      </c>
      <c r="K718" s="282">
        <f>IF(Notes!$B$9="Domestic",I718, IF(Notes!$B$9="Commercial",J718))*$K$685</f>
        <v>26.819466666666671</v>
      </c>
      <c r="L718" s="283">
        <f>(SUM(O718:Q718)+(K718+SUM(M718:Q718))*(INDEX($U$685:$AB$685,MATCH(Notes!$C$16,$U$3:$AB$3,0))-100%))*$L$685</f>
        <v>43.294999999999995</v>
      </c>
      <c r="M718" s="286"/>
      <c r="N718" s="286"/>
      <c r="O718" s="311">
        <f t="shared" si="214"/>
        <v>43.294999999999995</v>
      </c>
      <c r="P718" s="285"/>
      <c r="Q718" s="285"/>
      <c r="R718" s="278"/>
      <c r="S718" s="278"/>
      <c r="T718" s="278"/>
    </row>
    <row r="719" spans="1:20" s="305" customFormat="1" hidden="1" outlineLevel="2" x14ac:dyDescent="0.25">
      <c r="A719" s="278"/>
      <c r="B719" s="279" t="str">
        <f t="shared" si="207"/>
        <v>wall (on site)90x45mm @ 600mm ctsHWD</v>
      </c>
      <c r="C719" s="278" t="s">
        <v>2200</v>
      </c>
      <c r="D719" s="351" t="s">
        <v>864</v>
      </c>
      <c r="E719" s="278" t="s">
        <v>507</v>
      </c>
      <c r="F719" s="278"/>
      <c r="G719" s="278" t="s">
        <v>11</v>
      </c>
      <c r="H719" s="309">
        <f t="shared" si="212"/>
        <v>0.14666666666666667</v>
      </c>
      <c r="I719" s="280">
        <f t="shared" si="210"/>
        <v>11.824266666666668</v>
      </c>
      <c r="J719" s="281">
        <f t="shared" si="211"/>
        <v>13.409733333333335</v>
      </c>
      <c r="K719" s="282">
        <f>IF(Notes!$B$9="Domestic",I719, IF(Notes!$B$9="Commercial",J719))*$K$685</f>
        <v>26.819466666666671</v>
      </c>
      <c r="L719" s="283">
        <f>(SUM(O719:Q719)+(K719+SUM(M719:Q719))*(INDEX($U$685:$AB$685,MATCH(Notes!$C$16,$U$3:$AB$3,0))-100%))*$L$685</f>
        <v>49.752500000000005</v>
      </c>
      <c r="M719" s="286"/>
      <c r="N719" s="286"/>
      <c r="O719" s="311">
        <f t="shared" si="214"/>
        <v>49.752500000000005</v>
      </c>
      <c r="P719" s="285"/>
      <c r="Q719" s="285"/>
      <c r="R719" s="278"/>
      <c r="S719" s="278"/>
      <c r="T719" s="278"/>
    </row>
    <row r="720" spans="1:20" s="305" customFormat="1" hidden="1" outlineLevel="2" x14ac:dyDescent="0.25">
      <c r="A720" s="278"/>
      <c r="B720" s="279" t="str">
        <f t="shared" si="207"/>
        <v>wall (on site)140x35mm @ 600mm ctsHWD</v>
      </c>
      <c r="C720" s="278" t="s">
        <v>2200</v>
      </c>
      <c r="D720" s="351" t="s">
        <v>865</v>
      </c>
      <c r="E720" s="278" t="s">
        <v>507</v>
      </c>
      <c r="F720" s="278"/>
      <c r="G720" s="278" t="s">
        <v>11</v>
      </c>
      <c r="H720" s="309">
        <f t="shared" si="212"/>
        <v>0.16</v>
      </c>
      <c r="I720" s="280">
        <f t="shared" si="210"/>
        <v>12.8992</v>
      </c>
      <c r="J720" s="281">
        <f t="shared" si="211"/>
        <v>14.628800000000002</v>
      </c>
      <c r="K720" s="282">
        <f>IF(Notes!$B$9="Domestic",I720, IF(Notes!$B$9="Commercial",J720))*$K$685</f>
        <v>29.257600000000004</v>
      </c>
      <c r="L720" s="283">
        <f>(SUM(O720:Q720)+(K720+SUM(M720:Q720))*(INDEX($U$685:$AB$685,MATCH(Notes!$C$16,$U$3:$AB$3,0))-100%))*$L$685</f>
        <v>59.336666666666666</v>
      </c>
      <c r="M720" s="286"/>
      <c r="N720" s="286"/>
      <c r="O720" s="311">
        <f t="shared" si="214"/>
        <v>59.336666666666666</v>
      </c>
      <c r="P720" s="285"/>
      <c r="Q720" s="285"/>
      <c r="R720" s="278"/>
      <c r="S720" s="278"/>
      <c r="T720" s="278"/>
    </row>
    <row r="721" spans="1:28" s="305" customFormat="1" hidden="1" outlineLevel="2" x14ac:dyDescent="0.25">
      <c r="A721" s="278"/>
      <c r="B721" s="279" t="str">
        <f t="shared" si="207"/>
        <v>wall (on site)140x45mm @ 600mm ctsHWD</v>
      </c>
      <c r="C721" s="278" t="s">
        <v>2200</v>
      </c>
      <c r="D721" s="351" t="s">
        <v>866</v>
      </c>
      <c r="E721" s="278" t="s">
        <v>507</v>
      </c>
      <c r="F721" s="278"/>
      <c r="G721" s="278" t="s">
        <v>11</v>
      </c>
      <c r="H721" s="309">
        <f t="shared" si="212"/>
        <v>0.16</v>
      </c>
      <c r="I721" s="280">
        <f t="shared" si="210"/>
        <v>12.8992</v>
      </c>
      <c r="J721" s="281">
        <f t="shared" si="211"/>
        <v>14.628800000000002</v>
      </c>
      <c r="K721" s="282">
        <f>IF(Notes!$B$9="Domestic",I721, IF(Notes!$B$9="Commercial",J721))*$K$685</f>
        <v>29.257600000000004</v>
      </c>
      <c r="L721" s="283">
        <f>(SUM(O721:Q721)+(K721+SUM(M721:Q721))*(INDEX($U$685:$AB$685,MATCH(Notes!$C$16,$U$3:$AB$3,0))-100%))*$L$685</f>
        <v>66.37166666666667</v>
      </c>
      <c r="M721" s="286"/>
      <c r="N721" s="286"/>
      <c r="O721" s="311">
        <f t="shared" si="214"/>
        <v>66.37166666666667</v>
      </c>
      <c r="P721" s="285"/>
      <c r="Q721" s="285"/>
      <c r="R721" s="278"/>
      <c r="S721" s="278"/>
      <c r="T721" s="278"/>
    </row>
    <row r="722" spans="1:28" ht="21" hidden="1" outlineLevel="1" collapsed="1" x14ac:dyDescent="0.25">
      <c r="A722" s="299" t="s">
        <v>2199</v>
      </c>
      <c r="B722" s="299"/>
      <c r="C722" s="299"/>
      <c r="D722" s="299"/>
      <c r="E722" s="299"/>
      <c r="F722" s="299"/>
      <c r="G722" s="299"/>
      <c r="H722" s="348"/>
      <c r="I722" s="299"/>
      <c r="J722" s="299"/>
      <c r="K722" s="299"/>
      <c r="L722" s="299"/>
      <c r="M722" s="299"/>
      <c r="N722" s="299"/>
      <c r="O722" s="299"/>
      <c r="P722" s="299"/>
      <c r="Q722" s="299"/>
      <c r="R722" s="299"/>
      <c r="S722" s="299"/>
      <c r="T722" s="299"/>
      <c r="U722" s="299"/>
      <c r="V722" s="299"/>
      <c r="W722" s="299"/>
      <c r="X722" s="299"/>
      <c r="Y722" s="299"/>
      <c r="Z722" s="299"/>
      <c r="AA722" s="299"/>
      <c r="AB722" s="299"/>
    </row>
    <row r="723" spans="1:28" ht="15.75" hidden="1" outlineLevel="1" x14ac:dyDescent="0.25">
      <c r="A723" s="291"/>
      <c r="B723" s="291"/>
      <c r="C723" s="291"/>
      <c r="D723" s="291"/>
      <c r="E723" s="291"/>
      <c r="F723" s="291"/>
      <c r="G723" s="291"/>
      <c r="H723" s="325"/>
      <c r="I723" s="291"/>
      <c r="J723" s="291"/>
      <c r="K723" s="291">
        <v>2</v>
      </c>
      <c r="L723" s="291">
        <f>L$2</f>
        <v>1</v>
      </c>
      <c r="M723" s="291"/>
      <c r="N723" s="291"/>
      <c r="O723" s="303"/>
      <c r="P723" s="303"/>
      <c r="Q723" s="303"/>
      <c r="R723" s="291"/>
      <c r="S723" s="291"/>
      <c r="T723" s="291"/>
      <c r="U723" s="381">
        <f>U$2</f>
        <v>1.0309523809523808</v>
      </c>
      <c r="V723" s="381">
        <f>V$2</f>
        <v>1</v>
      </c>
      <c r="W723" s="381">
        <f t="shared" ref="W723:AB723" si="215">W$2</f>
        <v>1.0705952380952379</v>
      </c>
      <c r="X723" s="381">
        <f t="shared" si="215"/>
        <v>1.1199999999999999</v>
      </c>
      <c r="Y723" s="381">
        <f t="shared" si="215"/>
        <v>1.0571428571428572</v>
      </c>
      <c r="Z723" s="381">
        <f t="shared" si="215"/>
        <v>1.1299999999999999</v>
      </c>
      <c r="AA723" s="381">
        <f t="shared" si="215"/>
        <v>1.0776942355889725</v>
      </c>
      <c r="AB723" s="381">
        <f t="shared" si="215"/>
        <v>1.0325814536340854</v>
      </c>
    </row>
    <row r="724" spans="1:28" s="305" customFormat="1" hidden="1" outlineLevel="2" x14ac:dyDescent="0.25">
      <c r="A724" s="278"/>
      <c r="B724" s="279" t="str">
        <f>C724&amp;D724&amp;E724&amp;F724</f>
        <v>wall (prefab)70x35mm @ 450mm ctsMGP10</v>
      </c>
      <c r="C724" s="278" t="s">
        <v>2201</v>
      </c>
      <c r="D724" s="351" t="s">
        <v>856</v>
      </c>
      <c r="E724" s="278" t="s">
        <v>505</v>
      </c>
      <c r="F724" s="278"/>
      <c r="G724" s="278" t="s">
        <v>11</v>
      </c>
      <c r="H724" s="310">
        <v>7.0000000000000007E-2</v>
      </c>
      <c r="I724" s="280">
        <f>$I$2*H724</f>
        <v>5.6434000000000006</v>
      </c>
      <c r="J724" s="281">
        <f>$J$2*H724</f>
        <v>6.400100000000001</v>
      </c>
      <c r="K724" s="282">
        <f>IF(Notes!$B$9="Domestic",I724, IF(Notes!$B$9="Commercial",J724))*$K$723</f>
        <v>12.800200000000002</v>
      </c>
      <c r="L724" s="283">
        <f>(SUM(O724:Q724)+(K724+SUM(M724:Q724))*(INDEX($U$723:$AB$723,MATCH(Notes!$C$16,$U$3:$AB$3,0))-100%))*$L$723</f>
        <v>40.109259259259261</v>
      </c>
      <c r="M724" s="286"/>
      <c r="N724" s="286"/>
      <c r="O724" s="285">
        <f>98.45/2.7*1.1</f>
        <v>40.109259259259261</v>
      </c>
      <c r="P724" s="285"/>
      <c r="Q724" s="285"/>
      <c r="R724" s="278"/>
      <c r="S724" s="278"/>
      <c r="T724" s="278"/>
    </row>
    <row r="725" spans="1:28" s="305" customFormat="1" hidden="1" outlineLevel="2" x14ac:dyDescent="0.25">
      <c r="A725" s="278"/>
      <c r="B725" s="279" t="str">
        <f t="shared" ref="B725:B759" si="216">C725&amp;D725&amp;E725&amp;F725</f>
        <v>wall (prefab)70x45mm @ 450mm ctsMGP10</v>
      </c>
      <c r="C725" s="278" t="s">
        <v>2201</v>
      </c>
      <c r="D725" s="351" t="s">
        <v>857</v>
      </c>
      <c r="E725" s="278" t="s">
        <v>505</v>
      </c>
      <c r="F725" s="278"/>
      <c r="G725" s="278" t="s">
        <v>11</v>
      </c>
      <c r="H725" s="310">
        <v>7.0000000000000007E-2</v>
      </c>
      <c r="I725" s="280">
        <f t="shared" ref="I725:I727" si="217">$I$2*H725</f>
        <v>5.6434000000000006</v>
      </c>
      <c r="J725" s="281">
        <f t="shared" ref="J725:J727" si="218">$J$2*H725</f>
        <v>6.400100000000001</v>
      </c>
      <c r="K725" s="282">
        <f>IF(Notes!$B$9="Domestic",I725, IF(Notes!$B$9="Commercial",J725))*$K$685</f>
        <v>12.800200000000002</v>
      </c>
      <c r="L725" s="283">
        <f>(SUM(O725:Q725)+(K725+SUM(M725:Q725))*(INDEX($U$685:$AB$685,MATCH(Notes!$C$16,$U$3:$AB$3,0))-100%))*$L$685</f>
        <v>43.287037037037038</v>
      </c>
      <c r="M725" s="286"/>
      <c r="N725" s="286"/>
      <c r="O725" s="285">
        <f>106.25/2.7*1.1</f>
        <v>43.287037037037038</v>
      </c>
      <c r="P725" s="285"/>
      <c r="Q725" s="285"/>
      <c r="R725" s="278"/>
      <c r="S725" s="278"/>
      <c r="T725" s="278"/>
    </row>
    <row r="726" spans="1:28" s="305" customFormat="1" hidden="1" outlineLevel="2" x14ac:dyDescent="0.25">
      <c r="A726" s="278"/>
      <c r="B726" s="279" t="str">
        <f t="shared" si="216"/>
        <v>wall (prefab)90x35mm @ 450mm ctsMGP10</v>
      </c>
      <c r="C726" s="278" t="s">
        <v>2201</v>
      </c>
      <c r="D726" s="351" t="s">
        <v>858</v>
      </c>
      <c r="E726" s="278" t="s">
        <v>505</v>
      </c>
      <c r="F726" s="278"/>
      <c r="G726" s="278" t="s">
        <v>11</v>
      </c>
      <c r="H726" s="310">
        <v>7.0000000000000007E-2</v>
      </c>
      <c r="I726" s="280">
        <f t="shared" si="217"/>
        <v>5.6434000000000006</v>
      </c>
      <c r="J726" s="281">
        <f t="shared" si="218"/>
        <v>6.400100000000001</v>
      </c>
      <c r="K726" s="282">
        <f>IF(Notes!$B$9="Domestic",I726, IF(Notes!$B$9="Commercial",J726))*$K$685</f>
        <v>12.800200000000002</v>
      </c>
      <c r="L726" s="283">
        <f>(SUM(O726:Q726)+(K726+SUM(M726:Q726))*(INDEX($U$685:$AB$685,MATCH(Notes!$C$16,$U$3:$AB$3,0))-100%))*$L$685</f>
        <v>41.58</v>
      </c>
      <c r="M726" s="286"/>
      <c r="N726" s="286"/>
      <c r="O726" s="285">
        <f>102.06/2.7*1.1</f>
        <v>41.58</v>
      </c>
      <c r="P726" s="285"/>
      <c r="Q726" s="285"/>
      <c r="R726" s="278"/>
      <c r="S726" s="278"/>
      <c r="T726" s="278"/>
    </row>
    <row r="727" spans="1:28" s="305" customFormat="1" hidden="1" outlineLevel="2" x14ac:dyDescent="0.25">
      <c r="A727" s="278"/>
      <c r="B727" s="279" t="str">
        <f t="shared" si="216"/>
        <v>wall (prefab)90x45mm @ 450mm ctsMGP10</v>
      </c>
      <c r="C727" s="278" t="s">
        <v>2201</v>
      </c>
      <c r="D727" s="351" t="s">
        <v>859</v>
      </c>
      <c r="E727" s="278" t="s">
        <v>505</v>
      </c>
      <c r="F727" s="278"/>
      <c r="G727" s="278" t="s">
        <v>11</v>
      </c>
      <c r="H727" s="310">
        <v>7.0000000000000007E-2</v>
      </c>
      <c r="I727" s="280">
        <f t="shared" si="217"/>
        <v>5.6434000000000006</v>
      </c>
      <c r="J727" s="281">
        <f t="shared" si="218"/>
        <v>6.400100000000001</v>
      </c>
      <c r="K727" s="282">
        <f>IF(Notes!$B$9="Domestic",I727, IF(Notes!$B$9="Commercial",J727))*$K$685</f>
        <v>12.800200000000002</v>
      </c>
      <c r="L727" s="283">
        <f>(SUM(O727:Q727)+(K727+SUM(M727:Q727))*(INDEX($U$685:$AB$685,MATCH(Notes!$C$16,$U$3:$AB$3,0))-100%))*$L$685</f>
        <v>45.776296296296302</v>
      </c>
      <c r="M727" s="286"/>
      <c r="N727" s="286"/>
      <c r="O727" s="285">
        <f>112.36/2.7*1.1</f>
        <v>45.776296296296302</v>
      </c>
      <c r="P727" s="285"/>
      <c r="Q727" s="285"/>
      <c r="R727" s="278"/>
      <c r="S727" s="278"/>
      <c r="T727" s="278"/>
    </row>
    <row r="728" spans="1:28" s="305" customFormat="1" hidden="1" outlineLevel="2" x14ac:dyDescent="0.25">
      <c r="A728" s="278"/>
      <c r="B728" s="279" t="str">
        <f t="shared" si="216"/>
        <v>wall (prefab)140x35mm @ 450mm ctsMGP10</v>
      </c>
      <c r="C728" s="278" t="s">
        <v>2201</v>
      </c>
      <c r="D728" s="351" t="s">
        <v>860</v>
      </c>
      <c r="E728" s="278" t="s">
        <v>505</v>
      </c>
      <c r="F728" s="278"/>
      <c r="G728" s="278" t="s">
        <v>11</v>
      </c>
      <c r="H728" s="310">
        <v>7.0000000000000007E-2</v>
      </c>
      <c r="I728" s="280">
        <f>$I$2*H728</f>
        <v>5.6434000000000006</v>
      </c>
      <c r="J728" s="281">
        <f>$J$2*H728</f>
        <v>6.400100000000001</v>
      </c>
      <c r="K728" s="282">
        <f>IF(Notes!$B$9="Domestic",I728, IF(Notes!$B$9="Commercial",J728))*$K$685</f>
        <v>12.800200000000002</v>
      </c>
      <c r="L728" s="283">
        <f>(SUM(O728:Q728)+(K728+SUM(M728:Q728))*(INDEX($U$685:$AB$685,MATCH(Notes!$C$16,$U$3:$AB$3,0))-100%))*$L$685</f>
        <v>64.729934210526309</v>
      </c>
      <c r="M728" s="286"/>
      <c r="N728" s="286"/>
      <c r="O728" s="311">
        <f>O726*O690/O688</f>
        <v>64.729934210526309</v>
      </c>
      <c r="P728" s="285"/>
      <c r="Q728" s="285"/>
      <c r="R728" s="278"/>
      <c r="S728" s="278"/>
      <c r="T728" s="278"/>
    </row>
    <row r="729" spans="1:28" s="305" customFormat="1" hidden="1" outlineLevel="2" x14ac:dyDescent="0.25">
      <c r="A729" s="278"/>
      <c r="B729" s="279" t="str">
        <f t="shared" si="216"/>
        <v>wall (prefab)140x45mm @ 450mm ctsMGP10</v>
      </c>
      <c r="C729" s="278" t="s">
        <v>2201</v>
      </c>
      <c r="D729" s="351" t="s">
        <v>861</v>
      </c>
      <c r="E729" s="278" t="s">
        <v>505</v>
      </c>
      <c r="F729" s="278"/>
      <c r="G729" s="278" t="s">
        <v>11</v>
      </c>
      <c r="H729" s="310">
        <v>7.0000000000000007E-2</v>
      </c>
      <c r="I729" s="280">
        <f>$I$2*H729</f>
        <v>5.6434000000000006</v>
      </c>
      <c r="J729" s="281">
        <f>$J$2*H729</f>
        <v>6.400100000000001</v>
      </c>
      <c r="K729" s="282">
        <f>IF(Notes!$B$9="Domestic",I729, IF(Notes!$B$9="Commercial",J729))*$K$685</f>
        <v>12.800200000000002</v>
      </c>
      <c r="L729" s="283">
        <f>(SUM(O729:Q729)+(K729+SUM(M729:Q729))*(INDEX($U$685:$AB$685,MATCH(Notes!$C$16,$U$3:$AB$3,0))-100%))*$L$685</f>
        <v>68.383798882221114</v>
      </c>
      <c r="M729" s="286"/>
      <c r="N729" s="286"/>
      <c r="O729" s="311">
        <f>O727*O691/O689</f>
        <v>68.383798882221114</v>
      </c>
      <c r="P729" s="285"/>
      <c r="Q729" s="285"/>
      <c r="R729" s="278"/>
      <c r="S729" s="278"/>
      <c r="T729" s="278"/>
    </row>
    <row r="730" spans="1:28" s="305" customFormat="1" hidden="1" outlineLevel="2" x14ac:dyDescent="0.25">
      <c r="A730" s="278"/>
      <c r="B730" s="279" t="str">
        <f t="shared" si="216"/>
        <v>wall (prefab)70x35mm @ 600mm ctsMGP10</v>
      </c>
      <c r="C730" s="278" t="s">
        <v>2201</v>
      </c>
      <c r="D730" s="351" t="s">
        <v>855</v>
      </c>
      <c r="E730" s="278" t="s">
        <v>505</v>
      </c>
      <c r="F730" s="278"/>
      <c r="G730" s="278" t="s">
        <v>11</v>
      </c>
      <c r="H730" s="310">
        <v>7.0000000000000007E-2</v>
      </c>
      <c r="I730" s="280">
        <f t="shared" ref="I730:I759" si="219">$I$2*H730</f>
        <v>5.6434000000000006</v>
      </c>
      <c r="J730" s="281">
        <f t="shared" ref="J730:J759" si="220">$J$2*H730</f>
        <v>6.400100000000001</v>
      </c>
      <c r="K730" s="282">
        <f>IF(Notes!$B$9="Domestic",I730, IF(Notes!$B$9="Commercial",J730))*$K$685</f>
        <v>12.800200000000002</v>
      </c>
      <c r="L730" s="283">
        <f>(SUM(O730:Q730)+(K730+SUM(M730:Q730))*(INDEX($U$685:$AB$685,MATCH(Notes!$C$16,$U$3:$AB$3,0))-100%))*$L$685</f>
        <v>35.396296296296292</v>
      </c>
      <c r="M730" s="286"/>
      <c r="N730" s="286"/>
      <c r="O730" s="285">
        <f>95.57/2.7</f>
        <v>35.396296296296292</v>
      </c>
      <c r="P730" s="285"/>
      <c r="Q730" s="285"/>
      <c r="R730" s="278"/>
      <c r="S730" s="278"/>
      <c r="T730" s="278"/>
    </row>
    <row r="731" spans="1:28" s="305" customFormat="1" hidden="1" outlineLevel="2" x14ac:dyDescent="0.25">
      <c r="A731" s="278"/>
      <c r="B731" s="279" t="str">
        <f t="shared" si="216"/>
        <v>wall (prefab)70x45mm @ 600mm ctsMGP10</v>
      </c>
      <c r="C731" s="278" t="s">
        <v>2201</v>
      </c>
      <c r="D731" s="351" t="s">
        <v>862</v>
      </c>
      <c r="E731" s="278" t="s">
        <v>505</v>
      </c>
      <c r="F731" s="278"/>
      <c r="G731" s="278" t="s">
        <v>11</v>
      </c>
      <c r="H731" s="310">
        <v>7.0000000000000007E-2</v>
      </c>
      <c r="I731" s="280">
        <f t="shared" si="219"/>
        <v>5.6434000000000006</v>
      </c>
      <c r="J731" s="281">
        <f t="shared" si="220"/>
        <v>6.400100000000001</v>
      </c>
      <c r="K731" s="282">
        <f>IF(Notes!$B$9="Domestic",I731, IF(Notes!$B$9="Commercial",J731))*$K$685</f>
        <v>12.800200000000002</v>
      </c>
      <c r="L731" s="283">
        <f>(SUM(O731:Q731)+(K731+SUM(M731:Q731))*(INDEX($U$685:$AB$685,MATCH(Notes!$C$16,$U$3:$AB$3,0))-100%))*$L$685</f>
        <v>37.870370370370367</v>
      </c>
      <c r="M731" s="286"/>
      <c r="N731" s="286"/>
      <c r="O731" s="285">
        <f>102.25/2.7</f>
        <v>37.870370370370367</v>
      </c>
      <c r="P731" s="285"/>
      <c r="Q731" s="285"/>
      <c r="R731" s="278"/>
      <c r="S731" s="278"/>
      <c r="T731" s="278"/>
    </row>
    <row r="732" spans="1:28" s="305" customFormat="1" hidden="1" outlineLevel="2" x14ac:dyDescent="0.25">
      <c r="A732" s="278"/>
      <c r="B732" s="279" t="str">
        <f t="shared" si="216"/>
        <v>wall (prefab)90x35mm @ 600mm ctsMGP10</v>
      </c>
      <c r="C732" s="278" t="s">
        <v>2201</v>
      </c>
      <c r="D732" s="351" t="s">
        <v>863</v>
      </c>
      <c r="E732" s="278" t="s">
        <v>505</v>
      </c>
      <c r="F732" s="278"/>
      <c r="G732" s="278" t="s">
        <v>11</v>
      </c>
      <c r="H732" s="310">
        <v>7.0000000000000007E-2</v>
      </c>
      <c r="I732" s="280">
        <f t="shared" si="219"/>
        <v>5.6434000000000006</v>
      </c>
      <c r="J732" s="281">
        <f t="shared" si="220"/>
        <v>6.400100000000001</v>
      </c>
      <c r="K732" s="282">
        <f>IF(Notes!$B$9="Domestic",I732, IF(Notes!$B$9="Commercial",J732))*$K$685</f>
        <v>12.800200000000002</v>
      </c>
      <c r="L732" s="283">
        <f>(SUM(O732:Q732)+(K732+SUM(M732:Q732))*(INDEX($U$685:$AB$685,MATCH(Notes!$C$16,$U$3:$AB$3,0))-100%))*$L$685</f>
        <v>36.392592592592592</v>
      </c>
      <c r="M732" s="286"/>
      <c r="N732" s="286"/>
      <c r="O732" s="285">
        <f>98.26/2.7</f>
        <v>36.392592592592592</v>
      </c>
      <c r="P732" s="285"/>
      <c r="Q732" s="285"/>
      <c r="R732" s="278"/>
      <c r="S732" s="278"/>
      <c r="T732" s="278"/>
    </row>
    <row r="733" spans="1:28" s="305" customFormat="1" hidden="1" outlineLevel="2" x14ac:dyDescent="0.25">
      <c r="A733" s="278"/>
      <c r="B733" s="279" t="str">
        <f t="shared" si="216"/>
        <v>wall (prefab)90x45mm @ 600mm ctsMGP10</v>
      </c>
      <c r="C733" s="278" t="s">
        <v>2201</v>
      </c>
      <c r="D733" s="351" t="s">
        <v>864</v>
      </c>
      <c r="E733" s="278" t="s">
        <v>505</v>
      </c>
      <c r="F733" s="278"/>
      <c r="G733" s="278" t="s">
        <v>11</v>
      </c>
      <c r="H733" s="310">
        <v>7.0000000000000007E-2</v>
      </c>
      <c r="I733" s="280">
        <f t="shared" si="219"/>
        <v>5.6434000000000006</v>
      </c>
      <c r="J733" s="281">
        <f t="shared" si="220"/>
        <v>6.400100000000001</v>
      </c>
      <c r="K733" s="282">
        <f>IF(Notes!$B$9="Domestic",I733, IF(Notes!$B$9="Commercial",J733))*$K$685</f>
        <v>12.800200000000002</v>
      </c>
      <c r="L733" s="283">
        <f>(SUM(O733:Q733)+(K733+SUM(M733:Q733))*(INDEX($U$685:$AB$685,MATCH(Notes!$C$16,$U$3:$AB$3,0))-100%))*$L$685</f>
        <v>39.844444444444441</v>
      </c>
      <c r="M733" s="286"/>
      <c r="N733" s="286"/>
      <c r="O733" s="285">
        <f>107.58/2.7</f>
        <v>39.844444444444441</v>
      </c>
      <c r="P733" s="285"/>
      <c r="Q733" s="285"/>
      <c r="R733" s="278"/>
      <c r="S733" s="278"/>
      <c r="T733" s="278"/>
    </row>
    <row r="734" spans="1:28" s="305" customFormat="1" hidden="1" outlineLevel="2" x14ac:dyDescent="0.25">
      <c r="A734" s="278"/>
      <c r="B734" s="279" t="str">
        <f t="shared" si="216"/>
        <v>wall (prefab)140x35mm @ 600mm ctsMGP10</v>
      </c>
      <c r="C734" s="278" t="s">
        <v>2201</v>
      </c>
      <c r="D734" s="351" t="s">
        <v>865</v>
      </c>
      <c r="E734" s="278" t="s">
        <v>505</v>
      </c>
      <c r="F734" s="278"/>
      <c r="G734" s="278" t="s">
        <v>11</v>
      </c>
      <c r="H734" s="310">
        <v>7.0000000000000007E-2</v>
      </c>
      <c r="I734" s="280">
        <f t="shared" si="219"/>
        <v>5.6434000000000006</v>
      </c>
      <c r="J734" s="281">
        <f t="shared" si="220"/>
        <v>6.400100000000001</v>
      </c>
      <c r="K734" s="282">
        <f>IF(Notes!$B$9="Domestic",I734, IF(Notes!$B$9="Commercial",J734))*$K$685</f>
        <v>12.800200000000002</v>
      </c>
      <c r="L734" s="283">
        <f>(SUM(O734:Q734)+(K734+SUM(M734:Q734))*(INDEX($U$685:$AB$685,MATCH(Notes!$C$16,$U$3:$AB$3,0))-100%))*$L$685</f>
        <v>49.876778745870638</v>
      </c>
      <c r="M734" s="286"/>
      <c r="N734" s="286"/>
      <c r="O734" s="311">
        <f t="shared" ref="O734:O735" si="221">O732*O696/O694</f>
        <v>49.876778745870638</v>
      </c>
      <c r="P734" s="285"/>
      <c r="Q734" s="285"/>
      <c r="R734" s="278"/>
      <c r="S734" s="278"/>
      <c r="T734" s="278"/>
    </row>
    <row r="735" spans="1:28" s="305" customFormat="1" hidden="1" outlineLevel="2" x14ac:dyDescent="0.25">
      <c r="A735" s="278"/>
      <c r="B735" s="279" t="str">
        <f t="shared" si="216"/>
        <v>wall (prefab)140x45mm @ 600mm ctsMGP10</v>
      </c>
      <c r="C735" s="278" t="s">
        <v>2201</v>
      </c>
      <c r="D735" s="351" t="s">
        <v>866</v>
      </c>
      <c r="E735" s="278" t="s">
        <v>505</v>
      </c>
      <c r="F735" s="278"/>
      <c r="G735" s="278" t="s">
        <v>11</v>
      </c>
      <c r="H735" s="310">
        <v>7.0000000000000007E-2</v>
      </c>
      <c r="I735" s="280">
        <f t="shared" si="219"/>
        <v>5.6434000000000006</v>
      </c>
      <c r="J735" s="281">
        <f t="shared" si="220"/>
        <v>6.400100000000001</v>
      </c>
      <c r="K735" s="282">
        <f>IF(Notes!$B$9="Domestic",I735, IF(Notes!$B$9="Commercial",J735))*$K$685</f>
        <v>12.800200000000002</v>
      </c>
      <c r="L735" s="283">
        <f>(SUM(O735:Q735)+(K735+SUM(M735:Q735))*(INDEX($U$685:$AB$685,MATCH(Notes!$C$16,$U$3:$AB$3,0))-100%))*$L$685</f>
        <v>53.153955784838651</v>
      </c>
      <c r="M735" s="286"/>
      <c r="N735" s="286"/>
      <c r="O735" s="311">
        <f t="shared" si="221"/>
        <v>53.153955784838651</v>
      </c>
      <c r="P735" s="285"/>
      <c r="Q735" s="285"/>
      <c r="R735" s="278"/>
      <c r="S735" s="278"/>
      <c r="T735" s="278"/>
    </row>
    <row r="736" spans="1:28" s="305" customFormat="1" hidden="1" outlineLevel="2" x14ac:dyDescent="0.25">
      <c r="A736" s="278"/>
      <c r="B736" s="279" t="str">
        <f t="shared" si="216"/>
        <v>wall (prefab)70x35mm @ 450mm ctsMGP12</v>
      </c>
      <c r="C736" s="278" t="s">
        <v>2201</v>
      </c>
      <c r="D736" s="351" t="s">
        <v>856</v>
      </c>
      <c r="E736" s="278" t="s">
        <v>506</v>
      </c>
      <c r="F736" s="278"/>
      <c r="G736" s="278" t="s">
        <v>11</v>
      </c>
      <c r="H736" s="309">
        <f>H724</f>
        <v>7.0000000000000007E-2</v>
      </c>
      <c r="I736" s="280">
        <f t="shared" si="219"/>
        <v>5.6434000000000006</v>
      </c>
      <c r="J736" s="281">
        <f t="shared" si="220"/>
        <v>6.400100000000001</v>
      </c>
      <c r="K736" s="282">
        <f>IF(Notes!$B$9="Domestic",I736, IF(Notes!$B$9="Commercial",J736))*$K$685</f>
        <v>12.800200000000002</v>
      </c>
      <c r="L736" s="283">
        <f>(SUM(O736:Q736)+(K736+SUM(M736:Q736))*(INDEX($U$685:$AB$685,MATCH(Notes!$C$16,$U$3:$AB$3,0))-100%))*$L$685</f>
        <v>50.136574074074076</v>
      </c>
      <c r="M736" s="286"/>
      <c r="N736" s="286"/>
      <c r="O736" s="311">
        <f>O724*1.25</f>
        <v>50.136574074074076</v>
      </c>
      <c r="P736" s="285"/>
      <c r="Q736" s="285"/>
      <c r="R736" s="278"/>
      <c r="S736" s="278"/>
      <c r="T736" s="278"/>
    </row>
    <row r="737" spans="1:20" s="305" customFormat="1" hidden="1" outlineLevel="2" x14ac:dyDescent="0.25">
      <c r="A737" s="278"/>
      <c r="B737" s="279" t="str">
        <f t="shared" si="216"/>
        <v>wall (prefab)70x45mm @ 450mm ctsMGP12</v>
      </c>
      <c r="C737" s="278" t="s">
        <v>2201</v>
      </c>
      <c r="D737" s="351" t="s">
        <v>857</v>
      </c>
      <c r="E737" s="278" t="s">
        <v>506</v>
      </c>
      <c r="F737" s="278"/>
      <c r="G737" s="278" t="s">
        <v>11</v>
      </c>
      <c r="H737" s="309">
        <f t="shared" ref="H737:H759" si="222">H725</f>
        <v>7.0000000000000007E-2</v>
      </c>
      <c r="I737" s="280">
        <f t="shared" si="219"/>
        <v>5.6434000000000006</v>
      </c>
      <c r="J737" s="281">
        <f t="shared" si="220"/>
        <v>6.400100000000001</v>
      </c>
      <c r="K737" s="282">
        <f>IF(Notes!$B$9="Domestic",I737, IF(Notes!$B$9="Commercial",J737))*$K$685</f>
        <v>12.800200000000002</v>
      </c>
      <c r="L737" s="283">
        <f>(SUM(O737:Q737)+(K737+SUM(M737:Q737))*(INDEX($U$685:$AB$685,MATCH(Notes!$C$16,$U$3:$AB$3,0))-100%))*$L$685</f>
        <v>54.108796296296298</v>
      </c>
      <c r="M737" s="286"/>
      <c r="N737" s="286"/>
      <c r="O737" s="311">
        <f t="shared" ref="O737:O747" si="223">O725*1.25</f>
        <v>54.108796296296298</v>
      </c>
      <c r="P737" s="285"/>
      <c r="Q737" s="285"/>
      <c r="R737" s="278"/>
      <c r="S737" s="278"/>
      <c r="T737" s="278"/>
    </row>
    <row r="738" spans="1:20" s="305" customFormat="1" hidden="1" outlineLevel="2" x14ac:dyDescent="0.25">
      <c r="A738" s="278"/>
      <c r="B738" s="279" t="str">
        <f t="shared" si="216"/>
        <v>wall (prefab)90x35mm @ 450mm ctsMGP12</v>
      </c>
      <c r="C738" s="278" t="s">
        <v>2201</v>
      </c>
      <c r="D738" s="351" t="s">
        <v>858</v>
      </c>
      <c r="E738" s="278" t="s">
        <v>506</v>
      </c>
      <c r="F738" s="278"/>
      <c r="G738" s="278" t="s">
        <v>11</v>
      </c>
      <c r="H738" s="309">
        <f t="shared" si="222"/>
        <v>7.0000000000000007E-2</v>
      </c>
      <c r="I738" s="280">
        <f t="shared" si="219"/>
        <v>5.6434000000000006</v>
      </c>
      <c r="J738" s="281">
        <f t="shared" si="220"/>
        <v>6.400100000000001</v>
      </c>
      <c r="K738" s="282">
        <f>IF(Notes!$B$9="Domestic",I738, IF(Notes!$B$9="Commercial",J738))*$K$685</f>
        <v>12.800200000000002</v>
      </c>
      <c r="L738" s="283">
        <f>(SUM(O738:Q738)+(K738+SUM(M738:Q738))*(INDEX($U$685:$AB$685,MATCH(Notes!$C$16,$U$3:$AB$3,0))-100%))*$L$685</f>
        <v>51.974999999999994</v>
      </c>
      <c r="M738" s="286"/>
      <c r="N738" s="286"/>
      <c r="O738" s="311">
        <f t="shared" si="223"/>
        <v>51.974999999999994</v>
      </c>
      <c r="P738" s="285"/>
      <c r="Q738" s="285"/>
      <c r="R738" s="278"/>
      <c r="S738" s="278"/>
      <c r="T738" s="278"/>
    </row>
    <row r="739" spans="1:20" s="305" customFormat="1" hidden="1" outlineLevel="2" x14ac:dyDescent="0.25">
      <c r="A739" s="278"/>
      <c r="B739" s="279" t="str">
        <f t="shared" si="216"/>
        <v>wall (prefab)90x45mm @ 450mm ctsMGP12</v>
      </c>
      <c r="C739" s="278" t="s">
        <v>2201</v>
      </c>
      <c r="D739" s="351" t="s">
        <v>859</v>
      </c>
      <c r="E739" s="278" t="s">
        <v>506</v>
      </c>
      <c r="F739" s="278"/>
      <c r="G739" s="278" t="s">
        <v>11</v>
      </c>
      <c r="H739" s="309">
        <f t="shared" si="222"/>
        <v>7.0000000000000007E-2</v>
      </c>
      <c r="I739" s="280">
        <f t="shared" si="219"/>
        <v>5.6434000000000006</v>
      </c>
      <c r="J739" s="281">
        <f t="shared" si="220"/>
        <v>6.400100000000001</v>
      </c>
      <c r="K739" s="282">
        <f>IF(Notes!$B$9="Domestic",I739, IF(Notes!$B$9="Commercial",J739))*$K$685</f>
        <v>12.800200000000002</v>
      </c>
      <c r="L739" s="283">
        <f>(SUM(O739:Q739)+(K739+SUM(M739:Q739))*(INDEX($U$685:$AB$685,MATCH(Notes!$C$16,$U$3:$AB$3,0))-100%))*$L$685</f>
        <v>57.220370370370375</v>
      </c>
      <c r="M739" s="286"/>
      <c r="N739" s="286"/>
      <c r="O739" s="311">
        <f t="shared" si="223"/>
        <v>57.220370370370375</v>
      </c>
      <c r="P739" s="285"/>
      <c r="Q739" s="285"/>
      <c r="R739" s="278"/>
      <c r="S739" s="278"/>
      <c r="T739" s="278"/>
    </row>
    <row r="740" spans="1:20" s="305" customFormat="1" hidden="1" outlineLevel="2" x14ac:dyDescent="0.25">
      <c r="A740" s="278"/>
      <c r="B740" s="279" t="str">
        <f t="shared" si="216"/>
        <v>wall (prefab)140x35mm @ 450mm ctsMGP12</v>
      </c>
      <c r="C740" s="278" t="s">
        <v>2201</v>
      </c>
      <c r="D740" s="351" t="s">
        <v>860</v>
      </c>
      <c r="E740" s="278" t="s">
        <v>506</v>
      </c>
      <c r="F740" s="278"/>
      <c r="G740" s="278" t="s">
        <v>11</v>
      </c>
      <c r="H740" s="309">
        <f t="shared" si="222"/>
        <v>7.0000000000000007E-2</v>
      </c>
      <c r="I740" s="280">
        <f t="shared" si="219"/>
        <v>5.6434000000000006</v>
      </c>
      <c r="J740" s="281">
        <f t="shared" si="220"/>
        <v>6.400100000000001</v>
      </c>
      <c r="K740" s="282">
        <f>IF(Notes!$B$9="Domestic",I740, IF(Notes!$B$9="Commercial",J740))*$K$685</f>
        <v>12.800200000000002</v>
      </c>
      <c r="L740" s="283">
        <f>(SUM(O740:Q740)+(K740+SUM(M740:Q740))*(INDEX($U$685:$AB$685,MATCH(Notes!$C$16,$U$3:$AB$3,0))-100%))*$L$685</f>
        <v>80.91241776315789</v>
      </c>
      <c r="M740" s="286"/>
      <c r="N740" s="286"/>
      <c r="O740" s="311">
        <f t="shared" si="223"/>
        <v>80.91241776315789</v>
      </c>
      <c r="P740" s="285"/>
      <c r="Q740" s="285"/>
      <c r="R740" s="278"/>
      <c r="S740" s="278"/>
      <c r="T740" s="278"/>
    </row>
    <row r="741" spans="1:20" s="305" customFormat="1" hidden="1" outlineLevel="2" x14ac:dyDescent="0.25">
      <c r="A741" s="278"/>
      <c r="B741" s="279" t="str">
        <f t="shared" si="216"/>
        <v>wall (prefab)140x45mm @ 450mm ctsMGP12</v>
      </c>
      <c r="C741" s="278" t="s">
        <v>2201</v>
      </c>
      <c r="D741" s="351" t="s">
        <v>861</v>
      </c>
      <c r="E741" s="278" t="s">
        <v>506</v>
      </c>
      <c r="F741" s="278"/>
      <c r="G741" s="278" t="s">
        <v>11</v>
      </c>
      <c r="H741" s="309">
        <f t="shared" si="222"/>
        <v>7.0000000000000007E-2</v>
      </c>
      <c r="I741" s="280">
        <f t="shared" si="219"/>
        <v>5.6434000000000006</v>
      </c>
      <c r="J741" s="281">
        <f t="shared" si="220"/>
        <v>6.400100000000001</v>
      </c>
      <c r="K741" s="282">
        <f>IF(Notes!$B$9="Domestic",I741, IF(Notes!$B$9="Commercial",J741))*$K$685</f>
        <v>12.800200000000002</v>
      </c>
      <c r="L741" s="283">
        <f>(SUM(O741:Q741)+(K741+SUM(M741:Q741))*(INDEX($U$685:$AB$685,MATCH(Notes!$C$16,$U$3:$AB$3,0))-100%))*$L$685</f>
        <v>85.479748602776397</v>
      </c>
      <c r="M741" s="286"/>
      <c r="N741" s="286"/>
      <c r="O741" s="311">
        <f t="shared" si="223"/>
        <v>85.479748602776397</v>
      </c>
      <c r="P741" s="285"/>
      <c r="Q741" s="285"/>
      <c r="R741" s="278"/>
      <c r="S741" s="278"/>
      <c r="T741" s="278"/>
    </row>
    <row r="742" spans="1:20" s="305" customFormat="1" hidden="1" outlineLevel="2" x14ac:dyDescent="0.25">
      <c r="A742" s="278"/>
      <c r="B742" s="279" t="str">
        <f t="shared" si="216"/>
        <v>wall (prefab)70x35mm @ 600mm ctsMGP12</v>
      </c>
      <c r="C742" s="278" t="s">
        <v>2201</v>
      </c>
      <c r="D742" s="351" t="s">
        <v>855</v>
      </c>
      <c r="E742" s="278" t="s">
        <v>506</v>
      </c>
      <c r="F742" s="278"/>
      <c r="G742" s="278" t="s">
        <v>11</v>
      </c>
      <c r="H742" s="309">
        <f t="shared" si="222"/>
        <v>7.0000000000000007E-2</v>
      </c>
      <c r="I742" s="280">
        <f t="shared" si="219"/>
        <v>5.6434000000000006</v>
      </c>
      <c r="J742" s="281">
        <f t="shared" si="220"/>
        <v>6.400100000000001</v>
      </c>
      <c r="K742" s="282">
        <f>IF(Notes!$B$9="Domestic",I742, IF(Notes!$B$9="Commercial",J742))*$K$685</f>
        <v>12.800200000000002</v>
      </c>
      <c r="L742" s="283">
        <f>(SUM(O742:Q742)+(K742+SUM(M742:Q742))*(INDEX($U$685:$AB$685,MATCH(Notes!$C$16,$U$3:$AB$3,0))-100%))*$L$685</f>
        <v>44.245370370370367</v>
      </c>
      <c r="M742" s="286"/>
      <c r="N742" s="286"/>
      <c r="O742" s="311">
        <f t="shared" si="223"/>
        <v>44.245370370370367</v>
      </c>
      <c r="P742" s="285"/>
      <c r="Q742" s="285"/>
      <c r="R742" s="278"/>
      <c r="S742" s="278"/>
      <c r="T742" s="278"/>
    </row>
    <row r="743" spans="1:20" s="305" customFormat="1" hidden="1" outlineLevel="2" x14ac:dyDescent="0.25">
      <c r="A743" s="278"/>
      <c r="B743" s="279" t="str">
        <f t="shared" si="216"/>
        <v>wall (prefab)70x45mm @ 600mm ctsMGP12</v>
      </c>
      <c r="C743" s="278" t="s">
        <v>2201</v>
      </c>
      <c r="D743" s="351" t="s">
        <v>862</v>
      </c>
      <c r="E743" s="278" t="s">
        <v>506</v>
      </c>
      <c r="F743" s="278"/>
      <c r="G743" s="278" t="s">
        <v>11</v>
      </c>
      <c r="H743" s="309">
        <f t="shared" si="222"/>
        <v>7.0000000000000007E-2</v>
      </c>
      <c r="I743" s="280">
        <f t="shared" si="219"/>
        <v>5.6434000000000006</v>
      </c>
      <c r="J743" s="281">
        <f t="shared" si="220"/>
        <v>6.400100000000001</v>
      </c>
      <c r="K743" s="282">
        <f>IF(Notes!$B$9="Domestic",I743, IF(Notes!$B$9="Commercial",J743))*$K$685</f>
        <v>12.800200000000002</v>
      </c>
      <c r="L743" s="283">
        <f>(SUM(O743:Q743)+(K743+SUM(M743:Q743))*(INDEX($U$685:$AB$685,MATCH(Notes!$C$16,$U$3:$AB$3,0))-100%))*$L$685</f>
        <v>47.337962962962962</v>
      </c>
      <c r="M743" s="286"/>
      <c r="N743" s="286"/>
      <c r="O743" s="311">
        <f t="shared" si="223"/>
        <v>47.337962962962962</v>
      </c>
      <c r="P743" s="285"/>
      <c r="Q743" s="285"/>
      <c r="R743" s="278"/>
      <c r="S743" s="278"/>
      <c r="T743" s="278"/>
    </row>
    <row r="744" spans="1:20" s="305" customFormat="1" hidden="1" outlineLevel="2" x14ac:dyDescent="0.25">
      <c r="A744" s="278"/>
      <c r="B744" s="279" t="str">
        <f t="shared" si="216"/>
        <v>wall (prefab)90x35mm @ 600mm ctsMGP12</v>
      </c>
      <c r="C744" s="278" t="s">
        <v>2201</v>
      </c>
      <c r="D744" s="351" t="s">
        <v>863</v>
      </c>
      <c r="E744" s="278" t="s">
        <v>506</v>
      </c>
      <c r="F744" s="278"/>
      <c r="G744" s="278" t="s">
        <v>11</v>
      </c>
      <c r="H744" s="309">
        <f t="shared" si="222"/>
        <v>7.0000000000000007E-2</v>
      </c>
      <c r="I744" s="280">
        <f t="shared" si="219"/>
        <v>5.6434000000000006</v>
      </c>
      <c r="J744" s="281">
        <f t="shared" si="220"/>
        <v>6.400100000000001</v>
      </c>
      <c r="K744" s="282">
        <f>IF(Notes!$B$9="Domestic",I744, IF(Notes!$B$9="Commercial",J744))*$K$685</f>
        <v>12.800200000000002</v>
      </c>
      <c r="L744" s="283">
        <f>(SUM(O744:Q744)+(K744+SUM(M744:Q744))*(INDEX($U$685:$AB$685,MATCH(Notes!$C$16,$U$3:$AB$3,0))-100%))*$L$685</f>
        <v>45.49074074074074</v>
      </c>
      <c r="M744" s="286"/>
      <c r="N744" s="286"/>
      <c r="O744" s="311">
        <f t="shared" si="223"/>
        <v>45.49074074074074</v>
      </c>
      <c r="P744" s="285"/>
      <c r="Q744" s="285"/>
      <c r="R744" s="278"/>
      <c r="S744" s="278"/>
      <c r="T744" s="278"/>
    </row>
    <row r="745" spans="1:20" s="305" customFormat="1" hidden="1" outlineLevel="2" x14ac:dyDescent="0.25">
      <c r="A745" s="278"/>
      <c r="B745" s="279" t="str">
        <f t="shared" si="216"/>
        <v>wall (prefab)90x45mm @ 600mm ctsMGP12</v>
      </c>
      <c r="C745" s="278" t="s">
        <v>2201</v>
      </c>
      <c r="D745" s="351" t="s">
        <v>864</v>
      </c>
      <c r="E745" s="278" t="s">
        <v>506</v>
      </c>
      <c r="F745" s="278"/>
      <c r="G745" s="278" t="s">
        <v>11</v>
      </c>
      <c r="H745" s="309">
        <f t="shared" si="222"/>
        <v>7.0000000000000007E-2</v>
      </c>
      <c r="I745" s="280">
        <f t="shared" si="219"/>
        <v>5.6434000000000006</v>
      </c>
      <c r="J745" s="281">
        <f t="shared" si="220"/>
        <v>6.400100000000001</v>
      </c>
      <c r="K745" s="282">
        <f>IF(Notes!$B$9="Domestic",I745, IF(Notes!$B$9="Commercial",J745))*$K$685</f>
        <v>12.800200000000002</v>
      </c>
      <c r="L745" s="283">
        <f>(SUM(O745:Q745)+(K745+SUM(M745:Q745))*(INDEX($U$685:$AB$685,MATCH(Notes!$C$16,$U$3:$AB$3,0))-100%))*$L$685</f>
        <v>49.80555555555555</v>
      </c>
      <c r="M745" s="286"/>
      <c r="N745" s="286"/>
      <c r="O745" s="311">
        <f t="shared" si="223"/>
        <v>49.80555555555555</v>
      </c>
      <c r="P745" s="285"/>
      <c r="Q745" s="285"/>
      <c r="R745" s="278"/>
      <c r="S745" s="278"/>
      <c r="T745" s="278"/>
    </row>
    <row r="746" spans="1:20" s="305" customFormat="1" hidden="1" outlineLevel="2" x14ac:dyDescent="0.25">
      <c r="A746" s="278"/>
      <c r="B746" s="279" t="str">
        <f t="shared" si="216"/>
        <v>wall (prefab)140x35mm @ 600mm ctsMGP12</v>
      </c>
      <c r="C746" s="278" t="s">
        <v>2201</v>
      </c>
      <c r="D746" s="351" t="s">
        <v>865</v>
      </c>
      <c r="E746" s="278" t="s">
        <v>506</v>
      </c>
      <c r="F746" s="278"/>
      <c r="G746" s="278" t="s">
        <v>11</v>
      </c>
      <c r="H746" s="309">
        <f t="shared" si="222"/>
        <v>7.0000000000000007E-2</v>
      </c>
      <c r="I746" s="280">
        <f t="shared" si="219"/>
        <v>5.6434000000000006</v>
      </c>
      <c r="J746" s="281">
        <f t="shared" si="220"/>
        <v>6.400100000000001</v>
      </c>
      <c r="K746" s="282">
        <f>IF(Notes!$B$9="Domestic",I746, IF(Notes!$B$9="Commercial",J746))*$K$685</f>
        <v>12.800200000000002</v>
      </c>
      <c r="L746" s="283">
        <f>(SUM(O746:Q746)+(K746+SUM(M746:Q746))*(INDEX($U$685:$AB$685,MATCH(Notes!$C$16,$U$3:$AB$3,0))-100%))*$L$685</f>
        <v>62.345973432338297</v>
      </c>
      <c r="M746" s="286"/>
      <c r="N746" s="286"/>
      <c r="O746" s="311">
        <f t="shared" si="223"/>
        <v>62.345973432338297</v>
      </c>
      <c r="P746" s="285"/>
      <c r="Q746" s="285"/>
      <c r="R746" s="278"/>
      <c r="S746" s="278"/>
      <c r="T746" s="278"/>
    </row>
    <row r="747" spans="1:20" s="305" customFormat="1" hidden="1" outlineLevel="2" x14ac:dyDescent="0.25">
      <c r="A747" s="278"/>
      <c r="B747" s="279" t="str">
        <f t="shared" si="216"/>
        <v>wall (prefab)140x45mm @ 600mm ctsMGP12</v>
      </c>
      <c r="C747" s="278" t="s">
        <v>2201</v>
      </c>
      <c r="D747" s="351" t="s">
        <v>866</v>
      </c>
      <c r="E747" s="278" t="s">
        <v>506</v>
      </c>
      <c r="F747" s="278"/>
      <c r="G747" s="278" t="s">
        <v>11</v>
      </c>
      <c r="H747" s="309">
        <f t="shared" si="222"/>
        <v>7.0000000000000007E-2</v>
      </c>
      <c r="I747" s="280">
        <f t="shared" si="219"/>
        <v>5.6434000000000006</v>
      </c>
      <c r="J747" s="281">
        <f t="shared" si="220"/>
        <v>6.400100000000001</v>
      </c>
      <c r="K747" s="282">
        <f>IF(Notes!$B$9="Domestic",I747, IF(Notes!$B$9="Commercial",J747))*$K$685</f>
        <v>12.800200000000002</v>
      </c>
      <c r="L747" s="283">
        <f>(SUM(O747:Q747)+(K747+SUM(M747:Q747))*(INDEX($U$685:$AB$685,MATCH(Notes!$C$16,$U$3:$AB$3,0))-100%))*$L$685</f>
        <v>66.442444731048312</v>
      </c>
      <c r="M747" s="286"/>
      <c r="N747" s="286"/>
      <c r="O747" s="311">
        <f t="shared" si="223"/>
        <v>66.442444731048312</v>
      </c>
      <c r="P747" s="285"/>
      <c r="Q747" s="285"/>
      <c r="R747" s="278"/>
      <c r="S747" s="278"/>
      <c r="T747" s="278"/>
    </row>
    <row r="748" spans="1:20" s="305" customFormat="1" hidden="1" outlineLevel="2" x14ac:dyDescent="0.25">
      <c r="A748" s="278"/>
      <c r="B748" s="279" t="str">
        <f t="shared" si="216"/>
        <v>wall (prefab)70x35mm @ 450mm ctsHWD</v>
      </c>
      <c r="C748" s="278" t="s">
        <v>2201</v>
      </c>
      <c r="D748" s="351" t="s">
        <v>856</v>
      </c>
      <c r="E748" s="278" t="s">
        <v>507</v>
      </c>
      <c r="F748" s="278"/>
      <c r="G748" s="278" t="s">
        <v>11</v>
      </c>
      <c r="H748" s="309">
        <f t="shared" si="222"/>
        <v>7.0000000000000007E-2</v>
      </c>
      <c r="I748" s="280">
        <f t="shared" si="219"/>
        <v>5.6434000000000006</v>
      </c>
      <c r="J748" s="281">
        <f t="shared" si="220"/>
        <v>6.400100000000001</v>
      </c>
      <c r="K748" s="282">
        <f>IF(Notes!$B$9="Domestic",I748, IF(Notes!$B$9="Commercial",J748))*$K$685</f>
        <v>12.800200000000002</v>
      </c>
      <c r="L748" s="283">
        <f>(SUM(O748:Q748)+(K748+SUM(M748:Q748))*(INDEX($U$685:$AB$685,MATCH(Notes!$C$16,$U$3:$AB$3,0))-100%))*$L$685</f>
        <v>70.191203703703707</v>
      </c>
      <c r="M748" s="286"/>
      <c r="N748" s="286"/>
      <c r="O748" s="311">
        <f>O724*1.75</f>
        <v>70.191203703703707</v>
      </c>
      <c r="P748" s="285"/>
      <c r="Q748" s="285"/>
      <c r="R748" s="278"/>
      <c r="S748" s="278"/>
      <c r="T748" s="278"/>
    </row>
    <row r="749" spans="1:20" s="305" customFormat="1" hidden="1" outlineLevel="2" x14ac:dyDescent="0.25">
      <c r="A749" s="278"/>
      <c r="B749" s="279" t="str">
        <f t="shared" si="216"/>
        <v>wall (prefab)70x45mm @ 450mm ctsHWD</v>
      </c>
      <c r="C749" s="278" t="s">
        <v>2201</v>
      </c>
      <c r="D749" s="351" t="s">
        <v>857</v>
      </c>
      <c r="E749" s="278" t="s">
        <v>507</v>
      </c>
      <c r="F749" s="278"/>
      <c r="G749" s="278" t="s">
        <v>11</v>
      </c>
      <c r="H749" s="309">
        <f t="shared" si="222"/>
        <v>7.0000000000000007E-2</v>
      </c>
      <c r="I749" s="280">
        <f t="shared" si="219"/>
        <v>5.6434000000000006</v>
      </c>
      <c r="J749" s="281">
        <f t="shared" si="220"/>
        <v>6.400100000000001</v>
      </c>
      <c r="K749" s="282">
        <f>IF(Notes!$B$9="Domestic",I749, IF(Notes!$B$9="Commercial",J749))*$K$685</f>
        <v>12.800200000000002</v>
      </c>
      <c r="L749" s="283">
        <f>(SUM(O749:Q749)+(K749+SUM(M749:Q749))*(INDEX($U$685:$AB$685,MATCH(Notes!$C$16,$U$3:$AB$3,0))-100%))*$L$685</f>
        <v>75.75231481481481</v>
      </c>
      <c r="M749" s="286"/>
      <c r="N749" s="286"/>
      <c r="O749" s="311">
        <f t="shared" ref="O749:O759" si="224">O725*1.75</f>
        <v>75.75231481481481</v>
      </c>
      <c r="P749" s="285"/>
      <c r="Q749" s="285"/>
      <c r="R749" s="278"/>
      <c r="S749" s="278"/>
      <c r="T749" s="278"/>
    </row>
    <row r="750" spans="1:20" s="305" customFormat="1" hidden="1" outlineLevel="2" x14ac:dyDescent="0.25">
      <c r="A750" s="278"/>
      <c r="B750" s="279" t="str">
        <f t="shared" si="216"/>
        <v>wall (prefab)90x35mm @ 450mm ctsHWD</v>
      </c>
      <c r="C750" s="278" t="s">
        <v>2201</v>
      </c>
      <c r="D750" s="351" t="s">
        <v>858</v>
      </c>
      <c r="E750" s="278" t="s">
        <v>507</v>
      </c>
      <c r="F750" s="278"/>
      <c r="G750" s="278" t="s">
        <v>11</v>
      </c>
      <c r="H750" s="309">
        <f t="shared" si="222"/>
        <v>7.0000000000000007E-2</v>
      </c>
      <c r="I750" s="280">
        <f t="shared" si="219"/>
        <v>5.6434000000000006</v>
      </c>
      <c r="J750" s="281">
        <f t="shared" si="220"/>
        <v>6.400100000000001</v>
      </c>
      <c r="K750" s="282">
        <f>IF(Notes!$B$9="Domestic",I750, IF(Notes!$B$9="Commercial",J750))*$K$685</f>
        <v>12.800200000000002</v>
      </c>
      <c r="L750" s="283">
        <f>(SUM(O750:Q750)+(K750+SUM(M750:Q750))*(INDEX($U$685:$AB$685,MATCH(Notes!$C$16,$U$3:$AB$3,0))-100%))*$L$685</f>
        <v>72.765000000000001</v>
      </c>
      <c r="M750" s="286"/>
      <c r="N750" s="286"/>
      <c r="O750" s="311">
        <f t="shared" si="224"/>
        <v>72.765000000000001</v>
      </c>
      <c r="P750" s="285"/>
      <c r="Q750" s="285"/>
      <c r="R750" s="278"/>
      <c r="S750" s="278"/>
      <c r="T750" s="278"/>
    </row>
    <row r="751" spans="1:20" s="305" customFormat="1" hidden="1" outlineLevel="2" x14ac:dyDescent="0.25">
      <c r="A751" s="278"/>
      <c r="B751" s="279" t="str">
        <f t="shared" si="216"/>
        <v>wall (prefab)90x45mm @ 450mm ctsHWD</v>
      </c>
      <c r="C751" s="278" t="s">
        <v>2201</v>
      </c>
      <c r="D751" s="351" t="s">
        <v>859</v>
      </c>
      <c r="E751" s="278" t="s">
        <v>507</v>
      </c>
      <c r="F751" s="278"/>
      <c r="G751" s="278" t="s">
        <v>11</v>
      </c>
      <c r="H751" s="309">
        <f t="shared" si="222"/>
        <v>7.0000000000000007E-2</v>
      </c>
      <c r="I751" s="280">
        <f t="shared" si="219"/>
        <v>5.6434000000000006</v>
      </c>
      <c r="J751" s="281">
        <f t="shared" si="220"/>
        <v>6.400100000000001</v>
      </c>
      <c r="K751" s="282">
        <f>IF(Notes!$B$9="Domestic",I751, IF(Notes!$B$9="Commercial",J751))*$K$685</f>
        <v>12.800200000000002</v>
      </c>
      <c r="L751" s="283">
        <f>(SUM(O751:Q751)+(K751+SUM(M751:Q751))*(INDEX($U$685:$AB$685,MATCH(Notes!$C$16,$U$3:$AB$3,0))-100%))*$L$685</f>
        <v>80.108518518518522</v>
      </c>
      <c r="M751" s="286"/>
      <c r="N751" s="286"/>
      <c r="O751" s="311">
        <f t="shared" si="224"/>
        <v>80.108518518518522</v>
      </c>
      <c r="P751" s="285"/>
      <c r="Q751" s="285"/>
      <c r="R751" s="278"/>
      <c r="S751" s="278"/>
      <c r="T751" s="278"/>
    </row>
    <row r="752" spans="1:20" s="305" customFormat="1" hidden="1" outlineLevel="2" x14ac:dyDescent="0.25">
      <c r="A752" s="278"/>
      <c r="B752" s="279" t="str">
        <f t="shared" si="216"/>
        <v>wall (prefab)140x35mm @ 450mm ctsHWD</v>
      </c>
      <c r="C752" s="278" t="s">
        <v>2201</v>
      </c>
      <c r="D752" s="351" t="s">
        <v>860</v>
      </c>
      <c r="E752" s="278" t="s">
        <v>507</v>
      </c>
      <c r="F752" s="278"/>
      <c r="G752" s="278" t="s">
        <v>11</v>
      </c>
      <c r="H752" s="309">
        <f t="shared" si="222"/>
        <v>7.0000000000000007E-2</v>
      </c>
      <c r="I752" s="280">
        <f t="shared" si="219"/>
        <v>5.6434000000000006</v>
      </c>
      <c r="J752" s="281">
        <f t="shared" si="220"/>
        <v>6.400100000000001</v>
      </c>
      <c r="K752" s="282">
        <f>IF(Notes!$B$9="Domestic",I752, IF(Notes!$B$9="Commercial",J752))*$K$685</f>
        <v>12.800200000000002</v>
      </c>
      <c r="L752" s="283">
        <f>(SUM(O752:Q752)+(K752+SUM(M752:Q752))*(INDEX($U$685:$AB$685,MATCH(Notes!$C$16,$U$3:$AB$3,0))-100%))*$L$685</f>
        <v>113.27738486842104</v>
      </c>
      <c r="M752" s="286"/>
      <c r="N752" s="286"/>
      <c r="O752" s="311">
        <f t="shared" si="224"/>
        <v>113.27738486842104</v>
      </c>
      <c r="P752" s="285"/>
      <c r="Q752" s="285"/>
      <c r="R752" s="278"/>
      <c r="S752" s="278"/>
      <c r="T752" s="278"/>
    </row>
    <row r="753" spans="1:28" s="305" customFormat="1" hidden="1" outlineLevel="2" x14ac:dyDescent="0.25">
      <c r="A753" s="278"/>
      <c r="B753" s="279" t="str">
        <f t="shared" si="216"/>
        <v>wall (prefab)140x45mm @ 450mm ctsHWD</v>
      </c>
      <c r="C753" s="278" t="s">
        <v>2201</v>
      </c>
      <c r="D753" s="351" t="s">
        <v>861</v>
      </c>
      <c r="E753" s="278" t="s">
        <v>507</v>
      </c>
      <c r="F753" s="278"/>
      <c r="G753" s="278" t="s">
        <v>11</v>
      </c>
      <c r="H753" s="309">
        <f t="shared" si="222"/>
        <v>7.0000000000000007E-2</v>
      </c>
      <c r="I753" s="280">
        <f t="shared" si="219"/>
        <v>5.6434000000000006</v>
      </c>
      <c r="J753" s="281">
        <f t="shared" si="220"/>
        <v>6.400100000000001</v>
      </c>
      <c r="K753" s="282">
        <f>IF(Notes!$B$9="Domestic",I753, IF(Notes!$B$9="Commercial",J753))*$K$685</f>
        <v>12.800200000000002</v>
      </c>
      <c r="L753" s="283">
        <f>(SUM(O753:Q753)+(K753+SUM(M753:Q753))*(INDEX($U$685:$AB$685,MATCH(Notes!$C$16,$U$3:$AB$3,0))-100%))*$L$685</f>
        <v>119.67164804388695</v>
      </c>
      <c r="M753" s="286"/>
      <c r="N753" s="286"/>
      <c r="O753" s="311">
        <f t="shared" si="224"/>
        <v>119.67164804388695</v>
      </c>
      <c r="P753" s="285"/>
      <c r="Q753" s="285"/>
      <c r="R753" s="278"/>
      <c r="S753" s="278"/>
      <c r="T753" s="278"/>
    </row>
    <row r="754" spans="1:28" s="305" customFormat="1" hidden="1" outlineLevel="2" x14ac:dyDescent="0.25">
      <c r="A754" s="278"/>
      <c r="B754" s="279" t="str">
        <f t="shared" si="216"/>
        <v>wall (prefab)70x35mm @ 600mm ctsHWD</v>
      </c>
      <c r="C754" s="278" t="s">
        <v>2201</v>
      </c>
      <c r="D754" s="351" t="s">
        <v>855</v>
      </c>
      <c r="E754" s="278" t="s">
        <v>507</v>
      </c>
      <c r="F754" s="278"/>
      <c r="G754" s="278" t="s">
        <v>11</v>
      </c>
      <c r="H754" s="309">
        <f t="shared" si="222"/>
        <v>7.0000000000000007E-2</v>
      </c>
      <c r="I754" s="280">
        <f t="shared" si="219"/>
        <v>5.6434000000000006</v>
      </c>
      <c r="J754" s="281">
        <f t="shared" si="220"/>
        <v>6.400100000000001</v>
      </c>
      <c r="K754" s="282">
        <f>IF(Notes!$B$9="Domestic",I754, IF(Notes!$B$9="Commercial",J754))*$K$685</f>
        <v>12.800200000000002</v>
      </c>
      <c r="L754" s="283">
        <f>(SUM(O754:Q754)+(K754+SUM(M754:Q754))*(INDEX($U$685:$AB$685,MATCH(Notes!$C$16,$U$3:$AB$3,0))-100%))*$L$685</f>
        <v>61.943518518518509</v>
      </c>
      <c r="M754" s="286"/>
      <c r="N754" s="286"/>
      <c r="O754" s="311">
        <f t="shared" si="224"/>
        <v>61.943518518518509</v>
      </c>
      <c r="P754" s="285"/>
      <c r="Q754" s="285"/>
      <c r="R754" s="278"/>
      <c r="S754" s="278"/>
      <c r="T754" s="278"/>
    </row>
    <row r="755" spans="1:28" s="305" customFormat="1" hidden="1" outlineLevel="2" x14ac:dyDescent="0.25">
      <c r="A755" s="278"/>
      <c r="B755" s="279" t="str">
        <f t="shared" si="216"/>
        <v>wall (prefab)70x45mm @ 600mm ctsHWD</v>
      </c>
      <c r="C755" s="278" t="s">
        <v>2201</v>
      </c>
      <c r="D755" s="351" t="s">
        <v>862</v>
      </c>
      <c r="E755" s="278" t="s">
        <v>507</v>
      </c>
      <c r="F755" s="278"/>
      <c r="G755" s="278" t="s">
        <v>11</v>
      </c>
      <c r="H755" s="309">
        <f t="shared" si="222"/>
        <v>7.0000000000000007E-2</v>
      </c>
      <c r="I755" s="280">
        <f t="shared" si="219"/>
        <v>5.6434000000000006</v>
      </c>
      <c r="J755" s="281">
        <f t="shared" si="220"/>
        <v>6.400100000000001</v>
      </c>
      <c r="K755" s="282">
        <f>IF(Notes!$B$9="Domestic",I755, IF(Notes!$B$9="Commercial",J755))*$K$685</f>
        <v>12.800200000000002</v>
      </c>
      <c r="L755" s="283">
        <f>(SUM(O755:Q755)+(K755+SUM(M755:Q755))*(INDEX($U$685:$AB$685,MATCH(Notes!$C$16,$U$3:$AB$3,0))-100%))*$L$685</f>
        <v>66.273148148148138</v>
      </c>
      <c r="M755" s="286"/>
      <c r="N755" s="286"/>
      <c r="O755" s="311">
        <f t="shared" si="224"/>
        <v>66.273148148148138</v>
      </c>
      <c r="P755" s="285"/>
      <c r="Q755" s="285"/>
      <c r="R755" s="278"/>
      <c r="S755" s="278"/>
      <c r="T755" s="278"/>
    </row>
    <row r="756" spans="1:28" s="305" customFormat="1" hidden="1" outlineLevel="2" x14ac:dyDescent="0.25">
      <c r="A756" s="278"/>
      <c r="B756" s="279" t="str">
        <f t="shared" si="216"/>
        <v>wall (prefab)90x35mm @ 600mm ctsHWD</v>
      </c>
      <c r="C756" s="278" t="s">
        <v>2201</v>
      </c>
      <c r="D756" s="351" t="s">
        <v>863</v>
      </c>
      <c r="E756" s="278" t="s">
        <v>507</v>
      </c>
      <c r="F756" s="278"/>
      <c r="G756" s="278" t="s">
        <v>11</v>
      </c>
      <c r="H756" s="309">
        <f t="shared" si="222"/>
        <v>7.0000000000000007E-2</v>
      </c>
      <c r="I756" s="280">
        <f t="shared" si="219"/>
        <v>5.6434000000000006</v>
      </c>
      <c r="J756" s="281">
        <f t="shared" si="220"/>
        <v>6.400100000000001</v>
      </c>
      <c r="K756" s="282">
        <f>IF(Notes!$B$9="Domestic",I756, IF(Notes!$B$9="Commercial",J756))*$K$685</f>
        <v>12.800200000000002</v>
      </c>
      <c r="L756" s="283">
        <f>(SUM(O756:Q756)+(K756+SUM(M756:Q756))*(INDEX($U$685:$AB$685,MATCH(Notes!$C$16,$U$3:$AB$3,0))-100%))*$L$685</f>
        <v>63.687037037037037</v>
      </c>
      <c r="M756" s="286"/>
      <c r="N756" s="286"/>
      <c r="O756" s="311">
        <f t="shared" si="224"/>
        <v>63.687037037037037</v>
      </c>
      <c r="P756" s="285"/>
      <c r="Q756" s="285"/>
      <c r="R756" s="278"/>
      <c r="S756" s="278"/>
      <c r="T756" s="278"/>
    </row>
    <row r="757" spans="1:28" s="305" customFormat="1" hidden="1" outlineLevel="2" x14ac:dyDescent="0.25">
      <c r="A757" s="278"/>
      <c r="B757" s="279" t="str">
        <f t="shared" si="216"/>
        <v>wall (prefab)90x45mm @ 600mm ctsHWD</v>
      </c>
      <c r="C757" s="278" t="s">
        <v>2201</v>
      </c>
      <c r="D757" s="351" t="s">
        <v>864</v>
      </c>
      <c r="E757" s="278" t="s">
        <v>507</v>
      </c>
      <c r="F757" s="278"/>
      <c r="G757" s="278" t="s">
        <v>11</v>
      </c>
      <c r="H757" s="309">
        <f t="shared" si="222"/>
        <v>7.0000000000000007E-2</v>
      </c>
      <c r="I757" s="280">
        <f t="shared" si="219"/>
        <v>5.6434000000000006</v>
      </c>
      <c r="J757" s="281">
        <f t="shared" si="220"/>
        <v>6.400100000000001</v>
      </c>
      <c r="K757" s="282">
        <f>IF(Notes!$B$9="Domestic",I757, IF(Notes!$B$9="Commercial",J757))*$K$685</f>
        <v>12.800200000000002</v>
      </c>
      <c r="L757" s="283">
        <f>(SUM(O757:Q757)+(K757+SUM(M757:Q757))*(INDEX($U$685:$AB$685,MATCH(Notes!$C$16,$U$3:$AB$3,0))-100%))*$L$685</f>
        <v>69.727777777777774</v>
      </c>
      <c r="M757" s="286"/>
      <c r="N757" s="286"/>
      <c r="O757" s="311">
        <f t="shared" si="224"/>
        <v>69.727777777777774</v>
      </c>
      <c r="P757" s="285"/>
      <c r="Q757" s="285"/>
      <c r="R757" s="278"/>
      <c r="S757" s="278"/>
      <c r="T757" s="278"/>
    </row>
    <row r="758" spans="1:28" s="305" customFormat="1" hidden="1" outlineLevel="2" x14ac:dyDescent="0.25">
      <c r="A758" s="278"/>
      <c r="B758" s="279" t="str">
        <f t="shared" si="216"/>
        <v>wall (prefab)140x35mm @ 600mm ctsHWD</v>
      </c>
      <c r="C758" s="278" t="s">
        <v>2201</v>
      </c>
      <c r="D758" s="351" t="s">
        <v>865</v>
      </c>
      <c r="E758" s="278" t="s">
        <v>507</v>
      </c>
      <c r="F758" s="278"/>
      <c r="G758" s="278" t="s">
        <v>11</v>
      </c>
      <c r="H758" s="309">
        <f t="shared" si="222"/>
        <v>7.0000000000000007E-2</v>
      </c>
      <c r="I758" s="280">
        <f t="shared" si="219"/>
        <v>5.6434000000000006</v>
      </c>
      <c r="J758" s="281">
        <f t="shared" si="220"/>
        <v>6.400100000000001</v>
      </c>
      <c r="K758" s="282">
        <f>IF(Notes!$B$9="Domestic",I758, IF(Notes!$B$9="Commercial",J758))*$K$685</f>
        <v>12.800200000000002</v>
      </c>
      <c r="L758" s="283">
        <f>(SUM(O758:Q758)+(K758+SUM(M758:Q758))*(INDEX($U$685:$AB$685,MATCH(Notes!$C$16,$U$3:$AB$3,0))-100%))*$L$685</f>
        <v>87.284362805273616</v>
      </c>
      <c r="M758" s="286"/>
      <c r="N758" s="286"/>
      <c r="O758" s="311">
        <f t="shared" si="224"/>
        <v>87.284362805273616</v>
      </c>
      <c r="P758" s="285"/>
      <c r="Q758" s="285"/>
      <c r="R758" s="278"/>
      <c r="S758" s="278"/>
      <c r="T758" s="278"/>
    </row>
    <row r="759" spans="1:28" s="305" customFormat="1" hidden="1" outlineLevel="2" x14ac:dyDescent="0.25">
      <c r="A759" s="278"/>
      <c r="B759" s="279" t="str">
        <f t="shared" si="216"/>
        <v>wall (prefab)140x45mm @ 600mm ctsHWD</v>
      </c>
      <c r="C759" s="278" t="s">
        <v>2201</v>
      </c>
      <c r="D759" s="351" t="s">
        <v>866</v>
      </c>
      <c r="E759" s="278" t="s">
        <v>507</v>
      </c>
      <c r="F759" s="278"/>
      <c r="G759" s="278" t="s">
        <v>11</v>
      </c>
      <c r="H759" s="309">
        <f t="shared" si="222"/>
        <v>7.0000000000000007E-2</v>
      </c>
      <c r="I759" s="280">
        <f t="shared" si="219"/>
        <v>5.6434000000000006</v>
      </c>
      <c r="J759" s="281">
        <f t="shared" si="220"/>
        <v>6.400100000000001</v>
      </c>
      <c r="K759" s="282">
        <f>IF(Notes!$B$9="Domestic",I759, IF(Notes!$B$9="Commercial",J759))*$K$685</f>
        <v>12.800200000000002</v>
      </c>
      <c r="L759" s="283">
        <f>(SUM(O759:Q759)+(K759+SUM(M759:Q759))*(INDEX($U$685:$AB$685,MATCH(Notes!$C$16,$U$3:$AB$3,0))-100%))*$L$685</f>
        <v>93.019422623467634</v>
      </c>
      <c r="M759" s="286"/>
      <c r="N759" s="286"/>
      <c r="O759" s="311">
        <f t="shared" si="224"/>
        <v>93.019422623467634</v>
      </c>
      <c r="P759" s="285"/>
      <c r="Q759" s="285"/>
      <c r="R759" s="278"/>
      <c r="S759" s="278"/>
      <c r="T759" s="278"/>
    </row>
    <row r="760" spans="1:28" ht="21" hidden="1" outlineLevel="1" collapsed="1" x14ac:dyDescent="0.25">
      <c r="A760" s="299" t="s">
        <v>2072</v>
      </c>
      <c r="B760" s="299"/>
      <c r="C760" s="299"/>
      <c r="D760" s="299"/>
      <c r="E760" s="299"/>
      <c r="F760" s="299"/>
      <c r="G760" s="299"/>
      <c r="H760" s="348"/>
      <c r="I760" s="299"/>
      <c r="J760" s="299"/>
      <c r="K760" s="299"/>
      <c r="L760" s="299"/>
      <c r="M760" s="299"/>
      <c r="N760" s="299"/>
      <c r="O760" s="299"/>
      <c r="P760" s="299"/>
      <c r="Q760" s="299"/>
      <c r="R760" s="299"/>
      <c r="S760" s="299"/>
      <c r="T760" s="299"/>
      <c r="U760" s="299"/>
      <c r="V760" s="299"/>
      <c r="W760" s="299"/>
      <c r="X760" s="299"/>
      <c r="Y760" s="299"/>
      <c r="Z760" s="299"/>
      <c r="AA760" s="299"/>
      <c r="AB760" s="299"/>
    </row>
    <row r="761" spans="1:28" ht="15.75" hidden="1" outlineLevel="1" x14ac:dyDescent="0.25">
      <c r="A761" s="291"/>
      <c r="B761" s="291"/>
      <c r="C761" s="291"/>
      <c r="D761" s="291"/>
      <c r="E761" s="291"/>
      <c r="F761" s="291"/>
      <c r="G761" s="291"/>
      <c r="H761" s="325"/>
      <c r="I761" s="291"/>
      <c r="J761" s="291"/>
      <c r="K761" s="291">
        <v>2</v>
      </c>
      <c r="L761" s="291">
        <f>L$2</f>
        <v>1</v>
      </c>
      <c r="M761" s="291"/>
      <c r="N761" s="291"/>
      <c r="O761" s="303"/>
      <c r="P761" s="303"/>
      <c r="Q761" s="303"/>
      <c r="R761" s="291"/>
      <c r="S761" s="291"/>
      <c r="T761" s="291"/>
      <c r="U761" s="381">
        <f>U$2</f>
        <v>1.0309523809523808</v>
      </c>
      <c r="V761" s="381">
        <f>V$2</f>
        <v>1</v>
      </c>
      <c r="W761" s="381">
        <f t="shared" ref="W761:AB761" si="225">W$2</f>
        <v>1.0705952380952379</v>
      </c>
      <c r="X761" s="381">
        <f t="shared" si="225"/>
        <v>1.1199999999999999</v>
      </c>
      <c r="Y761" s="381">
        <f t="shared" si="225"/>
        <v>1.0571428571428572</v>
      </c>
      <c r="Z761" s="381">
        <f t="shared" si="225"/>
        <v>1.1299999999999999</v>
      </c>
      <c r="AA761" s="381">
        <f t="shared" si="225"/>
        <v>1.0776942355889725</v>
      </c>
      <c r="AB761" s="381">
        <f t="shared" si="225"/>
        <v>1.0325814536340854</v>
      </c>
    </row>
    <row r="762" spans="1:28" s="305" customFormat="1" hidden="1" outlineLevel="2" x14ac:dyDescent="0.25">
      <c r="A762" s="278"/>
      <c r="B762" s="279" t="str">
        <f>C762&amp;D762&amp;E762&amp;F762</f>
        <v>niche</v>
      </c>
      <c r="C762" s="278" t="s">
        <v>2073</v>
      </c>
      <c r="D762" s="278"/>
      <c r="E762" s="278"/>
      <c r="F762" s="278"/>
      <c r="G762" s="278" t="s">
        <v>5</v>
      </c>
      <c r="H762" s="310">
        <v>0.35</v>
      </c>
      <c r="I762" s="280">
        <f>$I$2*H762</f>
        <v>28.216999999999999</v>
      </c>
      <c r="J762" s="281">
        <f>$J$2*H762</f>
        <v>32.000500000000002</v>
      </c>
      <c r="K762" s="282">
        <f>IF(Notes!$B$9="Domestic",I762, IF(Notes!$B$9="Commercial",J762))*$K$761</f>
        <v>64.001000000000005</v>
      </c>
      <c r="L762" s="283">
        <f>(SUM(O762:Q762)+(K762+SUM(M762:Q762))*(INDEX($U$761:$AB$761,MATCH(Notes!$C$16,$U$3:$AB$3,0))-100%))*$L$761</f>
        <v>92.32</v>
      </c>
      <c r="M762" s="286"/>
      <c r="N762" s="286"/>
      <c r="O762" s="285">
        <f>46.16*2</f>
        <v>92.32</v>
      </c>
      <c r="P762" s="285"/>
      <c r="Q762" s="285"/>
      <c r="R762" s="278"/>
      <c r="S762" s="278"/>
      <c r="T762" s="278"/>
    </row>
    <row r="763" spans="1:28" ht="21" hidden="1" outlineLevel="1" collapsed="1" x14ac:dyDescent="0.25">
      <c r="A763" s="299" t="s">
        <v>1888</v>
      </c>
      <c r="B763" s="299"/>
      <c r="C763" s="299"/>
      <c r="D763" s="299"/>
      <c r="E763" s="299"/>
      <c r="F763" s="299"/>
      <c r="G763" s="299"/>
      <c r="H763" s="348"/>
      <c r="I763" s="299"/>
      <c r="J763" s="299"/>
      <c r="K763" s="299"/>
      <c r="L763" s="299"/>
      <c r="M763" s="299"/>
      <c r="N763" s="299"/>
      <c r="O763" s="299"/>
      <c r="P763" s="299"/>
      <c r="Q763" s="299"/>
      <c r="R763" s="299"/>
      <c r="S763" s="299"/>
      <c r="T763" s="299"/>
      <c r="U763" s="299"/>
      <c r="V763" s="299"/>
      <c r="W763" s="299"/>
      <c r="X763" s="299"/>
      <c r="Y763" s="299"/>
      <c r="Z763" s="299"/>
      <c r="AA763" s="299"/>
      <c r="AB763" s="299"/>
    </row>
    <row r="764" spans="1:28" ht="15.75" hidden="1" outlineLevel="1" x14ac:dyDescent="0.25">
      <c r="A764" s="291"/>
      <c r="B764" s="291"/>
      <c r="C764" s="291"/>
      <c r="D764" s="291"/>
      <c r="E764" s="291"/>
      <c r="F764" s="291"/>
      <c r="G764" s="291"/>
      <c r="H764" s="325"/>
      <c r="I764" s="291"/>
      <c r="J764" s="291"/>
      <c r="K764" s="291">
        <v>2</v>
      </c>
      <c r="L764" s="291">
        <f>L$2</f>
        <v>1</v>
      </c>
      <c r="M764" s="291"/>
      <c r="N764" s="291"/>
      <c r="O764" s="303"/>
      <c r="P764" s="303"/>
      <c r="Q764" s="303"/>
      <c r="R764" s="291"/>
      <c r="S764" s="291"/>
      <c r="T764" s="291"/>
      <c r="U764" s="381">
        <f>U$2</f>
        <v>1.0309523809523808</v>
      </c>
      <c r="V764" s="381">
        <f>V$2</f>
        <v>1</v>
      </c>
      <c r="W764" s="381">
        <f t="shared" ref="W764:AB764" si="226">W$2</f>
        <v>1.0705952380952379</v>
      </c>
      <c r="X764" s="381">
        <f t="shared" si="226"/>
        <v>1.1199999999999999</v>
      </c>
      <c r="Y764" s="381">
        <f t="shared" si="226"/>
        <v>1.0571428571428572</v>
      </c>
      <c r="Z764" s="381">
        <f t="shared" si="226"/>
        <v>1.1299999999999999</v>
      </c>
      <c r="AA764" s="381">
        <f t="shared" si="226"/>
        <v>1.0776942355889725</v>
      </c>
      <c r="AB764" s="381">
        <f t="shared" si="226"/>
        <v>1.0325814536340854</v>
      </c>
    </row>
    <row r="765" spans="1:28" s="305" customFormat="1" hidden="1" outlineLevel="2" x14ac:dyDescent="0.25">
      <c r="A765" s="278"/>
      <c r="B765" s="279" t="str">
        <f>C765&amp;D765&amp;E765&amp;F765</f>
        <v>Post/column/stump75x75mmHWD</v>
      </c>
      <c r="C765" s="278" t="s">
        <v>2143</v>
      </c>
      <c r="D765" s="278" t="s">
        <v>1907</v>
      </c>
      <c r="E765" s="278" t="s">
        <v>507</v>
      </c>
      <c r="F765" s="278"/>
      <c r="G765" s="278" t="s">
        <v>15</v>
      </c>
      <c r="H765" s="310">
        <v>0.1</v>
      </c>
      <c r="I765" s="280">
        <f>$I$2*H765</f>
        <v>8.0620000000000012</v>
      </c>
      <c r="J765" s="281">
        <f>$J$2*H765</f>
        <v>9.1430000000000007</v>
      </c>
      <c r="K765" s="282">
        <f>IF(Notes!$B$9="Domestic",I765, IF(Notes!$B$9="Commercial",J765))*$K$764</f>
        <v>18.286000000000001</v>
      </c>
      <c r="L765" s="283">
        <f>(SUM(O765:Q765)+(K765+SUM(M765:Q765))*(INDEX($U$764:$AB$764,MATCH(Notes!$C$16,$U$3:$AB$3,0))-100%))*$L$764</f>
        <v>19.04</v>
      </c>
      <c r="M765" s="286"/>
      <c r="N765" s="286"/>
      <c r="O765" s="285">
        <v>19.04</v>
      </c>
      <c r="P765" s="285"/>
      <c r="Q765" s="285"/>
      <c r="R765" s="278"/>
      <c r="S765" s="278"/>
      <c r="T765" s="278"/>
    </row>
    <row r="766" spans="1:28" s="305" customFormat="1" hidden="1" outlineLevel="2" x14ac:dyDescent="0.25">
      <c r="A766" s="278"/>
      <c r="B766" s="279" t="str">
        <f t="shared" ref="B766:B769" si="227">C766&amp;D766&amp;E766&amp;F766</f>
        <v>Post/column/stump90x90mmHWD</v>
      </c>
      <c r="C766" s="278" t="s">
        <v>2143</v>
      </c>
      <c r="D766" s="278" t="s">
        <v>1908</v>
      </c>
      <c r="E766" s="278" t="s">
        <v>507</v>
      </c>
      <c r="F766" s="278"/>
      <c r="G766" s="278" t="s">
        <v>15</v>
      </c>
      <c r="H766" s="310">
        <v>0.1</v>
      </c>
      <c r="I766" s="280">
        <f t="shared" ref="I766:I768" si="228">$I$2*H766</f>
        <v>8.0620000000000012</v>
      </c>
      <c r="J766" s="281">
        <f t="shared" ref="J766:J769" si="229">$J$2*H766</f>
        <v>9.1430000000000007</v>
      </c>
      <c r="K766" s="282">
        <f>IF(Notes!$B$9="Domestic",I766, IF(Notes!$B$9="Commercial",J766))*$K$764</f>
        <v>18.286000000000001</v>
      </c>
      <c r="L766" s="283">
        <f>(SUM(O766:Q766)+(K766+SUM(M766:Q766))*(INDEX($U$764:$AB$764,MATCH(Notes!$C$16,$U$3:$AB$3,0))-100%))*$L$764</f>
        <v>20.28</v>
      </c>
      <c r="M766" s="286"/>
      <c r="N766" s="286"/>
      <c r="O766" s="285">
        <v>20.28</v>
      </c>
      <c r="P766" s="285"/>
      <c r="Q766" s="285"/>
      <c r="R766" s="278"/>
      <c r="S766" s="278"/>
      <c r="T766" s="278"/>
    </row>
    <row r="767" spans="1:28" s="305" customFormat="1" hidden="1" outlineLevel="2" x14ac:dyDescent="0.25">
      <c r="A767" s="278"/>
      <c r="B767" s="279" t="str">
        <f t="shared" si="227"/>
        <v>Post/column/stump100x100mmHWD</v>
      </c>
      <c r="C767" s="278" t="s">
        <v>2143</v>
      </c>
      <c r="D767" s="278" t="s">
        <v>1909</v>
      </c>
      <c r="E767" s="278" t="s">
        <v>507</v>
      </c>
      <c r="F767" s="278"/>
      <c r="G767" s="278" t="s">
        <v>15</v>
      </c>
      <c r="H767" s="310">
        <v>0.12</v>
      </c>
      <c r="I767" s="280">
        <f t="shared" si="228"/>
        <v>9.6744000000000003</v>
      </c>
      <c r="J767" s="281">
        <f t="shared" si="229"/>
        <v>10.9716</v>
      </c>
      <c r="K767" s="282">
        <f>IF(Notes!$B$9="Domestic",I767, IF(Notes!$B$9="Commercial",J767))*$K$764</f>
        <v>21.943200000000001</v>
      </c>
      <c r="L767" s="283">
        <f>(SUM(O767:Q767)+(K767+SUM(M767:Q767))*(INDEX($U$764:$AB$764,MATCH(Notes!$C$16,$U$3:$AB$3,0))-100%))*$L$764</f>
        <v>49.13</v>
      </c>
      <c r="M767" s="286"/>
      <c r="N767" s="286"/>
      <c r="O767" s="285">
        <v>49.13</v>
      </c>
      <c r="P767" s="285"/>
      <c r="Q767" s="285"/>
      <c r="R767" s="278"/>
      <c r="S767" s="278"/>
      <c r="T767" s="278"/>
    </row>
    <row r="768" spans="1:28" s="305" customFormat="1" hidden="1" outlineLevel="2" x14ac:dyDescent="0.25">
      <c r="A768" s="278"/>
      <c r="B768" s="279" t="str">
        <f t="shared" si="227"/>
        <v>Post/column/stump125x125mmHWD</v>
      </c>
      <c r="C768" s="278" t="s">
        <v>2143</v>
      </c>
      <c r="D768" s="278" t="s">
        <v>1910</v>
      </c>
      <c r="E768" s="278" t="s">
        <v>507</v>
      </c>
      <c r="F768" s="278"/>
      <c r="G768" s="278" t="s">
        <v>15</v>
      </c>
      <c r="H768" s="310">
        <v>0.15</v>
      </c>
      <c r="I768" s="280">
        <f t="shared" si="228"/>
        <v>12.093</v>
      </c>
      <c r="J768" s="281">
        <f t="shared" si="229"/>
        <v>13.714500000000001</v>
      </c>
      <c r="K768" s="282">
        <f>IF(Notes!$B$9="Domestic",I768, IF(Notes!$B$9="Commercial",J768))*$K$764</f>
        <v>27.429000000000002</v>
      </c>
      <c r="L768" s="283">
        <f>(SUM(O768:Q768)+(K768+SUM(M768:Q768))*(INDEX($U$764:$AB$764,MATCH(Notes!$C$16,$U$3:$AB$3,0))-100%))*$L$764</f>
        <v>96.82</v>
      </c>
      <c r="M768" s="286"/>
      <c r="N768" s="286"/>
      <c r="O768" s="285">
        <v>96.82</v>
      </c>
      <c r="P768" s="285"/>
      <c r="Q768" s="285"/>
      <c r="R768" s="278"/>
      <c r="S768" s="278"/>
      <c r="T768" s="278"/>
    </row>
    <row r="769" spans="1:28" s="305" customFormat="1" hidden="1" outlineLevel="2" x14ac:dyDescent="0.25">
      <c r="A769" s="278"/>
      <c r="B769" s="279" t="str">
        <f t="shared" si="227"/>
        <v>Post/column/stump150x150mmHWD</v>
      </c>
      <c r="C769" s="278" t="s">
        <v>2143</v>
      </c>
      <c r="D769" s="278" t="s">
        <v>1911</v>
      </c>
      <c r="E769" s="278" t="s">
        <v>507</v>
      </c>
      <c r="F769" s="278"/>
      <c r="G769" s="278" t="s">
        <v>15</v>
      </c>
      <c r="H769" s="310">
        <v>0.15</v>
      </c>
      <c r="I769" s="280">
        <f>$I$2*H769</f>
        <v>12.093</v>
      </c>
      <c r="J769" s="281">
        <f t="shared" si="229"/>
        <v>13.714500000000001</v>
      </c>
      <c r="K769" s="282">
        <f>IF(Notes!$B$9="Domestic",I769, IF(Notes!$B$9="Commercial",J769))*$K$764</f>
        <v>27.429000000000002</v>
      </c>
      <c r="L769" s="283">
        <f>(SUM(O769:Q769)+(K769+SUM(M769:Q769))*(INDEX($U$764:$AB$764,MATCH(Notes!$C$16,$U$3:$AB$3,0))-100%))*$L$764</f>
        <v>114.17</v>
      </c>
      <c r="M769" s="286"/>
      <c r="N769" s="286"/>
      <c r="O769" s="285">
        <v>114.17</v>
      </c>
      <c r="P769" s="285"/>
      <c r="Q769" s="285"/>
      <c r="R769" s="278"/>
      <c r="S769" s="278"/>
      <c r="T769" s="278"/>
    </row>
    <row r="770" spans="1:28" s="305" customFormat="1" hidden="1" outlineLevel="2" x14ac:dyDescent="0.25">
      <c r="A770" s="278"/>
      <c r="B770" s="279" t="str">
        <f t="shared" ref="B770:B774" si="230">C770&amp;D770&amp;E770&amp;F770</f>
        <v>Post/column/stump200x200mmHWD</v>
      </c>
      <c r="C770" s="278" t="s">
        <v>2143</v>
      </c>
      <c r="D770" s="278" t="s">
        <v>1912</v>
      </c>
      <c r="E770" s="278" t="s">
        <v>507</v>
      </c>
      <c r="F770" s="278"/>
      <c r="G770" s="278" t="s">
        <v>15</v>
      </c>
      <c r="H770" s="310">
        <v>0.2</v>
      </c>
      <c r="I770" s="280">
        <f t="shared" ref="I770:I774" si="231">$I$2*H770</f>
        <v>16.124000000000002</v>
      </c>
      <c r="J770" s="281">
        <f t="shared" ref="J770:J774" si="232">$J$2*H770</f>
        <v>18.286000000000001</v>
      </c>
      <c r="K770" s="282">
        <f>IF(Notes!$B$9="Domestic",I770, IF(Notes!$B$9="Commercial",J770))*$K$764</f>
        <v>36.572000000000003</v>
      </c>
      <c r="L770" s="283">
        <f>(SUM(O770:Q770)+(K770+SUM(M770:Q770))*(INDEX($U$764:$AB$764,MATCH(Notes!$C$16,$U$3:$AB$3,0))-100%))*$L$764</f>
        <v>303.56</v>
      </c>
      <c r="M770" s="286"/>
      <c r="N770" s="286"/>
      <c r="O770" s="285">
        <v>303.56</v>
      </c>
      <c r="P770" s="285"/>
      <c r="Q770" s="285"/>
      <c r="R770" s="278"/>
      <c r="S770" s="278"/>
      <c r="T770" s="278"/>
    </row>
    <row r="771" spans="1:28" s="305" customFormat="1" hidden="1" outlineLevel="2" x14ac:dyDescent="0.25">
      <c r="A771" s="278"/>
      <c r="B771" s="279" t="str">
        <f t="shared" si="230"/>
        <v>Post/column/stump150mm dia.HWD</v>
      </c>
      <c r="C771" s="278" t="s">
        <v>2143</v>
      </c>
      <c r="D771" s="278" t="s">
        <v>1913</v>
      </c>
      <c r="E771" s="278" t="s">
        <v>507</v>
      </c>
      <c r="F771" s="278"/>
      <c r="G771" s="278" t="s">
        <v>15</v>
      </c>
      <c r="H771" s="310">
        <v>0.15</v>
      </c>
      <c r="I771" s="280">
        <f t="shared" si="231"/>
        <v>12.093</v>
      </c>
      <c r="J771" s="281">
        <f t="shared" si="232"/>
        <v>13.714500000000001</v>
      </c>
      <c r="K771" s="282">
        <f>IF(Notes!$B$9="Domestic",I771, IF(Notes!$B$9="Commercial",J771))*$K$764</f>
        <v>27.429000000000002</v>
      </c>
      <c r="L771" s="283">
        <f>(SUM(O771:Q771)+(K771+SUM(M771:Q771))*(INDEX($U$764:$AB$764,MATCH(Notes!$C$16,$U$3:$AB$3,0))-100%))*$L$764</f>
        <v>46.13</v>
      </c>
      <c r="M771" s="286"/>
      <c r="N771" s="286"/>
      <c r="O771" s="285">
        <v>46.13</v>
      </c>
      <c r="P771" s="285"/>
      <c r="Q771" s="285"/>
      <c r="R771" s="278"/>
      <c r="S771" s="278"/>
      <c r="T771" s="278"/>
    </row>
    <row r="772" spans="1:28" s="305" customFormat="1" hidden="1" outlineLevel="2" x14ac:dyDescent="0.25">
      <c r="A772" s="278"/>
      <c r="B772" s="279" t="str">
        <f t="shared" si="230"/>
        <v>Post/column/stump200mm dia.HWD</v>
      </c>
      <c r="C772" s="278" t="s">
        <v>2143</v>
      </c>
      <c r="D772" s="278" t="s">
        <v>1914</v>
      </c>
      <c r="E772" s="278" t="s">
        <v>507</v>
      </c>
      <c r="F772" s="278"/>
      <c r="G772" s="278" t="s">
        <v>15</v>
      </c>
      <c r="H772" s="310">
        <v>0.2</v>
      </c>
      <c r="I772" s="280">
        <f t="shared" si="231"/>
        <v>16.124000000000002</v>
      </c>
      <c r="J772" s="281">
        <f t="shared" si="232"/>
        <v>18.286000000000001</v>
      </c>
      <c r="K772" s="282">
        <f>IF(Notes!$B$9="Domestic",I772, IF(Notes!$B$9="Commercial",J772))*$K$764</f>
        <v>36.572000000000003</v>
      </c>
      <c r="L772" s="283">
        <f>(SUM(O772:Q772)+(K772+SUM(M772:Q772))*(INDEX($U$764:$AB$764,MATCH(Notes!$C$16,$U$3:$AB$3,0))-100%))*$L$764</f>
        <v>77.52</v>
      </c>
      <c r="M772" s="286"/>
      <c r="N772" s="286"/>
      <c r="O772" s="285">
        <v>77.52</v>
      </c>
      <c r="P772" s="285"/>
      <c r="Q772" s="285"/>
      <c r="R772" s="278"/>
      <c r="S772" s="278"/>
      <c r="T772" s="278"/>
    </row>
    <row r="773" spans="1:28" s="305" customFormat="1" hidden="1" outlineLevel="2" x14ac:dyDescent="0.25">
      <c r="A773" s="278"/>
      <c r="B773" s="279" t="str">
        <f t="shared" si="230"/>
        <v>Post/column/stump250mm dia.HWD</v>
      </c>
      <c r="C773" s="278" t="s">
        <v>2143</v>
      </c>
      <c r="D773" s="278" t="s">
        <v>1915</v>
      </c>
      <c r="E773" s="278" t="s">
        <v>507</v>
      </c>
      <c r="F773" s="278"/>
      <c r="G773" s="278" t="s">
        <v>15</v>
      </c>
      <c r="H773" s="310">
        <v>0.25</v>
      </c>
      <c r="I773" s="280">
        <f t="shared" si="231"/>
        <v>20.155000000000001</v>
      </c>
      <c r="J773" s="281">
        <f t="shared" si="232"/>
        <v>22.857500000000002</v>
      </c>
      <c r="K773" s="282">
        <f>IF(Notes!$B$9="Domestic",I773, IF(Notes!$B$9="Commercial",J773))*$K$764</f>
        <v>45.715000000000003</v>
      </c>
      <c r="L773" s="283">
        <f>(SUM(O773:Q773)+(K773+SUM(M773:Q773))*(INDEX($U$764:$AB$764,MATCH(Notes!$C$16,$U$3:$AB$3,0))-100%))*$L$764</f>
        <v>96.08</v>
      </c>
      <c r="M773" s="286"/>
      <c r="N773" s="286"/>
      <c r="O773" s="285">
        <v>96.08</v>
      </c>
      <c r="P773" s="285"/>
      <c r="Q773" s="285"/>
      <c r="R773" s="278"/>
      <c r="S773" s="278"/>
      <c r="T773" s="278"/>
    </row>
    <row r="774" spans="1:28" s="305" customFormat="1" hidden="1" outlineLevel="2" x14ac:dyDescent="0.25">
      <c r="A774" s="278"/>
      <c r="B774" s="279" t="str">
        <f t="shared" si="230"/>
        <v>Post/column/stump300mm dia.HWD</v>
      </c>
      <c r="C774" s="278" t="s">
        <v>2143</v>
      </c>
      <c r="D774" s="278" t="s">
        <v>1916</v>
      </c>
      <c r="E774" s="278" t="s">
        <v>507</v>
      </c>
      <c r="F774" s="278"/>
      <c r="G774" s="278" t="s">
        <v>15</v>
      </c>
      <c r="H774" s="310">
        <v>0.3</v>
      </c>
      <c r="I774" s="280">
        <f t="shared" si="231"/>
        <v>24.186</v>
      </c>
      <c r="J774" s="281">
        <f t="shared" si="232"/>
        <v>27.429000000000002</v>
      </c>
      <c r="K774" s="282">
        <f>IF(Notes!$B$9="Domestic",I774, IF(Notes!$B$9="Commercial",J774))*$K$764</f>
        <v>54.858000000000004</v>
      </c>
      <c r="L774" s="283">
        <f>(SUM(O774:Q774)+(K774+SUM(M774:Q774))*(INDEX($U$764:$AB$764,MATCH(Notes!$C$16,$U$3:$AB$3,0))-100%))*$L$764</f>
        <v>128.13999999999999</v>
      </c>
      <c r="M774" s="286"/>
      <c r="N774" s="286"/>
      <c r="O774" s="285">
        <v>128.13999999999999</v>
      </c>
      <c r="P774" s="285"/>
      <c r="Q774" s="285"/>
      <c r="R774" s="278"/>
      <c r="S774" s="278"/>
      <c r="T774" s="278"/>
    </row>
    <row r="775" spans="1:28" ht="21" hidden="1" outlineLevel="1" collapsed="1" x14ac:dyDescent="0.25">
      <c r="A775" s="299" t="s">
        <v>1892</v>
      </c>
      <c r="B775" s="299"/>
      <c r="C775" s="299"/>
      <c r="D775" s="299"/>
      <c r="E775" s="299"/>
      <c r="F775" s="299"/>
      <c r="G775" s="299"/>
      <c r="H775" s="348"/>
      <c r="I775" s="299"/>
      <c r="J775" s="299"/>
      <c r="K775" s="299"/>
      <c r="L775" s="299"/>
      <c r="M775" s="299"/>
      <c r="N775" s="299"/>
      <c r="O775" s="299"/>
      <c r="P775" s="299"/>
      <c r="Q775" s="299"/>
      <c r="R775" s="299"/>
      <c r="S775" s="299"/>
      <c r="T775" s="299"/>
      <c r="U775" s="299"/>
      <c r="V775" s="299"/>
      <c r="W775" s="299"/>
      <c r="X775" s="299"/>
      <c r="Y775" s="299"/>
      <c r="Z775" s="299"/>
      <c r="AA775" s="299"/>
      <c r="AB775" s="299"/>
    </row>
    <row r="776" spans="1:28" ht="15.75" hidden="1" outlineLevel="1" x14ac:dyDescent="0.25">
      <c r="A776" s="291"/>
      <c r="B776" s="291"/>
      <c r="C776" s="291"/>
      <c r="D776" s="291"/>
      <c r="E776" s="291"/>
      <c r="F776" s="291"/>
      <c r="G776" s="291"/>
      <c r="H776" s="325"/>
      <c r="I776" s="291"/>
      <c r="J776" s="291"/>
      <c r="K776" s="291">
        <v>2</v>
      </c>
      <c r="L776" s="291">
        <f>L$2</f>
        <v>1</v>
      </c>
      <c r="M776" s="291"/>
      <c r="N776" s="291"/>
      <c r="O776" s="303"/>
      <c r="P776" s="303"/>
      <c r="Q776" s="303"/>
      <c r="R776" s="291"/>
      <c r="S776" s="291"/>
      <c r="T776" s="291"/>
      <c r="U776" s="381">
        <f>U$2</f>
        <v>1.0309523809523808</v>
      </c>
      <c r="V776" s="381">
        <f>V$2</f>
        <v>1</v>
      </c>
      <c r="W776" s="381">
        <f t="shared" ref="W776:AB776" si="233">W$2</f>
        <v>1.0705952380952379</v>
      </c>
      <c r="X776" s="381">
        <f t="shared" si="233"/>
        <v>1.1199999999999999</v>
      </c>
      <c r="Y776" s="381">
        <f t="shared" si="233"/>
        <v>1.0571428571428572</v>
      </c>
      <c r="Z776" s="381">
        <f t="shared" si="233"/>
        <v>1.1299999999999999</v>
      </c>
      <c r="AA776" s="381">
        <f t="shared" si="233"/>
        <v>1.0776942355889725</v>
      </c>
      <c r="AB776" s="381">
        <f t="shared" si="233"/>
        <v>1.0325814536340854</v>
      </c>
    </row>
    <row r="777" spans="1:28" s="305" customFormat="1" hidden="1" outlineLevel="2" x14ac:dyDescent="0.25">
      <c r="A777" s="278"/>
      <c r="B777" s="279" t="str">
        <f>C777&amp;D777&amp;E777&amp;F777</f>
        <v>tie down</v>
      </c>
      <c r="C777" s="278" t="s">
        <v>1891</v>
      </c>
      <c r="D777" s="278"/>
      <c r="E777" s="278"/>
      <c r="F777" s="278"/>
      <c r="G777" s="278" t="s">
        <v>15</v>
      </c>
      <c r="H777" s="310">
        <v>0.15</v>
      </c>
      <c r="I777" s="280">
        <f>$I$2*H777</f>
        <v>12.093</v>
      </c>
      <c r="J777" s="281">
        <f>$J$2*H777</f>
        <v>13.714500000000001</v>
      </c>
      <c r="K777" s="282">
        <f>IF(Notes!$B$9="Domestic",I777, IF(Notes!$B$9="Commercial",J777))*$K$776</f>
        <v>27.429000000000002</v>
      </c>
      <c r="L777" s="283">
        <f>(SUM(O777:Q777)+(K777+SUM(M777:Q777))*(INDEX($U$776:$AB$776,MATCH(Notes!$C$16,$U$3:$AB$3,0))-100%))*$L$776</f>
        <v>6.65</v>
      </c>
      <c r="M777" s="286"/>
      <c r="N777" s="286"/>
      <c r="O777" s="285">
        <v>6.65</v>
      </c>
      <c r="P777" s="285"/>
      <c r="Q777" s="285"/>
      <c r="R777" s="278"/>
      <c r="S777" s="278"/>
      <c r="T777" s="278"/>
    </row>
    <row r="778" spans="1:28" ht="21" hidden="1" outlineLevel="1" collapsed="1" x14ac:dyDescent="0.25">
      <c r="A778" s="299" t="s">
        <v>1893</v>
      </c>
      <c r="B778" s="299"/>
      <c r="C778" s="299"/>
      <c r="D778" s="299"/>
      <c r="E778" s="299"/>
      <c r="F778" s="299"/>
      <c r="G778" s="299"/>
      <c r="H778" s="348"/>
      <c r="I778" s="299"/>
      <c r="J778" s="299"/>
      <c r="K778" s="299"/>
      <c r="L778" s="299"/>
      <c r="M778" s="299"/>
      <c r="N778" s="299"/>
      <c r="O778" s="299"/>
      <c r="P778" s="299"/>
      <c r="Q778" s="299"/>
      <c r="R778" s="299"/>
      <c r="S778" s="299"/>
      <c r="T778" s="299"/>
      <c r="U778" s="299"/>
      <c r="V778" s="299"/>
      <c r="W778" s="299"/>
      <c r="X778" s="299"/>
      <c r="Y778" s="299"/>
      <c r="Z778" s="299"/>
      <c r="AA778" s="299"/>
      <c r="AB778" s="299"/>
    </row>
    <row r="779" spans="1:28" ht="15.75" hidden="1" outlineLevel="1" x14ac:dyDescent="0.25">
      <c r="A779" s="291"/>
      <c r="B779" s="291"/>
      <c r="C779" s="291"/>
      <c r="D779" s="291"/>
      <c r="E779" s="291"/>
      <c r="F779" s="291"/>
      <c r="G779" s="291"/>
      <c r="H779" s="325"/>
      <c r="I779" s="291"/>
      <c r="J779" s="291"/>
      <c r="K779" s="291">
        <v>2</v>
      </c>
      <c r="L779" s="291">
        <f>L$2</f>
        <v>1</v>
      </c>
      <c r="M779" s="291"/>
      <c r="N779" s="291"/>
      <c r="O779" s="303"/>
      <c r="P779" s="303"/>
      <c r="Q779" s="303"/>
      <c r="R779" s="291"/>
      <c r="S779" s="291"/>
      <c r="T779" s="291"/>
      <c r="U779" s="381">
        <f>U$2</f>
        <v>1.0309523809523808</v>
      </c>
      <c r="V779" s="381">
        <f>V$2</f>
        <v>1</v>
      </c>
      <c r="W779" s="381">
        <f t="shared" ref="W779:AB779" si="234">W$2</f>
        <v>1.0705952380952379</v>
      </c>
      <c r="X779" s="381">
        <f t="shared" si="234"/>
        <v>1.1199999999999999</v>
      </c>
      <c r="Y779" s="381">
        <f t="shared" si="234"/>
        <v>1.0571428571428572</v>
      </c>
      <c r="Z779" s="381">
        <f t="shared" si="234"/>
        <v>1.1299999999999999</v>
      </c>
      <c r="AA779" s="381">
        <f t="shared" si="234"/>
        <v>1.0776942355889725</v>
      </c>
      <c r="AB779" s="381">
        <f t="shared" si="234"/>
        <v>1.0325814536340854</v>
      </c>
    </row>
    <row r="780" spans="1:28" s="305" customFormat="1" hidden="1" outlineLevel="2" x14ac:dyDescent="0.25">
      <c r="A780" s="278"/>
      <c r="B780" s="279" t="str">
        <f>C780&amp;D780&amp;E780&amp;F780</f>
        <v>plywood bracingas per design</v>
      </c>
      <c r="C780" s="278" t="s">
        <v>1894</v>
      </c>
      <c r="D780" s="278" t="s">
        <v>2139</v>
      </c>
      <c r="E780" s="278"/>
      <c r="F780" s="278"/>
      <c r="G780" s="278" t="s">
        <v>11</v>
      </c>
      <c r="H780" s="310">
        <v>7.0000000000000007E-2</v>
      </c>
      <c r="I780" s="280">
        <f>$I$2*H780</f>
        <v>5.6434000000000006</v>
      </c>
      <c r="J780" s="281">
        <f>$J$2*H780</f>
        <v>6.400100000000001</v>
      </c>
      <c r="K780" s="282">
        <f>IF(Notes!$B$9="Domestic",I780, IF(Notes!$B$9="Commercial",J780))*$K$779</f>
        <v>12.800200000000002</v>
      </c>
      <c r="L780" s="283">
        <f>(SUM(O780:Q780)+(K780+SUM(M780:Q780))*(INDEX($U$779:$AB$779,MATCH(Notes!$C$16,$U$3:$AB$3,0))-100%))*$L$779</f>
        <v>20.55</v>
      </c>
      <c r="M780" s="286"/>
      <c r="N780" s="286"/>
      <c r="O780" s="285">
        <v>20.55</v>
      </c>
      <c r="P780" s="285"/>
      <c r="Q780" s="285"/>
      <c r="R780" s="278"/>
      <c r="S780" s="278"/>
      <c r="T780" s="278"/>
    </row>
    <row r="781" spans="1:28" s="305" customFormat="1" hidden="1" outlineLevel="2" x14ac:dyDescent="0.25">
      <c r="A781" s="278"/>
      <c r="B781" s="279" t="str">
        <f>C781&amp;D781&amp;E781&amp;F781</f>
        <v>plywood bracingno design available</v>
      </c>
      <c r="C781" s="278" t="s">
        <v>1894</v>
      </c>
      <c r="D781" s="278" t="s">
        <v>2140</v>
      </c>
      <c r="E781" s="278"/>
      <c r="F781" s="278"/>
      <c r="G781" s="278" t="s">
        <v>24</v>
      </c>
      <c r="H781" s="309">
        <f>H780*31.4102</f>
        <v>2.1987140000000003</v>
      </c>
      <c r="I781" s="280">
        <f>$I$2*H781</f>
        <v>177.26032268000003</v>
      </c>
      <c r="J781" s="281">
        <f>$J$2*H781</f>
        <v>201.02842102000005</v>
      </c>
      <c r="K781" s="282">
        <f>IF(Notes!$B$9="Domestic",I781, IF(Notes!$B$9="Commercial",J781))*$K$779</f>
        <v>402.05684204000011</v>
      </c>
      <c r="L781" s="283">
        <f>(SUM(O781:Q781)+(K781+SUM(M781:Q781))*(INDEX($U$779:$AB$779,MATCH(Notes!$C$16,$U$3:$AB$3,0))-100%))*$L$779</f>
        <v>645.47960999999998</v>
      </c>
      <c r="M781" s="286"/>
      <c r="N781" s="286"/>
      <c r="O781" s="311">
        <f>O780*31.4102</f>
        <v>645.47960999999998</v>
      </c>
      <c r="P781" s="285"/>
      <c r="Q781" s="285"/>
      <c r="R781" s="278"/>
      <c r="S781" s="278"/>
      <c r="T781" s="278"/>
    </row>
    <row r="782" spans="1:28" ht="21" hidden="1" outlineLevel="1" collapsed="1" x14ac:dyDescent="0.25">
      <c r="A782" s="299" t="s">
        <v>1895</v>
      </c>
      <c r="B782" s="299"/>
      <c r="C782" s="299"/>
      <c r="D782" s="299"/>
      <c r="E782" s="299"/>
      <c r="F782" s="299"/>
      <c r="G782" s="299"/>
      <c r="H782" s="348"/>
      <c r="I782" s="299"/>
      <c r="J782" s="299"/>
      <c r="K782" s="299"/>
      <c r="L782" s="299"/>
      <c r="M782" s="299"/>
      <c r="N782" s="299"/>
      <c r="O782" s="299"/>
      <c r="P782" s="299"/>
      <c r="Q782" s="299"/>
      <c r="R782" s="299"/>
      <c r="S782" s="299"/>
      <c r="T782" s="299"/>
      <c r="U782" s="299"/>
      <c r="V782" s="299"/>
      <c r="W782" s="299"/>
      <c r="X782" s="299"/>
      <c r="Y782" s="299"/>
      <c r="Z782" s="299"/>
      <c r="AA782" s="299"/>
      <c r="AB782" s="299"/>
    </row>
    <row r="783" spans="1:28" ht="15.75" hidden="1" outlineLevel="1" x14ac:dyDescent="0.25">
      <c r="A783" s="291"/>
      <c r="B783" s="291"/>
      <c r="C783" s="291"/>
      <c r="D783" s="291"/>
      <c r="E783" s="291"/>
      <c r="F783" s="291"/>
      <c r="G783" s="291"/>
      <c r="H783" s="325"/>
      <c r="I783" s="291"/>
      <c r="J783" s="291"/>
      <c r="K783" s="291">
        <v>2</v>
      </c>
      <c r="L783" s="291">
        <f>L$2</f>
        <v>1</v>
      </c>
      <c r="M783" s="291"/>
      <c r="N783" s="291"/>
      <c r="O783" s="303"/>
      <c r="P783" s="303"/>
      <c r="Q783" s="303"/>
      <c r="R783" s="291"/>
      <c r="S783" s="291"/>
      <c r="T783" s="291"/>
      <c r="U783" s="381">
        <f>U$2</f>
        <v>1.0309523809523808</v>
      </c>
      <c r="V783" s="381">
        <f>V$2</f>
        <v>1</v>
      </c>
      <c r="W783" s="381">
        <f t="shared" ref="W783:AB783" si="235">W$2</f>
        <v>1.0705952380952379</v>
      </c>
      <c r="X783" s="381">
        <f t="shared" si="235"/>
        <v>1.1199999999999999</v>
      </c>
      <c r="Y783" s="381">
        <f t="shared" si="235"/>
        <v>1.0571428571428572</v>
      </c>
      <c r="Z783" s="381">
        <f t="shared" si="235"/>
        <v>1.1299999999999999</v>
      </c>
      <c r="AA783" s="381">
        <f t="shared" si="235"/>
        <v>1.0776942355889725</v>
      </c>
      <c r="AB783" s="381">
        <f t="shared" si="235"/>
        <v>1.0325814536340854</v>
      </c>
    </row>
    <row r="784" spans="1:28" s="305" customFormat="1" hidden="1" outlineLevel="2" x14ac:dyDescent="0.25">
      <c r="A784" s="278"/>
      <c r="B784" s="279" t="str">
        <f>C784&amp;D784&amp;E784&amp;F784</f>
        <v>strap bracingas per design</v>
      </c>
      <c r="C784" s="278" t="s">
        <v>1896</v>
      </c>
      <c r="D784" s="278" t="s">
        <v>2139</v>
      </c>
      <c r="E784" s="278"/>
      <c r="F784" s="278"/>
      <c r="G784" s="278" t="s">
        <v>15</v>
      </c>
      <c r="H784" s="310">
        <v>0.04</v>
      </c>
      <c r="I784" s="280">
        <f>$I$2*H784</f>
        <v>3.2248000000000001</v>
      </c>
      <c r="J784" s="281">
        <f>$J$2*H784</f>
        <v>3.6572000000000005</v>
      </c>
      <c r="K784" s="282">
        <f>IF(Notes!$B$9="Domestic",I784, IF(Notes!$B$9="Commercial",J784))*$K$783</f>
        <v>7.3144000000000009</v>
      </c>
      <c r="L784" s="283">
        <f>(SUM(O784:Q784)+(K784+SUM(M784:Q784))*(INDEX($U$783:$AB$783,MATCH(Notes!$C$16,$U$3:$AB$3,0))-100%))*$L$783</f>
        <v>2.92</v>
      </c>
      <c r="M784" s="286"/>
      <c r="N784" s="286"/>
      <c r="O784" s="285">
        <v>2.92</v>
      </c>
      <c r="P784" s="285"/>
      <c r="Q784" s="285"/>
      <c r="R784" s="278"/>
      <c r="S784" s="278"/>
      <c r="T784" s="278"/>
    </row>
    <row r="785" spans="1:28" s="305" customFormat="1" hidden="1" outlineLevel="2" x14ac:dyDescent="0.25">
      <c r="A785" s="278"/>
      <c r="B785" s="279" t="str">
        <f>C785&amp;D785&amp;E785&amp;F785</f>
        <v>strap bracingno design available</v>
      </c>
      <c r="C785" s="278" t="s">
        <v>1896</v>
      </c>
      <c r="D785" s="278" t="s">
        <v>2140</v>
      </c>
      <c r="E785" s="278"/>
      <c r="F785" s="278"/>
      <c r="G785" s="278" t="s">
        <v>24</v>
      </c>
      <c r="H785" s="310">
        <f>0.04*25.682</f>
        <v>1.02728</v>
      </c>
      <c r="I785" s="280">
        <f>$I$2*H785</f>
        <v>82.819313600000001</v>
      </c>
      <c r="J785" s="281">
        <f>$J$2*H785</f>
        <v>93.924210400000007</v>
      </c>
      <c r="K785" s="282">
        <f>IF(Notes!$B$9="Domestic",I785, IF(Notes!$B$9="Commercial",J785))*$K$783</f>
        <v>187.84842080000001</v>
      </c>
      <c r="L785" s="283">
        <f>(SUM(O785:Q785)+(K785+SUM(M785:Q785))*(INDEX($U$783:$AB$783,MATCH(Notes!$C$16,$U$3:$AB$3,0))-100%))*$L$783</f>
        <v>74.991439999999997</v>
      </c>
      <c r="M785" s="286"/>
      <c r="N785" s="286"/>
      <c r="O785" s="285">
        <f>2.92*25.682</f>
        <v>74.991439999999997</v>
      </c>
      <c r="P785" s="285"/>
      <c r="Q785" s="285"/>
      <c r="R785" s="278"/>
      <c r="S785" s="278"/>
      <c r="T785" s="278"/>
    </row>
    <row r="786" spans="1:28" ht="21" hidden="1" outlineLevel="1" collapsed="1" x14ac:dyDescent="0.25">
      <c r="A786" s="299" t="s">
        <v>1899</v>
      </c>
      <c r="B786" s="299"/>
      <c r="C786" s="299"/>
      <c r="D786" s="299"/>
      <c r="E786" s="299"/>
      <c r="F786" s="299"/>
      <c r="G786" s="299"/>
      <c r="H786" s="348"/>
      <c r="I786" s="299"/>
      <c r="J786" s="299"/>
      <c r="K786" s="299"/>
      <c r="L786" s="299"/>
      <c r="M786" s="299"/>
      <c r="N786" s="299"/>
      <c r="O786" s="299"/>
      <c r="P786" s="299"/>
      <c r="Q786" s="299"/>
      <c r="R786" s="299"/>
      <c r="S786" s="299"/>
      <c r="T786" s="299"/>
      <c r="U786" s="299"/>
      <c r="V786" s="299"/>
      <c r="W786" s="299"/>
      <c r="X786" s="299"/>
      <c r="Y786" s="299"/>
      <c r="Z786" s="299"/>
      <c r="AA786" s="299"/>
      <c r="AB786" s="299"/>
    </row>
    <row r="787" spans="1:28" ht="15.75" hidden="1" outlineLevel="1" x14ac:dyDescent="0.25">
      <c r="A787" s="291"/>
      <c r="B787" s="291"/>
      <c r="C787" s="291"/>
      <c r="D787" s="291"/>
      <c r="E787" s="291"/>
      <c r="F787" s="291"/>
      <c r="G787" s="291"/>
      <c r="H787" s="325"/>
      <c r="I787" s="291"/>
      <c r="J787" s="291"/>
      <c r="K787" s="291">
        <f>K$2</f>
        <v>1</v>
      </c>
      <c r="L787" s="291">
        <f>L$2</f>
        <v>1</v>
      </c>
      <c r="M787" s="291"/>
      <c r="N787" s="291"/>
      <c r="O787" s="303"/>
      <c r="P787" s="303"/>
      <c r="Q787" s="303"/>
      <c r="R787" s="291"/>
      <c r="S787" s="291"/>
      <c r="T787" s="291"/>
      <c r="U787" s="291">
        <f>37.3/41.3</f>
        <v>0.90314769975786924</v>
      </c>
      <c r="V787" s="291">
        <f>41.3/41.3</f>
        <v>1</v>
      </c>
      <c r="W787" s="291">
        <f>42.1/41.3</f>
        <v>1.0193704600484264</v>
      </c>
      <c r="X787" s="291">
        <f>41.1/41.3</f>
        <v>0.99515738498789352</v>
      </c>
      <c r="Y787" s="291">
        <f>49.4/41.3</f>
        <v>1.1961259079903148</v>
      </c>
      <c r="Z787" s="291">
        <f>45/41.3</f>
        <v>1.089588377723971</v>
      </c>
      <c r="AA787" s="291">
        <f>50/41.3</f>
        <v>1.2106537530266344</v>
      </c>
      <c r="AB787" s="291">
        <f>45.8/41.3</f>
        <v>1.1089588377723971</v>
      </c>
    </row>
    <row r="788" spans="1:28" s="305" customFormat="1" hidden="1" outlineLevel="2" x14ac:dyDescent="0.25">
      <c r="A788" s="278"/>
      <c r="B788" s="279" t="str">
        <f>C788&amp;D788&amp;E788&amp;F788</f>
        <v>soffit4.5mmFC</v>
      </c>
      <c r="C788" s="278" t="s">
        <v>1898</v>
      </c>
      <c r="D788" s="278" t="s">
        <v>1904</v>
      </c>
      <c r="E788" s="278" t="s">
        <v>1897</v>
      </c>
      <c r="F788" s="278"/>
      <c r="G788" s="278" t="s">
        <v>11</v>
      </c>
      <c r="H788" s="310">
        <v>0.2</v>
      </c>
      <c r="I788" s="280">
        <f>$I$2*H788</f>
        <v>16.124000000000002</v>
      </c>
      <c r="J788" s="281">
        <f>$J$2*H788</f>
        <v>18.286000000000001</v>
      </c>
      <c r="K788" s="282">
        <f>IF(Notes!$B$9="Domestic",I788, IF(Notes!$B$9="Commercial",J788))*$K$787</f>
        <v>18.286000000000001</v>
      </c>
      <c r="L788" s="283">
        <f>(SUM(O788:Q788)+(K788+SUM(M788:Q788))*(INDEX($U$787:$AB$787,MATCH(Notes!$C$16,$U$3:$AB$3,0))-100%))*$L$787</f>
        <v>10.36</v>
      </c>
      <c r="M788" s="286"/>
      <c r="N788" s="286"/>
      <c r="O788" s="285">
        <v>10.36</v>
      </c>
      <c r="P788" s="285"/>
      <c r="Q788" s="285"/>
      <c r="R788" s="278"/>
      <c r="S788" s="278"/>
      <c r="T788" s="278"/>
    </row>
    <row r="789" spans="1:28" s="305" customFormat="1" hidden="1" outlineLevel="2" x14ac:dyDescent="0.25">
      <c r="A789" s="278"/>
      <c r="B789" s="279" t="str">
        <f t="shared" ref="B789" si="236">C789&amp;D789&amp;E789&amp;F789</f>
        <v>soffit6.0mmFC</v>
      </c>
      <c r="C789" s="278" t="s">
        <v>1898</v>
      </c>
      <c r="D789" s="323" t="s">
        <v>1905</v>
      </c>
      <c r="E789" s="278" t="s">
        <v>1897</v>
      </c>
      <c r="F789" s="278"/>
      <c r="G789" s="278" t="s">
        <v>11</v>
      </c>
      <c r="H789" s="310">
        <v>0.2</v>
      </c>
      <c r="I789" s="280">
        <f t="shared" ref="I789:I790" si="237">$I$2*H789</f>
        <v>16.124000000000002</v>
      </c>
      <c r="J789" s="281">
        <f t="shared" ref="J789:J790" si="238">$J$2*H789</f>
        <v>18.286000000000001</v>
      </c>
      <c r="K789" s="282">
        <f>IF(Notes!$B$9="Domestic",I789, IF(Notes!$B$9="Commercial",J789))*$K$787</f>
        <v>18.286000000000001</v>
      </c>
      <c r="L789" s="283">
        <f>(SUM(O789:Q789)+(K789+SUM(M789:Q789))*(INDEX($U$787:$AB$787,MATCH(Notes!$C$16,$U$3:$AB$3,0))-100%))*$L$787</f>
        <v>19.579999999999998</v>
      </c>
      <c r="M789" s="286"/>
      <c r="N789" s="286"/>
      <c r="O789" s="285">
        <v>19.579999999999998</v>
      </c>
      <c r="P789" s="285"/>
      <c r="Q789" s="285"/>
      <c r="R789" s="278"/>
      <c r="S789" s="278"/>
      <c r="T789" s="278"/>
    </row>
    <row r="790" spans="1:28" s="305" customFormat="1" hidden="1" outlineLevel="2" x14ac:dyDescent="0.25">
      <c r="A790" s="278"/>
      <c r="B790" s="279" t="str">
        <f>C790&amp;D790&amp;E790&amp;F790</f>
        <v>soffit9.0mmFC</v>
      </c>
      <c r="C790" s="278" t="s">
        <v>1898</v>
      </c>
      <c r="D790" s="323" t="s">
        <v>1906</v>
      </c>
      <c r="E790" s="278" t="s">
        <v>1897</v>
      </c>
      <c r="F790" s="278"/>
      <c r="G790" s="278" t="s">
        <v>11</v>
      </c>
      <c r="H790" s="310">
        <v>0.26</v>
      </c>
      <c r="I790" s="280">
        <f t="shared" si="237"/>
        <v>20.961200000000002</v>
      </c>
      <c r="J790" s="281">
        <f t="shared" si="238"/>
        <v>23.771800000000002</v>
      </c>
      <c r="K790" s="282">
        <f>IF(Notes!$B$9="Domestic",I790, IF(Notes!$B$9="Commercial",J790))*$K$787</f>
        <v>23.771800000000002</v>
      </c>
      <c r="L790" s="283">
        <f>(SUM(O790:Q790)+(K790+SUM(M790:Q790))*(INDEX($U$787:$AB$787,MATCH(Notes!$C$16,$U$3:$AB$3,0))-100%))*$L$787</f>
        <v>38.92</v>
      </c>
      <c r="M790" s="286"/>
      <c r="N790" s="286"/>
      <c r="O790" s="285">
        <v>38.92</v>
      </c>
      <c r="P790" s="285"/>
      <c r="Q790" s="285"/>
      <c r="R790" s="278"/>
      <c r="S790" s="278"/>
      <c r="T790" s="278"/>
    </row>
    <row r="791" spans="1:28" ht="21" hidden="1" outlineLevel="1" collapsed="1" x14ac:dyDescent="0.25">
      <c r="A791" s="299" t="s">
        <v>1900</v>
      </c>
      <c r="B791" s="299"/>
      <c r="C791" s="299"/>
      <c r="D791" s="299"/>
      <c r="E791" s="299"/>
      <c r="F791" s="299"/>
      <c r="G791" s="299"/>
      <c r="H791" s="348"/>
      <c r="I791" s="299"/>
      <c r="J791" s="299"/>
      <c r="K791" s="299"/>
      <c r="L791" s="299"/>
      <c r="M791" s="299"/>
      <c r="N791" s="299"/>
      <c r="O791" s="299"/>
      <c r="P791" s="299"/>
      <c r="Q791" s="299"/>
      <c r="R791" s="299"/>
      <c r="S791" s="299"/>
      <c r="T791" s="299"/>
      <c r="U791" s="299"/>
      <c r="V791" s="299"/>
      <c r="W791" s="299"/>
      <c r="X791" s="299"/>
      <c r="Y791" s="299"/>
      <c r="Z791" s="299"/>
      <c r="AA791" s="299"/>
      <c r="AB791" s="299"/>
    </row>
    <row r="792" spans="1:28" ht="15.75" hidden="1" outlineLevel="1" x14ac:dyDescent="0.25">
      <c r="A792" s="291"/>
      <c r="B792" s="291"/>
      <c r="C792" s="291"/>
      <c r="D792" s="291"/>
      <c r="E792" s="291"/>
      <c r="F792" s="291"/>
      <c r="G792" s="291"/>
      <c r="H792" s="325"/>
      <c r="I792" s="291"/>
      <c r="J792" s="291"/>
      <c r="K792" s="291">
        <f>K$2</f>
        <v>1</v>
      </c>
      <c r="L792" s="291">
        <f>L$2</f>
        <v>1</v>
      </c>
      <c r="M792" s="291"/>
      <c r="N792" s="291"/>
      <c r="O792" s="303"/>
      <c r="P792" s="303"/>
      <c r="Q792" s="303"/>
      <c r="R792" s="291"/>
      <c r="S792" s="291"/>
      <c r="T792" s="291"/>
      <c r="U792" s="381">
        <f>U$787</f>
        <v>0.90314769975786924</v>
      </c>
      <c r="V792" s="381">
        <f t="shared" ref="V792:AB792" si="239">V$787</f>
        <v>1</v>
      </c>
      <c r="W792" s="381">
        <f t="shared" si="239"/>
        <v>1.0193704600484264</v>
      </c>
      <c r="X792" s="381">
        <f t="shared" si="239"/>
        <v>0.99515738498789352</v>
      </c>
      <c r="Y792" s="381">
        <f t="shared" si="239"/>
        <v>1.1961259079903148</v>
      </c>
      <c r="Z792" s="381">
        <f t="shared" si="239"/>
        <v>1.089588377723971</v>
      </c>
      <c r="AA792" s="381">
        <f t="shared" si="239"/>
        <v>1.2106537530266344</v>
      </c>
      <c r="AB792" s="381">
        <f t="shared" si="239"/>
        <v>1.1089588377723971</v>
      </c>
    </row>
    <row r="793" spans="1:28" s="305" customFormat="1" hidden="1" outlineLevel="2" x14ac:dyDescent="0.25">
      <c r="A793" s="278"/>
      <c r="B793" s="279" t="str">
        <f>C793&amp;D793&amp;E793&amp;F793</f>
        <v>internalVJ panel</v>
      </c>
      <c r="C793" s="278" t="s">
        <v>1901</v>
      </c>
      <c r="D793" s="278"/>
      <c r="E793" s="278" t="s">
        <v>1903</v>
      </c>
      <c r="F793" s="278"/>
      <c r="G793" s="278" t="s">
        <v>11</v>
      </c>
      <c r="H793" s="310">
        <v>0.36</v>
      </c>
      <c r="I793" s="280">
        <f>$I$2*H793</f>
        <v>29.023199999999999</v>
      </c>
      <c r="J793" s="281">
        <f>$J$2*H793</f>
        <v>32.9148</v>
      </c>
      <c r="K793" s="282">
        <f>IF(Notes!$B$9="Domestic",I793, IF(Notes!$B$9="Commercial",J793))*$K$792</f>
        <v>32.9148</v>
      </c>
      <c r="L793" s="283">
        <f>(SUM(O793:Q793)+(K793+SUM(M793:Q793))*(INDEX($U$792:$AB$792,MATCH(Notes!$C$16,$U$3:$AB$3,0))-100%))*$L$792</f>
        <v>40.590000000000003</v>
      </c>
      <c r="M793" s="286"/>
      <c r="N793" s="286"/>
      <c r="O793" s="285">
        <v>40.590000000000003</v>
      </c>
      <c r="P793" s="285"/>
      <c r="Q793" s="285"/>
      <c r="R793" s="278"/>
      <c r="S793" s="278"/>
      <c r="T793" s="278"/>
    </row>
    <row r="794" spans="1:28" s="305" customFormat="1" hidden="1" outlineLevel="2" x14ac:dyDescent="0.25">
      <c r="A794" s="278"/>
      <c r="B794" s="279" t="str">
        <f t="shared" ref="B794" si="240">C794&amp;D794&amp;E794&amp;F794</f>
        <v>externalVJ panel</v>
      </c>
      <c r="C794" s="278" t="s">
        <v>1902</v>
      </c>
      <c r="D794" s="278"/>
      <c r="E794" s="278" t="s">
        <v>1903</v>
      </c>
      <c r="F794" s="278"/>
      <c r="G794" s="278" t="s">
        <v>11</v>
      </c>
      <c r="H794" s="310">
        <v>0.38</v>
      </c>
      <c r="I794" s="280">
        <f t="shared" ref="I794" si="241">$I$2*H794</f>
        <v>30.635600000000004</v>
      </c>
      <c r="J794" s="281">
        <f t="shared" ref="J794" si="242">$J$2*H794</f>
        <v>34.743400000000001</v>
      </c>
      <c r="K794" s="282">
        <f>IF(Notes!$B$9="Domestic",I794, IF(Notes!$B$9="Commercial",J794))*$K$792</f>
        <v>34.743400000000001</v>
      </c>
      <c r="L794" s="283">
        <f>(SUM(O794:Q794)+(K794+SUM(M794:Q794))*(INDEX($U$792:$AB$792,MATCH(Notes!$C$16,$U$3:$AB$3,0))-100%))*$L$792</f>
        <v>66.22</v>
      </c>
      <c r="M794" s="286"/>
      <c r="N794" s="286"/>
      <c r="O794" s="285">
        <v>66.22</v>
      </c>
      <c r="P794" s="285"/>
      <c r="Q794" s="285"/>
      <c r="R794" s="278"/>
      <c r="S794" s="278"/>
      <c r="T794" s="278"/>
    </row>
    <row r="795" spans="1:28" ht="21" hidden="1" outlineLevel="1" collapsed="1" x14ac:dyDescent="0.25">
      <c r="A795" s="299" t="s">
        <v>2045</v>
      </c>
      <c r="B795" s="299"/>
      <c r="C795" s="299"/>
      <c r="D795" s="299"/>
      <c r="E795" s="299"/>
      <c r="F795" s="299"/>
      <c r="G795" s="299"/>
      <c r="H795" s="348"/>
      <c r="I795" s="299"/>
      <c r="J795" s="299"/>
      <c r="K795" s="299"/>
      <c r="L795" s="299"/>
      <c r="M795" s="299"/>
      <c r="N795" s="299"/>
      <c r="O795" s="299"/>
      <c r="P795" s="299"/>
      <c r="Q795" s="299"/>
      <c r="R795" s="299"/>
      <c r="S795" s="299"/>
      <c r="T795" s="299"/>
      <c r="U795" s="299"/>
      <c r="V795" s="299"/>
      <c r="W795" s="299"/>
      <c r="X795" s="299"/>
      <c r="Y795" s="299"/>
      <c r="Z795" s="299"/>
      <c r="AA795" s="299"/>
      <c r="AB795" s="299"/>
    </row>
    <row r="796" spans="1:28" ht="15.75" hidden="1" outlineLevel="1" x14ac:dyDescent="0.25">
      <c r="A796" s="291"/>
      <c r="B796" s="291"/>
      <c r="C796" s="291"/>
      <c r="D796" s="291"/>
      <c r="E796" s="291"/>
      <c r="F796" s="291"/>
      <c r="G796" s="291"/>
      <c r="H796" s="325"/>
      <c r="I796" s="291"/>
      <c r="J796" s="291"/>
      <c r="K796" s="291">
        <f>K$2</f>
        <v>1</v>
      </c>
      <c r="L796" s="291">
        <f>L$2</f>
        <v>1</v>
      </c>
      <c r="M796" s="291"/>
      <c r="N796" s="291"/>
      <c r="O796" s="303"/>
      <c r="P796" s="303"/>
      <c r="Q796" s="303"/>
      <c r="R796" s="291"/>
      <c r="S796" s="291"/>
      <c r="T796" s="291"/>
      <c r="U796" s="291">
        <f>21.1/20.2</f>
        <v>1.0445544554455446</v>
      </c>
      <c r="V796" s="291">
        <f>20.2/20.2</f>
        <v>1</v>
      </c>
      <c r="W796" s="291">
        <f>18.1/20.2</f>
        <v>0.89603960396039617</v>
      </c>
      <c r="X796" s="291">
        <f>21.1/20.2</f>
        <v>1.0445544554455446</v>
      </c>
      <c r="Y796" s="291">
        <f>23.4/20.2</f>
        <v>1.1584158415841583</v>
      </c>
      <c r="Z796" s="291">
        <f>19/20.2</f>
        <v>0.94059405940594065</v>
      </c>
      <c r="AA796" s="291">
        <f>19.2/20.2</f>
        <v>0.95049504950495045</v>
      </c>
      <c r="AB796" s="291">
        <f>21.3/20.2</f>
        <v>1.0544554455445545</v>
      </c>
    </row>
    <row r="797" spans="1:28" s="305" customFormat="1" hidden="1" outlineLevel="2" x14ac:dyDescent="0.25">
      <c r="A797" s="278"/>
      <c r="B797" s="279" t="str">
        <f>C797&amp;D797&amp;E797&amp;F797</f>
        <v>skirting/architrave42x12mmMDF</v>
      </c>
      <c r="C797" s="278" t="s">
        <v>2048</v>
      </c>
      <c r="D797" s="278" t="s">
        <v>2039</v>
      </c>
      <c r="E797" s="278" t="s">
        <v>723</v>
      </c>
      <c r="F797" s="278"/>
      <c r="G797" s="278" t="s">
        <v>15</v>
      </c>
      <c r="H797" s="310">
        <v>0.05</v>
      </c>
      <c r="I797" s="280">
        <f>$I$2*H797</f>
        <v>4.0310000000000006</v>
      </c>
      <c r="J797" s="281">
        <f>$J$2*H797</f>
        <v>4.5715000000000003</v>
      </c>
      <c r="K797" s="282">
        <f>IF(Notes!$B$9="Domestic",I797, IF(Notes!$B$9="Commercial",J797))*$K$796</f>
        <v>4.5715000000000003</v>
      </c>
      <c r="L797" s="283">
        <f>(SUM(O797:Q797)+(K797+SUM(M797:Q797))*(INDEX($U$796:$AB$796,MATCH(Notes!$C$16,$U$3:$AB$3,0))-100%))*$L$796</f>
        <v>1.68</v>
      </c>
      <c r="M797" s="286"/>
      <c r="N797" s="286"/>
      <c r="O797" s="285">
        <v>1.68</v>
      </c>
      <c r="P797" s="285"/>
      <c r="Q797" s="285"/>
      <c r="R797" s="278"/>
      <c r="S797" s="278"/>
      <c r="T797" s="278"/>
    </row>
    <row r="798" spans="1:28" s="305" customFormat="1" hidden="1" outlineLevel="2" x14ac:dyDescent="0.25">
      <c r="A798" s="278"/>
      <c r="B798" s="279" t="str">
        <f t="shared" ref="B798" si="243">C798&amp;D798&amp;E798&amp;F798</f>
        <v>skirting/architrave42x18mmMDF</v>
      </c>
      <c r="C798" s="278" t="s">
        <v>2048</v>
      </c>
      <c r="D798" s="278" t="s">
        <v>2040</v>
      </c>
      <c r="E798" s="278" t="s">
        <v>723</v>
      </c>
      <c r="F798" s="278"/>
      <c r="G798" s="278" t="s">
        <v>15</v>
      </c>
      <c r="H798" s="310">
        <v>0.05</v>
      </c>
      <c r="I798" s="280">
        <f t="shared" ref="I798" si="244">$I$2*H798</f>
        <v>4.0310000000000006</v>
      </c>
      <c r="J798" s="281">
        <f t="shared" ref="J798" si="245">$J$2*H798</f>
        <v>4.5715000000000003</v>
      </c>
      <c r="K798" s="282">
        <f>IF(Notes!$B$9="Domestic",I798, IF(Notes!$B$9="Commercial",J798))*$K$796</f>
        <v>4.5715000000000003</v>
      </c>
      <c r="L798" s="283">
        <f>(SUM(O798:Q798)+(K798+SUM(M798:Q798))*(INDEX($U$796:$AB$796,MATCH(Notes!$C$16,$U$3:$AB$3,0))-100%))*$L$796</f>
        <v>1.99</v>
      </c>
      <c r="M798" s="286"/>
      <c r="N798" s="286"/>
      <c r="O798" s="285">
        <v>1.99</v>
      </c>
      <c r="P798" s="285"/>
      <c r="Q798" s="285"/>
      <c r="R798" s="278"/>
      <c r="S798" s="278"/>
      <c r="T798" s="278"/>
    </row>
    <row r="799" spans="1:28" s="305" customFormat="1" hidden="1" outlineLevel="2" x14ac:dyDescent="0.25">
      <c r="A799" s="278"/>
      <c r="B799" s="279" t="str">
        <f t="shared" ref="B799:B817" si="246">C799&amp;D799&amp;E799&amp;F799</f>
        <v>skirting/architrave68x12mmMDF</v>
      </c>
      <c r="C799" s="278" t="s">
        <v>2048</v>
      </c>
      <c r="D799" s="278" t="s">
        <v>2043</v>
      </c>
      <c r="E799" s="278" t="s">
        <v>723</v>
      </c>
      <c r="F799" s="278"/>
      <c r="G799" s="278" t="s">
        <v>15</v>
      </c>
      <c r="H799" s="310">
        <v>0.05</v>
      </c>
      <c r="I799" s="280">
        <f t="shared" ref="I799:I817" si="247">$I$2*H799</f>
        <v>4.0310000000000006</v>
      </c>
      <c r="J799" s="281">
        <f t="shared" ref="J799:J817" si="248">$J$2*H799</f>
        <v>4.5715000000000003</v>
      </c>
      <c r="K799" s="282">
        <f>IF(Notes!$B$9="Domestic",I799, IF(Notes!$B$9="Commercial",J799))*$K$796</f>
        <v>4.5715000000000003</v>
      </c>
      <c r="L799" s="283">
        <f>(SUM(O799:Q799)+(K799+SUM(M799:Q799))*(INDEX($U$796:$AB$796,MATCH(Notes!$C$16,$U$3:$AB$3,0))-100%))*$L$796</f>
        <v>2.23</v>
      </c>
      <c r="M799" s="286"/>
      <c r="N799" s="286"/>
      <c r="O799" s="285">
        <v>2.23</v>
      </c>
      <c r="P799" s="285"/>
      <c r="Q799" s="285"/>
      <c r="R799" s="278"/>
      <c r="S799" s="278"/>
      <c r="T799" s="278"/>
    </row>
    <row r="800" spans="1:28" s="305" customFormat="1" hidden="1" outlineLevel="2" x14ac:dyDescent="0.25">
      <c r="A800" s="278"/>
      <c r="B800" s="279" t="str">
        <f t="shared" si="246"/>
        <v>skirting/architrave68x18mmMDF</v>
      </c>
      <c r="C800" s="278" t="s">
        <v>2048</v>
      </c>
      <c r="D800" s="278" t="s">
        <v>2044</v>
      </c>
      <c r="E800" s="278" t="s">
        <v>723</v>
      </c>
      <c r="F800" s="278"/>
      <c r="G800" s="278" t="s">
        <v>15</v>
      </c>
      <c r="H800" s="310">
        <v>0.05</v>
      </c>
      <c r="I800" s="280">
        <f>$I$2*H800</f>
        <v>4.0310000000000006</v>
      </c>
      <c r="J800" s="281">
        <f>$J$2*H800</f>
        <v>4.5715000000000003</v>
      </c>
      <c r="K800" s="282">
        <f>IF(Notes!$B$9="Domestic",I800, IF(Notes!$B$9="Commercial",J800))*$K$796</f>
        <v>4.5715000000000003</v>
      </c>
      <c r="L800" s="283">
        <f>(SUM(O800:Q800)+(K800+SUM(M800:Q800))*(INDEX($U$796:$AB$796,MATCH(Notes!$C$16,$U$3:$AB$3,0))-100%))*$L$796</f>
        <v>2.52</v>
      </c>
      <c r="M800" s="286"/>
      <c r="N800" s="286"/>
      <c r="O800" s="285">
        <v>2.52</v>
      </c>
      <c r="P800" s="285"/>
      <c r="Q800" s="285"/>
      <c r="R800" s="278"/>
      <c r="S800" s="278"/>
      <c r="T800" s="278"/>
    </row>
    <row r="801" spans="1:20" s="305" customFormat="1" hidden="1" outlineLevel="2" x14ac:dyDescent="0.25">
      <c r="A801" s="278"/>
      <c r="B801" s="279" t="str">
        <f t="shared" ref="B801" si="249">C801&amp;D801&amp;E801&amp;F801</f>
        <v>skirting/architrave92x12mmMDF</v>
      </c>
      <c r="C801" s="278" t="s">
        <v>2048</v>
      </c>
      <c r="D801" s="278" t="s">
        <v>2147</v>
      </c>
      <c r="E801" s="278" t="s">
        <v>723</v>
      </c>
      <c r="F801" s="278"/>
      <c r="G801" s="278" t="s">
        <v>15</v>
      </c>
      <c r="H801" s="310">
        <v>7.0000000000000007E-2</v>
      </c>
      <c r="I801" s="280">
        <f t="shared" ref="I801" si="250">$I$2*H801</f>
        <v>5.6434000000000006</v>
      </c>
      <c r="J801" s="281">
        <f t="shared" ref="J801" si="251">$J$2*H801</f>
        <v>6.400100000000001</v>
      </c>
      <c r="K801" s="282">
        <f>IF(Notes!$B$9="Domestic",I801, IF(Notes!$B$9="Commercial",J801))*$K$796</f>
        <v>6.400100000000001</v>
      </c>
      <c r="L801" s="283">
        <f>(SUM(O801:Q801)+(K801+SUM(M801:Q801))*(INDEX($U$796:$AB$796,MATCH(Notes!$C$16,$U$3:$AB$3,0))-100%))*$L$796</f>
        <v>3.4674999999999998</v>
      </c>
      <c r="M801" s="286"/>
      <c r="N801" s="286"/>
      <c r="O801" s="311">
        <f>O802*0.95</f>
        <v>3.4674999999999998</v>
      </c>
      <c r="P801" s="285"/>
      <c r="Q801" s="285"/>
      <c r="R801" s="278"/>
      <c r="S801" s="278"/>
      <c r="T801" s="278"/>
    </row>
    <row r="802" spans="1:20" s="305" customFormat="1" hidden="1" outlineLevel="2" x14ac:dyDescent="0.25">
      <c r="A802" s="278"/>
      <c r="B802" s="279" t="str">
        <f t="shared" si="246"/>
        <v>skirting/architrave92x18mmMDF</v>
      </c>
      <c r="C802" s="278" t="s">
        <v>2048</v>
      </c>
      <c r="D802" s="278" t="s">
        <v>2041</v>
      </c>
      <c r="E802" s="278" t="s">
        <v>723</v>
      </c>
      <c r="F802" s="278"/>
      <c r="G802" s="278" t="s">
        <v>15</v>
      </c>
      <c r="H802" s="310">
        <v>7.0000000000000007E-2</v>
      </c>
      <c r="I802" s="280">
        <f t="shared" si="247"/>
        <v>5.6434000000000006</v>
      </c>
      <c r="J802" s="281">
        <f t="shared" si="248"/>
        <v>6.400100000000001</v>
      </c>
      <c r="K802" s="282">
        <f>IF(Notes!$B$9="Domestic",I802, IF(Notes!$B$9="Commercial",J802))*$K$796</f>
        <v>6.400100000000001</v>
      </c>
      <c r="L802" s="283">
        <f>(SUM(O802:Q802)+(K802+SUM(M802:Q802))*(INDEX($U$796:$AB$796,MATCH(Notes!$C$16,$U$3:$AB$3,0))-100%))*$L$796</f>
        <v>3.65</v>
      </c>
      <c r="M802" s="286"/>
      <c r="N802" s="286"/>
      <c r="O802" s="285">
        <v>3.65</v>
      </c>
      <c r="P802" s="285"/>
      <c r="Q802" s="285"/>
      <c r="R802" s="278"/>
      <c r="S802" s="278"/>
      <c r="T802" s="278"/>
    </row>
    <row r="803" spans="1:20" s="305" customFormat="1" hidden="1" outlineLevel="2" x14ac:dyDescent="0.25">
      <c r="A803" s="278"/>
      <c r="B803" s="279" t="str">
        <f t="shared" si="246"/>
        <v>skirting/architrave140x18mmMDF</v>
      </c>
      <c r="C803" s="278" t="s">
        <v>2048</v>
      </c>
      <c r="D803" s="278" t="s">
        <v>2042</v>
      </c>
      <c r="E803" s="278" t="s">
        <v>723</v>
      </c>
      <c r="F803" s="278"/>
      <c r="G803" s="278" t="s">
        <v>15</v>
      </c>
      <c r="H803" s="310">
        <v>7.0000000000000007E-2</v>
      </c>
      <c r="I803" s="280">
        <f t="shared" si="247"/>
        <v>5.6434000000000006</v>
      </c>
      <c r="J803" s="281">
        <f t="shared" si="248"/>
        <v>6.400100000000001</v>
      </c>
      <c r="K803" s="282">
        <f>IF(Notes!$B$9="Domestic",I803, IF(Notes!$B$9="Commercial",J803))*$K$796</f>
        <v>6.400100000000001</v>
      </c>
      <c r="L803" s="283">
        <f>(SUM(O803:Q803)+(K803+SUM(M803:Q803))*(INDEX($U$796:$AB$796,MATCH(Notes!$C$16,$U$3:$AB$3,0))-100%))*$L$796</f>
        <v>5.31</v>
      </c>
      <c r="M803" s="286"/>
      <c r="N803" s="286"/>
      <c r="O803" s="285">
        <v>5.31</v>
      </c>
      <c r="P803" s="285"/>
      <c r="Q803" s="285"/>
      <c r="R803" s="278"/>
      <c r="S803" s="278"/>
      <c r="T803" s="278"/>
    </row>
    <row r="804" spans="1:20" s="305" customFormat="1" hidden="1" outlineLevel="2" x14ac:dyDescent="0.25">
      <c r="A804" s="278"/>
      <c r="B804" s="279" t="str">
        <f t="shared" si="246"/>
        <v>skirting/architrave42x12mmpine</v>
      </c>
      <c r="C804" s="278" t="s">
        <v>2048</v>
      </c>
      <c r="D804" s="278" t="s">
        <v>2039</v>
      </c>
      <c r="E804" s="278" t="s">
        <v>569</v>
      </c>
      <c r="F804" s="278"/>
      <c r="G804" s="278" t="s">
        <v>15</v>
      </c>
      <c r="H804" s="310">
        <v>0.05</v>
      </c>
      <c r="I804" s="280">
        <f t="shared" si="247"/>
        <v>4.0310000000000006</v>
      </c>
      <c r="J804" s="281">
        <f t="shared" si="248"/>
        <v>4.5715000000000003</v>
      </c>
      <c r="K804" s="282">
        <f>IF(Notes!$B$9="Domestic",I804, IF(Notes!$B$9="Commercial",J804))*$K$796</f>
        <v>4.5715000000000003</v>
      </c>
      <c r="L804" s="283">
        <f>(SUM(O804:Q804)+(K804+SUM(M804:Q804))*(INDEX($U$796:$AB$796,MATCH(Notes!$C$16,$U$3:$AB$3,0))-100%))*$L$796</f>
        <v>1.97</v>
      </c>
      <c r="M804" s="286"/>
      <c r="N804" s="286"/>
      <c r="O804" s="285">
        <v>1.97</v>
      </c>
      <c r="P804" s="285"/>
      <c r="Q804" s="285"/>
      <c r="R804" s="278"/>
      <c r="S804" s="278"/>
      <c r="T804" s="278"/>
    </row>
    <row r="805" spans="1:20" s="305" customFormat="1" hidden="1" outlineLevel="2" x14ac:dyDescent="0.25">
      <c r="A805" s="278"/>
      <c r="B805" s="279" t="str">
        <f t="shared" si="246"/>
        <v>skirting/architrave42x18mmpine</v>
      </c>
      <c r="C805" s="278" t="s">
        <v>2048</v>
      </c>
      <c r="D805" s="278" t="s">
        <v>2040</v>
      </c>
      <c r="E805" s="278" t="s">
        <v>569</v>
      </c>
      <c r="F805" s="278"/>
      <c r="G805" s="278" t="s">
        <v>15</v>
      </c>
      <c r="H805" s="310">
        <v>0.05</v>
      </c>
      <c r="I805" s="280">
        <f t="shared" si="247"/>
        <v>4.0310000000000006</v>
      </c>
      <c r="J805" s="281">
        <f t="shared" si="248"/>
        <v>4.5715000000000003</v>
      </c>
      <c r="K805" s="282">
        <f>IF(Notes!$B$9="Domestic",I805, IF(Notes!$B$9="Commercial",J805))*$K$796</f>
        <v>4.5715000000000003</v>
      </c>
      <c r="L805" s="283">
        <f>(SUM(O805:Q805)+(K805+SUM(M805:Q805))*(INDEX($U$796:$AB$796,MATCH(Notes!$C$16,$U$3:$AB$3,0))-100%))*$L$796</f>
        <v>2.92</v>
      </c>
      <c r="M805" s="286"/>
      <c r="N805" s="286"/>
      <c r="O805" s="285">
        <v>2.92</v>
      </c>
      <c r="P805" s="285"/>
      <c r="Q805" s="285"/>
      <c r="R805" s="278"/>
      <c r="S805" s="278"/>
      <c r="T805" s="278"/>
    </row>
    <row r="806" spans="1:20" s="305" customFormat="1" hidden="1" outlineLevel="2" x14ac:dyDescent="0.25">
      <c r="A806" s="278"/>
      <c r="B806" s="279" t="str">
        <f t="shared" si="246"/>
        <v>skirting/architrave68x12mmpine</v>
      </c>
      <c r="C806" s="278" t="s">
        <v>2048</v>
      </c>
      <c r="D806" s="278" t="s">
        <v>2043</v>
      </c>
      <c r="E806" s="278" t="s">
        <v>569</v>
      </c>
      <c r="F806" s="278"/>
      <c r="G806" s="278" t="s">
        <v>15</v>
      </c>
      <c r="H806" s="310">
        <v>0.05</v>
      </c>
      <c r="I806" s="280">
        <f t="shared" si="247"/>
        <v>4.0310000000000006</v>
      </c>
      <c r="J806" s="281">
        <f t="shared" si="248"/>
        <v>4.5715000000000003</v>
      </c>
      <c r="K806" s="282">
        <f>IF(Notes!$B$9="Domestic",I806, IF(Notes!$B$9="Commercial",J806))*$K$796</f>
        <v>4.5715000000000003</v>
      </c>
      <c r="L806" s="283">
        <f>(SUM(O806:Q806)+(K806+SUM(M806:Q806))*(INDEX($U$796:$AB$796,MATCH(Notes!$C$16,$U$3:$AB$3,0))-100%))*$L$796</f>
        <v>2.88</v>
      </c>
      <c r="M806" s="286"/>
      <c r="N806" s="286"/>
      <c r="O806" s="285">
        <v>2.88</v>
      </c>
      <c r="P806" s="285"/>
      <c r="Q806" s="285"/>
      <c r="R806" s="278"/>
      <c r="S806" s="278"/>
      <c r="T806" s="278"/>
    </row>
    <row r="807" spans="1:20" s="305" customFormat="1" hidden="1" outlineLevel="2" x14ac:dyDescent="0.25">
      <c r="A807" s="278"/>
      <c r="B807" s="279" t="str">
        <f t="shared" si="246"/>
        <v>skirting/architrave68x18mmpine</v>
      </c>
      <c r="C807" s="278" t="s">
        <v>2048</v>
      </c>
      <c r="D807" s="278" t="s">
        <v>2044</v>
      </c>
      <c r="E807" s="278" t="s">
        <v>569</v>
      </c>
      <c r="F807" s="278"/>
      <c r="G807" s="278" t="s">
        <v>15</v>
      </c>
      <c r="H807" s="310">
        <v>0.05</v>
      </c>
      <c r="I807" s="280">
        <f t="shared" si="247"/>
        <v>4.0310000000000006</v>
      </c>
      <c r="J807" s="281">
        <f t="shared" si="248"/>
        <v>4.5715000000000003</v>
      </c>
      <c r="K807" s="282">
        <f>IF(Notes!$B$9="Domestic",I807, IF(Notes!$B$9="Commercial",J807))*$K$796</f>
        <v>4.5715000000000003</v>
      </c>
      <c r="L807" s="283">
        <f>(SUM(O807:Q807)+(K807+SUM(M807:Q807))*(INDEX($U$796:$AB$796,MATCH(Notes!$C$16,$U$3:$AB$3,0))-100%))*$L$796</f>
        <v>3.99</v>
      </c>
      <c r="M807" s="286"/>
      <c r="N807" s="286"/>
      <c r="O807" s="285">
        <v>3.99</v>
      </c>
      <c r="P807" s="285"/>
      <c r="Q807" s="285"/>
      <c r="R807" s="278"/>
      <c r="S807" s="278"/>
      <c r="T807" s="278"/>
    </row>
    <row r="808" spans="1:20" s="305" customFormat="1" hidden="1" outlineLevel="2" x14ac:dyDescent="0.25">
      <c r="A808" s="278"/>
      <c r="B808" s="279" t="str">
        <f t="shared" ref="B808" si="252">C808&amp;D808&amp;E808&amp;F808</f>
        <v>skirting/architrave92x18mmpine</v>
      </c>
      <c r="C808" s="278" t="s">
        <v>2048</v>
      </c>
      <c r="D808" s="278" t="s">
        <v>2041</v>
      </c>
      <c r="E808" s="278" t="s">
        <v>569</v>
      </c>
      <c r="F808" s="278"/>
      <c r="G808" s="278" t="s">
        <v>15</v>
      </c>
      <c r="H808" s="310">
        <v>7.0000000000000007E-2</v>
      </c>
      <c r="I808" s="280">
        <f t="shared" ref="I808" si="253">$I$2*H808</f>
        <v>5.6434000000000006</v>
      </c>
      <c r="J808" s="281">
        <f t="shared" ref="J808" si="254">$J$2*H808</f>
        <v>6.400100000000001</v>
      </c>
      <c r="K808" s="282">
        <f>IF(Notes!$B$9="Domestic",I808, IF(Notes!$B$9="Commercial",J808))*$K$796</f>
        <v>6.400100000000001</v>
      </c>
      <c r="L808" s="283">
        <f>(SUM(O808:Q808)+(K808+SUM(M808:Q808))*(INDEX($U$796:$AB$796,MATCH(Notes!$C$16,$U$3:$AB$3,0))-100%))*$L$796</f>
        <v>5.0824999999999996</v>
      </c>
      <c r="M808" s="286"/>
      <c r="N808" s="286"/>
      <c r="O808" s="311">
        <f>O809*0.95</f>
        <v>5.0824999999999996</v>
      </c>
      <c r="P808" s="285"/>
      <c r="Q808" s="285"/>
      <c r="R808" s="278"/>
      <c r="S808" s="278"/>
      <c r="T808" s="278"/>
    </row>
    <row r="809" spans="1:20" s="305" customFormat="1" hidden="1" outlineLevel="2" x14ac:dyDescent="0.25">
      <c r="A809" s="278"/>
      <c r="B809" s="279" t="str">
        <f t="shared" si="246"/>
        <v>skirting/architrave92x12mmpine</v>
      </c>
      <c r="C809" s="278" t="s">
        <v>2048</v>
      </c>
      <c r="D809" s="278" t="s">
        <v>2147</v>
      </c>
      <c r="E809" s="278" t="s">
        <v>569</v>
      </c>
      <c r="F809" s="278"/>
      <c r="G809" s="278" t="s">
        <v>15</v>
      </c>
      <c r="H809" s="310">
        <v>7.0000000000000007E-2</v>
      </c>
      <c r="I809" s="280">
        <f t="shared" si="247"/>
        <v>5.6434000000000006</v>
      </c>
      <c r="J809" s="281">
        <f t="shared" si="248"/>
        <v>6.400100000000001</v>
      </c>
      <c r="K809" s="282">
        <f>IF(Notes!$B$9="Domestic",I809, IF(Notes!$B$9="Commercial",J809))*$K$796</f>
        <v>6.400100000000001</v>
      </c>
      <c r="L809" s="283">
        <f>(SUM(O809:Q809)+(K809+SUM(M809:Q809))*(INDEX($U$796:$AB$796,MATCH(Notes!$C$16,$U$3:$AB$3,0))-100%))*$L$796</f>
        <v>5.35</v>
      </c>
      <c r="M809" s="286"/>
      <c r="N809" s="286"/>
      <c r="O809" s="285">
        <v>5.35</v>
      </c>
      <c r="P809" s="285"/>
      <c r="Q809" s="285"/>
      <c r="R809" s="278"/>
      <c r="S809" s="278"/>
      <c r="T809" s="278"/>
    </row>
    <row r="810" spans="1:20" s="305" customFormat="1" hidden="1" outlineLevel="2" x14ac:dyDescent="0.25">
      <c r="A810" s="278"/>
      <c r="B810" s="279" t="str">
        <f t="shared" si="246"/>
        <v>skirting/architrave140x18mmpine</v>
      </c>
      <c r="C810" s="278" t="s">
        <v>2048</v>
      </c>
      <c r="D810" s="278" t="s">
        <v>2042</v>
      </c>
      <c r="E810" s="278" t="s">
        <v>569</v>
      </c>
      <c r="F810" s="278"/>
      <c r="G810" s="278" t="s">
        <v>15</v>
      </c>
      <c r="H810" s="310">
        <v>7.0000000000000007E-2</v>
      </c>
      <c r="I810" s="280">
        <f t="shared" si="247"/>
        <v>5.6434000000000006</v>
      </c>
      <c r="J810" s="281">
        <f t="shared" si="248"/>
        <v>6.400100000000001</v>
      </c>
      <c r="K810" s="282">
        <f>IF(Notes!$B$9="Domestic",I810, IF(Notes!$B$9="Commercial",J810))*$K$796</f>
        <v>6.400100000000001</v>
      </c>
      <c r="L810" s="283">
        <f>(SUM(O810:Q810)+(K810+SUM(M810:Q810))*(INDEX($U$796:$AB$796,MATCH(Notes!$C$16,$U$3:$AB$3,0))-100%))*$L$796</f>
        <v>8.2899999999999991</v>
      </c>
      <c r="M810" s="286"/>
      <c r="N810" s="286"/>
      <c r="O810" s="285">
        <v>8.2899999999999991</v>
      </c>
      <c r="P810" s="285"/>
      <c r="Q810" s="285"/>
      <c r="R810" s="278"/>
      <c r="S810" s="278"/>
      <c r="T810" s="278"/>
    </row>
    <row r="811" spans="1:20" s="305" customFormat="1" hidden="1" outlineLevel="2" x14ac:dyDescent="0.25">
      <c r="A811" s="278"/>
      <c r="B811" s="279" t="str">
        <f t="shared" si="246"/>
        <v>skirting/architrave42x12mmHWD</v>
      </c>
      <c r="C811" s="278" t="s">
        <v>2048</v>
      </c>
      <c r="D811" s="278" t="s">
        <v>2039</v>
      </c>
      <c r="E811" s="278" t="s">
        <v>507</v>
      </c>
      <c r="F811" s="278"/>
      <c r="G811" s="278" t="s">
        <v>15</v>
      </c>
      <c r="H811" s="310">
        <v>0.05</v>
      </c>
      <c r="I811" s="280">
        <f t="shared" si="247"/>
        <v>4.0310000000000006</v>
      </c>
      <c r="J811" s="281">
        <f t="shared" si="248"/>
        <v>4.5715000000000003</v>
      </c>
      <c r="K811" s="282">
        <f>IF(Notes!$B$9="Domestic",I811, IF(Notes!$B$9="Commercial",J811))*$K$796</f>
        <v>4.5715000000000003</v>
      </c>
      <c r="L811" s="283">
        <f>(SUM(O811:Q811)+(K811+SUM(M811:Q811))*(INDEX($U$796:$AB$796,MATCH(Notes!$C$16,$U$3:$AB$3,0))-100%))*$L$796</f>
        <v>5.05</v>
      </c>
      <c r="M811" s="286"/>
      <c r="N811" s="286"/>
      <c r="O811" s="285">
        <v>5.05</v>
      </c>
      <c r="P811" s="285"/>
      <c r="Q811" s="285"/>
      <c r="R811" s="278"/>
      <c r="S811" s="278"/>
      <c r="T811" s="278"/>
    </row>
    <row r="812" spans="1:20" s="305" customFormat="1" hidden="1" outlineLevel="2" x14ac:dyDescent="0.25">
      <c r="A812" s="278"/>
      <c r="B812" s="279" t="str">
        <f t="shared" si="246"/>
        <v>skirting/architrave42x18mmHWD</v>
      </c>
      <c r="C812" s="278" t="s">
        <v>2048</v>
      </c>
      <c r="D812" s="278" t="s">
        <v>2040</v>
      </c>
      <c r="E812" s="278" t="s">
        <v>507</v>
      </c>
      <c r="F812" s="278"/>
      <c r="G812" s="278" t="s">
        <v>15</v>
      </c>
      <c r="H812" s="310">
        <v>0.05</v>
      </c>
      <c r="I812" s="280">
        <f t="shared" si="247"/>
        <v>4.0310000000000006</v>
      </c>
      <c r="J812" s="281">
        <f t="shared" si="248"/>
        <v>4.5715000000000003</v>
      </c>
      <c r="K812" s="282">
        <f>IF(Notes!$B$9="Domestic",I812, IF(Notes!$B$9="Commercial",J812))*$K$796</f>
        <v>4.5715000000000003</v>
      </c>
      <c r="L812" s="283">
        <f>(SUM(O812:Q812)+(K812+SUM(M812:Q812))*(INDEX($U$796:$AB$796,MATCH(Notes!$C$16,$U$3:$AB$3,0))-100%))*$L$796</f>
        <v>6.47</v>
      </c>
      <c r="M812" s="286"/>
      <c r="N812" s="286"/>
      <c r="O812" s="285">
        <v>6.47</v>
      </c>
      <c r="P812" s="285"/>
      <c r="Q812" s="285"/>
      <c r="R812" s="278"/>
      <c r="S812" s="278"/>
      <c r="T812" s="278"/>
    </row>
    <row r="813" spans="1:20" s="305" customFormat="1" hidden="1" outlineLevel="2" x14ac:dyDescent="0.25">
      <c r="A813" s="278"/>
      <c r="B813" s="279" t="str">
        <f t="shared" si="246"/>
        <v>skirting/architrave68x12mmHWD</v>
      </c>
      <c r="C813" s="278" t="s">
        <v>2048</v>
      </c>
      <c r="D813" s="278" t="s">
        <v>2043</v>
      </c>
      <c r="E813" s="278" t="s">
        <v>507</v>
      </c>
      <c r="F813" s="278"/>
      <c r="G813" s="278" t="s">
        <v>15</v>
      </c>
      <c r="H813" s="310">
        <v>0.05</v>
      </c>
      <c r="I813" s="280">
        <f t="shared" si="247"/>
        <v>4.0310000000000006</v>
      </c>
      <c r="J813" s="281">
        <f t="shared" si="248"/>
        <v>4.5715000000000003</v>
      </c>
      <c r="K813" s="282">
        <f>IF(Notes!$B$9="Domestic",I813, IF(Notes!$B$9="Commercial",J813))*$K$796</f>
        <v>4.5715000000000003</v>
      </c>
      <c r="L813" s="283">
        <f>(SUM(O813:Q813)+(K813+SUM(M813:Q813))*(INDEX($U$796:$AB$796,MATCH(Notes!$C$16,$U$3:$AB$3,0))-100%))*$L$796</f>
        <v>7.5</v>
      </c>
      <c r="M813" s="286"/>
      <c r="N813" s="286"/>
      <c r="O813" s="285">
        <v>7.5</v>
      </c>
      <c r="P813" s="285"/>
      <c r="Q813" s="285"/>
      <c r="R813" s="278"/>
      <c r="S813" s="278"/>
      <c r="T813" s="278"/>
    </row>
    <row r="814" spans="1:20" s="305" customFormat="1" hidden="1" outlineLevel="2" x14ac:dyDescent="0.25">
      <c r="A814" s="278"/>
      <c r="B814" s="279" t="str">
        <f t="shared" si="246"/>
        <v>skirting/architrave68x18mmHWD</v>
      </c>
      <c r="C814" s="278" t="s">
        <v>2048</v>
      </c>
      <c r="D814" s="278" t="s">
        <v>2044</v>
      </c>
      <c r="E814" s="278" t="s">
        <v>507</v>
      </c>
      <c r="F814" s="278"/>
      <c r="G814" s="278" t="s">
        <v>15</v>
      </c>
      <c r="H814" s="310">
        <v>0.05</v>
      </c>
      <c r="I814" s="280">
        <f t="shared" si="247"/>
        <v>4.0310000000000006</v>
      </c>
      <c r="J814" s="281">
        <f t="shared" si="248"/>
        <v>4.5715000000000003</v>
      </c>
      <c r="K814" s="282">
        <f>IF(Notes!$B$9="Domestic",I814, IF(Notes!$B$9="Commercial",J814))*$K$796</f>
        <v>4.5715000000000003</v>
      </c>
      <c r="L814" s="283">
        <f>(SUM(O814:Q814)+(K814+SUM(M814:Q814))*(INDEX($U$796:$AB$796,MATCH(Notes!$C$16,$U$3:$AB$3,0))-100%))*$L$796</f>
        <v>9.91</v>
      </c>
      <c r="M814" s="286"/>
      <c r="N814" s="286"/>
      <c r="O814" s="285">
        <v>9.91</v>
      </c>
      <c r="P814" s="285"/>
      <c r="Q814" s="285"/>
      <c r="R814" s="278"/>
      <c r="S814" s="278"/>
      <c r="T814" s="278"/>
    </row>
    <row r="815" spans="1:20" s="305" customFormat="1" hidden="1" outlineLevel="2" x14ac:dyDescent="0.25">
      <c r="A815" s="278"/>
      <c r="B815" s="279" t="str">
        <f t="shared" ref="B815" si="255">C815&amp;D815&amp;E815&amp;F815</f>
        <v>skirting/architrave92x12mmHWD</v>
      </c>
      <c r="C815" s="278" t="s">
        <v>2048</v>
      </c>
      <c r="D815" s="278" t="s">
        <v>2147</v>
      </c>
      <c r="E815" s="278" t="s">
        <v>507</v>
      </c>
      <c r="F815" s="278"/>
      <c r="G815" s="278" t="s">
        <v>15</v>
      </c>
      <c r="H815" s="310">
        <v>7.0000000000000007E-2</v>
      </c>
      <c r="I815" s="280">
        <f t="shared" ref="I815" si="256">$I$2*H815</f>
        <v>5.6434000000000006</v>
      </c>
      <c r="J815" s="281">
        <f t="shared" ref="J815" si="257">$J$2*H815</f>
        <v>6.400100000000001</v>
      </c>
      <c r="K815" s="282">
        <f>IF(Notes!$B$9="Domestic",I815, IF(Notes!$B$9="Commercial",J815))*$K$796</f>
        <v>6.400100000000001</v>
      </c>
      <c r="L815" s="283">
        <f>(SUM(O815:Q815)+(K815+SUM(M815:Q815))*(INDEX($U$796:$AB$796,MATCH(Notes!$C$16,$U$3:$AB$3,0))-100%))*$L$796</f>
        <v>12.8155</v>
      </c>
      <c r="M815" s="286"/>
      <c r="N815" s="286"/>
      <c r="O815" s="311">
        <f>O816*0.95</f>
        <v>12.8155</v>
      </c>
      <c r="P815" s="285"/>
      <c r="Q815" s="285"/>
      <c r="R815" s="278"/>
      <c r="S815" s="278"/>
      <c r="T815" s="278"/>
    </row>
    <row r="816" spans="1:20" s="305" customFormat="1" hidden="1" outlineLevel="2" x14ac:dyDescent="0.25">
      <c r="A816" s="278"/>
      <c r="B816" s="279" t="str">
        <f t="shared" si="246"/>
        <v>skirting/architrave92x18mmHWD</v>
      </c>
      <c r="C816" s="278" t="s">
        <v>2048</v>
      </c>
      <c r="D816" s="278" t="s">
        <v>2041</v>
      </c>
      <c r="E816" s="278" t="s">
        <v>507</v>
      </c>
      <c r="F816" s="278"/>
      <c r="G816" s="278" t="s">
        <v>15</v>
      </c>
      <c r="H816" s="310">
        <v>7.0000000000000007E-2</v>
      </c>
      <c r="I816" s="280">
        <f t="shared" si="247"/>
        <v>5.6434000000000006</v>
      </c>
      <c r="J816" s="281">
        <f t="shared" si="248"/>
        <v>6.400100000000001</v>
      </c>
      <c r="K816" s="282">
        <f>IF(Notes!$B$9="Domestic",I816, IF(Notes!$B$9="Commercial",J816))*$K$796</f>
        <v>6.400100000000001</v>
      </c>
      <c r="L816" s="283">
        <f>(SUM(O816:Q816)+(K816+SUM(M816:Q816))*(INDEX($U$796:$AB$796,MATCH(Notes!$C$16,$U$3:$AB$3,0))-100%))*$L$796</f>
        <v>13.49</v>
      </c>
      <c r="M816" s="286"/>
      <c r="N816" s="286"/>
      <c r="O816" s="285">
        <v>13.49</v>
      </c>
      <c r="P816" s="285"/>
      <c r="Q816" s="285"/>
      <c r="R816" s="278"/>
      <c r="S816" s="278"/>
      <c r="T816" s="278"/>
    </row>
    <row r="817" spans="1:28" s="305" customFormat="1" hidden="1" outlineLevel="2" x14ac:dyDescent="0.25">
      <c r="A817" s="278"/>
      <c r="B817" s="279" t="str">
        <f t="shared" si="246"/>
        <v>skirting/architrave140x18mmHWD</v>
      </c>
      <c r="C817" s="278" t="s">
        <v>2048</v>
      </c>
      <c r="D817" s="278" t="s">
        <v>2042</v>
      </c>
      <c r="E817" s="278" t="s">
        <v>507</v>
      </c>
      <c r="F817" s="278"/>
      <c r="G817" s="278" t="s">
        <v>15</v>
      </c>
      <c r="H817" s="310">
        <v>7.0000000000000007E-2</v>
      </c>
      <c r="I817" s="280">
        <f t="shared" si="247"/>
        <v>5.6434000000000006</v>
      </c>
      <c r="J817" s="281">
        <f t="shared" si="248"/>
        <v>6.400100000000001</v>
      </c>
      <c r="K817" s="282">
        <f>IF(Notes!$B$9="Domestic",I817, IF(Notes!$B$9="Commercial",J817))*$K$796</f>
        <v>6.400100000000001</v>
      </c>
      <c r="L817" s="283">
        <f>(SUM(O817:Q817)+(K817+SUM(M817:Q817))*(INDEX($U$796:$AB$796,MATCH(Notes!$C$16,$U$3:$AB$3,0))-100%))*$L$796</f>
        <v>21.55</v>
      </c>
      <c r="M817" s="286"/>
      <c r="N817" s="286"/>
      <c r="O817" s="285">
        <v>21.55</v>
      </c>
      <c r="P817" s="285"/>
      <c r="Q817" s="285"/>
      <c r="R817" s="278"/>
      <c r="S817" s="278"/>
      <c r="T817" s="278"/>
    </row>
    <row r="818" spans="1:28" ht="21" hidden="1" outlineLevel="1" collapsed="1" x14ac:dyDescent="0.25">
      <c r="A818" s="299" t="s">
        <v>2046</v>
      </c>
      <c r="B818" s="299"/>
      <c r="C818" s="299"/>
      <c r="D818" s="299"/>
      <c r="E818" s="299"/>
      <c r="F818" s="299"/>
      <c r="G818" s="299"/>
      <c r="H818" s="348"/>
      <c r="I818" s="299"/>
      <c r="J818" s="299"/>
      <c r="K818" s="299"/>
      <c r="L818" s="299"/>
      <c r="M818" s="299"/>
      <c r="N818" s="299"/>
      <c r="O818" s="299"/>
      <c r="P818" s="299"/>
      <c r="Q818" s="299"/>
      <c r="R818" s="299"/>
      <c r="S818" s="299"/>
      <c r="T818" s="299"/>
      <c r="U818" s="299"/>
      <c r="V818" s="299"/>
      <c r="W818" s="299"/>
      <c r="X818" s="299"/>
      <c r="Y818" s="299"/>
      <c r="Z818" s="299"/>
      <c r="AA818" s="299"/>
      <c r="AB818" s="299"/>
    </row>
    <row r="819" spans="1:28" ht="15.75" hidden="1" outlineLevel="1" x14ac:dyDescent="0.25">
      <c r="A819" s="291"/>
      <c r="B819" s="291"/>
      <c r="C819" s="291"/>
      <c r="D819" s="291"/>
      <c r="E819" s="291"/>
      <c r="F819" s="291"/>
      <c r="G819" s="291"/>
      <c r="H819" s="325"/>
      <c r="I819" s="291"/>
      <c r="J819" s="291"/>
      <c r="K819" s="291">
        <f>K$2</f>
        <v>1</v>
      </c>
      <c r="L819" s="291">
        <f>L$2</f>
        <v>1</v>
      </c>
      <c r="M819" s="291"/>
      <c r="N819" s="291"/>
      <c r="O819" s="303"/>
      <c r="P819" s="303"/>
      <c r="Q819" s="303"/>
      <c r="R819" s="291"/>
      <c r="S819" s="291"/>
      <c r="T819" s="291"/>
      <c r="U819" s="381">
        <f>U$796</f>
        <v>1.0445544554455446</v>
      </c>
      <c r="V819" s="381">
        <f t="shared" ref="V819:AB819" si="258">V$796</f>
        <v>1</v>
      </c>
      <c r="W819" s="381">
        <f t="shared" si="258"/>
        <v>0.89603960396039617</v>
      </c>
      <c r="X819" s="381">
        <f t="shared" si="258"/>
        <v>1.0445544554455446</v>
      </c>
      <c r="Y819" s="381">
        <f t="shared" si="258"/>
        <v>1.1584158415841583</v>
      </c>
      <c r="Z819" s="381">
        <f t="shared" si="258"/>
        <v>0.94059405940594065</v>
      </c>
      <c r="AA819" s="381">
        <f t="shared" si="258"/>
        <v>0.95049504950495045</v>
      </c>
      <c r="AB819" s="381">
        <f t="shared" si="258"/>
        <v>1.0544554455445545</v>
      </c>
    </row>
    <row r="820" spans="1:28" s="305" customFormat="1" hidden="1" outlineLevel="2" x14ac:dyDescent="0.25">
      <c r="A820" s="278"/>
      <c r="B820" s="279" t="str">
        <f>C820&amp;D820&amp;E820&amp;F820</f>
        <v>trim18x12mmMDF</v>
      </c>
      <c r="C820" s="278" t="s">
        <v>2047</v>
      </c>
      <c r="D820" s="278" t="s">
        <v>2051</v>
      </c>
      <c r="E820" s="278" t="s">
        <v>723</v>
      </c>
      <c r="F820" s="278"/>
      <c r="G820" s="278" t="s">
        <v>15</v>
      </c>
      <c r="H820" s="310">
        <v>0.04</v>
      </c>
      <c r="I820" s="280">
        <f>$I$2*H820</f>
        <v>3.2248000000000001</v>
      </c>
      <c r="J820" s="281">
        <f>$J$2*H820</f>
        <v>3.6572000000000005</v>
      </c>
      <c r="K820" s="282">
        <f>IF(Notes!$B$9="Domestic",I820, IF(Notes!$B$9="Commercial",J820))*$K$819</f>
        <v>3.6572000000000005</v>
      </c>
      <c r="L820" s="283">
        <f>(SUM(O820:Q820)+(K820+SUM(M820:Q820))*(INDEX($U$819:$AB$819,MATCH(Notes!$C$16,$U$3:$AB$3,0))-100%))*$L$819</f>
        <v>1.02</v>
      </c>
      <c r="M820" s="286"/>
      <c r="N820" s="286"/>
      <c r="O820" s="285">
        <v>1.02</v>
      </c>
      <c r="P820" s="285"/>
      <c r="Q820" s="285"/>
      <c r="R820" s="278"/>
      <c r="S820" s="278"/>
      <c r="T820" s="278"/>
    </row>
    <row r="821" spans="1:28" s="305" customFormat="1" hidden="1" outlineLevel="2" x14ac:dyDescent="0.25">
      <c r="A821" s="278"/>
      <c r="B821" s="279" t="str">
        <f t="shared" ref="B821:B832" si="259">C821&amp;D821&amp;E821&amp;F821</f>
        <v>trim18x18mmMDF</v>
      </c>
      <c r="C821" s="278" t="s">
        <v>2047</v>
      </c>
      <c r="D821" s="278" t="s">
        <v>2049</v>
      </c>
      <c r="E821" s="278" t="s">
        <v>723</v>
      </c>
      <c r="F821" s="278"/>
      <c r="G821" s="278" t="s">
        <v>15</v>
      </c>
      <c r="H821" s="310">
        <v>0.04</v>
      </c>
      <c r="I821" s="280">
        <f t="shared" ref="I821:I825" si="260">$I$2*H821</f>
        <v>3.2248000000000001</v>
      </c>
      <c r="J821" s="281">
        <f t="shared" ref="J821:J832" si="261">$J$2*H821</f>
        <v>3.6572000000000005</v>
      </c>
      <c r="K821" s="282">
        <f>IF(Notes!$B$9="Domestic",I821, IF(Notes!$B$9="Commercial",J821))*$K$819</f>
        <v>3.6572000000000005</v>
      </c>
      <c r="L821" s="283">
        <f>(SUM(O821:Q821)+(K821+SUM(M821:Q821))*(INDEX($U$819:$AB$819,MATCH(Notes!$C$16,$U$3:$AB$3,0))-100%))*$L$819</f>
        <v>1.02</v>
      </c>
      <c r="M821" s="286"/>
      <c r="N821" s="286"/>
      <c r="O821" s="285">
        <v>1.02</v>
      </c>
      <c r="P821" s="285"/>
      <c r="Q821" s="285"/>
      <c r="R821" s="278"/>
      <c r="S821" s="278"/>
      <c r="T821" s="278"/>
    </row>
    <row r="822" spans="1:28" s="305" customFormat="1" hidden="1" outlineLevel="2" x14ac:dyDescent="0.25">
      <c r="A822" s="278"/>
      <c r="B822" s="279" t="str">
        <f t="shared" si="259"/>
        <v>trim23x23mmMDF</v>
      </c>
      <c r="C822" s="278" t="s">
        <v>2047</v>
      </c>
      <c r="D822" s="278" t="s">
        <v>2050</v>
      </c>
      <c r="E822" s="278" t="s">
        <v>723</v>
      </c>
      <c r="F822" s="278"/>
      <c r="G822" s="278" t="s">
        <v>15</v>
      </c>
      <c r="H822" s="310">
        <v>0.06</v>
      </c>
      <c r="I822" s="280">
        <f t="shared" si="260"/>
        <v>4.8372000000000002</v>
      </c>
      <c r="J822" s="281">
        <f t="shared" si="261"/>
        <v>5.4858000000000002</v>
      </c>
      <c r="K822" s="282">
        <f>IF(Notes!$B$9="Domestic",I822, IF(Notes!$B$9="Commercial",J822))*$K$819</f>
        <v>5.4858000000000002</v>
      </c>
      <c r="L822" s="283">
        <f>(SUM(O822:Q822)+(K822+SUM(M822:Q822))*(INDEX($U$819:$AB$819,MATCH(Notes!$C$16,$U$3:$AB$3,0))-100%))*$L$819</f>
        <v>1.02</v>
      </c>
      <c r="M822" s="286"/>
      <c r="N822" s="286"/>
      <c r="O822" s="285">
        <v>1.02</v>
      </c>
      <c r="P822" s="285"/>
      <c r="Q822" s="285"/>
      <c r="R822" s="278"/>
      <c r="S822" s="278"/>
      <c r="T822" s="278"/>
    </row>
    <row r="823" spans="1:28" s="305" customFormat="1" hidden="1" outlineLevel="2" x14ac:dyDescent="0.25">
      <c r="A823" s="278"/>
      <c r="B823" s="279" t="str">
        <f t="shared" si="259"/>
        <v>trim31x12mmMDF</v>
      </c>
      <c r="C823" s="278" t="s">
        <v>2047</v>
      </c>
      <c r="D823" s="278" t="s">
        <v>2052</v>
      </c>
      <c r="E823" s="278" t="s">
        <v>723</v>
      </c>
      <c r="F823" s="278"/>
      <c r="G823" s="278" t="s">
        <v>15</v>
      </c>
      <c r="H823" s="310">
        <v>0.06</v>
      </c>
      <c r="I823" s="280">
        <f t="shared" si="260"/>
        <v>4.8372000000000002</v>
      </c>
      <c r="J823" s="281">
        <f t="shared" si="261"/>
        <v>5.4858000000000002</v>
      </c>
      <c r="K823" s="282">
        <f>IF(Notes!$B$9="Domestic",I823, IF(Notes!$B$9="Commercial",J823))*$K$819</f>
        <v>5.4858000000000002</v>
      </c>
      <c r="L823" s="283">
        <f>(SUM(O823:Q823)+(K823+SUM(M823:Q823))*(INDEX($U$819:$AB$819,MATCH(Notes!$C$16,$U$3:$AB$3,0))-100%))*$L$819</f>
        <v>1.02</v>
      </c>
      <c r="M823" s="286"/>
      <c r="N823" s="286"/>
      <c r="O823" s="285">
        <v>1.02</v>
      </c>
      <c r="P823" s="285"/>
      <c r="Q823" s="285"/>
      <c r="R823" s="278"/>
      <c r="S823" s="278"/>
      <c r="T823" s="278"/>
    </row>
    <row r="824" spans="1:28" s="305" customFormat="1" hidden="1" outlineLevel="2" x14ac:dyDescent="0.25">
      <c r="A824" s="278"/>
      <c r="B824" s="279" t="str">
        <f t="shared" si="259"/>
        <v>trim31x18mmMDF</v>
      </c>
      <c r="C824" s="278" t="s">
        <v>2047</v>
      </c>
      <c r="D824" s="278" t="s">
        <v>2053</v>
      </c>
      <c r="E824" s="278" t="s">
        <v>723</v>
      </c>
      <c r="F824" s="278"/>
      <c r="G824" s="278" t="s">
        <v>15</v>
      </c>
      <c r="H824" s="310">
        <v>0.06</v>
      </c>
      <c r="I824" s="280">
        <f t="shared" si="260"/>
        <v>4.8372000000000002</v>
      </c>
      <c r="J824" s="281">
        <f t="shared" si="261"/>
        <v>5.4858000000000002</v>
      </c>
      <c r="K824" s="282">
        <f>IF(Notes!$B$9="Domestic",I824, IF(Notes!$B$9="Commercial",J824))*$K$819</f>
        <v>5.4858000000000002</v>
      </c>
      <c r="L824" s="283">
        <f>(SUM(O824:Q824)+(K824+SUM(M824:Q824))*(INDEX($U$819:$AB$819,MATCH(Notes!$C$16,$U$3:$AB$3,0))-100%))*$L$819</f>
        <v>1.53</v>
      </c>
      <c r="M824" s="286"/>
      <c r="N824" s="286"/>
      <c r="O824" s="285">
        <v>1.53</v>
      </c>
      <c r="P824" s="285"/>
      <c r="Q824" s="285"/>
      <c r="R824" s="278"/>
      <c r="S824" s="278"/>
      <c r="T824" s="278"/>
    </row>
    <row r="825" spans="1:28" s="305" customFormat="1" hidden="1" outlineLevel="2" x14ac:dyDescent="0.25">
      <c r="A825" s="278"/>
      <c r="B825" s="279" t="str">
        <f t="shared" si="259"/>
        <v>trim31x31mmMDF</v>
      </c>
      <c r="C825" s="278" t="s">
        <v>2047</v>
      </c>
      <c r="D825" s="278" t="s">
        <v>2054</v>
      </c>
      <c r="E825" s="278" t="s">
        <v>723</v>
      </c>
      <c r="F825" s="278"/>
      <c r="G825" s="278" t="s">
        <v>15</v>
      </c>
      <c r="H825" s="310">
        <v>0.1</v>
      </c>
      <c r="I825" s="280">
        <f t="shared" si="260"/>
        <v>8.0620000000000012</v>
      </c>
      <c r="J825" s="281">
        <f t="shared" si="261"/>
        <v>9.1430000000000007</v>
      </c>
      <c r="K825" s="282">
        <f>IF(Notes!$B$9="Domestic",I825, IF(Notes!$B$9="Commercial",J825))*$K$819</f>
        <v>9.1430000000000007</v>
      </c>
      <c r="L825" s="283">
        <f>(SUM(O825:Q825)+(K825+SUM(M825:Q825))*(INDEX($U$819:$AB$819,MATCH(Notes!$C$16,$U$3:$AB$3,0))-100%))*$L$819</f>
        <v>2.13</v>
      </c>
      <c r="M825" s="286"/>
      <c r="N825" s="286"/>
      <c r="O825" s="285">
        <v>2.13</v>
      </c>
      <c r="P825" s="285"/>
      <c r="Q825" s="285"/>
      <c r="R825" s="278"/>
      <c r="S825" s="278"/>
      <c r="T825" s="278"/>
    </row>
    <row r="826" spans="1:28" s="305" customFormat="1" hidden="1" outlineLevel="2" x14ac:dyDescent="0.25">
      <c r="A826" s="278"/>
      <c r="B826" s="279" t="str">
        <f t="shared" si="259"/>
        <v>trim42x12mmMDF</v>
      </c>
      <c r="C826" s="278" t="s">
        <v>2047</v>
      </c>
      <c r="D826" s="278" t="s">
        <v>2039</v>
      </c>
      <c r="E826" s="278" t="s">
        <v>723</v>
      </c>
      <c r="F826" s="278"/>
      <c r="G826" s="278" t="s">
        <v>15</v>
      </c>
      <c r="H826" s="310">
        <v>0.1</v>
      </c>
      <c r="I826" s="280">
        <f>$I$2*H826</f>
        <v>8.0620000000000012</v>
      </c>
      <c r="J826" s="281">
        <f t="shared" si="261"/>
        <v>9.1430000000000007</v>
      </c>
      <c r="K826" s="282">
        <f>IF(Notes!$B$9="Domestic",I826, IF(Notes!$B$9="Commercial",J826))*$K$819</f>
        <v>9.1430000000000007</v>
      </c>
      <c r="L826" s="283">
        <f>(SUM(O826:Q826)+(K826+SUM(M826:Q826))*(INDEX($U$819:$AB$819,MATCH(Notes!$C$16,$U$3:$AB$3,0))-100%))*$L$819</f>
        <v>1.68</v>
      </c>
      <c r="M826" s="286"/>
      <c r="N826" s="286"/>
      <c r="O826" s="285">
        <v>1.68</v>
      </c>
      <c r="P826" s="285"/>
      <c r="Q826" s="285"/>
      <c r="R826" s="278"/>
      <c r="S826" s="278"/>
      <c r="T826" s="278"/>
    </row>
    <row r="827" spans="1:28" s="305" customFormat="1" hidden="1" outlineLevel="2" x14ac:dyDescent="0.25">
      <c r="A827" s="278"/>
      <c r="B827" s="279" t="str">
        <f t="shared" si="259"/>
        <v>trim42x18mmMDF</v>
      </c>
      <c r="C827" s="278" t="s">
        <v>2047</v>
      </c>
      <c r="D827" s="278" t="s">
        <v>2040</v>
      </c>
      <c r="E827" s="278" t="s">
        <v>723</v>
      </c>
      <c r="F827" s="278"/>
      <c r="G827" s="278" t="s">
        <v>15</v>
      </c>
      <c r="H827" s="310">
        <v>0.1</v>
      </c>
      <c r="I827" s="280">
        <f t="shared" ref="I827:I832" si="262">$I$2*H827</f>
        <v>8.0620000000000012</v>
      </c>
      <c r="J827" s="281">
        <f t="shared" si="261"/>
        <v>9.1430000000000007</v>
      </c>
      <c r="K827" s="282">
        <f>IF(Notes!$B$9="Domestic",I827, IF(Notes!$B$9="Commercial",J827))*$K$819</f>
        <v>9.1430000000000007</v>
      </c>
      <c r="L827" s="283">
        <f>(SUM(O827:Q827)+(K827+SUM(M827:Q827))*(INDEX($U$819:$AB$819,MATCH(Notes!$C$16,$U$3:$AB$3,0))-100%))*$L$819</f>
        <v>1.99</v>
      </c>
      <c r="M827" s="286"/>
      <c r="N827" s="286"/>
      <c r="O827" s="285">
        <v>1.99</v>
      </c>
      <c r="P827" s="285"/>
      <c r="Q827" s="285"/>
      <c r="R827" s="278"/>
      <c r="S827" s="278"/>
      <c r="T827" s="278"/>
    </row>
    <row r="828" spans="1:28" s="305" customFormat="1" hidden="1" outlineLevel="2" x14ac:dyDescent="0.25">
      <c r="A828" s="278"/>
      <c r="B828" s="279" t="str">
        <f t="shared" si="259"/>
        <v>trim68x12mmMDF</v>
      </c>
      <c r="C828" s="278" t="s">
        <v>2047</v>
      </c>
      <c r="D828" s="278" t="s">
        <v>2043</v>
      </c>
      <c r="E828" s="278" t="s">
        <v>723</v>
      </c>
      <c r="F828" s="278"/>
      <c r="G828" s="278" t="s">
        <v>15</v>
      </c>
      <c r="H828" s="310">
        <v>0.1</v>
      </c>
      <c r="I828" s="280">
        <f t="shared" si="262"/>
        <v>8.0620000000000012</v>
      </c>
      <c r="J828" s="281">
        <f t="shared" si="261"/>
        <v>9.1430000000000007</v>
      </c>
      <c r="K828" s="282">
        <f>IF(Notes!$B$9="Domestic",I828, IF(Notes!$B$9="Commercial",J828))*$K$819</f>
        <v>9.1430000000000007</v>
      </c>
      <c r="L828" s="283">
        <f>(SUM(O828:Q828)+(K828+SUM(M828:Q828))*(INDEX($U$819:$AB$819,MATCH(Notes!$C$16,$U$3:$AB$3,0))-100%))*$L$819</f>
        <v>2.23</v>
      </c>
      <c r="M828" s="286"/>
      <c r="N828" s="286"/>
      <c r="O828" s="285">
        <v>2.23</v>
      </c>
      <c r="P828" s="285"/>
      <c r="Q828" s="285"/>
      <c r="R828" s="278"/>
      <c r="S828" s="278"/>
      <c r="T828" s="278"/>
    </row>
    <row r="829" spans="1:28" s="305" customFormat="1" hidden="1" outlineLevel="2" x14ac:dyDescent="0.25">
      <c r="A829" s="278"/>
      <c r="B829" s="279" t="str">
        <f t="shared" si="259"/>
        <v>trim68x18mmMDF</v>
      </c>
      <c r="C829" s="278" t="s">
        <v>2047</v>
      </c>
      <c r="D829" s="278" t="s">
        <v>2044</v>
      </c>
      <c r="E829" s="278" t="s">
        <v>723</v>
      </c>
      <c r="F829" s="278"/>
      <c r="G829" s="278" t="s">
        <v>15</v>
      </c>
      <c r="H829" s="310">
        <v>0.1</v>
      </c>
      <c r="I829" s="280">
        <f t="shared" si="262"/>
        <v>8.0620000000000012</v>
      </c>
      <c r="J829" s="281">
        <f t="shared" si="261"/>
        <v>9.1430000000000007</v>
      </c>
      <c r="K829" s="282">
        <f>IF(Notes!$B$9="Domestic",I829, IF(Notes!$B$9="Commercial",J829))*$K$819</f>
        <v>9.1430000000000007</v>
      </c>
      <c r="L829" s="283">
        <f>(SUM(O829:Q829)+(K829+SUM(M829:Q829))*(INDEX($U$819:$AB$819,MATCH(Notes!$C$16,$U$3:$AB$3,0))-100%))*$L$819</f>
        <v>2.52</v>
      </c>
      <c r="M829" s="286"/>
      <c r="N829" s="286"/>
      <c r="O829" s="285">
        <v>2.52</v>
      </c>
      <c r="P829" s="285"/>
      <c r="Q829" s="285"/>
      <c r="R829" s="278"/>
      <c r="S829" s="278"/>
      <c r="T829" s="278"/>
    </row>
    <row r="830" spans="1:28" s="305" customFormat="1" hidden="1" outlineLevel="2" x14ac:dyDescent="0.25">
      <c r="A830" s="278"/>
      <c r="B830" s="279" t="str">
        <f t="shared" ref="B830" si="263">C830&amp;D830&amp;E830&amp;F830</f>
        <v>trim92x12mmMDF</v>
      </c>
      <c r="C830" s="278" t="s">
        <v>2047</v>
      </c>
      <c r="D830" s="278" t="s">
        <v>2147</v>
      </c>
      <c r="E830" s="278" t="s">
        <v>723</v>
      </c>
      <c r="F830" s="278"/>
      <c r="G830" s="278" t="s">
        <v>15</v>
      </c>
      <c r="H830" s="310">
        <v>0.1</v>
      </c>
      <c r="I830" s="280">
        <f t="shared" ref="I830" si="264">$I$2*H830</f>
        <v>8.0620000000000012</v>
      </c>
      <c r="J830" s="281">
        <f t="shared" ref="J830" si="265">$J$2*H830</f>
        <v>9.1430000000000007</v>
      </c>
      <c r="K830" s="282">
        <f>IF(Notes!$B$9="Domestic",I830, IF(Notes!$B$9="Commercial",J830))*$K$819</f>
        <v>9.1430000000000007</v>
      </c>
      <c r="L830" s="283">
        <f>(SUM(O830:Q830)+(K830+SUM(M830:Q830))*(INDEX($U$819:$AB$819,MATCH(Notes!$C$16,$U$3:$AB$3,0))-100%))*$L$819</f>
        <v>3.4674999999999998</v>
      </c>
      <c r="M830" s="286"/>
      <c r="N830" s="286"/>
      <c r="O830" s="311">
        <f>O831*0.95</f>
        <v>3.4674999999999998</v>
      </c>
      <c r="P830" s="285"/>
      <c r="Q830" s="285"/>
      <c r="R830" s="278"/>
      <c r="S830" s="278"/>
      <c r="T830" s="278"/>
    </row>
    <row r="831" spans="1:28" s="305" customFormat="1" hidden="1" outlineLevel="2" x14ac:dyDescent="0.25">
      <c r="A831" s="278"/>
      <c r="B831" s="279" t="str">
        <f t="shared" si="259"/>
        <v>trim92x18mmMDF</v>
      </c>
      <c r="C831" s="278" t="s">
        <v>2047</v>
      </c>
      <c r="D831" s="278" t="s">
        <v>2041</v>
      </c>
      <c r="E831" s="278" t="s">
        <v>723</v>
      </c>
      <c r="F831" s="278"/>
      <c r="G831" s="278" t="s">
        <v>15</v>
      </c>
      <c r="H831" s="310">
        <v>0.1</v>
      </c>
      <c r="I831" s="280">
        <f t="shared" si="262"/>
        <v>8.0620000000000012</v>
      </c>
      <c r="J831" s="281">
        <f t="shared" si="261"/>
        <v>9.1430000000000007</v>
      </c>
      <c r="K831" s="282">
        <f>IF(Notes!$B$9="Domestic",I831, IF(Notes!$B$9="Commercial",J831))*$K$819</f>
        <v>9.1430000000000007</v>
      </c>
      <c r="L831" s="283">
        <f>(SUM(O831:Q831)+(K831+SUM(M831:Q831))*(INDEX($U$819:$AB$819,MATCH(Notes!$C$16,$U$3:$AB$3,0))-100%))*$L$819</f>
        <v>3.65</v>
      </c>
      <c r="M831" s="286"/>
      <c r="N831" s="286"/>
      <c r="O831" s="285">
        <v>3.65</v>
      </c>
      <c r="P831" s="285"/>
      <c r="Q831" s="285"/>
      <c r="R831" s="278"/>
      <c r="S831" s="278"/>
      <c r="T831" s="278"/>
    </row>
    <row r="832" spans="1:28" s="305" customFormat="1" hidden="1" outlineLevel="2" x14ac:dyDescent="0.25">
      <c r="A832" s="278"/>
      <c r="B832" s="279" t="str">
        <f t="shared" si="259"/>
        <v>trim140x18mmMDF</v>
      </c>
      <c r="C832" s="278" t="s">
        <v>2047</v>
      </c>
      <c r="D832" s="278" t="s">
        <v>2042</v>
      </c>
      <c r="E832" s="278" t="s">
        <v>723</v>
      </c>
      <c r="F832" s="278"/>
      <c r="G832" s="278" t="s">
        <v>15</v>
      </c>
      <c r="H832" s="310">
        <v>0.1</v>
      </c>
      <c r="I832" s="280">
        <f t="shared" si="262"/>
        <v>8.0620000000000012</v>
      </c>
      <c r="J832" s="281">
        <f t="shared" si="261"/>
        <v>9.1430000000000007</v>
      </c>
      <c r="K832" s="282">
        <f>IF(Notes!$B$9="Domestic",I832, IF(Notes!$B$9="Commercial",J832))*$K$819</f>
        <v>9.1430000000000007</v>
      </c>
      <c r="L832" s="283">
        <f>(SUM(O832:Q832)+(K832+SUM(M832:Q832))*(INDEX($U$819:$AB$819,MATCH(Notes!$C$16,$U$3:$AB$3,0))-100%))*$L$819</f>
        <v>5.31</v>
      </c>
      <c r="M832" s="286"/>
      <c r="N832" s="286"/>
      <c r="O832" s="285">
        <v>5.31</v>
      </c>
      <c r="P832" s="285"/>
      <c r="Q832" s="285"/>
      <c r="R832" s="278"/>
      <c r="S832" s="278"/>
      <c r="T832" s="278"/>
    </row>
    <row r="833" spans="1:20" s="305" customFormat="1" hidden="1" outlineLevel="2" x14ac:dyDescent="0.25">
      <c r="A833" s="278"/>
      <c r="B833" s="279" t="str">
        <f>C833&amp;D833&amp;E833&amp;F833</f>
        <v>trim18x12mmpine</v>
      </c>
      <c r="C833" s="278" t="s">
        <v>2047</v>
      </c>
      <c r="D833" s="278" t="s">
        <v>2051</v>
      </c>
      <c r="E833" s="278" t="s">
        <v>569</v>
      </c>
      <c r="F833" s="278"/>
      <c r="G833" s="278" t="s">
        <v>15</v>
      </c>
      <c r="H833" s="310">
        <v>0.04</v>
      </c>
      <c r="I833" s="280">
        <f>$I$2*H833</f>
        <v>3.2248000000000001</v>
      </c>
      <c r="J833" s="281">
        <f>$J$2*H833</f>
        <v>3.6572000000000005</v>
      </c>
      <c r="K833" s="282">
        <f>IF(Notes!$B$9="Domestic",I833, IF(Notes!$B$9="Commercial",J833))*$K$819</f>
        <v>3.6572000000000005</v>
      </c>
      <c r="L833" s="283">
        <f>(SUM(O833:Q833)+(K833+SUM(M833:Q833))*(INDEX($U$819:$AB$819,MATCH(Notes!$C$16,$U$3:$AB$3,0))-100%))*$L$819</f>
        <v>2.31</v>
      </c>
      <c r="M833" s="286"/>
      <c r="N833" s="286"/>
      <c r="O833" s="285">
        <v>2.31</v>
      </c>
      <c r="P833" s="285"/>
      <c r="Q833" s="285"/>
      <c r="R833" s="278"/>
      <c r="S833" s="278"/>
      <c r="T833" s="278"/>
    </row>
    <row r="834" spans="1:20" s="305" customFormat="1" hidden="1" outlineLevel="2" x14ac:dyDescent="0.25">
      <c r="A834" s="278"/>
      <c r="B834" s="279" t="str">
        <f t="shared" ref="B834:B844" si="266">C834&amp;D834&amp;E834&amp;F834</f>
        <v>trim18x18mmpine</v>
      </c>
      <c r="C834" s="278" t="s">
        <v>2047</v>
      </c>
      <c r="D834" s="278" t="s">
        <v>2049</v>
      </c>
      <c r="E834" s="278" t="s">
        <v>569</v>
      </c>
      <c r="F834" s="278"/>
      <c r="G834" s="278" t="s">
        <v>15</v>
      </c>
      <c r="H834" s="310">
        <v>0.04</v>
      </c>
      <c r="I834" s="280">
        <f t="shared" ref="I834:I844" si="267">$I$2*H834</f>
        <v>3.2248000000000001</v>
      </c>
      <c r="J834" s="281">
        <f t="shared" ref="J834:J844" si="268">$J$2*H834</f>
        <v>3.6572000000000005</v>
      </c>
      <c r="K834" s="282">
        <f>IF(Notes!$B$9="Domestic",I834, IF(Notes!$B$9="Commercial",J834))*$K$819</f>
        <v>3.6572000000000005</v>
      </c>
      <c r="L834" s="283">
        <f>(SUM(O834:Q834)+(K834+SUM(M834:Q834))*(INDEX($U$819:$AB$819,MATCH(Notes!$C$16,$U$3:$AB$3,0))-100%))*$L$819</f>
        <v>3.26</v>
      </c>
      <c r="M834" s="286"/>
      <c r="N834" s="286"/>
      <c r="O834" s="285">
        <v>3.26</v>
      </c>
      <c r="P834" s="285"/>
      <c r="Q834" s="285"/>
      <c r="R834" s="278"/>
      <c r="S834" s="278"/>
      <c r="T834" s="278"/>
    </row>
    <row r="835" spans="1:20" s="305" customFormat="1" hidden="1" outlineLevel="2" x14ac:dyDescent="0.25">
      <c r="A835" s="278"/>
      <c r="B835" s="279" t="str">
        <f t="shared" ref="B835" si="269">C835&amp;D835&amp;E835&amp;F835</f>
        <v>trim23x23mmpine</v>
      </c>
      <c r="C835" s="278" t="s">
        <v>2047</v>
      </c>
      <c r="D835" s="278" t="s">
        <v>2050</v>
      </c>
      <c r="E835" s="278" t="s">
        <v>569</v>
      </c>
      <c r="F835" s="278"/>
      <c r="G835" s="278" t="s">
        <v>15</v>
      </c>
      <c r="H835" s="310">
        <v>0.06</v>
      </c>
      <c r="I835" s="280">
        <f t="shared" ref="I835" si="270">$I$2*H835</f>
        <v>4.8372000000000002</v>
      </c>
      <c r="J835" s="281">
        <f t="shared" ref="J835" si="271">$J$2*H835</f>
        <v>5.4858000000000002</v>
      </c>
      <c r="K835" s="282">
        <f>IF(Notes!$B$9="Domestic",I835, IF(Notes!$B$9="Commercial",J835))*$K$819</f>
        <v>5.4858000000000002</v>
      </c>
      <c r="L835" s="283">
        <f>(SUM(O835:Q835)+(K835+SUM(M835:Q835))*(INDEX($U$819:$AB$819,MATCH(Notes!$C$16,$U$3:$AB$3,0))-100%))*$L$819</f>
        <v>3.85</v>
      </c>
      <c r="M835" s="286"/>
      <c r="N835" s="286"/>
      <c r="O835" s="285">
        <v>3.85</v>
      </c>
      <c r="P835" s="285"/>
      <c r="Q835" s="285"/>
      <c r="R835" s="278"/>
      <c r="S835" s="278"/>
      <c r="T835" s="278"/>
    </row>
    <row r="836" spans="1:20" s="305" customFormat="1" hidden="1" outlineLevel="2" x14ac:dyDescent="0.25">
      <c r="A836" s="278"/>
      <c r="B836" s="279" t="str">
        <f t="shared" si="266"/>
        <v>trim31x12mmpine</v>
      </c>
      <c r="C836" s="278" t="s">
        <v>2047</v>
      </c>
      <c r="D836" s="278" t="s">
        <v>2052</v>
      </c>
      <c r="E836" s="278" t="s">
        <v>569</v>
      </c>
      <c r="F836" s="278"/>
      <c r="G836" s="278" t="s">
        <v>15</v>
      </c>
      <c r="H836" s="310">
        <v>0.06</v>
      </c>
      <c r="I836" s="280">
        <f t="shared" si="267"/>
        <v>4.8372000000000002</v>
      </c>
      <c r="J836" s="281">
        <f t="shared" si="268"/>
        <v>5.4858000000000002</v>
      </c>
      <c r="K836" s="282">
        <f>IF(Notes!$B$9="Domestic",I836, IF(Notes!$B$9="Commercial",J836))*$K$819</f>
        <v>5.4858000000000002</v>
      </c>
      <c r="L836" s="283">
        <f>(SUM(O836:Q836)+(K836+SUM(M836:Q836))*(INDEX($U$819:$AB$819,MATCH(Notes!$C$16,$U$3:$AB$3,0))-100%))*$L$819</f>
        <v>2.91</v>
      </c>
      <c r="M836" s="286"/>
      <c r="N836" s="286"/>
      <c r="O836" s="285">
        <v>2.91</v>
      </c>
      <c r="P836" s="285"/>
      <c r="Q836" s="285"/>
      <c r="R836" s="278"/>
      <c r="S836" s="278"/>
      <c r="T836" s="278"/>
    </row>
    <row r="837" spans="1:20" s="305" customFormat="1" hidden="1" outlineLevel="2" x14ac:dyDescent="0.25">
      <c r="A837" s="278"/>
      <c r="B837" s="279" t="str">
        <f t="shared" si="266"/>
        <v>trim31x18mmpine</v>
      </c>
      <c r="C837" s="278" t="s">
        <v>2047</v>
      </c>
      <c r="D837" s="278" t="s">
        <v>2053</v>
      </c>
      <c r="E837" s="278" t="s">
        <v>569</v>
      </c>
      <c r="F837" s="278"/>
      <c r="G837" s="278" t="s">
        <v>15</v>
      </c>
      <c r="H837" s="310">
        <v>0.06</v>
      </c>
      <c r="I837" s="280">
        <f t="shared" si="267"/>
        <v>4.8372000000000002</v>
      </c>
      <c r="J837" s="281">
        <f t="shared" si="268"/>
        <v>5.4858000000000002</v>
      </c>
      <c r="K837" s="282">
        <f>IF(Notes!$B$9="Domestic",I837, IF(Notes!$B$9="Commercial",J837))*$K$819</f>
        <v>5.4858000000000002</v>
      </c>
      <c r="L837" s="283">
        <f>(SUM(O837:Q837)+(K837+SUM(M837:Q837))*(INDEX($U$819:$AB$819,MATCH(Notes!$C$16,$U$3:$AB$3,0))-100%))*$L$819</f>
        <v>4.22</v>
      </c>
      <c r="M837" s="286"/>
      <c r="N837" s="286"/>
      <c r="O837" s="285">
        <v>4.22</v>
      </c>
      <c r="P837" s="285"/>
      <c r="Q837" s="285"/>
      <c r="R837" s="278"/>
      <c r="S837" s="278"/>
      <c r="T837" s="278"/>
    </row>
    <row r="838" spans="1:20" s="305" customFormat="1" hidden="1" outlineLevel="2" x14ac:dyDescent="0.25">
      <c r="A838" s="278"/>
      <c r="B838" s="279" t="str">
        <f t="shared" ref="B838" si="272">C838&amp;D838&amp;E838&amp;F838</f>
        <v>trim31x31mmpine</v>
      </c>
      <c r="C838" s="278" t="s">
        <v>2047</v>
      </c>
      <c r="D838" s="278" t="s">
        <v>2054</v>
      </c>
      <c r="E838" s="278" t="s">
        <v>569</v>
      </c>
      <c r="F838" s="278"/>
      <c r="G838" s="278" t="s">
        <v>15</v>
      </c>
      <c r="H838" s="310">
        <v>0.1</v>
      </c>
      <c r="I838" s="280">
        <f t="shared" ref="I838" si="273">$I$2*H838</f>
        <v>8.0620000000000012</v>
      </c>
      <c r="J838" s="281">
        <f t="shared" ref="J838" si="274">$J$2*H838</f>
        <v>9.1430000000000007</v>
      </c>
      <c r="K838" s="282">
        <f>IF(Notes!$B$9="Domestic",I838, IF(Notes!$B$9="Commercial",J838))*$K$819</f>
        <v>9.1430000000000007</v>
      </c>
      <c r="L838" s="283">
        <f>(SUM(O838:Q838)+(K838+SUM(M838:Q838))*(INDEX($U$819:$AB$819,MATCH(Notes!$C$16,$U$3:$AB$3,0))-100%))*$L$819</f>
        <v>5.38</v>
      </c>
      <c r="M838" s="286"/>
      <c r="N838" s="286"/>
      <c r="O838" s="285">
        <v>5.38</v>
      </c>
      <c r="P838" s="285"/>
      <c r="Q838" s="285"/>
      <c r="R838" s="278"/>
      <c r="S838" s="278"/>
      <c r="T838" s="278"/>
    </row>
    <row r="839" spans="1:20" s="305" customFormat="1" hidden="1" outlineLevel="2" x14ac:dyDescent="0.25">
      <c r="A839" s="278"/>
      <c r="B839" s="279" t="str">
        <f t="shared" si="266"/>
        <v>trim42x12mmpine</v>
      </c>
      <c r="C839" s="278" t="s">
        <v>2047</v>
      </c>
      <c r="D839" s="278" t="s">
        <v>2039</v>
      </c>
      <c r="E839" s="278" t="s">
        <v>569</v>
      </c>
      <c r="F839" s="278"/>
      <c r="G839" s="278" t="s">
        <v>15</v>
      </c>
      <c r="H839" s="310">
        <v>0.1</v>
      </c>
      <c r="I839" s="280">
        <f>$I$2*H839</f>
        <v>8.0620000000000012</v>
      </c>
      <c r="J839" s="281">
        <f t="shared" si="268"/>
        <v>9.1430000000000007</v>
      </c>
      <c r="K839" s="282">
        <f>IF(Notes!$B$9="Domestic",I839, IF(Notes!$B$9="Commercial",J839))*$K$819</f>
        <v>9.1430000000000007</v>
      </c>
      <c r="L839" s="283">
        <f>(SUM(O839:Q839)+(K839+SUM(M839:Q839))*(INDEX($U$819:$AB$819,MATCH(Notes!$C$16,$U$3:$AB$3,0))-100%))*$L$819</f>
        <v>3.34</v>
      </c>
      <c r="M839" s="286"/>
      <c r="N839" s="286"/>
      <c r="O839" s="285">
        <v>3.34</v>
      </c>
      <c r="P839" s="285"/>
      <c r="Q839" s="285"/>
      <c r="R839" s="278"/>
      <c r="S839" s="278"/>
      <c r="T839" s="278"/>
    </row>
    <row r="840" spans="1:20" s="305" customFormat="1" hidden="1" outlineLevel="2" x14ac:dyDescent="0.25">
      <c r="A840" s="278"/>
      <c r="B840" s="279" t="str">
        <f t="shared" si="266"/>
        <v>trim42x18mmpine</v>
      </c>
      <c r="C840" s="278" t="s">
        <v>2047</v>
      </c>
      <c r="D840" s="278" t="s">
        <v>2040</v>
      </c>
      <c r="E840" s="278" t="s">
        <v>569</v>
      </c>
      <c r="F840" s="278"/>
      <c r="G840" s="278" t="s">
        <v>15</v>
      </c>
      <c r="H840" s="310">
        <v>0.1</v>
      </c>
      <c r="I840" s="280">
        <f t="shared" si="267"/>
        <v>8.0620000000000012</v>
      </c>
      <c r="J840" s="281">
        <f t="shared" si="268"/>
        <v>9.1430000000000007</v>
      </c>
      <c r="K840" s="282">
        <f>IF(Notes!$B$9="Domestic",I840, IF(Notes!$B$9="Commercial",J840))*$K$819</f>
        <v>9.1430000000000007</v>
      </c>
      <c r="L840" s="283">
        <f>(SUM(O840:Q840)+(K840+SUM(M840:Q840))*(INDEX($U$819:$AB$819,MATCH(Notes!$C$16,$U$3:$AB$3,0))-100%))*$L$819</f>
        <v>5.1100000000000003</v>
      </c>
      <c r="M840" s="286"/>
      <c r="N840" s="286"/>
      <c r="O840" s="285">
        <v>5.1100000000000003</v>
      </c>
      <c r="P840" s="285"/>
      <c r="Q840" s="285"/>
      <c r="R840" s="278"/>
      <c r="S840" s="278"/>
      <c r="T840" s="278"/>
    </row>
    <row r="841" spans="1:20" s="305" customFormat="1" hidden="1" outlineLevel="2" x14ac:dyDescent="0.25">
      <c r="A841" s="278"/>
      <c r="B841" s="279" t="str">
        <f t="shared" si="266"/>
        <v>trim68x12mmpine</v>
      </c>
      <c r="C841" s="278" t="s">
        <v>2047</v>
      </c>
      <c r="D841" s="278" t="s">
        <v>2043</v>
      </c>
      <c r="E841" s="278" t="s">
        <v>569</v>
      </c>
      <c r="F841" s="278"/>
      <c r="G841" s="278" t="s">
        <v>15</v>
      </c>
      <c r="H841" s="310">
        <v>0.1</v>
      </c>
      <c r="I841" s="280">
        <f t="shared" si="267"/>
        <v>8.0620000000000012</v>
      </c>
      <c r="J841" s="281">
        <f t="shared" si="268"/>
        <v>9.1430000000000007</v>
      </c>
      <c r="K841" s="282">
        <f>IF(Notes!$B$9="Domestic",I841, IF(Notes!$B$9="Commercial",J841))*$K$819</f>
        <v>9.1430000000000007</v>
      </c>
      <c r="L841" s="283">
        <f>(SUM(O841:Q841)+(K841+SUM(M841:Q841))*(INDEX($U$819:$AB$819,MATCH(Notes!$C$16,$U$3:$AB$3,0))-100%))*$L$819</f>
        <v>4.74</v>
      </c>
      <c r="M841" s="286"/>
      <c r="N841" s="286"/>
      <c r="O841" s="285">
        <v>4.74</v>
      </c>
      <c r="P841" s="285"/>
      <c r="Q841" s="285"/>
      <c r="R841" s="278"/>
      <c r="S841" s="278"/>
      <c r="T841" s="278"/>
    </row>
    <row r="842" spans="1:20" s="305" customFormat="1" hidden="1" outlineLevel="2" x14ac:dyDescent="0.25">
      <c r="A842" s="278"/>
      <c r="B842" s="279" t="str">
        <f t="shared" si="266"/>
        <v>trim68x18mmpine</v>
      </c>
      <c r="C842" s="278" t="s">
        <v>2047</v>
      </c>
      <c r="D842" s="278" t="s">
        <v>2044</v>
      </c>
      <c r="E842" s="278" t="s">
        <v>569</v>
      </c>
      <c r="F842" s="278"/>
      <c r="G842" s="278" t="s">
        <v>15</v>
      </c>
      <c r="H842" s="310">
        <v>0.1</v>
      </c>
      <c r="I842" s="280">
        <f t="shared" si="267"/>
        <v>8.0620000000000012</v>
      </c>
      <c r="J842" s="281">
        <f t="shared" si="268"/>
        <v>9.1430000000000007</v>
      </c>
      <c r="K842" s="282">
        <f>IF(Notes!$B$9="Domestic",I842, IF(Notes!$B$9="Commercial",J842))*$K$819</f>
        <v>9.1430000000000007</v>
      </c>
      <c r="L842" s="283">
        <f>(SUM(O842:Q842)+(K842+SUM(M842:Q842))*(INDEX($U$819:$AB$819,MATCH(Notes!$C$16,$U$3:$AB$3,0))-100%))*$L$819</f>
        <v>5.67</v>
      </c>
      <c r="M842" s="286"/>
      <c r="N842" s="286"/>
      <c r="O842" s="285">
        <v>5.67</v>
      </c>
      <c r="P842" s="285"/>
      <c r="Q842" s="285"/>
      <c r="R842" s="278"/>
      <c r="S842" s="278"/>
      <c r="T842" s="278"/>
    </row>
    <row r="843" spans="1:20" s="305" customFormat="1" hidden="1" outlineLevel="2" x14ac:dyDescent="0.25">
      <c r="A843" s="278"/>
      <c r="B843" s="279" t="str">
        <f t="shared" ref="B843" si="275">C843&amp;D843&amp;E843&amp;F843</f>
        <v>trim92x12mmpine</v>
      </c>
      <c r="C843" s="278" t="s">
        <v>2047</v>
      </c>
      <c r="D843" s="278" t="s">
        <v>2147</v>
      </c>
      <c r="E843" s="278" t="s">
        <v>569</v>
      </c>
      <c r="F843" s="278"/>
      <c r="G843" s="278" t="s">
        <v>15</v>
      </c>
      <c r="H843" s="310">
        <v>0.1</v>
      </c>
      <c r="I843" s="280">
        <f t="shared" ref="I843" si="276">$I$2*H843</f>
        <v>8.0620000000000012</v>
      </c>
      <c r="J843" s="281">
        <f t="shared" ref="J843" si="277">$J$2*H843</f>
        <v>9.1430000000000007</v>
      </c>
      <c r="K843" s="282">
        <f>IF(Notes!$B$9="Domestic",I843, IF(Notes!$B$9="Commercial",J843))*$K$819</f>
        <v>9.1430000000000007</v>
      </c>
      <c r="L843" s="283">
        <f>(SUM(O843:Q843)+(K843+SUM(M843:Q843))*(INDEX($U$819:$AB$819,MATCH(Notes!$C$16,$U$3:$AB$3,0))-100%))*$L$819</f>
        <v>7.1629999999999994</v>
      </c>
      <c r="M843" s="286"/>
      <c r="N843" s="286"/>
      <c r="O843" s="311">
        <f>O844*0.95</f>
        <v>7.1629999999999994</v>
      </c>
      <c r="P843" s="285"/>
      <c r="Q843" s="285"/>
      <c r="R843" s="278"/>
      <c r="S843" s="278"/>
      <c r="T843" s="278"/>
    </row>
    <row r="844" spans="1:20" s="305" customFormat="1" hidden="1" outlineLevel="2" x14ac:dyDescent="0.25">
      <c r="A844" s="278"/>
      <c r="B844" s="279" t="str">
        <f t="shared" si="266"/>
        <v>trim92x18mmpine</v>
      </c>
      <c r="C844" s="278" t="s">
        <v>2047</v>
      </c>
      <c r="D844" s="278" t="s">
        <v>2041</v>
      </c>
      <c r="E844" s="278" t="s">
        <v>569</v>
      </c>
      <c r="F844" s="278"/>
      <c r="G844" s="278" t="s">
        <v>15</v>
      </c>
      <c r="H844" s="310">
        <v>0.1</v>
      </c>
      <c r="I844" s="280">
        <f t="shared" si="267"/>
        <v>8.0620000000000012</v>
      </c>
      <c r="J844" s="281">
        <f t="shared" si="268"/>
        <v>9.1430000000000007</v>
      </c>
      <c r="K844" s="282">
        <f>IF(Notes!$B$9="Domestic",I844, IF(Notes!$B$9="Commercial",J844))*$K$819</f>
        <v>9.1430000000000007</v>
      </c>
      <c r="L844" s="283">
        <f>(SUM(O844:Q844)+(K844+SUM(M844:Q844))*(INDEX($U$819:$AB$819,MATCH(Notes!$C$16,$U$3:$AB$3,0))-100%))*$L$819</f>
        <v>7.54</v>
      </c>
      <c r="M844" s="286"/>
      <c r="N844" s="286"/>
      <c r="O844" s="285">
        <v>7.54</v>
      </c>
      <c r="P844" s="285"/>
      <c r="Q844" s="285"/>
      <c r="R844" s="278"/>
      <c r="S844" s="278"/>
      <c r="T844" s="278"/>
    </row>
    <row r="845" spans="1:20" s="305" customFormat="1" hidden="1" outlineLevel="2" x14ac:dyDescent="0.25">
      <c r="A845" s="278"/>
      <c r="B845" s="279" t="str">
        <f t="shared" ref="B845:B858" si="278">C845&amp;D845&amp;E845&amp;F845</f>
        <v>trim140x18mmpine</v>
      </c>
      <c r="C845" s="278" t="s">
        <v>2047</v>
      </c>
      <c r="D845" s="278" t="s">
        <v>2042</v>
      </c>
      <c r="E845" s="278" t="s">
        <v>569</v>
      </c>
      <c r="F845" s="278"/>
      <c r="G845" s="278" t="s">
        <v>15</v>
      </c>
      <c r="H845" s="310">
        <v>0.1</v>
      </c>
      <c r="I845" s="280">
        <f t="shared" ref="I845:I858" si="279">$I$2*H845</f>
        <v>8.0620000000000012</v>
      </c>
      <c r="J845" s="281">
        <f t="shared" ref="J845:J858" si="280">$J$2*H845</f>
        <v>9.1430000000000007</v>
      </c>
      <c r="K845" s="282">
        <f>IF(Notes!$B$9="Domestic",I845, IF(Notes!$B$9="Commercial",J845))*$K$819</f>
        <v>9.1430000000000007</v>
      </c>
      <c r="L845" s="283">
        <f>(SUM(O845:Q845)+(K845+SUM(M845:Q845))*(INDEX($U$819:$AB$819,MATCH(Notes!$C$16,$U$3:$AB$3,0))-100%))*$L$819</f>
        <v>11.12</v>
      </c>
      <c r="M845" s="286"/>
      <c r="N845" s="286"/>
      <c r="O845" s="285">
        <v>11.12</v>
      </c>
      <c r="P845" s="285"/>
      <c r="Q845" s="285"/>
      <c r="R845" s="278"/>
      <c r="S845" s="278"/>
      <c r="T845" s="278"/>
    </row>
    <row r="846" spans="1:20" s="305" customFormat="1" hidden="1" outlineLevel="2" x14ac:dyDescent="0.25">
      <c r="A846" s="278"/>
      <c r="B846" s="279" t="str">
        <f t="shared" si="278"/>
        <v>trim18x12mmHWD</v>
      </c>
      <c r="C846" s="278" t="s">
        <v>2047</v>
      </c>
      <c r="D846" s="278" t="s">
        <v>2051</v>
      </c>
      <c r="E846" s="278" t="s">
        <v>507</v>
      </c>
      <c r="F846" s="278"/>
      <c r="G846" s="278" t="s">
        <v>15</v>
      </c>
      <c r="H846" s="310">
        <v>0.04</v>
      </c>
      <c r="I846" s="280">
        <f t="shared" si="279"/>
        <v>3.2248000000000001</v>
      </c>
      <c r="J846" s="281">
        <f t="shared" si="280"/>
        <v>3.6572000000000005</v>
      </c>
      <c r="K846" s="282">
        <f>IF(Notes!$B$9="Domestic",I846, IF(Notes!$B$9="Commercial",J846))*$K$819</f>
        <v>3.6572000000000005</v>
      </c>
      <c r="L846" s="283">
        <f>(SUM(O846:Q846)+(K846+SUM(M846:Q846))*(INDEX($U$819:$AB$819,MATCH(Notes!$C$16,$U$3:$AB$3,0))-100%))*$L$819</f>
        <v>5.27</v>
      </c>
      <c r="M846" s="286"/>
      <c r="N846" s="286"/>
      <c r="O846" s="285">
        <v>5.27</v>
      </c>
      <c r="P846" s="285"/>
      <c r="Q846" s="285"/>
      <c r="R846" s="278"/>
      <c r="S846" s="278"/>
      <c r="T846" s="278"/>
    </row>
    <row r="847" spans="1:20" s="305" customFormat="1" hidden="1" outlineLevel="2" x14ac:dyDescent="0.25">
      <c r="A847" s="278"/>
      <c r="B847" s="279" t="str">
        <f t="shared" si="278"/>
        <v>trim18x18mmHWD</v>
      </c>
      <c r="C847" s="278" t="s">
        <v>2047</v>
      </c>
      <c r="D847" s="278" t="s">
        <v>2049</v>
      </c>
      <c r="E847" s="278" t="s">
        <v>507</v>
      </c>
      <c r="F847" s="278"/>
      <c r="G847" s="278" t="s">
        <v>15</v>
      </c>
      <c r="H847" s="310">
        <v>0.04</v>
      </c>
      <c r="I847" s="280">
        <f t="shared" si="279"/>
        <v>3.2248000000000001</v>
      </c>
      <c r="J847" s="281">
        <f t="shared" si="280"/>
        <v>3.6572000000000005</v>
      </c>
      <c r="K847" s="282">
        <f>IF(Notes!$B$9="Domestic",I847, IF(Notes!$B$9="Commercial",J847))*$K$819</f>
        <v>3.6572000000000005</v>
      </c>
      <c r="L847" s="283">
        <f>(SUM(O847:Q847)+(K847+SUM(M847:Q847))*(INDEX($U$819:$AB$819,MATCH(Notes!$C$16,$U$3:$AB$3,0))-100%))*$L$819</f>
        <v>5.85</v>
      </c>
      <c r="M847" s="286"/>
      <c r="N847" s="286"/>
      <c r="O847" s="285">
        <v>5.85</v>
      </c>
      <c r="P847" s="285"/>
      <c r="Q847" s="285"/>
      <c r="R847" s="278"/>
      <c r="S847" s="278"/>
      <c r="T847" s="278"/>
    </row>
    <row r="848" spans="1:20" s="305" customFormat="1" hidden="1" outlineLevel="2" x14ac:dyDescent="0.25">
      <c r="A848" s="278"/>
      <c r="B848" s="279" t="str">
        <f t="shared" ref="B848" si="281">C848&amp;D848&amp;E848&amp;F848</f>
        <v>trim23x23mmHWD</v>
      </c>
      <c r="C848" s="278" t="s">
        <v>2047</v>
      </c>
      <c r="D848" s="278" t="s">
        <v>2050</v>
      </c>
      <c r="E848" s="278" t="s">
        <v>507</v>
      </c>
      <c r="F848" s="278"/>
      <c r="G848" s="278" t="s">
        <v>15</v>
      </c>
      <c r="H848" s="310">
        <v>0.06</v>
      </c>
      <c r="I848" s="280">
        <f t="shared" ref="I848" si="282">$I$2*H848</f>
        <v>4.8372000000000002</v>
      </c>
      <c r="J848" s="281">
        <f t="shared" ref="J848" si="283">$J$2*H848</f>
        <v>5.4858000000000002</v>
      </c>
      <c r="K848" s="282">
        <f>IF(Notes!$B$9="Domestic",I848, IF(Notes!$B$9="Commercial",J848))*$K$819</f>
        <v>5.4858000000000002</v>
      </c>
      <c r="L848" s="283">
        <f>(SUM(O848:Q848)+(K848+SUM(M848:Q848))*(INDEX($U$819:$AB$819,MATCH(Notes!$C$16,$U$3:$AB$3,0))-100%))*$L$819</f>
        <v>6.53</v>
      </c>
      <c r="M848" s="286"/>
      <c r="N848" s="286"/>
      <c r="O848" s="285">
        <v>6.53</v>
      </c>
      <c r="P848" s="285"/>
      <c r="Q848" s="285"/>
      <c r="R848" s="278"/>
      <c r="S848" s="278"/>
      <c r="T848" s="278"/>
    </row>
    <row r="849" spans="1:28" s="305" customFormat="1" hidden="1" outlineLevel="2" x14ac:dyDescent="0.25">
      <c r="A849" s="278"/>
      <c r="B849" s="279" t="str">
        <f t="shared" si="278"/>
        <v>trim31x12mmHWD</v>
      </c>
      <c r="C849" s="278" t="s">
        <v>2047</v>
      </c>
      <c r="D849" s="278" t="s">
        <v>2052</v>
      </c>
      <c r="E849" s="278" t="s">
        <v>507</v>
      </c>
      <c r="F849" s="278"/>
      <c r="G849" s="278" t="s">
        <v>15</v>
      </c>
      <c r="H849" s="310">
        <v>0.06</v>
      </c>
      <c r="I849" s="280">
        <f t="shared" si="279"/>
        <v>4.8372000000000002</v>
      </c>
      <c r="J849" s="281">
        <f t="shared" si="280"/>
        <v>5.4858000000000002</v>
      </c>
      <c r="K849" s="282">
        <f>IF(Notes!$B$9="Domestic",I849, IF(Notes!$B$9="Commercial",J849))*$K$819</f>
        <v>5.4858000000000002</v>
      </c>
      <c r="L849" s="283">
        <f>(SUM(O849:Q849)+(K849+SUM(M849:Q849))*(INDEX($U$819:$AB$819,MATCH(Notes!$C$16,$U$3:$AB$3,0))-100%))*$L$819</f>
        <v>7</v>
      </c>
      <c r="M849" s="286"/>
      <c r="N849" s="286"/>
      <c r="O849" s="285">
        <v>7</v>
      </c>
      <c r="P849" s="285"/>
      <c r="Q849" s="285"/>
      <c r="R849" s="278"/>
      <c r="S849" s="278"/>
      <c r="T849" s="278"/>
    </row>
    <row r="850" spans="1:28" s="305" customFormat="1" hidden="1" outlineLevel="2" x14ac:dyDescent="0.25">
      <c r="A850" s="278"/>
      <c r="B850" s="279" t="str">
        <f t="shared" si="278"/>
        <v>trim31x18mmHWD</v>
      </c>
      <c r="C850" s="278" t="s">
        <v>2047</v>
      </c>
      <c r="D850" s="278" t="s">
        <v>2053</v>
      </c>
      <c r="E850" s="278" t="s">
        <v>507</v>
      </c>
      <c r="F850" s="278"/>
      <c r="G850" s="278" t="s">
        <v>15</v>
      </c>
      <c r="H850" s="310">
        <v>0.06</v>
      </c>
      <c r="I850" s="280">
        <f t="shared" si="279"/>
        <v>4.8372000000000002</v>
      </c>
      <c r="J850" s="281">
        <f t="shared" si="280"/>
        <v>5.4858000000000002</v>
      </c>
      <c r="K850" s="282">
        <f>IF(Notes!$B$9="Domestic",I850, IF(Notes!$B$9="Commercial",J850))*$K$819</f>
        <v>5.4858000000000002</v>
      </c>
      <c r="L850" s="283">
        <f>(SUM(O850:Q850)+(K850+SUM(M850:Q850))*(INDEX($U$819:$AB$819,MATCH(Notes!$C$16,$U$3:$AB$3,0))-100%))*$L$819</f>
        <v>10.06</v>
      </c>
      <c r="M850" s="286"/>
      <c r="N850" s="286"/>
      <c r="O850" s="285">
        <v>10.06</v>
      </c>
      <c r="P850" s="285"/>
      <c r="Q850" s="285"/>
      <c r="R850" s="278"/>
      <c r="S850" s="278"/>
      <c r="T850" s="278"/>
    </row>
    <row r="851" spans="1:28" s="305" customFormat="1" hidden="1" outlineLevel="2" x14ac:dyDescent="0.25">
      <c r="A851" s="278"/>
      <c r="B851" s="279" t="str">
        <f t="shared" ref="B851" si="284">C851&amp;D851&amp;E851&amp;F851</f>
        <v>trim31x31mmHWD</v>
      </c>
      <c r="C851" s="278" t="s">
        <v>2047</v>
      </c>
      <c r="D851" s="278" t="s">
        <v>2054</v>
      </c>
      <c r="E851" s="278" t="s">
        <v>507</v>
      </c>
      <c r="F851" s="278"/>
      <c r="G851" s="278" t="s">
        <v>15</v>
      </c>
      <c r="H851" s="310">
        <v>0.1</v>
      </c>
      <c r="I851" s="280">
        <f t="shared" ref="I851" si="285">$I$2*H851</f>
        <v>8.0620000000000012</v>
      </c>
      <c r="J851" s="281">
        <f t="shared" ref="J851" si="286">$J$2*H851</f>
        <v>9.1430000000000007</v>
      </c>
      <c r="K851" s="282">
        <f>IF(Notes!$B$9="Domestic",I851, IF(Notes!$B$9="Commercial",J851))*$K$819</f>
        <v>9.1430000000000007</v>
      </c>
      <c r="L851" s="283">
        <f>(SUM(O851:Q851)+(K851+SUM(M851:Q851))*(INDEX($U$819:$AB$819,MATCH(Notes!$C$16,$U$3:$AB$3,0))-100%))*$L$819</f>
        <v>11.98</v>
      </c>
      <c r="M851" s="286"/>
      <c r="N851" s="286"/>
      <c r="O851" s="285">
        <v>11.98</v>
      </c>
      <c r="P851" s="285"/>
      <c r="Q851" s="285"/>
      <c r="R851" s="278"/>
      <c r="S851" s="278"/>
      <c r="T851" s="278"/>
    </row>
    <row r="852" spans="1:28" s="305" customFormat="1" hidden="1" outlineLevel="2" x14ac:dyDescent="0.25">
      <c r="A852" s="278"/>
      <c r="B852" s="279" t="str">
        <f t="shared" si="278"/>
        <v>trim42x12mmHWD</v>
      </c>
      <c r="C852" s="278" t="s">
        <v>2047</v>
      </c>
      <c r="D852" s="278" t="s">
        <v>2039</v>
      </c>
      <c r="E852" s="278" t="s">
        <v>507</v>
      </c>
      <c r="F852" s="278"/>
      <c r="G852" s="278" t="s">
        <v>15</v>
      </c>
      <c r="H852" s="310">
        <v>0.1</v>
      </c>
      <c r="I852" s="280">
        <f t="shared" si="279"/>
        <v>8.0620000000000012</v>
      </c>
      <c r="J852" s="281">
        <f t="shared" si="280"/>
        <v>9.1430000000000007</v>
      </c>
      <c r="K852" s="282">
        <f>IF(Notes!$B$9="Domestic",I852, IF(Notes!$B$9="Commercial",J852))*$K$819</f>
        <v>9.1430000000000007</v>
      </c>
      <c r="L852" s="283">
        <f>(SUM(O852:Q852)+(K852+SUM(M852:Q852))*(INDEX($U$819:$AB$819,MATCH(Notes!$C$16,$U$3:$AB$3,0))-100%))*$L$819</f>
        <v>10.06</v>
      </c>
      <c r="M852" s="286"/>
      <c r="N852" s="286"/>
      <c r="O852" s="285">
        <v>10.06</v>
      </c>
      <c r="P852" s="285"/>
      <c r="Q852" s="285"/>
      <c r="R852" s="278"/>
      <c r="S852" s="278"/>
      <c r="T852" s="278"/>
    </row>
    <row r="853" spans="1:28" s="305" customFormat="1" hidden="1" outlineLevel="2" x14ac:dyDescent="0.25">
      <c r="A853" s="278"/>
      <c r="B853" s="279" t="str">
        <f t="shared" si="278"/>
        <v>trim42x18mmHWD</v>
      </c>
      <c r="C853" s="278" t="s">
        <v>2047</v>
      </c>
      <c r="D853" s="278" t="s">
        <v>2040</v>
      </c>
      <c r="E853" s="278" t="s">
        <v>507</v>
      </c>
      <c r="F853" s="278"/>
      <c r="G853" s="278" t="s">
        <v>15</v>
      </c>
      <c r="H853" s="310">
        <v>0.1</v>
      </c>
      <c r="I853" s="280">
        <f t="shared" si="279"/>
        <v>8.0620000000000012</v>
      </c>
      <c r="J853" s="281">
        <f t="shared" si="280"/>
        <v>9.1430000000000007</v>
      </c>
      <c r="K853" s="282">
        <f>IF(Notes!$B$9="Domestic",I853, IF(Notes!$B$9="Commercial",J853))*$K$819</f>
        <v>9.1430000000000007</v>
      </c>
      <c r="L853" s="283">
        <f>(SUM(O853:Q853)+(K853+SUM(M853:Q853))*(INDEX($U$819:$AB$819,MATCH(Notes!$C$16,$U$3:$AB$3,0))-100%))*$L$819</f>
        <v>11.73</v>
      </c>
      <c r="M853" s="286"/>
      <c r="N853" s="286"/>
      <c r="O853" s="285">
        <v>11.73</v>
      </c>
      <c r="P853" s="285"/>
      <c r="Q853" s="285"/>
      <c r="R853" s="278"/>
      <c r="S853" s="278"/>
      <c r="T853" s="278"/>
    </row>
    <row r="854" spans="1:28" s="305" customFormat="1" hidden="1" outlineLevel="2" x14ac:dyDescent="0.25">
      <c r="A854" s="278"/>
      <c r="B854" s="279" t="str">
        <f t="shared" si="278"/>
        <v>trim68x12mmHWD</v>
      </c>
      <c r="C854" s="278" t="s">
        <v>2047</v>
      </c>
      <c r="D854" s="278" t="s">
        <v>2043</v>
      </c>
      <c r="E854" s="278" t="s">
        <v>507</v>
      </c>
      <c r="F854" s="278"/>
      <c r="G854" s="278" t="s">
        <v>15</v>
      </c>
      <c r="H854" s="310">
        <v>0.1</v>
      </c>
      <c r="I854" s="280">
        <f t="shared" si="279"/>
        <v>8.0620000000000012</v>
      </c>
      <c r="J854" s="281">
        <f t="shared" si="280"/>
        <v>9.1430000000000007</v>
      </c>
      <c r="K854" s="282">
        <f>IF(Notes!$B$9="Domestic",I854, IF(Notes!$B$9="Commercial",J854))*$K$819</f>
        <v>9.1430000000000007</v>
      </c>
      <c r="L854" s="283">
        <f>(SUM(O854:Q854)+(K854+SUM(M854:Q854))*(INDEX($U$819:$AB$819,MATCH(Notes!$C$16,$U$3:$AB$3,0))-100%))*$L$819</f>
        <v>10.86</v>
      </c>
      <c r="M854" s="286"/>
      <c r="N854" s="286"/>
      <c r="O854" s="285">
        <v>10.86</v>
      </c>
      <c r="P854" s="285"/>
      <c r="Q854" s="285"/>
      <c r="R854" s="278"/>
      <c r="S854" s="278"/>
      <c r="T854" s="278"/>
    </row>
    <row r="855" spans="1:28" s="305" customFormat="1" hidden="1" outlineLevel="2" x14ac:dyDescent="0.25">
      <c r="A855" s="278"/>
      <c r="B855" s="279" t="str">
        <f t="shared" si="278"/>
        <v>trim68x18mmHWD</v>
      </c>
      <c r="C855" s="278" t="s">
        <v>2047</v>
      </c>
      <c r="D855" s="278" t="s">
        <v>2044</v>
      </c>
      <c r="E855" s="278" t="s">
        <v>507</v>
      </c>
      <c r="F855" s="278"/>
      <c r="G855" s="278" t="s">
        <v>15</v>
      </c>
      <c r="H855" s="310">
        <v>0.1</v>
      </c>
      <c r="I855" s="280">
        <f t="shared" si="279"/>
        <v>8.0620000000000012</v>
      </c>
      <c r="J855" s="281">
        <f t="shared" si="280"/>
        <v>9.1430000000000007</v>
      </c>
      <c r="K855" s="282">
        <f>IF(Notes!$B$9="Domestic",I855, IF(Notes!$B$9="Commercial",J855))*$K$819</f>
        <v>9.1430000000000007</v>
      </c>
      <c r="L855" s="283">
        <f>(SUM(O855:Q855)+(K855+SUM(M855:Q855))*(INDEX($U$819:$AB$819,MATCH(Notes!$C$16,$U$3:$AB$3,0))-100%))*$L$819</f>
        <v>12.03</v>
      </c>
      <c r="M855" s="286"/>
      <c r="N855" s="286"/>
      <c r="O855" s="285">
        <v>12.03</v>
      </c>
      <c r="P855" s="285"/>
      <c r="Q855" s="285"/>
      <c r="R855" s="278"/>
      <c r="S855" s="278"/>
      <c r="T855" s="278"/>
    </row>
    <row r="856" spans="1:28" s="305" customFormat="1" hidden="1" outlineLevel="2" x14ac:dyDescent="0.25">
      <c r="A856" s="278"/>
      <c r="B856" s="279" t="str">
        <f t="shared" ref="B856" si="287">C856&amp;D856&amp;E856&amp;F856</f>
        <v>trim92x12mmHWD</v>
      </c>
      <c r="C856" s="278" t="s">
        <v>2047</v>
      </c>
      <c r="D856" s="278" t="s">
        <v>2147</v>
      </c>
      <c r="E856" s="278" t="s">
        <v>507</v>
      </c>
      <c r="F856" s="278"/>
      <c r="G856" s="278" t="s">
        <v>15</v>
      </c>
      <c r="H856" s="310">
        <v>0.1</v>
      </c>
      <c r="I856" s="280">
        <f t="shared" ref="I856" si="288">$I$2*H856</f>
        <v>8.0620000000000012</v>
      </c>
      <c r="J856" s="281">
        <f t="shared" ref="J856" si="289">$J$2*H856</f>
        <v>9.1430000000000007</v>
      </c>
      <c r="K856" s="282">
        <f>IF(Notes!$B$9="Domestic",I856, IF(Notes!$B$9="Commercial",J856))*$K$819</f>
        <v>9.1430000000000007</v>
      </c>
      <c r="L856" s="283">
        <f>(SUM(O856:Q856)+(K856+SUM(M856:Q856))*(INDEX($U$819:$AB$819,MATCH(Notes!$C$16,$U$3:$AB$3,0))-100%))*$L$819</f>
        <v>12.711</v>
      </c>
      <c r="M856" s="286"/>
      <c r="N856" s="286"/>
      <c r="O856" s="311">
        <f>O857*0.95</f>
        <v>12.711</v>
      </c>
      <c r="P856" s="285"/>
      <c r="Q856" s="285"/>
      <c r="R856" s="278"/>
      <c r="S856" s="278"/>
      <c r="T856" s="278"/>
    </row>
    <row r="857" spans="1:28" s="305" customFormat="1" hidden="1" outlineLevel="2" x14ac:dyDescent="0.25">
      <c r="A857" s="278"/>
      <c r="B857" s="279" t="str">
        <f t="shared" si="278"/>
        <v>trim92x18mmHWD</v>
      </c>
      <c r="C857" s="278" t="s">
        <v>2047</v>
      </c>
      <c r="D857" s="278" t="s">
        <v>2041</v>
      </c>
      <c r="E857" s="278" t="s">
        <v>507</v>
      </c>
      <c r="F857" s="278"/>
      <c r="G857" s="278" t="s">
        <v>15</v>
      </c>
      <c r="H857" s="310">
        <v>0.1</v>
      </c>
      <c r="I857" s="280">
        <f t="shared" si="279"/>
        <v>8.0620000000000012</v>
      </c>
      <c r="J857" s="281">
        <f t="shared" si="280"/>
        <v>9.1430000000000007</v>
      </c>
      <c r="K857" s="282">
        <f>IF(Notes!$B$9="Domestic",I857, IF(Notes!$B$9="Commercial",J857))*$K$819</f>
        <v>9.1430000000000007</v>
      </c>
      <c r="L857" s="283">
        <f>(SUM(O857:Q857)+(K857+SUM(M857:Q857))*(INDEX($U$819:$AB$819,MATCH(Notes!$C$16,$U$3:$AB$3,0))-100%))*$L$819</f>
        <v>13.38</v>
      </c>
      <c r="M857" s="286"/>
      <c r="N857" s="286"/>
      <c r="O857" s="285">
        <v>13.38</v>
      </c>
      <c r="P857" s="285"/>
      <c r="Q857" s="285"/>
      <c r="R857" s="278"/>
      <c r="S857" s="278"/>
      <c r="T857" s="278"/>
    </row>
    <row r="858" spans="1:28" s="305" customFormat="1" hidden="1" outlineLevel="2" x14ac:dyDescent="0.25">
      <c r="A858" s="278"/>
      <c r="B858" s="279" t="str">
        <f t="shared" si="278"/>
        <v>trim140x18mmHWD</v>
      </c>
      <c r="C858" s="278" t="s">
        <v>2047</v>
      </c>
      <c r="D858" s="278" t="s">
        <v>2042</v>
      </c>
      <c r="E858" s="278" t="s">
        <v>507</v>
      </c>
      <c r="F858" s="278"/>
      <c r="G858" s="278" t="s">
        <v>15</v>
      </c>
      <c r="H858" s="310">
        <v>0.1</v>
      </c>
      <c r="I858" s="280">
        <f t="shared" si="279"/>
        <v>8.0620000000000012</v>
      </c>
      <c r="J858" s="281">
        <f t="shared" si="280"/>
        <v>9.1430000000000007</v>
      </c>
      <c r="K858" s="282">
        <f>IF(Notes!$B$9="Domestic",I858, IF(Notes!$B$9="Commercial",J858))*$K$819</f>
        <v>9.1430000000000007</v>
      </c>
      <c r="L858" s="283">
        <f>(SUM(O858:Q858)+(K858+SUM(M858:Q858))*(INDEX($U$819:$AB$819,MATCH(Notes!$C$16,$U$3:$AB$3,0))-100%))*$L$819</f>
        <v>23.03</v>
      </c>
      <c r="M858" s="286"/>
      <c r="N858" s="286"/>
      <c r="O858" s="285">
        <v>23.03</v>
      </c>
      <c r="P858" s="285"/>
      <c r="Q858" s="285"/>
      <c r="R858" s="278"/>
      <c r="S858" s="278"/>
      <c r="T858" s="278"/>
    </row>
    <row r="859" spans="1:28" ht="21" hidden="1" outlineLevel="1" collapsed="1" x14ac:dyDescent="0.25">
      <c r="A859" s="299" t="s">
        <v>2062</v>
      </c>
      <c r="B859" s="299"/>
      <c r="C859" s="299"/>
      <c r="D859" s="299"/>
      <c r="E859" s="299"/>
      <c r="F859" s="299"/>
      <c r="G859" s="299"/>
      <c r="H859" s="348"/>
      <c r="I859" s="299"/>
      <c r="J859" s="299"/>
      <c r="K859" s="299"/>
      <c r="L859" s="299"/>
      <c r="M859" s="299"/>
      <c r="N859" s="299"/>
      <c r="O859" s="299"/>
      <c r="P859" s="299"/>
      <c r="Q859" s="299"/>
      <c r="R859" s="299"/>
      <c r="S859" s="299"/>
      <c r="T859" s="299"/>
      <c r="U859" s="299"/>
      <c r="V859" s="299"/>
      <c r="W859" s="299"/>
      <c r="X859" s="299"/>
      <c r="Y859" s="299"/>
      <c r="Z859" s="299"/>
      <c r="AA859" s="299"/>
      <c r="AB859" s="299"/>
    </row>
    <row r="860" spans="1:28" ht="15.75" hidden="1" outlineLevel="1" x14ac:dyDescent="0.25">
      <c r="A860" s="291"/>
      <c r="B860" s="291"/>
      <c r="C860" s="291"/>
      <c r="D860" s="291"/>
      <c r="E860" s="291"/>
      <c r="F860" s="291"/>
      <c r="G860" s="291"/>
      <c r="H860" s="325"/>
      <c r="I860" s="291"/>
      <c r="J860" s="291"/>
      <c r="K860" s="291">
        <f>K$2</f>
        <v>1</v>
      </c>
      <c r="L860" s="291">
        <f>L$2</f>
        <v>1</v>
      </c>
      <c r="M860" s="291"/>
      <c r="N860" s="291"/>
      <c r="O860" s="303"/>
      <c r="P860" s="303"/>
      <c r="Q860" s="303"/>
      <c r="R860" s="291"/>
      <c r="S860" s="291"/>
      <c r="T860" s="291"/>
      <c r="U860" s="381">
        <f>U$796</f>
        <v>1.0445544554455446</v>
      </c>
      <c r="V860" s="381">
        <f t="shared" ref="V860:AB860" si="290">V$796</f>
        <v>1</v>
      </c>
      <c r="W860" s="381">
        <f t="shared" si="290"/>
        <v>0.89603960396039617</v>
      </c>
      <c r="X860" s="381">
        <f t="shared" si="290"/>
        <v>1.0445544554455446</v>
      </c>
      <c r="Y860" s="381">
        <f t="shared" si="290"/>
        <v>1.1584158415841583</v>
      </c>
      <c r="Z860" s="381">
        <f t="shared" si="290"/>
        <v>0.94059405940594065</v>
      </c>
      <c r="AA860" s="381">
        <f t="shared" si="290"/>
        <v>0.95049504950495045</v>
      </c>
      <c r="AB860" s="381">
        <f t="shared" si="290"/>
        <v>1.0544554455445545</v>
      </c>
    </row>
    <row r="861" spans="1:28" s="305" customFormat="1" hidden="1" outlineLevel="2" x14ac:dyDescent="0.25">
      <c r="A861" s="278"/>
      <c r="B861" s="279" t="str">
        <f>C861&amp;D861&amp;E861&amp;F861</f>
        <v>pelmet90mmMDF</v>
      </c>
      <c r="C861" s="278" t="s">
        <v>2063</v>
      </c>
      <c r="D861" s="278" t="s">
        <v>2064</v>
      </c>
      <c r="E861" s="278" t="s">
        <v>723</v>
      </c>
      <c r="F861" s="278"/>
      <c r="G861" s="278" t="s">
        <v>15</v>
      </c>
      <c r="H861" s="310">
        <v>0.14000000000000001</v>
      </c>
      <c r="I861" s="280">
        <f>$I$2*H861</f>
        <v>11.286800000000001</v>
      </c>
      <c r="J861" s="281">
        <f>$J$2*H861</f>
        <v>12.800200000000002</v>
      </c>
      <c r="K861" s="282">
        <f>IF(Notes!$B$9="Domestic",I861, IF(Notes!$B$9="Commercial",J861))*$K$860</f>
        <v>12.800200000000002</v>
      </c>
      <c r="L861" s="283">
        <f>(SUM(O861:Q861)+(K861+SUM(M861:Q861))*(INDEX($U$860:$AB$860,MATCH(Notes!$C$16,$U$3:$AB$3,0))-100%))*$L$860</f>
        <v>6.87</v>
      </c>
      <c r="M861" s="286"/>
      <c r="N861" s="286"/>
      <c r="O861" s="285">
        <v>6.87</v>
      </c>
      <c r="P861" s="285"/>
      <c r="Q861" s="285"/>
      <c r="R861" s="278"/>
      <c r="S861" s="278"/>
      <c r="T861" s="278"/>
    </row>
    <row r="862" spans="1:28" s="305" customFormat="1" hidden="1" outlineLevel="2" x14ac:dyDescent="0.25">
      <c r="A862" s="278"/>
      <c r="B862" s="279" t="str">
        <f t="shared" ref="B862:B869" si="291">C862&amp;D862&amp;E862&amp;F862</f>
        <v>pelmet140mmMDF</v>
      </c>
      <c r="C862" s="278" t="s">
        <v>2063</v>
      </c>
      <c r="D862" s="278" t="s">
        <v>2065</v>
      </c>
      <c r="E862" s="278" t="s">
        <v>723</v>
      </c>
      <c r="F862" s="278"/>
      <c r="G862" s="278" t="s">
        <v>15</v>
      </c>
      <c r="H862" s="310">
        <v>0.16</v>
      </c>
      <c r="I862" s="280">
        <f t="shared" ref="I862:I864" si="292">$I$2*H862</f>
        <v>12.8992</v>
      </c>
      <c r="J862" s="281">
        <f t="shared" ref="J862:J869" si="293">$J$2*H862</f>
        <v>14.628800000000002</v>
      </c>
      <c r="K862" s="282">
        <f>IF(Notes!$B$9="Domestic",I862, IF(Notes!$B$9="Commercial",J862))*$K$860</f>
        <v>14.628800000000002</v>
      </c>
      <c r="L862" s="283">
        <f>(SUM(O862:Q862)+(K862+SUM(M862:Q862))*(INDEX($U$860:$AB$860,MATCH(Notes!$C$16,$U$3:$AB$3,0))-100%))*$L$860</f>
        <v>10.76</v>
      </c>
      <c r="M862" s="286"/>
      <c r="N862" s="286"/>
      <c r="O862" s="285">
        <v>10.76</v>
      </c>
      <c r="P862" s="285"/>
      <c r="Q862" s="285"/>
      <c r="R862" s="278"/>
      <c r="S862" s="278"/>
      <c r="T862" s="278"/>
    </row>
    <row r="863" spans="1:28" s="305" customFormat="1" hidden="1" outlineLevel="2" x14ac:dyDescent="0.25">
      <c r="A863" s="278"/>
      <c r="B863" s="279" t="str">
        <f t="shared" si="291"/>
        <v>pelmet185mmMDF</v>
      </c>
      <c r="C863" s="278" t="s">
        <v>2063</v>
      </c>
      <c r="D863" s="278" t="s">
        <v>2066</v>
      </c>
      <c r="E863" s="278" t="s">
        <v>723</v>
      </c>
      <c r="F863" s="278"/>
      <c r="G863" s="278" t="s">
        <v>15</v>
      </c>
      <c r="H863" s="310">
        <v>0.18</v>
      </c>
      <c r="I863" s="280">
        <f t="shared" si="292"/>
        <v>14.5116</v>
      </c>
      <c r="J863" s="281">
        <f t="shared" si="293"/>
        <v>16.4574</v>
      </c>
      <c r="K863" s="282">
        <f>IF(Notes!$B$9="Domestic",I863, IF(Notes!$B$9="Commercial",J863))*$K$860</f>
        <v>16.4574</v>
      </c>
      <c r="L863" s="283">
        <f>(SUM(O863:Q863)+(K863+SUM(M863:Q863))*(INDEX($U$860:$AB$860,MATCH(Notes!$C$16,$U$3:$AB$3,0))-100%))*$L$860</f>
        <v>17.559999999999999</v>
      </c>
      <c r="M863" s="286"/>
      <c r="N863" s="286"/>
      <c r="O863" s="285">
        <v>17.559999999999999</v>
      </c>
      <c r="P863" s="285"/>
      <c r="Q863" s="285"/>
      <c r="R863" s="278"/>
      <c r="S863" s="278"/>
      <c r="T863" s="278"/>
    </row>
    <row r="864" spans="1:28" s="305" customFormat="1" hidden="1" outlineLevel="2" x14ac:dyDescent="0.25">
      <c r="A864" s="278"/>
      <c r="B864" s="279" t="str">
        <f t="shared" si="291"/>
        <v>pelmet90mmpine</v>
      </c>
      <c r="C864" s="278" t="s">
        <v>2063</v>
      </c>
      <c r="D864" s="278" t="s">
        <v>2064</v>
      </c>
      <c r="E864" s="278" t="s">
        <v>569</v>
      </c>
      <c r="F864" s="278"/>
      <c r="G864" s="278" t="s">
        <v>15</v>
      </c>
      <c r="H864" s="310">
        <v>0.14000000000000001</v>
      </c>
      <c r="I864" s="280">
        <f t="shared" si="292"/>
        <v>11.286800000000001</v>
      </c>
      <c r="J864" s="281">
        <f t="shared" si="293"/>
        <v>12.800200000000002</v>
      </c>
      <c r="K864" s="282">
        <f>IF(Notes!$B$9="Domestic",I864, IF(Notes!$B$9="Commercial",J864))*$K$860</f>
        <v>12.800200000000002</v>
      </c>
      <c r="L864" s="283">
        <f>(SUM(O864:Q864)+(K864+SUM(M864:Q864))*(INDEX($U$860:$AB$860,MATCH(Notes!$C$16,$U$3:$AB$3,0))-100%))*$L$860</f>
        <v>21.05</v>
      </c>
      <c r="M864" s="286"/>
      <c r="N864" s="286"/>
      <c r="O864" s="285">
        <v>21.05</v>
      </c>
      <c r="P864" s="285"/>
      <c r="Q864" s="285"/>
      <c r="R864" s="278"/>
      <c r="S864" s="278"/>
      <c r="T864" s="278"/>
    </row>
    <row r="865" spans="1:28" s="305" customFormat="1" hidden="1" outlineLevel="2" x14ac:dyDescent="0.25">
      <c r="A865" s="278"/>
      <c r="B865" s="279" t="str">
        <f t="shared" si="291"/>
        <v>pelmet140mmpine</v>
      </c>
      <c r="C865" s="278" t="s">
        <v>2063</v>
      </c>
      <c r="D865" s="278" t="s">
        <v>2065</v>
      </c>
      <c r="E865" s="278" t="s">
        <v>569</v>
      </c>
      <c r="F865" s="278"/>
      <c r="G865" s="278" t="s">
        <v>15</v>
      </c>
      <c r="H865" s="310">
        <v>0.16</v>
      </c>
      <c r="I865" s="280">
        <f>$I$2*H865</f>
        <v>12.8992</v>
      </c>
      <c r="J865" s="281">
        <f t="shared" si="293"/>
        <v>14.628800000000002</v>
      </c>
      <c r="K865" s="282">
        <f>IF(Notes!$B$9="Domestic",I865, IF(Notes!$B$9="Commercial",J865))*$K$860</f>
        <v>14.628800000000002</v>
      </c>
      <c r="L865" s="283">
        <f>(SUM(O865:Q865)+(K865+SUM(M865:Q865))*(INDEX($U$860:$AB$860,MATCH(Notes!$C$16,$U$3:$AB$3,0))-100%))*$L$860</f>
        <v>26.02</v>
      </c>
      <c r="M865" s="286"/>
      <c r="N865" s="286"/>
      <c r="O865" s="285">
        <v>26.02</v>
      </c>
      <c r="P865" s="285"/>
      <c r="Q865" s="285"/>
      <c r="R865" s="278"/>
      <c r="S865" s="278"/>
      <c r="T865" s="278"/>
    </row>
    <row r="866" spans="1:28" s="305" customFormat="1" hidden="1" outlineLevel="2" x14ac:dyDescent="0.25">
      <c r="A866" s="278"/>
      <c r="B866" s="279" t="str">
        <f t="shared" si="291"/>
        <v>pelmet185mmpine</v>
      </c>
      <c r="C866" s="278" t="s">
        <v>2063</v>
      </c>
      <c r="D866" s="278" t="s">
        <v>2066</v>
      </c>
      <c r="E866" s="278" t="s">
        <v>569</v>
      </c>
      <c r="F866" s="278"/>
      <c r="G866" s="278" t="s">
        <v>15</v>
      </c>
      <c r="H866" s="310">
        <v>0.18</v>
      </c>
      <c r="I866" s="280">
        <f t="shared" ref="I866:I869" si="294">$I$2*H866</f>
        <v>14.5116</v>
      </c>
      <c r="J866" s="281">
        <f t="shared" si="293"/>
        <v>16.4574</v>
      </c>
      <c r="K866" s="282">
        <f>IF(Notes!$B$9="Domestic",I866, IF(Notes!$B$9="Commercial",J866))*$K$860</f>
        <v>16.4574</v>
      </c>
      <c r="L866" s="283">
        <f>(SUM(O866:Q866)+(K866+SUM(M866:Q866))*(INDEX($U$860:$AB$860,MATCH(Notes!$C$16,$U$3:$AB$3,0))-100%))*$L$860</f>
        <v>35.19</v>
      </c>
      <c r="M866" s="286"/>
      <c r="N866" s="286"/>
      <c r="O866" s="285">
        <v>35.19</v>
      </c>
      <c r="P866" s="285"/>
      <c r="Q866" s="285"/>
      <c r="R866" s="278"/>
      <c r="S866" s="278"/>
      <c r="T866" s="278"/>
    </row>
    <row r="867" spans="1:28" s="305" customFormat="1" hidden="1" outlineLevel="2" x14ac:dyDescent="0.25">
      <c r="A867" s="278"/>
      <c r="B867" s="279" t="str">
        <f t="shared" si="291"/>
        <v>pelmet90mmHWD</v>
      </c>
      <c r="C867" s="278" t="s">
        <v>2063</v>
      </c>
      <c r="D867" s="278" t="s">
        <v>2064</v>
      </c>
      <c r="E867" s="278" t="s">
        <v>507</v>
      </c>
      <c r="F867" s="278"/>
      <c r="G867" s="278" t="s">
        <v>15</v>
      </c>
      <c r="H867" s="310">
        <v>0.14000000000000001</v>
      </c>
      <c r="I867" s="280">
        <f t="shared" si="294"/>
        <v>11.286800000000001</v>
      </c>
      <c r="J867" s="281">
        <f t="shared" si="293"/>
        <v>12.800200000000002</v>
      </c>
      <c r="K867" s="282">
        <f>IF(Notes!$B$9="Domestic",I867, IF(Notes!$B$9="Commercial",J867))*$K$860</f>
        <v>12.800200000000002</v>
      </c>
      <c r="L867" s="283">
        <f>(SUM(O867:Q867)+(K867+SUM(M867:Q867))*(INDEX($U$860:$AB$860,MATCH(Notes!$C$16,$U$3:$AB$3,0))-100%))*$L$860</f>
        <v>58.02</v>
      </c>
      <c r="M867" s="286"/>
      <c r="N867" s="286"/>
      <c r="O867" s="285">
        <v>58.02</v>
      </c>
      <c r="P867" s="285"/>
      <c r="Q867" s="285"/>
      <c r="R867" s="278"/>
      <c r="S867" s="278"/>
      <c r="T867" s="278"/>
    </row>
    <row r="868" spans="1:28" s="305" customFormat="1" hidden="1" outlineLevel="2" x14ac:dyDescent="0.25">
      <c r="A868" s="278"/>
      <c r="B868" s="279" t="str">
        <f t="shared" si="291"/>
        <v>pelmet140mmHWD</v>
      </c>
      <c r="C868" s="278" t="s">
        <v>2063</v>
      </c>
      <c r="D868" s="278" t="s">
        <v>2065</v>
      </c>
      <c r="E868" s="278" t="s">
        <v>507</v>
      </c>
      <c r="F868" s="278"/>
      <c r="G868" s="278" t="s">
        <v>15</v>
      </c>
      <c r="H868" s="310">
        <v>0.16</v>
      </c>
      <c r="I868" s="280">
        <f t="shared" si="294"/>
        <v>12.8992</v>
      </c>
      <c r="J868" s="281">
        <f t="shared" si="293"/>
        <v>14.628800000000002</v>
      </c>
      <c r="K868" s="282">
        <f>IF(Notes!$B$9="Domestic",I868, IF(Notes!$B$9="Commercial",J868))*$K$860</f>
        <v>14.628800000000002</v>
      </c>
      <c r="L868" s="283">
        <f>(SUM(O868:Q868)+(K868+SUM(M868:Q868))*(INDEX($U$860:$AB$860,MATCH(Notes!$C$16,$U$3:$AB$3,0))-100%))*$L$860</f>
        <v>67.69</v>
      </c>
      <c r="M868" s="286"/>
      <c r="N868" s="286"/>
      <c r="O868" s="285">
        <v>67.69</v>
      </c>
      <c r="P868" s="285"/>
      <c r="Q868" s="285"/>
      <c r="R868" s="278"/>
      <c r="S868" s="278"/>
      <c r="T868" s="278"/>
    </row>
    <row r="869" spans="1:28" s="305" customFormat="1" hidden="1" outlineLevel="2" x14ac:dyDescent="0.25">
      <c r="A869" s="278"/>
      <c r="B869" s="279" t="str">
        <f t="shared" si="291"/>
        <v>pelmet185mmHWD</v>
      </c>
      <c r="C869" s="278" t="s">
        <v>2063</v>
      </c>
      <c r="D869" s="278" t="s">
        <v>2066</v>
      </c>
      <c r="E869" s="278" t="s">
        <v>507</v>
      </c>
      <c r="F869" s="278"/>
      <c r="G869" s="278" t="s">
        <v>15</v>
      </c>
      <c r="H869" s="310">
        <v>0.18</v>
      </c>
      <c r="I869" s="280">
        <f t="shared" si="294"/>
        <v>14.5116</v>
      </c>
      <c r="J869" s="281">
        <f t="shared" si="293"/>
        <v>16.4574</v>
      </c>
      <c r="K869" s="282">
        <f>IF(Notes!$B$9="Domestic",I869, IF(Notes!$B$9="Commercial",J869))*$K$860</f>
        <v>16.4574</v>
      </c>
      <c r="L869" s="283">
        <f>(SUM(O869:Q869)+(K869+SUM(M869:Q869))*(INDEX($U$860:$AB$860,MATCH(Notes!$C$16,$U$3:$AB$3,0))-100%))*$L$860</f>
        <v>97.89</v>
      </c>
      <c r="M869" s="286"/>
      <c r="N869" s="286"/>
      <c r="O869" s="285">
        <v>97.89</v>
      </c>
      <c r="P869" s="285"/>
      <c r="Q869" s="285"/>
      <c r="R869" s="278"/>
      <c r="S869" s="278"/>
      <c r="T869" s="278"/>
    </row>
    <row r="870" spans="1:28" ht="21" hidden="1" outlineLevel="1" collapsed="1" x14ac:dyDescent="0.25">
      <c r="A870" s="299" t="s">
        <v>2092</v>
      </c>
      <c r="B870" s="299"/>
      <c r="C870" s="299"/>
      <c r="D870" s="299"/>
      <c r="E870" s="299"/>
      <c r="F870" s="299"/>
      <c r="G870" s="299"/>
      <c r="H870" s="348"/>
      <c r="I870" s="299"/>
      <c r="J870" s="299"/>
      <c r="K870" s="299"/>
      <c r="L870" s="299"/>
      <c r="M870" s="299"/>
      <c r="N870" s="299"/>
      <c r="O870" s="299"/>
      <c r="P870" s="299"/>
      <c r="Q870" s="299"/>
      <c r="R870" s="299"/>
      <c r="S870" s="299"/>
      <c r="T870" s="299"/>
      <c r="U870" s="299"/>
      <c r="V870" s="299"/>
      <c r="W870" s="299"/>
      <c r="X870" s="299"/>
      <c r="Y870" s="299"/>
      <c r="Z870" s="299"/>
      <c r="AA870" s="299"/>
      <c r="AB870" s="299"/>
    </row>
    <row r="871" spans="1:28" ht="15.75" hidden="1" outlineLevel="1" x14ac:dyDescent="0.25">
      <c r="A871" s="291"/>
      <c r="B871" s="291"/>
      <c r="C871" s="291"/>
      <c r="D871" s="291"/>
      <c r="E871" s="291"/>
      <c r="F871" s="291"/>
      <c r="G871" s="291"/>
      <c r="H871" s="325"/>
      <c r="I871" s="291"/>
      <c r="J871" s="291"/>
      <c r="K871" s="291">
        <f>K$2</f>
        <v>1</v>
      </c>
      <c r="L871" s="291">
        <f>L$2</f>
        <v>1</v>
      </c>
      <c r="M871" s="291"/>
      <c r="N871" s="291"/>
      <c r="O871" s="303"/>
      <c r="P871" s="303"/>
      <c r="Q871" s="303"/>
      <c r="R871" s="291"/>
      <c r="S871" s="291"/>
      <c r="T871" s="291"/>
      <c r="U871" s="381">
        <f>U$2</f>
        <v>1.0309523809523808</v>
      </c>
      <c r="V871" s="381">
        <f>V$2</f>
        <v>1</v>
      </c>
      <c r="W871" s="381">
        <f t="shared" ref="W871:AB871" si="295">W$2</f>
        <v>1.0705952380952379</v>
      </c>
      <c r="X871" s="381">
        <f t="shared" si="295"/>
        <v>1.1199999999999999</v>
      </c>
      <c r="Y871" s="381">
        <f t="shared" si="295"/>
        <v>1.0571428571428572</v>
      </c>
      <c r="Z871" s="381">
        <f t="shared" si="295"/>
        <v>1.1299999999999999</v>
      </c>
      <c r="AA871" s="381">
        <f t="shared" si="295"/>
        <v>1.0776942355889725</v>
      </c>
      <c r="AB871" s="381">
        <f t="shared" si="295"/>
        <v>1.0325814536340854</v>
      </c>
    </row>
    <row r="872" spans="1:28" s="305" customFormat="1" hidden="1" outlineLevel="2" x14ac:dyDescent="0.25">
      <c r="A872" s="278"/>
      <c r="B872" s="279" t="str">
        <f>C872&amp;D872&amp;E872&amp;F872</f>
        <v>pergolapineaverage</v>
      </c>
      <c r="C872" s="278" t="s">
        <v>2093</v>
      </c>
      <c r="D872" s="278"/>
      <c r="E872" s="278" t="s">
        <v>569</v>
      </c>
      <c r="F872" s="278" t="s">
        <v>543</v>
      </c>
      <c r="G872" s="278" t="s">
        <v>11</v>
      </c>
      <c r="H872" s="310">
        <v>0.5</v>
      </c>
      <c r="I872" s="280">
        <f>$I$2*H872</f>
        <v>40.31</v>
      </c>
      <c r="J872" s="281">
        <f>$J$2*H872</f>
        <v>45.715000000000003</v>
      </c>
      <c r="K872" s="282">
        <f>IF(Notes!$B$9="Domestic",I872, IF(Notes!$B$9="Commercial",J872))*$K$871</f>
        <v>45.715000000000003</v>
      </c>
      <c r="L872" s="283">
        <f>(SUM(O872:Q872)+(K872+SUM(M872:Q872))*(INDEX($U$871:$AB$871,MATCH(Notes!$C$16,$U$3:$AB$3,0))-100%))*$L$871</f>
        <v>95.61</v>
      </c>
      <c r="M872" s="286"/>
      <c r="N872" s="286"/>
      <c r="O872" s="285">
        <v>95.61</v>
      </c>
      <c r="P872" s="285"/>
      <c r="Q872" s="285"/>
      <c r="R872" s="278"/>
      <c r="S872" s="278"/>
      <c r="T872" s="278"/>
    </row>
    <row r="873" spans="1:28" s="305" customFormat="1" hidden="1" outlineLevel="2" x14ac:dyDescent="0.25">
      <c r="A873" s="278"/>
      <c r="B873" s="279" t="str">
        <f t="shared" ref="B873:B877" si="296">C873&amp;D873&amp;E873&amp;F873</f>
        <v>pergolapinequality</v>
      </c>
      <c r="C873" s="278" t="s">
        <v>2093</v>
      </c>
      <c r="D873" s="278"/>
      <c r="E873" s="278" t="s">
        <v>569</v>
      </c>
      <c r="F873" s="278" t="s">
        <v>544</v>
      </c>
      <c r="G873" s="278" t="s">
        <v>11</v>
      </c>
      <c r="H873" s="310">
        <v>0.5</v>
      </c>
      <c r="I873" s="280">
        <f t="shared" ref="I873:I875" si="297">$I$2*H873</f>
        <v>40.31</v>
      </c>
      <c r="J873" s="281">
        <f t="shared" ref="J873:J877" si="298">$J$2*H873</f>
        <v>45.715000000000003</v>
      </c>
      <c r="K873" s="282">
        <f>IF(Notes!$B$9="Domestic",I873, IF(Notes!$B$9="Commercial",J873))*$K$871</f>
        <v>45.715000000000003</v>
      </c>
      <c r="L873" s="283">
        <f>(SUM(O873:Q873)+(K873+SUM(M873:Q873))*(INDEX($U$871:$AB$871,MATCH(Notes!$C$16,$U$3:$AB$3,0))-100%))*$L$871</f>
        <v>105.17100000000001</v>
      </c>
      <c r="M873" s="286"/>
      <c r="N873" s="286"/>
      <c r="O873" s="311">
        <f>O872*1.1</f>
        <v>105.17100000000001</v>
      </c>
      <c r="P873" s="285"/>
      <c r="Q873" s="285"/>
      <c r="R873" s="278"/>
      <c r="S873" s="278"/>
      <c r="T873" s="278"/>
    </row>
    <row r="874" spans="1:28" s="305" customFormat="1" hidden="1" outlineLevel="2" x14ac:dyDescent="0.25">
      <c r="A874" s="278"/>
      <c r="B874" s="279" t="str">
        <f t="shared" si="296"/>
        <v>pergolapineprestige</v>
      </c>
      <c r="C874" s="278" t="s">
        <v>2093</v>
      </c>
      <c r="D874" s="278"/>
      <c r="E874" s="278" t="s">
        <v>569</v>
      </c>
      <c r="F874" s="278" t="s">
        <v>545</v>
      </c>
      <c r="G874" s="278" t="s">
        <v>11</v>
      </c>
      <c r="H874" s="310">
        <v>0.5</v>
      </c>
      <c r="I874" s="280">
        <f t="shared" si="297"/>
        <v>40.31</v>
      </c>
      <c r="J874" s="281">
        <f t="shared" si="298"/>
        <v>45.715000000000003</v>
      </c>
      <c r="K874" s="282">
        <f>IF(Notes!$B$9="Domestic",I874, IF(Notes!$B$9="Commercial",J874))*$K$871</f>
        <v>45.715000000000003</v>
      </c>
      <c r="L874" s="283">
        <f>(SUM(O874:Q874)+(K874+SUM(M874:Q874))*(INDEX($U$871:$AB$871,MATCH(Notes!$C$16,$U$3:$AB$3,0))-100%))*$L$871</f>
        <v>136.72230000000002</v>
      </c>
      <c r="M874" s="286"/>
      <c r="N874" s="286"/>
      <c r="O874" s="311">
        <f>O873*1.3</f>
        <v>136.72230000000002</v>
      </c>
      <c r="P874" s="285"/>
      <c r="Q874" s="285"/>
      <c r="R874" s="278"/>
      <c r="S874" s="278"/>
      <c r="T874" s="278"/>
    </row>
    <row r="875" spans="1:28" s="305" customFormat="1" hidden="1" outlineLevel="2" x14ac:dyDescent="0.25">
      <c r="A875" s="278"/>
      <c r="B875" s="279" t="str">
        <f t="shared" si="296"/>
        <v>pergolaHWDaverage</v>
      </c>
      <c r="C875" s="278" t="s">
        <v>2093</v>
      </c>
      <c r="D875" s="278"/>
      <c r="E875" s="278" t="s">
        <v>507</v>
      </c>
      <c r="F875" s="278" t="s">
        <v>543</v>
      </c>
      <c r="G875" s="278" t="s">
        <v>11</v>
      </c>
      <c r="H875" s="310">
        <v>0.6</v>
      </c>
      <c r="I875" s="280">
        <f t="shared" si="297"/>
        <v>48.372</v>
      </c>
      <c r="J875" s="281">
        <f t="shared" si="298"/>
        <v>54.858000000000004</v>
      </c>
      <c r="K875" s="282">
        <f>IF(Notes!$B$9="Domestic",I875, IF(Notes!$B$9="Commercial",J875))*$K$871</f>
        <v>54.858000000000004</v>
      </c>
      <c r="L875" s="283">
        <f>(SUM(O875:Q875)+(K875+SUM(M875:Q875))*(INDEX($U$871:$AB$871,MATCH(Notes!$C$16,$U$3:$AB$3,0))-100%))*$L$871</f>
        <v>167.78</v>
      </c>
      <c r="M875" s="286"/>
      <c r="N875" s="286"/>
      <c r="O875" s="285">
        <v>167.78</v>
      </c>
      <c r="P875" s="285"/>
      <c r="Q875" s="285"/>
      <c r="R875" s="278"/>
      <c r="S875" s="278"/>
      <c r="T875" s="278"/>
    </row>
    <row r="876" spans="1:28" s="305" customFormat="1" hidden="1" outlineLevel="2" x14ac:dyDescent="0.25">
      <c r="A876" s="278"/>
      <c r="B876" s="279" t="str">
        <f t="shared" si="296"/>
        <v>pergolaHWDquality</v>
      </c>
      <c r="C876" s="278" t="s">
        <v>2093</v>
      </c>
      <c r="D876" s="278"/>
      <c r="E876" s="278" t="s">
        <v>507</v>
      </c>
      <c r="F876" s="278" t="s">
        <v>544</v>
      </c>
      <c r="G876" s="278" t="s">
        <v>11</v>
      </c>
      <c r="H876" s="310">
        <v>0.6</v>
      </c>
      <c r="I876" s="280">
        <f>$I$2*H876</f>
        <v>48.372</v>
      </c>
      <c r="J876" s="281">
        <f t="shared" si="298"/>
        <v>54.858000000000004</v>
      </c>
      <c r="K876" s="282">
        <f>IF(Notes!$B$9="Domestic",I876, IF(Notes!$B$9="Commercial",J876))*$K$871</f>
        <v>54.858000000000004</v>
      </c>
      <c r="L876" s="283">
        <f>(SUM(O876:Q876)+(K876+SUM(M876:Q876))*(INDEX($U$871:$AB$871,MATCH(Notes!$C$16,$U$3:$AB$3,0))-100%))*$L$871</f>
        <v>184.55800000000002</v>
      </c>
      <c r="M876" s="286"/>
      <c r="N876" s="286"/>
      <c r="O876" s="311">
        <f>O875*1.1</f>
        <v>184.55800000000002</v>
      </c>
      <c r="P876" s="285"/>
      <c r="Q876" s="285"/>
      <c r="R876" s="278"/>
      <c r="S876" s="278"/>
      <c r="T876" s="278"/>
    </row>
    <row r="877" spans="1:28" s="305" customFormat="1" hidden="1" outlineLevel="2" x14ac:dyDescent="0.25">
      <c r="A877" s="278"/>
      <c r="B877" s="279" t="str">
        <f t="shared" si="296"/>
        <v>pergolaHWDprestige</v>
      </c>
      <c r="C877" s="278" t="s">
        <v>2093</v>
      </c>
      <c r="D877" s="278"/>
      <c r="E877" s="278" t="s">
        <v>507</v>
      </c>
      <c r="F877" s="278" t="s">
        <v>545</v>
      </c>
      <c r="G877" s="278" t="s">
        <v>11</v>
      </c>
      <c r="H877" s="310">
        <v>0.6</v>
      </c>
      <c r="I877" s="280">
        <f t="shared" ref="I877" si="299">$I$2*H877</f>
        <v>48.372</v>
      </c>
      <c r="J877" s="281">
        <f t="shared" si="298"/>
        <v>54.858000000000004</v>
      </c>
      <c r="K877" s="282">
        <f>IF(Notes!$B$9="Domestic",I877, IF(Notes!$B$9="Commercial",J877))*$K$871</f>
        <v>54.858000000000004</v>
      </c>
      <c r="L877" s="283">
        <f>(SUM(O877:Q877)+(K877+SUM(M877:Q877))*(INDEX($U$871:$AB$871,MATCH(Notes!$C$16,$U$3:$AB$3,0))-100%))*$L$871</f>
        <v>239.92540000000002</v>
      </c>
      <c r="M877" s="286"/>
      <c r="N877" s="286"/>
      <c r="O877" s="311">
        <f>O876*1.3</f>
        <v>239.92540000000002</v>
      </c>
      <c r="P877" s="285"/>
      <c r="Q877" s="285"/>
      <c r="R877" s="278"/>
      <c r="S877" s="278"/>
      <c r="T877" s="278"/>
    </row>
    <row r="878" spans="1:28" ht="21" hidden="1" outlineLevel="1" collapsed="1" x14ac:dyDescent="0.25">
      <c r="A878" s="299" t="s">
        <v>2055</v>
      </c>
      <c r="B878" s="299"/>
      <c r="C878" s="299"/>
      <c r="D878" s="299"/>
      <c r="E878" s="299"/>
      <c r="F878" s="299"/>
      <c r="G878" s="299"/>
      <c r="H878" s="348"/>
      <c r="I878" s="299"/>
      <c r="J878" s="299"/>
      <c r="K878" s="299"/>
      <c r="L878" s="299"/>
      <c r="M878" s="299"/>
      <c r="N878" s="299"/>
      <c r="O878" s="299"/>
      <c r="P878" s="299"/>
      <c r="Q878" s="299"/>
      <c r="R878" s="299"/>
      <c r="S878" s="299"/>
      <c r="T878" s="299"/>
      <c r="U878" s="299"/>
      <c r="V878" s="299"/>
      <c r="W878" s="299"/>
      <c r="X878" s="299"/>
      <c r="Y878" s="299"/>
      <c r="Z878" s="299"/>
      <c r="AA878" s="299"/>
      <c r="AB878" s="299"/>
    </row>
    <row r="879" spans="1:28" ht="15.75" hidden="1" outlineLevel="1" x14ac:dyDescent="0.25">
      <c r="A879" s="291"/>
      <c r="B879" s="291"/>
      <c r="C879" s="291"/>
      <c r="D879" s="291"/>
      <c r="E879" s="291"/>
      <c r="F879" s="291"/>
      <c r="G879" s="291"/>
      <c r="H879" s="325"/>
      <c r="I879" s="291"/>
      <c r="J879" s="291"/>
      <c r="K879" s="291">
        <f>K$2</f>
        <v>1</v>
      </c>
      <c r="L879" s="291">
        <f>L$2</f>
        <v>1</v>
      </c>
      <c r="M879" s="291"/>
      <c r="N879" s="291"/>
      <c r="O879" s="303"/>
      <c r="P879" s="303"/>
      <c r="Q879" s="303"/>
      <c r="R879" s="291"/>
      <c r="S879" s="291"/>
      <c r="T879" s="291"/>
      <c r="U879" s="381">
        <f>U$2</f>
        <v>1.0309523809523808</v>
      </c>
      <c r="V879" s="381">
        <f>V$2</f>
        <v>1</v>
      </c>
      <c r="W879" s="381">
        <f t="shared" ref="W879:AB879" si="300">W$2</f>
        <v>1.0705952380952379</v>
      </c>
      <c r="X879" s="381">
        <f t="shared" si="300"/>
        <v>1.1199999999999999</v>
      </c>
      <c r="Y879" s="381">
        <f t="shared" si="300"/>
        <v>1.0571428571428572</v>
      </c>
      <c r="Z879" s="381">
        <f t="shared" si="300"/>
        <v>1.1299999999999999</v>
      </c>
      <c r="AA879" s="381">
        <f t="shared" si="300"/>
        <v>1.0776942355889725</v>
      </c>
      <c r="AB879" s="381">
        <f t="shared" si="300"/>
        <v>1.0325814536340854</v>
      </c>
    </row>
    <row r="880" spans="1:28" s="305" customFormat="1" hidden="1" outlineLevel="2" x14ac:dyDescent="0.25">
      <c r="A880" s="278"/>
      <c r="B880" s="279" t="str">
        <f>C880&amp;D880&amp;E880&amp;F880</f>
        <v>batten screenpineaverage</v>
      </c>
      <c r="C880" s="278" t="s">
        <v>2068</v>
      </c>
      <c r="D880" s="278"/>
      <c r="E880" s="278" t="s">
        <v>569</v>
      </c>
      <c r="F880" s="278" t="s">
        <v>543</v>
      </c>
      <c r="G880" s="278" t="s">
        <v>11</v>
      </c>
      <c r="H880" s="310">
        <v>0.75</v>
      </c>
      <c r="I880" s="280">
        <f>$I$2*H880</f>
        <v>60.465000000000003</v>
      </c>
      <c r="J880" s="281">
        <f>$J$2*H880</f>
        <v>68.572500000000005</v>
      </c>
      <c r="K880" s="282">
        <f>IF(Notes!$B$9="Domestic",I880, IF(Notes!$B$9="Commercial",J880))*$K$879</f>
        <v>68.572500000000005</v>
      </c>
      <c r="L880" s="283">
        <f>(SUM(O880:Q880)+(K880+SUM(M880:Q880))*(INDEX($U$879:$AB$879,MATCH(Notes!$C$16,$U$3:$AB$3,0))-100%))*$L$879</f>
        <v>137.55000000000001</v>
      </c>
      <c r="M880" s="286"/>
      <c r="N880" s="286"/>
      <c r="O880" s="285">
        <v>137.55000000000001</v>
      </c>
      <c r="P880" s="285"/>
      <c r="Q880" s="285"/>
      <c r="R880" s="278"/>
      <c r="S880" s="278"/>
      <c r="T880" s="278"/>
    </row>
    <row r="881" spans="1:28" s="305" customFormat="1" hidden="1" outlineLevel="2" x14ac:dyDescent="0.25">
      <c r="A881" s="278"/>
      <c r="B881" s="279" t="str">
        <f t="shared" ref="B881:B884" si="301">C881&amp;D881&amp;E881&amp;F881</f>
        <v>batten screenpinequality</v>
      </c>
      <c r="C881" s="278" t="s">
        <v>2068</v>
      </c>
      <c r="D881" s="278"/>
      <c r="E881" s="278" t="s">
        <v>569</v>
      </c>
      <c r="F881" s="278" t="s">
        <v>544</v>
      </c>
      <c r="G881" s="278" t="s">
        <v>11</v>
      </c>
      <c r="H881" s="310">
        <v>0.75</v>
      </c>
      <c r="I881" s="280">
        <f t="shared" ref="I881:I884" si="302">$I$2*H881</f>
        <v>60.465000000000003</v>
      </c>
      <c r="J881" s="281">
        <f t="shared" ref="J881:J884" si="303">$J$2*H881</f>
        <v>68.572500000000005</v>
      </c>
      <c r="K881" s="282">
        <f>IF(Notes!$B$9="Domestic",I881, IF(Notes!$B$9="Commercial",J881))*$K$879</f>
        <v>68.572500000000005</v>
      </c>
      <c r="L881" s="283">
        <f>(SUM(O881:Q881)+(K881+SUM(M881:Q881))*(INDEX($U$879:$AB$879,MATCH(Notes!$C$16,$U$3:$AB$3,0))-100%))*$L$879</f>
        <v>151.30500000000004</v>
      </c>
      <c r="M881" s="286"/>
      <c r="N881" s="286"/>
      <c r="O881" s="311">
        <f>O880*1.1</f>
        <v>151.30500000000004</v>
      </c>
      <c r="P881" s="285"/>
      <c r="Q881" s="285"/>
      <c r="R881" s="278"/>
      <c r="S881" s="278"/>
      <c r="T881" s="278"/>
    </row>
    <row r="882" spans="1:28" s="305" customFormat="1" hidden="1" outlineLevel="2" x14ac:dyDescent="0.25">
      <c r="A882" s="278"/>
      <c r="B882" s="279" t="str">
        <f t="shared" si="301"/>
        <v>batten screenpineprestige</v>
      </c>
      <c r="C882" s="278" t="s">
        <v>2068</v>
      </c>
      <c r="D882" s="278"/>
      <c r="E882" s="278" t="s">
        <v>569</v>
      </c>
      <c r="F882" s="278" t="s">
        <v>545</v>
      </c>
      <c r="G882" s="278" t="s">
        <v>11</v>
      </c>
      <c r="H882" s="310">
        <v>0.75</v>
      </c>
      <c r="I882" s="280">
        <f t="shared" si="302"/>
        <v>60.465000000000003</v>
      </c>
      <c r="J882" s="281">
        <f t="shared" si="303"/>
        <v>68.572500000000005</v>
      </c>
      <c r="K882" s="282">
        <f>IF(Notes!$B$9="Domestic",I882, IF(Notes!$B$9="Commercial",J882))*$K$879</f>
        <v>68.572500000000005</v>
      </c>
      <c r="L882" s="283">
        <f>(SUM(O882:Q882)+(K882+SUM(M882:Q882))*(INDEX($U$879:$AB$879,MATCH(Notes!$C$16,$U$3:$AB$3,0))-100%))*$L$879</f>
        <v>196.69650000000004</v>
      </c>
      <c r="M882" s="286"/>
      <c r="N882" s="286"/>
      <c r="O882" s="311">
        <f>O881*1.3</f>
        <v>196.69650000000004</v>
      </c>
      <c r="P882" s="285"/>
      <c r="Q882" s="285"/>
      <c r="R882" s="278"/>
      <c r="S882" s="278"/>
      <c r="T882" s="278"/>
    </row>
    <row r="883" spans="1:28" s="305" customFormat="1" hidden="1" outlineLevel="2" x14ac:dyDescent="0.25">
      <c r="A883" s="278"/>
      <c r="B883" s="279" t="str">
        <f t="shared" si="301"/>
        <v>batten screenHWDaverage</v>
      </c>
      <c r="C883" s="278" t="s">
        <v>2068</v>
      </c>
      <c r="D883" s="278"/>
      <c r="E883" s="278" t="s">
        <v>507</v>
      </c>
      <c r="F883" s="278" t="s">
        <v>543</v>
      </c>
      <c r="G883" s="278" t="s">
        <v>11</v>
      </c>
      <c r="H883" s="310">
        <v>0.75</v>
      </c>
      <c r="I883" s="280">
        <f t="shared" si="302"/>
        <v>60.465000000000003</v>
      </c>
      <c r="J883" s="281">
        <f t="shared" si="303"/>
        <v>68.572500000000005</v>
      </c>
      <c r="K883" s="282">
        <f>IF(Notes!$B$9="Domestic",I883, IF(Notes!$B$9="Commercial",J883))*$K$879</f>
        <v>68.572500000000005</v>
      </c>
      <c r="L883" s="283">
        <f>(SUM(O883:Q883)+(K883+SUM(M883:Q883))*(INDEX($U$879:$AB$879,MATCH(Notes!$C$16,$U$3:$AB$3,0))-100%))*$L$879</f>
        <v>196.41</v>
      </c>
      <c r="M883" s="286"/>
      <c r="N883" s="286"/>
      <c r="O883" s="285">
        <v>196.41</v>
      </c>
      <c r="P883" s="285"/>
      <c r="Q883" s="285"/>
      <c r="R883" s="278"/>
      <c r="S883" s="278"/>
      <c r="T883" s="278"/>
    </row>
    <row r="884" spans="1:28" s="305" customFormat="1" hidden="1" outlineLevel="2" x14ac:dyDescent="0.25">
      <c r="A884" s="278"/>
      <c r="B884" s="279" t="str">
        <f t="shared" si="301"/>
        <v>batten screenHWDquality</v>
      </c>
      <c r="C884" s="278" t="s">
        <v>2068</v>
      </c>
      <c r="D884" s="278"/>
      <c r="E884" s="278" t="s">
        <v>507</v>
      </c>
      <c r="F884" s="278" t="s">
        <v>544</v>
      </c>
      <c r="G884" s="278" t="s">
        <v>11</v>
      </c>
      <c r="H884" s="310">
        <v>0.75</v>
      </c>
      <c r="I884" s="280">
        <f t="shared" si="302"/>
        <v>60.465000000000003</v>
      </c>
      <c r="J884" s="281">
        <f t="shared" si="303"/>
        <v>68.572500000000005</v>
      </c>
      <c r="K884" s="282">
        <f>IF(Notes!$B$9="Domestic",I884, IF(Notes!$B$9="Commercial",J884))*$K$879</f>
        <v>68.572500000000005</v>
      </c>
      <c r="L884" s="283">
        <f>(SUM(O884:Q884)+(K884+SUM(M884:Q884))*(INDEX($U$879:$AB$879,MATCH(Notes!$C$16,$U$3:$AB$3,0))-100%))*$L$879</f>
        <v>216.05100000000002</v>
      </c>
      <c r="M884" s="286"/>
      <c r="N884" s="286"/>
      <c r="O884" s="311">
        <f>O883*1.1</f>
        <v>216.05100000000002</v>
      </c>
      <c r="P884" s="285"/>
      <c r="Q884" s="285"/>
      <c r="R884" s="278"/>
      <c r="S884" s="278"/>
      <c r="T884" s="278"/>
    </row>
    <row r="885" spans="1:28" s="305" customFormat="1" hidden="1" outlineLevel="2" x14ac:dyDescent="0.25">
      <c r="A885" s="278"/>
      <c r="B885" s="279" t="str">
        <f t="shared" ref="B885" si="304">C885&amp;D885&amp;E885&amp;F885</f>
        <v>batten screenHWDprestige</v>
      </c>
      <c r="C885" s="278" t="s">
        <v>2068</v>
      </c>
      <c r="D885" s="278"/>
      <c r="E885" s="278" t="s">
        <v>507</v>
      </c>
      <c r="F885" s="278" t="s">
        <v>545</v>
      </c>
      <c r="G885" s="278" t="s">
        <v>11</v>
      </c>
      <c r="H885" s="310">
        <v>0.75</v>
      </c>
      <c r="I885" s="280">
        <f t="shared" ref="I885" si="305">$I$2*H885</f>
        <v>60.465000000000003</v>
      </c>
      <c r="J885" s="281">
        <f t="shared" ref="J885" si="306">$J$2*H885</f>
        <v>68.572500000000005</v>
      </c>
      <c r="K885" s="282">
        <f>IF(Notes!$B$9="Domestic",I885, IF(Notes!$B$9="Commercial",J885))*$K$879</f>
        <v>68.572500000000005</v>
      </c>
      <c r="L885" s="283">
        <f>(SUM(O885:Q885)+(K885+SUM(M885:Q885))*(INDEX($U$879:$AB$879,MATCH(Notes!$C$16,$U$3:$AB$3,0))-100%))*$L$879</f>
        <v>280.86630000000002</v>
      </c>
      <c r="M885" s="286"/>
      <c r="N885" s="286"/>
      <c r="O885" s="311">
        <f>O884*1.3</f>
        <v>280.86630000000002</v>
      </c>
      <c r="P885" s="285"/>
      <c r="Q885" s="285"/>
      <c r="R885" s="278"/>
      <c r="S885" s="278"/>
      <c r="T885" s="278"/>
    </row>
    <row r="886" spans="1:28" ht="21" hidden="1" outlineLevel="1" collapsed="1" x14ac:dyDescent="0.25">
      <c r="A886" s="299" t="s">
        <v>2067</v>
      </c>
      <c r="B886" s="299"/>
      <c r="C886" s="299"/>
      <c r="D886" s="299"/>
      <c r="E886" s="299"/>
      <c r="F886" s="299"/>
      <c r="G886" s="299"/>
      <c r="H886" s="348"/>
      <c r="I886" s="299"/>
      <c r="J886" s="299"/>
      <c r="K886" s="299"/>
      <c r="L886" s="299"/>
      <c r="M886" s="299"/>
      <c r="N886" s="299"/>
      <c r="O886" s="299"/>
      <c r="P886" s="299"/>
      <c r="Q886" s="299"/>
      <c r="R886" s="299"/>
      <c r="S886" s="299"/>
      <c r="T886" s="299"/>
      <c r="U886" s="299"/>
      <c r="V886" s="299"/>
      <c r="W886" s="299"/>
      <c r="X886" s="299"/>
      <c r="Y886" s="299"/>
      <c r="Z886" s="299"/>
      <c r="AA886" s="299"/>
      <c r="AB886" s="299"/>
    </row>
    <row r="887" spans="1:28" ht="15.75" hidden="1" outlineLevel="1" x14ac:dyDescent="0.25">
      <c r="A887" s="291"/>
      <c r="B887" s="291"/>
      <c r="C887" s="291"/>
      <c r="D887" s="291"/>
      <c r="E887" s="291"/>
      <c r="F887" s="291"/>
      <c r="G887" s="291"/>
      <c r="H887" s="325"/>
      <c r="I887" s="291"/>
      <c r="J887" s="291"/>
      <c r="K887" s="291">
        <f>K$2</f>
        <v>1</v>
      </c>
      <c r="L887" s="291">
        <f>L$2</f>
        <v>1</v>
      </c>
      <c r="M887" s="291"/>
      <c r="N887" s="291"/>
      <c r="O887" s="303"/>
      <c r="P887" s="303"/>
      <c r="Q887" s="303"/>
      <c r="R887" s="291"/>
      <c r="S887" s="291"/>
      <c r="T887" s="291"/>
      <c r="U887" s="381">
        <f>U$2</f>
        <v>1.0309523809523808</v>
      </c>
      <c r="V887" s="381">
        <f>V$2</f>
        <v>1</v>
      </c>
      <c r="W887" s="381">
        <f t="shared" ref="W887:AB887" si="307">W$2</f>
        <v>1.0705952380952379</v>
      </c>
      <c r="X887" s="381">
        <f t="shared" si="307"/>
        <v>1.1199999999999999</v>
      </c>
      <c r="Y887" s="381">
        <f t="shared" si="307"/>
        <v>1.0571428571428572</v>
      </c>
      <c r="Z887" s="381">
        <f t="shared" si="307"/>
        <v>1.1299999999999999</v>
      </c>
      <c r="AA887" s="381">
        <f t="shared" si="307"/>
        <v>1.0776942355889725</v>
      </c>
      <c r="AB887" s="381">
        <f t="shared" si="307"/>
        <v>1.0325814536340854</v>
      </c>
    </row>
    <row r="888" spans="1:28" s="305" customFormat="1" hidden="1" outlineLevel="2" x14ac:dyDescent="0.25">
      <c r="A888" s="278"/>
      <c r="B888" s="279" t="str">
        <f>C888&amp;D888&amp;E888&amp;F888</f>
        <v>balustradepineaverage</v>
      </c>
      <c r="C888" s="278" t="s">
        <v>2069</v>
      </c>
      <c r="D888" s="278"/>
      <c r="E888" s="278" t="s">
        <v>569</v>
      </c>
      <c r="F888" s="278" t="s">
        <v>543</v>
      </c>
      <c r="G888" s="278" t="s">
        <v>15</v>
      </c>
      <c r="H888" s="310">
        <v>0.75</v>
      </c>
      <c r="I888" s="280">
        <f>$I$2*H888</f>
        <v>60.465000000000003</v>
      </c>
      <c r="J888" s="281">
        <f>$J$2*H888</f>
        <v>68.572500000000005</v>
      </c>
      <c r="K888" s="282">
        <f>IF(Notes!$B$9="Domestic",I888, IF(Notes!$B$9="Commercial",J888))*$K$887</f>
        <v>68.572500000000005</v>
      </c>
      <c r="L888" s="283">
        <f>(SUM(O888:Q888)+(K888+SUM(M888:Q888))*(INDEX($U$887:$AB$887,MATCH(Notes!$C$16,$U$3:$AB$3,0))-100%))*$L$887</f>
        <v>157.77000000000001</v>
      </c>
      <c r="M888" s="286"/>
      <c r="N888" s="286"/>
      <c r="O888" s="285">
        <v>157.77000000000001</v>
      </c>
      <c r="P888" s="285"/>
      <c r="Q888" s="285"/>
      <c r="R888" s="278"/>
      <c r="S888" s="278"/>
      <c r="T888" s="278"/>
    </row>
    <row r="889" spans="1:28" s="305" customFormat="1" hidden="1" outlineLevel="2" x14ac:dyDescent="0.25">
      <c r="A889" s="278"/>
      <c r="B889" s="279" t="str">
        <f t="shared" ref="B889:B893" si="308">C889&amp;D889&amp;E889&amp;F889</f>
        <v>balustradepinequality</v>
      </c>
      <c r="C889" s="278" t="s">
        <v>2069</v>
      </c>
      <c r="D889" s="278"/>
      <c r="E889" s="278" t="s">
        <v>569</v>
      </c>
      <c r="F889" s="278" t="s">
        <v>544</v>
      </c>
      <c r="G889" s="278" t="s">
        <v>15</v>
      </c>
      <c r="H889" s="310">
        <v>0.75</v>
      </c>
      <c r="I889" s="280">
        <f t="shared" ref="I889:I891" si="309">$I$2*H889</f>
        <v>60.465000000000003</v>
      </c>
      <c r="J889" s="281">
        <f t="shared" ref="J889:J893" si="310">$J$2*H889</f>
        <v>68.572500000000005</v>
      </c>
      <c r="K889" s="282">
        <f>IF(Notes!$B$9="Domestic",I889, IF(Notes!$B$9="Commercial",J889))*$K$887</f>
        <v>68.572500000000005</v>
      </c>
      <c r="L889" s="283">
        <f>(SUM(O889:Q889)+(K889+SUM(M889:Q889))*(INDEX($U$887:$AB$887,MATCH(Notes!$C$16,$U$3:$AB$3,0))-100%))*$L$887</f>
        <v>173.54700000000003</v>
      </c>
      <c r="M889" s="286"/>
      <c r="N889" s="286"/>
      <c r="O889" s="311">
        <f>O888*1.1</f>
        <v>173.54700000000003</v>
      </c>
      <c r="P889" s="285"/>
      <c r="Q889" s="285"/>
      <c r="R889" s="278"/>
      <c r="S889" s="278"/>
      <c r="T889" s="278"/>
    </row>
    <row r="890" spans="1:28" s="305" customFormat="1" hidden="1" outlineLevel="2" x14ac:dyDescent="0.25">
      <c r="A890" s="278"/>
      <c r="B890" s="279" t="str">
        <f t="shared" si="308"/>
        <v>balustradepineprestige</v>
      </c>
      <c r="C890" s="278" t="s">
        <v>2069</v>
      </c>
      <c r="D890" s="278"/>
      <c r="E890" s="278" t="s">
        <v>569</v>
      </c>
      <c r="F890" s="278" t="s">
        <v>545</v>
      </c>
      <c r="G890" s="278" t="s">
        <v>15</v>
      </c>
      <c r="H890" s="310">
        <v>0.75</v>
      </c>
      <c r="I890" s="280">
        <f t="shared" si="309"/>
        <v>60.465000000000003</v>
      </c>
      <c r="J890" s="281">
        <f t="shared" si="310"/>
        <v>68.572500000000005</v>
      </c>
      <c r="K890" s="282">
        <f>IF(Notes!$B$9="Domestic",I890, IF(Notes!$B$9="Commercial",J890))*$K$887</f>
        <v>68.572500000000005</v>
      </c>
      <c r="L890" s="283">
        <f>(SUM(O890:Q890)+(K890+SUM(M890:Q890))*(INDEX($U$887:$AB$887,MATCH(Notes!$C$16,$U$3:$AB$3,0))-100%))*$L$887</f>
        <v>225.61110000000005</v>
      </c>
      <c r="M890" s="286"/>
      <c r="N890" s="286"/>
      <c r="O890" s="311">
        <f>O889*1.3</f>
        <v>225.61110000000005</v>
      </c>
      <c r="P890" s="285"/>
      <c r="Q890" s="285"/>
      <c r="R890" s="278"/>
      <c r="S890" s="278"/>
      <c r="T890" s="278"/>
    </row>
    <row r="891" spans="1:28" s="305" customFormat="1" hidden="1" outlineLevel="2" x14ac:dyDescent="0.25">
      <c r="A891" s="278"/>
      <c r="B891" s="279" t="str">
        <f t="shared" si="308"/>
        <v>balustradeHWDaverage</v>
      </c>
      <c r="C891" s="278" t="s">
        <v>2069</v>
      </c>
      <c r="D891" s="278"/>
      <c r="E891" s="278" t="s">
        <v>507</v>
      </c>
      <c r="F891" s="278" t="s">
        <v>543</v>
      </c>
      <c r="G891" s="278" t="s">
        <v>15</v>
      </c>
      <c r="H891" s="310">
        <v>0.75</v>
      </c>
      <c r="I891" s="280">
        <f t="shared" si="309"/>
        <v>60.465000000000003</v>
      </c>
      <c r="J891" s="281">
        <f t="shared" si="310"/>
        <v>68.572500000000005</v>
      </c>
      <c r="K891" s="282">
        <f>IF(Notes!$B$9="Domestic",I891, IF(Notes!$B$9="Commercial",J891))*$K$887</f>
        <v>68.572500000000005</v>
      </c>
      <c r="L891" s="283">
        <f>(SUM(O891:Q891)+(K891+SUM(M891:Q891))*(INDEX($U$887:$AB$887,MATCH(Notes!$C$16,$U$3:$AB$3,0))-100%))*$L$887</f>
        <v>314.85000000000002</v>
      </c>
      <c r="M891" s="286"/>
      <c r="N891" s="286"/>
      <c r="O891" s="285">
        <v>314.85000000000002</v>
      </c>
      <c r="P891" s="285"/>
      <c r="Q891" s="285"/>
      <c r="R891" s="278"/>
      <c r="S891" s="278"/>
      <c r="T891" s="278"/>
    </row>
    <row r="892" spans="1:28" s="305" customFormat="1" hidden="1" outlineLevel="2" x14ac:dyDescent="0.25">
      <c r="A892" s="278"/>
      <c r="B892" s="279" t="str">
        <f t="shared" si="308"/>
        <v>balustradeHWDquality</v>
      </c>
      <c r="C892" s="278" t="s">
        <v>2069</v>
      </c>
      <c r="D892" s="278"/>
      <c r="E892" s="278" t="s">
        <v>507</v>
      </c>
      <c r="F892" s="278" t="s">
        <v>544</v>
      </c>
      <c r="G892" s="278" t="s">
        <v>15</v>
      </c>
      <c r="H892" s="310">
        <v>0.75</v>
      </c>
      <c r="I892" s="280">
        <f>$I$2*H892</f>
        <v>60.465000000000003</v>
      </c>
      <c r="J892" s="281">
        <f t="shared" si="310"/>
        <v>68.572500000000005</v>
      </c>
      <c r="K892" s="282">
        <f>IF(Notes!$B$9="Domestic",I892, IF(Notes!$B$9="Commercial",J892))*$K$887</f>
        <v>68.572500000000005</v>
      </c>
      <c r="L892" s="283">
        <f>(SUM(O892:Q892)+(K892+SUM(M892:Q892))*(INDEX($U$887:$AB$887,MATCH(Notes!$C$16,$U$3:$AB$3,0))-100%))*$L$887</f>
        <v>409.30500000000006</v>
      </c>
      <c r="M892" s="286"/>
      <c r="N892" s="286"/>
      <c r="O892" s="311">
        <f>O891*1.3</f>
        <v>409.30500000000006</v>
      </c>
      <c r="P892" s="285"/>
      <c r="Q892" s="285"/>
      <c r="R892" s="278"/>
      <c r="S892" s="278"/>
      <c r="T892" s="278"/>
    </row>
    <row r="893" spans="1:28" s="305" customFormat="1" hidden="1" outlineLevel="2" x14ac:dyDescent="0.25">
      <c r="A893" s="278"/>
      <c r="B893" s="279" t="str">
        <f t="shared" si="308"/>
        <v>balustradeHWDprestige</v>
      </c>
      <c r="C893" s="278" t="s">
        <v>2069</v>
      </c>
      <c r="D893" s="278"/>
      <c r="E893" s="278" t="s">
        <v>507</v>
      </c>
      <c r="F893" s="278" t="s">
        <v>545</v>
      </c>
      <c r="G893" s="278" t="s">
        <v>15</v>
      </c>
      <c r="H893" s="310">
        <v>0.75</v>
      </c>
      <c r="I893" s="280">
        <f t="shared" ref="I893" si="311">$I$2*H893</f>
        <v>60.465000000000003</v>
      </c>
      <c r="J893" s="281">
        <f t="shared" si="310"/>
        <v>68.572500000000005</v>
      </c>
      <c r="K893" s="282">
        <f>IF(Notes!$B$9="Domestic",I893, IF(Notes!$B$9="Commercial",J893))*$K$887</f>
        <v>68.572500000000005</v>
      </c>
      <c r="L893" s="283">
        <f>(SUM(O893:Q893)+(K893+SUM(M893:Q893))*(INDEX($U$887:$AB$887,MATCH(Notes!$C$16,$U$3:$AB$3,0))-100%))*$L$887</f>
        <v>573.02700000000004</v>
      </c>
      <c r="M893" s="286"/>
      <c r="N893" s="286"/>
      <c r="O893" s="311">
        <f>O892*1.4</f>
        <v>573.02700000000004</v>
      </c>
      <c r="P893" s="285"/>
      <c r="Q893" s="285"/>
      <c r="R893" s="278"/>
      <c r="S893" s="278"/>
      <c r="T893" s="278"/>
    </row>
    <row r="894" spans="1:28" ht="21" hidden="1" outlineLevel="1" collapsed="1" x14ac:dyDescent="0.25">
      <c r="A894" s="299" t="s">
        <v>2070</v>
      </c>
      <c r="B894" s="299"/>
      <c r="C894" s="299"/>
      <c r="D894" s="299"/>
      <c r="E894" s="299"/>
      <c r="F894" s="299"/>
      <c r="G894" s="299"/>
      <c r="H894" s="348"/>
      <c r="I894" s="299"/>
      <c r="J894" s="299"/>
      <c r="K894" s="299"/>
      <c r="L894" s="299"/>
      <c r="M894" s="299"/>
      <c r="N894" s="299"/>
      <c r="O894" s="299"/>
      <c r="P894" s="299"/>
      <c r="Q894" s="299"/>
      <c r="R894" s="299"/>
      <c r="S894" s="299"/>
      <c r="T894" s="299"/>
      <c r="U894" s="299"/>
      <c r="V894" s="299"/>
      <c r="W894" s="299"/>
      <c r="X894" s="299"/>
      <c r="Y894" s="299"/>
      <c r="Z894" s="299"/>
      <c r="AA894" s="299"/>
      <c r="AB894" s="299"/>
    </row>
    <row r="895" spans="1:28" ht="15.75" hidden="1" outlineLevel="1" x14ac:dyDescent="0.25">
      <c r="A895" s="291"/>
      <c r="B895" s="291"/>
      <c r="C895" s="291"/>
      <c r="D895" s="291"/>
      <c r="E895" s="291"/>
      <c r="F895" s="291"/>
      <c r="G895" s="291"/>
      <c r="H895" s="325"/>
      <c r="I895" s="291"/>
      <c r="J895" s="291"/>
      <c r="K895" s="291">
        <f>K$2</f>
        <v>1</v>
      </c>
      <c r="L895" s="291">
        <f>L$2</f>
        <v>1</v>
      </c>
      <c r="M895" s="291"/>
      <c r="N895" s="291"/>
      <c r="O895" s="303"/>
      <c r="P895" s="303"/>
      <c r="Q895" s="303"/>
      <c r="R895" s="291"/>
      <c r="S895" s="291"/>
      <c r="T895" s="291"/>
      <c r="U895" s="381">
        <f>U$2</f>
        <v>1.0309523809523808</v>
      </c>
      <c r="V895" s="381">
        <f>V$2</f>
        <v>1</v>
      </c>
      <c r="W895" s="381">
        <f t="shared" ref="W895:AB895" si="312">W$2</f>
        <v>1.0705952380952379</v>
      </c>
      <c r="X895" s="381">
        <f t="shared" si="312"/>
        <v>1.1199999999999999</v>
      </c>
      <c r="Y895" s="381">
        <f t="shared" si="312"/>
        <v>1.0571428571428572</v>
      </c>
      <c r="Z895" s="381">
        <f t="shared" si="312"/>
        <v>1.1299999999999999</v>
      </c>
      <c r="AA895" s="381">
        <f t="shared" si="312"/>
        <v>1.0776942355889725</v>
      </c>
      <c r="AB895" s="381">
        <f t="shared" si="312"/>
        <v>1.0325814536340854</v>
      </c>
    </row>
    <row r="896" spans="1:28" s="305" customFormat="1" hidden="1" outlineLevel="2" x14ac:dyDescent="0.25">
      <c r="A896" s="278"/>
      <c r="B896" s="279" t="str">
        <f>C896&amp;D896&amp;E896&amp;F896</f>
        <v>deckingpineaverage</v>
      </c>
      <c r="C896" s="278" t="s">
        <v>2071</v>
      </c>
      <c r="D896" s="278"/>
      <c r="E896" s="278" t="s">
        <v>569</v>
      </c>
      <c r="F896" s="278" t="s">
        <v>543</v>
      </c>
      <c r="G896" s="278" t="s">
        <v>11</v>
      </c>
      <c r="H896" s="310">
        <v>0.42</v>
      </c>
      <c r="I896" s="280">
        <f>$I$2*H896</f>
        <v>33.860399999999998</v>
      </c>
      <c r="J896" s="281">
        <f>$J$2*H896</f>
        <v>38.400600000000004</v>
      </c>
      <c r="K896" s="282">
        <f>IF(Notes!$B$9="Domestic",I896, IF(Notes!$B$9="Commercial",J896))*$K$895</f>
        <v>38.400600000000004</v>
      </c>
      <c r="L896" s="283">
        <f>(SUM(O896:Q896)+(K896+SUM(M896:Q896))*(INDEX($U$895:$AB$895,MATCH(Notes!$C$16,$U$3:$AB$3,0))-100%))*$L$895</f>
        <v>59.51</v>
      </c>
      <c r="M896" s="286"/>
      <c r="N896" s="286"/>
      <c r="O896" s="285">
        <v>59.51</v>
      </c>
      <c r="P896" s="285"/>
      <c r="Q896" s="285"/>
      <c r="R896" s="278"/>
      <c r="S896" s="278"/>
      <c r="T896" s="278"/>
    </row>
    <row r="897" spans="1:28" s="305" customFormat="1" hidden="1" outlineLevel="2" x14ac:dyDescent="0.25">
      <c r="A897" s="278"/>
      <c r="B897" s="279" t="str">
        <f t="shared" ref="B897:B902" si="313">C897&amp;D897&amp;E897&amp;F897</f>
        <v>deckingpinequality</v>
      </c>
      <c r="C897" s="278" t="s">
        <v>2071</v>
      </c>
      <c r="D897" s="278"/>
      <c r="E897" s="278" t="s">
        <v>569</v>
      </c>
      <c r="F897" s="278" t="s">
        <v>544</v>
      </c>
      <c r="G897" s="278" t="s">
        <v>11</v>
      </c>
      <c r="H897" s="310">
        <v>0.42</v>
      </c>
      <c r="I897" s="280">
        <f t="shared" ref="I897:I899" si="314">$I$2*H897</f>
        <v>33.860399999999998</v>
      </c>
      <c r="J897" s="281">
        <f t="shared" ref="J897:J902" si="315">$J$2*H897</f>
        <v>38.400600000000004</v>
      </c>
      <c r="K897" s="282">
        <f>IF(Notes!$B$9="Domestic",I897, IF(Notes!$B$9="Commercial",J897))*$K$895</f>
        <v>38.400600000000004</v>
      </c>
      <c r="L897" s="283">
        <f>(SUM(O897:Q897)+(K897+SUM(M897:Q897))*(INDEX($U$895:$AB$895,MATCH(Notes!$C$16,$U$3:$AB$3,0))-100%))*$L$895</f>
        <v>69.12</v>
      </c>
      <c r="M897" s="286"/>
      <c r="N897" s="286"/>
      <c r="O897" s="285">
        <v>69.12</v>
      </c>
      <c r="P897" s="285"/>
      <c r="Q897" s="285"/>
      <c r="R897" s="278"/>
      <c r="S897" s="278"/>
      <c r="T897" s="278"/>
    </row>
    <row r="898" spans="1:28" s="305" customFormat="1" hidden="1" outlineLevel="2" x14ac:dyDescent="0.25">
      <c r="A898" s="278"/>
      <c r="B898" s="279" t="str">
        <f t="shared" si="313"/>
        <v>deckingpineprestige</v>
      </c>
      <c r="C898" s="278" t="s">
        <v>2071</v>
      </c>
      <c r="D898" s="278"/>
      <c r="E898" s="278" t="s">
        <v>569</v>
      </c>
      <c r="F898" s="278" t="s">
        <v>545</v>
      </c>
      <c r="G898" s="278" t="s">
        <v>11</v>
      </c>
      <c r="H898" s="310">
        <v>0.42</v>
      </c>
      <c r="I898" s="280">
        <f t="shared" si="314"/>
        <v>33.860399999999998</v>
      </c>
      <c r="J898" s="281">
        <f t="shared" si="315"/>
        <v>38.400600000000004</v>
      </c>
      <c r="K898" s="282">
        <f>IF(Notes!$B$9="Domestic",I898, IF(Notes!$B$9="Commercial",J898))*$K$895</f>
        <v>38.400600000000004</v>
      </c>
      <c r="L898" s="283">
        <f>(SUM(O898:Q898)+(K898+SUM(M898:Q898))*(INDEX($U$895:$AB$895,MATCH(Notes!$C$16,$U$3:$AB$3,0))-100%))*$L$895</f>
        <v>89.856000000000009</v>
      </c>
      <c r="M898" s="286"/>
      <c r="N898" s="286"/>
      <c r="O898" s="311">
        <f>O897*1.3</f>
        <v>89.856000000000009</v>
      </c>
      <c r="P898" s="285"/>
      <c r="Q898" s="285"/>
      <c r="R898" s="278"/>
      <c r="S898" s="278"/>
      <c r="T898" s="278"/>
    </row>
    <row r="899" spans="1:28" s="305" customFormat="1" hidden="1" outlineLevel="2" x14ac:dyDescent="0.25">
      <c r="A899" s="278"/>
      <c r="B899" s="279" t="str">
        <f t="shared" si="313"/>
        <v>deckingcompositeaverage</v>
      </c>
      <c r="C899" s="278" t="s">
        <v>2071</v>
      </c>
      <c r="D899" s="278"/>
      <c r="E899" s="278" t="s">
        <v>809</v>
      </c>
      <c r="F899" s="278" t="s">
        <v>543</v>
      </c>
      <c r="G899" s="278" t="s">
        <v>11</v>
      </c>
      <c r="H899" s="310">
        <v>0.42</v>
      </c>
      <c r="I899" s="280">
        <f t="shared" si="314"/>
        <v>33.860399999999998</v>
      </c>
      <c r="J899" s="281">
        <f t="shared" si="315"/>
        <v>38.400600000000004</v>
      </c>
      <c r="K899" s="282">
        <f>IF(Notes!$B$9="Domestic",I899, IF(Notes!$B$9="Commercial",J899))*$K$895</f>
        <v>38.400600000000004</v>
      </c>
      <c r="L899" s="283">
        <f>(SUM(O899:Q899)+(K899+SUM(M899:Q899))*(INDEX($U$895:$AB$895,MATCH(Notes!$C$16,$U$3:$AB$3,0))-100%))*$L$895</f>
        <v>145.56</v>
      </c>
      <c r="M899" s="286"/>
      <c r="N899" s="286"/>
      <c r="O899" s="285">
        <v>145.56</v>
      </c>
      <c r="P899" s="285"/>
      <c r="Q899" s="285"/>
      <c r="R899" s="278"/>
      <c r="S899" s="278"/>
      <c r="T899" s="278"/>
    </row>
    <row r="900" spans="1:28" s="305" customFormat="1" hidden="1" outlineLevel="2" x14ac:dyDescent="0.25">
      <c r="A900" s="278"/>
      <c r="B900" s="279" t="str">
        <f t="shared" si="313"/>
        <v>deckingcompositequality</v>
      </c>
      <c r="C900" s="278" t="s">
        <v>2071</v>
      </c>
      <c r="D900" s="278"/>
      <c r="E900" s="278" t="s">
        <v>809</v>
      </c>
      <c r="F900" s="278" t="s">
        <v>544</v>
      </c>
      <c r="G900" s="278" t="s">
        <v>11</v>
      </c>
      <c r="H900" s="310">
        <v>0.42</v>
      </c>
      <c r="I900" s="280">
        <f>$I$2*H900</f>
        <v>33.860399999999998</v>
      </c>
      <c r="J900" s="281">
        <f t="shared" si="315"/>
        <v>38.400600000000004</v>
      </c>
      <c r="K900" s="282">
        <f>IF(Notes!$B$9="Domestic",I900, IF(Notes!$B$9="Commercial",J900))*$K$895</f>
        <v>38.400600000000004</v>
      </c>
      <c r="L900" s="283">
        <f>(SUM(O900:Q900)+(K900+SUM(M900:Q900))*(INDEX($U$895:$AB$895,MATCH(Notes!$C$16,$U$3:$AB$3,0))-100%))*$L$895</f>
        <v>161.86000000000001</v>
      </c>
      <c r="M900" s="286"/>
      <c r="N900" s="286"/>
      <c r="O900" s="285">
        <v>161.86000000000001</v>
      </c>
      <c r="P900" s="285"/>
      <c r="Q900" s="285"/>
      <c r="R900" s="278"/>
      <c r="S900" s="278"/>
      <c r="T900" s="278"/>
    </row>
    <row r="901" spans="1:28" s="305" customFormat="1" hidden="1" outlineLevel="2" x14ac:dyDescent="0.25">
      <c r="A901" s="278"/>
      <c r="B901" s="279" t="str">
        <f t="shared" si="313"/>
        <v>deckingcompositeprestige</v>
      </c>
      <c r="C901" s="278" t="s">
        <v>2071</v>
      </c>
      <c r="D901" s="278"/>
      <c r="E901" s="278" t="s">
        <v>809</v>
      </c>
      <c r="F901" s="278" t="s">
        <v>545</v>
      </c>
      <c r="G901" s="278" t="s">
        <v>11</v>
      </c>
      <c r="H901" s="310">
        <v>0.42</v>
      </c>
      <c r="I901" s="280">
        <f t="shared" ref="I901:I902" si="316">$I$2*H901</f>
        <v>33.860399999999998</v>
      </c>
      <c r="J901" s="281">
        <f t="shared" si="315"/>
        <v>38.400600000000004</v>
      </c>
      <c r="K901" s="282">
        <f>IF(Notes!$B$9="Domestic",I901, IF(Notes!$B$9="Commercial",J901))*$K$895</f>
        <v>38.400600000000004</v>
      </c>
      <c r="L901" s="283">
        <f>(SUM(O901:Q901)+(K901+SUM(M901:Q901))*(INDEX($U$895:$AB$895,MATCH(Notes!$C$16,$U$3:$AB$3,0))-100%))*$L$895</f>
        <v>235.28</v>
      </c>
      <c r="M901" s="286"/>
      <c r="N901" s="286"/>
      <c r="O901" s="285">
        <v>235.28</v>
      </c>
      <c r="P901" s="285"/>
      <c r="Q901" s="285"/>
      <c r="R901" s="278"/>
      <c r="S901" s="278"/>
      <c r="T901" s="278"/>
    </row>
    <row r="902" spans="1:28" s="305" customFormat="1" hidden="1" outlineLevel="2" x14ac:dyDescent="0.25">
      <c r="A902" s="278"/>
      <c r="B902" s="279" t="str">
        <f t="shared" si="313"/>
        <v>deckingblackbuttaverage</v>
      </c>
      <c r="C902" s="278" t="s">
        <v>2071</v>
      </c>
      <c r="D902" s="278"/>
      <c r="E902" s="278" t="s">
        <v>810</v>
      </c>
      <c r="F902" s="278" t="s">
        <v>543</v>
      </c>
      <c r="G902" s="278" t="s">
        <v>11</v>
      </c>
      <c r="H902" s="310">
        <v>0.42</v>
      </c>
      <c r="I902" s="280">
        <f t="shared" si="316"/>
        <v>33.860399999999998</v>
      </c>
      <c r="J902" s="281">
        <f t="shared" si="315"/>
        <v>38.400600000000004</v>
      </c>
      <c r="K902" s="282">
        <f>IF(Notes!$B$9="Domestic",I902, IF(Notes!$B$9="Commercial",J902))*$K$895</f>
        <v>38.400600000000004</v>
      </c>
      <c r="L902" s="283">
        <f>(SUM(O902:Q902)+(K902+SUM(M902:Q902))*(INDEX($U$895:$AB$895,MATCH(Notes!$C$16,$U$3:$AB$3,0))-100%))*$L$895</f>
        <v>90.88</v>
      </c>
      <c r="M902" s="286"/>
      <c r="N902" s="286"/>
      <c r="O902" s="285">
        <v>90.88</v>
      </c>
      <c r="P902" s="285"/>
      <c r="Q902" s="285"/>
      <c r="R902" s="278"/>
      <c r="S902" s="278"/>
      <c r="T902" s="278"/>
    </row>
    <row r="903" spans="1:28" s="305" customFormat="1" hidden="1" outlineLevel="2" x14ac:dyDescent="0.25">
      <c r="A903" s="278"/>
      <c r="B903" s="279" t="str">
        <f t="shared" ref="B903:B910" si="317">C903&amp;D903&amp;E903&amp;F903</f>
        <v>deckingblackbuttquality</v>
      </c>
      <c r="C903" s="278" t="s">
        <v>2071</v>
      </c>
      <c r="D903" s="278"/>
      <c r="E903" s="278" t="s">
        <v>810</v>
      </c>
      <c r="F903" s="278" t="s">
        <v>544</v>
      </c>
      <c r="G903" s="278" t="s">
        <v>11</v>
      </c>
      <c r="H903" s="310">
        <v>0.42</v>
      </c>
      <c r="I903" s="280">
        <f t="shared" ref="I903:I910" si="318">$I$2*H903</f>
        <v>33.860399999999998</v>
      </c>
      <c r="J903" s="281">
        <f t="shared" ref="J903:J910" si="319">$J$2*H903</f>
        <v>38.400600000000004</v>
      </c>
      <c r="K903" s="282">
        <f>IF(Notes!$B$9="Domestic",I903, IF(Notes!$B$9="Commercial",J903))*$K$895</f>
        <v>38.400600000000004</v>
      </c>
      <c r="L903" s="283">
        <f>(SUM(O903:Q903)+(K903+SUM(M903:Q903))*(INDEX($U$895:$AB$895,MATCH(Notes!$C$16,$U$3:$AB$3,0))-100%))*$L$895</f>
        <v>95.4</v>
      </c>
      <c r="M903" s="286"/>
      <c r="N903" s="286"/>
      <c r="O903" s="285">
        <v>95.4</v>
      </c>
      <c r="P903" s="285"/>
      <c r="Q903" s="285"/>
      <c r="R903" s="278"/>
      <c r="S903" s="278"/>
      <c r="T903" s="278"/>
    </row>
    <row r="904" spans="1:28" s="305" customFormat="1" hidden="1" outlineLevel="2" x14ac:dyDescent="0.25">
      <c r="A904" s="278"/>
      <c r="B904" s="279" t="str">
        <f t="shared" si="317"/>
        <v>deckingblackbuttprestige</v>
      </c>
      <c r="C904" s="278" t="s">
        <v>2071</v>
      </c>
      <c r="D904" s="278"/>
      <c r="E904" s="278" t="s">
        <v>810</v>
      </c>
      <c r="F904" s="278" t="s">
        <v>545</v>
      </c>
      <c r="G904" s="278" t="s">
        <v>11</v>
      </c>
      <c r="H904" s="310">
        <v>0.42</v>
      </c>
      <c r="I904" s="280">
        <f t="shared" si="318"/>
        <v>33.860399999999998</v>
      </c>
      <c r="J904" s="281">
        <f t="shared" si="319"/>
        <v>38.400600000000004</v>
      </c>
      <c r="K904" s="282">
        <f>IF(Notes!$B$9="Domestic",I904, IF(Notes!$B$9="Commercial",J904))*$K$895</f>
        <v>38.400600000000004</v>
      </c>
      <c r="L904" s="283">
        <f>(SUM(O904:Q904)+(K904+SUM(M904:Q904))*(INDEX($U$895:$AB$895,MATCH(Notes!$C$16,$U$3:$AB$3,0))-100%))*$L$895</f>
        <v>125.76</v>
      </c>
      <c r="M904" s="286"/>
      <c r="N904" s="286"/>
      <c r="O904" s="285">
        <v>125.76</v>
      </c>
      <c r="P904" s="285"/>
      <c r="Q904" s="285"/>
      <c r="R904" s="278"/>
      <c r="S904" s="278"/>
      <c r="T904" s="278"/>
    </row>
    <row r="905" spans="1:28" s="305" customFormat="1" hidden="1" outlineLevel="2" x14ac:dyDescent="0.25">
      <c r="A905" s="278"/>
      <c r="B905" s="279" t="str">
        <f t="shared" si="317"/>
        <v>deckingIronbarkaverage</v>
      </c>
      <c r="C905" s="278" t="s">
        <v>2071</v>
      </c>
      <c r="D905" s="278"/>
      <c r="E905" s="278" t="s">
        <v>811</v>
      </c>
      <c r="F905" s="278" t="s">
        <v>543</v>
      </c>
      <c r="G905" s="278" t="s">
        <v>11</v>
      </c>
      <c r="H905" s="310">
        <v>0.42</v>
      </c>
      <c r="I905" s="280">
        <f t="shared" si="318"/>
        <v>33.860399999999998</v>
      </c>
      <c r="J905" s="281">
        <f t="shared" si="319"/>
        <v>38.400600000000004</v>
      </c>
      <c r="K905" s="282">
        <f>IF(Notes!$B$9="Domestic",I905, IF(Notes!$B$9="Commercial",J905))*$K$895</f>
        <v>38.400600000000004</v>
      </c>
      <c r="L905" s="283">
        <f>(SUM(O905:Q905)+(K905+SUM(M905:Q905))*(INDEX($U$895:$AB$895,MATCH(Notes!$C$16,$U$3:$AB$3,0))-100%))*$L$895</f>
        <v>99.48</v>
      </c>
      <c r="M905" s="286"/>
      <c r="N905" s="286"/>
      <c r="O905" s="285">
        <v>99.48</v>
      </c>
      <c r="P905" s="285"/>
      <c r="Q905" s="285"/>
      <c r="R905" s="278"/>
      <c r="S905" s="278"/>
      <c r="T905" s="278"/>
    </row>
    <row r="906" spans="1:28" s="305" customFormat="1" hidden="1" outlineLevel="2" x14ac:dyDescent="0.25">
      <c r="A906" s="278"/>
      <c r="B906" s="279" t="str">
        <f t="shared" si="317"/>
        <v>deckingIronbarkquality</v>
      </c>
      <c r="C906" s="278" t="s">
        <v>2071</v>
      </c>
      <c r="D906" s="278"/>
      <c r="E906" s="278" t="s">
        <v>811</v>
      </c>
      <c r="F906" s="278" t="s">
        <v>544</v>
      </c>
      <c r="G906" s="278" t="s">
        <v>11</v>
      </c>
      <c r="H906" s="310">
        <v>0.42</v>
      </c>
      <c r="I906" s="280">
        <f t="shared" si="318"/>
        <v>33.860399999999998</v>
      </c>
      <c r="J906" s="281">
        <f t="shared" si="319"/>
        <v>38.400600000000004</v>
      </c>
      <c r="K906" s="282">
        <f>IF(Notes!$B$9="Domestic",I906, IF(Notes!$B$9="Commercial",J906))*$K$895</f>
        <v>38.400600000000004</v>
      </c>
      <c r="L906" s="283">
        <f>(SUM(O906:Q906)+(K906+SUM(M906:Q906))*(INDEX($U$895:$AB$895,MATCH(Notes!$C$16,$U$3:$AB$3,0))-100%))*$L$895</f>
        <v>109.42800000000001</v>
      </c>
      <c r="M906" s="286"/>
      <c r="N906" s="286"/>
      <c r="O906" s="311">
        <f>O905*1.1</f>
        <v>109.42800000000001</v>
      </c>
      <c r="P906" s="285"/>
      <c r="Q906" s="285"/>
      <c r="R906" s="278"/>
      <c r="S906" s="278"/>
      <c r="T906" s="278"/>
    </row>
    <row r="907" spans="1:28" s="305" customFormat="1" hidden="1" outlineLevel="2" x14ac:dyDescent="0.25">
      <c r="A907" s="278"/>
      <c r="B907" s="279" t="str">
        <f t="shared" si="317"/>
        <v>deckingIronbarkprestige</v>
      </c>
      <c r="C907" s="278" t="s">
        <v>2071</v>
      </c>
      <c r="D907" s="278"/>
      <c r="E907" s="278" t="s">
        <v>811</v>
      </c>
      <c r="F907" s="278" t="s">
        <v>545</v>
      </c>
      <c r="G907" s="278" t="s">
        <v>11</v>
      </c>
      <c r="H907" s="310">
        <v>0.42</v>
      </c>
      <c r="I907" s="280">
        <f t="shared" si="318"/>
        <v>33.860399999999998</v>
      </c>
      <c r="J907" s="281">
        <f t="shared" si="319"/>
        <v>38.400600000000004</v>
      </c>
      <c r="K907" s="282">
        <f>IF(Notes!$B$9="Domestic",I907, IF(Notes!$B$9="Commercial",J907))*$K$895</f>
        <v>38.400600000000004</v>
      </c>
      <c r="L907" s="283">
        <f>(SUM(O907:Q907)+(K907+SUM(M907:Q907))*(INDEX($U$895:$AB$895,MATCH(Notes!$C$16,$U$3:$AB$3,0))-100%))*$L$895</f>
        <v>139.71</v>
      </c>
      <c r="M907" s="286"/>
      <c r="N907" s="286"/>
      <c r="O907" s="285">
        <v>139.71</v>
      </c>
      <c r="P907" s="285"/>
      <c r="Q907" s="285"/>
      <c r="R907" s="278"/>
      <c r="S907" s="278"/>
      <c r="T907" s="278"/>
    </row>
    <row r="908" spans="1:28" s="305" customFormat="1" hidden="1" outlineLevel="2" x14ac:dyDescent="0.25">
      <c r="A908" s="278"/>
      <c r="B908" s="279" t="str">
        <f t="shared" si="317"/>
        <v>deckingspotted gumaverage</v>
      </c>
      <c r="C908" s="278" t="s">
        <v>2071</v>
      </c>
      <c r="D908" s="278"/>
      <c r="E908" s="278" t="s">
        <v>2149</v>
      </c>
      <c r="F908" s="278" t="s">
        <v>543</v>
      </c>
      <c r="G908" s="278" t="s">
        <v>11</v>
      </c>
      <c r="H908" s="310">
        <v>0.42</v>
      </c>
      <c r="I908" s="280">
        <f t="shared" si="318"/>
        <v>33.860399999999998</v>
      </c>
      <c r="J908" s="281">
        <f t="shared" si="319"/>
        <v>38.400600000000004</v>
      </c>
      <c r="K908" s="282">
        <f>IF(Notes!$B$9="Domestic",I908, IF(Notes!$B$9="Commercial",J908))*$K$895</f>
        <v>38.400600000000004</v>
      </c>
      <c r="L908" s="283">
        <f>(SUM(O908:Q908)+(K908+SUM(M908:Q908))*(INDEX($U$895:$AB$895,MATCH(Notes!$C$16,$U$3:$AB$3,0))-100%))*$L$895</f>
        <v>93.44</v>
      </c>
      <c r="M908" s="286"/>
      <c r="N908" s="286"/>
      <c r="O908" s="285">
        <v>93.44</v>
      </c>
      <c r="P908" s="285"/>
      <c r="Q908" s="285"/>
      <c r="R908" s="278"/>
      <c r="S908" s="278"/>
      <c r="T908" s="278"/>
    </row>
    <row r="909" spans="1:28" s="305" customFormat="1" hidden="1" outlineLevel="2" x14ac:dyDescent="0.25">
      <c r="A909" s="278"/>
      <c r="B909" s="279" t="str">
        <f t="shared" si="317"/>
        <v>deckingspotted gumquality</v>
      </c>
      <c r="C909" s="278" t="s">
        <v>2071</v>
      </c>
      <c r="D909" s="278"/>
      <c r="E909" s="278" t="s">
        <v>2149</v>
      </c>
      <c r="F909" s="278" t="s">
        <v>544</v>
      </c>
      <c r="G909" s="278" t="s">
        <v>11</v>
      </c>
      <c r="H909" s="310">
        <v>0.42</v>
      </c>
      <c r="I909" s="280">
        <f t="shared" si="318"/>
        <v>33.860399999999998</v>
      </c>
      <c r="J909" s="281">
        <f t="shared" si="319"/>
        <v>38.400600000000004</v>
      </c>
      <c r="K909" s="282">
        <f>IF(Notes!$B$9="Domestic",I909, IF(Notes!$B$9="Commercial",J909))*$K$895</f>
        <v>38.400600000000004</v>
      </c>
      <c r="L909" s="283">
        <f>(SUM(O909:Q909)+(K909+SUM(M909:Q909))*(INDEX($U$895:$AB$895,MATCH(Notes!$C$16,$U$3:$AB$3,0))-100%))*$L$895</f>
        <v>111.48</v>
      </c>
      <c r="M909" s="286"/>
      <c r="N909" s="286"/>
      <c r="O909" s="285">
        <v>111.48</v>
      </c>
      <c r="P909" s="285"/>
      <c r="Q909" s="285"/>
      <c r="R909" s="278"/>
      <c r="S909" s="278"/>
      <c r="T909" s="278"/>
    </row>
    <row r="910" spans="1:28" s="305" customFormat="1" hidden="1" outlineLevel="2" x14ac:dyDescent="0.25">
      <c r="A910" s="278"/>
      <c r="B910" s="279" t="str">
        <f t="shared" si="317"/>
        <v>deckingspotted gumprestige</v>
      </c>
      <c r="C910" s="278" t="s">
        <v>2071</v>
      </c>
      <c r="D910" s="278"/>
      <c r="E910" s="278" t="s">
        <v>2149</v>
      </c>
      <c r="F910" s="278" t="s">
        <v>545</v>
      </c>
      <c r="G910" s="278" t="s">
        <v>11</v>
      </c>
      <c r="H910" s="310">
        <v>0.42</v>
      </c>
      <c r="I910" s="280">
        <f t="shared" si="318"/>
        <v>33.860399999999998</v>
      </c>
      <c r="J910" s="281">
        <f t="shared" si="319"/>
        <v>38.400600000000004</v>
      </c>
      <c r="K910" s="282">
        <f>IF(Notes!$B$9="Domestic",I910, IF(Notes!$B$9="Commercial",J910))*$K$895</f>
        <v>38.400600000000004</v>
      </c>
      <c r="L910" s="283">
        <f>(SUM(O910:Q910)+(K910+SUM(M910:Q910))*(INDEX($U$895:$AB$895,MATCH(Notes!$C$16,$U$3:$AB$3,0))-100%))*$L$895</f>
        <v>127.96</v>
      </c>
      <c r="M910" s="286"/>
      <c r="N910" s="286"/>
      <c r="O910" s="285">
        <v>127.96</v>
      </c>
      <c r="P910" s="285"/>
      <c r="Q910" s="285"/>
      <c r="R910" s="278"/>
      <c r="S910" s="278"/>
      <c r="T910" s="278"/>
    </row>
    <row r="911" spans="1:28" ht="21" hidden="1" outlineLevel="1" collapsed="1" x14ac:dyDescent="0.25">
      <c r="A911" s="299" t="s">
        <v>2060</v>
      </c>
      <c r="B911" s="299"/>
      <c r="C911" s="299"/>
      <c r="D911" s="299"/>
      <c r="E911" s="299"/>
      <c r="F911" s="299"/>
      <c r="G911" s="299"/>
      <c r="H911" s="348"/>
      <c r="I911" s="299"/>
      <c r="J911" s="299"/>
      <c r="K911" s="299"/>
      <c r="L911" s="299"/>
      <c r="M911" s="299"/>
      <c r="N911" s="299"/>
      <c r="O911" s="299"/>
      <c r="P911" s="299"/>
      <c r="Q911" s="299"/>
      <c r="R911" s="299"/>
      <c r="S911" s="299"/>
      <c r="T911" s="299"/>
      <c r="U911" s="299"/>
      <c r="V911" s="299"/>
      <c r="W911" s="299"/>
      <c r="X911" s="299"/>
      <c r="Y911" s="299"/>
      <c r="Z911" s="299"/>
      <c r="AA911" s="299"/>
      <c r="AB911" s="299"/>
    </row>
    <row r="912" spans="1:28" ht="15.75" hidden="1" outlineLevel="1" x14ac:dyDescent="0.25">
      <c r="A912" s="291"/>
      <c r="B912" s="291"/>
      <c r="C912" s="291"/>
      <c r="D912" s="291"/>
      <c r="E912" s="291"/>
      <c r="F912" s="291"/>
      <c r="G912" s="291"/>
      <c r="H912" s="325"/>
      <c r="I912" s="291"/>
      <c r="J912" s="291"/>
      <c r="K912" s="291">
        <f>K$2</f>
        <v>1</v>
      </c>
      <c r="L912" s="291">
        <f>L$2</f>
        <v>1</v>
      </c>
      <c r="M912" s="291"/>
      <c r="N912" s="291"/>
      <c r="O912" s="303"/>
      <c r="P912" s="303"/>
      <c r="Q912" s="303"/>
      <c r="R912" s="291"/>
      <c r="S912" s="291"/>
      <c r="T912" s="291"/>
      <c r="U912" s="381">
        <f>U$2</f>
        <v>1.0309523809523808</v>
      </c>
      <c r="V912" s="381">
        <f>V$2</f>
        <v>1</v>
      </c>
      <c r="W912" s="381">
        <f t="shared" ref="W912:AB912" si="320">W$2</f>
        <v>1.0705952380952379</v>
      </c>
      <c r="X912" s="381">
        <f t="shared" si="320"/>
        <v>1.1199999999999999</v>
      </c>
      <c r="Y912" s="381">
        <f t="shared" si="320"/>
        <v>1.0571428571428572</v>
      </c>
      <c r="Z912" s="381">
        <f t="shared" si="320"/>
        <v>1.1299999999999999</v>
      </c>
      <c r="AA912" s="381">
        <f t="shared" si="320"/>
        <v>1.0776942355889725</v>
      </c>
      <c r="AB912" s="381">
        <f t="shared" si="320"/>
        <v>1.0325814536340854</v>
      </c>
    </row>
    <row r="913" spans="1:28" s="305" customFormat="1" hidden="1" outlineLevel="2" x14ac:dyDescent="0.25">
      <c r="A913" s="278"/>
      <c r="B913" s="279" t="str">
        <f>C913&amp;D913&amp;E913&amp;F913</f>
        <v>frieze workstraightaverage</v>
      </c>
      <c r="C913" s="278" t="s">
        <v>2056</v>
      </c>
      <c r="D913" s="278"/>
      <c r="E913" s="278" t="s">
        <v>2057</v>
      </c>
      <c r="F913" s="278" t="s">
        <v>543</v>
      </c>
      <c r="G913" s="278" t="s">
        <v>15</v>
      </c>
      <c r="H913" s="310">
        <v>0.34</v>
      </c>
      <c r="I913" s="280">
        <f>$I$2*H913</f>
        <v>27.410800000000002</v>
      </c>
      <c r="J913" s="281">
        <f>$J$2*H913</f>
        <v>31.086200000000005</v>
      </c>
      <c r="K913" s="282">
        <f>IF(Notes!$B$9="Domestic",I913, IF(Notes!$B$9="Commercial",J913))*$K$912</f>
        <v>31.086200000000005</v>
      </c>
      <c r="L913" s="283">
        <f>(SUM(O913:Q913)+(K913+SUM(M913:Q913))*(INDEX($U$912:$AB$912,MATCH(Notes!$C$16,$U$3:$AB$3,0))-100%))*$L$912</f>
        <v>95.72</v>
      </c>
      <c r="M913" s="286"/>
      <c r="N913" s="286"/>
      <c r="O913" s="285">
        <v>95.72</v>
      </c>
      <c r="P913" s="285"/>
      <c r="Q913" s="285"/>
      <c r="R913" s="278"/>
      <c r="S913" s="278"/>
      <c r="T913" s="278"/>
    </row>
    <row r="914" spans="1:28" s="305" customFormat="1" hidden="1" outlineLevel="2" x14ac:dyDescent="0.25">
      <c r="A914" s="278"/>
      <c r="B914" s="279" t="str">
        <f t="shared" ref="B914:B917" si="321">C914&amp;D914&amp;E914&amp;F914</f>
        <v>frieze workstraightquality</v>
      </c>
      <c r="C914" s="278" t="s">
        <v>2056</v>
      </c>
      <c r="D914" s="278"/>
      <c r="E914" s="278" t="s">
        <v>2057</v>
      </c>
      <c r="F914" s="278" t="s">
        <v>544</v>
      </c>
      <c r="G914" s="278" t="s">
        <v>15</v>
      </c>
      <c r="H914" s="310">
        <v>0.34</v>
      </c>
      <c r="I914" s="280">
        <f t="shared" ref="I914:I917" si="322">$I$2*H914</f>
        <v>27.410800000000002</v>
      </c>
      <c r="J914" s="281">
        <f t="shared" ref="J914:J917" si="323">$J$2*H914</f>
        <v>31.086200000000005</v>
      </c>
      <c r="K914" s="282">
        <f>IF(Notes!$B$9="Domestic",I914, IF(Notes!$B$9="Commercial",J914))*$K$912</f>
        <v>31.086200000000005</v>
      </c>
      <c r="L914" s="283">
        <f>(SUM(O914:Q914)+(K914+SUM(M914:Q914))*(INDEX($U$912:$AB$912,MATCH(Notes!$C$16,$U$3:$AB$3,0))-100%))*$L$912</f>
        <v>105.292</v>
      </c>
      <c r="M914" s="286"/>
      <c r="N914" s="286"/>
      <c r="O914" s="311">
        <f>O913*1.1</f>
        <v>105.292</v>
      </c>
      <c r="P914" s="285"/>
      <c r="Q914" s="285"/>
      <c r="R914" s="278"/>
      <c r="S914" s="278"/>
      <c r="T914" s="278"/>
    </row>
    <row r="915" spans="1:28" s="305" customFormat="1" hidden="1" outlineLevel="2" x14ac:dyDescent="0.25">
      <c r="A915" s="278"/>
      <c r="B915" s="279" t="str">
        <f t="shared" si="321"/>
        <v>frieze workstraightprestige</v>
      </c>
      <c r="C915" s="278" t="s">
        <v>2056</v>
      </c>
      <c r="D915" s="278"/>
      <c r="E915" s="278" t="s">
        <v>2057</v>
      </c>
      <c r="F915" s="278" t="s">
        <v>545</v>
      </c>
      <c r="G915" s="278" t="s">
        <v>15</v>
      </c>
      <c r="H915" s="310">
        <v>0.34</v>
      </c>
      <c r="I915" s="280">
        <f t="shared" si="322"/>
        <v>27.410800000000002</v>
      </c>
      <c r="J915" s="281">
        <f t="shared" si="323"/>
        <v>31.086200000000005</v>
      </c>
      <c r="K915" s="282">
        <f>IF(Notes!$B$9="Domestic",I915, IF(Notes!$B$9="Commercial",J915))*$K$912</f>
        <v>31.086200000000005</v>
      </c>
      <c r="L915" s="283">
        <f>(SUM(O915:Q915)+(K915+SUM(M915:Q915))*(INDEX($U$912:$AB$912,MATCH(Notes!$C$16,$U$3:$AB$3,0))-100%))*$L$912</f>
        <v>136.87960000000001</v>
      </c>
      <c r="M915" s="286"/>
      <c r="N915" s="286"/>
      <c r="O915" s="311">
        <f>O914*1.3</f>
        <v>136.87960000000001</v>
      </c>
      <c r="P915" s="285"/>
      <c r="Q915" s="285"/>
      <c r="R915" s="278"/>
      <c r="S915" s="278"/>
      <c r="T915" s="278"/>
    </row>
    <row r="916" spans="1:28" s="305" customFormat="1" hidden="1" outlineLevel="2" x14ac:dyDescent="0.25">
      <c r="A916" s="278"/>
      <c r="B916" s="279" t="str">
        <f t="shared" si="321"/>
        <v>frieze workarchedaverage</v>
      </c>
      <c r="C916" s="278" t="s">
        <v>2056</v>
      </c>
      <c r="D916" s="278"/>
      <c r="E916" s="278" t="s">
        <v>2058</v>
      </c>
      <c r="F916" s="278" t="s">
        <v>543</v>
      </c>
      <c r="G916" s="278" t="s">
        <v>15</v>
      </c>
      <c r="H916" s="310">
        <v>0.34</v>
      </c>
      <c r="I916" s="280">
        <f t="shared" si="322"/>
        <v>27.410800000000002</v>
      </c>
      <c r="J916" s="281">
        <f t="shared" si="323"/>
        <v>31.086200000000005</v>
      </c>
      <c r="K916" s="282">
        <f>IF(Notes!$B$9="Domestic",I916, IF(Notes!$B$9="Commercial",J916))*$K$912</f>
        <v>31.086200000000005</v>
      </c>
      <c r="L916" s="283">
        <f>(SUM(O916:Q916)+(K916+SUM(M916:Q916))*(INDEX($U$912:$AB$912,MATCH(Notes!$C$16,$U$3:$AB$3,0))-100%))*$L$912</f>
        <v>159.36000000000001</v>
      </c>
      <c r="M916" s="286"/>
      <c r="N916" s="286"/>
      <c r="O916" s="285">
        <v>159.36000000000001</v>
      </c>
      <c r="P916" s="285"/>
      <c r="Q916" s="285"/>
      <c r="R916" s="278"/>
      <c r="S916" s="278"/>
      <c r="T916" s="278"/>
    </row>
    <row r="917" spans="1:28" s="305" customFormat="1" hidden="1" outlineLevel="2" x14ac:dyDescent="0.25">
      <c r="A917" s="278"/>
      <c r="B917" s="279" t="str">
        <f t="shared" si="321"/>
        <v>frieze workarchedquality</v>
      </c>
      <c r="C917" s="278" t="s">
        <v>2056</v>
      </c>
      <c r="D917" s="278"/>
      <c r="E917" s="278" t="s">
        <v>2058</v>
      </c>
      <c r="F917" s="278" t="s">
        <v>544</v>
      </c>
      <c r="G917" s="278" t="s">
        <v>15</v>
      </c>
      <c r="H917" s="310">
        <v>0.34</v>
      </c>
      <c r="I917" s="280">
        <f t="shared" si="322"/>
        <v>27.410800000000002</v>
      </c>
      <c r="J917" s="281">
        <f t="shared" si="323"/>
        <v>31.086200000000005</v>
      </c>
      <c r="K917" s="282">
        <f>IF(Notes!$B$9="Domestic",I917, IF(Notes!$B$9="Commercial",J917))*$K$912</f>
        <v>31.086200000000005</v>
      </c>
      <c r="L917" s="283">
        <f>(SUM(O917:Q917)+(K917+SUM(M917:Q917))*(INDEX($U$912:$AB$912,MATCH(Notes!$C$16,$U$3:$AB$3,0))-100%))*$L$912</f>
        <v>175.29600000000002</v>
      </c>
      <c r="M917" s="286"/>
      <c r="N917" s="286"/>
      <c r="O917" s="311">
        <f>O916*1.1</f>
        <v>175.29600000000002</v>
      </c>
      <c r="P917" s="285"/>
      <c r="Q917" s="285"/>
      <c r="R917" s="278"/>
      <c r="S917" s="278"/>
      <c r="T917" s="278"/>
    </row>
    <row r="918" spans="1:28" s="305" customFormat="1" hidden="1" outlineLevel="2" x14ac:dyDescent="0.25">
      <c r="A918" s="278"/>
      <c r="B918" s="279" t="str">
        <f t="shared" ref="B918" si="324">C918&amp;D918&amp;E918&amp;F918</f>
        <v>frieze workarchedprestige</v>
      </c>
      <c r="C918" s="278" t="s">
        <v>2056</v>
      </c>
      <c r="D918" s="278"/>
      <c r="E918" s="278" t="s">
        <v>2058</v>
      </c>
      <c r="F918" s="278" t="s">
        <v>545</v>
      </c>
      <c r="G918" s="278" t="s">
        <v>15</v>
      </c>
      <c r="H918" s="310">
        <v>0.34</v>
      </c>
      <c r="I918" s="280">
        <f t="shared" ref="I918" si="325">$I$2*H918</f>
        <v>27.410800000000002</v>
      </c>
      <c r="J918" s="281">
        <f t="shared" ref="J918" si="326">$J$2*H918</f>
        <v>31.086200000000005</v>
      </c>
      <c r="K918" s="282">
        <f>IF(Notes!$B$9="Domestic",I918, IF(Notes!$B$9="Commercial",J918))*$K$912</f>
        <v>31.086200000000005</v>
      </c>
      <c r="L918" s="283">
        <f>(SUM(O918:Q918)+(K918+SUM(M918:Q918))*(INDEX($U$912:$AB$912,MATCH(Notes!$C$16,$U$3:$AB$3,0))-100%))*$L$912</f>
        <v>227.88480000000004</v>
      </c>
      <c r="M918" s="286"/>
      <c r="N918" s="286"/>
      <c r="O918" s="311">
        <f>O917*1.3</f>
        <v>227.88480000000004</v>
      </c>
      <c r="P918" s="285"/>
      <c r="Q918" s="285"/>
      <c r="R918" s="278"/>
      <c r="S918" s="278"/>
      <c r="T918" s="278"/>
    </row>
    <row r="919" spans="1:28" ht="21" hidden="1" outlineLevel="1" collapsed="1" x14ac:dyDescent="0.25">
      <c r="A919" s="299" t="s">
        <v>2061</v>
      </c>
      <c r="B919" s="299"/>
      <c r="C919" s="299"/>
      <c r="D919" s="299"/>
      <c r="E919" s="299"/>
      <c r="F919" s="299"/>
      <c r="G919" s="299"/>
      <c r="H919" s="348"/>
      <c r="I919" s="299"/>
      <c r="J919" s="299"/>
      <c r="K919" s="299"/>
      <c r="L919" s="299"/>
      <c r="M919" s="299"/>
      <c r="N919" s="299"/>
      <c r="O919" s="299"/>
      <c r="P919" s="299"/>
      <c r="Q919" s="299"/>
      <c r="R919" s="299"/>
      <c r="S919" s="299"/>
      <c r="T919" s="299"/>
      <c r="U919" s="299"/>
      <c r="V919" s="299"/>
      <c r="W919" s="299"/>
      <c r="X919" s="299"/>
      <c r="Y919" s="299"/>
      <c r="Z919" s="299"/>
      <c r="AA919" s="299"/>
      <c r="AB919" s="299"/>
    </row>
    <row r="920" spans="1:28" ht="15.75" hidden="1" outlineLevel="1" x14ac:dyDescent="0.25">
      <c r="A920" s="291"/>
      <c r="B920" s="291"/>
      <c r="C920" s="291"/>
      <c r="D920" s="291"/>
      <c r="E920" s="291"/>
      <c r="F920" s="291"/>
      <c r="G920" s="291"/>
      <c r="H920" s="325"/>
      <c r="I920" s="291"/>
      <c r="J920" s="291"/>
      <c r="K920" s="291">
        <f>K$2</f>
        <v>1</v>
      </c>
      <c r="L920" s="291">
        <f>L$2</f>
        <v>1</v>
      </c>
      <c r="M920" s="291"/>
      <c r="N920" s="291"/>
      <c r="O920" s="303"/>
      <c r="P920" s="303"/>
      <c r="Q920" s="303"/>
      <c r="R920" s="291"/>
      <c r="S920" s="291"/>
      <c r="T920" s="291"/>
      <c r="U920" s="381">
        <f>U$2</f>
        <v>1.0309523809523808</v>
      </c>
      <c r="V920" s="381">
        <f>V$2</f>
        <v>1</v>
      </c>
      <c r="W920" s="381">
        <f t="shared" ref="W920:AB920" si="327">W$2</f>
        <v>1.0705952380952379</v>
      </c>
      <c r="X920" s="381">
        <f t="shared" si="327"/>
        <v>1.1199999999999999</v>
      </c>
      <c r="Y920" s="381">
        <f t="shared" si="327"/>
        <v>1.0571428571428572</v>
      </c>
      <c r="Z920" s="381">
        <f t="shared" si="327"/>
        <v>1.1299999999999999</v>
      </c>
      <c r="AA920" s="381">
        <f t="shared" si="327"/>
        <v>1.0776942355889725</v>
      </c>
      <c r="AB920" s="381">
        <f t="shared" si="327"/>
        <v>1.0325814536340854</v>
      </c>
    </row>
    <row r="921" spans="1:28" s="305" customFormat="1" hidden="1" outlineLevel="2" x14ac:dyDescent="0.25">
      <c r="A921" s="278"/>
      <c r="B921" s="279" t="str">
        <f>C921&amp;D921&amp;E921&amp;F921</f>
        <v>corner bracketaverage</v>
      </c>
      <c r="C921" s="278" t="s">
        <v>2059</v>
      </c>
      <c r="D921" s="278"/>
      <c r="E921" s="278"/>
      <c r="F921" s="278" t="s">
        <v>543</v>
      </c>
      <c r="G921" s="278" t="s">
        <v>5</v>
      </c>
      <c r="H921" s="310">
        <v>0.17</v>
      </c>
      <c r="I921" s="280">
        <f>$I$2*H921</f>
        <v>13.705400000000001</v>
      </c>
      <c r="J921" s="281">
        <f>$J$2*H921</f>
        <v>15.543100000000003</v>
      </c>
      <c r="K921" s="282">
        <f>IF(Notes!$B$9="Domestic",I921, IF(Notes!$B$9="Commercial",J921))*$K$920</f>
        <v>15.543100000000003</v>
      </c>
      <c r="L921" s="283">
        <f>(SUM(O921:Q921)+(K921+SUM(M921:Q921))*(INDEX($U$920:$AB$920,MATCH(Notes!$C$16,$U$3:$AB$3,0))-100%))*$L$920</f>
        <v>56.68</v>
      </c>
      <c r="M921" s="286"/>
      <c r="N921" s="286"/>
      <c r="O921" s="285">
        <v>56.68</v>
      </c>
      <c r="P921" s="285"/>
      <c r="Q921" s="285"/>
      <c r="R921" s="278"/>
      <c r="S921" s="278"/>
      <c r="T921" s="278"/>
    </row>
    <row r="922" spans="1:28" s="305" customFormat="1" hidden="1" outlineLevel="2" x14ac:dyDescent="0.25">
      <c r="A922" s="278"/>
      <c r="B922" s="279" t="str">
        <f t="shared" ref="B922:B923" si="328">C922&amp;D922&amp;E922&amp;F922</f>
        <v>corner bracketquality</v>
      </c>
      <c r="C922" s="278" t="s">
        <v>2059</v>
      </c>
      <c r="D922" s="278"/>
      <c r="E922" s="278"/>
      <c r="F922" s="278" t="s">
        <v>544</v>
      </c>
      <c r="G922" s="278" t="s">
        <v>5</v>
      </c>
      <c r="H922" s="310">
        <v>0.17</v>
      </c>
      <c r="I922" s="280">
        <f t="shared" ref="I922:I923" si="329">$I$2*H922</f>
        <v>13.705400000000001</v>
      </c>
      <c r="J922" s="281">
        <f t="shared" ref="J922:J923" si="330">$J$2*H922</f>
        <v>15.543100000000003</v>
      </c>
      <c r="K922" s="282">
        <f>IF(Notes!$B$9="Domestic",I922, IF(Notes!$B$9="Commercial",J922))*$K$920</f>
        <v>15.543100000000003</v>
      </c>
      <c r="L922" s="283">
        <f>(SUM(O922:Q922)+(K922+SUM(M922:Q922))*(INDEX($U$920:$AB$920,MATCH(Notes!$C$16,$U$3:$AB$3,0))-100%))*$L$920</f>
        <v>62.348000000000006</v>
      </c>
      <c r="M922" s="286"/>
      <c r="N922" s="286"/>
      <c r="O922" s="311">
        <f>O921*1.1</f>
        <v>62.348000000000006</v>
      </c>
      <c r="P922" s="285"/>
      <c r="Q922" s="285"/>
      <c r="R922" s="278"/>
      <c r="S922" s="278"/>
      <c r="T922" s="278"/>
    </row>
    <row r="923" spans="1:28" s="305" customFormat="1" hidden="1" outlineLevel="2" x14ac:dyDescent="0.25">
      <c r="A923" s="278"/>
      <c r="B923" s="279" t="str">
        <f t="shared" si="328"/>
        <v>corner bracketprestige</v>
      </c>
      <c r="C923" s="278" t="s">
        <v>2059</v>
      </c>
      <c r="D923" s="278"/>
      <c r="E923" s="278"/>
      <c r="F923" s="278" t="s">
        <v>545</v>
      </c>
      <c r="G923" s="278" t="s">
        <v>5</v>
      </c>
      <c r="H923" s="310">
        <v>0.17</v>
      </c>
      <c r="I923" s="280">
        <f t="shared" si="329"/>
        <v>13.705400000000001</v>
      </c>
      <c r="J923" s="281">
        <f t="shared" si="330"/>
        <v>15.543100000000003</v>
      </c>
      <c r="K923" s="282">
        <f>IF(Notes!$B$9="Domestic",I923, IF(Notes!$B$9="Commercial",J923))*$K$920</f>
        <v>15.543100000000003</v>
      </c>
      <c r="L923" s="283">
        <f>(SUM(O923:Q923)+(K923+SUM(M923:Q923))*(INDEX($U$920:$AB$920,MATCH(Notes!$C$16,$U$3:$AB$3,0))-100%))*$L$920</f>
        <v>81.052400000000006</v>
      </c>
      <c r="M923" s="286"/>
      <c r="N923" s="286"/>
      <c r="O923" s="311">
        <f>O922*1.3</f>
        <v>81.052400000000006</v>
      </c>
      <c r="P923" s="285"/>
      <c r="Q923" s="285"/>
      <c r="R923" s="278"/>
      <c r="S923" s="278"/>
      <c r="T923" s="278"/>
    </row>
    <row r="924" spans="1:28" ht="21" hidden="1" outlineLevel="1" collapsed="1" x14ac:dyDescent="0.25">
      <c r="A924" s="299" t="s">
        <v>2085</v>
      </c>
      <c r="B924" s="299"/>
      <c r="C924" s="299"/>
      <c r="D924" s="299"/>
      <c r="E924" s="299"/>
      <c r="F924" s="299"/>
      <c r="G924" s="299"/>
      <c r="H924" s="348"/>
      <c r="I924" s="299"/>
      <c r="J924" s="299"/>
      <c r="K924" s="299"/>
      <c r="L924" s="299"/>
      <c r="M924" s="299"/>
      <c r="N924" s="299"/>
      <c r="O924" s="299"/>
      <c r="P924" s="299"/>
      <c r="Q924" s="299"/>
      <c r="R924" s="299"/>
      <c r="S924" s="299"/>
      <c r="T924" s="299"/>
      <c r="U924" s="299"/>
      <c r="V924" s="299"/>
      <c r="W924" s="299"/>
      <c r="X924" s="299"/>
      <c r="Y924" s="299"/>
      <c r="Z924" s="299"/>
      <c r="AA924" s="299"/>
      <c r="AB924" s="299"/>
    </row>
    <row r="925" spans="1:28" ht="15.75" hidden="1" outlineLevel="1" x14ac:dyDescent="0.25">
      <c r="A925" s="291"/>
      <c r="B925" s="291"/>
      <c r="C925" s="291"/>
      <c r="D925" s="291"/>
      <c r="E925" s="291"/>
      <c r="F925" s="291"/>
      <c r="G925" s="291"/>
      <c r="H925" s="325"/>
      <c r="I925" s="291"/>
      <c r="J925" s="291"/>
      <c r="K925" s="291">
        <f>K$2</f>
        <v>1</v>
      </c>
      <c r="L925" s="291">
        <f>L$2</f>
        <v>1</v>
      </c>
      <c r="M925" s="291"/>
      <c r="N925" s="291"/>
      <c r="O925" s="303"/>
      <c r="P925" s="303"/>
      <c r="Q925" s="303"/>
      <c r="R925" s="291"/>
      <c r="S925" s="291"/>
      <c r="T925" s="291"/>
      <c r="U925" s="291">
        <f>1700/1925</f>
        <v>0.88311688311688308</v>
      </c>
      <c r="V925" s="291">
        <f>1925/1925</f>
        <v>1</v>
      </c>
      <c r="W925" s="291">
        <f>1665/1925</f>
        <v>0.86493506493506489</v>
      </c>
      <c r="X925" s="291">
        <f>1850/1925</f>
        <v>0.96103896103896103</v>
      </c>
      <c r="Y925" s="291">
        <f>1895/1925</f>
        <v>0.98441558441558441</v>
      </c>
      <c r="Z925" s="291">
        <f t="shared" ref="Z925:AB925" si="331">1925/1925</f>
        <v>1</v>
      </c>
      <c r="AA925" s="291">
        <f t="shared" si="331"/>
        <v>1</v>
      </c>
      <c r="AB925" s="291">
        <f t="shared" si="331"/>
        <v>1</v>
      </c>
    </row>
    <row r="926" spans="1:28" s="305" customFormat="1" hidden="1" outlineLevel="2" x14ac:dyDescent="0.25">
      <c r="A926" s="278"/>
      <c r="B926" s="279" t="str">
        <f>C926&amp;D926&amp;E926&amp;F926</f>
        <v>internal stair close tread900mmpineaverage</v>
      </c>
      <c r="C926" s="353" t="s">
        <v>2150</v>
      </c>
      <c r="D926" s="278" t="s">
        <v>772</v>
      </c>
      <c r="E926" s="278" t="s">
        <v>569</v>
      </c>
      <c r="F926" s="278" t="s">
        <v>543</v>
      </c>
      <c r="G926" s="278" t="s">
        <v>15</v>
      </c>
      <c r="H926" s="310">
        <v>5</v>
      </c>
      <c r="I926" s="280">
        <f>$I$2*H926</f>
        <v>403.1</v>
      </c>
      <c r="J926" s="281">
        <f>$J$2*H926</f>
        <v>457.15000000000003</v>
      </c>
      <c r="K926" s="282">
        <f>IF(Notes!$B$9="Domestic",I926, IF(Notes!$B$9="Commercial",J926))*$K$925</f>
        <v>457.15000000000003</v>
      </c>
      <c r="L926" s="283">
        <f>(SUM(O926:Q926)+(K926+SUM(M926:Q926))*(INDEX($U$925:$AB$925,MATCH(Notes!$C$16,$U$3:$AB$3,0))-100%))*$L$925</f>
        <v>181.06</v>
      </c>
      <c r="M926" s="286"/>
      <c r="N926" s="286"/>
      <c r="O926" s="285">
        <v>181.06</v>
      </c>
      <c r="P926" s="285"/>
      <c r="Q926" s="285"/>
      <c r="R926" s="278"/>
      <c r="S926" s="278"/>
      <c r="T926" s="278"/>
    </row>
    <row r="927" spans="1:28" s="305" customFormat="1" hidden="1" outlineLevel="2" x14ac:dyDescent="0.25">
      <c r="A927" s="278"/>
      <c r="B927" s="279" t="str">
        <f t="shared" ref="B927:B928" si="332">C927&amp;D927&amp;E927&amp;F927</f>
        <v>internal stair close tread900mmpinequality</v>
      </c>
      <c r="C927" s="353" t="s">
        <v>2150</v>
      </c>
      <c r="D927" s="278" t="s">
        <v>772</v>
      </c>
      <c r="E927" s="278" t="s">
        <v>569</v>
      </c>
      <c r="F927" s="278" t="s">
        <v>544</v>
      </c>
      <c r="G927" s="278" t="s">
        <v>15</v>
      </c>
      <c r="H927" s="310">
        <v>5</v>
      </c>
      <c r="I927" s="280">
        <f t="shared" ref="I927:I928" si="333">$I$2*H927</f>
        <v>403.1</v>
      </c>
      <c r="J927" s="281">
        <f t="shared" ref="J927:J928" si="334">$J$2*H927</f>
        <v>457.15000000000003</v>
      </c>
      <c r="K927" s="282">
        <f>IF(Notes!$B$9="Domestic",I927, IF(Notes!$B$9="Commercial",J927))*$K$925</f>
        <v>457.15000000000003</v>
      </c>
      <c r="L927" s="283">
        <f>(SUM(O927:Q927)+(K927+SUM(M927:Q927))*(INDEX($U$925:$AB$925,MATCH(Notes!$C$16,$U$3:$AB$3,0))-100%))*$L$925</f>
        <v>199.16600000000003</v>
      </c>
      <c r="M927" s="286"/>
      <c r="N927" s="286"/>
      <c r="O927" s="311">
        <f>O926*1.1</f>
        <v>199.16600000000003</v>
      </c>
      <c r="P927" s="285"/>
      <c r="Q927" s="285"/>
      <c r="R927" s="278"/>
      <c r="S927" s="278"/>
      <c r="T927" s="278"/>
    </row>
    <row r="928" spans="1:28" s="305" customFormat="1" hidden="1" outlineLevel="2" x14ac:dyDescent="0.25">
      <c r="A928" s="278"/>
      <c r="B928" s="279" t="str">
        <f t="shared" si="332"/>
        <v>internal stair close tread900mmpineprestige</v>
      </c>
      <c r="C928" s="353" t="s">
        <v>2150</v>
      </c>
      <c r="D928" s="278" t="s">
        <v>772</v>
      </c>
      <c r="E928" s="278" t="s">
        <v>569</v>
      </c>
      <c r="F928" s="278" t="s">
        <v>545</v>
      </c>
      <c r="G928" s="278" t="s">
        <v>15</v>
      </c>
      <c r="H928" s="310">
        <v>5</v>
      </c>
      <c r="I928" s="280">
        <f t="shared" si="333"/>
        <v>403.1</v>
      </c>
      <c r="J928" s="281">
        <f t="shared" si="334"/>
        <v>457.15000000000003</v>
      </c>
      <c r="K928" s="282">
        <f>IF(Notes!$B$9="Domestic",I928, IF(Notes!$B$9="Commercial",J928))*$K$925</f>
        <v>457.15000000000003</v>
      </c>
      <c r="L928" s="283">
        <f>(SUM(O928:Q928)+(K928+SUM(M928:Q928))*(INDEX($U$925:$AB$925,MATCH(Notes!$C$16,$U$3:$AB$3,0))-100%))*$L$925</f>
        <v>258.91580000000005</v>
      </c>
      <c r="M928" s="286"/>
      <c r="N928" s="286"/>
      <c r="O928" s="311">
        <f>O927*1.3</f>
        <v>258.91580000000005</v>
      </c>
      <c r="P928" s="285"/>
      <c r="Q928" s="285"/>
      <c r="R928" s="278"/>
      <c r="S928" s="278"/>
      <c r="T928" s="278"/>
    </row>
    <row r="929" spans="1:20" s="305" customFormat="1" hidden="1" outlineLevel="2" x14ac:dyDescent="0.25">
      <c r="A929" s="278"/>
      <c r="B929" s="279" t="str">
        <f t="shared" ref="B929:B950" si="335">C929&amp;D929&amp;E929&amp;F929</f>
        <v>internal stair close tread1000mmpineaverage</v>
      </c>
      <c r="C929" s="353" t="s">
        <v>2150</v>
      </c>
      <c r="D929" s="278" t="s">
        <v>2074</v>
      </c>
      <c r="E929" s="278" t="s">
        <v>569</v>
      </c>
      <c r="F929" s="278" t="s">
        <v>543</v>
      </c>
      <c r="G929" s="278" t="s">
        <v>15</v>
      </c>
      <c r="H929" s="310">
        <v>5</v>
      </c>
      <c r="I929" s="280">
        <f t="shared" ref="I929:I935" si="336">$I$2*H929</f>
        <v>403.1</v>
      </c>
      <c r="J929" s="281">
        <f t="shared" ref="J929:J950" si="337">$J$2*H929</f>
        <v>457.15000000000003</v>
      </c>
      <c r="K929" s="282">
        <f>IF(Notes!$B$9="Domestic",I929, IF(Notes!$B$9="Commercial",J929))*$K$925</f>
        <v>457.15000000000003</v>
      </c>
      <c r="L929" s="283">
        <f>(SUM(O929:Q929)+(K929+SUM(M929:Q929))*(INDEX($U$925:$AB$925,MATCH(Notes!$C$16,$U$3:$AB$3,0))-100%))*$L$925</f>
        <v>192.1</v>
      </c>
      <c r="M929" s="286"/>
      <c r="N929" s="286"/>
      <c r="O929" s="285">
        <v>192.1</v>
      </c>
      <c r="P929" s="285"/>
      <c r="Q929" s="285"/>
      <c r="R929" s="278"/>
      <c r="S929" s="278"/>
      <c r="T929" s="278"/>
    </row>
    <row r="930" spans="1:20" s="305" customFormat="1" hidden="1" outlineLevel="2" x14ac:dyDescent="0.25">
      <c r="A930" s="278"/>
      <c r="B930" s="279" t="str">
        <f t="shared" ref="B930:B931" si="338">C930&amp;D930&amp;E930&amp;F930</f>
        <v>internal stair close tread1000mmpinequality</v>
      </c>
      <c r="C930" s="353" t="s">
        <v>2150</v>
      </c>
      <c r="D930" s="278" t="s">
        <v>2074</v>
      </c>
      <c r="E930" s="278" t="s">
        <v>569</v>
      </c>
      <c r="F930" s="278" t="s">
        <v>544</v>
      </c>
      <c r="G930" s="278" t="s">
        <v>15</v>
      </c>
      <c r="H930" s="310">
        <v>5</v>
      </c>
      <c r="I930" s="280">
        <f t="shared" ref="I930:I931" si="339">$I$2*H930</f>
        <v>403.1</v>
      </c>
      <c r="J930" s="281">
        <f t="shared" ref="J930:J931" si="340">$J$2*H930</f>
        <v>457.15000000000003</v>
      </c>
      <c r="K930" s="282">
        <f>IF(Notes!$B$9="Domestic",I930, IF(Notes!$B$9="Commercial",J930))*$K$925</f>
        <v>457.15000000000003</v>
      </c>
      <c r="L930" s="283">
        <f>(SUM(O930:Q930)+(K930+SUM(M930:Q930))*(INDEX($U$925:$AB$925,MATCH(Notes!$C$16,$U$3:$AB$3,0))-100%))*$L$925</f>
        <v>211.31</v>
      </c>
      <c r="M930" s="286"/>
      <c r="N930" s="286"/>
      <c r="O930" s="311">
        <f>O929*1.1</f>
        <v>211.31</v>
      </c>
      <c r="P930" s="285"/>
      <c r="Q930" s="285"/>
      <c r="R930" s="278"/>
      <c r="S930" s="278"/>
      <c r="T930" s="278"/>
    </row>
    <row r="931" spans="1:20" s="305" customFormat="1" hidden="1" outlineLevel="2" x14ac:dyDescent="0.25">
      <c r="A931" s="278"/>
      <c r="B931" s="279" t="str">
        <f t="shared" si="338"/>
        <v>internal stair close tread1000mmpineprestige</v>
      </c>
      <c r="C931" s="353" t="s">
        <v>2150</v>
      </c>
      <c r="D931" s="278" t="s">
        <v>2074</v>
      </c>
      <c r="E931" s="278" t="s">
        <v>569</v>
      </c>
      <c r="F931" s="278" t="s">
        <v>545</v>
      </c>
      <c r="G931" s="278" t="s">
        <v>15</v>
      </c>
      <c r="H931" s="310">
        <v>5</v>
      </c>
      <c r="I931" s="280">
        <f t="shared" si="339"/>
        <v>403.1</v>
      </c>
      <c r="J931" s="281">
        <f t="shared" si="340"/>
        <v>457.15000000000003</v>
      </c>
      <c r="K931" s="282">
        <f>IF(Notes!$B$9="Domestic",I931, IF(Notes!$B$9="Commercial",J931))*$K$925</f>
        <v>457.15000000000003</v>
      </c>
      <c r="L931" s="283">
        <f>(SUM(O931:Q931)+(K931+SUM(M931:Q931))*(INDEX($U$925:$AB$925,MATCH(Notes!$C$16,$U$3:$AB$3,0))-100%))*$L$925</f>
        <v>274.70300000000003</v>
      </c>
      <c r="M931" s="286"/>
      <c r="N931" s="286"/>
      <c r="O931" s="311">
        <f>O930*1.3</f>
        <v>274.70300000000003</v>
      </c>
      <c r="P931" s="285"/>
      <c r="Q931" s="285"/>
      <c r="R931" s="278"/>
      <c r="S931" s="278"/>
      <c r="T931" s="278"/>
    </row>
    <row r="932" spans="1:20" s="305" customFormat="1" hidden="1" outlineLevel="2" x14ac:dyDescent="0.25">
      <c r="A932" s="278"/>
      <c r="B932" s="279" t="str">
        <f t="shared" si="335"/>
        <v>internal stair close tread1100mmpineaverage</v>
      </c>
      <c r="C932" s="353" t="s">
        <v>2150</v>
      </c>
      <c r="D932" s="278" t="s">
        <v>2075</v>
      </c>
      <c r="E932" s="278" t="s">
        <v>569</v>
      </c>
      <c r="F932" s="278" t="s">
        <v>543</v>
      </c>
      <c r="G932" s="278" t="s">
        <v>15</v>
      </c>
      <c r="H932" s="310">
        <v>5.2</v>
      </c>
      <c r="I932" s="280">
        <f t="shared" si="336"/>
        <v>419.22400000000005</v>
      </c>
      <c r="J932" s="281">
        <f t="shared" si="337"/>
        <v>475.43600000000004</v>
      </c>
      <c r="K932" s="282">
        <f>IF(Notes!$B$9="Domestic",I932, IF(Notes!$B$9="Commercial",J932))*$K$925</f>
        <v>475.43600000000004</v>
      </c>
      <c r="L932" s="283">
        <f>(SUM(O932:Q932)+(K932+SUM(M932:Q932))*(INDEX($U$925:$AB$925,MATCH(Notes!$C$16,$U$3:$AB$3,0))-100%))*$L$925</f>
        <v>203.23</v>
      </c>
      <c r="M932" s="286"/>
      <c r="N932" s="286"/>
      <c r="O932" s="285">
        <v>203.23</v>
      </c>
      <c r="P932" s="285"/>
      <c r="Q932" s="285"/>
      <c r="R932" s="278"/>
      <c r="S932" s="278"/>
      <c r="T932" s="278"/>
    </row>
    <row r="933" spans="1:20" s="305" customFormat="1" hidden="1" outlineLevel="2" x14ac:dyDescent="0.25">
      <c r="A933" s="278"/>
      <c r="B933" s="279" t="str">
        <f t="shared" ref="B933:B934" si="341">C933&amp;D933&amp;E933&amp;F933</f>
        <v>internal stair close tread1100mmpinequality</v>
      </c>
      <c r="C933" s="353" t="s">
        <v>2150</v>
      </c>
      <c r="D933" s="278" t="s">
        <v>2075</v>
      </c>
      <c r="E933" s="278" t="s">
        <v>569</v>
      </c>
      <c r="F933" s="278" t="s">
        <v>544</v>
      </c>
      <c r="G933" s="278" t="s">
        <v>15</v>
      </c>
      <c r="H933" s="310">
        <v>5.2</v>
      </c>
      <c r="I933" s="280">
        <f t="shared" ref="I933:I934" si="342">$I$2*H933</f>
        <v>419.22400000000005</v>
      </c>
      <c r="J933" s="281">
        <f t="shared" ref="J933:J934" si="343">$J$2*H933</f>
        <v>475.43600000000004</v>
      </c>
      <c r="K933" s="282">
        <f>IF(Notes!$B$9="Domestic",I933, IF(Notes!$B$9="Commercial",J933))*$K$925</f>
        <v>475.43600000000004</v>
      </c>
      <c r="L933" s="283">
        <f>(SUM(O933:Q933)+(K933+SUM(M933:Q933))*(INDEX($U$925:$AB$925,MATCH(Notes!$C$16,$U$3:$AB$3,0))-100%))*$L$925</f>
        <v>223.553</v>
      </c>
      <c r="M933" s="286"/>
      <c r="N933" s="286"/>
      <c r="O933" s="311">
        <f>O932*1.1</f>
        <v>223.553</v>
      </c>
      <c r="P933" s="285"/>
      <c r="Q933" s="285"/>
      <c r="R933" s="278"/>
      <c r="S933" s="278"/>
      <c r="T933" s="278"/>
    </row>
    <row r="934" spans="1:20" s="305" customFormat="1" hidden="1" outlineLevel="2" x14ac:dyDescent="0.25">
      <c r="A934" s="278"/>
      <c r="B934" s="279" t="str">
        <f t="shared" si="341"/>
        <v>internal stair close tread1100mmpineprestige</v>
      </c>
      <c r="C934" s="353" t="s">
        <v>2150</v>
      </c>
      <c r="D934" s="278" t="s">
        <v>2075</v>
      </c>
      <c r="E934" s="278" t="s">
        <v>569</v>
      </c>
      <c r="F934" s="278" t="s">
        <v>545</v>
      </c>
      <c r="G934" s="278" t="s">
        <v>15</v>
      </c>
      <c r="H934" s="310">
        <v>5.2</v>
      </c>
      <c r="I934" s="280">
        <f t="shared" si="342"/>
        <v>419.22400000000005</v>
      </c>
      <c r="J934" s="281">
        <f t="shared" si="343"/>
        <v>475.43600000000004</v>
      </c>
      <c r="K934" s="282">
        <f>IF(Notes!$B$9="Domestic",I934, IF(Notes!$B$9="Commercial",J934))*$K$925</f>
        <v>475.43600000000004</v>
      </c>
      <c r="L934" s="283">
        <f>(SUM(O934:Q934)+(K934+SUM(M934:Q934))*(INDEX($U$925:$AB$925,MATCH(Notes!$C$16,$U$3:$AB$3,0))-100%))*$L$925</f>
        <v>290.6189</v>
      </c>
      <c r="M934" s="286"/>
      <c r="N934" s="286"/>
      <c r="O934" s="311">
        <f>O933*1.3</f>
        <v>290.6189</v>
      </c>
      <c r="P934" s="285"/>
      <c r="Q934" s="285"/>
      <c r="R934" s="278"/>
      <c r="S934" s="278"/>
      <c r="T934" s="278"/>
    </row>
    <row r="935" spans="1:20" s="305" customFormat="1" hidden="1" outlineLevel="2" x14ac:dyDescent="0.25">
      <c r="A935" s="278"/>
      <c r="B935" s="279" t="str">
        <f t="shared" si="335"/>
        <v>internal stair close tread1200mmpineaverage</v>
      </c>
      <c r="C935" s="353" t="s">
        <v>2150</v>
      </c>
      <c r="D935" s="278" t="s">
        <v>896</v>
      </c>
      <c r="E935" s="278" t="s">
        <v>569</v>
      </c>
      <c r="F935" s="278" t="s">
        <v>543</v>
      </c>
      <c r="G935" s="278" t="s">
        <v>15</v>
      </c>
      <c r="H935" s="310">
        <v>5.5</v>
      </c>
      <c r="I935" s="280">
        <f t="shared" si="336"/>
        <v>443.41</v>
      </c>
      <c r="J935" s="281">
        <f t="shared" si="337"/>
        <v>502.86500000000001</v>
      </c>
      <c r="K935" s="282">
        <f>IF(Notes!$B$9="Domestic",I935, IF(Notes!$B$9="Commercial",J935))*$K$925</f>
        <v>502.86500000000001</v>
      </c>
      <c r="L935" s="283">
        <f>(SUM(O935:Q935)+(K935+SUM(M935:Q935))*(INDEX($U$925:$AB$925,MATCH(Notes!$C$16,$U$3:$AB$3,0))-100%))*$L$925</f>
        <v>321.52999999999997</v>
      </c>
      <c r="M935" s="286"/>
      <c r="N935" s="286"/>
      <c r="O935" s="285">
        <v>321.52999999999997</v>
      </c>
      <c r="P935" s="285"/>
      <c r="Q935" s="285"/>
      <c r="R935" s="278"/>
      <c r="S935" s="278"/>
      <c r="T935" s="278"/>
    </row>
    <row r="936" spans="1:20" s="305" customFormat="1" hidden="1" outlineLevel="2" x14ac:dyDescent="0.25">
      <c r="A936" s="278"/>
      <c r="B936" s="279" t="str">
        <f t="shared" ref="B936:B937" si="344">C936&amp;D936&amp;E936&amp;F936</f>
        <v>internal stair close tread1200mmpinequality</v>
      </c>
      <c r="C936" s="353" t="s">
        <v>2150</v>
      </c>
      <c r="D936" s="278" t="s">
        <v>896</v>
      </c>
      <c r="E936" s="278" t="s">
        <v>569</v>
      </c>
      <c r="F936" s="278" t="s">
        <v>544</v>
      </c>
      <c r="G936" s="278" t="s">
        <v>15</v>
      </c>
      <c r="H936" s="310">
        <v>5.5</v>
      </c>
      <c r="I936" s="280">
        <f t="shared" ref="I936:I937" si="345">$I$2*H936</f>
        <v>443.41</v>
      </c>
      <c r="J936" s="281">
        <f t="shared" ref="J936:J937" si="346">$J$2*H936</f>
        <v>502.86500000000001</v>
      </c>
      <c r="K936" s="282">
        <f>IF(Notes!$B$9="Domestic",I936, IF(Notes!$B$9="Commercial",J936))*$K$925</f>
        <v>502.86500000000001</v>
      </c>
      <c r="L936" s="283">
        <f>(SUM(O936:Q936)+(K936+SUM(M936:Q936))*(INDEX($U$925:$AB$925,MATCH(Notes!$C$16,$U$3:$AB$3,0))-100%))*$L$925</f>
        <v>353.68299999999999</v>
      </c>
      <c r="M936" s="286"/>
      <c r="N936" s="286"/>
      <c r="O936" s="311">
        <f>O935*1.1</f>
        <v>353.68299999999999</v>
      </c>
      <c r="P936" s="285"/>
      <c r="Q936" s="285"/>
      <c r="R936" s="278"/>
      <c r="S936" s="278"/>
      <c r="T936" s="278"/>
    </row>
    <row r="937" spans="1:20" s="305" customFormat="1" hidden="1" outlineLevel="2" x14ac:dyDescent="0.25">
      <c r="A937" s="278"/>
      <c r="B937" s="279" t="str">
        <f t="shared" si="344"/>
        <v>internal stair close tread1200mmpineprestige</v>
      </c>
      <c r="C937" s="353" t="s">
        <v>2150</v>
      </c>
      <c r="D937" s="278" t="s">
        <v>896</v>
      </c>
      <c r="E937" s="278" t="s">
        <v>569</v>
      </c>
      <c r="F937" s="278" t="s">
        <v>545</v>
      </c>
      <c r="G937" s="278" t="s">
        <v>15</v>
      </c>
      <c r="H937" s="310">
        <v>5.5</v>
      </c>
      <c r="I937" s="280">
        <f t="shared" si="345"/>
        <v>443.41</v>
      </c>
      <c r="J937" s="281">
        <f t="shared" si="346"/>
        <v>502.86500000000001</v>
      </c>
      <c r="K937" s="282">
        <f>IF(Notes!$B$9="Domestic",I937, IF(Notes!$B$9="Commercial",J937))*$K$925</f>
        <v>502.86500000000001</v>
      </c>
      <c r="L937" s="283">
        <f>(SUM(O937:Q937)+(K937+SUM(M937:Q937))*(INDEX($U$925:$AB$925,MATCH(Notes!$C$16,$U$3:$AB$3,0))-100%))*$L$925</f>
        <v>459.78789999999998</v>
      </c>
      <c r="M937" s="286"/>
      <c r="N937" s="286"/>
      <c r="O937" s="311">
        <f>O936*1.3</f>
        <v>459.78789999999998</v>
      </c>
      <c r="P937" s="285"/>
      <c r="Q937" s="285"/>
      <c r="R937" s="278"/>
      <c r="S937" s="278"/>
      <c r="T937" s="278"/>
    </row>
    <row r="938" spans="1:20" s="305" customFormat="1" hidden="1" outlineLevel="2" x14ac:dyDescent="0.25">
      <c r="A938" s="278"/>
      <c r="B938" s="279" t="str">
        <f t="shared" si="335"/>
        <v>internal stair open tread900mmpineaverage</v>
      </c>
      <c r="C938" s="353" t="s">
        <v>2081</v>
      </c>
      <c r="D938" s="278" t="s">
        <v>772</v>
      </c>
      <c r="E938" s="278" t="s">
        <v>569</v>
      </c>
      <c r="F938" s="278" t="s">
        <v>543</v>
      </c>
      <c r="G938" s="278" t="s">
        <v>15</v>
      </c>
      <c r="H938" s="310">
        <v>4</v>
      </c>
      <c r="I938" s="280">
        <f>$I$2*H938</f>
        <v>322.48</v>
      </c>
      <c r="J938" s="281">
        <f t="shared" si="337"/>
        <v>365.72</v>
      </c>
      <c r="K938" s="282">
        <f>IF(Notes!$B$9="Domestic",I938, IF(Notes!$B$9="Commercial",J938))*$K$925</f>
        <v>365.72</v>
      </c>
      <c r="L938" s="283">
        <f>(SUM(O938:Q938)+(K938+SUM(M938:Q938))*(INDEX($U$925:$AB$925,MATCH(Notes!$C$16,$U$3:$AB$3,0))-100%))*$L$925</f>
        <v>180.86</v>
      </c>
      <c r="M938" s="286"/>
      <c r="N938" s="286"/>
      <c r="O938" s="285">
        <v>180.86</v>
      </c>
      <c r="P938" s="285"/>
      <c r="Q938" s="285"/>
      <c r="R938" s="278"/>
      <c r="S938" s="278"/>
      <c r="T938" s="278"/>
    </row>
    <row r="939" spans="1:20" s="305" customFormat="1" hidden="1" outlineLevel="2" x14ac:dyDescent="0.25">
      <c r="A939" s="278"/>
      <c r="B939" s="279" t="str">
        <f t="shared" ref="B939:B940" si="347">C939&amp;D939&amp;E939&amp;F939</f>
        <v>internal stair open tread900mmpinequality</v>
      </c>
      <c r="C939" s="353" t="s">
        <v>2081</v>
      </c>
      <c r="D939" s="278" t="s">
        <v>772</v>
      </c>
      <c r="E939" s="278" t="s">
        <v>569</v>
      </c>
      <c r="F939" s="278" t="s">
        <v>544</v>
      </c>
      <c r="G939" s="278" t="s">
        <v>15</v>
      </c>
      <c r="H939" s="310">
        <v>4</v>
      </c>
      <c r="I939" s="280">
        <f t="shared" ref="I939:I940" si="348">$I$2*H939</f>
        <v>322.48</v>
      </c>
      <c r="J939" s="281">
        <f t="shared" ref="J939:J940" si="349">$J$2*H939</f>
        <v>365.72</v>
      </c>
      <c r="K939" s="282">
        <f>IF(Notes!$B$9="Domestic",I939, IF(Notes!$B$9="Commercial",J939))*$K$925</f>
        <v>365.72</v>
      </c>
      <c r="L939" s="283">
        <f>(SUM(O939:Q939)+(K939+SUM(M939:Q939))*(INDEX($U$925:$AB$925,MATCH(Notes!$C$16,$U$3:$AB$3,0))-100%))*$L$925</f>
        <v>198.94600000000003</v>
      </c>
      <c r="M939" s="286"/>
      <c r="N939" s="286"/>
      <c r="O939" s="311">
        <f>O938*1.1</f>
        <v>198.94600000000003</v>
      </c>
      <c r="P939" s="285"/>
      <c r="Q939" s="285"/>
      <c r="R939" s="278"/>
      <c r="S939" s="278"/>
      <c r="T939" s="278"/>
    </row>
    <row r="940" spans="1:20" s="305" customFormat="1" hidden="1" outlineLevel="2" x14ac:dyDescent="0.25">
      <c r="A940" s="278"/>
      <c r="B940" s="279" t="str">
        <f t="shared" si="347"/>
        <v>internal stair open tread900mmpineprestige</v>
      </c>
      <c r="C940" s="353" t="s">
        <v>2081</v>
      </c>
      <c r="D940" s="278" t="s">
        <v>772</v>
      </c>
      <c r="E940" s="278" t="s">
        <v>569</v>
      </c>
      <c r="F940" s="278" t="s">
        <v>545</v>
      </c>
      <c r="G940" s="278" t="s">
        <v>15</v>
      </c>
      <c r="H940" s="310">
        <v>4</v>
      </c>
      <c r="I940" s="280">
        <f t="shared" si="348"/>
        <v>322.48</v>
      </c>
      <c r="J940" s="281">
        <f t="shared" si="349"/>
        <v>365.72</v>
      </c>
      <c r="K940" s="282">
        <f>IF(Notes!$B$9="Domestic",I940, IF(Notes!$B$9="Commercial",J940))*$K$925</f>
        <v>365.72</v>
      </c>
      <c r="L940" s="283">
        <f>(SUM(O940:Q940)+(K940+SUM(M940:Q940))*(INDEX($U$925:$AB$925,MATCH(Notes!$C$16,$U$3:$AB$3,0))-100%))*$L$925</f>
        <v>258.62980000000005</v>
      </c>
      <c r="M940" s="286"/>
      <c r="N940" s="286"/>
      <c r="O940" s="311">
        <f>O939*1.3</f>
        <v>258.62980000000005</v>
      </c>
      <c r="P940" s="285"/>
      <c r="Q940" s="285"/>
      <c r="R940" s="278"/>
      <c r="S940" s="278"/>
      <c r="T940" s="278"/>
    </row>
    <row r="941" spans="1:20" s="305" customFormat="1" hidden="1" outlineLevel="2" x14ac:dyDescent="0.25">
      <c r="A941" s="278"/>
      <c r="B941" s="279" t="str">
        <f t="shared" si="335"/>
        <v>internal stair open tread1000mmpineaverage</v>
      </c>
      <c r="C941" s="353" t="s">
        <v>2081</v>
      </c>
      <c r="D941" s="278" t="s">
        <v>2074</v>
      </c>
      <c r="E941" s="278" t="s">
        <v>569</v>
      </c>
      <c r="F941" s="278" t="s">
        <v>543</v>
      </c>
      <c r="G941" s="278" t="s">
        <v>15</v>
      </c>
      <c r="H941" s="310">
        <v>4</v>
      </c>
      <c r="I941" s="280">
        <f t="shared" ref="I941:I950" si="350">$I$2*H941</f>
        <v>322.48</v>
      </c>
      <c r="J941" s="281">
        <f t="shared" si="337"/>
        <v>365.72</v>
      </c>
      <c r="K941" s="282">
        <f>IF(Notes!$B$9="Domestic",I941, IF(Notes!$B$9="Commercial",J941))*$K$925</f>
        <v>365.72</v>
      </c>
      <c r="L941" s="283">
        <f>(SUM(O941:Q941)+(K941+SUM(M941:Q941))*(INDEX($U$925:$AB$925,MATCH(Notes!$C$16,$U$3:$AB$3,0))-100%))*$L$925</f>
        <v>192</v>
      </c>
      <c r="M941" s="286"/>
      <c r="N941" s="286"/>
      <c r="O941" s="285">
        <v>192</v>
      </c>
      <c r="P941" s="285"/>
      <c r="Q941" s="285"/>
      <c r="R941" s="278"/>
      <c r="S941" s="278"/>
      <c r="T941" s="278"/>
    </row>
    <row r="942" spans="1:20" s="305" customFormat="1" hidden="1" outlineLevel="2" x14ac:dyDescent="0.25">
      <c r="A942" s="278"/>
      <c r="B942" s="279" t="str">
        <f t="shared" ref="B942:B943" si="351">C942&amp;D942&amp;E942&amp;F942</f>
        <v>internal stair open tread1000mmpinequality</v>
      </c>
      <c r="C942" s="353" t="s">
        <v>2081</v>
      </c>
      <c r="D942" s="278" t="s">
        <v>2074</v>
      </c>
      <c r="E942" s="278" t="s">
        <v>569</v>
      </c>
      <c r="F942" s="278" t="s">
        <v>544</v>
      </c>
      <c r="G942" s="278" t="s">
        <v>15</v>
      </c>
      <c r="H942" s="310">
        <v>4</v>
      </c>
      <c r="I942" s="280">
        <f t="shared" ref="I942:I943" si="352">$I$2*H942</f>
        <v>322.48</v>
      </c>
      <c r="J942" s="281">
        <f t="shared" ref="J942:J943" si="353">$J$2*H942</f>
        <v>365.72</v>
      </c>
      <c r="K942" s="282">
        <f>IF(Notes!$B$9="Domestic",I942, IF(Notes!$B$9="Commercial",J942))*$K$925</f>
        <v>365.72</v>
      </c>
      <c r="L942" s="283">
        <f>(SUM(O942:Q942)+(K942+SUM(M942:Q942))*(INDEX($U$925:$AB$925,MATCH(Notes!$C$16,$U$3:$AB$3,0))-100%))*$L$925</f>
        <v>211.20000000000002</v>
      </c>
      <c r="M942" s="286"/>
      <c r="N942" s="286"/>
      <c r="O942" s="311">
        <f>O941*1.1</f>
        <v>211.20000000000002</v>
      </c>
      <c r="P942" s="285"/>
      <c r="Q942" s="285"/>
      <c r="R942" s="278"/>
      <c r="S942" s="278"/>
      <c r="T942" s="278"/>
    </row>
    <row r="943" spans="1:20" s="305" customFormat="1" hidden="1" outlineLevel="2" x14ac:dyDescent="0.25">
      <c r="A943" s="278"/>
      <c r="B943" s="279" t="str">
        <f t="shared" si="351"/>
        <v>internal stair open tread1000mmpineprestige</v>
      </c>
      <c r="C943" s="353" t="s">
        <v>2081</v>
      </c>
      <c r="D943" s="278" t="s">
        <v>2074</v>
      </c>
      <c r="E943" s="278" t="s">
        <v>569</v>
      </c>
      <c r="F943" s="278" t="s">
        <v>545</v>
      </c>
      <c r="G943" s="278" t="s">
        <v>15</v>
      </c>
      <c r="H943" s="310">
        <v>4</v>
      </c>
      <c r="I943" s="280">
        <f t="shared" si="352"/>
        <v>322.48</v>
      </c>
      <c r="J943" s="281">
        <f t="shared" si="353"/>
        <v>365.72</v>
      </c>
      <c r="K943" s="282">
        <f>IF(Notes!$B$9="Domestic",I943, IF(Notes!$B$9="Commercial",J943))*$K$925</f>
        <v>365.72</v>
      </c>
      <c r="L943" s="283">
        <f>(SUM(O943:Q943)+(K943+SUM(M943:Q943))*(INDEX($U$925:$AB$925,MATCH(Notes!$C$16,$U$3:$AB$3,0))-100%))*$L$925</f>
        <v>274.56000000000006</v>
      </c>
      <c r="M943" s="286"/>
      <c r="N943" s="286"/>
      <c r="O943" s="311">
        <f>O942*1.3</f>
        <v>274.56000000000006</v>
      </c>
      <c r="P943" s="285"/>
      <c r="Q943" s="285"/>
      <c r="R943" s="278"/>
      <c r="S943" s="278"/>
      <c r="T943" s="278"/>
    </row>
    <row r="944" spans="1:20" s="305" customFormat="1" hidden="1" outlineLevel="2" x14ac:dyDescent="0.25">
      <c r="A944" s="278"/>
      <c r="B944" s="279" t="str">
        <f t="shared" si="335"/>
        <v>internal stair open tread1100mmpineaverage</v>
      </c>
      <c r="C944" s="353" t="s">
        <v>2081</v>
      </c>
      <c r="D944" s="278" t="s">
        <v>2075</v>
      </c>
      <c r="E944" s="278" t="s">
        <v>569</v>
      </c>
      <c r="F944" s="278" t="s">
        <v>543</v>
      </c>
      <c r="G944" s="278" t="s">
        <v>15</v>
      </c>
      <c r="H944" s="310">
        <v>4.2</v>
      </c>
      <c r="I944" s="280">
        <f t="shared" si="350"/>
        <v>338.60400000000004</v>
      </c>
      <c r="J944" s="281">
        <f t="shared" si="337"/>
        <v>384.00600000000003</v>
      </c>
      <c r="K944" s="282">
        <f>IF(Notes!$B$9="Domestic",I944, IF(Notes!$B$9="Commercial",J944))*$K$925</f>
        <v>384.00600000000003</v>
      </c>
      <c r="L944" s="283">
        <f>(SUM(O944:Q944)+(K944+SUM(M944:Q944))*(INDEX($U$925:$AB$925,MATCH(Notes!$C$16,$U$3:$AB$3,0))-100%))*$L$925</f>
        <v>203.13</v>
      </c>
      <c r="M944" s="286"/>
      <c r="N944" s="286"/>
      <c r="O944" s="285">
        <v>203.13</v>
      </c>
      <c r="P944" s="285"/>
      <c r="Q944" s="285"/>
      <c r="R944" s="278"/>
      <c r="S944" s="278"/>
      <c r="T944" s="278"/>
    </row>
    <row r="945" spans="1:20" s="305" customFormat="1" hidden="1" outlineLevel="2" x14ac:dyDescent="0.25">
      <c r="A945" s="278"/>
      <c r="B945" s="279" t="str">
        <f t="shared" ref="B945:B946" si="354">C945&amp;D945&amp;E945&amp;F945</f>
        <v>internal stair open tread1100mmpinequality</v>
      </c>
      <c r="C945" s="353" t="s">
        <v>2081</v>
      </c>
      <c r="D945" s="278" t="s">
        <v>2075</v>
      </c>
      <c r="E945" s="278" t="s">
        <v>569</v>
      </c>
      <c r="F945" s="278" t="s">
        <v>544</v>
      </c>
      <c r="G945" s="278" t="s">
        <v>15</v>
      </c>
      <c r="H945" s="310">
        <v>4.2</v>
      </c>
      <c r="I945" s="280">
        <f t="shared" ref="I945:I946" si="355">$I$2*H945</f>
        <v>338.60400000000004</v>
      </c>
      <c r="J945" s="281">
        <f t="shared" ref="J945:J946" si="356">$J$2*H945</f>
        <v>384.00600000000003</v>
      </c>
      <c r="K945" s="282">
        <f>IF(Notes!$B$9="Domestic",I945, IF(Notes!$B$9="Commercial",J945))*$K$925</f>
        <v>384.00600000000003</v>
      </c>
      <c r="L945" s="283">
        <f>(SUM(O945:Q945)+(K945+SUM(M945:Q945))*(INDEX($U$925:$AB$925,MATCH(Notes!$C$16,$U$3:$AB$3,0))-100%))*$L$925</f>
        <v>223.44300000000001</v>
      </c>
      <c r="M945" s="286"/>
      <c r="N945" s="286"/>
      <c r="O945" s="311">
        <f>O944*1.1</f>
        <v>223.44300000000001</v>
      </c>
      <c r="P945" s="285"/>
      <c r="Q945" s="285"/>
      <c r="R945" s="278"/>
      <c r="S945" s="278"/>
      <c r="T945" s="278"/>
    </row>
    <row r="946" spans="1:20" s="305" customFormat="1" hidden="1" outlineLevel="2" x14ac:dyDescent="0.25">
      <c r="A946" s="278"/>
      <c r="B946" s="279" t="str">
        <f t="shared" si="354"/>
        <v>internal stair open tread1100mmpineprestige</v>
      </c>
      <c r="C946" s="353" t="s">
        <v>2081</v>
      </c>
      <c r="D946" s="278" t="s">
        <v>2075</v>
      </c>
      <c r="E946" s="278" t="s">
        <v>569</v>
      </c>
      <c r="F946" s="278" t="s">
        <v>545</v>
      </c>
      <c r="G946" s="278" t="s">
        <v>15</v>
      </c>
      <c r="H946" s="310">
        <v>4.2</v>
      </c>
      <c r="I946" s="280">
        <f t="shared" si="355"/>
        <v>338.60400000000004</v>
      </c>
      <c r="J946" s="281">
        <f t="shared" si="356"/>
        <v>384.00600000000003</v>
      </c>
      <c r="K946" s="282">
        <f>IF(Notes!$B$9="Domestic",I946, IF(Notes!$B$9="Commercial",J946))*$K$925</f>
        <v>384.00600000000003</v>
      </c>
      <c r="L946" s="283">
        <f>(SUM(O946:Q946)+(K946+SUM(M946:Q946))*(INDEX($U$925:$AB$925,MATCH(Notes!$C$16,$U$3:$AB$3,0))-100%))*$L$925</f>
        <v>290.47590000000002</v>
      </c>
      <c r="M946" s="286"/>
      <c r="N946" s="286"/>
      <c r="O946" s="311">
        <f>O945*1.3</f>
        <v>290.47590000000002</v>
      </c>
      <c r="P946" s="285"/>
      <c r="Q946" s="285"/>
      <c r="R946" s="278"/>
      <c r="S946" s="278"/>
      <c r="T946" s="278"/>
    </row>
    <row r="947" spans="1:20" s="305" customFormat="1" hidden="1" outlineLevel="2" x14ac:dyDescent="0.25">
      <c r="A947" s="278"/>
      <c r="B947" s="279" t="str">
        <f t="shared" si="335"/>
        <v>internal stair open tread1200mmpineaverage</v>
      </c>
      <c r="C947" s="353" t="s">
        <v>2081</v>
      </c>
      <c r="D947" s="278" t="s">
        <v>896</v>
      </c>
      <c r="E947" s="278" t="s">
        <v>569</v>
      </c>
      <c r="F947" s="278" t="s">
        <v>543</v>
      </c>
      <c r="G947" s="278" t="s">
        <v>15</v>
      </c>
      <c r="H947" s="310">
        <v>4.8</v>
      </c>
      <c r="I947" s="280">
        <f t="shared" si="350"/>
        <v>386.976</v>
      </c>
      <c r="J947" s="281">
        <f t="shared" si="337"/>
        <v>438.86400000000003</v>
      </c>
      <c r="K947" s="282">
        <f>IF(Notes!$B$9="Domestic",I947, IF(Notes!$B$9="Commercial",J947))*$K$925</f>
        <v>438.86400000000003</v>
      </c>
      <c r="L947" s="283">
        <f>(SUM(O947:Q947)+(K947+SUM(M947:Q947))*(INDEX($U$925:$AB$925,MATCH(Notes!$C$16,$U$3:$AB$3,0))-100%))*$L$925</f>
        <v>254.35</v>
      </c>
      <c r="M947" s="286"/>
      <c r="N947" s="286"/>
      <c r="O947" s="285">
        <v>254.35</v>
      </c>
      <c r="P947" s="285"/>
      <c r="Q947" s="285"/>
      <c r="R947" s="278"/>
      <c r="S947" s="278"/>
      <c r="T947" s="278"/>
    </row>
    <row r="948" spans="1:20" s="305" customFormat="1" hidden="1" outlineLevel="2" x14ac:dyDescent="0.25">
      <c r="A948" s="278"/>
      <c r="B948" s="279" t="str">
        <f t="shared" ref="B948:B949" si="357">C948&amp;D948&amp;E948&amp;F948</f>
        <v>internal stair open tread1200mmpinequality</v>
      </c>
      <c r="C948" s="353" t="s">
        <v>2081</v>
      </c>
      <c r="D948" s="278" t="s">
        <v>896</v>
      </c>
      <c r="E948" s="278" t="s">
        <v>569</v>
      </c>
      <c r="F948" s="278" t="s">
        <v>544</v>
      </c>
      <c r="G948" s="278" t="s">
        <v>15</v>
      </c>
      <c r="H948" s="310">
        <v>4.8</v>
      </c>
      <c r="I948" s="280">
        <f t="shared" ref="I948:I949" si="358">$I$2*H948</f>
        <v>386.976</v>
      </c>
      <c r="J948" s="281">
        <f t="shared" ref="J948:J949" si="359">$J$2*H948</f>
        <v>438.86400000000003</v>
      </c>
      <c r="K948" s="282">
        <f>IF(Notes!$B$9="Domestic",I948, IF(Notes!$B$9="Commercial",J948))*$K$925</f>
        <v>438.86400000000003</v>
      </c>
      <c r="L948" s="283">
        <f>(SUM(O948:Q948)+(K948+SUM(M948:Q948))*(INDEX($U$925:$AB$925,MATCH(Notes!$C$16,$U$3:$AB$3,0))-100%))*$L$925</f>
        <v>279.78500000000003</v>
      </c>
      <c r="M948" s="286"/>
      <c r="N948" s="286"/>
      <c r="O948" s="311">
        <f>O947*1.1</f>
        <v>279.78500000000003</v>
      </c>
      <c r="P948" s="285"/>
      <c r="Q948" s="285"/>
      <c r="R948" s="278"/>
      <c r="S948" s="278"/>
      <c r="T948" s="278"/>
    </row>
    <row r="949" spans="1:20" s="305" customFormat="1" hidden="1" outlineLevel="2" x14ac:dyDescent="0.25">
      <c r="A949" s="278"/>
      <c r="B949" s="279" t="str">
        <f t="shared" si="357"/>
        <v>internal stair open tread1200mmpineprestige</v>
      </c>
      <c r="C949" s="353" t="s">
        <v>2081</v>
      </c>
      <c r="D949" s="278" t="s">
        <v>896</v>
      </c>
      <c r="E949" s="278" t="s">
        <v>569</v>
      </c>
      <c r="F949" s="278" t="s">
        <v>545</v>
      </c>
      <c r="G949" s="278" t="s">
        <v>15</v>
      </c>
      <c r="H949" s="310">
        <v>4.8</v>
      </c>
      <c r="I949" s="280">
        <f t="shared" si="358"/>
        <v>386.976</v>
      </c>
      <c r="J949" s="281">
        <f t="shared" si="359"/>
        <v>438.86400000000003</v>
      </c>
      <c r="K949" s="282">
        <f>IF(Notes!$B$9="Domestic",I949, IF(Notes!$B$9="Commercial",J949))*$K$925</f>
        <v>438.86400000000003</v>
      </c>
      <c r="L949" s="283">
        <f>(SUM(O949:Q949)+(K949+SUM(M949:Q949))*(INDEX($U$925:$AB$925,MATCH(Notes!$C$16,$U$3:$AB$3,0))-100%))*$L$925</f>
        <v>363.72050000000007</v>
      </c>
      <c r="M949" s="286"/>
      <c r="N949" s="286"/>
      <c r="O949" s="311">
        <f>O948*1.3</f>
        <v>363.72050000000007</v>
      </c>
      <c r="P949" s="285"/>
      <c r="Q949" s="285"/>
      <c r="R949" s="278"/>
      <c r="S949" s="278"/>
      <c r="T949" s="278"/>
    </row>
    <row r="950" spans="1:20" s="305" customFormat="1" hidden="1" outlineLevel="2" x14ac:dyDescent="0.25">
      <c r="A950" s="278"/>
      <c r="B950" s="279" t="str">
        <f t="shared" si="335"/>
        <v>internal stair close tread900mmHWDaverage</v>
      </c>
      <c r="C950" s="353" t="s">
        <v>2150</v>
      </c>
      <c r="D950" s="278" t="s">
        <v>772</v>
      </c>
      <c r="E950" s="278" t="s">
        <v>507</v>
      </c>
      <c r="F950" s="278" t="s">
        <v>543</v>
      </c>
      <c r="G950" s="278" t="s">
        <v>15</v>
      </c>
      <c r="H950" s="309">
        <f>H926</f>
        <v>5</v>
      </c>
      <c r="I950" s="280">
        <f t="shared" si="350"/>
        <v>403.1</v>
      </c>
      <c r="J950" s="281">
        <f t="shared" si="337"/>
        <v>457.15000000000003</v>
      </c>
      <c r="K950" s="282">
        <f>IF(Notes!$B$9="Domestic",I950, IF(Notes!$B$9="Commercial",J950))*$K$925</f>
        <v>457.15000000000003</v>
      </c>
      <c r="L950" s="283">
        <f>(SUM(O950:Q950)+(K950+SUM(M950:Q950))*(INDEX($U$925:$AB$925,MATCH(Notes!$C$16,$U$3:$AB$3,0))-100%))*$L$925</f>
        <v>523.14</v>
      </c>
      <c r="M950" s="286"/>
      <c r="N950" s="286"/>
      <c r="O950" s="285">
        <v>523.14</v>
      </c>
      <c r="P950" s="285"/>
      <c r="Q950" s="285"/>
      <c r="R950" s="278"/>
      <c r="S950" s="278"/>
      <c r="T950" s="278"/>
    </row>
    <row r="951" spans="1:20" s="305" customFormat="1" hidden="1" outlineLevel="2" x14ac:dyDescent="0.25">
      <c r="A951" s="278"/>
      <c r="B951" s="279" t="str">
        <f t="shared" ref="B951:B952" si="360">C951&amp;D951&amp;E951&amp;F951</f>
        <v>internal stair close tread900mmHWDquality</v>
      </c>
      <c r="C951" s="353" t="s">
        <v>2150</v>
      </c>
      <c r="D951" s="278" t="s">
        <v>772</v>
      </c>
      <c r="E951" s="278" t="s">
        <v>507</v>
      </c>
      <c r="F951" s="278" t="s">
        <v>544</v>
      </c>
      <c r="G951" s="278" t="s">
        <v>15</v>
      </c>
      <c r="H951" s="309">
        <f t="shared" ref="H951:H952" si="361">H927</f>
        <v>5</v>
      </c>
      <c r="I951" s="280">
        <f t="shared" ref="I951:I952" si="362">$I$2*H951</f>
        <v>403.1</v>
      </c>
      <c r="J951" s="281">
        <f t="shared" ref="J951:J952" si="363">$J$2*H951</f>
        <v>457.15000000000003</v>
      </c>
      <c r="K951" s="282">
        <f>IF(Notes!$B$9="Domestic",I951, IF(Notes!$B$9="Commercial",J951))*$K$925</f>
        <v>457.15000000000003</v>
      </c>
      <c r="L951" s="283">
        <f>(SUM(O951:Q951)+(K951+SUM(M951:Q951))*(INDEX($U$925:$AB$925,MATCH(Notes!$C$16,$U$3:$AB$3,0))-100%))*$L$925</f>
        <v>575.45400000000006</v>
      </c>
      <c r="M951" s="286"/>
      <c r="N951" s="286"/>
      <c r="O951" s="311">
        <f>O950*1.1</f>
        <v>575.45400000000006</v>
      </c>
      <c r="P951" s="285"/>
      <c r="Q951" s="285"/>
      <c r="R951" s="278"/>
      <c r="S951" s="278"/>
      <c r="T951" s="278"/>
    </row>
    <row r="952" spans="1:20" s="305" customFormat="1" hidden="1" outlineLevel="2" x14ac:dyDescent="0.25">
      <c r="A952" s="278"/>
      <c r="B952" s="279" t="str">
        <f t="shared" si="360"/>
        <v>internal stair close tread900mmHWDprestige</v>
      </c>
      <c r="C952" s="353" t="s">
        <v>2150</v>
      </c>
      <c r="D952" s="278" t="s">
        <v>772</v>
      </c>
      <c r="E952" s="278" t="s">
        <v>507</v>
      </c>
      <c r="F952" s="278" t="s">
        <v>545</v>
      </c>
      <c r="G952" s="278" t="s">
        <v>15</v>
      </c>
      <c r="H952" s="309">
        <f t="shared" si="361"/>
        <v>5</v>
      </c>
      <c r="I952" s="280">
        <f t="shared" si="362"/>
        <v>403.1</v>
      </c>
      <c r="J952" s="281">
        <f t="shared" si="363"/>
        <v>457.15000000000003</v>
      </c>
      <c r="K952" s="282">
        <f>IF(Notes!$B$9="Domestic",I952, IF(Notes!$B$9="Commercial",J952))*$K$925</f>
        <v>457.15000000000003</v>
      </c>
      <c r="L952" s="283">
        <f>(SUM(O952:Q952)+(K952+SUM(M952:Q952))*(INDEX($U$925:$AB$925,MATCH(Notes!$C$16,$U$3:$AB$3,0))-100%))*$L$925</f>
        <v>748.0902000000001</v>
      </c>
      <c r="M952" s="286"/>
      <c r="N952" s="286"/>
      <c r="O952" s="311">
        <f>O951*1.3</f>
        <v>748.0902000000001</v>
      </c>
      <c r="P952" s="285"/>
      <c r="Q952" s="285"/>
      <c r="R952" s="278"/>
      <c r="S952" s="278"/>
      <c r="T952" s="278"/>
    </row>
    <row r="953" spans="1:20" s="305" customFormat="1" hidden="1" outlineLevel="2" x14ac:dyDescent="0.25">
      <c r="A953" s="278"/>
      <c r="B953" s="279" t="str">
        <f t="shared" ref="B953:B971" si="364">C953&amp;D953&amp;E953&amp;F953</f>
        <v>internal stair close tread1000mmHWDaverage</v>
      </c>
      <c r="C953" s="353" t="s">
        <v>2150</v>
      </c>
      <c r="D953" s="278" t="s">
        <v>2074</v>
      </c>
      <c r="E953" s="278" t="s">
        <v>507</v>
      </c>
      <c r="F953" s="278" t="s">
        <v>543</v>
      </c>
      <c r="G953" s="278" t="s">
        <v>15</v>
      </c>
      <c r="H953" s="309">
        <f>H929</f>
        <v>5</v>
      </c>
      <c r="I953" s="280">
        <f t="shared" ref="I953:I971" si="365">$I$2*H953</f>
        <v>403.1</v>
      </c>
      <c r="J953" s="281">
        <f t="shared" ref="J953:J971" si="366">$J$2*H953</f>
        <v>457.15000000000003</v>
      </c>
      <c r="K953" s="282">
        <f>IF(Notes!$B$9="Domestic",I953, IF(Notes!$B$9="Commercial",J953))*$K$925</f>
        <v>457.15000000000003</v>
      </c>
      <c r="L953" s="283">
        <f>(SUM(O953:Q953)+(K953+SUM(M953:Q953))*(INDEX($U$925:$AB$925,MATCH(Notes!$C$16,$U$3:$AB$3,0))-100%))*$L$925</f>
        <v>563.44000000000005</v>
      </c>
      <c r="M953" s="286"/>
      <c r="N953" s="286"/>
      <c r="O953" s="285">
        <v>563.44000000000005</v>
      </c>
      <c r="P953" s="285"/>
      <c r="Q953" s="285"/>
      <c r="R953" s="278"/>
      <c r="S953" s="278"/>
      <c r="T953" s="278"/>
    </row>
    <row r="954" spans="1:20" s="305" customFormat="1" hidden="1" outlineLevel="2" x14ac:dyDescent="0.25">
      <c r="A954" s="278"/>
      <c r="B954" s="279" t="str">
        <f t="shared" ref="B954:B955" si="367">C954&amp;D954&amp;E954&amp;F954</f>
        <v>internal stair close tread1000mmHWDquality</v>
      </c>
      <c r="C954" s="353" t="s">
        <v>2150</v>
      </c>
      <c r="D954" s="278" t="s">
        <v>2074</v>
      </c>
      <c r="E954" s="278" t="s">
        <v>507</v>
      </c>
      <c r="F954" s="278" t="s">
        <v>544</v>
      </c>
      <c r="G954" s="278" t="s">
        <v>15</v>
      </c>
      <c r="H954" s="309">
        <f t="shared" ref="H954:H955" si="368">H930</f>
        <v>5</v>
      </c>
      <c r="I954" s="280">
        <f t="shared" ref="I954:I955" si="369">$I$2*H954</f>
        <v>403.1</v>
      </c>
      <c r="J954" s="281">
        <f t="shared" ref="J954:J955" si="370">$J$2*H954</f>
        <v>457.15000000000003</v>
      </c>
      <c r="K954" s="282">
        <f>IF(Notes!$B$9="Domestic",I954, IF(Notes!$B$9="Commercial",J954))*$K$925</f>
        <v>457.15000000000003</v>
      </c>
      <c r="L954" s="283">
        <f>(SUM(O954:Q954)+(K954+SUM(M954:Q954))*(INDEX($U$925:$AB$925,MATCH(Notes!$C$16,$U$3:$AB$3,0))-100%))*$L$925</f>
        <v>619.78400000000011</v>
      </c>
      <c r="M954" s="286"/>
      <c r="N954" s="286"/>
      <c r="O954" s="311">
        <f>O953*1.1</f>
        <v>619.78400000000011</v>
      </c>
      <c r="P954" s="285"/>
      <c r="Q954" s="285"/>
      <c r="R954" s="278"/>
      <c r="S954" s="278"/>
      <c r="T954" s="278"/>
    </row>
    <row r="955" spans="1:20" s="305" customFormat="1" hidden="1" outlineLevel="2" x14ac:dyDescent="0.25">
      <c r="A955" s="278"/>
      <c r="B955" s="279" t="str">
        <f t="shared" si="367"/>
        <v>internal stair close tread1000mmHWDprestige</v>
      </c>
      <c r="C955" s="353" t="s">
        <v>2150</v>
      </c>
      <c r="D955" s="278" t="s">
        <v>2074</v>
      </c>
      <c r="E955" s="278" t="s">
        <v>507</v>
      </c>
      <c r="F955" s="278" t="s">
        <v>545</v>
      </c>
      <c r="G955" s="278" t="s">
        <v>15</v>
      </c>
      <c r="H955" s="309">
        <f t="shared" si="368"/>
        <v>5</v>
      </c>
      <c r="I955" s="280">
        <f t="shared" si="369"/>
        <v>403.1</v>
      </c>
      <c r="J955" s="281">
        <f t="shared" si="370"/>
        <v>457.15000000000003</v>
      </c>
      <c r="K955" s="282">
        <f>IF(Notes!$B$9="Domestic",I955, IF(Notes!$B$9="Commercial",J955))*$K$925</f>
        <v>457.15000000000003</v>
      </c>
      <c r="L955" s="283">
        <f>(SUM(O955:Q955)+(K955+SUM(M955:Q955))*(INDEX($U$925:$AB$925,MATCH(Notes!$C$16,$U$3:$AB$3,0))-100%))*$L$925</f>
        <v>805.71920000000011</v>
      </c>
      <c r="M955" s="286"/>
      <c r="N955" s="286"/>
      <c r="O955" s="311">
        <f>O954*1.3</f>
        <v>805.71920000000011</v>
      </c>
      <c r="P955" s="285"/>
      <c r="Q955" s="285"/>
      <c r="R955" s="278"/>
      <c r="S955" s="278"/>
      <c r="T955" s="278"/>
    </row>
    <row r="956" spans="1:20" s="305" customFormat="1" hidden="1" outlineLevel="2" x14ac:dyDescent="0.25">
      <c r="A956" s="278"/>
      <c r="B956" s="279" t="str">
        <f t="shared" si="364"/>
        <v>internal stair close tread1100mmHWDaverage</v>
      </c>
      <c r="C956" s="353" t="s">
        <v>2150</v>
      </c>
      <c r="D956" s="278" t="s">
        <v>2075</v>
      </c>
      <c r="E956" s="278" t="s">
        <v>507</v>
      </c>
      <c r="F956" s="278" t="s">
        <v>543</v>
      </c>
      <c r="G956" s="278" t="s">
        <v>15</v>
      </c>
      <c r="H956" s="309">
        <f>H932</f>
        <v>5.2</v>
      </c>
      <c r="I956" s="280">
        <f t="shared" si="365"/>
        <v>419.22400000000005</v>
      </c>
      <c r="J956" s="281">
        <f t="shared" si="366"/>
        <v>475.43600000000004</v>
      </c>
      <c r="K956" s="282">
        <f>IF(Notes!$B$9="Domestic",I956, IF(Notes!$B$9="Commercial",J956))*$K$925</f>
        <v>475.43600000000004</v>
      </c>
      <c r="L956" s="283">
        <f>(SUM(O956:Q956)+(K956+SUM(M956:Q956))*(INDEX($U$925:$AB$925,MATCH(Notes!$C$16,$U$3:$AB$3,0))-100%))*$L$925</f>
        <v>603.73</v>
      </c>
      <c r="M956" s="286"/>
      <c r="N956" s="286"/>
      <c r="O956" s="285">
        <v>603.73</v>
      </c>
      <c r="P956" s="285"/>
      <c r="Q956" s="285"/>
      <c r="R956" s="278"/>
      <c r="S956" s="278"/>
      <c r="T956" s="278"/>
    </row>
    <row r="957" spans="1:20" s="305" customFormat="1" hidden="1" outlineLevel="2" x14ac:dyDescent="0.25">
      <c r="A957" s="278"/>
      <c r="B957" s="279" t="str">
        <f t="shared" ref="B957:B958" si="371">C957&amp;D957&amp;E957&amp;F957</f>
        <v>internal stair close tread1100mmHWDquality</v>
      </c>
      <c r="C957" s="353" t="s">
        <v>2150</v>
      </c>
      <c r="D957" s="278" t="s">
        <v>2075</v>
      </c>
      <c r="E957" s="278" t="s">
        <v>507</v>
      </c>
      <c r="F957" s="278" t="s">
        <v>544</v>
      </c>
      <c r="G957" s="278" t="s">
        <v>15</v>
      </c>
      <c r="H957" s="309">
        <f t="shared" ref="H957:H958" si="372">H933</f>
        <v>5.2</v>
      </c>
      <c r="I957" s="280">
        <f t="shared" ref="I957:I958" si="373">$I$2*H957</f>
        <v>419.22400000000005</v>
      </c>
      <c r="J957" s="281">
        <f t="shared" ref="J957:J958" si="374">$J$2*H957</f>
        <v>475.43600000000004</v>
      </c>
      <c r="K957" s="282">
        <f>IF(Notes!$B$9="Domestic",I957, IF(Notes!$B$9="Commercial",J957))*$K$925</f>
        <v>475.43600000000004</v>
      </c>
      <c r="L957" s="283">
        <f>(SUM(O957:Q957)+(K957+SUM(M957:Q957))*(INDEX($U$925:$AB$925,MATCH(Notes!$C$16,$U$3:$AB$3,0))-100%))*$L$925</f>
        <v>664.10300000000007</v>
      </c>
      <c r="M957" s="286"/>
      <c r="N957" s="286"/>
      <c r="O957" s="311">
        <f>O956*1.1</f>
        <v>664.10300000000007</v>
      </c>
      <c r="P957" s="285"/>
      <c r="Q957" s="285"/>
      <c r="R957" s="278"/>
      <c r="S957" s="278"/>
      <c r="T957" s="278"/>
    </row>
    <row r="958" spans="1:20" s="305" customFormat="1" hidden="1" outlineLevel="2" x14ac:dyDescent="0.25">
      <c r="A958" s="278"/>
      <c r="B958" s="279" t="str">
        <f t="shared" si="371"/>
        <v>internal stair close tread1100mmHWDprestige</v>
      </c>
      <c r="C958" s="353" t="s">
        <v>2150</v>
      </c>
      <c r="D958" s="278" t="s">
        <v>2075</v>
      </c>
      <c r="E958" s="278" t="s">
        <v>507</v>
      </c>
      <c r="F958" s="278" t="s">
        <v>545</v>
      </c>
      <c r="G958" s="278" t="s">
        <v>15</v>
      </c>
      <c r="H958" s="309">
        <f t="shared" si="372"/>
        <v>5.2</v>
      </c>
      <c r="I958" s="280">
        <f t="shared" si="373"/>
        <v>419.22400000000005</v>
      </c>
      <c r="J958" s="281">
        <f t="shared" si="374"/>
        <v>475.43600000000004</v>
      </c>
      <c r="K958" s="282">
        <f>IF(Notes!$B$9="Domestic",I958, IF(Notes!$B$9="Commercial",J958))*$K$925</f>
        <v>475.43600000000004</v>
      </c>
      <c r="L958" s="283">
        <f>(SUM(O958:Q958)+(K958+SUM(M958:Q958))*(INDEX($U$925:$AB$925,MATCH(Notes!$C$16,$U$3:$AB$3,0))-100%))*$L$925</f>
        <v>863.33390000000009</v>
      </c>
      <c r="M958" s="286"/>
      <c r="N958" s="286"/>
      <c r="O958" s="311">
        <f>O957*1.3</f>
        <v>863.33390000000009</v>
      </c>
      <c r="P958" s="285"/>
      <c r="Q958" s="285"/>
      <c r="R958" s="278"/>
      <c r="S958" s="278"/>
      <c r="T958" s="278"/>
    </row>
    <row r="959" spans="1:20" s="305" customFormat="1" hidden="1" outlineLevel="2" x14ac:dyDescent="0.25">
      <c r="A959" s="278"/>
      <c r="B959" s="279" t="str">
        <f t="shared" si="364"/>
        <v>internal stair close tread1200mmHWDaverage</v>
      </c>
      <c r="C959" s="353" t="s">
        <v>2150</v>
      </c>
      <c r="D959" s="278" t="s">
        <v>896</v>
      </c>
      <c r="E959" s="278" t="s">
        <v>507</v>
      </c>
      <c r="F959" s="278" t="s">
        <v>543</v>
      </c>
      <c r="G959" s="278" t="s">
        <v>15</v>
      </c>
      <c r="H959" s="309">
        <f>H935</f>
        <v>5.5</v>
      </c>
      <c r="I959" s="280">
        <f t="shared" si="365"/>
        <v>443.41</v>
      </c>
      <c r="J959" s="281">
        <f t="shared" si="366"/>
        <v>502.86500000000001</v>
      </c>
      <c r="K959" s="282">
        <f>IF(Notes!$B$9="Domestic",I959, IF(Notes!$B$9="Commercial",J959))*$K$925</f>
        <v>502.86500000000001</v>
      </c>
      <c r="L959" s="283">
        <f>(SUM(O959:Q959)+(K959+SUM(M959:Q959))*(INDEX($U$925:$AB$925,MATCH(Notes!$C$16,$U$3:$AB$3,0))-100%))*$L$925</f>
        <v>723.98</v>
      </c>
      <c r="M959" s="286"/>
      <c r="N959" s="286"/>
      <c r="O959" s="285">
        <v>723.98</v>
      </c>
      <c r="P959" s="285"/>
      <c r="Q959" s="285"/>
      <c r="R959" s="278"/>
      <c r="S959" s="278"/>
      <c r="T959" s="278"/>
    </row>
    <row r="960" spans="1:20" s="305" customFormat="1" hidden="1" outlineLevel="2" x14ac:dyDescent="0.25">
      <c r="A960" s="278"/>
      <c r="B960" s="279" t="str">
        <f t="shared" ref="B960:B961" si="375">C960&amp;D960&amp;E960&amp;F960</f>
        <v>internal stair close tread1200mmHWDquality</v>
      </c>
      <c r="C960" s="353" t="s">
        <v>2150</v>
      </c>
      <c r="D960" s="278" t="s">
        <v>896</v>
      </c>
      <c r="E960" s="278" t="s">
        <v>507</v>
      </c>
      <c r="F960" s="278" t="s">
        <v>544</v>
      </c>
      <c r="G960" s="278" t="s">
        <v>15</v>
      </c>
      <c r="H960" s="309">
        <f t="shared" ref="H960:H961" si="376">H936</f>
        <v>5.5</v>
      </c>
      <c r="I960" s="280">
        <f t="shared" ref="I960:I961" si="377">$I$2*H960</f>
        <v>443.41</v>
      </c>
      <c r="J960" s="281">
        <f t="shared" ref="J960:J961" si="378">$J$2*H960</f>
        <v>502.86500000000001</v>
      </c>
      <c r="K960" s="282">
        <f>IF(Notes!$B$9="Domestic",I960, IF(Notes!$B$9="Commercial",J960))*$K$925</f>
        <v>502.86500000000001</v>
      </c>
      <c r="L960" s="283">
        <f>(SUM(O960:Q960)+(K960+SUM(M960:Q960))*(INDEX($U$925:$AB$925,MATCH(Notes!$C$16,$U$3:$AB$3,0))-100%))*$L$925</f>
        <v>796.37800000000004</v>
      </c>
      <c r="M960" s="286"/>
      <c r="N960" s="286"/>
      <c r="O960" s="311">
        <f>O959*1.1</f>
        <v>796.37800000000004</v>
      </c>
      <c r="P960" s="285"/>
      <c r="Q960" s="285"/>
      <c r="R960" s="278"/>
      <c r="S960" s="278"/>
      <c r="T960" s="278"/>
    </row>
    <row r="961" spans="1:28" s="305" customFormat="1" hidden="1" outlineLevel="2" x14ac:dyDescent="0.25">
      <c r="A961" s="278"/>
      <c r="B961" s="279" t="str">
        <f t="shared" si="375"/>
        <v>internal stair close tread1200mmHWDprestige</v>
      </c>
      <c r="C961" s="353" t="s">
        <v>2150</v>
      </c>
      <c r="D961" s="278" t="s">
        <v>896</v>
      </c>
      <c r="E961" s="278" t="s">
        <v>507</v>
      </c>
      <c r="F961" s="278" t="s">
        <v>545</v>
      </c>
      <c r="G961" s="278" t="s">
        <v>15</v>
      </c>
      <c r="H961" s="309">
        <f t="shared" si="376"/>
        <v>5.5</v>
      </c>
      <c r="I961" s="280">
        <f t="shared" si="377"/>
        <v>443.41</v>
      </c>
      <c r="J961" s="281">
        <f t="shared" si="378"/>
        <v>502.86500000000001</v>
      </c>
      <c r="K961" s="282">
        <f>IF(Notes!$B$9="Domestic",I961, IF(Notes!$B$9="Commercial",J961))*$K$925</f>
        <v>502.86500000000001</v>
      </c>
      <c r="L961" s="283">
        <f>(SUM(O961:Q961)+(K961+SUM(M961:Q961))*(INDEX($U$925:$AB$925,MATCH(Notes!$C$16,$U$3:$AB$3,0))-100%))*$L$925</f>
        <v>1035.2914000000001</v>
      </c>
      <c r="M961" s="286"/>
      <c r="N961" s="286"/>
      <c r="O961" s="311">
        <f>O960*1.3</f>
        <v>1035.2914000000001</v>
      </c>
      <c r="P961" s="285"/>
      <c r="Q961" s="285"/>
      <c r="R961" s="278"/>
      <c r="S961" s="278"/>
      <c r="T961" s="278"/>
    </row>
    <row r="962" spans="1:28" s="305" customFormat="1" hidden="1" outlineLevel="2" x14ac:dyDescent="0.25">
      <c r="A962" s="278"/>
      <c r="B962" s="279" t="str">
        <f t="shared" si="364"/>
        <v>internal stair open tread900mmHWDaverage</v>
      </c>
      <c r="C962" s="353" t="s">
        <v>2081</v>
      </c>
      <c r="D962" s="278" t="s">
        <v>772</v>
      </c>
      <c r="E962" s="278" t="s">
        <v>507</v>
      </c>
      <c r="F962" s="278" t="s">
        <v>543</v>
      </c>
      <c r="G962" s="278" t="s">
        <v>15</v>
      </c>
      <c r="H962" s="309">
        <f>H938</f>
        <v>4</v>
      </c>
      <c r="I962" s="280">
        <f t="shared" si="365"/>
        <v>322.48</v>
      </c>
      <c r="J962" s="281">
        <f t="shared" si="366"/>
        <v>365.72</v>
      </c>
      <c r="K962" s="282">
        <f>IF(Notes!$B$9="Domestic",I962, IF(Notes!$B$9="Commercial",J962))*$K$925</f>
        <v>365.72</v>
      </c>
      <c r="L962" s="283">
        <f>(SUM(O962:Q962)+(K962+SUM(M962:Q962))*(INDEX($U$925:$AB$925,MATCH(Notes!$C$16,$U$3:$AB$3,0))-100%))*$L$925</f>
        <v>436.91</v>
      </c>
      <c r="M962" s="286"/>
      <c r="N962" s="286"/>
      <c r="O962" s="285">
        <v>436.91</v>
      </c>
      <c r="P962" s="285"/>
      <c r="Q962" s="285"/>
      <c r="R962" s="278"/>
      <c r="S962" s="278"/>
      <c r="T962" s="278"/>
    </row>
    <row r="963" spans="1:28" s="305" customFormat="1" hidden="1" outlineLevel="2" x14ac:dyDescent="0.25">
      <c r="A963" s="278"/>
      <c r="B963" s="279" t="str">
        <f t="shared" ref="B963:B964" si="379">C963&amp;D963&amp;E963&amp;F963</f>
        <v>internal stair open tread900mmHWDquality</v>
      </c>
      <c r="C963" s="353" t="s">
        <v>2081</v>
      </c>
      <c r="D963" s="278" t="s">
        <v>772</v>
      </c>
      <c r="E963" s="278" t="s">
        <v>507</v>
      </c>
      <c r="F963" s="278" t="s">
        <v>544</v>
      </c>
      <c r="G963" s="278" t="s">
        <v>15</v>
      </c>
      <c r="H963" s="309">
        <f t="shared" ref="H963:H964" si="380">H939</f>
        <v>4</v>
      </c>
      <c r="I963" s="280">
        <f t="shared" ref="I963:I964" si="381">$I$2*H963</f>
        <v>322.48</v>
      </c>
      <c r="J963" s="281">
        <f t="shared" ref="J963:J964" si="382">$J$2*H963</f>
        <v>365.72</v>
      </c>
      <c r="K963" s="282">
        <f>IF(Notes!$B$9="Domestic",I963, IF(Notes!$B$9="Commercial",J963))*$K$925</f>
        <v>365.72</v>
      </c>
      <c r="L963" s="283">
        <f>(SUM(O963:Q963)+(K963+SUM(M963:Q963))*(INDEX($U$925:$AB$925,MATCH(Notes!$C$16,$U$3:$AB$3,0))-100%))*$L$925</f>
        <v>480.60100000000006</v>
      </c>
      <c r="M963" s="286"/>
      <c r="N963" s="286"/>
      <c r="O963" s="311">
        <f>O962*1.1</f>
        <v>480.60100000000006</v>
      </c>
      <c r="P963" s="285"/>
      <c r="Q963" s="285"/>
      <c r="R963" s="278"/>
      <c r="S963" s="278"/>
      <c r="T963" s="278"/>
    </row>
    <row r="964" spans="1:28" s="305" customFormat="1" hidden="1" outlineLevel="2" x14ac:dyDescent="0.25">
      <c r="A964" s="278"/>
      <c r="B964" s="279" t="str">
        <f t="shared" si="379"/>
        <v>internal stair open tread900mmHWDprestige</v>
      </c>
      <c r="C964" s="353" t="s">
        <v>2081</v>
      </c>
      <c r="D964" s="278" t="s">
        <v>772</v>
      </c>
      <c r="E964" s="278" t="s">
        <v>507</v>
      </c>
      <c r="F964" s="278" t="s">
        <v>545</v>
      </c>
      <c r="G964" s="278" t="s">
        <v>15</v>
      </c>
      <c r="H964" s="309">
        <f t="shared" si="380"/>
        <v>4</v>
      </c>
      <c r="I964" s="280">
        <f t="shared" si="381"/>
        <v>322.48</v>
      </c>
      <c r="J964" s="281">
        <f t="shared" si="382"/>
        <v>365.72</v>
      </c>
      <c r="K964" s="282">
        <f>IF(Notes!$B$9="Domestic",I964, IF(Notes!$B$9="Commercial",J964))*$K$925</f>
        <v>365.72</v>
      </c>
      <c r="L964" s="283">
        <f>(SUM(O964:Q964)+(K964+SUM(M964:Q964))*(INDEX($U$925:$AB$925,MATCH(Notes!$C$16,$U$3:$AB$3,0))-100%))*$L$925</f>
        <v>624.7813000000001</v>
      </c>
      <c r="M964" s="286"/>
      <c r="N964" s="286"/>
      <c r="O964" s="311">
        <f>O963*1.3</f>
        <v>624.7813000000001</v>
      </c>
      <c r="P964" s="285"/>
      <c r="Q964" s="285"/>
      <c r="R964" s="278"/>
      <c r="S964" s="278"/>
      <c r="T964" s="278"/>
    </row>
    <row r="965" spans="1:28" s="305" customFormat="1" hidden="1" outlineLevel="2" x14ac:dyDescent="0.25">
      <c r="A965" s="278"/>
      <c r="B965" s="279" t="str">
        <f t="shared" si="364"/>
        <v>internal stair open tread1000mmHWDaverage</v>
      </c>
      <c r="C965" s="353" t="s">
        <v>2081</v>
      </c>
      <c r="D965" s="278" t="s">
        <v>2074</v>
      </c>
      <c r="E965" s="278" t="s">
        <v>507</v>
      </c>
      <c r="F965" s="278" t="s">
        <v>543</v>
      </c>
      <c r="G965" s="278" t="s">
        <v>15</v>
      </c>
      <c r="H965" s="309">
        <f>H941</f>
        <v>4</v>
      </c>
      <c r="I965" s="280">
        <f t="shared" si="365"/>
        <v>322.48</v>
      </c>
      <c r="J965" s="281">
        <f t="shared" si="366"/>
        <v>365.72</v>
      </c>
      <c r="K965" s="282">
        <f>IF(Notes!$B$9="Domestic",I965, IF(Notes!$B$9="Commercial",J965))*$K$925</f>
        <v>365.72</v>
      </c>
      <c r="L965" s="283">
        <f>(SUM(O965:Q965)+(K965+SUM(M965:Q965))*(INDEX($U$925:$AB$925,MATCH(Notes!$C$16,$U$3:$AB$3,0))-100%))*$L$925</f>
        <v>467.5</v>
      </c>
      <c r="M965" s="286"/>
      <c r="N965" s="286"/>
      <c r="O965" s="285">
        <v>467.5</v>
      </c>
      <c r="P965" s="285"/>
      <c r="Q965" s="285"/>
      <c r="R965" s="278"/>
      <c r="S965" s="278"/>
      <c r="T965" s="278"/>
    </row>
    <row r="966" spans="1:28" s="305" customFormat="1" hidden="1" outlineLevel="2" x14ac:dyDescent="0.25">
      <c r="A966" s="278"/>
      <c r="B966" s="279" t="str">
        <f t="shared" ref="B966:B967" si="383">C966&amp;D966&amp;E966&amp;F966</f>
        <v>internal stair open tread1000mmHWDquality</v>
      </c>
      <c r="C966" s="353" t="s">
        <v>2081</v>
      </c>
      <c r="D966" s="278" t="s">
        <v>2074</v>
      </c>
      <c r="E966" s="278" t="s">
        <v>507</v>
      </c>
      <c r="F966" s="278" t="s">
        <v>544</v>
      </c>
      <c r="G966" s="278" t="s">
        <v>15</v>
      </c>
      <c r="H966" s="309">
        <f t="shared" ref="H966:H967" si="384">H942</f>
        <v>4</v>
      </c>
      <c r="I966" s="280">
        <f t="shared" ref="I966:I967" si="385">$I$2*H966</f>
        <v>322.48</v>
      </c>
      <c r="J966" s="281">
        <f t="shared" ref="J966:J967" si="386">$J$2*H966</f>
        <v>365.72</v>
      </c>
      <c r="K966" s="282">
        <f>IF(Notes!$B$9="Domestic",I966, IF(Notes!$B$9="Commercial",J966))*$K$925</f>
        <v>365.72</v>
      </c>
      <c r="L966" s="283">
        <f>(SUM(O966:Q966)+(K966+SUM(M966:Q966))*(INDEX($U$925:$AB$925,MATCH(Notes!$C$16,$U$3:$AB$3,0))-100%))*$L$925</f>
        <v>514.25</v>
      </c>
      <c r="M966" s="286"/>
      <c r="N966" s="286"/>
      <c r="O966" s="311">
        <f>O965*1.1</f>
        <v>514.25</v>
      </c>
      <c r="P966" s="285"/>
      <c r="Q966" s="285"/>
      <c r="R966" s="278"/>
      <c r="S966" s="278"/>
      <c r="T966" s="278"/>
    </row>
    <row r="967" spans="1:28" s="305" customFormat="1" hidden="1" outlineLevel="2" x14ac:dyDescent="0.25">
      <c r="A967" s="278"/>
      <c r="B967" s="279" t="str">
        <f t="shared" si="383"/>
        <v>internal stair open tread1000mmHWDprestige</v>
      </c>
      <c r="C967" s="353" t="s">
        <v>2081</v>
      </c>
      <c r="D967" s="278" t="s">
        <v>2074</v>
      </c>
      <c r="E967" s="278" t="s">
        <v>507</v>
      </c>
      <c r="F967" s="278" t="s">
        <v>545</v>
      </c>
      <c r="G967" s="278" t="s">
        <v>15</v>
      </c>
      <c r="H967" s="309">
        <f t="shared" si="384"/>
        <v>4</v>
      </c>
      <c r="I967" s="280">
        <f t="shared" si="385"/>
        <v>322.48</v>
      </c>
      <c r="J967" s="281">
        <f t="shared" si="386"/>
        <v>365.72</v>
      </c>
      <c r="K967" s="282">
        <f>IF(Notes!$B$9="Domestic",I967, IF(Notes!$B$9="Commercial",J967))*$K$925</f>
        <v>365.72</v>
      </c>
      <c r="L967" s="283">
        <f>(SUM(O967:Q967)+(K967+SUM(M967:Q967))*(INDEX($U$925:$AB$925,MATCH(Notes!$C$16,$U$3:$AB$3,0))-100%))*$L$925</f>
        <v>668.52499999999998</v>
      </c>
      <c r="M967" s="286"/>
      <c r="N967" s="286"/>
      <c r="O967" s="311">
        <f>O966*1.3</f>
        <v>668.52499999999998</v>
      </c>
      <c r="P967" s="285"/>
      <c r="Q967" s="285"/>
      <c r="R967" s="278"/>
      <c r="S967" s="278"/>
      <c r="T967" s="278"/>
    </row>
    <row r="968" spans="1:28" s="305" customFormat="1" hidden="1" outlineLevel="2" x14ac:dyDescent="0.25">
      <c r="A968" s="278"/>
      <c r="B968" s="279" t="str">
        <f t="shared" si="364"/>
        <v>internal stair open tread1100mmHWDaverage</v>
      </c>
      <c r="C968" s="353" t="s">
        <v>2081</v>
      </c>
      <c r="D968" s="278" t="s">
        <v>2075</v>
      </c>
      <c r="E968" s="278" t="s">
        <v>507</v>
      </c>
      <c r="F968" s="278" t="s">
        <v>543</v>
      </c>
      <c r="G968" s="278" t="s">
        <v>15</v>
      </c>
      <c r="H968" s="309">
        <f>H944</f>
        <v>4.2</v>
      </c>
      <c r="I968" s="280">
        <f t="shared" si="365"/>
        <v>338.60400000000004</v>
      </c>
      <c r="J968" s="281">
        <f t="shared" si="366"/>
        <v>384.00600000000003</v>
      </c>
      <c r="K968" s="282">
        <f>IF(Notes!$B$9="Domestic",I968, IF(Notes!$B$9="Commercial",J968))*$K$925</f>
        <v>384.00600000000003</v>
      </c>
      <c r="L968" s="283">
        <f>(SUM(O968:Q968)+(K968+SUM(M968:Q968))*(INDEX($U$925:$AB$925,MATCH(Notes!$C$16,$U$3:$AB$3,0))-100%))*$L$925</f>
        <v>498.09</v>
      </c>
      <c r="M968" s="286"/>
      <c r="N968" s="286"/>
      <c r="O968" s="285">
        <v>498.09</v>
      </c>
      <c r="P968" s="285"/>
      <c r="Q968" s="285"/>
      <c r="R968" s="278"/>
      <c r="S968" s="278"/>
      <c r="T968" s="278"/>
    </row>
    <row r="969" spans="1:28" s="305" customFormat="1" hidden="1" outlineLevel="2" x14ac:dyDescent="0.25">
      <c r="A969" s="278"/>
      <c r="B969" s="279" t="str">
        <f t="shared" ref="B969:B970" si="387">C969&amp;D969&amp;E969&amp;F969</f>
        <v>internal stair open tread1100mmHWDquality</v>
      </c>
      <c r="C969" s="353" t="s">
        <v>2081</v>
      </c>
      <c r="D969" s="278" t="s">
        <v>2075</v>
      </c>
      <c r="E969" s="278" t="s">
        <v>507</v>
      </c>
      <c r="F969" s="278" t="s">
        <v>544</v>
      </c>
      <c r="G969" s="278" t="s">
        <v>15</v>
      </c>
      <c r="H969" s="309">
        <f t="shared" ref="H969:H970" si="388">H945</f>
        <v>4.2</v>
      </c>
      <c r="I969" s="280">
        <f t="shared" ref="I969:I970" si="389">$I$2*H969</f>
        <v>338.60400000000004</v>
      </c>
      <c r="J969" s="281">
        <f t="shared" ref="J969:J970" si="390">$J$2*H969</f>
        <v>384.00600000000003</v>
      </c>
      <c r="K969" s="282">
        <f>IF(Notes!$B$9="Domestic",I969, IF(Notes!$B$9="Commercial",J969))*$K$925</f>
        <v>384.00600000000003</v>
      </c>
      <c r="L969" s="283">
        <f>(SUM(O969:Q969)+(K969+SUM(M969:Q969))*(INDEX($U$925:$AB$925,MATCH(Notes!$C$16,$U$3:$AB$3,0))-100%))*$L$925</f>
        <v>547.899</v>
      </c>
      <c r="M969" s="286"/>
      <c r="N969" s="286"/>
      <c r="O969" s="311">
        <f>O968*1.1</f>
        <v>547.899</v>
      </c>
      <c r="P969" s="285"/>
      <c r="Q969" s="285"/>
      <c r="R969" s="278"/>
      <c r="S969" s="278"/>
      <c r="T969" s="278"/>
    </row>
    <row r="970" spans="1:28" s="305" customFormat="1" hidden="1" outlineLevel="2" x14ac:dyDescent="0.25">
      <c r="A970" s="278"/>
      <c r="B970" s="279" t="str">
        <f t="shared" si="387"/>
        <v>internal stair open tread1100mmHWDprestige</v>
      </c>
      <c r="C970" s="353" t="s">
        <v>2081</v>
      </c>
      <c r="D970" s="278" t="s">
        <v>2075</v>
      </c>
      <c r="E970" s="278" t="s">
        <v>507</v>
      </c>
      <c r="F970" s="278" t="s">
        <v>545</v>
      </c>
      <c r="G970" s="278" t="s">
        <v>15</v>
      </c>
      <c r="H970" s="309">
        <f t="shared" si="388"/>
        <v>4.2</v>
      </c>
      <c r="I970" s="280">
        <f t="shared" si="389"/>
        <v>338.60400000000004</v>
      </c>
      <c r="J970" s="281">
        <f t="shared" si="390"/>
        <v>384.00600000000003</v>
      </c>
      <c r="K970" s="282">
        <f>IF(Notes!$B$9="Domestic",I970, IF(Notes!$B$9="Commercial",J970))*$K$925</f>
        <v>384.00600000000003</v>
      </c>
      <c r="L970" s="283">
        <f>(SUM(O970:Q970)+(K970+SUM(M970:Q970))*(INDEX($U$925:$AB$925,MATCH(Notes!$C$16,$U$3:$AB$3,0))-100%))*$L$925</f>
        <v>712.26870000000008</v>
      </c>
      <c r="M970" s="286"/>
      <c r="N970" s="286"/>
      <c r="O970" s="311">
        <f>O969*1.3</f>
        <v>712.26870000000008</v>
      </c>
      <c r="P970" s="285"/>
      <c r="Q970" s="285"/>
      <c r="R970" s="278"/>
      <c r="S970" s="278"/>
      <c r="T970" s="278"/>
    </row>
    <row r="971" spans="1:28" s="305" customFormat="1" hidden="1" outlineLevel="2" x14ac:dyDescent="0.25">
      <c r="A971" s="278"/>
      <c r="B971" s="279" t="str">
        <f t="shared" si="364"/>
        <v>internal stair open tread1200mmHWDaverage</v>
      </c>
      <c r="C971" s="353" t="s">
        <v>2081</v>
      </c>
      <c r="D971" s="278" t="s">
        <v>896</v>
      </c>
      <c r="E971" s="278" t="s">
        <v>507</v>
      </c>
      <c r="F971" s="278" t="s">
        <v>543</v>
      </c>
      <c r="G971" s="278" t="s">
        <v>15</v>
      </c>
      <c r="H971" s="309">
        <f t="shared" ref="H971:H973" si="391">H947</f>
        <v>4.8</v>
      </c>
      <c r="I971" s="280">
        <f t="shared" si="365"/>
        <v>386.976</v>
      </c>
      <c r="J971" s="281">
        <f t="shared" si="366"/>
        <v>438.86400000000003</v>
      </c>
      <c r="K971" s="282">
        <f>IF(Notes!$B$9="Domestic",I971, IF(Notes!$B$9="Commercial",J971))*$K$925</f>
        <v>438.86400000000003</v>
      </c>
      <c r="L971" s="283">
        <f>(SUM(O971:Q971)+(K971+SUM(M971:Q971))*(INDEX($U$925:$AB$925,MATCH(Notes!$C$16,$U$3:$AB$3,0))-100%))*$L$925</f>
        <v>609.48</v>
      </c>
      <c r="M971" s="286"/>
      <c r="N971" s="286"/>
      <c r="O971" s="285">
        <v>609.48</v>
      </c>
      <c r="P971" s="285"/>
      <c r="Q971" s="285"/>
      <c r="R971" s="278"/>
      <c r="S971" s="278"/>
      <c r="T971" s="278"/>
    </row>
    <row r="972" spans="1:28" s="305" customFormat="1" hidden="1" outlineLevel="2" x14ac:dyDescent="0.25">
      <c r="A972" s="278"/>
      <c r="B972" s="279" t="str">
        <f t="shared" ref="B972:B973" si="392">C972&amp;D972&amp;E972&amp;F972</f>
        <v>internal stair open tread1200mmHWDquality</v>
      </c>
      <c r="C972" s="353" t="s">
        <v>2081</v>
      </c>
      <c r="D972" s="278" t="s">
        <v>896</v>
      </c>
      <c r="E972" s="278" t="s">
        <v>507</v>
      </c>
      <c r="F972" s="278" t="s">
        <v>544</v>
      </c>
      <c r="G972" s="278" t="s">
        <v>15</v>
      </c>
      <c r="H972" s="309">
        <f t="shared" si="391"/>
        <v>4.8</v>
      </c>
      <c r="I972" s="280">
        <f t="shared" ref="I972:I973" si="393">$I$2*H972</f>
        <v>386.976</v>
      </c>
      <c r="J972" s="281">
        <f t="shared" ref="J972:J973" si="394">$J$2*H972</f>
        <v>438.86400000000003</v>
      </c>
      <c r="K972" s="282">
        <f>IF(Notes!$B$9="Domestic",I972, IF(Notes!$B$9="Commercial",J972))*$K$925</f>
        <v>438.86400000000003</v>
      </c>
      <c r="L972" s="283">
        <f>(SUM(O972:Q972)+(K972+SUM(M972:Q972))*(INDEX($U$925:$AB$925,MATCH(Notes!$C$16,$U$3:$AB$3,0))-100%))*$L$925</f>
        <v>670.42800000000011</v>
      </c>
      <c r="M972" s="286"/>
      <c r="N972" s="286"/>
      <c r="O972" s="311">
        <f>O971*1.1</f>
        <v>670.42800000000011</v>
      </c>
      <c r="P972" s="285"/>
      <c r="Q972" s="285"/>
      <c r="R972" s="278"/>
      <c r="S972" s="278"/>
      <c r="T972" s="278"/>
    </row>
    <row r="973" spans="1:28" s="305" customFormat="1" hidden="1" outlineLevel="2" x14ac:dyDescent="0.25">
      <c r="A973" s="278"/>
      <c r="B973" s="279" t="str">
        <f t="shared" si="392"/>
        <v>internal stair open tread1200mmHWDprestige</v>
      </c>
      <c r="C973" s="353" t="s">
        <v>2081</v>
      </c>
      <c r="D973" s="278" t="s">
        <v>896</v>
      </c>
      <c r="E973" s="278" t="s">
        <v>507</v>
      </c>
      <c r="F973" s="278" t="s">
        <v>545</v>
      </c>
      <c r="G973" s="278" t="s">
        <v>15</v>
      </c>
      <c r="H973" s="309">
        <f t="shared" si="391"/>
        <v>4.8</v>
      </c>
      <c r="I973" s="280">
        <f t="shared" si="393"/>
        <v>386.976</v>
      </c>
      <c r="J973" s="281">
        <f t="shared" si="394"/>
        <v>438.86400000000003</v>
      </c>
      <c r="K973" s="282">
        <f>IF(Notes!$B$9="Domestic",I973, IF(Notes!$B$9="Commercial",J973))*$K$925</f>
        <v>438.86400000000003</v>
      </c>
      <c r="L973" s="283">
        <f>(SUM(O973:Q973)+(K973+SUM(M973:Q973))*(INDEX($U$925:$AB$925,MATCH(Notes!$C$16,$U$3:$AB$3,0))-100%))*$L$925</f>
        <v>871.55640000000017</v>
      </c>
      <c r="M973" s="286"/>
      <c r="N973" s="286"/>
      <c r="O973" s="311">
        <f>O972*1.3</f>
        <v>871.55640000000017</v>
      </c>
      <c r="P973" s="285"/>
      <c r="Q973" s="285"/>
      <c r="R973" s="278"/>
      <c r="S973" s="278"/>
      <c r="T973" s="278"/>
    </row>
    <row r="974" spans="1:28" ht="21" hidden="1" outlineLevel="1" collapsed="1" x14ac:dyDescent="0.25">
      <c r="A974" s="299" t="s">
        <v>2076</v>
      </c>
      <c r="B974" s="299"/>
      <c r="C974" s="299"/>
      <c r="D974" s="299"/>
      <c r="E974" s="299"/>
      <c r="F974" s="299"/>
      <c r="G974" s="299"/>
      <c r="H974" s="348"/>
      <c r="I974" s="299"/>
      <c r="J974" s="299"/>
      <c r="K974" s="299"/>
      <c r="L974" s="299"/>
      <c r="M974" s="299"/>
      <c r="N974" s="299"/>
      <c r="O974" s="299"/>
      <c r="P974" s="299"/>
      <c r="Q974" s="299"/>
      <c r="R974" s="299"/>
      <c r="S974" s="299"/>
      <c r="T974" s="299"/>
      <c r="U974" s="299"/>
      <c r="V974" s="299"/>
      <c r="W974" s="299"/>
      <c r="X974" s="299"/>
      <c r="Y974" s="299"/>
      <c r="Z974" s="299"/>
      <c r="AA974" s="299"/>
      <c r="AB974" s="299"/>
    </row>
    <row r="975" spans="1:28" ht="15.75" hidden="1" outlineLevel="1" x14ac:dyDescent="0.25">
      <c r="A975" s="291"/>
      <c r="B975" s="291"/>
      <c r="C975" s="291"/>
      <c r="D975" s="291"/>
      <c r="E975" s="291"/>
      <c r="F975" s="291"/>
      <c r="G975" s="291"/>
      <c r="H975" s="325"/>
      <c r="I975" s="291"/>
      <c r="J975" s="291"/>
      <c r="K975" s="291">
        <f>K$2</f>
        <v>1</v>
      </c>
      <c r="L975" s="291">
        <f>L$2</f>
        <v>1</v>
      </c>
      <c r="M975" s="291"/>
      <c r="N975" s="291"/>
      <c r="O975" s="303"/>
      <c r="P975" s="303"/>
      <c r="Q975" s="303"/>
      <c r="R975" s="291"/>
      <c r="S975" s="291"/>
      <c r="T975" s="291"/>
      <c r="U975" s="381">
        <f>U$925</f>
        <v>0.88311688311688308</v>
      </c>
      <c r="V975" s="381">
        <f t="shared" ref="V975:AB975" si="395">V$925</f>
        <v>1</v>
      </c>
      <c r="W975" s="381">
        <f t="shared" si="395"/>
        <v>0.86493506493506489</v>
      </c>
      <c r="X975" s="381">
        <f t="shared" si="395"/>
        <v>0.96103896103896103</v>
      </c>
      <c r="Y975" s="381">
        <f t="shared" si="395"/>
        <v>0.98441558441558441</v>
      </c>
      <c r="Z975" s="381">
        <f t="shared" si="395"/>
        <v>1</v>
      </c>
      <c r="AA975" s="381">
        <f t="shared" si="395"/>
        <v>1</v>
      </c>
      <c r="AB975" s="381">
        <f t="shared" si="395"/>
        <v>1</v>
      </c>
    </row>
    <row r="976" spans="1:28" s="305" customFormat="1" hidden="1" outlineLevel="2" x14ac:dyDescent="0.25">
      <c r="A976" s="278"/>
      <c r="B976" s="279" t="str">
        <f>C976&amp;D976&amp;E976&amp;F976</f>
        <v>internal stair landingpineaverage</v>
      </c>
      <c r="C976" s="353" t="s">
        <v>2082</v>
      </c>
      <c r="D976" s="278"/>
      <c r="E976" s="278" t="s">
        <v>569</v>
      </c>
      <c r="F976" s="278" t="s">
        <v>543</v>
      </c>
      <c r="G976" s="278" t="s">
        <v>11</v>
      </c>
      <c r="H976" s="310">
        <v>3.6</v>
      </c>
      <c r="I976" s="280">
        <f>$I$2*H976</f>
        <v>290.23200000000003</v>
      </c>
      <c r="J976" s="281">
        <f>$J$2*H976</f>
        <v>329.14800000000002</v>
      </c>
      <c r="K976" s="282">
        <f>IF(Notes!$B$9="Domestic",I976, IF(Notes!$B$9="Commercial",J976))*$K$975</f>
        <v>329.14800000000002</v>
      </c>
      <c r="L976" s="283">
        <f>(SUM(O976:Q976)+(K976+SUM(M976:Q976))*(INDEX($U$975:$AB$975,MATCH(Notes!$C$16,$U$3:$AB$3,0))-100%))*$L$975</f>
        <v>151.59</v>
      </c>
      <c r="M976" s="286"/>
      <c r="N976" s="286"/>
      <c r="O976" s="285">
        <v>151.59</v>
      </c>
      <c r="P976" s="285"/>
      <c r="Q976" s="285"/>
      <c r="R976" s="278"/>
      <c r="S976" s="278"/>
      <c r="T976" s="278"/>
    </row>
    <row r="977" spans="1:28" s="305" customFormat="1" hidden="1" outlineLevel="2" x14ac:dyDescent="0.25">
      <c r="A977" s="278"/>
      <c r="B977" s="279" t="str">
        <f t="shared" ref="B977:B978" si="396">C977&amp;D977&amp;E977&amp;F977</f>
        <v>internal stair landingpinequality</v>
      </c>
      <c r="C977" s="353" t="s">
        <v>2082</v>
      </c>
      <c r="D977" s="278"/>
      <c r="E977" s="278" t="s">
        <v>569</v>
      </c>
      <c r="F977" s="278" t="s">
        <v>544</v>
      </c>
      <c r="G977" s="278" t="s">
        <v>11</v>
      </c>
      <c r="H977" s="309">
        <f>H976</f>
        <v>3.6</v>
      </c>
      <c r="I977" s="280">
        <f t="shared" ref="I977:I978" si="397">$I$2*H977</f>
        <v>290.23200000000003</v>
      </c>
      <c r="J977" s="281">
        <f t="shared" ref="J977:J978" si="398">$J$2*H977</f>
        <v>329.14800000000002</v>
      </c>
      <c r="K977" s="282">
        <f>IF(Notes!$B$9="Domestic",I977, IF(Notes!$B$9="Commercial",J977))*$K$975</f>
        <v>329.14800000000002</v>
      </c>
      <c r="L977" s="283">
        <f>(SUM(O977:Q977)+(K977+SUM(M977:Q977))*(INDEX($U$975:$AB$975,MATCH(Notes!$C$16,$U$3:$AB$3,0))-100%))*$L$975</f>
        <v>166.74900000000002</v>
      </c>
      <c r="M977" s="286"/>
      <c r="N977" s="286"/>
      <c r="O977" s="311">
        <f>O976*1.1</f>
        <v>166.74900000000002</v>
      </c>
      <c r="P977" s="285"/>
      <c r="Q977" s="285"/>
      <c r="R977" s="278"/>
      <c r="S977" s="278"/>
      <c r="T977" s="278"/>
    </row>
    <row r="978" spans="1:28" s="305" customFormat="1" hidden="1" outlineLevel="2" x14ac:dyDescent="0.25">
      <c r="A978" s="278"/>
      <c r="B978" s="279" t="str">
        <f t="shared" si="396"/>
        <v>internal stair landingpineprestige</v>
      </c>
      <c r="C978" s="353" t="s">
        <v>2082</v>
      </c>
      <c r="D978" s="278"/>
      <c r="E978" s="278" t="s">
        <v>569</v>
      </c>
      <c r="F978" s="278" t="s">
        <v>545</v>
      </c>
      <c r="G978" s="278" t="s">
        <v>11</v>
      </c>
      <c r="H978" s="309">
        <f>H976</f>
        <v>3.6</v>
      </c>
      <c r="I978" s="280">
        <f t="shared" si="397"/>
        <v>290.23200000000003</v>
      </c>
      <c r="J978" s="281">
        <f t="shared" si="398"/>
        <v>329.14800000000002</v>
      </c>
      <c r="K978" s="282">
        <f>IF(Notes!$B$9="Domestic",I978, IF(Notes!$B$9="Commercial",J978))*$K$975</f>
        <v>329.14800000000002</v>
      </c>
      <c r="L978" s="283">
        <f>(SUM(O978:Q978)+(K978+SUM(M978:Q978))*(INDEX($U$975:$AB$975,MATCH(Notes!$C$16,$U$3:$AB$3,0))-100%))*$L$975</f>
        <v>216.77370000000005</v>
      </c>
      <c r="M978" s="286"/>
      <c r="N978" s="286"/>
      <c r="O978" s="311">
        <f>O977*1.3</f>
        <v>216.77370000000005</v>
      </c>
      <c r="P978" s="285"/>
      <c r="Q978" s="285"/>
      <c r="R978" s="278"/>
      <c r="S978" s="278"/>
      <c r="T978" s="278"/>
    </row>
    <row r="979" spans="1:28" s="305" customFormat="1" hidden="1" outlineLevel="2" x14ac:dyDescent="0.25">
      <c r="A979" s="278"/>
      <c r="B979" s="279" t="str">
        <f t="shared" ref="B979" si="399">C979&amp;D979&amp;E979&amp;F979</f>
        <v>internal stair landingHWDaverage</v>
      </c>
      <c r="C979" s="353" t="s">
        <v>2082</v>
      </c>
      <c r="D979" s="278"/>
      <c r="E979" s="278" t="s">
        <v>507</v>
      </c>
      <c r="F979" s="278" t="s">
        <v>543</v>
      </c>
      <c r="G979" s="278" t="s">
        <v>11</v>
      </c>
      <c r="H979" s="310">
        <v>4</v>
      </c>
      <c r="I979" s="280">
        <f t="shared" ref="I979" si="400">$I$2*H979</f>
        <v>322.48</v>
      </c>
      <c r="J979" s="281">
        <f t="shared" ref="J979" si="401">$J$2*H979</f>
        <v>365.72</v>
      </c>
      <c r="K979" s="282">
        <f>IF(Notes!$B$9="Domestic",I979, IF(Notes!$B$9="Commercial",J979))*$K$975</f>
        <v>365.72</v>
      </c>
      <c r="L979" s="283">
        <f>(SUM(O979:Q979)+(K979+SUM(M979:Q979))*(INDEX($U$975:$AB$975,MATCH(Notes!$C$16,$U$3:$AB$3,0))-100%))*$L$975</f>
        <v>273.51</v>
      </c>
      <c r="M979" s="286"/>
      <c r="N979" s="286"/>
      <c r="O979" s="285">
        <v>273.51</v>
      </c>
      <c r="P979" s="285"/>
      <c r="Q979" s="285"/>
      <c r="R979" s="278"/>
      <c r="S979" s="278"/>
      <c r="T979" s="278"/>
    </row>
    <row r="980" spans="1:28" s="305" customFormat="1" hidden="1" outlineLevel="2" x14ac:dyDescent="0.25">
      <c r="A980" s="278"/>
      <c r="B980" s="279" t="str">
        <f t="shared" ref="B980:B981" si="402">C980&amp;D980&amp;E980&amp;F980</f>
        <v>internal stair landingHWDquality</v>
      </c>
      <c r="C980" s="353" t="s">
        <v>2082</v>
      </c>
      <c r="D980" s="278"/>
      <c r="E980" s="278" t="s">
        <v>507</v>
      </c>
      <c r="F980" s="278" t="s">
        <v>544</v>
      </c>
      <c r="G980" s="278" t="s">
        <v>11</v>
      </c>
      <c r="H980" s="309">
        <f>H979</f>
        <v>4</v>
      </c>
      <c r="I980" s="280">
        <f t="shared" ref="I980:I981" si="403">$I$2*H980</f>
        <v>322.48</v>
      </c>
      <c r="J980" s="281">
        <f t="shared" ref="J980:J981" si="404">$J$2*H980</f>
        <v>365.72</v>
      </c>
      <c r="K980" s="282">
        <f>IF(Notes!$B$9="Domestic",I980, IF(Notes!$B$9="Commercial",J980))*$K$975</f>
        <v>365.72</v>
      </c>
      <c r="L980" s="283">
        <f>(SUM(O980:Q980)+(K980+SUM(M980:Q980))*(INDEX($U$975:$AB$975,MATCH(Notes!$C$16,$U$3:$AB$3,0))-100%))*$L$975</f>
        <v>300.86099999999999</v>
      </c>
      <c r="M980" s="286"/>
      <c r="N980" s="286"/>
      <c r="O980" s="311">
        <f>O979*1.1</f>
        <v>300.86099999999999</v>
      </c>
      <c r="P980" s="285"/>
      <c r="Q980" s="285"/>
      <c r="R980" s="278"/>
      <c r="S980" s="278"/>
      <c r="T980" s="278"/>
    </row>
    <row r="981" spans="1:28" s="305" customFormat="1" hidden="1" outlineLevel="2" x14ac:dyDescent="0.25">
      <c r="A981" s="278"/>
      <c r="B981" s="279" t="str">
        <f t="shared" si="402"/>
        <v>internal stair landingHWDprestige</v>
      </c>
      <c r="C981" s="353" t="s">
        <v>2082</v>
      </c>
      <c r="D981" s="278"/>
      <c r="E981" s="278" t="s">
        <v>507</v>
      </c>
      <c r="F981" s="278" t="s">
        <v>545</v>
      </c>
      <c r="G981" s="278" t="s">
        <v>11</v>
      </c>
      <c r="H981" s="309">
        <f>H979</f>
        <v>4</v>
      </c>
      <c r="I981" s="280">
        <f t="shared" si="403"/>
        <v>322.48</v>
      </c>
      <c r="J981" s="281">
        <f t="shared" si="404"/>
        <v>365.72</v>
      </c>
      <c r="K981" s="282">
        <f>IF(Notes!$B$9="Domestic",I981, IF(Notes!$B$9="Commercial",J981))*$K$975</f>
        <v>365.72</v>
      </c>
      <c r="L981" s="283">
        <f>(SUM(O981:Q981)+(K981+SUM(M981:Q981))*(INDEX($U$975:$AB$975,MATCH(Notes!$C$16,$U$3:$AB$3,0))-100%))*$L$975</f>
        <v>391.11930000000001</v>
      </c>
      <c r="M981" s="286"/>
      <c r="N981" s="286"/>
      <c r="O981" s="311">
        <f>O980*1.3</f>
        <v>391.11930000000001</v>
      </c>
      <c r="P981" s="285"/>
      <c r="Q981" s="285"/>
      <c r="R981" s="278"/>
      <c r="S981" s="278"/>
      <c r="T981" s="278"/>
    </row>
    <row r="982" spans="1:28" ht="21" hidden="1" outlineLevel="1" collapsed="1" x14ac:dyDescent="0.25">
      <c r="A982" s="299" t="s">
        <v>2079</v>
      </c>
      <c r="B982" s="299"/>
      <c r="C982" s="299"/>
      <c r="D982" s="299"/>
      <c r="E982" s="299"/>
      <c r="F982" s="299"/>
      <c r="G982" s="299"/>
      <c r="H982" s="348"/>
      <c r="I982" s="299"/>
      <c r="J982" s="299"/>
      <c r="K982" s="299"/>
      <c r="L982" s="299"/>
      <c r="M982" s="299"/>
      <c r="N982" s="299"/>
      <c r="O982" s="299"/>
      <c r="P982" s="299"/>
      <c r="Q982" s="299"/>
      <c r="R982" s="299"/>
      <c r="S982" s="299"/>
      <c r="T982" s="299"/>
      <c r="U982" s="299"/>
      <c r="V982" s="299"/>
      <c r="W982" s="299"/>
      <c r="X982" s="299"/>
      <c r="Y982" s="299"/>
      <c r="Z982" s="299"/>
      <c r="AA982" s="299"/>
      <c r="AB982" s="299"/>
    </row>
    <row r="983" spans="1:28" ht="15.75" hidden="1" outlineLevel="1" x14ac:dyDescent="0.25">
      <c r="A983" s="291"/>
      <c r="B983" s="291"/>
      <c r="C983" s="291"/>
      <c r="D983" s="291"/>
      <c r="E983" s="291"/>
      <c r="F983" s="291"/>
      <c r="G983" s="291"/>
      <c r="H983" s="325"/>
      <c r="I983" s="291"/>
      <c r="J983" s="291"/>
      <c r="K983" s="291">
        <f>K$2</f>
        <v>1</v>
      </c>
      <c r="L983" s="291">
        <f>L$2</f>
        <v>1</v>
      </c>
      <c r="M983" s="291"/>
      <c r="N983" s="291"/>
      <c r="O983" s="303"/>
      <c r="P983" s="303"/>
      <c r="Q983" s="303"/>
      <c r="R983" s="291"/>
      <c r="S983" s="291"/>
      <c r="T983" s="291"/>
      <c r="U983" s="381">
        <f>U$925</f>
        <v>0.88311688311688308</v>
      </c>
      <c r="V983" s="381">
        <f t="shared" ref="V983:AB983" si="405">V$925</f>
        <v>1</v>
      </c>
      <c r="W983" s="381">
        <f t="shared" si="405"/>
        <v>0.86493506493506489</v>
      </c>
      <c r="X983" s="381">
        <f t="shared" si="405"/>
        <v>0.96103896103896103</v>
      </c>
      <c r="Y983" s="381">
        <f t="shared" si="405"/>
        <v>0.98441558441558441</v>
      </c>
      <c r="Z983" s="381">
        <f t="shared" si="405"/>
        <v>1</v>
      </c>
      <c r="AA983" s="381">
        <f t="shared" si="405"/>
        <v>1</v>
      </c>
      <c r="AB983" s="381">
        <f t="shared" si="405"/>
        <v>1</v>
      </c>
    </row>
    <row r="984" spans="1:28" s="305" customFormat="1" hidden="1" outlineLevel="2" x14ac:dyDescent="0.25">
      <c r="A984" s="278"/>
      <c r="B984" s="279" t="str">
        <f>C984&amp;D984&amp;E984&amp;F984</f>
        <v>internal stair handrailpineaverage</v>
      </c>
      <c r="C984" s="353" t="s">
        <v>2083</v>
      </c>
      <c r="D984" s="278"/>
      <c r="E984" s="278" t="s">
        <v>569</v>
      </c>
      <c r="F984" s="278" t="s">
        <v>543</v>
      </c>
      <c r="G984" s="278" t="s">
        <v>15</v>
      </c>
      <c r="H984" s="310">
        <v>0.5</v>
      </c>
      <c r="I984" s="280">
        <f>$I$2*H984</f>
        <v>40.31</v>
      </c>
      <c r="J984" s="281">
        <f>$J$2*H984</f>
        <v>45.715000000000003</v>
      </c>
      <c r="K984" s="282">
        <f>IF(Notes!$B$9="Domestic",I984, IF(Notes!$B$9="Commercial",J984))*$K$983</f>
        <v>45.715000000000003</v>
      </c>
      <c r="L984" s="283">
        <f>(SUM(O984:Q984)+(K984+SUM(M984:Q984))*(INDEX($U$983:$AB$983,MATCH(Notes!$C$16,$U$3:$AB$3,0))-100%))*$L$983</f>
        <v>68.004000000000005</v>
      </c>
      <c r="M984" s="286"/>
      <c r="N984" s="286"/>
      <c r="O984" s="311">
        <f>O985*0.9</f>
        <v>68.004000000000005</v>
      </c>
      <c r="P984" s="285"/>
      <c r="Q984" s="285"/>
      <c r="R984" s="278"/>
      <c r="S984" s="278"/>
      <c r="T984" s="278"/>
    </row>
    <row r="985" spans="1:28" s="305" customFormat="1" hidden="1" outlineLevel="2" x14ac:dyDescent="0.25">
      <c r="A985" s="278"/>
      <c r="B985" s="279" t="str">
        <f t="shared" ref="B985:B989" si="406">C985&amp;D985&amp;E985&amp;F985</f>
        <v>internal stair handrailpinequality</v>
      </c>
      <c r="C985" s="353" t="s">
        <v>2083</v>
      </c>
      <c r="D985" s="278"/>
      <c r="E985" s="278" t="s">
        <v>569</v>
      </c>
      <c r="F985" s="278" t="s">
        <v>544</v>
      </c>
      <c r="G985" s="278" t="s">
        <v>15</v>
      </c>
      <c r="H985" s="310">
        <v>0.5</v>
      </c>
      <c r="I985" s="280">
        <f t="shared" ref="I985:I987" si="407">$I$2*H985</f>
        <v>40.31</v>
      </c>
      <c r="J985" s="281">
        <f t="shared" ref="J985:J989" si="408">$J$2*H985</f>
        <v>45.715000000000003</v>
      </c>
      <c r="K985" s="282">
        <f>IF(Notes!$B$9="Domestic",I985, IF(Notes!$B$9="Commercial",J985))*$K$983</f>
        <v>45.715000000000003</v>
      </c>
      <c r="L985" s="283">
        <f>(SUM(O985:Q985)+(K985+SUM(M985:Q985))*(INDEX($U$983:$AB$983,MATCH(Notes!$C$16,$U$3:$AB$3,0))-100%))*$L$983</f>
        <v>75.56</v>
      </c>
      <c r="M985" s="286"/>
      <c r="N985" s="286"/>
      <c r="O985" s="285">
        <v>75.56</v>
      </c>
      <c r="P985" s="285"/>
      <c r="Q985" s="285"/>
      <c r="R985" s="278"/>
      <c r="S985" s="278"/>
      <c r="T985" s="278"/>
    </row>
    <row r="986" spans="1:28" s="305" customFormat="1" hidden="1" outlineLevel="2" x14ac:dyDescent="0.25">
      <c r="A986" s="278"/>
      <c r="B986" s="279" t="str">
        <f t="shared" si="406"/>
        <v>internal stair handrailpineprestige</v>
      </c>
      <c r="C986" s="353" t="s">
        <v>2083</v>
      </c>
      <c r="D986" s="278"/>
      <c r="E986" s="278" t="s">
        <v>569</v>
      </c>
      <c r="F986" s="278" t="s">
        <v>545</v>
      </c>
      <c r="G986" s="278" t="s">
        <v>15</v>
      </c>
      <c r="H986" s="310">
        <v>0.5</v>
      </c>
      <c r="I986" s="280">
        <f t="shared" si="407"/>
        <v>40.31</v>
      </c>
      <c r="J986" s="281">
        <f t="shared" si="408"/>
        <v>45.715000000000003</v>
      </c>
      <c r="K986" s="282">
        <f>IF(Notes!$B$9="Domestic",I986, IF(Notes!$B$9="Commercial",J986))*$K$983</f>
        <v>45.715000000000003</v>
      </c>
      <c r="L986" s="283">
        <f>(SUM(O986:Q986)+(K986+SUM(M986:Q986))*(INDEX($U$983:$AB$983,MATCH(Notes!$C$16,$U$3:$AB$3,0))-100%))*$L$983</f>
        <v>93.52</v>
      </c>
      <c r="M986" s="286"/>
      <c r="N986" s="286"/>
      <c r="O986" s="285">
        <v>93.52</v>
      </c>
      <c r="P986" s="285"/>
      <c r="Q986" s="285"/>
      <c r="R986" s="278"/>
      <c r="S986" s="278"/>
      <c r="T986" s="278"/>
    </row>
    <row r="987" spans="1:28" s="305" customFormat="1" hidden="1" outlineLevel="2" x14ac:dyDescent="0.25">
      <c r="A987" s="278"/>
      <c r="B987" s="279" t="str">
        <f t="shared" si="406"/>
        <v>internal stair handrailHWDaverage</v>
      </c>
      <c r="C987" s="353" t="s">
        <v>2083</v>
      </c>
      <c r="D987" s="278"/>
      <c r="E987" s="278" t="s">
        <v>507</v>
      </c>
      <c r="F987" s="278" t="s">
        <v>543</v>
      </c>
      <c r="G987" s="278" t="s">
        <v>15</v>
      </c>
      <c r="H987" s="310">
        <v>0.5</v>
      </c>
      <c r="I987" s="280">
        <f t="shared" si="407"/>
        <v>40.31</v>
      </c>
      <c r="J987" s="281">
        <f t="shared" si="408"/>
        <v>45.715000000000003</v>
      </c>
      <c r="K987" s="282">
        <f>IF(Notes!$B$9="Domestic",I987, IF(Notes!$B$9="Commercial",J987))*$K$983</f>
        <v>45.715000000000003</v>
      </c>
      <c r="L987" s="283">
        <f>(SUM(O987:Q987)+(K987+SUM(M987:Q987))*(INDEX($U$983:$AB$983,MATCH(Notes!$C$16,$U$3:$AB$3,0))-100%))*$L$983</f>
        <v>136.143</v>
      </c>
      <c r="M987" s="286"/>
      <c r="N987" s="286"/>
      <c r="O987" s="311">
        <f>O988*0.9</f>
        <v>136.143</v>
      </c>
      <c r="P987" s="285"/>
      <c r="Q987" s="285"/>
      <c r="R987" s="278"/>
      <c r="S987" s="278"/>
      <c r="T987" s="278"/>
    </row>
    <row r="988" spans="1:28" s="305" customFormat="1" hidden="1" outlineLevel="2" x14ac:dyDescent="0.25">
      <c r="A988" s="278"/>
      <c r="B988" s="279" t="str">
        <f t="shared" si="406"/>
        <v>internal stair handrailHWDquality</v>
      </c>
      <c r="C988" s="353" t="s">
        <v>2083</v>
      </c>
      <c r="D988" s="278"/>
      <c r="E988" s="278" t="s">
        <v>507</v>
      </c>
      <c r="F988" s="278" t="s">
        <v>544</v>
      </c>
      <c r="G988" s="278" t="s">
        <v>15</v>
      </c>
      <c r="H988" s="310">
        <v>0.5</v>
      </c>
      <c r="I988" s="280">
        <f>$I$2*H988</f>
        <v>40.31</v>
      </c>
      <c r="J988" s="281">
        <f t="shared" si="408"/>
        <v>45.715000000000003</v>
      </c>
      <c r="K988" s="282">
        <f>IF(Notes!$B$9="Domestic",I988, IF(Notes!$B$9="Commercial",J988))*$K$983</f>
        <v>45.715000000000003</v>
      </c>
      <c r="L988" s="283">
        <f>(SUM(O988:Q988)+(K988+SUM(M988:Q988))*(INDEX($U$983:$AB$983,MATCH(Notes!$C$16,$U$3:$AB$3,0))-100%))*$L$983</f>
        <v>151.27000000000001</v>
      </c>
      <c r="M988" s="286"/>
      <c r="N988" s="286"/>
      <c r="O988" s="285">
        <v>151.27000000000001</v>
      </c>
      <c r="P988" s="285"/>
      <c r="Q988" s="285"/>
      <c r="R988" s="278"/>
      <c r="S988" s="278"/>
      <c r="T988" s="278"/>
    </row>
    <row r="989" spans="1:28" s="305" customFormat="1" hidden="1" outlineLevel="2" x14ac:dyDescent="0.25">
      <c r="A989" s="278"/>
      <c r="B989" s="279" t="str">
        <f t="shared" si="406"/>
        <v>internal stair handrailHWDprestige</v>
      </c>
      <c r="C989" s="353" t="s">
        <v>2083</v>
      </c>
      <c r="D989" s="278"/>
      <c r="E989" s="278" t="s">
        <v>507</v>
      </c>
      <c r="F989" s="278" t="s">
        <v>545</v>
      </c>
      <c r="G989" s="278" t="s">
        <v>15</v>
      </c>
      <c r="H989" s="310">
        <v>0.5</v>
      </c>
      <c r="I989" s="280">
        <f t="shared" ref="I989" si="409">$I$2*H989</f>
        <v>40.31</v>
      </c>
      <c r="J989" s="281">
        <f t="shared" si="408"/>
        <v>45.715000000000003</v>
      </c>
      <c r="K989" s="282">
        <f>IF(Notes!$B$9="Domestic",I989, IF(Notes!$B$9="Commercial",J989))*$K$983</f>
        <v>45.715000000000003</v>
      </c>
      <c r="L989" s="283">
        <f>(SUM(O989:Q989)+(K989+SUM(M989:Q989))*(INDEX($U$983:$AB$983,MATCH(Notes!$C$16,$U$3:$AB$3,0))-100%))*$L$983</f>
        <v>168.91</v>
      </c>
      <c r="M989" s="286"/>
      <c r="N989" s="286"/>
      <c r="O989" s="285">
        <v>168.91</v>
      </c>
      <c r="P989" s="285"/>
      <c r="Q989" s="285"/>
      <c r="R989" s="278"/>
      <c r="S989" s="278"/>
      <c r="T989" s="278"/>
    </row>
    <row r="990" spans="1:28" ht="21" hidden="1" outlineLevel="1" collapsed="1" x14ac:dyDescent="0.25">
      <c r="A990" s="299" t="s">
        <v>2080</v>
      </c>
      <c r="B990" s="299"/>
      <c r="C990" s="299"/>
      <c r="D990" s="299"/>
      <c r="E990" s="299"/>
      <c r="F990" s="299"/>
      <c r="G990" s="299"/>
      <c r="H990" s="348"/>
      <c r="I990" s="299"/>
      <c r="J990" s="299"/>
      <c r="K990" s="299"/>
      <c r="L990" s="299"/>
      <c r="M990" s="299"/>
      <c r="N990" s="299"/>
      <c r="O990" s="299"/>
      <c r="P990" s="299"/>
      <c r="Q990" s="299"/>
      <c r="R990" s="299"/>
      <c r="S990" s="299"/>
      <c r="T990" s="299"/>
      <c r="U990" s="299"/>
      <c r="V990" s="299"/>
      <c r="W990" s="299"/>
      <c r="X990" s="299"/>
      <c r="Y990" s="299"/>
      <c r="Z990" s="299"/>
      <c r="AA990" s="299"/>
      <c r="AB990" s="299"/>
    </row>
    <row r="991" spans="1:28" ht="15.75" hidden="1" outlineLevel="1" x14ac:dyDescent="0.25">
      <c r="A991" s="291"/>
      <c r="B991" s="291"/>
      <c r="C991" s="291"/>
      <c r="D991" s="291"/>
      <c r="E991" s="291"/>
      <c r="F991" s="291"/>
      <c r="G991" s="291"/>
      <c r="H991" s="325"/>
      <c r="I991" s="291"/>
      <c r="J991" s="291"/>
      <c r="K991" s="291">
        <f>K$2</f>
        <v>1</v>
      </c>
      <c r="L991" s="291">
        <f>L$2</f>
        <v>1</v>
      </c>
      <c r="M991" s="291"/>
      <c r="N991" s="291"/>
      <c r="O991" s="303"/>
      <c r="P991" s="303"/>
      <c r="Q991" s="303"/>
      <c r="R991" s="291"/>
      <c r="S991" s="291"/>
      <c r="T991" s="291"/>
      <c r="U991" s="381">
        <f>U$925</f>
        <v>0.88311688311688308</v>
      </c>
      <c r="V991" s="381">
        <f t="shared" ref="V991:AB991" si="410">V$925</f>
        <v>1</v>
      </c>
      <c r="W991" s="381">
        <f t="shared" si="410"/>
        <v>0.86493506493506489</v>
      </c>
      <c r="X991" s="381">
        <f t="shared" si="410"/>
        <v>0.96103896103896103</v>
      </c>
      <c r="Y991" s="381">
        <f t="shared" si="410"/>
        <v>0.98441558441558441</v>
      </c>
      <c r="Z991" s="381">
        <f t="shared" si="410"/>
        <v>1</v>
      </c>
      <c r="AA991" s="381">
        <f t="shared" si="410"/>
        <v>1</v>
      </c>
      <c r="AB991" s="381">
        <f t="shared" si="410"/>
        <v>1</v>
      </c>
    </row>
    <row r="992" spans="1:28" s="305" customFormat="1" hidden="1" outlineLevel="2" x14ac:dyDescent="0.25">
      <c r="A992" s="278"/>
      <c r="B992" s="279" t="str">
        <f>C992&amp;D992&amp;E992&amp;F992</f>
        <v>internal stair balustradepineaverage</v>
      </c>
      <c r="C992" s="353" t="s">
        <v>2090</v>
      </c>
      <c r="D992" s="278"/>
      <c r="E992" s="278" t="s">
        <v>569</v>
      </c>
      <c r="F992" s="278" t="s">
        <v>543</v>
      </c>
      <c r="G992" s="278" t="s">
        <v>15</v>
      </c>
      <c r="H992" s="310">
        <v>1</v>
      </c>
      <c r="I992" s="280">
        <f>$I$2*H992</f>
        <v>80.62</v>
      </c>
      <c r="J992" s="281">
        <f>$J$2*H992</f>
        <v>91.43</v>
      </c>
      <c r="K992" s="282">
        <f>IF(Notes!$B$9="Domestic",I992, IF(Notes!$B$9="Commercial",J992))*$K$991</f>
        <v>91.43</v>
      </c>
      <c r="L992" s="283">
        <f>(SUM(O992:Q992)+(K992+SUM(M992:Q992))*(INDEX($U$991:$AB$991,MATCH(Notes!$C$16,$U$3:$AB$3,0))-100%))*$L$991</f>
        <v>157.77000000000001</v>
      </c>
      <c r="M992" s="286"/>
      <c r="N992" s="286"/>
      <c r="O992" s="285">
        <v>157.77000000000001</v>
      </c>
      <c r="P992" s="285"/>
      <c r="Q992" s="285"/>
      <c r="R992" s="278"/>
      <c r="S992" s="278"/>
      <c r="T992" s="278"/>
    </row>
    <row r="993" spans="1:28" s="305" customFormat="1" hidden="1" outlineLevel="2" x14ac:dyDescent="0.25">
      <c r="A993" s="278"/>
      <c r="B993" s="279" t="str">
        <f t="shared" ref="B993:B997" si="411">C993&amp;D993&amp;E993&amp;F993</f>
        <v>internal stair balustradepinequality</v>
      </c>
      <c r="C993" s="353" t="s">
        <v>2090</v>
      </c>
      <c r="D993" s="278"/>
      <c r="E993" s="278" t="s">
        <v>569</v>
      </c>
      <c r="F993" s="278" t="s">
        <v>544</v>
      </c>
      <c r="G993" s="278" t="s">
        <v>15</v>
      </c>
      <c r="H993" s="310">
        <v>1</v>
      </c>
      <c r="I993" s="280">
        <f t="shared" ref="I993:I995" si="412">$I$2*H993</f>
        <v>80.62</v>
      </c>
      <c r="J993" s="281">
        <f t="shared" ref="J993:J997" si="413">$J$2*H993</f>
        <v>91.43</v>
      </c>
      <c r="K993" s="282">
        <f>IF(Notes!$B$9="Domestic",I993, IF(Notes!$B$9="Commercial",J993))*$K$991</f>
        <v>91.43</v>
      </c>
      <c r="L993" s="283">
        <f>(SUM(O993:Q993)+(K993+SUM(M993:Q993))*(INDEX($U$991:$AB$991,MATCH(Notes!$C$16,$U$3:$AB$3,0))-100%))*$L$991</f>
        <v>173.54700000000003</v>
      </c>
      <c r="M993" s="286"/>
      <c r="N993" s="286"/>
      <c r="O993" s="311">
        <f>O992*1.1</f>
        <v>173.54700000000003</v>
      </c>
      <c r="P993" s="285"/>
      <c r="Q993" s="285"/>
      <c r="R993" s="278"/>
      <c r="S993" s="278"/>
      <c r="T993" s="278"/>
    </row>
    <row r="994" spans="1:28" s="305" customFormat="1" hidden="1" outlineLevel="2" x14ac:dyDescent="0.25">
      <c r="A994" s="278"/>
      <c r="B994" s="279" t="str">
        <f t="shared" si="411"/>
        <v>internal stair balustradepineprestige</v>
      </c>
      <c r="C994" s="353" t="s">
        <v>2090</v>
      </c>
      <c r="D994" s="278"/>
      <c r="E994" s="278" t="s">
        <v>569</v>
      </c>
      <c r="F994" s="278" t="s">
        <v>545</v>
      </c>
      <c r="G994" s="278" t="s">
        <v>15</v>
      </c>
      <c r="H994" s="310">
        <v>1</v>
      </c>
      <c r="I994" s="280">
        <f t="shared" si="412"/>
        <v>80.62</v>
      </c>
      <c r="J994" s="281">
        <f t="shared" si="413"/>
        <v>91.43</v>
      </c>
      <c r="K994" s="282">
        <f>IF(Notes!$B$9="Domestic",I994, IF(Notes!$B$9="Commercial",J994))*$K$991</f>
        <v>91.43</v>
      </c>
      <c r="L994" s="283">
        <f>(SUM(O994:Q994)+(K994+SUM(M994:Q994))*(INDEX($U$991:$AB$991,MATCH(Notes!$C$16,$U$3:$AB$3,0))-100%))*$L$991</f>
        <v>225.61110000000005</v>
      </c>
      <c r="M994" s="286"/>
      <c r="N994" s="286"/>
      <c r="O994" s="311">
        <f>O993*1.3</f>
        <v>225.61110000000005</v>
      </c>
      <c r="P994" s="285"/>
      <c r="Q994" s="285"/>
      <c r="R994" s="278"/>
      <c r="S994" s="278"/>
      <c r="T994" s="278"/>
    </row>
    <row r="995" spans="1:28" s="305" customFormat="1" hidden="1" outlineLevel="2" x14ac:dyDescent="0.25">
      <c r="A995" s="278"/>
      <c r="B995" s="279" t="str">
        <f t="shared" si="411"/>
        <v>internal stair balustradeHWDaverage</v>
      </c>
      <c r="C995" s="353" t="s">
        <v>2090</v>
      </c>
      <c r="D995" s="278"/>
      <c r="E995" s="278" t="s">
        <v>507</v>
      </c>
      <c r="F995" s="278" t="s">
        <v>543</v>
      </c>
      <c r="G995" s="278" t="s">
        <v>15</v>
      </c>
      <c r="H995" s="310">
        <v>1</v>
      </c>
      <c r="I995" s="280">
        <f t="shared" si="412"/>
        <v>80.62</v>
      </c>
      <c r="J995" s="281">
        <f t="shared" si="413"/>
        <v>91.43</v>
      </c>
      <c r="K995" s="282">
        <f>IF(Notes!$B$9="Domestic",I995, IF(Notes!$B$9="Commercial",J995))*$K$991</f>
        <v>91.43</v>
      </c>
      <c r="L995" s="283">
        <f>(SUM(O995:Q995)+(K995+SUM(M995:Q995))*(INDEX($U$991:$AB$991,MATCH(Notes!$C$16,$U$3:$AB$3,0))-100%))*$L$991</f>
        <v>314.85000000000002</v>
      </c>
      <c r="M995" s="286"/>
      <c r="N995" s="286"/>
      <c r="O995" s="285">
        <v>314.85000000000002</v>
      </c>
      <c r="P995" s="285"/>
      <c r="Q995" s="285"/>
      <c r="R995" s="278"/>
      <c r="S995" s="278"/>
      <c r="T995" s="278"/>
    </row>
    <row r="996" spans="1:28" s="305" customFormat="1" hidden="1" outlineLevel="2" x14ac:dyDescent="0.25">
      <c r="A996" s="278"/>
      <c r="B996" s="279" t="str">
        <f t="shared" si="411"/>
        <v>internal stair balustradeHWDquality</v>
      </c>
      <c r="C996" s="353" t="s">
        <v>2090</v>
      </c>
      <c r="D996" s="278"/>
      <c r="E996" s="278" t="s">
        <v>507</v>
      </c>
      <c r="F996" s="278" t="s">
        <v>544</v>
      </c>
      <c r="G996" s="278" t="s">
        <v>15</v>
      </c>
      <c r="H996" s="310">
        <v>1</v>
      </c>
      <c r="I996" s="280">
        <f>$I$2*H996</f>
        <v>80.62</v>
      </c>
      <c r="J996" s="281">
        <f t="shared" si="413"/>
        <v>91.43</v>
      </c>
      <c r="K996" s="282">
        <f>IF(Notes!$B$9="Domestic",I996, IF(Notes!$B$9="Commercial",J996))*$K$991</f>
        <v>91.43</v>
      </c>
      <c r="L996" s="283">
        <f>(SUM(O996:Q996)+(K996+SUM(M996:Q996))*(INDEX($U$991:$AB$991,MATCH(Notes!$C$16,$U$3:$AB$3,0))-100%))*$L$991</f>
        <v>409.30500000000006</v>
      </c>
      <c r="M996" s="286"/>
      <c r="N996" s="286"/>
      <c r="O996" s="311">
        <f>O995*1.3</f>
        <v>409.30500000000006</v>
      </c>
      <c r="P996" s="285"/>
      <c r="Q996" s="285"/>
      <c r="R996" s="278"/>
      <c r="S996" s="278"/>
      <c r="T996" s="278"/>
    </row>
    <row r="997" spans="1:28" s="305" customFormat="1" hidden="1" outlineLevel="2" x14ac:dyDescent="0.25">
      <c r="A997" s="278"/>
      <c r="B997" s="279" t="str">
        <f t="shared" si="411"/>
        <v>internal stair balustradeHWDprestige</v>
      </c>
      <c r="C997" s="353" t="s">
        <v>2090</v>
      </c>
      <c r="D997" s="278"/>
      <c r="E997" s="278" t="s">
        <v>507</v>
      </c>
      <c r="F997" s="278" t="s">
        <v>545</v>
      </c>
      <c r="G997" s="278" t="s">
        <v>15</v>
      </c>
      <c r="H997" s="310">
        <v>1</v>
      </c>
      <c r="I997" s="280">
        <f t="shared" ref="I997" si="414">$I$2*H997</f>
        <v>80.62</v>
      </c>
      <c r="J997" s="281">
        <f t="shared" si="413"/>
        <v>91.43</v>
      </c>
      <c r="K997" s="282">
        <f>IF(Notes!$B$9="Domestic",I997, IF(Notes!$B$9="Commercial",J997))*$K$991</f>
        <v>91.43</v>
      </c>
      <c r="L997" s="283">
        <f>(SUM(O997:Q997)+(K997+SUM(M997:Q997))*(INDEX($U$991:$AB$991,MATCH(Notes!$C$16,$U$3:$AB$3,0))-100%))*$L$991</f>
        <v>573.02700000000004</v>
      </c>
      <c r="M997" s="286"/>
      <c r="N997" s="286"/>
      <c r="O997" s="311">
        <f>O996*1.4</f>
        <v>573.02700000000004</v>
      </c>
      <c r="P997" s="285"/>
      <c r="Q997" s="285"/>
      <c r="R997" s="278"/>
      <c r="S997" s="278"/>
      <c r="T997" s="278"/>
    </row>
    <row r="998" spans="1:28" ht="21" hidden="1" outlineLevel="1" collapsed="1" x14ac:dyDescent="0.25">
      <c r="A998" s="299" t="s">
        <v>2086</v>
      </c>
      <c r="B998" s="299"/>
      <c r="C998" s="299"/>
      <c r="D998" s="299"/>
      <c r="E998" s="299"/>
      <c r="F998" s="299"/>
      <c r="G998" s="299"/>
      <c r="H998" s="348"/>
      <c r="I998" s="299"/>
      <c r="J998" s="299"/>
      <c r="K998" s="299"/>
      <c r="L998" s="299"/>
      <c r="M998" s="299"/>
      <c r="N998" s="299"/>
      <c r="O998" s="299"/>
      <c r="P998" s="299"/>
      <c r="Q998" s="299"/>
      <c r="R998" s="299"/>
      <c r="S998" s="299"/>
      <c r="T998" s="299"/>
      <c r="U998" s="299"/>
      <c r="V998" s="299"/>
      <c r="W998" s="299"/>
      <c r="X998" s="299"/>
      <c r="Y998" s="299"/>
      <c r="Z998" s="299"/>
      <c r="AA998" s="299"/>
      <c r="AB998" s="299"/>
    </row>
    <row r="999" spans="1:28" ht="15.75" hidden="1" outlineLevel="1" x14ac:dyDescent="0.25">
      <c r="A999" s="291"/>
      <c r="B999" s="291"/>
      <c r="C999" s="291"/>
      <c r="D999" s="291"/>
      <c r="E999" s="291"/>
      <c r="F999" s="291"/>
      <c r="G999" s="291"/>
      <c r="H999" s="325"/>
      <c r="I999" s="291"/>
      <c r="J999" s="291"/>
      <c r="K999" s="291">
        <f>K$2</f>
        <v>1</v>
      </c>
      <c r="L999" s="291">
        <f>L$2</f>
        <v>1</v>
      </c>
      <c r="M999" s="291"/>
      <c r="N999" s="291"/>
      <c r="O999" s="303"/>
      <c r="P999" s="303"/>
      <c r="Q999" s="303"/>
      <c r="R999" s="291"/>
      <c r="S999" s="291"/>
      <c r="T999" s="291"/>
      <c r="U999" s="381">
        <f>U$925</f>
        <v>0.88311688311688308</v>
      </c>
      <c r="V999" s="381">
        <f t="shared" ref="V999:AB999" si="415">V$925</f>
        <v>1</v>
      </c>
      <c r="W999" s="381">
        <f t="shared" si="415"/>
        <v>0.86493506493506489</v>
      </c>
      <c r="X999" s="381">
        <f t="shared" si="415"/>
        <v>0.96103896103896103</v>
      </c>
      <c r="Y999" s="381">
        <f t="shared" si="415"/>
        <v>0.98441558441558441</v>
      </c>
      <c r="Z999" s="381">
        <f t="shared" si="415"/>
        <v>1</v>
      </c>
      <c r="AA999" s="381">
        <f t="shared" si="415"/>
        <v>1</v>
      </c>
      <c r="AB999" s="381">
        <f t="shared" si="415"/>
        <v>1</v>
      </c>
    </row>
    <row r="1000" spans="1:28" s="305" customFormat="1" hidden="1" outlineLevel="2" x14ac:dyDescent="0.25">
      <c r="A1000" s="278"/>
      <c r="B1000" s="279" t="str">
        <f t="shared" ref="B1000:B1011" si="416">C1000&amp;D1000&amp;E1000&amp;F1000</f>
        <v>external stair open tread900mmpineaverage</v>
      </c>
      <c r="C1000" s="353" t="s">
        <v>2087</v>
      </c>
      <c r="D1000" s="278" t="s">
        <v>772</v>
      </c>
      <c r="E1000" s="278" t="s">
        <v>569</v>
      </c>
      <c r="F1000" s="278" t="s">
        <v>543</v>
      </c>
      <c r="G1000" s="278" t="s">
        <v>15</v>
      </c>
      <c r="H1000" s="310">
        <v>4.54</v>
      </c>
      <c r="I1000" s="280">
        <f t="shared" ref="I1000:I1011" si="417">$I$2*H1000</f>
        <v>366.01480000000004</v>
      </c>
      <c r="J1000" s="281">
        <f t="shared" ref="J1000:J1011" si="418">$J$2*H1000</f>
        <v>415.09220000000005</v>
      </c>
      <c r="K1000" s="282">
        <f>IF(Notes!$B$9="Domestic",I1000, IF(Notes!$B$9="Commercial",J1000))*$K$999</f>
        <v>415.09220000000005</v>
      </c>
      <c r="L1000" s="283">
        <f>(SUM(O1000:Q1000)+(K1000+SUM(M1000:Q1000))*(INDEX($U$999:$AB$999,MATCH(Notes!$C$16,$U$3:$AB$3,0))-100%))*$L$999</f>
        <v>285.94</v>
      </c>
      <c r="M1000" s="286"/>
      <c r="N1000" s="286"/>
      <c r="O1000" s="285">
        <v>285.94</v>
      </c>
      <c r="P1000" s="285"/>
      <c r="Q1000" s="285"/>
      <c r="R1000" s="278"/>
      <c r="S1000" s="278"/>
      <c r="T1000" s="278"/>
    </row>
    <row r="1001" spans="1:28" s="305" customFormat="1" hidden="1" outlineLevel="2" x14ac:dyDescent="0.25">
      <c r="A1001" s="278"/>
      <c r="B1001" s="279" t="str">
        <f t="shared" si="416"/>
        <v>external stair open tread900mmpinequality</v>
      </c>
      <c r="C1001" s="353" t="s">
        <v>2087</v>
      </c>
      <c r="D1001" s="278" t="s">
        <v>772</v>
      </c>
      <c r="E1001" s="278" t="s">
        <v>569</v>
      </c>
      <c r="F1001" s="278" t="s">
        <v>544</v>
      </c>
      <c r="G1001" s="278" t="s">
        <v>15</v>
      </c>
      <c r="H1001" s="309">
        <f>H1000</f>
        <v>4.54</v>
      </c>
      <c r="I1001" s="280">
        <f t="shared" si="417"/>
        <v>366.01480000000004</v>
      </c>
      <c r="J1001" s="281">
        <f t="shared" si="418"/>
        <v>415.09220000000005</v>
      </c>
      <c r="K1001" s="282">
        <f>IF(Notes!$B$9="Domestic",I1001, IF(Notes!$B$9="Commercial",J1001))*$K$999</f>
        <v>415.09220000000005</v>
      </c>
      <c r="L1001" s="283">
        <f>(SUM(O1001:Q1001)+(K1001+SUM(M1001:Q1001))*(INDEX($U$999:$AB$999,MATCH(Notes!$C$16,$U$3:$AB$3,0))-100%))*$L$999</f>
        <v>314.53400000000005</v>
      </c>
      <c r="M1001" s="286"/>
      <c r="N1001" s="286"/>
      <c r="O1001" s="311">
        <f>O1000*1.1</f>
        <v>314.53400000000005</v>
      </c>
      <c r="P1001" s="285"/>
      <c r="Q1001" s="285"/>
      <c r="R1001" s="278"/>
      <c r="S1001" s="278"/>
      <c r="T1001" s="278"/>
    </row>
    <row r="1002" spans="1:28" s="305" customFormat="1" hidden="1" outlineLevel="2" x14ac:dyDescent="0.25">
      <c r="A1002" s="278"/>
      <c r="B1002" s="279" t="str">
        <f t="shared" si="416"/>
        <v>external stair open tread900mmpineprestige</v>
      </c>
      <c r="C1002" s="353" t="s">
        <v>2087</v>
      </c>
      <c r="D1002" s="278" t="s">
        <v>772</v>
      </c>
      <c r="E1002" s="278" t="s">
        <v>569</v>
      </c>
      <c r="F1002" s="278" t="s">
        <v>545</v>
      </c>
      <c r="G1002" s="278" t="s">
        <v>15</v>
      </c>
      <c r="H1002" s="309">
        <f>H1000</f>
        <v>4.54</v>
      </c>
      <c r="I1002" s="280">
        <f t="shared" si="417"/>
        <v>366.01480000000004</v>
      </c>
      <c r="J1002" s="281">
        <f t="shared" si="418"/>
        <v>415.09220000000005</v>
      </c>
      <c r="K1002" s="282">
        <f>IF(Notes!$B$9="Domestic",I1002, IF(Notes!$B$9="Commercial",J1002))*$K$999</f>
        <v>415.09220000000005</v>
      </c>
      <c r="L1002" s="283">
        <f>(SUM(O1002:Q1002)+(K1002+SUM(M1002:Q1002))*(INDEX($U$999:$AB$999,MATCH(Notes!$C$16,$U$3:$AB$3,0))-100%))*$L$999</f>
        <v>408.89420000000007</v>
      </c>
      <c r="M1002" s="286"/>
      <c r="N1002" s="286"/>
      <c r="O1002" s="311">
        <f>O1001*1.3</f>
        <v>408.89420000000007</v>
      </c>
      <c r="P1002" s="285"/>
      <c r="Q1002" s="285"/>
      <c r="R1002" s="278"/>
      <c r="S1002" s="278"/>
      <c r="T1002" s="278"/>
    </row>
    <row r="1003" spans="1:28" s="305" customFormat="1" hidden="1" outlineLevel="2" x14ac:dyDescent="0.25">
      <c r="A1003" s="278"/>
      <c r="B1003" s="279" t="str">
        <f t="shared" si="416"/>
        <v>external stair open tread1200mmpineaverage</v>
      </c>
      <c r="C1003" s="353" t="s">
        <v>2087</v>
      </c>
      <c r="D1003" s="278" t="s">
        <v>896</v>
      </c>
      <c r="E1003" s="278" t="s">
        <v>569</v>
      </c>
      <c r="F1003" s="278" t="s">
        <v>543</v>
      </c>
      <c r="G1003" s="278" t="s">
        <v>15</v>
      </c>
      <c r="H1003" s="310">
        <v>4.88</v>
      </c>
      <c r="I1003" s="280">
        <f t="shared" si="417"/>
        <v>393.42560000000003</v>
      </c>
      <c r="J1003" s="281">
        <f t="shared" si="418"/>
        <v>446.17840000000001</v>
      </c>
      <c r="K1003" s="282">
        <f>IF(Notes!$B$9="Domestic",I1003, IF(Notes!$B$9="Commercial",J1003))*$K$999</f>
        <v>446.17840000000001</v>
      </c>
      <c r="L1003" s="283">
        <f>(SUM(O1003:Q1003)+(K1003+SUM(M1003:Q1003))*(INDEX($U$999:$AB$999,MATCH(Notes!$C$16,$U$3:$AB$3,0))-100%))*$L$999</f>
        <v>317.25</v>
      </c>
      <c r="M1003" s="286"/>
      <c r="N1003" s="286"/>
      <c r="O1003" s="285">
        <v>317.25</v>
      </c>
      <c r="P1003" s="285"/>
      <c r="Q1003" s="285"/>
      <c r="R1003" s="278"/>
      <c r="S1003" s="278"/>
      <c r="T1003" s="278"/>
    </row>
    <row r="1004" spans="1:28" s="305" customFormat="1" hidden="1" outlineLevel="2" x14ac:dyDescent="0.25">
      <c r="A1004" s="278"/>
      <c r="B1004" s="279" t="str">
        <f t="shared" si="416"/>
        <v>external stair open tread1200mmpinequality</v>
      </c>
      <c r="C1004" s="353" t="s">
        <v>2087</v>
      </c>
      <c r="D1004" s="278" t="s">
        <v>896</v>
      </c>
      <c r="E1004" s="278" t="s">
        <v>569</v>
      </c>
      <c r="F1004" s="278" t="s">
        <v>544</v>
      </c>
      <c r="G1004" s="278" t="s">
        <v>15</v>
      </c>
      <c r="H1004" s="309">
        <f>H1003</f>
        <v>4.88</v>
      </c>
      <c r="I1004" s="280">
        <f t="shared" si="417"/>
        <v>393.42560000000003</v>
      </c>
      <c r="J1004" s="281">
        <f t="shared" si="418"/>
        <v>446.17840000000001</v>
      </c>
      <c r="K1004" s="282">
        <f>IF(Notes!$B$9="Domestic",I1004, IF(Notes!$B$9="Commercial",J1004))*$K$999</f>
        <v>446.17840000000001</v>
      </c>
      <c r="L1004" s="283">
        <f>(SUM(O1004:Q1004)+(K1004+SUM(M1004:Q1004))*(INDEX($U$999:$AB$999,MATCH(Notes!$C$16,$U$3:$AB$3,0))-100%))*$L$999</f>
        <v>348.97500000000002</v>
      </c>
      <c r="M1004" s="286"/>
      <c r="N1004" s="286"/>
      <c r="O1004" s="311">
        <f>O1003*1.1</f>
        <v>348.97500000000002</v>
      </c>
      <c r="P1004" s="285"/>
      <c r="Q1004" s="285"/>
      <c r="R1004" s="278"/>
      <c r="S1004" s="278"/>
      <c r="T1004" s="278"/>
    </row>
    <row r="1005" spans="1:28" s="305" customFormat="1" hidden="1" outlineLevel="2" x14ac:dyDescent="0.25">
      <c r="A1005" s="278"/>
      <c r="B1005" s="279" t="str">
        <f t="shared" si="416"/>
        <v>external stair open tread1200mmpineprestige</v>
      </c>
      <c r="C1005" s="353" t="s">
        <v>2087</v>
      </c>
      <c r="D1005" s="278" t="s">
        <v>896</v>
      </c>
      <c r="E1005" s="278" t="s">
        <v>569</v>
      </c>
      <c r="F1005" s="278" t="s">
        <v>545</v>
      </c>
      <c r="G1005" s="278" t="s">
        <v>15</v>
      </c>
      <c r="H1005" s="309">
        <f>H1003</f>
        <v>4.88</v>
      </c>
      <c r="I1005" s="280">
        <f t="shared" si="417"/>
        <v>393.42560000000003</v>
      </c>
      <c r="J1005" s="281">
        <f t="shared" si="418"/>
        <v>446.17840000000001</v>
      </c>
      <c r="K1005" s="282">
        <f>IF(Notes!$B$9="Domestic",I1005, IF(Notes!$B$9="Commercial",J1005))*$K$999</f>
        <v>446.17840000000001</v>
      </c>
      <c r="L1005" s="283">
        <f>(SUM(O1005:Q1005)+(K1005+SUM(M1005:Q1005))*(INDEX($U$999:$AB$999,MATCH(Notes!$C$16,$U$3:$AB$3,0))-100%))*$L$999</f>
        <v>453.66750000000002</v>
      </c>
      <c r="M1005" s="286"/>
      <c r="N1005" s="286"/>
      <c r="O1005" s="311">
        <f>O1004*1.3</f>
        <v>453.66750000000002</v>
      </c>
      <c r="P1005" s="285"/>
      <c r="Q1005" s="285"/>
      <c r="R1005" s="278"/>
      <c r="S1005" s="278"/>
      <c r="T1005" s="278"/>
    </row>
    <row r="1006" spans="1:28" s="305" customFormat="1" hidden="1" outlineLevel="2" x14ac:dyDescent="0.25">
      <c r="A1006" s="278"/>
      <c r="B1006" s="279" t="str">
        <f t="shared" si="416"/>
        <v>external stair open tread1500mmpineaverage</v>
      </c>
      <c r="C1006" s="353" t="s">
        <v>2087</v>
      </c>
      <c r="D1006" s="278" t="s">
        <v>881</v>
      </c>
      <c r="E1006" s="278" t="s">
        <v>569</v>
      </c>
      <c r="F1006" s="278" t="s">
        <v>543</v>
      </c>
      <c r="G1006" s="278" t="s">
        <v>15</v>
      </c>
      <c r="H1006" s="310">
        <v>6.28</v>
      </c>
      <c r="I1006" s="280">
        <f t="shared" si="417"/>
        <v>506.29360000000003</v>
      </c>
      <c r="J1006" s="281">
        <f t="shared" si="418"/>
        <v>574.18040000000008</v>
      </c>
      <c r="K1006" s="282">
        <f>IF(Notes!$B$9="Domestic",I1006, IF(Notes!$B$9="Commercial",J1006))*$K$999</f>
        <v>574.18040000000008</v>
      </c>
      <c r="L1006" s="283">
        <f>(SUM(O1006:Q1006)+(K1006+SUM(M1006:Q1006))*(INDEX($U$999:$AB$999,MATCH(Notes!$C$16,$U$3:$AB$3,0))-100%))*$L$999</f>
        <v>434.06</v>
      </c>
      <c r="M1006" s="286"/>
      <c r="N1006" s="286"/>
      <c r="O1006" s="285">
        <v>434.06</v>
      </c>
      <c r="P1006" s="285"/>
      <c r="Q1006" s="285"/>
      <c r="R1006" s="278"/>
      <c r="S1006" s="278"/>
      <c r="T1006" s="278"/>
    </row>
    <row r="1007" spans="1:28" s="305" customFormat="1" hidden="1" outlineLevel="2" x14ac:dyDescent="0.25">
      <c r="A1007" s="278"/>
      <c r="B1007" s="279" t="str">
        <f t="shared" si="416"/>
        <v>external stair open tread1500mmpinequality</v>
      </c>
      <c r="C1007" s="353" t="s">
        <v>2087</v>
      </c>
      <c r="D1007" s="278" t="s">
        <v>881</v>
      </c>
      <c r="E1007" s="278" t="s">
        <v>569</v>
      </c>
      <c r="F1007" s="278" t="s">
        <v>544</v>
      </c>
      <c r="G1007" s="278" t="s">
        <v>15</v>
      </c>
      <c r="H1007" s="309">
        <f>H1006</f>
        <v>6.28</v>
      </c>
      <c r="I1007" s="280">
        <f t="shared" si="417"/>
        <v>506.29360000000003</v>
      </c>
      <c r="J1007" s="281">
        <f t="shared" si="418"/>
        <v>574.18040000000008</v>
      </c>
      <c r="K1007" s="282">
        <f>IF(Notes!$B$9="Domestic",I1007, IF(Notes!$B$9="Commercial",J1007))*$K$999</f>
        <v>574.18040000000008</v>
      </c>
      <c r="L1007" s="283">
        <f>(SUM(O1007:Q1007)+(K1007+SUM(M1007:Q1007))*(INDEX($U$999:$AB$999,MATCH(Notes!$C$16,$U$3:$AB$3,0))-100%))*$L$999</f>
        <v>477.46600000000007</v>
      </c>
      <c r="M1007" s="286"/>
      <c r="N1007" s="286"/>
      <c r="O1007" s="311">
        <f>O1006*1.1</f>
        <v>477.46600000000007</v>
      </c>
      <c r="P1007" s="285"/>
      <c r="Q1007" s="285"/>
      <c r="R1007" s="278"/>
      <c r="S1007" s="278"/>
      <c r="T1007" s="278"/>
    </row>
    <row r="1008" spans="1:28" s="305" customFormat="1" hidden="1" outlineLevel="2" x14ac:dyDescent="0.25">
      <c r="A1008" s="278"/>
      <c r="B1008" s="279" t="str">
        <f t="shared" si="416"/>
        <v>external stair open tread1500mmpineprestige</v>
      </c>
      <c r="C1008" s="353" t="s">
        <v>2087</v>
      </c>
      <c r="D1008" s="278" t="s">
        <v>881</v>
      </c>
      <c r="E1008" s="278" t="s">
        <v>569</v>
      </c>
      <c r="F1008" s="278" t="s">
        <v>545</v>
      </c>
      <c r="G1008" s="278" t="s">
        <v>15</v>
      </c>
      <c r="H1008" s="309">
        <f>H1006</f>
        <v>6.28</v>
      </c>
      <c r="I1008" s="280">
        <f t="shared" si="417"/>
        <v>506.29360000000003</v>
      </c>
      <c r="J1008" s="281">
        <f t="shared" si="418"/>
        <v>574.18040000000008</v>
      </c>
      <c r="K1008" s="282">
        <f>IF(Notes!$B$9="Domestic",I1008, IF(Notes!$B$9="Commercial",J1008))*$K$999</f>
        <v>574.18040000000008</v>
      </c>
      <c r="L1008" s="283">
        <f>(SUM(O1008:Q1008)+(K1008+SUM(M1008:Q1008))*(INDEX($U$999:$AB$999,MATCH(Notes!$C$16,$U$3:$AB$3,0))-100%))*$L$999</f>
        <v>620.70580000000007</v>
      </c>
      <c r="M1008" s="286"/>
      <c r="N1008" s="286"/>
      <c r="O1008" s="311">
        <f>O1007*1.3</f>
        <v>620.70580000000007</v>
      </c>
      <c r="P1008" s="285"/>
      <c r="Q1008" s="285"/>
      <c r="R1008" s="278"/>
      <c r="S1008" s="278"/>
      <c r="T1008" s="278"/>
    </row>
    <row r="1009" spans="1:28" s="305" customFormat="1" hidden="1" outlineLevel="2" x14ac:dyDescent="0.25">
      <c r="A1009" s="278"/>
      <c r="B1009" s="279" t="str">
        <f t="shared" ref="B1009" si="419">C1009&amp;D1009&amp;E1009&amp;F1009</f>
        <v>external stair open tread900mmHWDaverage</v>
      </c>
      <c r="C1009" s="353" t="s">
        <v>2087</v>
      </c>
      <c r="D1009" s="278" t="s">
        <v>772</v>
      </c>
      <c r="E1009" s="278" t="s">
        <v>507</v>
      </c>
      <c r="F1009" s="278" t="s">
        <v>543</v>
      </c>
      <c r="G1009" s="278" t="s">
        <v>15</v>
      </c>
      <c r="H1009" s="310">
        <v>5.23</v>
      </c>
      <c r="I1009" s="280">
        <f t="shared" ref="I1009" si="420">$I$2*H1009</f>
        <v>421.64260000000007</v>
      </c>
      <c r="J1009" s="281">
        <f t="shared" ref="J1009" si="421">$J$2*H1009</f>
        <v>478.17890000000006</v>
      </c>
      <c r="K1009" s="282">
        <f>IF(Notes!$B$9="Domestic",I1009, IF(Notes!$B$9="Commercial",J1009))*$K$999</f>
        <v>478.17890000000006</v>
      </c>
      <c r="L1009" s="283">
        <f>(SUM(O1009:Q1009)+(K1009+SUM(M1009:Q1009))*(INDEX($U$999:$AB$999,MATCH(Notes!$C$16,$U$3:$AB$3,0))-100%))*$L$999</f>
        <v>640.28</v>
      </c>
      <c r="M1009" s="286"/>
      <c r="N1009" s="286"/>
      <c r="O1009" s="285">
        <v>640.28</v>
      </c>
      <c r="P1009" s="285"/>
      <c r="Q1009" s="285"/>
      <c r="R1009" s="278"/>
      <c r="S1009" s="278"/>
      <c r="T1009" s="278"/>
    </row>
    <row r="1010" spans="1:28" s="305" customFormat="1" hidden="1" outlineLevel="2" x14ac:dyDescent="0.25">
      <c r="A1010" s="278"/>
      <c r="B1010" s="279" t="str">
        <f t="shared" si="416"/>
        <v>external stair open tread900mmHWDquality</v>
      </c>
      <c r="C1010" s="353" t="s">
        <v>2087</v>
      </c>
      <c r="D1010" s="278" t="s">
        <v>772</v>
      </c>
      <c r="E1010" s="278" t="s">
        <v>507</v>
      </c>
      <c r="F1010" s="278" t="s">
        <v>544</v>
      </c>
      <c r="G1010" s="278" t="s">
        <v>15</v>
      </c>
      <c r="H1010" s="309">
        <f>H1009</f>
        <v>5.23</v>
      </c>
      <c r="I1010" s="280">
        <f t="shared" si="417"/>
        <v>421.64260000000007</v>
      </c>
      <c r="J1010" s="281">
        <f t="shared" si="418"/>
        <v>478.17890000000006</v>
      </c>
      <c r="K1010" s="282">
        <f>IF(Notes!$B$9="Domestic",I1010, IF(Notes!$B$9="Commercial",J1010))*$K$999</f>
        <v>478.17890000000006</v>
      </c>
      <c r="L1010" s="283">
        <f>(SUM(O1010:Q1010)+(K1010+SUM(M1010:Q1010))*(INDEX($U$999:$AB$999,MATCH(Notes!$C$16,$U$3:$AB$3,0))-100%))*$L$999</f>
        <v>704.30799999999999</v>
      </c>
      <c r="M1010" s="286"/>
      <c r="N1010" s="286"/>
      <c r="O1010" s="311">
        <f>O1009*1.1</f>
        <v>704.30799999999999</v>
      </c>
      <c r="P1010" s="285"/>
      <c r="Q1010" s="285"/>
      <c r="R1010" s="278"/>
      <c r="S1010" s="278"/>
      <c r="T1010" s="278"/>
    </row>
    <row r="1011" spans="1:28" s="305" customFormat="1" hidden="1" outlineLevel="2" x14ac:dyDescent="0.25">
      <c r="A1011" s="278"/>
      <c r="B1011" s="279" t="str">
        <f t="shared" si="416"/>
        <v>external stair open tread900mmHWDprestige</v>
      </c>
      <c r="C1011" s="353" t="s">
        <v>2087</v>
      </c>
      <c r="D1011" s="278" t="s">
        <v>772</v>
      </c>
      <c r="E1011" s="278" t="s">
        <v>507</v>
      </c>
      <c r="F1011" s="278" t="s">
        <v>545</v>
      </c>
      <c r="G1011" s="278" t="s">
        <v>15</v>
      </c>
      <c r="H1011" s="309">
        <f>H1009</f>
        <v>5.23</v>
      </c>
      <c r="I1011" s="280">
        <f t="shared" si="417"/>
        <v>421.64260000000007</v>
      </c>
      <c r="J1011" s="281">
        <f t="shared" si="418"/>
        <v>478.17890000000006</v>
      </c>
      <c r="K1011" s="282">
        <f>IF(Notes!$B$9="Domestic",I1011, IF(Notes!$B$9="Commercial",J1011))*$K$999</f>
        <v>478.17890000000006</v>
      </c>
      <c r="L1011" s="283">
        <f>(SUM(O1011:Q1011)+(K1011+SUM(M1011:Q1011))*(INDEX($U$999:$AB$999,MATCH(Notes!$C$16,$U$3:$AB$3,0))-100%))*$L$999</f>
        <v>915.60040000000004</v>
      </c>
      <c r="M1011" s="286"/>
      <c r="N1011" s="286"/>
      <c r="O1011" s="311">
        <f>O1010*1.3</f>
        <v>915.60040000000004</v>
      </c>
      <c r="P1011" s="285"/>
      <c r="Q1011" s="285"/>
      <c r="R1011" s="278"/>
      <c r="S1011" s="278"/>
      <c r="T1011" s="278"/>
    </row>
    <row r="1012" spans="1:28" s="305" customFormat="1" hidden="1" outlineLevel="2" x14ac:dyDescent="0.25">
      <c r="A1012" s="278"/>
      <c r="B1012" s="279" t="str">
        <f t="shared" ref="B1012:B1017" si="422">C1012&amp;D1012&amp;E1012&amp;F1012</f>
        <v>external stair open tread1200mmHWDaverage</v>
      </c>
      <c r="C1012" s="353" t="s">
        <v>2087</v>
      </c>
      <c r="D1012" s="278" t="s">
        <v>896</v>
      </c>
      <c r="E1012" s="278" t="s">
        <v>507</v>
      </c>
      <c r="F1012" s="278" t="s">
        <v>543</v>
      </c>
      <c r="G1012" s="278" t="s">
        <v>15</v>
      </c>
      <c r="H1012" s="310">
        <v>5.58</v>
      </c>
      <c r="I1012" s="280">
        <f t="shared" ref="I1012" si="423">$I$2*H1012</f>
        <v>449.85960000000006</v>
      </c>
      <c r="J1012" s="281">
        <f t="shared" ref="J1012:J1017" si="424">$J$2*H1012</f>
        <v>510.17940000000004</v>
      </c>
      <c r="K1012" s="282">
        <f>IF(Notes!$B$9="Domestic",I1012, IF(Notes!$B$9="Commercial",J1012))*$K$999</f>
        <v>510.17940000000004</v>
      </c>
      <c r="L1012" s="283">
        <f>(SUM(O1012:Q1012)+(K1012+SUM(M1012:Q1012))*(INDEX($U$999:$AB$999,MATCH(Notes!$C$16,$U$3:$AB$3,0))-100%))*$L$999</f>
        <v>751.44</v>
      </c>
      <c r="M1012" s="286"/>
      <c r="N1012" s="286"/>
      <c r="O1012" s="285">
        <v>751.44</v>
      </c>
      <c r="P1012" s="285"/>
      <c r="Q1012" s="285"/>
      <c r="R1012" s="278"/>
      <c r="S1012" s="278"/>
      <c r="T1012" s="278"/>
    </row>
    <row r="1013" spans="1:28" s="305" customFormat="1" hidden="1" outlineLevel="2" x14ac:dyDescent="0.25">
      <c r="A1013" s="278"/>
      <c r="B1013" s="279" t="str">
        <f t="shared" si="422"/>
        <v>external stair open tread1200mmHWDquality</v>
      </c>
      <c r="C1013" s="353" t="s">
        <v>2087</v>
      </c>
      <c r="D1013" s="278" t="s">
        <v>896</v>
      </c>
      <c r="E1013" s="278" t="s">
        <v>507</v>
      </c>
      <c r="F1013" s="278" t="s">
        <v>544</v>
      </c>
      <c r="G1013" s="278" t="s">
        <v>15</v>
      </c>
      <c r="H1013" s="309">
        <f>H1012</f>
        <v>5.58</v>
      </c>
      <c r="I1013" s="280">
        <f>$I$2*H1013</f>
        <v>449.85960000000006</v>
      </c>
      <c r="J1013" s="281">
        <f t="shared" si="424"/>
        <v>510.17940000000004</v>
      </c>
      <c r="K1013" s="282">
        <f>IF(Notes!$B$9="Domestic",I1013, IF(Notes!$B$9="Commercial",J1013))*$K$999</f>
        <v>510.17940000000004</v>
      </c>
      <c r="L1013" s="283">
        <f>(SUM(O1013:Q1013)+(K1013+SUM(M1013:Q1013))*(INDEX($U$999:$AB$999,MATCH(Notes!$C$16,$U$3:$AB$3,0))-100%))*$L$999</f>
        <v>826.58400000000017</v>
      </c>
      <c r="M1013" s="286"/>
      <c r="N1013" s="286"/>
      <c r="O1013" s="311">
        <f>O1012*1.1</f>
        <v>826.58400000000017</v>
      </c>
      <c r="P1013" s="285"/>
      <c r="Q1013" s="285"/>
      <c r="R1013" s="278"/>
      <c r="S1013" s="278"/>
      <c r="T1013" s="278"/>
    </row>
    <row r="1014" spans="1:28" s="305" customFormat="1" hidden="1" outlineLevel="2" x14ac:dyDescent="0.25">
      <c r="A1014" s="278"/>
      <c r="B1014" s="279" t="str">
        <f t="shared" si="422"/>
        <v>external stair open tread1200mmHWDprestige</v>
      </c>
      <c r="C1014" s="353" t="s">
        <v>2087</v>
      </c>
      <c r="D1014" s="278" t="s">
        <v>896</v>
      </c>
      <c r="E1014" s="278" t="s">
        <v>507</v>
      </c>
      <c r="F1014" s="278" t="s">
        <v>545</v>
      </c>
      <c r="G1014" s="278" t="s">
        <v>15</v>
      </c>
      <c r="H1014" s="309">
        <f>H1012</f>
        <v>5.58</v>
      </c>
      <c r="I1014" s="280">
        <f t="shared" ref="I1014:I1017" si="425">$I$2*H1014</f>
        <v>449.85960000000006</v>
      </c>
      <c r="J1014" s="281">
        <f t="shared" si="424"/>
        <v>510.17940000000004</v>
      </c>
      <c r="K1014" s="282">
        <f>IF(Notes!$B$9="Domestic",I1014, IF(Notes!$B$9="Commercial",J1014))*$K$999</f>
        <v>510.17940000000004</v>
      </c>
      <c r="L1014" s="283">
        <f>(SUM(O1014:Q1014)+(K1014+SUM(M1014:Q1014))*(INDEX($U$999:$AB$999,MATCH(Notes!$C$16,$U$3:$AB$3,0))-100%))*$L$999</f>
        <v>1074.5592000000004</v>
      </c>
      <c r="M1014" s="286"/>
      <c r="N1014" s="286"/>
      <c r="O1014" s="311">
        <f>O1013*1.3</f>
        <v>1074.5592000000004</v>
      </c>
      <c r="P1014" s="285"/>
      <c r="Q1014" s="285"/>
      <c r="R1014" s="278"/>
      <c r="S1014" s="278"/>
      <c r="T1014" s="278"/>
    </row>
    <row r="1015" spans="1:28" s="305" customFormat="1" hidden="1" outlineLevel="2" x14ac:dyDescent="0.25">
      <c r="A1015" s="278"/>
      <c r="B1015" s="279" t="str">
        <f t="shared" si="422"/>
        <v>external stair open tread1500mmHWDaverage</v>
      </c>
      <c r="C1015" s="353" t="s">
        <v>2087</v>
      </c>
      <c r="D1015" s="278" t="s">
        <v>881</v>
      </c>
      <c r="E1015" s="278" t="s">
        <v>507</v>
      </c>
      <c r="F1015" s="278" t="s">
        <v>543</v>
      </c>
      <c r="G1015" s="278" t="s">
        <v>15</v>
      </c>
      <c r="H1015" s="310">
        <v>7.32</v>
      </c>
      <c r="I1015" s="280">
        <f t="shared" si="425"/>
        <v>590.13840000000005</v>
      </c>
      <c r="J1015" s="281">
        <f t="shared" si="424"/>
        <v>669.26760000000013</v>
      </c>
      <c r="K1015" s="282">
        <f>IF(Notes!$B$9="Domestic",I1015, IF(Notes!$B$9="Commercial",J1015))*$K$999</f>
        <v>669.26760000000013</v>
      </c>
      <c r="L1015" s="283">
        <f>(SUM(O1015:Q1015)+(K1015+SUM(M1015:Q1015))*(INDEX($U$999:$AB$999,MATCH(Notes!$C$16,$U$3:$AB$3,0))-100%))*$L$999</f>
        <v>1028.79</v>
      </c>
      <c r="M1015" s="286"/>
      <c r="N1015" s="286"/>
      <c r="O1015" s="285">
        <v>1028.79</v>
      </c>
      <c r="P1015" s="285"/>
      <c r="Q1015" s="285"/>
      <c r="R1015" s="278"/>
      <c r="S1015" s="278"/>
      <c r="T1015" s="278"/>
    </row>
    <row r="1016" spans="1:28" s="305" customFormat="1" hidden="1" outlineLevel="2" x14ac:dyDescent="0.25">
      <c r="A1016" s="278"/>
      <c r="B1016" s="279" t="str">
        <f t="shared" si="422"/>
        <v>external stair open tread1500mmHWDquality</v>
      </c>
      <c r="C1016" s="353" t="s">
        <v>2087</v>
      </c>
      <c r="D1016" s="278" t="s">
        <v>881</v>
      </c>
      <c r="E1016" s="278" t="s">
        <v>507</v>
      </c>
      <c r="F1016" s="278" t="s">
        <v>544</v>
      </c>
      <c r="G1016" s="278" t="s">
        <v>15</v>
      </c>
      <c r="H1016" s="309">
        <f>H1015</f>
        <v>7.32</v>
      </c>
      <c r="I1016" s="280">
        <f t="shared" si="425"/>
        <v>590.13840000000005</v>
      </c>
      <c r="J1016" s="281">
        <f t="shared" si="424"/>
        <v>669.26760000000013</v>
      </c>
      <c r="K1016" s="282">
        <f>IF(Notes!$B$9="Domestic",I1016, IF(Notes!$B$9="Commercial",J1016))*$K$999</f>
        <v>669.26760000000013</v>
      </c>
      <c r="L1016" s="283">
        <f>(SUM(O1016:Q1016)+(K1016+SUM(M1016:Q1016))*(INDEX($U$999:$AB$999,MATCH(Notes!$C$16,$U$3:$AB$3,0))-100%))*$L$999</f>
        <v>1131.6690000000001</v>
      </c>
      <c r="M1016" s="286"/>
      <c r="N1016" s="286"/>
      <c r="O1016" s="311">
        <f>O1015*1.1</f>
        <v>1131.6690000000001</v>
      </c>
      <c r="P1016" s="285"/>
      <c r="Q1016" s="285"/>
      <c r="R1016" s="278"/>
      <c r="S1016" s="278"/>
      <c r="T1016" s="278"/>
    </row>
    <row r="1017" spans="1:28" s="305" customFormat="1" hidden="1" outlineLevel="2" x14ac:dyDescent="0.25">
      <c r="A1017" s="278"/>
      <c r="B1017" s="279" t="str">
        <f t="shared" si="422"/>
        <v>external stair open tread1500mmHWDprestige</v>
      </c>
      <c r="C1017" s="353" t="s">
        <v>2087</v>
      </c>
      <c r="D1017" s="278" t="s">
        <v>881</v>
      </c>
      <c r="E1017" s="278" t="s">
        <v>507</v>
      </c>
      <c r="F1017" s="278" t="s">
        <v>545</v>
      </c>
      <c r="G1017" s="278" t="s">
        <v>15</v>
      </c>
      <c r="H1017" s="309">
        <f>H1015</f>
        <v>7.32</v>
      </c>
      <c r="I1017" s="280">
        <f t="shared" si="425"/>
        <v>590.13840000000005</v>
      </c>
      <c r="J1017" s="281">
        <f t="shared" si="424"/>
        <v>669.26760000000013</v>
      </c>
      <c r="K1017" s="282">
        <f>IF(Notes!$B$9="Domestic",I1017, IF(Notes!$B$9="Commercial",J1017))*$K$999</f>
        <v>669.26760000000013</v>
      </c>
      <c r="L1017" s="283">
        <f>(SUM(O1017:Q1017)+(K1017+SUM(M1017:Q1017))*(INDEX($U$999:$AB$999,MATCH(Notes!$C$16,$U$3:$AB$3,0))-100%))*$L$999</f>
        <v>1471.1697000000001</v>
      </c>
      <c r="M1017" s="286"/>
      <c r="N1017" s="286"/>
      <c r="O1017" s="311">
        <f>O1016*1.3</f>
        <v>1471.1697000000001</v>
      </c>
      <c r="P1017" s="285"/>
      <c r="Q1017" s="285"/>
      <c r="R1017" s="278"/>
      <c r="S1017" s="278"/>
      <c r="T1017" s="278"/>
    </row>
    <row r="1018" spans="1:28" ht="21" hidden="1" outlineLevel="1" collapsed="1" x14ac:dyDescent="0.25">
      <c r="A1018" s="299" t="s">
        <v>2084</v>
      </c>
      <c r="B1018" s="299"/>
      <c r="C1018" s="299"/>
      <c r="D1018" s="299"/>
      <c r="E1018" s="299"/>
      <c r="F1018" s="299"/>
      <c r="G1018" s="299"/>
      <c r="H1018" s="348"/>
      <c r="I1018" s="299"/>
      <c r="J1018" s="299"/>
      <c r="K1018" s="299"/>
      <c r="L1018" s="299"/>
      <c r="M1018" s="299"/>
      <c r="N1018" s="299"/>
      <c r="O1018" s="299"/>
      <c r="P1018" s="299"/>
      <c r="Q1018" s="299"/>
      <c r="R1018" s="299"/>
      <c r="S1018" s="299"/>
      <c r="T1018" s="299"/>
      <c r="U1018" s="299"/>
      <c r="V1018" s="299"/>
      <c r="W1018" s="299"/>
      <c r="X1018" s="299"/>
      <c r="Y1018" s="299"/>
      <c r="Z1018" s="299"/>
      <c r="AA1018" s="299"/>
      <c r="AB1018" s="299"/>
    </row>
    <row r="1019" spans="1:28" ht="15.75" hidden="1" outlineLevel="1" x14ac:dyDescent="0.25">
      <c r="A1019" s="291"/>
      <c r="B1019" s="291"/>
      <c r="C1019" s="291"/>
      <c r="D1019" s="291"/>
      <c r="E1019" s="291"/>
      <c r="F1019" s="291"/>
      <c r="G1019" s="291"/>
      <c r="H1019" s="325"/>
      <c r="I1019" s="291"/>
      <c r="J1019" s="291"/>
      <c r="K1019" s="291">
        <f>K$2</f>
        <v>1</v>
      </c>
      <c r="L1019" s="291">
        <f>L$2</f>
        <v>1</v>
      </c>
      <c r="M1019" s="291"/>
      <c r="N1019" s="291"/>
      <c r="O1019" s="303"/>
      <c r="P1019" s="303"/>
      <c r="Q1019" s="303"/>
      <c r="R1019" s="291"/>
      <c r="S1019" s="291"/>
      <c r="T1019" s="291"/>
      <c r="U1019" s="381">
        <f>U$925</f>
        <v>0.88311688311688308</v>
      </c>
      <c r="V1019" s="381">
        <f t="shared" ref="V1019:AB1019" si="426">V$925</f>
        <v>1</v>
      </c>
      <c r="W1019" s="381">
        <f t="shared" si="426"/>
        <v>0.86493506493506489</v>
      </c>
      <c r="X1019" s="381">
        <f t="shared" si="426"/>
        <v>0.96103896103896103</v>
      </c>
      <c r="Y1019" s="381">
        <f t="shared" si="426"/>
        <v>0.98441558441558441</v>
      </c>
      <c r="Z1019" s="381">
        <f t="shared" si="426"/>
        <v>1</v>
      </c>
      <c r="AA1019" s="381">
        <f t="shared" si="426"/>
        <v>1</v>
      </c>
      <c r="AB1019" s="381">
        <f t="shared" si="426"/>
        <v>1</v>
      </c>
    </row>
    <row r="1020" spans="1:28" s="305" customFormat="1" hidden="1" outlineLevel="2" x14ac:dyDescent="0.25">
      <c r="A1020" s="278"/>
      <c r="B1020" s="279" t="str">
        <f>C1020&amp;D1020&amp;E1020&amp;F1020</f>
        <v>external stair landingpineaverage</v>
      </c>
      <c r="C1020" s="353" t="s">
        <v>2088</v>
      </c>
      <c r="D1020" s="278"/>
      <c r="E1020" s="278" t="s">
        <v>569</v>
      </c>
      <c r="F1020" s="278" t="s">
        <v>543</v>
      </c>
      <c r="G1020" s="278" t="s">
        <v>11</v>
      </c>
      <c r="H1020" s="310">
        <v>4.28</v>
      </c>
      <c r="I1020" s="280">
        <f>$I$2*H1020</f>
        <v>345.05360000000002</v>
      </c>
      <c r="J1020" s="281">
        <f>$J$2*H1020</f>
        <v>391.32040000000006</v>
      </c>
      <c r="K1020" s="282">
        <f>IF(Notes!$B$9="Domestic",I1020, IF(Notes!$B$9="Commercial",J1020))*$K$1019</f>
        <v>391.32040000000006</v>
      </c>
      <c r="L1020" s="283">
        <f>(SUM(O1020:Q1020)+(K1020+SUM(M1020:Q1020))*(INDEX($U$1019:$AB$1019,MATCH(Notes!$C$16,$U$3:$AB$3,0))-100%))*$L$1019</f>
        <v>217.49</v>
      </c>
      <c r="M1020" s="286"/>
      <c r="N1020" s="286"/>
      <c r="O1020" s="285">
        <v>217.49</v>
      </c>
      <c r="P1020" s="285"/>
      <c r="Q1020" s="285"/>
      <c r="R1020" s="278"/>
      <c r="S1020" s="278"/>
      <c r="T1020" s="278"/>
    </row>
    <row r="1021" spans="1:28" s="305" customFormat="1" hidden="1" outlineLevel="2" x14ac:dyDescent="0.25">
      <c r="A1021" s="278"/>
      <c r="B1021" s="279" t="str">
        <f t="shared" ref="B1021:B1025" si="427">C1021&amp;D1021&amp;E1021&amp;F1021</f>
        <v>external stair landingpinequality</v>
      </c>
      <c r="C1021" s="353" t="s">
        <v>2088</v>
      </c>
      <c r="D1021" s="278"/>
      <c r="E1021" s="278" t="s">
        <v>569</v>
      </c>
      <c r="F1021" s="278" t="s">
        <v>544</v>
      </c>
      <c r="G1021" s="278" t="s">
        <v>11</v>
      </c>
      <c r="H1021" s="309">
        <f>H1020</f>
        <v>4.28</v>
      </c>
      <c r="I1021" s="280">
        <f t="shared" ref="I1021:I1023" si="428">$I$2*H1021</f>
        <v>345.05360000000002</v>
      </c>
      <c r="J1021" s="281">
        <f t="shared" ref="J1021:J1025" si="429">$J$2*H1021</f>
        <v>391.32040000000006</v>
      </c>
      <c r="K1021" s="282">
        <f>IF(Notes!$B$9="Domestic",I1021, IF(Notes!$B$9="Commercial",J1021))*$K$1019</f>
        <v>391.32040000000006</v>
      </c>
      <c r="L1021" s="283">
        <f>(SUM(O1021:Q1021)+(K1021+SUM(M1021:Q1021))*(INDEX($U$1019:$AB$1019,MATCH(Notes!$C$16,$U$3:$AB$3,0))-100%))*$L$1019</f>
        <v>239.23900000000003</v>
      </c>
      <c r="M1021" s="286"/>
      <c r="N1021" s="286"/>
      <c r="O1021" s="311">
        <f>O1020*1.1</f>
        <v>239.23900000000003</v>
      </c>
      <c r="P1021" s="285"/>
      <c r="Q1021" s="285"/>
      <c r="R1021" s="278"/>
      <c r="S1021" s="278"/>
      <c r="T1021" s="278"/>
    </row>
    <row r="1022" spans="1:28" s="305" customFormat="1" hidden="1" outlineLevel="2" x14ac:dyDescent="0.25">
      <c r="A1022" s="278"/>
      <c r="B1022" s="279" t="str">
        <f t="shared" si="427"/>
        <v>external stair landingpineprestige</v>
      </c>
      <c r="C1022" s="353" t="s">
        <v>2088</v>
      </c>
      <c r="D1022" s="278"/>
      <c r="E1022" s="278" t="s">
        <v>569</v>
      </c>
      <c r="F1022" s="278" t="s">
        <v>545</v>
      </c>
      <c r="G1022" s="278" t="s">
        <v>11</v>
      </c>
      <c r="H1022" s="309">
        <f>H1020</f>
        <v>4.28</v>
      </c>
      <c r="I1022" s="280">
        <f t="shared" si="428"/>
        <v>345.05360000000002</v>
      </c>
      <c r="J1022" s="281">
        <f t="shared" si="429"/>
        <v>391.32040000000006</v>
      </c>
      <c r="K1022" s="282">
        <f>IF(Notes!$B$9="Domestic",I1022, IF(Notes!$B$9="Commercial",J1022))*$K$1019</f>
        <v>391.32040000000006</v>
      </c>
      <c r="L1022" s="283">
        <f>(SUM(O1022:Q1022)+(K1022+SUM(M1022:Q1022))*(INDEX($U$1019:$AB$1019,MATCH(Notes!$C$16,$U$3:$AB$3,0))-100%))*$L$1019</f>
        <v>311.01070000000004</v>
      </c>
      <c r="M1022" s="286"/>
      <c r="N1022" s="286"/>
      <c r="O1022" s="311">
        <f>O1021*1.3</f>
        <v>311.01070000000004</v>
      </c>
      <c r="P1022" s="285"/>
      <c r="Q1022" s="285"/>
      <c r="R1022" s="278"/>
      <c r="S1022" s="278"/>
      <c r="T1022" s="278"/>
    </row>
    <row r="1023" spans="1:28" s="305" customFormat="1" hidden="1" outlineLevel="2" x14ac:dyDescent="0.25">
      <c r="A1023" s="278"/>
      <c r="B1023" s="279" t="str">
        <f t="shared" si="427"/>
        <v>external stair landingHWDaverage</v>
      </c>
      <c r="C1023" s="353" t="s">
        <v>2088</v>
      </c>
      <c r="D1023" s="278"/>
      <c r="E1023" s="278" t="s">
        <v>507</v>
      </c>
      <c r="F1023" s="278" t="s">
        <v>543</v>
      </c>
      <c r="G1023" s="278" t="s">
        <v>11</v>
      </c>
      <c r="H1023" s="310">
        <v>5.13</v>
      </c>
      <c r="I1023" s="280">
        <f t="shared" si="428"/>
        <v>413.5806</v>
      </c>
      <c r="J1023" s="281">
        <f t="shared" si="429"/>
        <v>469.03590000000003</v>
      </c>
      <c r="K1023" s="282">
        <f>IF(Notes!$B$9="Domestic",I1023, IF(Notes!$B$9="Commercial",J1023))*$K$1019</f>
        <v>469.03590000000003</v>
      </c>
      <c r="L1023" s="283">
        <f>(SUM(O1023:Q1023)+(K1023+SUM(M1023:Q1023))*(INDEX($U$1019:$AB$1019,MATCH(Notes!$C$16,$U$3:$AB$3,0))-100%))*$L$1019</f>
        <v>415.33</v>
      </c>
      <c r="M1023" s="286"/>
      <c r="N1023" s="286"/>
      <c r="O1023" s="285">
        <v>415.33</v>
      </c>
      <c r="P1023" s="285"/>
      <c r="Q1023" s="285"/>
      <c r="R1023" s="278"/>
      <c r="S1023" s="278"/>
      <c r="T1023" s="278"/>
    </row>
    <row r="1024" spans="1:28" s="305" customFormat="1" hidden="1" outlineLevel="2" x14ac:dyDescent="0.25">
      <c r="A1024" s="278"/>
      <c r="B1024" s="279" t="str">
        <f t="shared" si="427"/>
        <v>external stair landingHWDquality</v>
      </c>
      <c r="C1024" s="353" t="s">
        <v>2088</v>
      </c>
      <c r="D1024" s="278"/>
      <c r="E1024" s="278" t="s">
        <v>507</v>
      </c>
      <c r="F1024" s="278" t="s">
        <v>544</v>
      </c>
      <c r="G1024" s="278" t="s">
        <v>11</v>
      </c>
      <c r="H1024" s="309">
        <f>H1023</f>
        <v>5.13</v>
      </c>
      <c r="I1024" s="280">
        <f>$I$2*H1024</f>
        <v>413.5806</v>
      </c>
      <c r="J1024" s="281">
        <f t="shared" si="429"/>
        <v>469.03590000000003</v>
      </c>
      <c r="K1024" s="282">
        <f>IF(Notes!$B$9="Domestic",I1024, IF(Notes!$B$9="Commercial",J1024))*$K$1019</f>
        <v>469.03590000000003</v>
      </c>
      <c r="L1024" s="283">
        <f>(SUM(O1024:Q1024)+(K1024+SUM(M1024:Q1024))*(INDEX($U$1019:$AB$1019,MATCH(Notes!$C$16,$U$3:$AB$3,0))-100%))*$L$1019</f>
        <v>456.863</v>
      </c>
      <c r="M1024" s="286"/>
      <c r="N1024" s="286"/>
      <c r="O1024" s="311">
        <f>O1023*1.1</f>
        <v>456.863</v>
      </c>
      <c r="P1024" s="285"/>
      <c r="Q1024" s="285"/>
      <c r="R1024" s="278"/>
      <c r="S1024" s="278"/>
      <c r="T1024" s="278"/>
    </row>
    <row r="1025" spans="1:28" s="305" customFormat="1" hidden="1" outlineLevel="2" x14ac:dyDescent="0.25">
      <c r="A1025" s="278"/>
      <c r="B1025" s="279" t="str">
        <f t="shared" si="427"/>
        <v>external stair landingHWDprestige</v>
      </c>
      <c r="C1025" s="353" t="s">
        <v>2088</v>
      </c>
      <c r="D1025" s="278"/>
      <c r="E1025" s="278" t="s">
        <v>507</v>
      </c>
      <c r="F1025" s="278" t="s">
        <v>545</v>
      </c>
      <c r="G1025" s="278" t="s">
        <v>11</v>
      </c>
      <c r="H1025" s="309">
        <f>H1023</f>
        <v>5.13</v>
      </c>
      <c r="I1025" s="280">
        <f t="shared" ref="I1025" si="430">$I$2*H1025</f>
        <v>413.5806</v>
      </c>
      <c r="J1025" s="281">
        <f t="shared" si="429"/>
        <v>469.03590000000003</v>
      </c>
      <c r="K1025" s="282">
        <f>IF(Notes!$B$9="Domestic",I1025, IF(Notes!$B$9="Commercial",J1025))*$K$1019</f>
        <v>469.03590000000003</v>
      </c>
      <c r="L1025" s="283">
        <f>(SUM(O1025:Q1025)+(K1025+SUM(M1025:Q1025))*(INDEX($U$1019:$AB$1019,MATCH(Notes!$C$16,$U$3:$AB$3,0))-100%))*$L$1019</f>
        <v>593.92190000000005</v>
      </c>
      <c r="M1025" s="286"/>
      <c r="N1025" s="286"/>
      <c r="O1025" s="311">
        <f>O1024*1.3</f>
        <v>593.92190000000005</v>
      </c>
      <c r="P1025" s="285"/>
      <c r="Q1025" s="285"/>
      <c r="R1025" s="278"/>
      <c r="S1025" s="278"/>
      <c r="T1025" s="278"/>
    </row>
    <row r="1026" spans="1:28" ht="21" hidden="1" outlineLevel="1" collapsed="1" x14ac:dyDescent="0.25">
      <c r="A1026" s="299" t="s">
        <v>2089</v>
      </c>
      <c r="B1026" s="299"/>
      <c r="C1026" s="299"/>
      <c r="D1026" s="299"/>
      <c r="E1026" s="299"/>
      <c r="F1026" s="299"/>
      <c r="G1026" s="299"/>
      <c r="H1026" s="348"/>
      <c r="I1026" s="299"/>
      <c r="J1026" s="299"/>
      <c r="K1026" s="299"/>
      <c r="L1026" s="299"/>
      <c r="M1026" s="299"/>
      <c r="N1026" s="299"/>
      <c r="O1026" s="299"/>
      <c r="P1026" s="299"/>
      <c r="Q1026" s="299"/>
      <c r="R1026" s="299"/>
      <c r="S1026" s="299"/>
      <c r="T1026" s="299"/>
      <c r="U1026" s="299"/>
      <c r="V1026" s="299"/>
      <c r="W1026" s="299"/>
      <c r="X1026" s="299"/>
      <c r="Y1026" s="299"/>
      <c r="Z1026" s="299"/>
      <c r="AA1026" s="299"/>
      <c r="AB1026" s="299"/>
    </row>
    <row r="1027" spans="1:28" ht="15.75" hidden="1" outlineLevel="1" x14ac:dyDescent="0.25">
      <c r="A1027" s="291"/>
      <c r="B1027" s="291"/>
      <c r="C1027" s="291"/>
      <c r="D1027" s="291"/>
      <c r="E1027" s="291"/>
      <c r="F1027" s="291"/>
      <c r="G1027" s="291"/>
      <c r="H1027" s="325"/>
      <c r="I1027" s="291"/>
      <c r="J1027" s="291"/>
      <c r="K1027" s="291">
        <f>K$2</f>
        <v>1</v>
      </c>
      <c r="L1027" s="291">
        <f>L$2</f>
        <v>1</v>
      </c>
      <c r="M1027" s="291"/>
      <c r="N1027" s="291"/>
      <c r="O1027" s="303"/>
      <c r="P1027" s="303"/>
      <c r="Q1027" s="303"/>
      <c r="R1027" s="291"/>
      <c r="S1027" s="291"/>
      <c r="T1027" s="291"/>
      <c r="U1027" s="381">
        <f>U$925</f>
        <v>0.88311688311688308</v>
      </c>
      <c r="V1027" s="381">
        <f t="shared" ref="V1027:AB1027" si="431">V$925</f>
        <v>1</v>
      </c>
      <c r="W1027" s="381">
        <f t="shared" si="431"/>
        <v>0.86493506493506489</v>
      </c>
      <c r="X1027" s="381">
        <f t="shared" si="431"/>
        <v>0.96103896103896103</v>
      </c>
      <c r="Y1027" s="381">
        <f t="shared" si="431"/>
        <v>0.98441558441558441</v>
      </c>
      <c r="Z1027" s="381">
        <f t="shared" si="431"/>
        <v>1</v>
      </c>
      <c r="AA1027" s="381">
        <f t="shared" si="431"/>
        <v>1</v>
      </c>
      <c r="AB1027" s="381">
        <f t="shared" si="431"/>
        <v>1</v>
      </c>
    </row>
    <row r="1028" spans="1:28" s="305" customFormat="1" hidden="1" outlineLevel="2" x14ac:dyDescent="0.25">
      <c r="A1028" s="278"/>
      <c r="B1028" s="279" t="str">
        <f>C1028&amp;D1028&amp;E1028&amp;F1028</f>
        <v>external stair balustradepineaverage</v>
      </c>
      <c r="C1028" s="353" t="s">
        <v>2091</v>
      </c>
      <c r="D1028" s="278"/>
      <c r="E1028" s="278" t="s">
        <v>569</v>
      </c>
      <c r="F1028" s="278" t="s">
        <v>543</v>
      </c>
      <c r="G1028" s="278" t="s">
        <v>15</v>
      </c>
      <c r="H1028" s="310">
        <v>1</v>
      </c>
      <c r="I1028" s="280">
        <f>$I$2*H1028</f>
        <v>80.62</v>
      </c>
      <c r="J1028" s="281">
        <f>$J$2*H1028</f>
        <v>91.43</v>
      </c>
      <c r="K1028" s="282">
        <f>IF(Notes!$B$9="Domestic",I1028, IF(Notes!$B$9="Commercial",J1028))*$K$1027</f>
        <v>91.43</v>
      </c>
      <c r="L1028" s="283">
        <f>(SUM(O1028:Q1028)+(K1028+SUM(M1028:Q1028))*(INDEX($U$1027:$AB$1027,MATCH(Notes!$C$16,$U$3:$AB$3,0))-100%))*$L$1027</f>
        <v>157.77000000000001</v>
      </c>
      <c r="M1028" s="286"/>
      <c r="N1028" s="286"/>
      <c r="O1028" s="285">
        <v>157.77000000000001</v>
      </c>
      <c r="P1028" s="285"/>
      <c r="Q1028" s="285"/>
      <c r="R1028" s="278"/>
      <c r="S1028" s="278"/>
      <c r="T1028" s="278"/>
    </row>
    <row r="1029" spans="1:28" s="305" customFormat="1" hidden="1" outlineLevel="2" x14ac:dyDescent="0.25">
      <c r="A1029" s="278"/>
      <c r="B1029" s="279" t="str">
        <f t="shared" ref="B1029:B1033" si="432">C1029&amp;D1029&amp;E1029&amp;F1029</f>
        <v>external stair balustradepinequality</v>
      </c>
      <c r="C1029" s="353" t="s">
        <v>2091</v>
      </c>
      <c r="D1029" s="278"/>
      <c r="E1029" s="278" t="s">
        <v>569</v>
      </c>
      <c r="F1029" s="278" t="s">
        <v>544</v>
      </c>
      <c r="G1029" s="278" t="s">
        <v>15</v>
      </c>
      <c r="H1029" s="310">
        <v>1</v>
      </c>
      <c r="I1029" s="280">
        <f t="shared" ref="I1029:I1031" si="433">$I$2*H1029</f>
        <v>80.62</v>
      </c>
      <c r="J1029" s="281">
        <f t="shared" ref="J1029:J1033" si="434">$J$2*H1029</f>
        <v>91.43</v>
      </c>
      <c r="K1029" s="282">
        <f>IF(Notes!$B$9="Domestic",I1029, IF(Notes!$B$9="Commercial",J1029))*$K$1027</f>
        <v>91.43</v>
      </c>
      <c r="L1029" s="283">
        <f>(SUM(O1029:Q1029)+(K1029+SUM(M1029:Q1029))*(INDEX($U$1027:$AB$1027,MATCH(Notes!$C$16,$U$3:$AB$3,0))-100%))*$L$1027</f>
        <v>173.54700000000003</v>
      </c>
      <c r="M1029" s="286"/>
      <c r="N1029" s="286"/>
      <c r="O1029" s="311">
        <f>O1028*1.1</f>
        <v>173.54700000000003</v>
      </c>
      <c r="P1029" s="285"/>
      <c r="Q1029" s="285"/>
      <c r="R1029" s="278"/>
      <c r="S1029" s="278"/>
      <c r="T1029" s="278"/>
    </row>
    <row r="1030" spans="1:28" s="305" customFormat="1" hidden="1" outlineLevel="2" x14ac:dyDescent="0.25">
      <c r="A1030" s="278"/>
      <c r="B1030" s="279" t="str">
        <f t="shared" si="432"/>
        <v>external stair balustradepineprestige</v>
      </c>
      <c r="C1030" s="353" t="s">
        <v>2091</v>
      </c>
      <c r="D1030" s="278"/>
      <c r="E1030" s="278" t="s">
        <v>569</v>
      </c>
      <c r="F1030" s="278" t="s">
        <v>545</v>
      </c>
      <c r="G1030" s="278" t="s">
        <v>15</v>
      </c>
      <c r="H1030" s="310">
        <v>1</v>
      </c>
      <c r="I1030" s="280">
        <f t="shared" si="433"/>
        <v>80.62</v>
      </c>
      <c r="J1030" s="281">
        <f t="shared" si="434"/>
        <v>91.43</v>
      </c>
      <c r="K1030" s="282">
        <f>IF(Notes!$B$9="Domestic",I1030, IF(Notes!$B$9="Commercial",J1030))*$K$1027</f>
        <v>91.43</v>
      </c>
      <c r="L1030" s="283">
        <f>(SUM(O1030:Q1030)+(K1030+SUM(M1030:Q1030))*(INDEX($U$1027:$AB$1027,MATCH(Notes!$C$16,$U$3:$AB$3,0))-100%))*$L$1027</f>
        <v>225.61110000000005</v>
      </c>
      <c r="M1030" s="286"/>
      <c r="N1030" s="286"/>
      <c r="O1030" s="311">
        <f>O1029*1.3</f>
        <v>225.61110000000005</v>
      </c>
      <c r="P1030" s="285"/>
      <c r="Q1030" s="285"/>
      <c r="R1030" s="278"/>
      <c r="S1030" s="278"/>
      <c r="T1030" s="278"/>
    </row>
    <row r="1031" spans="1:28" s="305" customFormat="1" hidden="1" outlineLevel="2" x14ac:dyDescent="0.25">
      <c r="A1031" s="278"/>
      <c r="B1031" s="279" t="str">
        <f t="shared" si="432"/>
        <v>external stair balustradeHWDaverage</v>
      </c>
      <c r="C1031" s="353" t="s">
        <v>2091</v>
      </c>
      <c r="D1031" s="278"/>
      <c r="E1031" s="278" t="s">
        <v>507</v>
      </c>
      <c r="F1031" s="278" t="s">
        <v>543</v>
      </c>
      <c r="G1031" s="278" t="s">
        <v>15</v>
      </c>
      <c r="H1031" s="310">
        <v>1</v>
      </c>
      <c r="I1031" s="280">
        <f t="shared" si="433"/>
        <v>80.62</v>
      </c>
      <c r="J1031" s="281">
        <f t="shared" si="434"/>
        <v>91.43</v>
      </c>
      <c r="K1031" s="282">
        <f>IF(Notes!$B$9="Domestic",I1031, IF(Notes!$B$9="Commercial",J1031))*$K$1027</f>
        <v>91.43</v>
      </c>
      <c r="L1031" s="283">
        <f>(SUM(O1031:Q1031)+(K1031+SUM(M1031:Q1031))*(INDEX($U$1027:$AB$1027,MATCH(Notes!$C$16,$U$3:$AB$3,0))-100%))*$L$1027</f>
        <v>314.85000000000002</v>
      </c>
      <c r="M1031" s="286"/>
      <c r="N1031" s="286"/>
      <c r="O1031" s="285">
        <v>314.85000000000002</v>
      </c>
      <c r="P1031" s="285"/>
      <c r="Q1031" s="285"/>
      <c r="R1031" s="278"/>
      <c r="S1031" s="278"/>
      <c r="T1031" s="278"/>
    </row>
    <row r="1032" spans="1:28" s="305" customFormat="1" hidden="1" outlineLevel="2" x14ac:dyDescent="0.25">
      <c r="A1032" s="278"/>
      <c r="B1032" s="279" t="str">
        <f t="shared" si="432"/>
        <v>external stair balustradeHWDquality</v>
      </c>
      <c r="C1032" s="353" t="s">
        <v>2091</v>
      </c>
      <c r="D1032" s="278"/>
      <c r="E1032" s="278" t="s">
        <v>507</v>
      </c>
      <c r="F1032" s="278" t="s">
        <v>544</v>
      </c>
      <c r="G1032" s="278" t="s">
        <v>15</v>
      </c>
      <c r="H1032" s="310">
        <v>1</v>
      </c>
      <c r="I1032" s="280">
        <f>$I$2*H1032</f>
        <v>80.62</v>
      </c>
      <c r="J1032" s="281">
        <f t="shared" si="434"/>
        <v>91.43</v>
      </c>
      <c r="K1032" s="282">
        <f>IF(Notes!$B$9="Domestic",I1032, IF(Notes!$B$9="Commercial",J1032))*$K$1027</f>
        <v>91.43</v>
      </c>
      <c r="L1032" s="283">
        <f>(SUM(O1032:Q1032)+(K1032+SUM(M1032:Q1032))*(INDEX($U$1027:$AB$1027,MATCH(Notes!$C$16,$U$3:$AB$3,0))-100%))*$L$1027</f>
        <v>409.30500000000006</v>
      </c>
      <c r="M1032" s="286"/>
      <c r="N1032" s="286"/>
      <c r="O1032" s="311">
        <f>O1031*1.3</f>
        <v>409.30500000000006</v>
      </c>
      <c r="P1032" s="285"/>
      <c r="Q1032" s="285"/>
      <c r="R1032" s="278"/>
      <c r="S1032" s="278"/>
      <c r="T1032" s="278"/>
    </row>
    <row r="1033" spans="1:28" s="305" customFormat="1" hidden="1" outlineLevel="2" x14ac:dyDescent="0.25">
      <c r="A1033" s="278"/>
      <c r="B1033" s="279" t="str">
        <f t="shared" si="432"/>
        <v>external stair balustradeHWDprestige</v>
      </c>
      <c r="C1033" s="353" t="s">
        <v>2091</v>
      </c>
      <c r="D1033" s="278"/>
      <c r="E1033" s="278" t="s">
        <v>507</v>
      </c>
      <c r="F1033" s="278" t="s">
        <v>545</v>
      </c>
      <c r="G1033" s="278" t="s">
        <v>15</v>
      </c>
      <c r="H1033" s="310">
        <v>1</v>
      </c>
      <c r="I1033" s="280">
        <f t="shared" ref="I1033" si="435">$I$2*H1033</f>
        <v>80.62</v>
      </c>
      <c r="J1033" s="281">
        <f t="shared" si="434"/>
        <v>91.43</v>
      </c>
      <c r="K1033" s="282">
        <f>IF(Notes!$B$9="Domestic",I1033, IF(Notes!$B$9="Commercial",J1033))*$K$1027</f>
        <v>91.43</v>
      </c>
      <c r="L1033" s="283">
        <f>(SUM(O1033:Q1033)+(K1033+SUM(M1033:Q1033))*(INDEX($U$1027:$AB$1027,MATCH(Notes!$C$16,$U$3:$AB$3,0))-100%))*$L$1027</f>
        <v>573.02700000000004</v>
      </c>
      <c r="M1033" s="286"/>
      <c r="N1033" s="286"/>
      <c r="O1033" s="311">
        <f>O1032*1.4</f>
        <v>573.02700000000004</v>
      </c>
      <c r="P1033" s="285"/>
      <c r="Q1033" s="285"/>
      <c r="R1033" s="278"/>
      <c r="S1033" s="278"/>
      <c r="T1033" s="278"/>
    </row>
    <row r="1034" spans="1:28" ht="21" hidden="1" outlineLevel="1" collapsed="1" x14ac:dyDescent="0.25">
      <c r="A1034" s="299" t="s">
        <v>2094</v>
      </c>
      <c r="B1034" s="299"/>
      <c r="C1034" s="299"/>
      <c r="D1034" s="299"/>
      <c r="E1034" s="299"/>
      <c r="F1034" s="299"/>
      <c r="G1034" s="299"/>
      <c r="H1034" s="348"/>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row>
    <row r="1035" spans="1:28" ht="15.75" hidden="1" outlineLevel="1" x14ac:dyDescent="0.25">
      <c r="A1035" s="291"/>
      <c r="B1035" s="291"/>
      <c r="C1035" s="291"/>
      <c r="D1035" s="291"/>
      <c r="E1035" s="291"/>
      <c r="F1035" s="291"/>
      <c r="G1035" s="291"/>
      <c r="H1035" s="325"/>
      <c r="I1035" s="291"/>
      <c r="J1035" s="291"/>
      <c r="K1035" s="291">
        <f>K$2</f>
        <v>1</v>
      </c>
      <c r="L1035" s="291">
        <f>L$2</f>
        <v>1</v>
      </c>
      <c r="M1035" s="291"/>
      <c r="N1035" s="291"/>
      <c r="O1035" s="303"/>
      <c r="P1035" s="303"/>
      <c r="Q1035" s="303"/>
      <c r="R1035" s="291"/>
      <c r="S1035" s="291"/>
      <c r="T1035" s="291"/>
      <c r="U1035" s="291">
        <f>163/160.5</f>
        <v>1.0155763239875388</v>
      </c>
      <c r="V1035" s="291">
        <f>160.5/160.5</f>
        <v>1</v>
      </c>
      <c r="W1035" s="291">
        <f>187/160.5</f>
        <v>1.1651090342679127</v>
      </c>
      <c r="X1035" s="291">
        <f>178.5/160.5</f>
        <v>1.1121495327102804</v>
      </c>
      <c r="Y1035" s="291">
        <f>220/160.5</f>
        <v>1.3707165109034267</v>
      </c>
      <c r="Z1035" s="291">
        <f>140.5/160.5</f>
        <v>0.87538940809968846</v>
      </c>
      <c r="AA1035" s="291">
        <f>225/160.5</f>
        <v>1.4018691588785046</v>
      </c>
      <c r="AB1035" s="291">
        <f>158/160.5</f>
        <v>0.98442367601246106</v>
      </c>
    </row>
    <row r="1036" spans="1:28" s="305" customFormat="1" hidden="1" outlineLevel="2" x14ac:dyDescent="0.25">
      <c r="A1036" s="278"/>
      <c r="B1036" s="279" t="str">
        <f>C1036&amp;D1036&amp;E1036&amp;F1036</f>
        <v>2100mmup to 820mmSD/HCaverage</v>
      </c>
      <c r="C1036" s="278" t="s">
        <v>557</v>
      </c>
      <c r="D1036" s="278" t="s">
        <v>724</v>
      </c>
      <c r="E1036" s="278" t="s">
        <v>2151</v>
      </c>
      <c r="F1036" s="278" t="s">
        <v>543</v>
      </c>
      <c r="G1036" s="278" t="s">
        <v>5</v>
      </c>
      <c r="H1036" s="310">
        <v>0.77894872124405601</v>
      </c>
      <c r="I1036" s="280">
        <f>$I$2*H1036</f>
        <v>62.798845906695796</v>
      </c>
      <c r="J1036" s="281">
        <f>$J$2*H1036</f>
        <v>71.219281583344042</v>
      </c>
      <c r="K1036" s="282">
        <f>IF(Notes!$B$9="Domestic",I1036, IF(Notes!$B$9="Commercial",J1036))*$K$1035</f>
        <v>71.219281583344042</v>
      </c>
      <c r="L1036" s="283">
        <f>(SUM(O1036:Q1036)+(K1036+SUM(M1036:Q1036))*(INDEX($U$1035:$AB$1035,MATCH(Notes!$C$16,$U$3:$AB$3,0))-100%))*$L$1035</f>
        <v>92.7</v>
      </c>
      <c r="M1036" s="286"/>
      <c r="N1036" s="286"/>
      <c r="O1036" s="285">
        <v>92.7</v>
      </c>
      <c r="P1036" s="285"/>
      <c r="Q1036" s="285"/>
      <c r="R1036" s="278"/>
      <c r="S1036" s="278"/>
      <c r="T1036" s="278"/>
    </row>
    <row r="1037" spans="1:28" s="305" customFormat="1" hidden="1" outlineLevel="2" x14ac:dyDescent="0.25">
      <c r="A1037" s="278"/>
      <c r="B1037" s="279" t="str">
        <f t="shared" ref="B1037:B1062" si="436">C1037&amp;D1037&amp;E1037&amp;F1037</f>
        <v>2100mm821mm to 920mmSD/HCaverage</v>
      </c>
      <c r="C1037" s="278" t="s">
        <v>557</v>
      </c>
      <c r="D1037" s="278" t="s">
        <v>721</v>
      </c>
      <c r="E1037" s="278" t="s">
        <v>2151</v>
      </c>
      <c r="F1037" s="278" t="s">
        <v>543</v>
      </c>
      <c r="G1037" s="278" t="s">
        <v>5</v>
      </c>
      <c r="H1037" s="310">
        <v>0.77894872124405601</v>
      </c>
      <c r="I1037" s="280">
        <f t="shared" ref="I1037:I1061" si="437">$I$2*H1037</f>
        <v>62.798845906695796</v>
      </c>
      <c r="J1037" s="281">
        <f t="shared" ref="J1037:J1062" si="438">$J$2*H1037</f>
        <v>71.219281583344042</v>
      </c>
      <c r="K1037" s="282">
        <f>IF(Notes!$B$9="Domestic",I1037, IF(Notes!$B$9="Commercial",J1037))*$K$1035</f>
        <v>71.219281583344042</v>
      </c>
      <c r="L1037" s="283">
        <f>(SUM(O1037:Q1037)+(K1037+SUM(M1037:Q1037))*(INDEX($U$1035:$AB$1035,MATCH(Notes!$C$16,$U$3:$AB$3,0))-100%))*$L$1035</f>
        <v>110.56</v>
      </c>
      <c r="M1037" s="286"/>
      <c r="N1037" s="286"/>
      <c r="O1037" s="285">
        <v>110.56</v>
      </c>
      <c r="P1037" s="285"/>
      <c r="Q1037" s="285"/>
      <c r="R1037" s="278"/>
      <c r="S1037" s="278"/>
      <c r="T1037" s="278"/>
    </row>
    <row r="1038" spans="1:28" s="305" customFormat="1" hidden="1" outlineLevel="2" x14ac:dyDescent="0.25">
      <c r="A1038" s="278"/>
      <c r="B1038" s="279" t="str">
        <f t="shared" si="436"/>
        <v>2100mm921mm to 1220mmSD/HCaverage</v>
      </c>
      <c r="C1038" s="278" t="s">
        <v>557</v>
      </c>
      <c r="D1038" s="278" t="s">
        <v>722</v>
      </c>
      <c r="E1038" s="278" t="s">
        <v>2151</v>
      </c>
      <c r="F1038" s="278" t="s">
        <v>543</v>
      </c>
      <c r="G1038" s="278" t="s">
        <v>5</v>
      </c>
      <c r="H1038" s="310">
        <v>1.2852846677804908</v>
      </c>
      <c r="I1038" s="280">
        <f t="shared" si="437"/>
        <v>103.61964991646317</v>
      </c>
      <c r="J1038" s="281">
        <f t="shared" si="438"/>
        <v>117.51357717517028</v>
      </c>
      <c r="K1038" s="282">
        <f>IF(Notes!$B$9="Domestic",I1038, IF(Notes!$B$9="Commercial",J1038))*$K$1035</f>
        <v>117.51357717517028</v>
      </c>
      <c r="L1038" s="283">
        <f>(SUM(O1038:Q1038)+(K1038+SUM(M1038:Q1038))*(INDEX($U$1035:$AB$1035,MATCH(Notes!$C$16,$U$3:$AB$3,0))-100%))*$L$1035</f>
        <v>132.672</v>
      </c>
      <c r="M1038" s="286"/>
      <c r="N1038" s="286"/>
      <c r="O1038" s="311">
        <f>110.56*1.2</f>
        <v>132.672</v>
      </c>
      <c r="P1038" s="285"/>
      <c r="Q1038" s="285"/>
      <c r="R1038" s="278"/>
      <c r="S1038" s="278"/>
      <c r="T1038" s="278"/>
    </row>
    <row r="1039" spans="1:28" s="305" customFormat="1" hidden="1" outlineLevel="2" x14ac:dyDescent="0.25">
      <c r="A1039" s="278"/>
      <c r="B1039" s="279" t="str">
        <f t="shared" ref="B1039:B1047" si="439">C1039&amp;D1039&amp;E1039&amp;F1039</f>
        <v>2400mmup to 820mmSD/HCaverage</v>
      </c>
      <c r="C1039" s="278" t="s">
        <v>558</v>
      </c>
      <c r="D1039" s="278" t="s">
        <v>724</v>
      </c>
      <c r="E1039" s="278" t="s">
        <v>2151</v>
      </c>
      <c r="F1039" s="278" t="s">
        <v>543</v>
      </c>
      <c r="G1039" s="278" t="s">
        <v>5</v>
      </c>
      <c r="H1039" s="310">
        <v>0.97378229019406237</v>
      </c>
      <c r="I1039" s="280">
        <f t="shared" ref="I1039:I1047" si="440">$I$2*H1039</f>
        <v>78.506328235445309</v>
      </c>
      <c r="J1039" s="281">
        <f t="shared" ref="J1039:J1047" si="441">$J$2*H1039</f>
        <v>89.032914792443123</v>
      </c>
      <c r="K1039" s="282">
        <f>IF(Notes!$B$9="Domestic",I1039, IF(Notes!$B$9="Commercial",J1039))*$K$1035</f>
        <v>89.032914792443123</v>
      </c>
      <c r="L1039" s="283">
        <f>(SUM(O1039:Q1039)+(K1039+SUM(M1039:Q1039))*(INDEX($U$1035:$AB$1035,MATCH(Notes!$C$16,$U$3:$AB$3,0))-100%))*$L$1035</f>
        <v>216.41</v>
      </c>
      <c r="M1039" s="286"/>
      <c r="N1039" s="286"/>
      <c r="O1039" s="285">
        <v>216.41</v>
      </c>
      <c r="P1039" s="285"/>
      <c r="Q1039" s="285"/>
      <c r="R1039" s="278"/>
      <c r="S1039" s="278"/>
      <c r="T1039" s="278"/>
    </row>
    <row r="1040" spans="1:28" s="305" customFormat="1" hidden="1" outlineLevel="2" x14ac:dyDescent="0.25">
      <c r="A1040" s="278"/>
      <c r="B1040" s="279" t="str">
        <f t="shared" si="439"/>
        <v>2400mm821mm to 920mmSD/HCaverage</v>
      </c>
      <c r="C1040" s="278" t="s">
        <v>558</v>
      </c>
      <c r="D1040" s="278" t="s">
        <v>721</v>
      </c>
      <c r="E1040" s="278" t="s">
        <v>2151</v>
      </c>
      <c r="F1040" s="278" t="s">
        <v>543</v>
      </c>
      <c r="G1040" s="278" t="s">
        <v>5</v>
      </c>
      <c r="H1040" s="310">
        <v>0.97378229019406237</v>
      </c>
      <c r="I1040" s="280">
        <f t="shared" si="440"/>
        <v>78.506328235445309</v>
      </c>
      <c r="J1040" s="281">
        <f t="shared" si="441"/>
        <v>89.032914792443123</v>
      </c>
      <c r="K1040" s="282">
        <f>IF(Notes!$B$9="Domestic",I1040, IF(Notes!$B$9="Commercial",J1040))*$K$1035</f>
        <v>89.032914792443123</v>
      </c>
      <c r="L1040" s="283">
        <f>(SUM(O1040:Q1040)+(K1040+SUM(M1040:Q1040))*(INDEX($U$1035:$AB$1035,MATCH(Notes!$C$16,$U$3:$AB$3,0))-100%))*$L$1035</f>
        <v>238.05100000000002</v>
      </c>
      <c r="M1040" s="286"/>
      <c r="N1040" s="286"/>
      <c r="O1040" s="311">
        <f>216.41*1.1</f>
        <v>238.05100000000002</v>
      </c>
      <c r="P1040" s="285"/>
      <c r="Q1040" s="285"/>
      <c r="R1040" s="278"/>
      <c r="S1040" s="278"/>
      <c r="T1040" s="278"/>
    </row>
    <row r="1041" spans="1:20" s="305" customFormat="1" hidden="1" outlineLevel="2" x14ac:dyDescent="0.25">
      <c r="A1041" s="278"/>
      <c r="B1041" s="279" t="str">
        <f t="shared" si="439"/>
        <v>2400mm921mm to 1220mmSD/HCaverage</v>
      </c>
      <c r="C1041" s="278" t="s">
        <v>558</v>
      </c>
      <c r="D1041" s="278" t="s">
        <v>722</v>
      </c>
      <c r="E1041" s="278" t="s">
        <v>2151</v>
      </c>
      <c r="F1041" s="278" t="s">
        <v>543</v>
      </c>
      <c r="G1041" s="278" t="s">
        <v>5</v>
      </c>
      <c r="H1041" s="310">
        <v>1.4606091761984321</v>
      </c>
      <c r="I1041" s="280">
        <f t="shared" si="440"/>
        <v>117.75431178511761</v>
      </c>
      <c r="J1041" s="281">
        <f t="shared" si="441"/>
        <v>133.54349697982266</v>
      </c>
      <c r="K1041" s="282">
        <f>IF(Notes!$B$9="Domestic",I1041, IF(Notes!$B$9="Commercial",J1041))*$K$1035</f>
        <v>133.54349697982266</v>
      </c>
      <c r="L1041" s="283">
        <f>(SUM(O1041:Q1041)+(K1041+SUM(M1041:Q1041))*(INDEX($U$1035:$AB$1035,MATCH(Notes!$C$16,$U$3:$AB$3,0))-100%))*$L$1035</f>
        <v>255.41</v>
      </c>
      <c r="M1041" s="286"/>
      <c r="N1041" s="286"/>
      <c r="O1041" s="285">
        <v>255.41</v>
      </c>
      <c r="P1041" s="285"/>
      <c r="Q1041" s="285"/>
      <c r="R1041" s="278"/>
      <c r="S1041" s="278"/>
      <c r="T1041" s="278"/>
    </row>
    <row r="1042" spans="1:20" s="305" customFormat="1" hidden="1" outlineLevel="2" x14ac:dyDescent="0.25">
      <c r="A1042" s="278"/>
      <c r="B1042" s="279" t="str">
        <f t="shared" si="439"/>
        <v>2700mmup to 820mmSD/HCaverage</v>
      </c>
      <c r="C1042" s="278" t="s">
        <v>779</v>
      </c>
      <c r="D1042" s="278" t="s">
        <v>724</v>
      </c>
      <c r="E1042" s="278" t="s">
        <v>2151</v>
      </c>
      <c r="F1042" s="278" t="s">
        <v>543</v>
      </c>
      <c r="G1042" s="278" t="s">
        <v>5</v>
      </c>
      <c r="H1042" s="310">
        <v>0.97378229019406237</v>
      </c>
      <c r="I1042" s="280">
        <f t="shared" si="440"/>
        <v>78.506328235445309</v>
      </c>
      <c r="J1042" s="281">
        <f t="shared" si="441"/>
        <v>89.032914792443123</v>
      </c>
      <c r="K1042" s="282">
        <f>IF(Notes!$B$9="Domestic",I1042, IF(Notes!$B$9="Commercial",J1042))*$K$1035</f>
        <v>89.032914792443123</v>
      </c>
      <c r="L1042" s="283">
        <f>(SUM(O1042:Q1042)+(K1042+SUM(M1042:Q1042))*(INDEX($U$1035:$AB$1035,MATCH(Notes!$C$16,$U$3:$AB$3,0))-100%))*$L$1035</f>
        <v>340.12</v>
      </c>
      <c r="M1042" s="286"/>
      <c r="N1042" s="286"/>
      <c r="O1042" s="311">
        <f>O1039+O1039-O1036</f>
        <v>340.12</v>
      </c>
      <c r="P1042" s="285"/>
      <c r="Q1042" s="285"/>
      <c r="R1042" s="278"/>
      <c r="S1042" s="278"/>
      <c r="T1042" s="278"/>
    </row>
    <row r="1043" spans="1:20" s="305" customFormat="1" hidden="1" outlineLevel="2" x14ac:dyDescent="0.25">
      <c r="A1043" s="278"/>
      <c r="B1043" s="279" t="str">
        <f t="shared" si="439"/>
        <v>2700mm821mm to 920mmSD/HCaverage</v>
      </c>
      <c r="C1043" s="278" t="s">
        <v>779</v>
      </c>
      <c r="D1043" s="278" t="s">
        <v>721</v>
      </c>
      <c r="E1043" s="278" t="s">
        <v>2151</v>
      </c>
      <c r="F1043" s="278" t="s">
        <v>543</v>
      </c>
      <c r="G1043" s="278" t="s">
        <v>5</v>
      </c>
      <c r="H1043" s="310">
        <v>0.97378229019406237</v>
      </c>
      <c r="I1043" s="280">
        <f t="shared" si="440"/>
        <v>78.506328235445309</v>
      </c>
      <c r="J1043" s="281">
        <f t="shared" si="441"/>
        <v>89.032914792443123</v>
      </c>
      <c r="K1043" s="282">
        <f>IF(Notes!$B$9="Domestic",I1043, IF(Notes!$B$9="Commercial",J1043))*$K$1035</f>
        <v>89.032914792443123</v>
      </c>
      <c r="L1043" s="283">
        <f>(SUM(O1043:Q1043)+(K1043+SUM(M1043:Q1043))*(INDEX($U$1035:$AB$1035,MATCH(Notes!$C$16,$U$3:$AB$3,0))-100%))*$L$1035</f>
        <v>365.54200000000003</v>
      </c>
      <c r="M1043" s="286"/>
      <c r="N1043" s="286"/>
      <c r="O1043" s="311">
        <f t="shared" ref="O1043:O1044" si="442">O1040+O1040-O1037</f>
        <v>365.54200000000003</v>
      </c>
      <c r="P1043" s="285"/>
      <c r="Q1043" s="285"/>
      <c r="R1043" s="278"/>
      <c r="S1043" s="278"/>
      <c r="T1043" s="278"/>
    </row>
    <row r="1044" spans="1:20" s="305" customFormat="1" hidden="1" outlineLevel="2" x14ac:dyDescent="0.25">
      <c r="A1044" s="278"/>
      <c r="B1044" s="279" t="str">
        <f t="shared" si="439"/>
        <v>2700mm921mm to 1220mmSD/HCaverage</v>
      </c>
      <c r="C1044" s="278" t="s">
        <v>779</v>
      </c>
      <c r="D1044" s="278" t="s">
        <v>722</v>
      </c>
      <c r="E1044" s="278" t="s">
        <v>2151</v>
      </c>
      <c r="F1044" s="278" t="s">
        <v>543</v>
      </c>
      <c r="G1044" s="278" t="s">
        <v>5</v>
      </c>
      <c r="H1044" s="310">
        <v>1.4606091761984321</v>
      </c>
      <c r="I1044" s="280">
        <f t="shared" si="440"/>
        <v>117.75431178511761</v>
      </c>
      <c r="J1044" s="281">
        <f t="shared" si="441"/>
        <v>133.54349697982266</v>
      </c>
      <c r="K1044" s="282">
        <f>IF(Notes!$B$9="Domestic",I1044, IF(Notes!$B$9="Commercial",J1044))*$K$1035</f>
        <v>133.54349697982266</v>
      </c>
      <c r="L1044" s="283">
        <f>(SUM(O1044:Q1044)+(K1044+SUM(M1044:Q1044))*(INDEX($U$1035:$AB$1035,MATCH(Notes!$C$16,$U$3:$AB$3,0))-100%))*$L$1035</f>
        <v>378.14800000000002</v>
      </c>
      <c r="M1044" s="286"/>
      <c r="N1044" s="286"/>
      <c r="O1044" s="311">
        <f t="shared" si="442"/>
        <v>378.14800000000002</v>
      </c>
      <c r="P1044" s="285"/>
      <c r="Q1044" s="285"/>
      <c r="R1044" s="278"/>
      <c r="S1044" s="278"/>
      <c r="T1044" s="278"/>
    </row>
    <row r="1045" spans="1:20" s="305" customFormat="1" hidden="1" outlineLevel="2" x14ac:dyDescent="0.25">
      <c r="A1045" s="278"/>
      <c r="B1045" s="279" t="str">
        <f t="shared" si="439"/>
        <v>2100mmup to 820mmSD/HCquality</v>
      </c>
      <c r="C1045" s="278" t="s">
        <v>557</v>
      </c>
      <c r="D1045" s="278" t="s">
        <v>724</v>
      </c>
      <c r="E1045" s="278" t="s">
        <v>2151</v>
      </c>
      <c r="F1045" s="278" t="s">
        <v>544</v>
      </c>
      <c r="G1045" s="278" t="s">
        <v>5</v>
      </c>
      <c r="H1045" s="310">
        <v>0.77894872124405601</v>
      </c>
      <c r="I1045" s="280">
        <f t="shared" si="440"/>
        <v>62.798845906695796</v>
      </c>
      <c r="J1045" s="281">
        <f t="shared" si="441"/>
        <v>71.219281583344042</v>
      </c>
      <c r="K1045" s="282">
        <f>IF(Notes!$B$9="Domestic",I1045, IF(Notes!$B$9="Commercial",J1045))*$K$1035</f>
        <v>71.219281583344042</v>
      </c>
      <c r="L1045" s="283">
        <f>(SUM(O1045:Q1045)+(K1045+SUM(M1045:Q1045))*(INDEX($U$1035:$AB$1035,MATCH(Notes!$C$16,$U$3:$AB$3,0))-100%))*$L$1035</f>
        <v>92.7</v>
      </c>
      <c r="M1045" s="286"/>
      <c r="N1045" s="286"/>
      <c r="O1045" s="285">
        <v>92.7</v>
      </c>
      <c r="P1045" s="285"/>
      <c r="Q1045" s="285"/>
      <c r="R1045" s="278"/>
      <c r="S1045" s="278"/>
      <c r="T1045" s="278"/>
    </row>
    <row r="1046" spans="1:20" s="305" customFormat="1" hidden="1" outlineLevel="2" x14ac:dyDescent="0.25">
      <c r="A1046" s="278"/>
      <c r="B1046" s="279" t="str">
        <f t="shared" si="439"/>
        <v>2100mm821mm to 920mmSD/HCquality</v>
      </c>
      <c r="C1046" s="278" t="s">
        <v>557</v>
      </c>
      <c r="D1046" s="278" t="s">
        <v>721</v>
      </c>
      <c r="E1046" s="278" t="s">
        <v>2151</v>
      </c>
      <c r="F1046" s="278" t="s">
        <v>544</v>
      </c>
      <c r="G1046" s="278" t="s">
        <v>5</v>
      </c>
      <c r="H1046" s="310">
        <v>0.77894872124405601</v>
      </c>
      <c r="I1046" s="280">
        <f t="shared" si="440"/>
        <v>62.798845906695796</v>
      </c>
      <c r="J1046" s="281">
        <f t="shared" si="441"/>
        <v>71.219281583344042</v>
      </c>
      <c r="K1046" s="282">
        <f>IF(Notes!$B$9="Domestic",I1046, IF(Notes!$B$9="Commercial",J1046))*$K$1035</f>
        <v>71.219281583344042</v>
      </c>
      <c r="L1046" s="283">
        <f>(SUM(O1046:Q1046)+(K1046+SUM(M1046:Q1046))*(INDEX($U$1035:$AB$1035,MATCH(Notes!$C$16,$U$3:$AB$3,0))-100%))*$L$1035</f>
        <v>110.56</v>
      </c>
      <c r="M1046" s="286"/>
      <c r="N1046" s="286"/>
      <c r="O1046" s="285">
        <v>110.56</v>
      </c>
      <c r="P1046" s="285"/>
      <c r="Q1046" s="285"/>
      <c r="R1046" s="278"/>
      <c r="S1046" s="278"/>
      <c r="T1046" s="278"/>
    </row>
    <row r="1047" spans="1:20" s="305" customFormat="1" hidden="1" outlineLevel="2" x14ac:dyDescent="0.25">
      <c r="A1047" s="278"/>
      <c r="B1047" s="279" t="str">
        <f t="shared" si="439"/>
        <v>2100mm921mm to 1220mmSD/HCquality</v>
      </c>
      <c r="C1047" s="278" t="s">
        <v>557</v>
      </c>
      <c r="D1047" s="278" t="s">
        <v>722</v>
      </c>
      <c r="E1047" s="278" t="s">
        <v>2151</v>
      </c>
      <c r="F1047" s="278" t="s">
        <v>544</v>
      </c>
      <c r="G1047" s="278" t="s">
        <v>5</v>
      </c>
      <c r="H1047" s="310">
        <v>1.2852846677804908</v>
      </c>
      <c r="I1047" s="280">
        <f t="shared" si="440"/>
        <v>103.61964991646317</v>
      </c>
      <c r="J1047" s="281">
        <f t="shared" si="441"/>
        <v>117.51357717517028</v>
      </c>
      <c r="K1047" s="282">
        <f>IF(Notes!$B$9="Domestic",I1047, IF(Notes!$B$9="Commercial",J1047))*$K$1035</f>
        <v>117.51357717517028</v>
      </c>
      <c r="L1047" s="283">
        <f>(SUM(O1047:Q1047)+(K1047+SUM(M1047:Q1047))*(INDEX($U$1035:$AB$1035,MATCH(Notes!$C$16,$U$3:$AB$3,0))-100%))*$L$1035</f>
        <v>132.672</v>
      </c>
      <c r="M1047" s="286"/>
      <c r="N1047" s="286"/>
      <c r="O1047" s="311">
        <f>110.56*1.2</f>
        <v>132.672</v>
      </c>
      <c r="P1047" s="285"/>
      <c r="Q1047" s="285"/>
      <c r="R1047" s="278"/>
      <c r="S1047" s="278"/>
      <c r="T1047" s="278"/>
    </row>
    <row r="1048" spans="1:20" s="305" customFormat="1" hidden="1" outlineLevel="2" x14ac:dyDescent="0.25">
      <c r="A1048" s="278"/>
      <c r="B1048" s="279" t="str">
        <f t="shared" ref="B1048:B1060" si="443">C1048&amp;D1048&amp;E1048&amp;F1048</f>
        <v>2400mmup to 820mmSD/HCquality</v>
      </c>
      <c r="C1048" s="278" t="s">
        <v>558</v>
      </c>
      <c r="D1048" s="278" t="s">
        <v>724</v>
      </c>
      <c r="E1048" s="278" t="s">
        <v>2151</v>
      </c>
      <c r="F1048" s="278" t="s">
        <v>544</v>
      </c>
      <c r="G1048" s="278" t="s">
        <v>5</v>
      </c>
      <c r="H1048" s="310">
        <v>0.97378229019406237</v>
      </c>
      <c r="I1048" s="280">
        <f t="shared" ref="I1048:I1060" si="444">$I$2*H1048</f>
        <v>78.506328235445309</v>
      </c>
      <c r="J1048" s="281">
        <f t="shared" ref="J1048:J1060" si="445">$J$2*H1048</f>
        <v>89.032914792443123</v>
      </c>
      <c r="K1048" s="282">
        <f>IF(Notes!$B$9="Domestic",I1048, IF(Notes!$B$9="Commercial",J1048))*$K$1035</f>
        <v>89.032914792443123</v>
      </c>
      <c r="L1048" s="283">
        <f>(SUM(O1048:Q1048)+(K1048+SUM(M1048:Q1048))*(INDEX($U$1035:$AB$1035,MATCH(Notes!$C$16,$U$3:$AB$3,0))-100%))*$L$1035</f>
        <v>216.41</v>
      </c>
      <c r="M1048" s="286"/>
      <c r="N1048" s="286"/>
      <c r="O1048" s="285">
        <v>216.41</v>
      </c>
      <c r="P1048" s="285"/>
      <c r="Q1048" s="285"/>
      <c r="R1048" s="278"/>
      <c r="S1048" s="278"/>
      <c r="T1048" s="278"/>
    </row>
    <row r="1049" spans="1:20" s="305" customFormat="1" hidden="1" outlineLevel="2" x14ac:dyDescent="0.25">
      <c r="A1049" s="278"/>
      <c r="B1049" s="279" t="str">
        <f t="shared" si="443"/>
        <v>2400mm821mm to 920mmSD/HCquality</v>
      </c>
      <c r="C1049" s="278" t="s">
        <v>558</v>
      </c>
      <c r="D1049" s="278" t="s">
        <v>721</v>
      </c>
      <c r="E1049" s="278" t="s">
        <v>2151</v>
      </c>
      <c r="F1049" s="278" t="s">
        <v>544</v>
      </c>
      <c r="G1049" s="278" t="s">
        <v>5</v>
      </c>
      <c r="H1049" s="310">
        <v>0.97378229019406237</v>
      </c>
      <c r="I1049" s="280">
        <f t="shared" si="444"/>
        <v>78.506328235445309</v>
      </c>
      <c r="J1049" s="281">
        <f t="shared" si="445"/>
        <v>89.032914792443123</v>
      </c>
      <c r="K1049" s="282">
        <f>IF(Notes!$B$9="Domestic",I1049, IF(Notes!$B$9="Commercial",J1049))*$K$1035</f>
        <v>89.032914792443123</v>
      </c>
      <c r="L1049" s="283">
        <f>(SUM(O1049:Q1049)+(K1049+SUM(M1049:Q1049))*(INDEX($U$1035:$AB$1035,MATCH(Notes!$C$16,$U$3:$AB$3,0))-100%))*$L$1035</f>
        <v>238.05100000000002</v>
      </c>
      <c r="M1049" s="286"/>
      <c r="N1049" s="286"/>
      <c r="O1049" s="311">
        <f>216.41*1.1</f>
        <v>238.05100000000002</v>
      </c>
      <c r="P1049" s="285"/>
      <c r="Q1049" s="285"/>
      <c r="R1049" s="278"/>
      <c r="S1049" s="278"/>
      <c r="T1049" s="278"/>
    </row>
    <row r="1050" spans="1:20" s="305" customFormat="1" hidden="1" outlineLevel="2" x14ac:dyDescent="0.25">
      <c r="A1050" s="278"/>
      <c r="B1050" s="279" t="str">
        <f t="shared" si="443"/>
        <v>2400mm921mm to 1220mmSD/HCquality</v>
      </c>
      <c r="C1050" s="278" t="s">
        <v>558</v>
      </c>
      <c r="D1050" s="278" t="s">
        <v>722</v>
      </c>
      <c r="E1050" s="278" t="s">
        <v>2151</v>
      </c>
      <c r="F1050" s="278" t="s">
        <v>544</v>
      </c>
      <c r="G1050" s="278" t="s">
        <v>5</v>
      </c>
      <c r="H1050" s="310">
        <v>1.4606091761984321</v>
      </c>
      <c r="I1050" s="280">
        <f t="shared" si="444"/>
        <v>117.75431178511761</v>
      </c>
      <c r="J1050" s="281">
        <f t="shared" si="445"/>
        <v>133.54349697982266</v>
      </c>
      <c r="K1050" s="282">
        <f>IF(Notes!$B$9="Domestic",I1050, IF(Notes!$B$9="Commercial",J1050))*$K$1035</f>
        <v>133.54349697982266</v>
      </c>
      <c r="L1050" s="283">
        <f>(SUM(O1050:Q1050)+(K1050+SUM(M1050:Q1050))*(INDEX($U$1035:$AB$1035,MATCH(Notes!$C$16,$U$3:$AB$3,0))-100%))*$L$1035</f>
        <v>255.41</v>
      </c>
      <c r="M1050" s="286"/>
      <c r="N1050" s="286"/>
      <c r="O1050" s="285">
        <v>255.41</v>
      </c>
      <c r="P1050" s="285"/>
      <c r="Q1050" s="285"/>
      <c r="R1050" s="278"/>
      <c r="S1050" s="278"/>
      <c r="T1050" s="278"/>
    </row>
    <row r="1051" spans="1:20" s="305" customFormat="1" hidden="1" outlineLevel="2" x14ac:dyDescent="0.25">
      <c r="A1051" s="278"/>
      <c r="B1051" s="279" t="str">
        <f t="shared" si="443"/>
        <v>2700mmup to 820mmSD/HCquality</v>
      </c>
      <c r="C1051" s="278" t="s">
        <v>779</v>
      </c>
      <c r="D1051" s="278" t="s">
        <v>724</v>
      </c>
      <c r="E1051" s="278" t="s">
        <v>2151</v>
      </c>
      <c r="F1051" s="278" t="s">
        <v>544</v>
      </c>
      <c r="G1051" s="278" t="s">
        <v>5</v>
      </c>
      <c r="H1051" s="310">
        <v>0.97378229019406237</v>
      </c>
      <c r="I1051" s="280">
        <f t="shared" si="444"/>
        <v>78.506328235445309</v>
      </c>
      <c r="J1051" s="281">
        <f t="shared" si="445"/>
        <v>89.032914792443123</v>
      </c>
      <c r="K1051" s="282">
        <f>IF(Notes!$B$9="Domestic",I1051, IF(Notes!$B$9="Commercial",J1051))*$K$1035</f>
        <v>89.032914792443123</v>
      </c>
      <c r="L1051" s="283">
        <f>(SUM(O1051:Q1051)+(K1051+SUM(M1051:Q1051))*(INDEX($U$1035:$AB$1035,MATCH(Notes!$C$16,$U$3:$AB$3,0))-100%))*$L$1035</f>
        <v>340.12</v>
      </c>
      <c r="M1051" s="286"/>
      <c r="N1051" s="286"/>
      <c r="O1051" s="311">
        <f>O1048+O1048-O1045</f>
        <v>340.12</v>
      </c>
      <c r="P1051" s="285"/>
      <c r="Q1051" s="285"/>
      <c r="R1051" s="278"/>
      <c r="S1051" s="278"/>
      <c r="T1051" s="278"/>
    </row>
    <row r="1052" spans="1:20" s="305" customFormat="1" hidden="1" outlineLevel="2" x14ac:dyDescent="0.25">
      <c r="A1052" s="278"/>
      <c r="B1052" s="279" t="str">
        <f t="shared" si="443"/>
        <v>2700mm821mm to 920mmSD/HCquality</v>
      </c>
      <c r="C1052" s="278" t="s">
        <v>779</v>
      </c>
      <c r="D1052" s="278" t="s">
        <v>721</v>
      </c>
      <c r="E1052" s="278" t="s">
        <v>2151</v>
      </c>
      <c r="F1052" s="278" t="s">
        <v>544</v>
      </c>
      <c r="G1052" s="278" t="s">
        <v>5</v>
      </c>
      <c r="H1052" s="310">
        <v>0.97378229019406237</v>
      </c>
      <c r="I1052" s="280">
        <f t="shared" si="444"/>
        <v>78.506328235445309</v>
      </c>
      <c r="J1052" s="281">
        <f t="shared" si="445"/>
        <v>89.032914792443123</v>
      </c>
      <c r="K1052" s="282">
        <f>IF(Notes!$B$9="Domestic",I1052, IF(Notes!$B$9="Commercial",J1052))*$K$1035</f>
        <v>89.032914792443123</v>
      </c>
      <c r="L1052" s="283">
        <f>(SUM(O1052:Q1052)+(K1052+SUM(M1052:Q1052))*(INDEX($U$1035:$AB$1035,MATCH(Notes!$C$16,$U$3:$AB$3,0))-100%))*$L$1035</f>
        <v>365.54200000000003</v>
      </c>
      <c r="M1052" s="286"/>
      <c r="N1052" s="286"/>
      <c r="O1052" s="311">
        <f t="shared" ref="O1052:O1053" si="446">O1049+O1049-O1046</f>
        <v>365.54200000000003</v>
      </c>
      <c r="P1052" s="285"/>
      <c r="Q1052" s="285"/>
      <c r="R1052" s="278"/>
      <c r="S1052" s="278"/>
      <c r="T1052" s="278"/>
    </row>
    <row r="1053" spans="1:20" s="305" customFormat="1" hidden="1" outlineLevel="2" x14ac:dyDescent="0.25">
      <c r="A1053" s="278"/>
      <c r="B1053" s="279" t="str">
        <f t="shared" si="443"/>
        <v>2700mm921mm to 1220mmSD/HCquality</v>
      </c>
      <c r="C1053" s="278" t="s">
        <v>779</v>
      </c>
      <c r="D1053" s="278" t="s">
        <v>722</v>
      </c>
      <c r="E1053" s="278" t="s">
        <v>2151</v>
      </c>
      <c r="F1053" s="278" t="s">
        <v>544</v>
      </c>
      <c r="G1053" s="278" t="s">
        <v>5</v>
      </c>
      <c r="H1053" s="310">
        <v>1.4606091761984321</v>
      </c>
      <c r="I1053" s="280">
        <f t="shared" si="444"/>
        <v>117.75431178511761</v>
      </c>
      <c r="J1053" s="281">
        <f t="shared" si="445"/>
        <v>133.54349697982266</v>
      </c>
      <c r="K1053" s="282">
        <f>IF(Notes!$B$9="Domestic",I1053, IF(Notes!$B$9="Commercial",J1053))*$K$1035</f>
        <v>133.54349697982266</v>
      </c>
      <c r="L1053" s="283">
        <f>(SUM(O1053:Q1053)+(K1053+SUM(M1053:Q1053))*(INDEX($U$1035:$AB$1035,MATCH(Notes!$C$16,$U$3:$AB$3,0))-100%))*$L$1035</f>
        <v>378.14800000000002</v>
      </c>
      <c r="M1053" s="286"/>
      <c r="N1053" s="286"/>
      <c r="O1053" s="311">
        <f t="shared" si="446"/>
        <v>378.14800000000002</v>
      </c>
      <c r="P1053" s="285"/>
      <c r="Q1053" s="285"/>
      <c r="R1053" s="278"/>
      <c r="S1053" s="278"/>
      <c r="T1053" s="278"/>
    </row>
    <row r="1054" spans="1:20" s="305" customFormat="1" hidden="1" outlineLevel="2" x14ac:dyDescent="0.25">
      <c r="A1054" s="278"/>
      <c r="B1054" s="279" t="str">
        <f t="shared" si="443"/>
        <v>2100mmup to 820mmSD/HCprestige</v>
      </c>
      <c r="C1054" s="278" t="s">
        <v>557</v>
      </c>
      <c r="D1054" s="278" t="s">
        <v>724</v>
      </c>
      <c r="E1054" s="278" t="s">
        <v>2151</v>
      </c>
      <c r="F1054" s="278" t="s">
        <v>545</v>
      </c>
      <c r="G1054" s="278" t="s">
        <v>5</v>
      </c>
      <c r="H1054" s="310">
        <v>0.77894872124405601</v>
      </c>
      <c r="I1054" s="280">
        <f t="shared" si="444"/>
        <v>62.798845906695796</v>
      </c>
      <c r="J1054" s="281">
        <f t="shared" si="445"/>
        <v>71.219281583344042</v>
      </c>
      <c r="K1054" s="282">
        <f>IF(Notes!$B$9="Domestic",I1054, IF(Notes!$B$9="Commercial",J1054))*$K$1035</f>
        <v>71.219281583344042</v>
      </c>
      <c r="L1054" s="283">
        <f>(SUM(O1054:Q1054)+(K1054+SUM(M1054:Q1054))*(INDEX($U$1035:$AB$1035,MATCH(Notes!$C$16,$U$3:$AB$3,0))-100%))*$L$1035</f>
        <v>114.7</v>
      </c>
      <c r="M1054" s="286"/>
      <c r="N1054" s="286"/>
      <c r="O1054" s="285">
        <v>114.7</v>
      </c>
      <c r="P1054" s="285"/>
      <c r="Q1054" s="285"/>
      <c r="R1054" s="278"/>
      <c r="S1054" s="278"/>
      <c r="T1054" s="278"/>
    </row>
    <row r="1055" spans="1:20" s="305" customFormat="1" hidden="1" outlineLevel="2" x14ac:dyDescent="0.25">
      <c r="A1055" s="278"/>
      <c r="B1055" s="279" t="str">
        <f t="shared" si="443"/>
        <v>2100mm821mm to 920mmSD/HCprestige</v>
      </c>
      <c r="C1055" s="278" t="s">
        <v>557</v>
      </c>
      <c r="D1055" s="278" t="s">
        <v>721</v>
      </c>
      <c r="E1055" s="278" t="s">
        <v>2151</v>
      </c>
      <c r="F1055" s="278" t="s">
        <v>545</v>
      </c>
      <c r="G1055" s="278" t="s">
        <v>5</v>
      </c>
      <c r="H1055" s="310">
        <v>0.77894872124405601</v>
      </c>
      <c r="I1055" s="280">
        <f t="shared" si="444"/>
        <v>62.798845906695796</v>
      </c>
      <c r="J1055" s="281">
        <f t="shared" si="445"/>
        <v>71.219281583344042</v>
      </c>
      <c r="K1055" s="282">
        <f>IF(Notes!$B$9="Domestic",I1055, IF(Notes!$B$9="Commercial",J1055))*$K$1035</f>
        <v>71.219281583344042</v>
      </c>
      <c r="L1055" s="283">
        <f>(SUM(O1055:Q1055)+(K1055+SUM(M1055:Q1055))*(INDEX($U$1035:$AB$1035,MATCH(Notes!$C$16,$U$3:$AB$3,0))-100%))*$L$1035</f>
        <v>154.56</v>
      </c>
      <c r="M1055" s="286"/>
      <c r="N1055" s="286"/>
      <c r="O1055" s="285">
        <v>154.56</v>
      </c>
      <c r="P1055" s="285"/>
      <c r="Q1055" s="285"/>
      <c r="R1055" s="278"/>
      <c r="S1055" s="278"/>
      <c r="T1055" s="278"/>
    </row>
    <row r="1056" spans="1:20" s="305" customFormat="1" hidden="1" outlineLevel="2" x14ac:dyDescent="0.25">
      <c r="A1056" s="278"/>
      <c r="B1056" s="279" t="str">
        <f t="shared" si="443"/>
        <v>2100mm921mm to 1220mmSD/HCprestige</v>
      </c>
      <c r="C1056" s="278" t="s">
        <v>557</v>
      </c>
      <c r="D1056" s="278" t="s">
        <v>722</v>
      </c>
      <c r="E1056" s="278" t="s">
        <v>2151</v>
      </c>
      <c r="F1056" s="278" t="s">
        <v>545</v>
      </c>
      <c r="G1056" s="278" t="s">
        <v>5</v>
      </c>
      <c r="H1056" s="310">
        <v>1.2852846677804908</v>
      </c>
      <c r="I1056" s="280">
        <f t="shared" si="444"/>
        <v>103.61964991646317</v>
      </c>
      <c r="J1056" s="281">
        <f t="shared" si="445"/>
        <v>117.51357717517028</v>
      </c>
      <c r="K1056" s="282">
        <f>IF(Notes!$B$9="Domestic",I1056, IF(Notes!$B$9="Commercial",J1056))*$K$1035</f>
        <v>117.51357717517028</v>
      </c>
      <c r="L1056" s="283">
        <f>(SUM(O1056:Q1056)+(K1056+SUM(M1056:Q1056))*(INDEX($U$1035:$AB$1035,MATCH(Notes!$C$16,$U$3:$AB$3,0))-100%))*$L$1035</f>
        <v>185.47200000000001</v>
      </c>
      <c r="M1056" s="286"/>
      <c r="N1056" s="286"/>
      <c r="O1056" s="311">
        <f>154.56*1.2</f>
        <v>185.47200000000001</v>
      </c>
      <c r="P1056" s="285"/>
      <c r="Q1056" s="285"/>
      <c r="R1056" s="278"/>
      <c r="S1056" s="278"/>
      <c r="T1056" s="278"/>
    </row>
    <row r="1057" spans="1:28" s="305" customFormat="1" hidden="1" outlineLevel="2" x14ac:dyDescent="0.25">
      <c r="A1057" s="278"/>
      <c r="B1057" s="279" t="str">
        <f t="shared" si="443"/>
        <v>2400mmup to 820mmSD/HCprestige</v>
      </c>
      <c r="C1057" s="278" t="s">
        <v>558</v>
      </c>
      <c r="D1057" s="278" t="s">
        <v>724</v>
      </c>
      <c r="E1057" s="278" t="s">
        <v>2151</v>
      </c>
      <c r="F1057" s="278" t="s">
        <v>545</v>
      </c>
      <c r="G1057" s="278" t="s">
        <v>5</v>
      </c>
      <c r="H1057" s="310">
        <v>0.97378229019406237</v>
      </c>
      <c r="I1057" s="280">
        <f t="shared" si="444"/>
        <v>78.506328235445309</v>
      </c>
      <c r="J1057" s="281">
        <f t="shared" si="445"/>
        <v>89.032914792443123</v>
      </c>
      <c r="K1057" s="282">
        <f>IF(Notes!$B$9="Domestic",I1057, IF(Notes!$B$9="Commercial",J1057))*$K$1035</f>
        <v>89.032914792443123</v>
      </c>
      <c r="L1057" s="283">
        <f>(SUM(O1057:Q1057)+(K1057+SUM(M1057:Q1057))*(INDEX($U$1035:$AB$1035,MATCH(Notes!$C$16,$U$3:$AB$3,0))-100%))*$L$1035</f>
        <v>271.41000000000003</v>
      </c>
      <c r="M1057" s="286"/>
      <c r="N1057" s="286"/>
      <c r="O1057" s="285">
        <v>271.41000000000003</v>
      </c>
      <c r="P1057" s="285"/>
      <c r="Q1057" s="285"/>
      <c r="R1057" s="278"/>
      <c r="S1057" s="278"/>
      <c r="T1057" s="278"/>
    </row>
    <row r="1058" spans="1:28" s="305" customFormat="1" hidden="1" outlineLevel="2" x14ac:dyDescent="0.25">
      <c r="A1058" s="278"/>
      <c r="B1058" s="279" t="str">
        <f t="shared" si="443"/>
        <v>2400mm821mm to 920mmSD/HCprestige</v>
      </c>
      <c r="C1058" s="278" t="s">
        <v>558</v>
      </c>
      <c r="D1058" s="278" t="s">
        <v>721</v>
      </c>
      <c r="E1058" s="278" t="s">
        <v>2151</v>
      </c>
      <c r="F1058" s="278" t="s">
        <v>545</v>
      </c>
      <c r="G1058" s="278" t="s">
        <v>5</v>
      </c>
      <c r="H1058" s="310">
        <v>0.97378229019406237</v>
      </c>
      <c r="I1058" s="280">
        <f t="shared" si="444"/>
        <v>78.506328235445309</v>
      </c>
      <c r="J1058" s="281">
        <f t="shared" si="445"/>
        <v>89.032914792443123</v>
      </c>
      <c r="K1058" s="282">
        <f>IF(Notes!$B$9="Domestic",I1058, IF(Notes!$B$9="Commercial",J1058))*$K$1035</f>
        <v>89.032914792443123</v>
      </c>
      <c r="L1058" s="283">
        <f>(SUM(O1058:Q1058)+(K1058+SUM(M1058:Q1058))*(INDEX($U$1035:$AB$1035,MATCH(Notes!$C$16,$U$3:$AB$3,0))-100%))*$L$1035</f>
        <v>302.41000000000003</v>
      </c>
      <c r="M1058" s="286"/>
      <c r="N1058" s="286"/>
      <c r="O1058" s="285">
        <v>302.41000000000003</v>
      </c>
      <c r="P1058" s="285"/>
      <c r="Q1058" s="285"/>
      <c r="R1058" s="278"/>
      <c r="S1058" s="278"/>
      <c r="T1058" s="278"/>
    </row>
    <row r="1059" spans="1:28" s="305" customFormat="1" hidden="1" outlineLevel="2" x14ac:dyDescent="0.25">
      <c r="A1059" s="278"/>
      <c r="B1059" s="279" t="str">
        <f t="shared" si="443"/>
        <v>2400mm921mm to 1220mmSD/HCprestige</v>
      </c>
      <c r="C1059" s="278" t="s">
        <v>558</v>
      </c>
      <c r="D1059" s="278" t="s">
        <v>722</v>
      </c>
      <c r="E1059" s="278" t="s">
        <v>2151</v>
      </c>
      <c r="F1059" s="278" t="s">
        <v>545</v>
      </c>
      <c r="G1059" s="278" t="s">
        <v>5</v>
      </c>
      <c r="H1059" s="310">
        <v>1.4606091761984321</v>
      </c>
      <c r="I1059" s="280">
        <f t="shared" si="444"/>
        <v>117.75431178511761</v>
      </c>
      <c r="J1059" s="281">
        <f t="shared" si="445"/>
        <v>133.54349697982266</v>
      </c>
      <c r="K1059" s="282">
        <f>IF(Notes!$B$9="Domestic",I1059, IF(Notes!$B$9="Commercial",J1059))*$K$1035</f>
        <v>133.54349697982266</v>
      </c>
      <c r="L1059" s="283">
        <f>(SUM(O1059:Q1059)+(K1059+SUM(M1059:Q1059))*(INDEX($U$1035:$AB$1035,MATCH(Notes!$C$16,$U$3:$AB$3,0))-100%))*$L$1035</f>
        <v>363.41</v>
      </c>
      <c r="M1059" s="286"/>
      <c r="N1059" s="286"/>
      <c r="O1059" s="285">
        <v>363.41</v>
      </c>
      <c r="P1059" s="285"/>
      <c r="Q1059" s="285"/>
      <c r="R1059" s="278"/>
      <c r="S1059" s="278"/>
      <c r="T1059" s="278"/>
    </row>
    <row r="1060" spans="1:28" s="305" customFormat="1" hidden="1" outlineLevel="2" x14ac:dyDescent="0.25">
      <c r="A1060" s="278"/>
      <c r="B1060" s="279" t="str">
        <f t="shared" si="443"/>
        <v>2700mmup to 820mmSD/HCprestige</v>
      </c>
      <c r="C1060" s="278" t="s">
        <v>779</v>
      </c>
      <c r="D1060" s="278" t="s">
        <v>724</v>
      </c>
      <c r="E1060" s="278" t="s">
        <v>2151</v>
      </c>
      <c r="F1060" s="278" t="s">
        <v>545</v>
      </c>
      <c r="G1060" s="278" t="s">
        <v>5</v>
      </c>
      <c r="H1060" s="310">
        <v>0.97378229019406237</v>
      </c>
      <c r="I1060" s="280">
        <f t="shared" si="444"/>
        <v>78.506328235445309</v>
      </c>
      <c r="J1060" s="281">
        <f t="shared" si="445"/>
        <v>89.032914792443123</v>
      </c>
      <c r="K1060" s="282">
        <f>IF(Notes!$B$9="Domestic",I1060, IF(Notes!$B$9="Commercial",J1060))*$K$1035</f>
        <v>89.032914792443123</v>
      </c>
      <c r="L1060" s="283">
        <f>(SUM(O1060:Q1060)+(K1060+SUM(M1060:Q1060))*(INDEX($U$1035:$AB$1035,MATCH(Notes!$C$16,$U$3:$AB$3,0))-100%))*$L$1035</f>
        <v>428.12000000000006</v>
      </c>
      <c r="M1060" s="286"/>
      <c r="N1060" s="286"/>
      <c r="O1060" s="311">
        <f>O1057+O1057-O1054</f>
        <v>428.12000000000006</v>
      </c>
      <c r="P1060" s="285"/>
      <c r="Q1060" s="285"/>
      <c r="R1060" s="278"/>
      <c r="S1060" s="278"/>
      <c r="T1060" s="278"/>
    </row>
    <row r="1061" spans="1:28" s="305" customFormat="1" hidden="1" outlineLevel="2" x14ac:dyDescent="0.25">
      <c r="A1061" s="278"/>
      <c r="B1061" s="279" t="str">
        <f t="shared" si="436"/>
        <v>2700mm821mm to 920mmSD/HCprestige</v>
      </c>
      <c r="C1061" s="278" t="s">
        <v>779</v>
      </c>
      <c r="D1061" s="278" t="s">
        <v>721</v>
      </c>
      <c r="E1061" s="278" t="s">
        <v>2151</v>
      </c>
      <c r="F1061" s="278" t="s">
        <v>545</v>
      </c>
      <c r="G1061" s="278" t="s">
        <v>5</v>
      </c>
      <c r="H1061" s="310">
        <v>0.97378229019406237</v>
      </c>
      <c r="I1061" s="280">
        <f t="shared" si="437"/>
        <v>78.506328235445309</v>
      </c>
      <c r="J1061" s="281">
        <f t="shared" si="438"/>
        <v>89.032914792443123</v>
      </c>
      <c r="K1061" s="282">
        <f>IF(Notes!$B$9="Domestic",I1061, IF(Notes!$B$9="Commercial",J1061))*$K$1035</f>
        <v>89.032914792443123</v>
      </c>
      <c r="L1061" s="283">
        <f>(SUM(O1061:Q1061)+(K1061+SUM(M1061:Q1061))*(INDEX($U$1035:$AB$1035,MATCH(Notes!$C$16,$U$3:$AB$3,0))-100%))*$L$1035</f>
        <v>450.26000000000005</v>
      </c>
      <c r="M1061" s="286"/>
      <c r="N1061" s="286"/>
      <c r="O1061" s="311">
        <f t="shared" ref="O1061:O1062" si="447">O1058+O1058-O1055</f>
        <v>450.26000000000005</v>
      </c>
      <c r="P1061" s="285"/>
      <c r="Q1061" s="285"/>
      <c r="R1061" s="278"/>
      <c r="S1061" s="278"/>
      <c r="T1061" s="278"/>
    </row>
    <row r="1062" spans="1:28" s="305" customFormat="1" hidden="1" outlineLevel="2" x14ac:dyDescent="0.25">
      <c r="A1062" s="278"/>
      <c r="B1062" s="279" t="str">
        <f t="shared" si="436"/>
        <v>2700mm921mm to 1220mmSD/HCprestige</v>
      </c>
      <c r="C1062" s="278" t="s">
        <v>779</v>
      </c>
      <c r="D1062" s="278" t="s">
        <v>722</v>
      </c>
      <c r="E1062" s="278" t="s">
        <v>2151</v>
      </c>
      <c r="F1062" s="278" t="s">
        <v>545</v>
      </c>
      <c r="G1062" s="278" t="s">
        <v>5</v>
      </c>
      <c r="H1062" s="310">
        <v>1.4606091761984321</v>
      </c>
      <c r="I1062" s="280">
        <f>$I$2*H1062</f>
        <v>117.75431178511761</v>
      </c>
      <c r="J1062" s="281">
        <f t="shared" si="438"/>
        <v>133.54349697982266</v>
      </c>
      <c r="K1062" s="282">
        <f>IF(Notes!$B$9="Domestic",I1062, IF(Notes!$B$9="Commercial",J1062))*$K$1035</f>
        <v>133.54349697982266</v>
      </c>
      <c r="L1062" s="283">
        <f>(SUM(O1062:Q1062)+(K1062+SUM(M1062:Q1062))*(INDEX($U$1035:$AB$1035,MATCH(Notes!$C$16,$U$3:$AB$3,0))-100%))*$L$1035</f>
        <v>541.34800000000007</v>
      </c>
      <c r="M1062" s="286"/>
      <c r="N1062" s="286"/>
      <c r="O1062" s="311">
        <f t="shared" si="447"/>
        <v>541.34800000000007</v>
      </c>
      <c r="P1062" s="285"/>
      <c r="Q1062" s="285"/>
      <c r="R1062" s="278"/>
      <c r="S1062" s="278"/>
      <c r="T1062" s="278"/>
    </row>
    <row r="1063" spans="1:28" ht="21" hidden="1" outlineLevel="1" collapsed="1" x14ac:dyDescent="0.25">
      <c r="A1063" s="299" t="s">
        <v>2095</v>
      </c>
      <c r="B1063" s="299"/>
      <c r="C1063" s="299"/>
      <c r="D1063" s="299"/>
      <c r="E1063" s="299"/>
      <c r="F1063" s="299"/>
      <c r="G1063" s="299"/>
      <c r="H1063" s="348"/>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row>
    <row r="1064" spans="1:28" ht="15.75" hidden="1" outlineLevel="1" x14ac:dyDescent="0.25">
      <c r="A1064" s="291"/>
      <c r="B1064" s="291"/>
      <c r="C1064" s="291"/>
      <c r="D1064" s="291"/>
      <c r="E1064" s="291"/>
      <c r="F1064" s="291"/>
      <c r="G1064" s="291"/>
      <c r="H1064" s="325"/>
      <c r="I1064" s="291"/>
      <c r="J1064" s="291"/>
      <c r="K1064" s="291">
        <f>K$2</f>
        <v>1</v>
      </c>
      <c r="L1064" s="291">
        <f>L$2</f>
        <v>1</v>
      </c>
      <c r="M1064" s="291"/>
      <c r="N1064" s="291"/>
      <c r="O1064" s="303"/>
      <c r="P1064" s="303"/>
      <c r="Q1064" s="303"/>
      <c r="R1064" s="291"/>
      <c r="S1064" s="291"/>
      <c r="T1064" s="291"/>
      <c r="U1064" s="381">
        <f>U$1035</f>
        <v>1.0155763239875388</v>
      </c>
      <c r="V1064" s="381">
        <f t="shared" ref="V1064:AB1064" si="448">V$1035</f>
        <v>1</v>
      </c>
      <c r="W1064" s="381">
        <f t="shared" si="448"/>
        <v>1.1651090342679127</v>
      </c>
      <c r="X1064" s="381">
        <f t="shared" si="448"/>
        <v>1.1121495327102804</v>
      </c>
      <c r="Y1064" s="381">
        <f t="shared" si="448"/>
        <v>1.3707165109034267</v>
      </c>
      <c r="Z1064" s="381">
        <f t="shared" si="448"/>
        <v>0.87538940809968846</v>
      </c>
      <c r="AA1064" s="381">
        <f t="shared" si="448"/>
        <v>1.4018691588785046</v>
      </c>
      <c r="AB1064" s="381">
        <f t="shared" si="448"/>
        <v>0.98442367601246106</v>
      </c>
    </row>
    <row r="1065" spans="1:28" s="305" customFormat="1" hidden="1" outlineLevel="2" x14ac:dyDescent="0.25">
      <c r="A1065" s="278"/>
      <c r="B1065" s="279" t="str">
        <f>C1065&amp;D1065&amp;E1065&amp;F1065</f>
        <v>2100mm2 x up to 820mmDD/HCaverage</v>
      </c>
      <c r="C1065" s="278" t="s">
        <v>557</v>
      </c>
      <c r="D1065" s="278" t="s">
        <v>787</v>
      </c>
      <c r="E1065" s="278" t="s">
        <v>2152</v>
      </c>
      <c r="F1065" s="278" t="s">
        <v>543</v>
      </c>
      <c r="G1065" s="278" t="s">
        <v>5</v>
      </c>
      <c r="H1065" s="310">
        <v>1.557897442488112</v>
      </c>
      <c r="I1065" s="280">
        <f>$I$2*H1065</f>
        <v>125.59769181339159</v>
      </c>
      <c r="J1065" s="281">
        <f>$J$2*H1065</f>
        <v>142.43856316668808</v>
      </c>
      <c r="K1065" s="282">
        <f>IF(Notes!$B$9="Domestic",I1065, IF(Notes!$B$9="Commercial",J1065))*$K$1064</f>
        <v>142.43856316668808</v>
      </c>
      <c r="L1065" s="283">
        <f>(SUM(O1065:Q1065)+(K1065+SUM(M1065:Q1065))*(INDEX($U$1064:$AB$1064,MATCH(Notes!$C$16,$U$3:$AB$3,0))-100%))*$L$1064</f>
        <v>185.4</v>
      </c>
      <c r="M1065" s="286"/>
      <c r="N1065" s="286"/>
      <c r="O1065" s="311">
        <f>O1036*2</f>
        <v>185.4</v>
      </c>
      <c r="P1065" s="285"/>
      <c r="Q1065" s="285"/>
      <c r="R1065" s="278"/>
      <c r="S1065" s="278"/>
      <c r="T1065" s="278"/>
    </row>
    <row r="1066" spans="1:28" s="305" customFormat="1" hidden="1" outlineLevel="2" x14ac:dyDescent="0.25">
      <c r="A1066" s="278"/>
      <c r="B1066" s="279" t="str">
        <f t="shared" ref="B1066:B1091" si="449">C1066&amp;D1066&amp;E1066&amp;F1066</f>
        <v>2100mm2 x 821mm to 920mmDD/HCaverage</v>
      </c>
      <c r="C1066" s="278" t="s">
        <v>557</v>
      </c>
      <c r="D1066" s="278" t="s">
        <v>788</v>
      </c>
      <c r="E1066" s="278" t="s">
        <v>2152</v>
      </c>
      <c r="F1066" s="278" t="s">
        <v>543</v>
      </c>
      <c r="G1066" s="278" t="s">
        <v>5</v>
      </c>
      <c r="H1066" s="310">
        <v>1.557897442488112</v>
      </c>
      <c r="I1066" s="280">
        <f t="shared" ref="I1066:I1089" si="450">$I$2*H1066</f>
        <v>125.59769181339159</v>
      </c>
      <c r="J1066" s="281">
        <f t="shared" ref="J1066:J1091" si="451">$J$2*H1066</f>
        <v>142.43856316668808</v>
      </c>
      <c r="K1066" s="282">
        <f>IF(Notes!$B$9="Domestic",I1066, IF(Notes!$B$9="Commercial",J1066))*$K$1064</f>
        <v>142.43856316668808</v>
      </c>
      <c r="L1066" s="283">
        <f>(SUM(O1066:Q1066)+(K1066+SUM(M1066:Q1066))*(INDEX($U$1064:$AB$1064,MATCH(Notes!$C$16,$U$3:$AB$3,0))-100%))*$L$1064</f>
        <v>221.12</v>
      </c>
      <c r="M1066" s="286"/>
      <c r="N1066" s="286"/>
      <c r="O1066" s="311">
        <f t="shared" ref="O1066:O1090" si="452">O1037*2</f>
        <v>221.12</v>
      </c>
      <c r="P1066" s="285"/>
      <c r="Q1066" s="285"/>
      <c r="R1066" s="278"/>
      <c r="S1066" s="278"/>
      <c r="T1066" s="278"/>
    </row>
    <row r="1067" spans="1:28" s="305" customFormat="1" hidden="1" outlineLevel="2" x14ac:dyDescent="0.25">
      <c r="A1067" s="278"/>
      <c r="B1067" s="279" t="str">
        <f t="shared" ref="B1067:B1087" si="453">C1067&amp;D1067&amp;E1067&amp;F1067</f>
        <v>2100mm2 x 921mm to 1220mmDD/HCaverage</v>
      </c>
      <c r="C1067" s="278" t="s">
        <v>557</v>
      </c>
      <c r="D1067" s="278" t="s">
        <v>789</v>
      </c>
      <c r="E1067" s="278" t="s">
        <v>2152</v>
      </c>
      <c r="F1067" s="278" t="s">
        <v>543</v>
      </c>
      <c r="G1067" s="278" t="s">
        <v>5</v>
      </c>
      <c r="H1067" s="310">
        <v>2.5705693355609815</v>
      </c>
      <c r="I1067" s="280">
        <f t="shared" ref="I1067:I1087" si="454">$I$2*H1067</f>
        <v>207.23929983292635</v>
      </c>
      <c r="J1067" s="281">
        <f t="shared" ref="J1067:J1087" si="455">$J$2*H1067</f>
        <v>235.02715435034057</v>
      </c>
      <c r="K1067" s="282">
        <f>IF(Notes!$B$9="Domestic",I1067, IF(Notes!$B$9="Commercial",J1067))*$K$1064</f>
        <v>235.02715435034057</v>
      </c>
      <c r="L1067" s="283">
        <f>(SUM(O1067:Q1067)+(K1067+SUM(M1067:Q1067))*(INDEX($U$1064:$AB$1064,MATCH(Notes!$C$16,$U$3:$AB$3,0))-100%))*$L$1064</f>
        <v>265.34399999999999</v>
      </c>
      <c r="M1067" s="286"/>
      <c r="N1067" s="286"/>
      <c r="O1067" s="311">
        <f>O1038*2</f>
        <v>265.34399999999999</v>
      </c>
      <c r="P1067" s="285"/>
      <c r="Q1067" s="285"/>
      <c r="R1067" s="278"/>
      <c r="S1067" s="278"/>
      <c r="T1067" s="278"/>
    </row>
    <row r="1068" spans="1:28" s="305" customFormat="1" hidden="1" outlineLevel="2" x14ac:dyDescent="0.25">
      <c r="A1068" s="278"/>
      <c r="B1068" s="279" t="str">
        <f t="shared" si="453"/>
        <v>2400mm2 x up to 820mmDD/HCaverage</v>
      </c>
      <c r="C1068" s="278" t="s">
        <v>558</v>
      </c>
      <c r="D1068" s="278" t="s">
        <v>787</v>
      </c>
      <c r="E1068" s="278" t="s">
        <v>2152</v>
      </c>
      <c r="F1068" s="278" t="s">
        <v>543</v>
      </c>
      <c r="G1068" s="278" t="s">
        <v>5</v>
      </c>
      <c r="H1068" s="310">
        <v>1.9475645803881247</v>
      </c>
      <c r="I1068" s="280">
        <f t="shared" si="454"/>
        <v>157.01265647089062</v>
      </c>
      <c r="J1068" s="281">
        <f t="shared" si="455"/>
        <v>178.06582958488625</v>
      </c>
      <c r="K1068" s="282">
        <f>IF(Notes!$B$9="Domestic",I1068, IF(Notes!$B$9="Commercial",J1068))*$K$1064</f>
        <v>178.06582958488625</v>
      </c>
      <c r="L1068" s="283">
        <f>(SUM(O1068:Q1068)+(K1068+SUM(M1068:Q1068))*(INDEX($U$1064:$AB$1064,MATCH(Notes!$C$16,$U$3:$AB$3,0))-100%))*$L$1064</f>
        <v>432.82</v>
      </c>
      <c r="M1068" s="286"/>
      <c r="N1068" s="286"/>
      <c r="O1068" s="311">
        <f t="shared" si="452"/>
        <v>432.82</v>
      </c>
      <c r="P1068" s="285"/>
      <c r="Q1068" s="285"/>
      <c r="R1068" s="278"/>
      <c r="S1068" s="278"/>
      <c r="T1068" s="278"/>
    </row>
    <row r="1069" spans="1:28" s="305" customFormat="1" hidden="1" outlineLevel="2" x14ac:dyDescent="0.25">
      <c r="A1069" s="278"/>
      <c r="B1069" s="279" t="str">
        <f t="shared" si="453"/>
        <v>2400mm2 x 821mm to 920mmDD/HCaverage</v>
      </c>
      <c r="C1069" s="278" t="s">
        <v>558</v>
      </c>
      <c r="D1069" s="278" t="s">
        <v>788</v>
      </c>
      <c r="E1069" s="278" t="s">
        <v>2152</v>
      </c>
      <c r="F1069" s="278" t="s">
        <v>543</v>
      </c>
      <c r="G1069" s="278" t="s">
        <v>5</v>
      </c>
      <c r="H1069" s="310">
        <v>1.9475645803881247</v>
      </c>
      <c r="I1069" s="280">
        <f t="shared" si="454"/>
        <v>157.01265647089062</v>
      </c>
      <c r="J1069" s="281">
        <f t="shared" si="455"/>
        <v>178.06582958488625</v>
      </c>
      <c r="K1069" s="282">
        <f>IF(Notes!$B$9="Domestic",I1069, IF(Notes!$B$9="Commercial",J1069))*$K$1064</f>
        <v>178.06582958488625</v>
      </c>
      <c r="L1069" s="283">
        <f>(SUM(O1069:Q1069)+(K1069+SUM(M1069:Q1069))*(INDEX($U$1064:$AB$1064,MATCH(Notes!$C$16,$U$3:$AB$3,0))-100%))*$L$1064</f>
        <v>476.10200000000003</v>
      </c>
      <c r="M1069" s="286"/>
      <c r="N1069" s="286"/>
      <c r="O1069" s="311">
        <f t="shared" si="452"/>
        <v>476.10200000000003</v>
      </c>
      <c r="P1069" s="285"/>
      <c r="Q1069" s="285"/>
      <c r="R1069" s="278"/>
      <c r="S1069" s="278"/>
      <c r="T1069" s="278"/>
    </row>
    <row r="1070" spans="1:28" s="305" customFormat="1" hidden="1" outlineLevel="2" x14ac:dyDescent="0.25">
      <c r="A1070" s="278"/>
      <c r="B1070" s="279" t="str">
        <f t="shared" si="453"/>
        <v>2400mm2 x 921mm to 1220mmDD/HCaverage</v>
      </c>
      <c r="C1070" s="278" t="s">
        <v>558</v>
      </c>
      <c r="D1070" s="278" t="s">
        <v>789</v>
      </c>
      <c r="E1070" s="278" t="s">
        <v>2152</v>
      </c>
      <c r="F1070" s="278" t="s">
        <v>543</v>
      </c>
      <c r="G1070" s="278" t="s">
        <v>5</v>
      </c>
      <c r="H1070" s="310">
        <v>2.9212183523968642</v>
      </c>
      <c r="I1070" s="280">
        <f t="shared" si="454"/>
        <v>235.50862357023522</v>
      </c>
      <c r="J1070" s="281">
        <f t="shared" si="455"/>
        <v>267.08699395964533</v>
      </c>
      <c r="K1070" s="282">
        <f>IF(Notes!$B$9="Domestic",I1070, IF(Notes!$B$9="Commercial",J1070))*$K$1064</f>
        <v>267.08699395964533</v>
      </c>
      <c r="L1070" s="283">
        <f>(SUM(O1070:Q1070)+(K1070+SUM(M1070:Q1070))*(INDEX($U$1064:$AB$1064,MATCH(Notes!$C$16,$U$3:$AB$3,0))-100%))*$L$1064</f>
        <v>510.82</v>
      </c>
      <c r="M1070" s="286"/>
      <c r="N1070" s="286"/>
      <c r="O1070" s="311">
        <f t="shared" si="452"/>
        <v>510.82</v>
      </c>
      <c r="P1070" s="285"/>
      <c r="Q1070" s="285"/>
      <c r="R1070" s="278"/>
      <c r="S1070" s="278"/>
      <c r="T1070" s="278"/>
    </row>
    <row r="1071" spans="1:28" s="305" customFormat="1" hidden="1" outlineLevel="2" x14ac:dyDescent="0.25">
      <c r="A1071" s="278"/>
      <c r="B1071" s="279" t="str">
        <f t="shared" si="453"/>
        <v>2700mm2 x up to 820mmDD/HCaverage</v>
      </c>
      <c r="C1071" s="278" t="s">
        <v>779</v>
      </c>
      <c r="D1071" s="278" t="s">
        <v>787</v>
      </c>
      <c r="E1071" s="278" t="s">
        <v>2152</v>
      </c>
      <c r="F1071" s="278" t="s">
        <v>543</v>
      </c>
      <c r="G1071" s="278" t="s">
        <v>5</v>
      </c>
      <c r="H1071" s="310">
        <v>1.9475645803881247</v>
      </c>
      <c r="I1071" s="280">
        <f t="shared" si="454"/>
        <v>157.01265647089062</v>
      </c>
      <c r="J1071" s="281">
        <f t="shared" si="455"/>
        <v>178.06582958488625</v>
      </c>
      <c r="K1071" s="282">
        <f>IF(Notes!$B$9="Domestic",I1071, IF(Notes!$B$9="Commercial",J1071))*$K$1064</f>
        <v>178.06582958488625</v>
      </c>
      <c r="L1071" s="283">
        <f>(SUM(O1071:Q1071)+(K1071+SUM(M1071:Q1071))*(INDEX($U$1064:$AB$1064,MATCH(Notes!$C$16,$U$3:$AB$3,0))-100%))*$L$1064</f>
        <v>680.24</v>
      </c>
      <c r="M1071" s="286"/>
      <c r="N1071" s="286"/>
      <c r="O1071" s="311">
        <f t="shared" si="452"/>
        <v>680.24</v>
      </c>
      <c r="P1071" s="285"/>
      <c r="Q1071" s="285"/>
      <c r="R1071" s="278"/>
      <c r="S1071" s="278"/>
      <c r="T1071" s="278"/>
    </row>
    <row r="1072" spans="1:28" s="305" customFormat="1" hidden="1" outlineLevel="2" x14ac:dyDescent="0.25">
      <c r="A1072" s="278"/>
      <c r="B1072" s="279" t="str">
        <f t="shared" si="453"/>
        <v>2700mm2 x 821mm to 920mmDD/HCaverage</v>
      </c>
      <c r="C1072" s="278" t="s">
        <v>779</v>
      </c>
      <c r="D1072" s="278" t="s">
        <v>788</v>
      </c>
      <c r="E1072" s="278" t="s">
        <v>2152</v>
      </c>
      <c r="F1072" s="278" t="s">
        <v>543</v>
      </c>
      <c r="G1072" s="278" t="s">
        <v>5</v>
      </c>
      <c r="H1072" s="310">
        <v>1.9475645803881247</v>
      </c>
      <c r="I1072" s="280">
        <f t="shared" si="454"/>
        <v>157.01265647089062</v>
      </c>
      <c r="J1072" s="281">
        <f t="shared" si="455"/>
        <v>178.06582958488625</v>
      </c>
      <c r="K1072" s="282">
        <f>IF(Notes!$B$9="Domestic",I1072, IF(Notes!$B$9="Commercial",J1072))*$K$1064</f>
        <v>178.06582958488625</v>
      </c>
      <c r="L1072" s="283">
        <f>(SUM(O1072:Q1072)+(K1072+SUM(M1072:Q1072))*(INDEX($U$1064:$AB$1064,MATCH(Notes!$C$16,$U$3:$AB$3,0))-100%))*$L$1064</f>
        <v>731.08400000000006</v>
      </c>
      <c r="M1072" s="286"/>
      <c r="N1072" s="286"/>
      <c r="O1072" s="311">
        <f t="shared" si="452"/>
        <v>731.08400000000006</v>
      </c>
      <c r="P1072" s="285"/>
      <c r="Q1072" s="285"/>
      <c r="R1072" s="278"/>
      <c r="S1072" s="278"/>
      <c r="T1072" s="278"/>
    </row>
    <row r="1073" spans="1:20" s="305" customFormat="1" hidden="1" outlineLevel="2" x14ac:dyDescent="0.25">
      <c r="A1073" s="278"/>
      <c r="B1073" s="279" t="str">
        <f t="shared" si="453"/>
        <v>2700mm2 x 921mm to 1220mmDD/HCaverage</v>
      </c>
      <c r="C1073" s="278" t="s">
        <v>779</v>
      </c>
      <c r="D1073" s="278" t="s">
        <v>789</v>
      </c>
      <c r="E1073" s="278" t="s">
        <v>2152</v>
      </c>
      <c r="F1073" s="278" t="s">
        <v>543</v>
      </c>
      <c r="G1073" s="278" t="s">
        <v>5</v>
      </c>
      <c r="H1073" s="310">
        <v>2.9212183523968642</v>
      </c>
      <c r="I1073" s="280">
        <f t="shared" si="454"/>
        <v>235.50862357023522</v>
      </c>
      <c r="J1073" s="281">
        <f t="shared" si="455"/>
        <v>267.08699395964533</v>
      </c>
      <c r="K1073" s="282">
        <f>IF(Notes!$B$9="Domestic",I1073, IF(Notes!$B$9="Commercial",J1073))*$K$1064</f>
        <v>267.08699395964533</v>
      </c>
      <c r="L1073" s="283">
        <f>(SUM(O1073:Q1073)+(K1073+SUM(M1073:Q1073))*(INDEX($U$1064:$AB$1064,MATCH(Notes!$C$16,$U$3:$AB$3,0))-100%))*$L$1064</f>
        <v>756.29600000000005</v>
      </c>
      <c r="M1073" s="286"/>
      <c r="N1073" s="286"/>
      <c r="O1073" s="311">
        <f t="shared" si="452"/>
        <v>756.29600000000005</v>
      </c>
      <c r="P1073" s="285"/>
      <c r="Q1073" s="285"/>
      <c r="R1073" s="278"/>
      <c r="S1073" s="278"/>
      <c r="T1073" s="278"/>
    </row>
    <row r="1074" spans="1:20" s="305" customFormat="1" hidden="1" outlineLevel="2" x14ac:dyDescent="0.25">
      <c r="A1074" s="278"/>
      <c r="B1074" s="279" t="str">
        <f t="shared" si="453"/>
        <v>2100mm2 x up to 820mmDD/HCquality</v>
      </c>
      <c r="C1074" s="278" t="s">
        <v>557</v>
      </c>
      <c r="D1074" s="278" t="s">
        <v>787</v>
      </c>
      <c r="E1074" s="278" t="s">
        <v>2152</v>
      </c>
      <c r="F1074" s="278" t="s">
        <v>544</v>
      </c>
      <c r="G1074" s="278" t="s">
        <v>5</v>
      </c>
      <c r="H1074" s="310">
        <v>1.557897442488112</v>
      </c>
      <c r="I1074" s="280">
        <f t="shared" si="454"/>
        <v>125.59769181339159</v>
      </c>
      <c r="J1074" s="281">
        <f t="shared" si="455"/>
        <v>142.43856316668808</v>
      </c>
      <c r="K1074" s="282">
        <f>IF(Notes!$B$9="Domestic",I1074, IF(Notes!$B$9="Commercial",J1074))*$K$1064</f>
        <v>142.43856316668808</v>
      </c>
      <c r="L1074" s="283">
        <f>(SUM(O1074:Q1074)+(K1074+SUM(M1074:Q1074))*(INDEX($U$1064:$AB$1064,MATCH(Notes!$C$16,$U$3:$AB$3,0))-100%))*$L$1064</f>
        <v>185.4</v>
      </c>
      <c r="M1074" s="286"/>
      <c r="N1074" s="286"/>
      <c r="O1074" s="311">
        <f t="shared" si="452"/>
        <v>185.4</v>
      </c>
      <c r="P1074" s="285"/>
      <c r="Q1074" s="285"/>
      <c r="R1074" s="278"/>
      <c r="S1074" s="278"/>
      <c r="T1074" s="278"/>
    </row>
    <row r="1075" spans="1:20" s="305" customFormat="1" hidden="1" outlineLevel="2" x14ac:dyDescent="0.25">
      <c r="A1075" s="278"/>
      <c r="B1075" s="279" t="str">
        <f t="shared" si="453"/>
        <v>2100mm2 x 821mm to 920mmDD/HCquality</v>
      </c>
      <c r="C1075" s="278" t="s">
        <v>557</v>
      </c>
      <c r="D1075" s="278" t="s">
        <v>788</v>
      </c>
      <c r="E1075" s="278" t="s">
        <v>2152</v>
      </c>
      <c r="F1075" s="278" t="s">
        <v>544</v>
      </c>
      <c r="G1075" s="278" t="s">
        <v>5</v>
      </c>
      <c r="H1075" s="310">
        <v>1.557897442488112</v>
      </c>
      <c r="I1075" s="280">
        <f t="shared" si="454"/>
        <v>125.59769181339159</v>
      </c>
      <c r="J1075" s="281">
        <f t="shared" si="455"/>
        <v>142.43856316668808</v>
      </c>
      <c r="K1075" s="282">
        <f>IF(Notes!$B$9="Domestic",I1075, IF(Notes!$B$9="Commercial",J1075))*$K$1064</f>
        <v>142.43856316668808</v>
      </c>
      <c r="L1075" s="283">
        <f>(SUM(O1075:Q1075)+(K1075+SUM(M1075:Q1075))*(INDEX($U$1064:$AB$1064,MATCH(Notes!$C$16,$U$3:$AB$3,0))-100%))*$L$1064</f>
        <v>221.12</v>
      </c>
      <c r="M1075" s="286"/>
      <c r="N1075" s="286"/>
      <c r="O1075" s="311">
        <f t="shared" si="452"/>
        <v>221.12</v>
      </c>
      <c r="P1075" s="285"/>
      <c r="Q1075" s="285"/>
      <c r="R1075" s="278"/>
      <c r="S1075" s="278"/>
      <c r="T1075" s="278"/>
    </row>
    <row r="1076" spans="1:20" s="305" customFormat="1" hidden="1" outlineLevel="2" x14ac:dyDescent="0.25">
      <c r="A1076" s="278"/>
      <c r="B1076" s="279" t="str">
        <f t="shared" si="453"/>
        <v>2100mm2 x 921mm to 1220mmDD/HCquality</v>
      </c>
      <c r="C1076" s="278" t="s">
        <v>557</v>
      </c>
      <c r="D1076" s="278" t="s">
        <v>789</v>
      </c>
      <c r="E1076" s="278" t="s">
        <v>2152</v>
      </c>
      <c r="F1076" s="278" t="s">
        <v>544</v>
      </c>
      <c r="G1076" s="278" t="s">
        <v>5</v>
      </c>
      <c r="H1076" s="310">
        <v>2.5705693355609815</v>
      </c>
      <c r="I1076" s="280">
        <f t="shared" si="454"/>
        <v>207.23929983292635</v>
      </c>
      <c r="J1076" s="281">
        <f t="shared" si="455"/>
        <v>235.02715435034057</v>
      </c>
      <c r="K1076" s="282">
        <f>IF(Notes!$B$9="Domestic",I1076, IF(Notes!$B$9="Commercial",J1076))*$K$1064</f>
        <v>235.02715435034057</v>
      </c>
      <c r="L1076" s="283">
        <f>(SUM(O1076:Q1076)+(K1076+SUM(M1076:Q1076))*(INDEX($U$1064:$AB$1064,MATCH(Notes!$C$16,$U$3:$AB$3,0))-100%))*$L$1064</f>
        <v>265.34399999999999</v>
      </c>
      <c r="M1076" s="286"/>
      <c r="N1076" s="286"/>
      <c r="O1076" s="311">
        <f t="shared" si="452"/>
        <v>265.34399999999999</v>
      </c>
      <c r="P1076" s="285"/>
      <c r="Q1076" s="285"/>
      <c r="R1076" s="278"/>
      <c r="S1076" s="278"/>
      <c r="T1076" s="278"/>
    </row>
    <row r="1077" spans="1:20" s="305" customFormat="1" hidden="1" outlineLevel="2" x14ac:dyDescent="0.25">
      <c r="A1077" s="278"/>
      <c r="B1077" s="279" t="str">
        <f t="shared" si="453"/>
        <v>2400mm2 x up to 820mmDD/HCquality</v>
      </c>
      <c r="C1077" s="278" t="s">
        <v>558</v>
      </c>
      <c r="D1077" s="278" t="s">
        <v>787</v>
      </c>
      <c r="E1077" s="278" t="s">
        <v>2152</v>
      </c>
      <c r="F1077" s="278" t="s">
        <v>544</v>
      </c>
      <c r="G1077" s="278" t="s">
        <v>5</v>
      </c>
      <c r="H1077" s="310">
        <v>1.9475645803881247</v>
      </c>
      <c r="I1077" s="280">
        <f t="shared" si="454"/>
        <v>157.01265647089062</v>
      </c>
      <c r="J1077" s="281">
        <f t="shared" si="455"/>
        <v>178.06582958488625</v>
      </c>
      <c r="K1077" s="282">
        <f>IF(Notes!$B$9="Domestic",I1077, IF(Notes!$B$9="Commercial",J1077))*$K$1064</f>
        <v>178.06582958488625</v>
      </c>
      <c r="L1077" s="283">
        <f>(SUM(O1077:Q1077)+(K1077+SUM(M1077:Q1077))*(INDEX($U$1064:$AB$1064,MATCH(Notes!$C$16,$U$3:$AB$3,0))-100%))*$L$1064</f>
        <v>432.82</v>
      </c>
      <c r="M1077" s="286"/>
      <c r="N1077" s="286"/>
      <c r="O1077" s="311">
        <f t="shared" si="452"/>
        <v>432.82</v>
      </c>
      <c r="P1077" s="285"/>
      <c r="Q1077" s="285"/>
      <c r="R1077" s="278"/>
      <c r="S1077" s="278"/>
      <c r="T1077" s="278"/>
    </row>
    <row r="1078" spans="1:20" s="305" customFormat="1" hidden="1" outlineLevel="2" x14ac:dyDescent="0.25">
      <c r="A1078" s="278"/>
      <c r="B1078" s="279" t="str">
        <f t="shared" si="453"/>
        <v>2400mm2 x 821mm to 920mmDD/HCquality</v>
      </c>
      <c r="C1078" s="278" t="s">
        <v>558</v>
      </c>
      <c r="D1078" s="278" t="s">
        <v>788</v>
      </c>
      <c r="E1078" s="278" t="s">
        <v>2152</v>
      </c>
      <c r="F1078" s="278" t="s">
        <v>544</v>
      </c>
      <c r="G1078" s="278" t="s">
        <v>5</v>
      </c>
      <c r="H1078" s="310">
        <v>1.9475645803881247</v>
      </c>
      <c r="I1078" s="280">
        <f t="shared" si="454"/>
        <v>157.01265647089062</v>
      </c>
      <c r="J1078" s="281">
        <f t="shared" si="455"/>
        <v>178.06582958488625</v>
      </c>
      <c r="K1078" s="282">
        <f>IF(Notes!$B$9="Domestic",I1078, IF(Notes!$B$9="Commercial",J1078))*$K$1064</f>
        <v>178.06582958488625</v>
      </c>
      <c r="L1078" s="283">
        <f>(SUM(O1078:Q1078)+(K1078+SUM(M1078:Q1078))*(INDEX($U$1064:$AB$1064,MATCH(Notes!$C$16,$U$3:$AB$3,0))-100%))*$L$1064</f>
        <v>476.10200000000003</v>
      </c>
      <c r="M1078" s="286"/>
      <c r="N1078" s="286"/>
      <c r="O1078" s="311">
        <f t="shared" si="452"/>
        <v>476.10200000000003</v>
      </c>
      <c r="P1078" s="285"/>
      <c r="Q1078" s="285"/>
      <c r="R1078" s="278"/>
      <c r="S1078" s="278"/>
      <c r="T1078" s="278"/>
    </row>
    <row r="1079" spans="1:20" s="305" customFormat="1" hidden="1" outlineLevel="2" x14ac:dyDescent="0.25">
      <c r="A1079" s="278"/>
      <c r="B1079" s="279" t="str">
        <f t="shared" si="453"/>
        <v>2400mm2 x 921mm to 1220mmDD/HCquality</v>
      </c>
      <c r="C1079" s="278" t="s">
        <v>558</v>
      </c>
      <c r="D1079" s="278" t="s">
        <v>789</v>
      </c>
      <c r="E1079" s="278" t="s">
        <v>2152</v>
      </c>
      <c r="F1079" s="278" t="s">
        <v>544</v>
      </c>
      <c r="G1079" s="278" t="s">
        <v>5</v>
      </c>
      <c r="H1079" s="310">
        <v>2.9212183523968642</v>
      </c>
      <c r="I1079" s="280">
        <f t="shared" si="454"/>
        <v>235.50862357023522</v>
      </c>
      <c r="J1079" s="281">
        <f t="shared" si="455"/>
        <v>267.08699395964533</v>
      </c>
      <c r="K1079" s="282">
        <f>IF(Notes!$B$9="Domestic",I1079, IF(Notes!$B$9="Commercial",J1079))*$K$1064</f>
        <v>267.08699395964533</v>
      </c>
      <c r="L1079" s="283">
        <f>(SUM(O1079:Q1079)+(K1079+SUM(M1079:Q1079))*(INDEX($U$1064:$AB$1064,MATCH(Notes!$C$16,$U$3:$AB$3,0))-100%))*$L$1064</f>
        <v>510.82</v>
      </c>
      <c r="M1079" s="286"/>
      <c r="N1079" s="286"/>
      <c r="O1079" s="311">
        <f t="shared" si="452"/>
        <v>510.82</v>
      </c>
      <c r="P1079" s="285"/>
      <c r="Q1079" s="285"/>
      <c r="R1079" s="278"/>
      <c r="S1079" s="278"/>
      <c r="T1079" s="278"/>
    </row>
    <row r="1080" spans="1:20" s="305" customFormat="1" hidden="1" outlineLevel="2" x14ac:dyDescent="0.25">
      <c r="A1080" s="278"/>
      <c r="B1080" s="279" t="str">
        <f t="shared" si="453"/>
        <v>2700mm2 x up to 820mmDD/HCquality</v>
      </c>
      <c r="C1080" s="278" t="s">
        <v>779</v>
      </c>
      <c r="D1080" s="278" t="s">
        <v>787</v>
      </c>
      <c r="E1080" s="278" t="s">
        <v>2152</v>
      </c>
      <c r="F1080" s="278" t="s">
        <v>544</v>
      </c>
      <c r="G1080" s="278" t="s">
        <v>5</v>
      </c>
      <c r="H1080" s="310">
        <v>1.9475645803881247</v>
      </c>
      <c r="I1080" s="280">
        <f t="shared" si="454"/>
        <v>157.01265647089062</v>
      </c>
      <c r="J1080" s="281">
        <f t="shared" si="455"/>
        <v>178.06582958488625</v>
      </c>
      <c r="K1080" s="282">
        <f>IF(Notes!$B$9="Domestic",I1080, IF(Notes!$B$9="Commercial",J1080))*$K$1064</f>
        <v>178.06582958488625</v>
      </c>
      <c r="L1080" s="283">
        <f>(SUM(O1080:Q1080)+(K1080+SUM(M1080:Q1080))*(INDEX($U$1064:$AB$1064,MATCH(Notes!$C$16,$U$3:$AB$3,0))-100%))*$L$1064</f>
        <v>680.24</v>
      </c>
      <c r="M1080" s="286"/>
      <c r="N1080" s="286"/>
      <c r="O1080" s="311">
        <f t="shared" si="452"/>
        <v>680.24</v>
      </c>
      <c r="P1080" s="285"/>
      <c r="Q1080" s="285"/>
      <c r="R1080" s="278"/>
      <c r="S1080" s="278"/>
      <c r="T1080" s="278"/>
    </row>
    <row r="1081" spans="1:20" s="305" customFormat="1" hidden="1" outlineLevel="2" x14ac:dyDescent="0.25">
      <c r="A1081" s="278"/>
      <c r="B1081" s="279" t="str">
        <f t="shared" si="453"/>
        <v>2700mm2 x 821mm to 920mmDD/HCquality</v>
      </c>
      <c r="C1081" s="278" t="s">
        <v>779</v>
      </c>
      <c r="D1081" s="278" t="s">
        <v>788</v>
      </c>
      <c r="E1081" s="278" t="s">
        <v>2152</v>
      </c>
      <c r="F1081" s="278" t="s">
        <v>544</v>
      </c>
      <c r="G1081" s="278" t="s">
        <v>5</v>
      </c>
      <c r="H1081" s="310">
        <v>1.9475645803881247</v>
      </c>
      <c r="I1081" s="280">
        <f t="shared" si="454"/>
        <v>157.01265647089062</v>
      </c>
      <c r="J1081" s="281">
        <f t="shared" si="455"/>
        <v>178.06582958488625</v>
      </c>
      <c r="K1081" s="282">
        <f>IF(Notes!$B$9="Domestic",I1081, IF(Notes!$B$9="Commercial",J1081))*$K$1064</f>
        <v>178.06582958488625</v>
      </c>
      <c r="L1081" s="283">
        <f>(SUM(O1081:Q1081)+(K1081+SUM(M1081:Q1081))*(INDEX($U$1064:$AB$1064,MATCH(Notes!$C$16,$U$3:$AB$3,0))-100%))*$L$1064</f>
        <v>731.08400000000006</v>
      </c>
      <c r="M1081" s="286"/>
      <c r="N1081" s="286"/>
      <c r="O1081" s="311">
        <f t="shared" si="452"/>
        <v>731.08400000000006</v>
      </c>
      <c r="P1081" s="285"/>
      <c r="Q1081" s="285"/>
      <c r="R1081" s="278"/>
      <c r="S1081" s="278"/>
      <c r="T1081" s="278"/>
    </row>
    <row r="1082" spans="1:20" s="305" customFormat="1" hidden="1" outlineLevel="2" x14ac:dyDescent="0.25">
      <c r="A1082" s="278"/>
      <c r="B1082" s="279" t="str">
        <f t="shared" si="453"/>
        <v>2700mm2 x 921mm to 1220mmDD/HCquality</v>
      </c>
      <c r="C1082" s="278" t="s">
        <v>779</v>
      </c>
      <c r="D1082" s="278" t="s">
        <v>789</v>
      </c>
      <c r="E1082" s="278" t="s">
        <v>2152</v>
      </c>
      <c r="F1082" s="278" t="s">
        <v>544</v>
      </c>
      <c r="G1082" s="278" t="s">
        <v>5</v>
      </c>
      <c r="H1082" s="310">
        <v>2.9212183523968642</v>
      </c>
      <c r="I1082" s="280">
        <f t="shared" si="454"/>
        <v>235.50862357023522</v>
      </c>
      <c r="J1082" s="281">
        <f t="shared" si="455"/>
        <v>267.08699395964533</v>
      </c>
      <c r="K1082" s="282">
        <f>IF(Notes!$B$9="Domestic",I1082, IF(Notes!$B$9="Commercial",J1082))*$K$1064</f>
        <v>267.08699395964533</v>
      </c>
      <c r="L1082" s="283">
        <f>(SUM(O1082:Q1082)+(K1082+SUM(M1082:Q1082))*(INDEX($U$1064:$AB$1064,MATCH(Notes!$C$16,$U$3:$AB$3,0))-100%))*$L$1064</f>
        <v>756.29600000000005</v>
      </c>
      <c r="M1082" s="286"/>
      <c r="N1082" s="286"/>
      <c r="O1082" s="311">
        <f t="shared" si="452"/>
        <v>756.29600000000005</v>
      </c>
      <c r="P1082" s="285"/>
      <c r="Q1082" s="285"/>
      <c r="R1082" s="278"/>
      <c r="S1082" s="278"/>
      <c r="T1082" s="278"/>
    </row>
    <row r="1083" spans="1:20" s="305" customFormat="1" hidden="1" outlineLevel="2" x14ac:dyDescent="0.25">
      <c r="A1083" s="278"/>
      <c r="B1083" s="279" t="str">
        <f t="shared" si="453"/>
        <v>2100mm2 x up to 820mmDD/HCprestige</v>
      </c>
      <c r="C1083" s="278" t="s">
        <v>557</v>
      </c>
      <c r="D1083" s="278" t="s">
        <v>787</v>
      </c>
      <c r="E1083" s="278" t="s">
        <v>2152</v>
      </c>
      <c r="F1083" s="278" t="s">
        <v>545</v>
      </c>
      <c r="G1083" s="278" t="s">
        <v>5</v>
      </c>
      <c r="H1083" s="310">
        <v>1.557897442488112</v>
      </c>
      <c r="I1083" s="280">
        <f t="shared" si="454"/>
        <v>125.59769181339159</v>
      </c>
      <c r="J1083" s="281">
        <f t="shared" si="455"/>
        <v>142.43856316668808</v>
      </c>
      <c r="K1083" s="282">
        <f>IF(Notes!$B$9="Domestic",I1083, IF(Notes!$B$9="Commercial",J1083))*$K$1064</f>
        <v>142.43856316668808</v>
      </c>
      <c r="L1083" s="283">
        <f>(SUM(O1083:Q1083)+(K1083+SUM(M1083:Q1083))*(INDEX($U$1064:$AB$1064,MATCH(Notes!$C$16,$U$3:$AB$3,0))-100%))*$L$1064</f>
        <v>229.4</v>
      </c>
      <c r="M1083" s="286"/>
      <c r="N1083" s="286"/>
      <c r="O1083" s="311">
        <f t="shared" si="452"/>
        <v>229.4</v>
      </c>
      <c r="P1083" s="285"/>
      <c r="Q1083" s="285"/>
      <c r="R1083" s="278"/>
      <c r="S1083" s="278"/>
      <c r="T1083" s="278"/>
    </row>
    <row r="1084" spans="1:20" s="305" customFormat="1" hidden="1" outlineLevel="2" x14ac:dyDescent="0.25">
      <c r="A1084" s="278"/>
      <c r="B1084" s="279" t="str">
        <f t="shared" si="453"/>
        <v>2100mm2 x 821mm to 920mmDD/HCprestige</v>
      </c>
      <c r="C1084" s="278" t="s">
        <v>557</v>
      </c>
      <c r="D1084" s="278" t="s">
        <v>788</v>
      </c>
      <c r="E1084" s="278" t="s">
        <v>2152</v>
      </c>
      <c r="F1084" s="278" t="s">
        <v>545</v>
      </c>
      <c r="G1084" s="278" t="s">
        <v>5</v>
      </c>
      <c r="H1084" s="310">
        <v>1.557897442488112</v>
      </c>
      <c r="I1084" s="280">
        <f t="shared" si="454"/>
        <v>125.59769181339159</v>
      </c>
      <c r="J1084" s="281">
        <f t="shared" si="455"/>
        <v>142.43856316668808</v>
      </c>
      <c r="K1084" s="282">
        <f>IF(Notes!$B$9="Domestic",I1084, IF(Notes!$B$9="Commercial",J1084))*$K$1064</f>
        <v>142.43856316668808</v>
      </c>
      <c r="L1084" s="283">
        <f>(SUM(O1084:Q1084)+(K1084+SUM(M1084:Q1084))*(INDEX($U$1064:$AB$1064,MATCH(Notes!$C$16,$U$3:$AB$3,0))-100%))*$L$1064</f>
        <v>309.12</v>
      </c>
      <c r="M1084" s="286"/>
      <c r="N1084" s="286"/>
      <c r="O1084" s="311">
        <f t="shared" si="452"/>
        <v>309.12</v>
      </c>
      <c r="P1084" s="285"/>
      <c r="Q1084" s="285"/>
      <c r="R1084" s="278"/>
      <c r="S1084" s="278"/>
      <c r="T1084" s="278"/>
    </row>
    <row r="1085" spans="1:20" s="305" customFormat="1" hidden="1" outlineLevel="2" x14ac:dyDescent="0.25">
      <c r="A1085" s="278"/>
      <c r="B1085" s="279" t="str">
        <f t="shared" si="453"/>
        <v>2100mm2 x 921mm to 1220mmDD/HCprestige</v>
      </c>
      <c r="C1085" s="278" t="s">
        <v>557</v>
      </c>
      <c r="D1085" s="278" t="s">
        <v>789</v>
      </c>
      <c r="E1085" s="278" t="s">
        <v>2152</v>
      </c>
      <c r="F1085" s="278" t="s">
        <v>545</v>
      </c>
      <c r="G1085" s="278" t="s">
        <v>5</v>
      </c>
      <c r="H1085" s="310">
        <v>2.5705693355609815</v>
      </c>
      <c r="I1085" s="280">
        <f t="shared" si="454"/>
        <v>207.23929983292635</v>
      </c>
      <c r="J1085" s="281">
        <f t="shared" si="455"/>
        <v>235.02715435034057</v>
      </c>
      <c r="K1085" s="282">
        <f>IF(Notes!$B$9="Domestic",I1085, IF(Notes!$B$9="Commercial",J1085))*$K$1064</f>
        <v>235.02715435034057</v>
      </c>
      <c r="L1085" s="283">
        <f>(SUM(O1085:Q1085)+(K1085+SUM(M1085:Q1085))*(INDEX($U$1064:$AB$1064,MATCH(Notes!$C$16,$U$3:$AB$3,0))-100%))*$L$1064</f>
        <v>370.94400000000002</v>
      </c>
      <c r="M1085" s="286"/>
      <c r="N1085" s="286"/>
      <c r="O1085" s="311">
        <f t="shared" si="452"/>
        <v>370.94400000000002</v>
      </c>
      <c r="P1085" s="285"/>
      <c r="Q1085" s="285"/>
      <c r="R1085" s="278"/>
      <c r="S1085" s="278"/>
      <c r="T1085" s="278"/>
    </row>
    <row r="1086" spans="1:20" s="305" customFormat="1" hidden="1" outlineLevel="2" x14ac:dyDescent="0.25">
      <c r="A1086" s="278"/>
      <c r="B1086" s="279" t="str">
        <f t="shared" si="453"/>
        <v>2400mm2 x up to 820mmDD/HCprestige</v>
      </c>
      <c r="C1086" s="278" t="s">
        <v>558</v>
      </c>
      <c r="D1086" s="278" t="s">
        <v>787</v>
      </c>
      <c r="E1086" s="278" t="s">
        <v>2152</v>
      </c>
      <c r="F1086" s="278" t="s">
        <v>545</v>
      </c>
      <c r="G1086" s="278" t="s">
        <v>5</v>
      </c>
      <c r="H1086" s="310">
        <v>1.9475645803881247</v>
      </c>
      <c r="I1086" s="280">
        <f t="shared" si="454"/>
        <v>157.01265647089062</v>
      </c>
      <c r="J1086" s="281">
        <f t="shared" si="455"/>
        <v>178.06582958488625</v>
      </c>
      <c r="K1086" s="282">
        <f>IF(Notes!$B$9="Domestic",I1086, IF(Notes!$B$9="Commercial",J1086))*$K$1064</f>
        <v>178.06582958488625</v>
      </c>
      <c r="L1086" s="283">
        <f>(SUM(O1086:Q1086)+(K1086+SUM(M1086:Q1086))*(INDEX($U$1064:$AB$1064,MATCH(Notes!$C$16,$U$3:$AB$3,0))-100%))*$L$1064</f>
        <v>542.82000000000005</v>
      </c>
      <c r="M1086" s="286"/>
      <c r="N1086" s="286"/>
      <c r="O1086" s="311">
        <f t="shared" si="452"/>
        <v>542.82000000000005</v>
      </c>
      <c r="P1086" s="285"/>
      <c r="Q1086" s="285"/>
      <c r="R1086" s="278"/>
      <c r="S1086" s="278"/>
      <c r="T1086" s="278"/>
    </row>
    <row r="1087" spans="1:20" s="305" customFormat="1" hidden="1" outlineLevel="2" x14ac:dyDescent="0.25">
      <c r="A1087" s="278"/>
      <c r="B1087" s="279" t="str">
        <f t="shared" si="453"/>
        <v>2400mm2 x 821mm to 920mmDD/HCprestige</v>
      </c>
      <c r="C1087" s="278" t="s">
        <v>558</v>
      </c>
      <c r="D1087" s="278" t="s">
        <v>788</v>
      </c>
      <c r="E1087" s="278" t="s">
        <v>2152</v>
      </c>
      <c r="F1087" s="278" t="s">
        <v>545</v>
      </c>
      <c r="G1087" s="278" t="s">
        <v>5</v>
      </c>
      <c r="H1087" s="310">
        <v>1.9475645803881247</v>
      </c>
      <c r="I1087" s="280">
        <f t="shared" si="454"/>
        <v>157.01265647089062</v>
      </c>
      <c r="J1087" s="281">
        <f t="shared" si="455"/>
        <v>178.06582958488625</v>
      </c>
      <c r="K1087" s="282">
        <f>IF(Notes!$B$9="Domestic",I1087, IF(Notes!$B$9="Commercial",J1087))*$K$1064</f>
        <v>178.06582958488625</v>
      </c>
      <c r="L1087" s="283">
        <f>(SUM(O1087:Q1087)+(K1087+SUM(M1087:Q1087))*(INDEX($U$1064:$AB$1064,MATCH(Notes!$C$16,$U$3:$AB$3,0))-100%))*$L$1064</f>
        <v>604.82000000000005</v>
      </c>
      <c r="M1087" s="286"/>
      <c r="N1087" s="286"/>
      <c r="O1087" s="311">
        <f t="shared" si="452"/>
        <v>604.82000000000005</v>
      </c>
      <c r="P1087" s="285"/>
      <c r="Q1087" s="285"/>
      <c r="R1087" s="278"/>
      <c r="S1087" s="278"/>
      <c r="T1087" s="278"/>
    </row>
    <row r="1088" spans="1:20" s="305" customFormat="1" hidden="1" outlineLevel="2" x14ac:dyDescent="0.25">
      <c r="A1088" s="278"/>
      <c r="B1088" s="279" t="str">
        <f t="shared" si="449"/>
        <v>2400mm2 x 921mm to 1220mmDD/HCprestige</v>
      </c>
      <c r="C1088" s="278" t="s">
        <v>558</v>
      </c>
      <c r="D1088" s="278" t="s">
        <v>789</v>
      </c>
      <c r="E1088" s="278" t="s">
        <v>2152</v>
      </c>
      <c r="F1088" s="278" t="s">
        <v>545</v>
      </c>
      <c r="G1088" s="278" t="s">
        <v>5</v>
      </c>
      <c r="H1088" s="310">
        <v>2.9212183523968642</v>
      </c>
      <c r="I1088" s="280">
        <f t="shared" si="450"/>
        <v>235.50862357023522</v>
      </c>
      <c r="J1088" s="281">
        <f t="shared" si="451"/>
        <v>267.08699395964533</v>
      </c>
      <c r="K1088" s="282">
        <f>IF(Notes!$B$9="Domestic",I1088, IF(Notes!$B$9="Commercial",J1088))*$K$1064</f>
        <v>267.08699395964533</v>
      </c>
      <c r="L1088" s="283">
        <f>(SUM(O1088:Q1088)+(K1088+SUM(M1088:Q1088))*(INDEX($U$1064:$AB$1064,MATCH(Notes!$C$16,$U$3:$AB$3,0))-100%))*$L$1064</f>
        <v>726.82</v>
      </c>
      <c r="M1088" s="286"/>
      <c r="N1088" s="286"/>
      <c r="O1088" s="311">
        <f t="shared" si="452"/>
        <v>726.82</v>
      </c>
      <c r="P1088" s="285"/>
      <c r="Q1088" s="285"/>
      <c r="R1088" s="278"/>
      <c r="S1088" s="278"/>
      <c r="T1088" s="278"/>
    </row>
    <row r="1089" spans="1:28" s="305" customFormat="1" hidden="1" outlineLevel="2" x14ac:dyDescent="0.25">
      <c r="A1089" s="278"/>
      <c r="B1089" s="279" t="str">
        <f t="shared" si="449"/>
        <v>2700mm2 x up to 820mmDD/HCprestige</v>
      </c>
      <c r="C1089" s="278" t="s">
        <v>779</v>
      </c>
      <c r="D1089" s="278" t="s">
        <v>787</v>
      </c>
      <c r="E1089" s="278" t="s">
        <v>2152</v>
      </c>
      <c r="F1089" s="278" t="s">
        <v>545</v>
      </c>
      <c r="G1089" s="278" t="s">
        <v>5</v>
      </c>
      <c r="H1089" s="310">
        <v>1.9475645803881247</v>
      </c>
      <c r="I1089" s="280">
        <f t="shared" si="450"/>
        <v>157.01265647089062</v>
      </c>
      <c r="J1089" s="281">
        <f t="shared" si="451"/>
        <v>178.06582958488625</v>
      </c>
      <c r="K1089" s="282">
        <f>IF(Notes!$B$9="Domestic",I1089, IF(Notes!$B$9="Commercial",J1089))*$K$1064</f>
        <v>178.06582958488625</v>
      </c>
      <c r="L1089" s="283">
        <f>(SUM(O1089:Q1089)+(K1089+SUM(M1089:Q1089))*(INDEX($U$1064:$AB$1064,MATCH(Notes!$C$16,$U$3:$AB$3,0))-100%))*$L$1064</f>
        <v>856.24000000000012</v>
      </c>
      <c r="M1089" s="286"/>
      <c r="N1089" s="286"/>
      <c r="O1089" s="311">
        <f t="shared" si="452"/>
        <v>856.24000000000012</v>
      </c>
      <c r="P1089" s="285"/>
      <c r="Q1089" s="285"/>
      <c r="R1089" s="278"/>
      <c r="S1089" s="278"/>
      <c r="T1089" s="278"/>
    </row>
    <row r="1090" spans="1:28" s="305" customFormat="1" hidden="1" outlineLevel="2" x14ac:dyDescent="0.25">
      <c r="A1090" s="278"/>
      <c r="B1090" s="279" t="str">
        <f t="shared" si="449"/>
        <v>2700mm2 x 821mm to 920mmDD/HCprestige</v>
      </c>
      <c r="C1090" s="278" t="s">
        <v>779</v>
      </c>
      <c r="D1090" s="278" t="s">
        <v>788</v>
      </c>
      <c r="E1090" s="278" t="s">
        <v>2152</v>
      </c>
      <c r="F1090" s="278" t="s">
        <v>545</v>
      </c>
      <c r="G1090" s="278" t="s">
        <v>5</v>
      </c>
      <c r="H1090" s="310">
        <v>1.9475645803881247</v>
      </c>
      <c r="I1090" s="280">
        <f>$I$2*H1090</f>
        <v>157.01265647089062</v>
      </c>
      <c r="J1090" s="281">
        <f t="shared" si="451"/>
        <v>178.06582958488625</v>
      </c>
      <c r="K1090" s="282">
        <f>IF(Notes!$B$9="Domestic",I1090, IF(Notes!$B$9="Commercial",J1090))*$K$1064</f>
        <v>178.06582958488625</v>
      </c>
      <c r="L1090" s="283">
        <f>(SUM(O1090:Q1090)+(K1090+SUM(M1090:Q1090))*(INDEX($U$1064:$AB$1064,MATCH(Notes!$C$16,$U$3:$AB$3,0))-100%))*$L$1064</f>
        <v>900.5200000000001</v>
      </c>
      <c r="M1090" s="286"/>
      <c r="N1090" s="286"/>
      <c r="O1090" s="311">
        <f t="shared" si="452"/>
        <v>900.5200000000001</v>
      </c>
      <c r="P1090" s="285"/>
      <c r="Q1090" s="285"/>
      <c r="R1090" s="278"/>
      <c r="S1090" s="278"/>
      <c r="T1090" s="278"/>
    </row>
    <row r="1091" spans="1:28" s="305" customFormat="1" hidden="1" outlineLevel="2" x14ac:dyDescent="0.25">
      <c r="A1091" s="278"/>
      <c r="B1091" s="279" t="str">
        <f t="shared" si="449"/>
        <v>2700mm2 x 921mm to 1220mmDD/HCprestige</v>
      </c>
      <c r="C1091" s="278" t="s">
        <v>779</v>
      </c>
      <c r="D1091" s="278" t="s">
        <v>789</v>
      </c>
      <c r="E1091" s="278" t="s">
        <v>2152</v>
      </c>
      <c r="F1091" s="278" t="s">
        <v>545</v>
      </c>
      <c r="G1091" s="278" t="s">
        <v>5</v>
      </c>
      <c r="H1091" s="310">
        <v>2.9212183523968642</v>
      </c>
      <c r="I1091" s="280">
        <f t="shared" ref="I1091" si="456">$I$2*H1091</f>
        <v>235.50862357023522</v>
      </c>
      <c r="J1091" s="281">
        <f t="shared" si="451"/>
        <v>267.08699395964533</v>
      </c>
      <c r="K1091" s="282">
        <f>IF(Notes!$B$9="Domestic",I1091, IF(Notes!$B$9="Commercial",J1091))*$K$1064</f>
        <v>267.08699395964533</v>
      </c>
      <c r="L1091" s="283">
        <f>(SUM(O1091:Q1091)+(K1091+SUM(M1091:Q1091))*(INDEX($U$1064:$AB$1064,MATCH(Notes!$C$16,$U$3:$AB$3,0))-100%))*$L$1064</f>
        <v>1082.6960000000001</v>
      </c>
      <c r="M1091" s="286"/>
      <c r="N1091" s="286"/>
      <c r="O1091" s="311">
        <f>O1062*2</f>
        <v>1082.6960000000001</v>
      </c>
      <c r="P1091" s="285"/>
      <c r="Q1091" s="285"/>
      <c r="R1091" s="278"/>
      <c r="S1091" s="278"/>
      <c r="T1091" s="278"/>
    </row>
    <row r="1092" spans="1:28" ht="21" hidden="1" outlineLevel="1" collapsed="1" x14ac:dyDescent="0.25">
      <c r="A1092" s="299" t="s">
        <v>2096</v>
      </c>
      <c r="B1092" s="299"/>
      <c r="C1092" s="299"/>
      <c r="D1092" s="299"/>
      <c r="E1092" s="299"/>
      <c r="F1092" s="299"/>
      <c r="G1092" s="299"/>
      <c r="H1092" s="348"/>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row>
    <row r="1093" spans="1:28" ht="15.75" hidden="1" outlineLevel="1" x14ac:dyDescent="0.25">
      <c r="A1093" s="291"/>
      <c r="B1093" s="291"/>
      <c r="C1093" s="291"/>
      <c r="D1093" s="291"/>
      <c r="E1093" s="291"/>
      <c r="F1093" s="291"/>
      <c r="G1093" s="291"/>
      <c r="H1093" s="325"/>
      <c r="I1093" s="291"/>
      <c r="J1093" s="291"/>
      <c r="K1093" s="291">
        <f>K$2</f>
        <v>1</v>
      </c>
      <c r="L1093" s="291">
        <f>L$2</f>
        <v>1</v>
      </c>
      <c r="M1093" s="291"/>
      <c r="N1093" s="291"/>
      <c r="O1093" s="303"/>
      <c r="P1093" s="303"/>
      <c r="Q1093" s="303"/>
      <c r="R1093" s="291"/>
      <c r="S1093" s="291"/>
      <c r="T1093" s="291"/>
      <c r="U1093" s="291">
        <f>268/276</f>
        <v>0.97101449275362317</v>
      </c>
      <c r="V1093" s="291">
        <f>276/276</f>
        <v>1</v>
      </c>
      <c r="W1093" s="291">
        <f>308/276</f>
        <v>1.1159420289855073</v>
      </c>
      <c r="X1093" s="291">
        <f>301/276</f>
        <v>1.0905797101449275</v>
      </c>
      <c r="Y1093" s="291">
        <f>330/276</f>
        <v>1.1956521739130435</v>
      </c>
      <c r="Z1093" s="291">
        <f>246/276</f>
        <v>0.89130434782608692</v>
      </c>
      <c r="AA1093" s="291">
        <f>375/276</f>
        <v>1.3586956521739131</v>
      </c>
      <c r="AB1093" s="291">
        <f>283/276</f>
        <v>1.0253623188405796</v>
      </c>
    </row>
    <row r="1094" spans="1:28" s="305" customFormat="1" hidden="1" outlineLevel="2" x14ac:dyDescent="0.25">
      <c r="A1094" s="278"/>
      <c r="B1094" s="279" t="str">
        <f>C1094&amp;D1094&amp;E1094&amp;F1094</f>
        <v>2100mmup to 820mmSD/SCaverage</v>
      </c>
      <c r="C1094" s="278" t="s">
        <v>557</v>
      </c>
      <c r="D1094" s="278" t="s">
        <v>724</v>
      </c>
      <c r="E1094" s="278" t="s">
        <v>2153</v>
      </c>
      <c r="F1094" s="278" t="s">
        <v>543</v>
      </c>
      <c r="G1094" s="278" t="s">
        <v>5</v>
      </c>
      <c r="H1094" s="310">
        <v>0.87636550571905925</v>
      </c>
      <c r="I1094" s="280">
        <f>$I$2*H1094</f>
        <v>70.652587071070556</v>
      </c>
      <c r="J1094" s="281">
        <f>$J$2*H1094</f>
        <v>80.126098187893589</v>
      </c>
      <c r="K1094" s="282">
        <f>IF(Notes!$B$9="Domestic",I1094, IF(Notes!$B$9="Commercial",J1094))*$K$1093</f>
        <v>80.126098187893589</v>
      </c>
      <c r="L1094" s="283">
        <f>(SUM(O1094:Q1094)+(K1094+SUM(M1094:Q1094))*(INDEX($U$1093:$AB$1093,MATCH(Notes!$C$16,$U$3:$AB$3,0))-100%))*$L$1093</f>
        <v>204.06</v>
      </c>
      <c r="M1094" s="286"/>
      <c r="N1094" s="286"/>
      <c r="O1094" s="285">
        <v>204.06</v>
      </c>
      <c r="P1094" s="285"/>
      <c r="Q1094" s="285"/>
      <c r="R1094" s="278"/>
      <c r="S1094" s="278"/>
      <c r="T1094" s="278"/>
    </row>
    <row r="1095" spans="1:28" s="305" customFormat="1" hidden="1" outlineLevel="2" x14ac:dyDescent="0.25">
      <c r="A1095" s="278"/>
      <c r="B1095" s="279" t="str">
        <f t="shared" ref="B1095:B1097" si="457">C1095&amp;D1095&amp;E1095&amp;F1095</f>
        <v>2100mm821mm to 920mmSD/SCaverage</v>
      </c>
      <c r="C1095" s="278" t="s">
        <v>557</v>
      </c>
      <c r="D1095" s="278" t="s">
        <v>721</v>
      </c>
      <c r="E1095" s="278" t="s">
        <v>2153</v>
      </c>
      <c r="F1095" s="278" t="s">
        <v>543</v>
      </c>
      <c r="G1095" s="278" t="s">
        <v>5</v>
      </c>
      <c r="H1095" s="310">
        <v>1.1684873409587457</v>
      </c>
      <c r="I1095" s="280">
        <f t="shared" ref="I1095:I1097" si="458">$I$2*H1095</f>
        <v>94.203449428094089</v>
      </c>
      <c r="J1095" s="281">
        <f t="shared" ref="J1095:J1097" si="459">$J$2*H1095</f>
        <v>106.83479758385813</v>
      </c>
      <c r="K1095" s="282">
        <f>IF(Notes!$B$9="Domestic",I1095, IF(Notes!$B$9="Commercial",J1095))*$K$1093</f>
        <v>106.83479758385813</v>
      </c>
      <c r="L1095" s="283">
        <f>(SUM(O1095:Q1095)+(K1095+SUM(M1095:Q1095))*(INDEX($U$1093:$AB$1093,MATCH(Notes!$C$16,$U$3:$AB$3,0))-100%))*$L$1093</f>
        <v>292.06</v>
      </c>
      <c r="M1095" s="286"/>
      <c r="N1095" s="286"/>
      <c r="O1095" s="285">
        <v>292.06</v>
      </c>
      <c r="P1095" s="285"/>
      <c r="Q1095" s="285"/>
      <c r="R1095" s="278"/>
      <c r="S1095" s="278"/>
      <c r="T1095" s="278"/>
    </row>
    <row r="1096" spans="1:28" s="305" customFormat="1" hidden="1" outlineLevel="2" x14ac:dyDescent="0.25">
      <c r="A1096" s="278"/>
      <c r="B1096" s="279" t="str">
        <f t="shared" si="457"/>
        <v>2100mm921mm to 1220mmSD/SCaverage</v>
      </c>
      <c r="C1096" s="278" t="s">
        <v>557</v>
      </c>
      <c r="D1096" s="278" t="s">
        <v>722</v>
      </c>
      <c r="E1096" s="278" t="s">
        <v>2153</v>
      </c>
      <c r="F1096" s="278" t="s">
        <v>543</v>
      </c>
      <c r="G1096" s="278" t="s">
        <v>5</v>
      </c>
      <c r="H1096" s="310">
        <v>1.4021848091504947</v>
      </c>
      <c r="I1096" s="280">
        <f t="shared" si="458"/>
        <v>113.04413931371289</v>
      </c>
      <c r="J1096" s="281">
        <f t="shared" si="459"/>
        <v>128.20175710062975</v>
      </c>
      <c r="K1096" s="282">
        <f>IF(Notes!$B$9="Domestic",I1096, IF(Notes!$B$9="Commercial",J1096))*$K$1093</f>
        <v>128.20175710062975</v>
      </c>
      <c r="L1096" s="283">
        <f>(SUM(O1096:Q1096)+(K1096+SUM(M1096:Q1096))*(INDEX($U$1093:$AB$1093,MATCH(Notes!$C$16,$U$3:$AB$3,0))-100%))*$L$1093</f>
        <v>350.47199999999998</v>
      </c>
      <c r="M1096" s="286"/>
      <c r="N1096" s="286"/>
      <c r="O1096" s="311">
        <f>292.06*1.2</f>
        <v>350.47199999999998</v>
      </c>
      <c r="P1096" s="285"/>
      <c r="Q1096" s="285"/>
      <c r="R1096" s="278"/>
      <c r="S1096" s="278"/>
      <c r="T1096" s="278"/>
    </row>
    <row r="1097" spans="1:28" s="305" customFormat="1" hidden="1" outlineLevel="2" x14ac:dyDescent="0.25">
      <c r="A1097" s="278"/>
      <c r="B1097" s="279" t="str">
        <f t="shared" si="457"/>
        <v>2400mmup to 820mmSD/SCaverage</v>
      </c>
      <c r="C1097" s="278" t="s">
        <v>558</v>
      </c>
      <c r="D1097" s="278" t="s">
        <v>724</v>
      </c>
      <c r="E1097" s="278" t="s">
        <v>2153</v>
      </c>
      <c r="F1097" s="278" t="s">
        <v>543</v>
      </c>
      <c r="G1097" s="278" t="s">
        <v>5</v>
      </c>
      <c r="H1097" s="310">
        <v>1.0710705564837424</v>
      </c>
      <c r="I1097" s="280">
        <f t="shared" si="458"/>
        <v>86.349708263719322</v>
      </c>
      <c r="J1097" s="281">
        <f t="shared" si="459"/>
        <v>97.927980979308572</v>
      </c>
      <c r="K1097" s="282">
        <f>IF(Notes!$B$9="Domestic",I1097, IF(Notes!$B$9="Commercial",J1097))*$K$1093</f>
        <v>97.927980979308572</v>
      </c>
      <c r="L1097" s="283">
        <f>(SUM(O1097:Q1097)+(K1097+SUM(M1097:Q1097))*(INDEX($U$1093:$AB$1093,MATCH(Notes!$C$16,$U$3:$AB$3,0))-100%))*$L$1093</f>
        <v>301.74</v>
      </c>
      <c r="M1097" s="286"/>
      <c r="N1097" s="286"/>
      <c r="O1097" s="285">
        <v>301.74</v>
      </c>
      <c r="P1097" s="285"/>
      <c r="Q1097" s="285"/>
      <c r="R1097" s="278"/>
      <c r="S1097" s="278"/>
      <c r="T1097" s="278"/>
    </row>
    <row r="1098" spans="1:28" s="305" customFormat="1" hidden="1" outlineLevel="2" x14ac:dyDescent="0.25">
      <c r="A1098" s="278"/>
      <c r="B1098" s="279" t="str">
        <f t="shared" ref="B1098:B1120" si="460">C1098&amp;D1098&amp;E1098&amp;F1098</f>
        <v>2400mm821mm to 920mmSD/SCaverage</v>
      </c>
      <c r="C1098" s="278" t="s">
        <v>558</v>
      </c>
      <c r="D1098" s="278" t="s">
        <v>721</v>
      </c>
      <c r="E1098" s="278" t="s">
        <v>2153</v>
      </c>
      <c r="F1098" s="278" t="s">
        <v>543</v>
      </c>
      <c r="G1098" s="278" t="s">
        <v>5</v>
      </c>
      <c r="H1098" s="310">
        <v>1.2659041254337489</v>
      </c>
      <c r="I1098" s="280">
        <f t="shared" ref="I1098:I1120" si="461">$I$2*H1098</f>
        <v>102.05719059246884</v>
      </c>
      <c r="J1098" s="281">
        <f t="shared" ref="J1098:J1120" si="462">$J$2*H1098</f>
        <v>115.74161418840767</v>
      </c>
      <c r="K1098" s="282">
        <f>IF(Notes!$B$9="Domestic",I1098, IF(Notes!$B$9="Commercial",J1098))*$K$1093</f>
        <v>115.74161418840767</v>
      </c>
      <c r="L1098" s="283">
        <f>(SUM(O1098:Q1098)+(K1098+SUM(M1098:Q1098))*(INDEX($U$1093:$AB$1093,MATCH(Notes!$C$16,$U$3:$AB$3,0))-100%))*$L$1093</f>
        <v>411.74</v>
      </c>
      <c r="M1098" s="286"/>
      <c r="N1098" s="286"/>
      <c r="O1098" s="285">
        <v>411.74</v>
      </c>
      <c r="P1098" s="285"/>
      <c r="Q1098" s="285"/>
      <c r="R1098" s="278"/>
      <c r="S1098" s="278"/>
      <c r="T1098" s="278"/>
    </row>
    <row r="1099" spans="1:28" s="305" customFormat="1" hidden="1" outlineLevel="2" x14ac:dyDescent="0.25">
      <c r="A1099" s="278"/>
      <c r="B1099" s="279" t="str">
        <f t="shared" si="460"/>
        <v>2400mm921mm to 1220mmSD/SCaverage</v>
      </c>
      <c r="C1099" s="278" t="s">
        <v>558</v>
      </c>
      <c r="D1099" s="278" t="s">
        <v>722</v>
      </c>
      <c r="E1099" s="278" t="s">
        <v>2153</v>
      </c>
      <c r="F1099" s="278" t="s">
        <v>543</v>
      </c>
      <c r="G1099" s="278" t="s">
        <v>5</v>
      </c>
      <c r="H1099" s="310">
        <v>1.4606091761984321</v>
      </c>
      <c r="I1099" s="280">
        <f t="shared" si="461"/>
        <v>117.75431178511761</v>
      </c>
      <c r="J1099" s="281">
        <f t="shared" si="462"/>
        <v>133.54349697982266</v>
      </c>
      <c r="K1099" s="282">
        <f>IF(Notes!$B$9="Domestic",I1099, IF(Notes!$B$9="Commercial",J1099))*$K$1093</f>
        <v>133.54349697982266</v>
      </c>
      <c r="L1099" s="283">
        <f>(SUM(O1099:Q1099)+(K1099+SUM(M1099:Q1099))*(INDEX($U$1093:$AB$1093,MATCH(Notes!$C$16,$U$3:$AB$3,0))-100%))*$L$1093</f>
        <v>456.74</v>
      </c>
      <c r="M1099" s="286"/>
      <c r="N1099" s="286"/>
      <c r="O1099" s="285">
        <v>456.74</v>
      </c>
      <c r="P1099" s="285"/>
      <c r="Q1099" s="285"/>
      <c r="R1099" s="278"/>
      <c r="S1099" s="278"/>
      <c r="T1099" s="278"/>
    </row>
    <row r="1100" spans="1:28" s="305" customFormat="1" hidden="1" outlineLevel="2" x14ac:dyDescent="0.25">
      <c r="A1100" s="278"/>
      <c r="B1100" s="279" t="str">
        <f t="shared" si="460"/>
        <v>2700mmup to 820mmSD/SCaverage</v>
      </c>
      <c r="C1100" s="278" t="s">
        <v>779</v>
      </c>
      <c r="D1100" s="278" t="s">
        <v>724</v>
      </c>
      <c r="E1100" s="278" t="s">
        <v>2153</v>
      </c>
      <c r="F1100" s="278" t="s">
        <v>543</v>
      </c>
      <c r="G1100" s="278" t="s">
        <v>5</v>
      </c>
      <c r="H1100" s="310">
        <v>1.0710705564837424</v>
      </c>
      <c r="I1100" s="280">
        <f t="shared" si="461"/>
        <v>86.349708263719322</v>
      </c>
      <c r="J1100" s="281">
        <f t="shared" si="462"/>
        <v>97.927980979308572</v>
      </c>
      <c r="K1100" s="282">
        <f>IF(Notes!$B$9="Domestic",I1100, IF(Notes!$B$9="Commercial",J1100))*$K$1093</f>
        <v>97.927980979308572</v>
      </c>
      <c r="L1100" s="283">
        <f>(SUM(O1100:Q1100)+(K1100+SUM(M1100:Q1100))*(INDEX($U$1093:$AB$1093,MATCH(Notes!$C$16,$U$3:$AB$3,0))-100%))*$L$1093</f>
        <v>399.42</v>
      </c>
      <c r="M1100" s="286"/>
      <c r="N1100" s="286"/>
      <c r="O1100" s="311">
        <f t="shared" ref="O1100:O1102" si="463">O1097+O1097-O1094</f>
        <v>399.42</v>
      </c>
      <c r="P1100" s="285"/>
      <c r="Q1100" s="285"/>
      <c r="R1100" s="278"/>
      <c r="S1100" s="278"/>
      <c r="T1100" s="278"/>
    </row>
    <row r="1101" spans="1:28" s="305" customFormat="1" hidden="1" outlineLevel="2" x14ac:dyDescent="0.25">
      <c r="A1101" s="278"/>
      <c r="B1101" s="279" t="str">
        <f t="shared" si="460"/>
        <v>2700mm821mm to 920mmSD/SCaverage</v>
      </c>
      <c r="C1101" s="278" t="s">
        <v>779</v>
      </c>
      <c r="D1101" s="278" t="s">
        <v>721</v>
      </c>
      <c r="E1101" s="278" t="s">
        <v>2153</v>
      </c>
      <c r="F1101" s="278" t="s">
        <v>543</v>
      </c>
      <c r="G1101" s="278" t="s">
        <v>5</v>
      </c>
      <c r="H1101" s="310">
        <v>1.2659041254337489</v>
      </c>
      <c r="I1101" s="280">
        <f t="shared" si="461"/>
        <v>102.05719059246884</v>
      </c>
      <c r="J1101" s="281">
        <f t="shared" si="462"/>
        <v>115.74161418840767</v>
      </c>
      <c r="K1101" s="282">
        <f>IF(Notes!$B$9="Domestic",I1101, IF(Notes!$B$9="Commercial",J1101))*$K$1093</f>
        <v>115.74161418840767</v>
      </c>
      <c r="L1101" s="283">
        <f>(SUM(O1101:Q1101)+(K1101+SUM(M1101:Q1101))*(INDEX($U$1093:$AB$1093,MATCH(Notes!$C$16,$U$3:$AB$3,0))-100%))*$L$1093</f>
        <v>531.42000000000007</v>
      </c>
      <c r="M1101" s="286"/>
      <c r="N1101" s="286"/>
      <c r="O1101" s="311">
        <f t="shared" si="463"/>
        <v>531.42000000000007</v>
      </c>
      <c r="P1101" s="285"/>
      <c r="Q1101" s="285"/>
      <c r="R1101" s="278"/>
      <c r="S1101" s="278"/>
      <c r="T1101" s="278"/>
    </row>
    <row r="1102" spans="1:28" s="305" customFormat="1" hidden="1" outlineLevel="2" x14ac:dyDescent="0.25">
      <c r="A1102" s="278"/>
      <c r="B1102" s="279" t="str">
        <f t="shared" si="460"/>
        <v>2700mm921mm to 1220mmSD/SCaverage</v>
      </c>
      <c r="C1102" s="278" t="s">
        <v>779</v>
      </c>
      <c r="D1102" s="278" t="s">
        <v>722</v>
      </c>
      <c r="E1102" s="278" t="s">
        <v>2153</v>
      </c>
      <c r="F1102" s="278" t="s">
        <v>543</v>
      </c>
      <c r="G1102" s="278" t="s">
        <v>5</v>
      </c>
      <c r="H1102" s="310">
        <v>1.4606091761984321</v>
      </c>
      <c r="I1102" s="280">
        <f t="shared" si="461"/>
        <v>117.75431178511761</v>
      </c>
      <c r="J1102" s="281">
        <f t="shared" si="462"/>
        <v>133.54349697982266</v>
      </c>
      <c r="K1102" s="282">
        <f>IF(Notes!$B$9="Domestic",I1102, IF(Notes!$B$9="Commercial",J1102))*$K$1093</f>
        <v>133.54349697982266</v>
      </c>
      <c r="L1102" s="283">
        <f>(SUM(O1102:Q1102)+(K1102+SUM(M1102:Q1102))*(INDEX($U$1093:$AB$1093,MATCH(Notes!$C$16,$U$3:$AB$3,0))-100%))*$L$1093</f>
        <v>563.00800000000004</v>
      </c>
      <c r="M1102" s="286"/>
      <c r="N1102" s="286"/>
      <c r="O1102" s="311">
        <f t="shared" si="463"/>
        <v>563.00800000000004</v>
      </c>
      <c r="P1102" s="285"/>
      <c r="Q1102" s="285"/>
      <c r="R1102" s="278"/>
      <c r="S1102" s="278"/>
      <c r="T1102" s="278"/>
    </row>
    <row r="1103" spans="1:28" s="305" customFormat="1" hidden="1" outlineLevel="2" x14ac:dyDescent="0.25">
      <c r="A1103" s="278"/>
      <c r="B1103" s="279" t="str">
        <f t="shared" si="460"/>
        <v>2100mmup to 820mmSD/SCquality</v>
      </c>
      <c r="C1103" s="278" t="s">
        <v>557</v>
      </c>
      <c r="D1103" s="278" t="s">
        <v>724</v>
      </c>
      <c r="E1103" s="278" t="s">
        <v>2153</v>
      </c>
      <c r="F1103" s="278" t="s">
        <v>544</v>
      </c>
      <c r="G1103" s="278" t="s">
        <v>5</v>
      </c>
      <c r="H1103" s="310">
        <v>0.87636550571905925</v>
      </c>
      <c r="I1103" s="280">
        <f t="shared" si="461"/>
        <v>70.652587071070556</v>
      </c>
      <c r="J1103" s="281">
        <f t="shared" si="462"/>
        <v>80.126098187893589</v>
      </c>
      <c r="K1103" s="282">
        <f>IF(Notes!$B$9="Domestic",I1103, IF(Notes!$B$9="Commercial",J1103))*$K$1093</f>
        <v>80.126098187893589</v>
      </c>
      <c r="L1103" s="283">
        <f>(SUM(O1103:Q1103)+(K1103+SUM(M1103:Q1103))*(INDEX($U$1093:$AB$1093,MATCH(Notes!$C$16,$U$3:$AB$3,0))-100%))*$L$1093</f>
        <v>204.06</v>
      </c>
      <c r="M1103" s="286"/>
      <c r="N1103" s="286"/>
      <c r="O1103" s="285">
        <v>204.06</v>
      </c>
      <c r="P1103" s="285"/>
      <c r="Q1103" s="285"/>
      <c r="R1103" s="278"/>
      <c r="S1103" s="278"/>
      <c r="T1103" s="278"/>
    </row>
    <row r="1104" spans="1:28" s="305" customFormat="1" hidden="1" outlineLevel="2" x14ac:dyDescent="0.25">
      <c r="A1104" s="278"/>
      <c r="B1104" s="279" t="str">
        <f t="shared" si="460"/>
        <v>2100mm821mm to 920mmSD/SCquality</v>
      </c>
      <c r="C1104" s="278" t="s">
        <v>557</v>
      </c>
      <c r="D1104" s="278" t="s">
        <v>721</v>
      </c>
      <c r="E1104" s="278" t="s">
        <v>2153</v>
      </c>
      <c r="F1104" s="278" t="s">
        <v>544</v>
      </c>
      <c r="G1104" s="278" t="s">
        <v>5</v>
      </c>
      <c r="H1104" s="310">
        <v>1.1684873409587457</v>
      </c>
      <c r="I1104" s="280">
        <f t="shared" si="461"/>
        <v>94.203449428094089</v>
      </c>
      <c r="J1104" s="281">
        <f t="shared" si="462"/>
        <v>106.83479758385813</v>
      </c>
      <c r="K1104" s="282">
        <f>IF(Notes!$B$9="Domestic",I1104, IF(Notes!$B$9="Commercial",J1104))*$K$1093</f>
        <v>106.83479758385813</v>
      </c>
      <c r="L1104" s="283">
        <f>(SUM(O1104:Q1104)+(K1104+SUM(M1104:Q1104))*(INDEX($U$1093:$AB$1093,MATCH(Notes!$C$16,$U$3:$AB$3,0))-100%))*$L$1093</f>
        <v>292.06</v>
      </c>
      <c r="M1104" s="286"/>
      <c r="N1104" s="286"/>
      <c r="O1104" s="285">
        <v>292.06</v>
      </c>
      <c r="P1104" s="285"/>
      <c r="Q1104" s="285"/>
      <c r="R1104" s="278"/>
      <c r="S1104" s="278"/>
      <c r="T1104" s="278"/>
    </row>
    <row r="1105" spans="1:20" s="305" customFormat="1" hidden="1" outlineLevel="2" x14ac:dyDescent="0.25">
      <c r="A1105" s="278"/>
      <c r="B1105" s="279" t="str">
        <f t="shared" si="460"/>
        <v>2100mm921mm to 1220mmSD/SCquality</v>
      </c>
      <c r="C1105" s="278" t="s">
        <v>557</v>
      </c>
      <c r="D1105" s="278" t="s">
        <v>722</v>
      </c>
      <c r="E1105" s="278" t="s">
        <v>2153</v>
      </c>
      <c r="F1105" s="278" t="s">
        <v>544</v>
      </c>
      <c r="G1105" s="278" t="s">
        <v>5</v>
      </c>
      <c r="H1105" s="310">
        <v>1.4021848091504947</v>
      </c>
      <c r="I1105" s="280">
        <f t="shared" si="461"/>
        <v>113.04413931371289</v>
      </c>
      <c r="J1105" s="281">
        <f t="shared" si="462"/>
        <v>128.20175710062975</v>
      </c>
      <c r="K1105" s="282">
        <f>IF(Notes!$B$9="Domestic",I1105, IF(Notes!$B$9="Commercial",J1105))*$K$1093</f>
        <v>128.20175710062975</v>
      </c>
      <c r="L1105" s="283">
        <f>(SUM(O1105:Q1105)+(K1105+SUM(M1105:Q1105))*(INDEX($U$1093:$AB$1093,MATCH(Notes!$C$16,$U$3:$AB$3,0))-100%))*$L$1093</f>
        <v>350.47199999999998</v>
      </c>
      <c r="M1105" s="286"/>
      <c r="N1105" s="286"/>
      <c r="O1105" s="311">
        <f>292.06*1.2</f>
        <v>350.47199999999998</v>
      </c>
      <c r="P1105" s="285"/>
      <c r="Q1105" s="285"/>
      <c r="R1105" s="278"/>
      <c r="S1105" s="278"/>
      <c r="T1105" s="278"/>
    </row>
    <row r="1106" spans="1:20" s="305" customFormat="1" hidden="1" outlineLevel="2" x14ac:dyDescent="0.25">
      <c r="A1106" s="278"/>
      <c r="B1106" s="279" t="str">
        <f t="shared" si="460"/>
        <v>2400mmup to 820mmSD/SCquality</v>
      </c>
      <c r="C1106" s="278" t="s">
        <v>558</v>
      </c>
      <c r="D1106" s="278" t="s">
        <v>724</v>
      </c>
      <c r="E1106" s="278" t="s">
        <v>2153</v>
      </c>
      <c r="F1106" s="278" t="s">
        <v>544</v>
      </c>
      <c r="G1106" s="278" t="s">
        <v>5</v>
      </c>
      <c r="H1106" s="310">
        <v>1.0710705564837424</v>
      </c>
      <c r="I1106" s="280">
        <f t="shared" si="461"/>
        <v>86.349708263719322</v>
      </c>
      <c r="J1106" s="281">
        <f t="shared" si="462"/>
        <v>97.927980979308572</v>
      </c>
      <c r="K1106" s="282">
        <f>IF(Notes!$B$9="Domestic",I1106, IF(Notes!$B$9="Commercial",J1106))*$K$1093</f>
        <v>97.927980979308572</v>
      </c>
      <c r="L1106" s="283">
        <f>(SUM(O1106:Q1106)+(K1106+SUM(M1106:Q1106))*(INDEX($U$1093:$AB$1093,MATCH(Notes!$C$16,$U$3:$AB$3,0))-100%))*$L$1093</f>
        <v>301.74</v>
      </c>
      <c r="M1106" s="286"/>
      <c r="N1106" s="286"/>
      <c r="O1106" s="285">
        <v>301.74</v>
      </c>
      <c r="P1106" s="285"/>
      <c r="Q1106" s="285"/>
      <c r="R1106" s="278"/>
      <c r="S1106" s="278"/>
      <c r="T1106" s="278"/>
    </row>
    <row r="1107" spans="1:20" s="305" customFormat="1" hidden="1" outlineLevel="2" x14ac:dyDescent="0.25">
      <c r="A1107" s="278"/>
      <c r="B1107" s="279" t="str">
        <f t="shared" si="460"/>
        <v>2400mm821mm to 920mmSD/SCquality</v>
      </c>
      <c r="C1107" s="278" t="s">
        <v>558</v>
      </c>
      <c r="D1107" s="278" t="s">
        <v>721</v>
      </c>
      <c r="E1107" s="278" t="s">
        <v>2153</v>
      </c>
      <c r="F1107" s="278" t="s">
        <v>544</v>
      </c>
      <c r="G1107" s="278" t="s">
        <v>5</v>
      </c>
      <c r="H1107" s="310">
        <v>1.2659041254337489</v>
      </c>
      <c r="I1107" s="280">
        <f t="shared" si="461"/>
        <v>102.05719059246884</v>
      </c>
      <c r="J1107" s="281">
        <f t="shared" si="462"/>
        <v>115.74161418840767</v>
      </c>
      <c r="K1107" s="282">
        <f>IF(Notes!$B$9="Domestic",I1107, IF(Notes!$B$9="Commercial",J1107))*$K$1093</f>
        <v>115.74161418840767</v>
      </c>
      <c r="L1107" s="283">
        <f>(SUM(O1107:Q1107)+(K1107+SUM(M1107:Q1107))*(INDEX($U$1093:$AB$1093,MATCH(Notes!$C$16,$U$3:$AB$3,0))-100%))*$L$1093</f>
        <v>411.74</v>
      </c>
      <c r="M1107" s="286"/>
      <c r="N1107" s="286"/>
      <c r="O1107" s="285">
        <v>411.74</v>
      </c>
      <c r="P1107" s="285"/>
      <c r="Q1107" s="285"/>
      <c r="R1107" s="278"/>
      <c r="S1107" s="278"/>
      <c r="T1107" s="278"/>
    </row>
    <row r="1108" spans="1:20" s="305" customFormat="1" hidden="1" outlineLevel="2" x14ac:dyDescent="0.25">
      <c r="A1108" s="278"/>
      <c r="B1108" s="279" t="str">
        <f t="shared" si="460"/>
        <v>2400mm921mm to 1220mmSD/SCquality</v>
      </c>
      <c r="C1108" s="278" t="s">
        <v>558</v>
      </c>
      <c r="D1108" s="278" t="s">
        <v>722</v>
      </c>
      <c r="E1108" s="278" t="s">
        <v>2153</v>
      </c>
      <c r="F1108" s="278" t="s">
        <v>544</v>
      </c>
      <c r="G1108" s="278" t="s">
        <v>5</v>
      </c>
      <c r="H1108" s="310">
        <v>1.4606091761984321</v>
      </c>
      <c r="I1108" s="280">
        <f t="shared" si="461"/>
        <v>117.75431178511761</v>
      </c>
      <c r="J1108" s="281">
        <f t="shared" si="462"/>
        <v>133.54349697982266</v>
      </c>
      <c r="K1108" s="282">
        <f>IF(Notes!$B$9="Domestic",I1108, IF(Notes!$B$9="Commercial",J1108))*$K$1093</f>
        <v>133.54349697982266</v>
      </c>
      <c r="L1108" s="283">
        <f>(SUM(O1108:Q1108)+(K1108+SUM(M1108:Q1108))*(INDEX($U$1093:$AB$1093,MATCH(Notes!$C$16,$U$3:$AB$3,0))-100%))*$L$1093</f>
        <v>456.74</v>
      </c>
      <c r="M1108" s="286"/>
      <c r="N1108" s="286"/>
      <c r="O1108" s="285">
        <v>456.74</v>
      </c>
      <c r="P1108" s="285"/>
      <c r="Q1108" s="285"/>
      <c r="R1108" s="278"/>
      <c r="S1108" s="278"/>
      <c r="T1108" s="278"/>
    </row>
    <row r="1109" spans="1:20" s="305" customFormat="1" hidden="1" outlineLevel="2" x14ac:dyDescent="0.25">
      <c r="A1109" s="278"/>
      <c r="B1109" s="279" t="str">
        <f t="shared" si="460"/>
        <v>2700mmup to 820mmSD/SCquality</v>
      </c>
      <c r="C1109" s="278" t="s">
        <v>779</v>
      </c>
      <c r="D1109" s="278" t="s">
        <v>724</v>
      </c>
      <c r="E1109" s="278" t="s">
        <v>2153</v>
      </c>
      <c r="F1109" s="278" t="s">
        <v>544</v>
      </c>
      <c r="G1109" s="278" t="s">
        <v>5</v>
      </c>
      <c r="H1109" s="310">
        <v>1.0710705564837424</v>
      </c>
      <c r="I1109" s="280">
        <f t="shared" si="461"/>
        <v>86.349708263719322</v>
      </c>
      <c r="J1109" s="281">
        <f t="shared" si="462"/>
        <v>97.927980979308572</v>
      </c>
      <c r="K1109" s="282">
        <f>IF(Notes!$B$9="Domestic",I1109, IF(Notes!$B$9="Commercial",J1109))*$K$1093</f>
        <v>97.927980979308572</v>
      </c>
      <c r="L1109" s="283">
        <f>(SUM(O1109:Q1109)+(K1109+SUM(M1109:Q1109))*(INDEX($U$1093:$AB$1093,MATCH(Notes!$C$16,$U$3:$AB$3,0))-100%))*$L$1093</f>
        <v>399.42</v>
      </c>
      <c r="M1109" s="286"/>
      <c r="N1109" s="286"/>
      <c r="O1109" s="311">
        <f t="shared" ref="O1109:O1111" si="464">O1106+O1106-O1103</f>
        <v>399.42</v>
      </c>
      <c r="P1109" s="285"/>
      <c r="Q1109" s="285"/>
      <c r="R1109" s="278"/>
      <c r="S1109" s="278"/>
      <c r="T1109" s="278"/>
    </row>
    <row r="1110" spans="1:20" s="305" customFormat="1" hidden="1" outlineLevel="2" x14ac:dyDescent="0.25">
      <c r="A1110" s="278"/>
      <c r="B1110" s="279" t="str">
        <f t="shared" si="460"/>
        <v>2700mm821mm to 920mmSD/SCquality</v>
      </c>
      <c r="C1110" s="278" t="s">
        <v>779</v>
      </c>
      <c r="D1110" s="278" t="s">
        <v>721</v>
      </c>
      <c r="E1110" s="278" t="s">
        <v>2153</v>
      </c>
      <c r="F1110" s="278" t="s">
        <v>544</v>
      </c>
      <c r="G1110" s="278" t="s">
        <v>5</v>
      </c>
      <c r="H1110" s="310">
        <v>1.2659041254337489</v>
      </c>
      <c r="I1110" s="280">
        <f t="shared" si="461"/>
        <v>102.05719059246884</v>
      </c>
      <c r="J1110" s="281">
        <f t="shared" si="462"/>
        <v>115.74161418840767</v>
      </c>
      <c r="K1110" s="282">
        <f>IF(Notes!$B$9="Domestic",I1110, IF(Notes!$B$9="Commercial",J1110))*$K$1093</f>
        <v>115.74161418840767</v>
      </c>
      <c r="L1110" s="283">
        <f>(SUM(O1110:Q1110)+(K1110+SUM(M1110:Q1110))*(INDEX($U$1093:$AB$1093,MATCH(Notes!$C$16,$U$3:$AB$3,0))-100%))*$L$1093</f>
        <v>531.42000000000007</v>
      </c>
      <c r="M1110" s="286"/>
      <c r="N1110" s="286"/>
      <c r="O1110" s="311">
        <f t="shared" si="464"/>
        <v>531.42000000000007</v>
      </c>
      <c r="P1110" s="285"/>
      <c r="Q1110" s="285"/>
      <c r="R1110" s="278"/>
      <c r="S1110" s="278"/>
      <c r="T1110" s="278"/>
    </row>
    <row r="1111" spans="1:20" s="305" customFormat="1" hidden="1" outlineLevel="2" x14ac:dyDescent="0.25">
      <c r="A1111" s="278"/>
      <c r="B1111" s="279" t="str">
        <f t="shared" si="460"/>
        <v>2700mm921mm to 1220mmSD/SCquality</v>
      </c>
      <c r="C1111" s="278" t="s">
        <v>779</v>
      </c>
      <c r="D1111" s="278" t="s">
        <v>722</v>
      </c>
      <c r="E1111" s="278" t="s">
        <v>2153</v>
      </c>
      <c r="F1111" s="278" t="s">
        <v>544</v>
      </c>
      <c r="G1111" s="278" t="s">
        <v>5</v>
      </c>
      <c r="H1111" s="310">
        <v>1.4606091761984321</v>
      </c>
      <c r="I1111" s="280">
        <f t="shared" si="461"/>
        <v>117.75431178511761</v>
      </c>
      <c r="J1111" s="281">
        <f t="shared" si="462"/>
        <v>133.54349697982266</v>
      </c>
      <c r="K1111" s="282">
        <f>IF(Notes!$B$9="Domestic",I1111, IF(Notes!$B$9="Commercial",J1111))*$K$1093</f>
        <v>133.54349697982266</v>
      </c>
      <c r="L1111" s="283">
        <f>(SUM(O1111:Q1111)+(K1111+SUM(M1111:Q1111))*(INDEX($U$1093:$AB$1093,MATCH(Notes!$C$16,$U$3:$AB$3,0))-100%))*$L$1093</f>
        <v>563.00800000000004</v>
      </c>
      <c r="M1111" s="286"/>
      <c r="N1111" s="286"/>
      <c r="O1111" s="311">
        <f t="shared" si="464"/>
        <v>563.00800000000004</v>
      </c>
      <c r="P1111" s="285"/>
      <c r="Q1111" s="285"/>
      <c r="R1111" s="278"/>
      <c r="S1111" s="278"/>
      <c r="T1111" s="278"/>
    </row>
    <row r="1112" spans="1:20" s="305" customFormat="1" hidden="1" outlineLevel="2" x14ac:dyDescent="0.25">
      <c r="A1112" s="278"/>
      <c r="B1112" s="279" t="str">
        <f t="shared" si="460"/>
        <v>2100mmup to 820mmSD/SCprestige</v>
      </c>
      <c r="C1112" s="278" t="s">
        <v>557</v>
      </c>
      <c r="D1112" s="278" t="s">
        <v>724</v>
      </c>
      <c r="E1112" s="278" t="s">
        <v>2153</v>
      </c>
      <c r="F1112" s="278" t="s">
        <v>545</v>
      </c>
      <c r="G1112" s="278" t="s">
        <v>5</v>
      </c>
      <c r="H1112" s="310">
        <v>0.87636550571905925</v>
      </c>
      <c r="I1112" s="280">
        <f t="shared" si="461"/>
        <v>70.652587071070556</v>
      </c>
      <c r="J1112" s="281">
        <f t="shared" si="462"/>
        <v>80.126098187893589</v>
      </c>
      <c r="K1112" s="282">
        <f>IF(Notes!$B$9="Domestic",I1112, IF(Notes!$B$9="Commercial",J1112))*$K$1093</f>
        <v>80.126098187893589</v>
      </c>
      <c r="L1112" s="283">
        <f>(SUM(O1112:Q1112)+(K1112+SUM(M1112:Q1112))*(INDEX($U$1093:$AB$1093,MATCH(Notes!$C$16,$U$3:$AB$3,0))-100%))*$L$1093</f>
        <v>220.06</v>
      </c>
      <c r="M1112" s="286"/>
      <c r="N1112" s="286"/>
      <c r="O1112" s="285">
        <v>220.06</v>
      </c>
      <c r="P1112" s="285"/>
      <c r="Q1112" s="285"/>
      <c r="R1112" s="278"/>
      <c r="S1112" s="278"/>
      <c r="T1112" s="278"/>
    </row>
    <row r="1113" spans="1:20" s="305" customFormat="1" hidden="1" outlineLevel="2" x14ac:dyDescent="0.25">
      <c r="A1113" s="278"/>
      <c r="B1113" s="279" t="str">
        <f t="shared" si="460"/>
        <v>2100mm821mm to 920mmSD/SCprestige</v>
      </c>
      <c r="C1113" s="278" t="s">
        <v>557</v>
      </c>
      <c r="D1113" s="278" t="s">
        <v>721</v>
      </c>
      <c r="E1113" s="278" t="s">
        <v>2153</v>
      </c>
      <c r="F1113" s="278" t="s">
        <v>545</v>
      </c>
      <c r="G1113" s="278" t="s">
        <v>5</v>
      </c>
      <c r="H1113" s="310">
        <v>1.1684873409587457</v>
      </c>
      <c r="I1113" s="280">
        <f t="shared" si="461"/>
        <v>94.203449428094089</v>
      </c>
      <c r="J1113" s="281">
        <f t="shared" si="462"/>
        <v>106.83479758385813</v>
      </c>
      <c r="K1113" s="282">
        <f>IF(Notes!$B$9="Domestic",I1113, IF(Notes!$B$9="Commercial",J1113))*$K$1093</f>
        <v>106.83479758385813</v>
      </c>
      <c r="L1113" s="283">
        <f>(SUM(O1113:Q1113)+(K1113+SUM(M1113:Q1113))*(INDEX($U$1093:$AB$1093,MATCH(Notes!$C$16,$U$3:$AB$3,0))-100%))*$L$1093</f>
        <v>327.06</v>
      </c>
      <c r="M1113" s="286"/>
      <c r="N1113" s="286"/>
      <c r="O1113" s="285">
        <v>327.06</v>
      </c>
      <c r="P1113" s="285"/>
      <c r="Q1113" s="285"/>
      <c r="R1113" s="278"/>
      <c r="S1113" s="278"/>
      <c r="T1113" s="278"/>
    </row>
    <row r="1114" spans="1:20" s="305" customFormat="1" hidden="1" outlineLevel="2" x14ac:dyDescent="0.25">
      <c r="A1114" s="278"/>
      <c r="B1114" s="279" t="str">
        <f t="shared" si="460"/>
        <v>2100mm921mm to 1220mmSD/SCprestige</v>
      </c>
      <c r="C1114" s="278" t="s">
        <v>557</v>
      </c>
      <c r="D1114" s="278" t="s">
        <v>722</v>
      </c>
      <c r="E1114" s="278" t="s">
        <v>2153</v>
      </c>
      <c r="F1114" s="278" t="s">
        <v>545</v>
      </c>
      <c r="G1114" s="278" t="s">
        <v>5</v>
      </c>
      <c r="H1114" s="310">
        <v>1.4021848091504947</v>
      </c>
      <c r="I1114" s="280">
        <f t="shared" si="461"/>
        <v>113.04413931371289</v>
      </c>
      <c r="J1114" s="281">
        <f t="shared" si="462"/>
        <v>128.20175710062975</v>
      </c>
      <c r="K1114" s="282">
        <f>IF(Notes!$B$9="Domestic",I1114, IF(Notes!$B$9="Commercial",J1114))*$K$1093</f>
        <v>128.20175710062975</v>
      </c>
      <c r="L1114" s="283">
        <f>(SUM(O1114:Q1114)+(K1114+SUM(M1114:Q1114))*(INDEX($U$1093:$AB$1093,MATCH(Notes!$C$16,$U$3:$AB$3,0))-100%))*$L$1093</f>
        <v>392.47199999999998</v>
      </c>
      <c r="M1114" s="286"/>
      <c r="N1114" s="286"/>
      <c r="O1114" s="311">
        <f>327.06*1.2</f>
        <v>392.47199999999998</v>
      </c>
      <c r="P1114" s="285"/>
      <c r="Q1114" s="285"/>
      <c r="R1114" s="278"/>
      <c r="S1114" s="278"/>
      <c r="T1114" s="278"/>
    </row>
    <row r="1115" spans="1:20" s="305" customFormat="1" hidden="1" outlineLevel="2" x14ac:dyDescent="0.25">
      <c r="A1115" s="278"/>
      <c r="B1115" s="279" t="str">
        <f t="shared" si="460"/>
        <v>2400mmup to 820mmSD/SCprestige</v>
      </c>
      <c r="C1115" s="278" t="s">
        <v>558</v>
      </c>
      <c r="D1115" s="278" t="s">
        <v>724</v>
      </c>
      <c r="E1115" s="278" t="s">
        <v>2153</v>
      </c>
      <c r="F1115" s="278" t="s">
        <v>545</v>
      </c>
      <c r="G1115" s="278" t="s">
        <v>5</v>
      </c>
      <c r="H1115" s="310">
        <v>1.0710705564837424</v>
      </c>
      <c r="I1115" s="280">
        <f t="shared" si="461"/>
        <v>86.349708263719322</v>
      </c>
      <c r="J1115" s="281">
        <f t="shared" si="462"/>
        <v>97.927980979308572</v>
      </c>
      <c r="K1115" s="282">
        <f>IF(Notes!$B$9="Domestic",I1115, IF(Notes!$B$9="Commercial",J1115))*$K$1093</f>
        <v>97.927980979308572</v>
      </c>
      <c r="L1115" s="283">
        <f>(SUM(O1115:Q1115)+(K1115+SUM(M1115:Q1115))*(INDEX($U$1093:$AB$1093,MATCH(Notes!$C$16,$U$3:$AB$3,0))-100%))*$L$1093</f>
        <v>327.74</v>
      </c>
      <c r="M1115" s="286"/>
      <c r="N1115" s="286"/>
      <c r="O1115" s="285">
        <v>327.74</v>
      </c>
      <c r="P1115" s="285"/>
      <c r="Q1115" s="285"/>
      <c r="R1115" s="278"/>
      <c r="S1115" s="278"/>
      <c r="T1115" s="278"/>
    </row>
    <row r="1116" spans="1:20" s="305" customFormat="1" hidden="1" outlineLevel="2" x14ac:dyDescent="0.25">
      <c r="A1116" s="278"/>
      <c r="B1116" s="279" t="str">
        <f t="shared" si="460"/>
        <v>2400mm821mm to 920mmSD/SCprestige</v>
      </c>
      <c r="C1116" s="278" t="s">
        <v>558</v>
      </c>
      <c r="D1116" s="278" t="s">
        <v>721</v>
      </c>
      <c r="E1116" s="278" t="s">
        <v>2153</v>
      </c>
      <c r="F1116" s="278" t="s">
        <v>545</v>
      </c>
      <c r="G1116" s="278" t="s">
        <v>5</v>
      </c>
      <c r="H1116" s="310">
        <v>1.2659041254337489</v>
      </c>
      <c r="I1116" s="280">
        <f t="shared" si="461"/>
        <v>102.05719059246884</v>
      </c>
      <c r="J1116" s="281">
        <f t="shared" si="462"/>
        <v>115.74161418840767</v>
      </c>
      <c r="K1116" s="282">
        <f>IF(Notes!$B$9="Domestic",I1116, IF(Notes!$B$9="Commercial",J1116))*$K$1093</f>
        <v>115.74161418840767</v>
      </c>
      <c r="L1116" s="283">
        <f>(SUM(O1116:Q1116)+(K1116+SUM(M1116:Q1116))*(INDEX($U$1093:$AB$1093,MATCH(Notes!$C$16,$U$3:$AB$3,0))-100%))*$L$1093</f>
        <v>496.74</v>
      </c>
      <c r="M1116" s="286"/>
      <c r="N1116" s="286"/>
      <c r="O1116" s="285">
        <v>496.74</v>
      </c>
      <c r="P1116" s="285"/>
      <c r="Q1116" s="285"/>
      <c r="R1116" s="278"/>
      <c r="S1116" s="278"/>
      <c r="T1116" s="278"/>
    </row>
    <row r="1117" spans="1:20" s="305" customFormat="1" hidden="1" outlineLevel="2" x14ac:dyDescent="0.25">
      <c r="A1117" s="278"/>
      <c r="B1117" s="279" t="str">
        <f t="shared" si="460"/>
        <v>2400mm921mm to 1220mmSD/SCprestige</v>
      </c>
      <c r="C1117" s="278" t="s">
        <v>558</v>
      </c>
      <c r="D1117" s="278" t="s">
        <v>722</v>
      </c>
      <c r="E1117" s="278" t="s">
        <v>2153</v>
      </c>
      <c r="F1117" s="278" t="s">
        <v>545</v>
      </c>
      <c r="G1117" s="278" t="s">
        <v>5</v>
      </c>
      <c r="H1117" s="310">
        <v>1.4606091761984321</v>
      </c>
      <c r="I1117" s="280">
        <f t="shared" si="461"/>
        <v>117.75431178511761</v>
      </c>
      <c r="J1117" s="281">
        <f t="shared" si="462"/>
        <v>133.54349697982266</v>
      </c>
      <c r="K1117" s="282">
        <f>IF(Notes!$B$9="Domestic",I1117, IF(Notes!$B$9="Commercial",J1117))*$K$1093</f>
        <v>133.54349697982266</v>
      </c>
      <c r="L1117" s="283">
        <f>(SUM(O1117:Q1117)+(K1117+SUM(M1117:Q1117))*(INDEX($U$1093:$AB$1093,MATCH(Notes!$C$16,$U$3:$AB$3,0))-100%))*$L$1093</f>
        <v>557.42999999999995</v>
      </c>
      <c r="M1117" s="286"/>
      <c r="N1117" s="286"/>
      <c r="O1117" s="285">
        <v>557.42999999999995</v>
      </c>
      <c r="P1117" s="285"/>
      <c r="Q1117" s="285"/>
      <c r="R1117" s="278"/>
      <c r="S1117" s="278"/>
      <c r="T1117" s="278"/>
    </row>
    <row r="1118" spans="1:20" s="305" customFormat="1" hidden="1" outlineLevel="2" x14ac:dyDescent="0.25">
      <c r="A1118" s="278"/>
      <c r="B1118" s="279" t="str">
        <f t="shared" si="460"/>
        <v>2700mmup to 820mmSD/SCprestige</v>
      </c>
      <c r="C1118" s="278" t="s">
        <v>779</v>
      </c>
      <c r="D1118" s="278" t="s">
        <v>724</v>
      </c>
      <c r="E1118" s="278" t="s">
        <v>2153</v>
      </c>
      <c r="F1118" s="278" t="s">
        <v>545</v>
      </c>
      <c r="G1118" s="278" t="s">
        <v>5</v>
      </c>
      <c r="H1118" s="310">
        <v>1.0710705564837424</v>
      </c>
      <c r="I1118" s="280">
        <f t="shared" si="461"/>
        <v>86.349708263719322</v>
      </c>
      <c r="J1118" s="281">
        <f t="shared" si="462"/>
        <v>97.927980979308572</v>
      </c>
      <c r="K1118" s="282">
        <f>IF(Notes!$B$9="Domestic",I1118, IF(Notes!$B$9="Commercial",J1118))*$K$1093</f>
        <v>97.927980979308572</v>
      </c>
      <c r="L1118" s="283">
        <f>(SUM(O1118:Q1118)+(K1118+SUM(M1118:Q1118))*(INDEX($U$1093:$AB$1093,MATCH(Notes!$C$16,$U$3:$AB$3,0))-100%))*$L$1093</f>
        <v>435.42</v>
      </c>
      <c r="M1118" s="286"/>
      <c r="N1118" s="286"/>
      <c r="O1118" s="311">
        <f t="shared" ref="O1118:O1120" si="465">O1115+O1115-O1112</f>
        <v>435.42</v>
      </c>
      <c r="P1118" s="285"/>
      <c r="Q1118" s="285"/>
      <c r="R1118" s="278"/>
      <c r="S1118" s="278"/>
      <c r="T1118" s="278"/>
    </row>
    <row r="1119" spans="1:20" s="305" customFormat="1" hidden="1" outlineLevel="2" x14ac:dyDescent="0.25">
      <c r="A1119" s="278"/>
      <c r="B1119" s="279" t="str">
        <f t="shared" si="460"/>
        <v>2700mm821mm to 920mmSD/SCprestige</v>
      </c>
      <c r="C1119" s="278" t="s">
        <v>779</v>
      </c>
      <c r="D1119" s="278" t="s">
        <v>721</v>
      </c>
      <c r="E1119" s="278" t="s">
        <v>2153</v>
      </c>
      <c r="F1119" s="278" t="s">
        <v>545</v>
      </c>
      <c r="G1119" s="278" t="s">
        <v>5</v>
      </c>
      <c r="H1119" s="310">
        <v>1.2659041254337489</v>
      </c>
      <c r="I1119" s="280">
        <f t="shared" si="461"/>
        <v>102.05719059246884</v>
      </c>
      <c r="J1119" s="281">
        <f t="shared" si="462"/>
        <v>115.74161418840767</v>
      </c>
      <c r="K1119" s="282">
        <f>IF(Notes!$B$9="Domestic",I1119, IF(Notes!$B$9="Commercial",J1119))*$K$1093</f>
        <v>115.74161418840767</v>
      </c>
      <c r="L1119" s="283">
        <f>(SUM(O1119:Q1119)+(K1119+SUM(M1119:Q1119))*(INDEX($U$1093:$AB$1093,MATCH(Notes!$C$16,$U$3:$AB$3,0))-100%))*$L$1093</f>
        <v>666.42000000000007</v>
      </c>
      <c r="M1119" s="286"/>
      <c r="N1119" s="286"/>
      <c r="O1119" s="311">
        <f t="shared" si="465"/>
        <v>666.42000000000007</v>
      </c>
      <c r="P1119" s="285"/>
      <c r="Q1119" s="285"/>
      <c r="R1119" s="278"/>
      <c r="S1119" s="278"/>
      <c r="T1119" s="278"/>
    </row>
    <row r="1120" spans="1:20" s="305" customFormat="1" hidden="1" outlineLevel="2" x14ac:dyDescent="0.25">
      <c r="A1120" s="278"/>
      <c r="B1120" s="279" t="str">
        <f t="shared" si="460"/>
        <v>2700mm921mm to 1220mmSD/SCprestige</v>
      </c>
      <c r="C1120" s="278" t="s">
        <v>779</v>
      </c>
      <c r="D1120" s="278" t="s">
        <v>722</v>
      </c>
      <c r="E1120" s="278" t="s">
        <v>2153</v>
      </c>
      <c r="F1120" s="278" t="s">
        <v>545</v>
      </c>
      <c r="G1120" s="278" t="s">
        <v>5</v>
      </c>
      <c r="H1120" s="310">
        <v>1.4606091761984321</v>
      </c>
      <c r="I1120" s="280">
        <f t="shared" si="461"/>
        <v>117.75431178511761</v>
      </c>
      <c r="J1120" s="281">
        <f t="shared" si="462"/>
        <v>133.54349697982266</v>
      </c>
      <c r="K1120" s="282">
        <f>IF(Notes!$B$9="Domestic",I1120, IF(Notes!$B$9="Commercial",J1120))*$K$1093</f>
        <v>133.54349697982266</v>
      </c>
      <c r="L1120" s="283">
        <f>(SUM(O1120:Q1120)+(K1120+SUM(M1120:Q1120))*(INDEX($U$1093:$AB$1093,MATCH(Notes!$C$16,$U$3:$AB$3,0))-100%))*$L$1093</f>
        <v>722.38799999999992</v>
      </c>
      <c r="M1120" s="286"/>
      <c r="N1120" s="286"/>
      <c r="O1120" s="311">
        <f t="shared" si="465"/>
        <v>722.38799999999992</v>
      </c>
      <c r="P1120" s="285"/>
      <c r="Q1120" s="285"/>
      <c r="R1120" s="278"/>
      <c r="S1120" s="278"/>
      <c r="T1120" s="278"/>
    </row>
    <row r="1121" spans="1:28" ht="21" hidden="1" outlineLevel="1" collapsed="1" x14ac:dyDescent="0.25">
      <c r="A1121" s="299" t="s">
        <v>2097</v>
      </c>
      <c r="B1121" s="299"/>
      <c r="C1121" s="299"/>
      <c r="D1121" s="299"/>
      <c r="E1121" s="299"/>
      <c r="F1121" s="299"/>
      <c r="G1121" s="299"/>
      <c r="H1121" s="348"/>
      <c r="I1121" s="299"/>
      <c r="J1121" s="299"/>
      <c r="K1121" s="299"/>
      <c r="L1121" s="299"/>
      <c r="M1121" s="299"/>
      <c r="N1121" s="299"/>
      <c r="O1121" s="299"/>
      <c r="P1121" s="299"/>
      <c r="Q1121" s="299"/>
      <c r="R1121" s="299"/>
      <c r="S1121" s="299"/>
      <c r="T1121" s="299"/>
      <c r="U1121" s="299"/>
      <c r="V1121" s="299"/>
      <c r="W1121" s="299"/>
      <c r="X1121" s="299"/>
      <c r="Y1121" s="299"/>
      <c r="Z1121" s="299"/>
      <c r="AA1121" s="299"/>
      <c r="AB1121" s="299"/>
    </row>
    <row r="1122" spans="1:28" ht="15.75" hidden="1" outlineLevel="1" x14ac:dyDescent="0.25">
      <c r="A1122" s="291"/>
      <c r="B1122" s="291"/>
      <c r="C1122" s="291"/>
      <c r="D1122" s="291"/>
      <c r="E1122" s="291"/>
      <c r="F1122" s="291"/>
      <c r="G1122" s="291"/>
      <c r="H1122" s="325"/>
      <c r="I1122" s="291"/>
      <c r="J1122" s="291"/>
      <c r="K1122" s="291">
        <f>K$2</f>
        <v>1</v>
      </c>
      <c r="L1122" s="291">
        <f>L$2</f>
        <v>1</v>
      </c>
      <c r="M1122" s="291"/>
      <c r="N1122" s="291"/>
      <c r="O1122" s="303"/>
      <c r="P1122" s="303"/>
      <c r="Q1122" s="303"/>
      <c r="R1122" s="291"/>
      <c r="S1122" s="291"/>
      <c r="T1122" s="291"/>
      <c r="U1122" s="381">
        <f>U$1093</f>
        <v>0.97101449275362317</v>
      </c>
      <c r="V1122" s="381">
        <f t="shared" ref="V1122:AB1122" si="466">V$1093</f>
        <v>1</v>
      </c>
      <c r="W1122" s="381">
        <f t="shared" si="466"/>
        <v>1.1159420289855073</v>
      </c>
      <c r="X1122" s="381">
        <f t="shared" si="466"/>
        <v>1.0905797101449275</v>
      </c>
      <c r="Y1122" s="381">
        <f t="shared" si="466"/>
        <v>1.1956521739130435</v>
      </c>
      <c r="Z1122" s="381">
        <f t="shared" si="466"/>
        <v>0.89130434782608692</v>
      </c>
      <c r="AA1122" s="381">
        <f t="shared" si="466"/>
        <v>1.3586956521739131</v>
      </c>
      <c r="AB1122" s="381">
        <f t="shared" si="466"/>
        <v>1.0253623188405796</v>
      </c>
    </row>
    <row r="1123" spans="1:28" s="305" customFormat="1" hidden="1" outlineLevel="2" x14ac:dyDescent="0.25">
      <c r="A1123" s="278"/>
      <c r="B1123" s="279" t="str">
        <f>C1123&amp;D1123&amp;E1123&amp;F1123</f>
        <v>2100mm2 x up to 820mmDD/SCaverage</v>
      </c>
      <c r="C1123" s="278" t="s">
        <v>557</v>
      </c>
      <c r="D1123" s="278" t="s">
        <v>787</v>
      </c>
      <c r="E1123" s="278" t="s">
        <v>2154</v>
      </c>
      <c r="F1123" s="278" t="s">
        <v>543</v>
      </c>
      <c r="G1123" s="278" t="s">
        <v>5</v>
      </c>
      <c r="H1123" s="310">
        <v>1.7527310114381185</v>
      </c>
      <c r="I1123" s="280">
        <f>$I$2*H1123</f>
        <v>141.30517414214111</v>
      </c>
      <c r="J1123" s="281">
        <f>$J$2*H1123</f>
        <v>160.25219637578718</v>
      </c>
      <c r="K1123" s="282">
        <f>IF(Notes!$B$9="Domestic",I1123, IF(Notes!$B$9="Commercial",J1123))*$K$1122</f>
        <v>160.25219637578718</v>
      </c>
      <c r="L1123" s="283">
        <f>(SUM(O1123:Q1123)+(K1123+SUM(M1123:Q1123))*(INDEX($U$1122:$AB$1122,MATCH(Notes!$C$16,$U$3:$AB$3,0))-100%))*$L$1122</f>
        <v>408.12</v>
      </c>
      <c r="M1123" s="286"/>
      <c r="N1123" s="286"/>
      <c r="O1123" s="311">
        <f>O1094*2</f>
        <v>408.12</v>
      </c>
      <c r="P1123" s="285"/>
      <c r="Q1123" s="285"/>
      <c r="R1123" s="278"/>
      <c r="S1123" s="278"/>
      <c r="T1123" s="278"/>
    </row>
    <row r="1124" spans="1:28" s="305" customFormat="1" hidden="1" outlineLevel="2" x14ac:dyDescent="0.25">
      <c r="A1124" s="278"/>
      <c r="B1124" s="279" t="str">
        <f t="shared" ref="B1124:B1125" si="467">C1124&amp;D1124&amp;E1124&amp;F1124</f>
        <v>2100mm2 x 821mm to 920mmDD/SCaverage</v>
      </c>
      <c r="C1124" s="278" t="s">
        <v>557</v>
      </c>
      <c r="D1124" s="278" t="s">
        <v>788</v>
      </c>
      <c r="E1124" s="278" t="s">
        <v>2154</v>
      </c>
      <c r="F1124" s="278" t="s">
        <v>543</v>
      </c>
      <c r="G1124" s="278" t="s">
        <v>5</v>
      </c>
      <c r="H1124" s="310">
        <v>2.3369746819174915</v>
      </c>
      <c r="I1124" s="280">
        <f t="shared" ref="I1124:I1125" si="468">$I$2*H1124</f>
        <v>188.40689885618818</v>
      </c>
      <c r="J1124" s="281">
        <f t="shared" ref="J1124:J1125" si="469">$J$2*H1124</f>
        <v>213.66959516771627</v>
      </c>
      <c r="K1124" s="282">
        <f>IF(Notes!$B$9="Domestic",I1124, IF(Notes!$B$9="Commercial",J1124))*$K$1122</f>
        <v>213.66959516771627</v>
      </c>
      <c r="L1124" s="283">
        <f>(SUM(O1124:Q1124)+(K1124+SUM(M1124:Q1124))*(INDEX($U$1122:$AB$1122,MATCH(Notes!$C$16,$U$3:$AB$3,0))-100%))*$L$1122</f>
        <v>584.12</v>
      </c>
      <c r="M1124" s="286"/>
      <c r="N1124" s="286"/>
      <c r="O1124" s="311">
        <f t="shared" ref="O1124:O1149" si="470">O1095*2</f>
        <v>584.12</v>
      </c>
      <c r="P1124" s="285"/>
      <c r="Q1124" s="285"/>
      <c r="R1124" s="278"/>
      <c r="S1124" s="278"/>
      <c r="T1124" s="278"/>
    </row>
    <row r="1125" spans="1:28" s="305" customFormat="1" hidden="1" outlineLevel="2" x14ac:dyDescent="0.25">
      <c r="A1125" s="278"/>
      <c r="B1125" s="279" t="str">
        <f t="shared" si="467"/>
        <v>2100mm2 x 921mm to 1220mmDD/SCaverage</v>
      </c>
      <c r="C1125" s="278" t="s">
        <v>557</v>
      </c>
      <c r="D1125" s="278" t="s">
        <v>789</v>
      </c>
      <c r="E1125" s="278" t="s">
        <v>2154</v>
      </c>
      <c r="F1125" s="278" t="s">
        <v>543</v>
      </c>
      <c r="G1125" s="278" t="s">
        <v>5</v>
      </c>
      <c r="H1125" s="310">
        <v>2.8043696183009894</v>
      </c>
      <c r="I1125" s="280">
        <f t="shared" si="468"/>
        <v>226.08827862742578</v>
      </c>
      <c r="J1125" s="281">
        <f t="shared" si="469"/>
        <v>256.4035142012595</v>
      </c>
      <c r="K1125" s="282">
        <f>IF(Notes!$B$9="Domestic",I1125, IF(Notes!$B$9="Commercial",J1125))*$K$1122</f>
        <v>256.4035142012595</v>
      </c>
      <c r="L1125" s="283">
        <f>(SUM(O1125:Q1125)+(K1125+SUM(M1125:Q1125))*(INDEX($U$1122:$AB$1122,MATCH(Notes!$C$16,$U$3:$AB$3,0))-100%))*$L$1122</f>
        <v>700.94399999999996</v>
      </c>
      <c r="M1125" s="286"/>
      <c r="N1125" s="286"/>
      <c r="O1125" s="311">
        <f t="shared" si="470"/>
        <v>700.94399999999996</v>
      </c>
      <c r="P1125" s="285"/>
      <c r="Q1125" s="285"/>
      <c r="R1125" s="278"/>
      <c r="S1125" s="278"/>
      <c r="T1125" s="278"/>
    </row>
    <row r="1126" spans="1:28" s="305" customFormat="1" hidden="1" outlineLevel="2" x14ac:dyDescent="0.25">
      <c r="A1126" s="278"/>
      <c r="B1126" s="279" t="str">
        <f t="shared" ref="B1126:B1149" si="471">C1126&amp;D1126&amp;E1126&amp;F1126</f>
        <v>2400mm2 x up to 820mmDD/SCaverage</v>
      </c>
      <c r="C1126" s="278" t="s">
        <v>558</v>
      </c>
      <c r="D1126" s="278" t="s">
        <v>787</v>
      </c>
      <c r="E1126" s="278" t="s">
        <v>2154</v>
      </c>
      <c r="F1126" s="278" t="s">
        <v>543</v>
      </c>
      <c r="G1126" s="278" t="s">
        <v>5</v>
      </c>
      <c r="H1126" s="310">
        <v>2.1421411129674848</v>
      </c>
      <c r="I1126" s="280">
        <f t="shared" ref="I1126:I1149" si="472">$I$2*H1126</f>
        <v>172.69941652743864</v>
      </c>
      <c r="J1126" s="281">
        <f t="shared" ref="J1126:J1149" si="473">$J$2*H1126</f>
        <v>195.85596195861714</v>
      </c>
      <c r="K1126" s="282">
        <f>IF(Notes!$B$9="Domestic",I1126, IF(Notes!$B$9="Commercial",J1126))*$K$1122</f>
        <v>195.85596195861714</v>
      </c>
      <c r="L1126" s="283">
        <f>(SUM(O1126:Q1126)+(K1126+SUM(M1126:Q1126))*(INDEX($U$1122:$AB$1122,MATCH(Notes!$C$16,$U$3:$AB$3,0))-100%))*$L$1122</f>
        <v>603.48</v>
      </c>
      <c r="M1126" s="286"/>
      <c r="N1126" s="286"/>
      <c r="O1126" s="311">
        <f t="shared" si="470"/>
        <v>603.48</v>
      </c>
      <c r="P1126" s="285"/>
      <c r="Q1126" s="285"/>
      <c r="R1126" s="278"/>
      <c r="S1126" s="278"/>
      <c r="T1126" s="278"/>
    </row>
    <row r="1127" spans="1:28" s="305" customFormat="1" hidden="1" outlineLevel="2" x14ac:dyDescent="0.25">
      <c r="A1127" s="278"/>
      <c r="B1127" s="279" t="str">
        <f t="shared" si="471"/>
        <v>2400mm2 x 821mm to 920mmDD/SCaverage</v>
      </c>
      <c r="C1127" s="278" t="s">
        <v>558</v>
      </c>
      <c r="D1127" s="278" t="s">
        <v>788</v>
      </c>
      <c r="E1127" s="278" t="s">
        <v>2154</v>
      </c>
      <c r="F1127" s="278" t="s">
        <v>543</v>
      </c>
      <c r="G1127" s="278" t="s">
        <v>5</v>
      </c>
      <c r="H1127" s="310">
        <v>2.5318082508674977</v>
      </c>
      <c r="I1127" s="280">
        <f t="shared" si="472"/>
        <v>204.11438118493768</v>
      </c>
      <c r="J1127" s="281">
        <f t="shared" si="473"/>
        <v>231.48322837681533</v>
      </c>
      <c r="K1127" s="282">
        <f>IF(Notes!$B$9="Domestic",I1127, IF(Notes!$B$9="Commercial",J1127))*$K$1122</f>
        <v>231.48322837681533</v>
      </c>
      <c r="L1127" s="283">
        <f>(SUM(O1127:Q1127)+(K1127+SUM(M1127:Q1127))*(INDEX($U$1122:$AB$1122,MATCH(Notes!$C$16,$U$3:$AB$3,0))-100%))*$L$1122</f>
        <v>823.48</v>
      </c>
      <c r="M1127" s="286"/>
      <c r="N1127" s="286"/>
      <c r="O1127" s="311">
        <f t="shared" si="470"/>
        <v>823.48</v>
      </c>
      <c r="P1127" s="285"/>
      <c r="Q1127" s="285"/>
      <c r="R1127" s="278"/>
      <c r="S1127" s="278"/>
      <c r="T1127" s="278"/>
    </row>
    <row r="1128" spans="1:28" s="305" customFormat="1" hidden="1" outlineLevel="2" x14ac:dyDescent="0.25">
      <c r="A1128" s="278"/>
      <c r="B1128" s="279" t="str">
        <f t="shared" si="471"/>
        <v>2400mm2 x 921mm to 1220mmDD/SCaverage</v>
      </c>
      <c r="C1128" s="278" t="s">
        <v>558</v>
      </c>
      <c r="D1128" s="278" t="s">
        <v>789</v>
      </c>
      <c r="E1128" s="278" t="s">
        <v>2154</v>
      </c>
      <c r="F1128" s="278" t="s">
        <v>543</v>
      </c>
      <c r="G1128" s="278" t="s">
        <v>5</v>
      </c>
      <c r="H1128" s="310">
        <v>2.9212183523968642</v>
      </c>
      <c r="I1128" s="280">
        <f t="shared" si="472"/>
        <v>235.50862357023522</v>
      </c>
      <c r="J1128" s="281">
        <f t="shared" si="473"/>
        <v>267.08699395964533</v>
      </c>
      <c r="K1128" s="282">
        <f>IF(Notes!$B$9="Domestic",I1128, IF(Notes!$B$9="Commercial",J1128))*$K$1122</f>
        <v>267.08699395964533</v>
      </c>
      <c r="L1128" s="283">
        <f>(SUM(O1128:Q1128)+(K1128+SUM(M1128:Q1128))*(INDEX($U$1122:$AB$1122,MATCH(Notes!$C$16,$U$3:$AB$3,0))-100%))*$L$1122</f>
        <v>913.48</v>
      </c>
      <c r="M1128" s="286"/>
      <c r="N1128" s="286"/>
      <c r="O1128" s="311">
        <f t="shared" si="470"/>
        <v>913.48</v>
      </c>
      <c r="P1128" s="285"/>
      <c r="Q1128" s="285"/>
      <c r="R1128" s="278"/>
      <c r="S1128" s="278"/>
      <c r="T1128" s="278"/>
    </row>
    <row r="1129" spans="1:28" s="305" customFormat="1" hidden="1" outlineLevel="2" x14ac:dyDescent="0.25">
      <c r="A1129" s="278"/>
      <c r="B1129" s="279" t="str">
        <f t="shared" si="471"/>
        <v>2700mm2 x up to 820mmDD/SCaverage</v>
      </c>
      <c r="C1129" s="278" t="s">
        <v>779</v>
      </c>
      <c r="D1129" s="278" t="s">
        <v>787</v>
      </c>
      <c r="E1129" s="278" t="s">
        <v>2154</v>
      </c>
      <c r="F1129" s="278" t="s">
        <v>543</v>
      </c>
      <c r="G1129" s="278" t="s">
        <v>5</v>
      </c>
      <c r="H1129" s="310">
        <v>2.1421411129674848</v>
      </c>
      <c r="I1129" s="280">
        <f t="shared" si="472"/>
        <v>172.69941652743864</v>
      </c>
      <c r="J1129" s="281">
        <f t="shared" si="473"/>
        <v>195.85596195861714</v>
      </c>
      <c r="K1129" s="282">
        <f>IF(Notes!$B$9="Domestic",I1129, IF(Notes!$B$9="Commercial",J1129))*$K$1122</f>
        <v>195.85596195861714</v>
      </c>
      <c r="L1129" s="283">
        <f>(SUM(O1129:Q1129)+(K1129+SUM(M1129:Q1129))*(INDEX($U$1122:$AB$1122,MATCH(Notes!$C$16,$U$3:$AB$3,0))-100%))*$L$1122</f>
        <v>798.84</v>
      </c>
      <c r="M1129" s="286"/>
      <c r="N1129" s="286"/>
      <c r="O1129" s="311">
        <f>O1100*2</f>
        <v>798.84</v>
      </c>
      <c r="P1129" s="285"/>
      <c r="Q1129" s="285"/>
      <c r="R1129" s="278"/>
      <c r="S1129" s="278"/>
      <c r="T1129" s="278"/>
    </row>
    <row r="1130" spans="1:28" s="305" customFormat="1" hidden="1" outlineLevel="2" x14ac:dyDescent="0.25">
      <c r="A1130" s="278"/>
      <c r="B1130" s="279" t="str">
        <f t="shared" si="471"/>
        <v>2700mm2 x 821mm to 920mmDD/SCaverage</v>
      </c>
      <c r="C1130" s="278" t="s">
        <v>779</v>
      </c>
      <c r="D1130" s="278" t="s">
        <v>788</v>
      </c>
      <c r="E1130" s="278" t="s">
        <v>2154</v>
      </c>
      <c r="F1130" s="278" t="s">
        <v>543</v>
      </c>
      <c r="G1130" s="278" t="s">
        <v>5</v>
      </c>
      <c r="H1130" s="310">
        <v>2.5318082508674977</v>
      </c>
      <c r="I1130" s="280">
        <f t="shared" si="472"/>
        <v>204.11438118493768</v>
      </c>
      <c r="J1130" s="281">
        <f t="shared" si="473"/>
        <v>231.48322837681533</v>
      </c>
      <c r="K1130" s="282">
        <f>IF(Notes!$B$9="Domestic",I1130, IF(Notes!$B$9="Commercial",J1130))*$K$1122</f>
        <v>231.48322837681533</v>
      </c>
      <c r="L1130" s="283">
        <f>(SUM(O1130:Q1130)+(K1130+SUM(M1130:Q1130))*(INDEX($U$1122:$AB$1122,MATCH(Notes!$C$16,$U$3:$AB$3,0))-100%))*$L$1122</f>
        <v>1062.8400000000001</v>
      </c>
      <c r="M1130" s="286"/>
      <c r="N1130" s="286"/>
      <c r="O1130" s="311">
        <f t="shared" si="470"/>
        <v>1062.8400000000001</v>
      </c>
      <c r="P1130" s="285"/>
      <c r="Q1130" s="285"/>
      <c r="R1130" s="278"/>
      <c r="S1130" s="278"/>
      <c r="T1130" s="278"/>
    </row>
    <row r="1131" spans="1:28" s="305" customFormat="1" hidden="1" outlineLevel="2" x14ac:dyDescent="0.25">
      <c r="A1131" s="278"/>
      <c r="B1131" s="279" t="str">
        <f t="shared" si="471"/>
        <v>2700mm2 x 921mm to 1220mmDD/SCaverage</v>
      </c>
      <c r="C1131" s="278" t="s">
        <v>779</v>
      </c>
      <c r="D1131" s="278" t="s">
        <v>789</v>
      </c>
      <c r="E1131" s="278" t="s">
        <v>2154</v>
      </c>
      <c r="F1131" s="278" t="s">
        <v>543</v>
      </c>
      <c r="G1131" s="278" t="s">
        <v>5</v>
      </c>
      <c r="H1131" s="310">
        <v>2.9212183523968642</v>
      </c>
      <c r="I1131" s="280">
        <f t="shared" si="472"/>
        <v>235.50862357023522</v>
      </c>
      <c r="J1131" s="281">
        <f t="shared" si="473"/>
        <v>267.08699395964533</v>
      </c>
      <c r="K1131" s="282">
        <f>IF(Notes!$B$9="Domestic",I1131, IF(Notes!$B$9="Commercial",J1131))*$K$1122</f>
        <v>267.08699395964533</v>
      </c>
      <c r="L1131" s="283">
        <f>(SUM(O1131:Q1131)+(K1131+SUM(M1131:Q1131))*(INDEX($U$1122:$AB$1122,MATCH(Notes!$C$16,$U$3:$AB$3,0))-100%))*$L$1122</f>
        <v>1126.0160000000001</v>
      </c>
      <c r="M1131" s="286"/>
      <c r="N1131" s="286"/>
      <c r="O1131" s="311">
        <f t="shared" si="470"/>
        <v>1126.0160000000001</v>
      </c>
      <c r="P1131" s="285"/>
      <c r="Q1131" s="285"/>
      <c r="R1131" s="278"/>
      <c r="S1131" s="278"/>
      <c r="T1131" s="278"/>
    </row>
    <row r="1132" spans="1:28" s="305" customFormat="1" hidden="1" outlineLevel="2" x14ac:dyDescent="0.25">
      <c r="A1132" s="278"/>
      <c r="B1132" s="279" t="str">
        <f t="shared" si="471"/>
        <v>2100mm2 x up to 820mmDD/SCquality</v>
      </c>
      <c r="C1132" s="278" t="s">
        <v>557</v>
      </c>
      <c r="D1132" s="278" t="s">
        <v>787</v>
      </c>
      <c r="E1132" s="278" t="s">
        <v>2154</v>
      </c>
      <c r="F1132" s="278" t="s">
        <v>544</v>
      </c>
      <c r="G1132" s="278" t="s">
        <v>5</v>
      </c>
      <c r="H1132" s="310">
        <v>1.7527310114381185</v>
      </c>
      <c r="I1132" s="280">
        <f t="shared" si="472"/>
        <v>141.30517414214111</v>
      </c>
      <c r="J1132" s="281">
        <f t="shared" si="473"/>
        <v>160.25219637578718</v>
      </c>
      <c r="K1132" s="282">
        <f>IF(Notes!$B$9="Domestic",I1132, IF(Notes!$B$9="Commercial",J1132))*$K$1122</f>
        <v>160.25219637578718</v>
      </c>
      <c r="L1132" s="283">
        <f>(SUM(O1132:Q1132)+(K1132+SUM(M1132:Q1132))*(INDEX($U$1122:$AB$1122,MATCH(Notes!$C$16,$U$3:$AB$3,0))-100%))*$L$1122</f>
        <v>408.12</v>
      </c>
      <c r="M1132" s="286"/>
      <c r="N1132" s="286"/>
      <c r="O1132" s="311">
        <f t="shared" si="470"/>
        <v>408.12</v>
      </c>
      <c r="P1132" s="285"/>
      <c r="Q1132" s="285"/>
      <c r="R1132" s="278"/>
      <c r="S1132" s="278"/>
      <c r="T1132" s="278"/>
    </row>
    <row r="1133" spans="1:28" s="305" customFormat="1" hidden="1" outlineLevel="2" x14ac:dyDescent="0.25">
      <c r="A1133" s="278"/>
      <c r="B1133" s="279" t="str">
        <f t="shared" si="471"/>
        <v>2100mm2 x 821mm to 920mmDD/SCquality</v>
      </c>
      <c r="C1133" s="278" t="s">
        <v>557</v>
      </c>
      <c r="D1133" s="278" t="s">
        <v>788</v>
      </c>
      <c r="E1133" s="278" t="s">
        <v>2154</v>
      </c>
      <c r="F1133" s="278" t="s">
        <v>544</v>
      </c>
      <c r="G1133" s="278" t="s">
        <v>5</v>
      </c>
      <c r="H1133" s="310">
        <v>2.3369746819174915</v>
      </c>
      <c r="I1133" s="280">
        <f t="shared" si="472"/>
        <v>188.40689885618818</v>
      </c>
      <c r="J1133" s="281">
        <f t="shared" si="473"/>
        <v>213.66959516771627</v>
      </c>
      <c r="K1133" s="282">
        <f>IF(Notes!$B$9="Domestic",I1133, IF(Notes!$B$9="Commercial",J1133))*$K$1122</f>
        <v>213.66959516771627</v>
      </c>
      <c r="L1133" s="283">
        <f>(SUM(O1133:Q1133)+(K1133+SUM(M1133:Q1133))*(INDEX($U$1122:$AB$1122,MATCH(Notes!$C$16,$U$3:$AB$3,0))-100%))*$L$1122</f>
        <v>584.12</v>
      </c>
      <c r="M1133" s="286"/>
      <c r="N1133" s="286"/>
      <c r="O1133" s="311">
        <f t="shared" si="470"/>
        <v>584.12</v>
      </c>
      <c r="P1133" s="285"/>
      <c r="Q1133" s="285"/>
      <c r="R1133" s="278"/>
      <c r="S1133" s="278"/>
      <c r="T1133" s="278"/>
    </row>
    <row r="1134" spans="1:28" s="305" customFormat="1" hidden="1" outlineLevel="2" x14ac:dyDescent="0.25">
      <c r="A1134" s="278"/>
      <c r="B1134" s="279" t="str">
        <f t="shared" si="471"/>
        <v>2100mm2 x 921mm to 1220mmDD/SCquality</v>
      </c>
      <c r="C1134" s="278" t="s">
        <v>557</v>
      </c>
      <c r="D1134" s="278" t="s">
        <v>789</v>
      </c>
      <c r="E1134" s="278" t="s">
        <v>2154</v>
      </c>
      <c r="F1134" s="278" t="s">
        <v>544</v>
      </c>
      <c r="G1134" s="278" t="s">
        <v>5</v>
      </c>
      <c r="H1134" s="310">
        <v>2.8043696183009894</v>
      </c>
      <c r="I1134" s="280">
        <f t="shared" si="472"/>
        <v>226.08827862742578</v>
      </c>
      <c r="J1134" s="281">
        <f t="shared" si="473"/>
        <v>256.4035142012595</v>
      </c>
      <c r="K1134" s="282">
        <f>IF(Notes!$B$9="Domestic",I1134, IF(Notes!$B$9="Commercial",J1134))*$K$1122</f>
        <v>256.4035142012595</v>
      </c>
      <c r="L1134" s="283">
        <f>(SUM(O1134:Q1134)+(K1134+SUM(M1134:Q1134))*(INDEX($U$1122:$AB$1122,MATCH(Notes!$C$16,$U$3:$AB$3,0))-100%))*$L$1122</f>
        <v>700.94399999999996</v>
      </c>
      <c r="M1134" s="286"/>
      <c r="N1134" s="286"/>
      <c r="O1134" s="311">
        <f t="shared" si="470"/>
        <v>700.94399999999996</v>
      </c>
      <c r="P1134" s="285"/>
      <c r="Q1134" s="285"/>
      <c r="R1134" s="278"/>
      <c r="S1134" s="278"/>
      <c r="T1134" s="278"/>
    </row>
    <row r="1135" spans="1:28" s="305" customFormat="1" hidden="1" outlineLevel="2" x14ac:dyDescent="0.25">
      <c r="A1135" s="278"/>
      <c r="B1135" s="279" t="str">
        <f t="shared" si="471"/>
        <v>2400mm2 x up to 820mmDD/SCquality</v>
      </c>
      <c r="C1135" s="278" t="s">
        <v>558</v>
      </c>
      <c r="D1135" s="278" t="s">
        <v>787</v>
      </c>
      <c r="E1135" s="278" t="s">
        <v>2154</v>
      </c>
      <c r="F1135" s="278" t="s">
        <v>544</v>
      </c>
      <c r="G1135" s="278" t="s">
        <v>5</v>
      </c>
      <c r="H1135" s="310">
        <v>2.1421411129674848</v>
      </c>
      <c r="I1135" s="280">
        <f t="shared" si="472"/>
        <v>172.69941652743864</v>
      </c>
      <c r="J1135" s="281">
        <f t="shared" si="473"/>
        <v>195.85596195861714</v>
      </c>
      <c r="K1135" s="282">
        <f>IF(Notes!$B$9="Domestic",I1135, IF(Notes!$B$9="Commercial",J1135))*$K$1122</f>
        <v>195.85596195861714</v>
      </c>
      <c r="L1135" s="283">
        <f>(SUM(O1135:Q1135)+(K1135+SUM(M1135:Q1135))*(INDEX($U$1122:$AB$1122,MATCH(Notes!$C$16,$U$3:$AB$3,0))-100%))*$L$1122</f>
        <v>603.48</v>
      </c>
      <c r="M1135" s="286"/>
      <c r="N1135" s="286"/>
      <c r="O1135" s="311">
        <f t="shared" si="470"/>
        <v>603.48</v>
      </c>
      <c r="P1135" s="285"/>
      <c r="Q1135" s="285"/>
      <c r="R1135" s="278"/>
      <c r="S1135" s="278"/>
      <c r="T1135" s="278"/>
    </row>
    <row r="1136" spans="1:28" s="305" customFormat="1" hidden="1" outlineLevel="2" x14ac:dyDescent="0.25">
      <c r="A1136" s="278"/>
      <c r="B1136" s="279" t="str">
        <f t="shared" si="471"/>
        <v>2400mm2 x 821mm to 920mmDD/SCquality</v>
      </c>
      <c r="C1136" s="278" t="s">
        <v>558</v>
      </c>
      <c r="D1136" s="278" t="s">
        <v>788</v>
      </c>
      <c r="E1136" s="278" t="s">
        <v>2154</v>
      </c>
      <c r="F1136" s="278" t="s">
        <v>544</v>
      </c>
      <c r="G1136" s="278" t="s">
        <v>5</v>
      </c>
      <c r="H1136" s="310">
        <v>2.5318082508674977</v>
      </c>
      <c r="I1136" s="280">
        <f t="shared" si="472"/>
        <v>204.11438118493768</v>
      </c>
      <c r="J1136" s="281">
        <f t="shared" si="473"/>
        <v>231.48322837681533</v>
      </c>
      <c r="K1136" s="282">
        <f>IF(Notes!$B$9="Domestic",I1136, IF(Notes!$B$9="Commercial",J1136))*$K$1122</f>
        <v>231.48322837681533</v>
      </c>
      <c r="L1136" s="283">
        <f>(SUM(O1136:Q1136)+(K1136+SUM(M1136:Q1136))*(INDEX($U$1122:$AB$1122,MATCH(Notes!$C$16,$U$3:$AB$3,0))-100%))*$L$1122</f>
        <v>823.48</v>
      </c>
      <c r="M1136" s="286"/>
      <c r="N1136" s="286"/>
      <c r="O1136" s="311">
        <f t="shared" si="470"/>
        <v>823.48</v>
      </c>
      <c r="P1136" s="285"/>
      <c r="Q1136" s="285"/>
      <c r="R1136" s="278"/>
      <c r="S1136" s="278"/>
      <c r="T1136" s="278"/>
    </row>
    <row r="1137" spans="1:28" s="305" customFormat="1" hidden="1" outlineLevel="2" x14ac:dyDescent="0.25">
      <c r="A1137" s="278"/>
      <c r="B1137" s="279" t="str">
        <f t="shared" si="471"/>
        <v>2400mm2 x 921mm to 1220mmDD/SCquality</v>
      </c>
      <c r="C1137" s="278" t="s">
        <v>558</v>
      </c>
      <c r="D1137" s="278" t="s">
        <v>789</v>
      </c>
      <c r="E1137" s="278" t="s">
        <v>2154</v>
      </c>
      <c r="F1137" s="278" t="s">
        <v>544</v>
      </c>
      <c r="G1137" s="278" t="s">
        <v>5</v>
      </c>
      <c r="H1137" s="310">
        <v>2.9212183523968642</v>
      </c>
      <c r="I1137" s="280">
        <f t="shared" si="472"/>
        <v>235.50862357023522</v>
      </c>
      <c r="J1137" s="281">
        <f t="shared" si="473"/>
        <v>267.08699395964533</v>
      </c>
      <c r="K1137" s="282">
        <f>IF(Notes!$B$9="Domestic",I1137, IF(Notes!$B$9="Commercial",J1137))*$K$1122</f>
        <v>267.08699395964533</v>
      </c>
      <c r="L1137" s="283">
        <f>(SUM(O1137:Q1137)+(K1137+SUM(M1137:Q1137))*(INDEX($U$1122:$AB$1122,MATCH(Notes!$C$16,$U$3:$AB$3,0))-100%))*$L$1122</f>
        <v>913.48</v>
      </c>
      <c r="M1137" s="286"/>
      <c r="N1137" s="286"/>
      <c r="O1137" s="311">
        <f t="shared" si="470"/>
        <v>913.48</v>
      </c>
      <c r="P1137" s="285"/>
      <c r="Q1137" s="285"/>
      <c r="R1137" s="278"/>
      <c r="S1137" s="278"/>
      <c r="T1137" s="278"/>
    </row>
    <row r="1138" spans="1:28" s="305" customFormat="1" hidden="1" outlineLevel="2" x14ac:dyDescent="0.25">
      <c r="A1138" s="278"/>
      <c r="B1138" s="279" t="str">
        <f t="shared" si="471"/>
        <v>2700mm2 x up to 820mmDD/SCquality</v>
      </c>
      <c r="C1138" s="278" t="s">
        <v>779</v>
      </c>
      <c r="D1138" s="278" t="s">
        <v>787</v>
      </c>
      <c r="E1138" s="278" t="s">
        <v>2154</v>
      </c>
      <c r="F1138" s="278" t="s">
        <v>544</v>
      </c>
      <c r="G1138" s="278" t="s">
        <v>5</v>
      </c>
      <c r="H1138" s="310">
        <v>2.1421411129674848</v>
      </c>
      <c r="I1138" s="280">
        <f t="shared" si="472"/>
        <v>172.69941652743864</v>
      </c>
      <c r="J1138" s="281">
        <f t="shared" si="473"/>
        <v>195.85596195861714</v>
      </c>
      <c r="K1138" s="282">
        <f>IF(Notes!$B$9="Domestic",I1138, IF(Notes!$B$9="Commercial",J1138))*$K$1122</f>
        <v>195.85596195861714</v>
      </c>
      <c r="L1138" s="283">
        <f>(SUM(O1138:Q1138)+(K1138+SUM(M1138:Q1138))*(INDEX($U$1122:$AB$1122,MATCH(Notes!$C$16,$U$3:$AB$3,0))-100%))*$L$1122</f>
        <v>798.84</v>
      </c>
      <c r="M1138" s="286"/>
      <c r="N1138" s="286"/>
      <c r="O1138" s="311">
        <f t="shared" si="470"/>
        <v>798.84</v>
      </c>
      <c r="P1138" s="285"/>
      <c r="Q1138" s="285"/>
      <c r="R1138" s="278"/>
      <c r="S1138" s="278"/>
      <c r="T1138" s="278"/>
    </row>
    <row r="1139" spans="1:28" s="305" customFormat="1" hidden="1" outlineLevel="2" x14ac:dyDescent="0.25">
      <c r="A1139" s="278"/>
      <c r="B1139" s="279" t="str">
        <f t="shared" si="471"/>
        <v>2700mm2 x 821mm to 920mmDD/SCquality</v>
      </c>
      <c r="C1139" s="278" t="s">
        <v>779</v>
      </c>
      <c r="D1139" s="278" t="s">
        <v>788</v>
      </c>
      <c r="E1139" s="278" t="s">
        <v>2154</v>
      </c>
      <c r="F1139" s="278" t="s">
        <v>544</v>
      </c>
      <c r="G1139" s="278" t="s">
        <v>5</v>
      </c>
      <c r="H1139" s="310">
        <v>2.5318082508674977</v>
      </c>
      <c r="I1139" s="280">
        <f t="shared" si="472"/>
        <v>204.11438118493768</v>
      </c>
      <c r="J1139" s="281">
        <f t="shared" si="473"/>
        <v>231.48322837681533</v>
      </c>
      <c r="K1139" s="282">
        <f>IF(Notes!$B$9="Domestic",I1139, IF(Notes!$B$9="Commercial",J1139))*$K$1122</f>
        <v>231.48322837681533</v>
      </c>
      <c r="L1139" s="283">
        <f>(SUM(O1139:Q1139)+(K1139+SUM(M1139:Q1139))*(INDEX($U$1122:$AB$1122,MATCH(Notes!$C$16,$U$3:$AB$3,0))-100%))*$L$1122</f>
        <v>1062.8400000000001</v>
      </c>
      <c r="M1139" s="286"/>
      <c r="N1139" s="286"/>
      <c r="O1139" s="311">
        <f t="shared" si="470"/>
        <v>1062.8400000000001</v>
      </c>
      <c r="P1139" s="285"/>
      <c r="Q1139" s="285"/>
      <c r="R1139" s="278"/>
      <c r="S1139" s="278"/>
      <c r="T1139" s="278"/>
    </row>
    <row r="1140" spans="1:28" s="305" customFormat="1" hidden="1" outlineLevel="2" x14ac:dyDescent="0.25">
      <c r="A1140" s="278"/>
      <c r="B1140" s="279" t="str">
        <f t="shared" si="471"/>
        <v>2700mm2 x 921mm to 1220mmDD/SCquality</v>
      </c>
      <c r="C1140" s="278" t="s">
        <v>779</v>
      </c>
      <c r="D1140" s="278" t="s">
        <v>789</v>
      </c>
      <c r="E1140" s="278" t="s">
        <v>2154</v>
      </c>
      <c r="F1140" s="278" t="s">
        <v>544</v>
      </c>
      <c r="G1140" s="278" t="s">
        <v>5</v>
      </c>
      <c r="H1140" s="310">
        <v>2.9212183523968642</v>
      </c>
      <c r="I1140" s="280">
        <f t="shared" si="472"/>
        <v>235.50862357023522</v>
      </c>
      <c r="J1140" s="281">
        <f t="shared" si="473"/>
        <v>267.08699395964533</v>
      </c>
      <c r="K1140" s="282">
        <f>IF(Notes!$B$9="Domestic",I1140, IF(Notes!$B$9="Commercial",J1140))*$K$1122</f>
        <v>267.08699395964533</v>
      </c>
      <c r="L1140" s="283">
        <f>(SUM(O1140:Q1140)+(K1140+SUM(M1140:Q1140))*(INDEX($U$1122:$AB$1122,MATCH(Notes!$C$16,$U$3:$AB$3,0))-100%))*$L$1122</f>
        <v>1126.0160000000001</v>
      </c>
      <c r="M1140" s="286"/>
      <c r="N1140" s="286"/>
      <c r="O1140" s="311">
        <f t="shared" si="470"/>
        <v>1126.0160000000001</v>
      </c>
      <c r="P1140" s="285"/>
      <c r="Q1140" s="285"/>
      <c r="R1140" s="278"/>
      <c r="S1140" s="278"/>
      <c r="T1140" s="278"/>
    </row>
    <row r="1141" spans="1:28" s="305" customFormat="1" hidden="1" outlineLevel="2" x14ac:dyDescent="0.25">
      <c r="A1141" s="278"/>
      <c r="B1141" s="279" t="str">
        <f t="shared" si="471"/>
        <v>2100mm2 x up to 820mmDD/SCprestige</v>
      </c>
      <c r="C1141" s="278" t="s">
        <v>557</v>
      </c>
      <c r="D1141" s="278" t="s">
        <v>787</v>
      </c>
      <c r="E1141" s="278" t="s">
        <v>2154</v>
      </c>
      <c r="F1141" s="278" t="s">
        <v>545</v>
      </c>
      <c r="G1141" s="278" t="s">
        <v>5</v>
      </c>
      <c r="H1141" s="310">
        <v>1.7527310114381185</v>
      </c>
      <c r="I1141" s="280">
        <f t="shared" si="472"/>
        <v>141.30517414214111</v>
      </c>
      <c r="J1141" s="281">
        <f t="shared" si="473"/>
        <v>160.25219637578718</v>
      </c>
      <c r="K1141" s="282">
        <f>IF(Notes!$B$9="Domestic",I1141, IF(Notes!$B$9="Commercial",J1141))*$K$1122</f>
        <v>160.25219637578718</v>
      </c>
      <c r="L1141" s="283">
        <f>(SUM(O1141:Q1141)+(K1141+SUM(M1141:Q1141))*(INDEX($U$1122:$AB$1122,MATCH(Notes!$C$16,$U$3:$AB$3,0))-100%))*$L$1122</f>
        <v>440.12</v>
      </c>
      <c r="M1141" s="286"/>
      <c r="N1141" s="286"/>
      <c r="O1141" s="311">
        <f t="shared" si="470"/>
        <v>440.12</v>
      </c>
      <c r="P1141" s="285"/>
      <c r="Q1141" s="285"/>
      <c r="R1141" s="278"/>
      <c r="S1141" s="278"/>
      <c r="T1141" s="278"/>
    </row>
    <row r="1142" spans="1:28" s="305" customFormat="1" hidden="1" outlineLevel="2" x14ac:dyDescent="0.25">
      <c r="A1142" s="278"/>
      <c r="B1142" s="279" t="str">
        <f t="shared" si="471"/>
        <v>2100mm2 x 821mm to 920mmDD/SCprestige</v>
      </c>
      <c r="C1142" s="278" t="s">
        <v>557</v>
      </c>
      <c r="D1142" s="278" t="s">
        <v>788</v>
      </c>
      <c r="E1142" s="278" t="s">
        <v>2154</v>
      </c>
      <c r="F1142" s="278" t="s">
        <v>545</v>
      </c>
      <c r="G1142" s="278" t="s">
        <v>5</v>
      </c>
      <c r="H1142" s="310">
        <v>2.3369746819174915</v>
      </c>
      <c r="I1142" s="280">
        <f t="shared" si="472"/>
        <v>188.40689885618818</v>
      </c>
      <c r="J1142" s="281">
        <f t="shared" si="473"/>
        <v>213.66959516771627</v>
      </c>
      <c r="K1142" s="282">
        <f>IF(Notes!$B$9="Domestic",I1142, IF(Notes!$B$9="Commercial",J1142))*$K$1122</f>
        <v>213.66959516771627</v>
      </c>
      <c r="L1142" s="283">
        <f>(SUM(O1142:Q1142)+(K1142+SUM(M1142:Q1142))*(INDEX($U$1122:$AB$1122,MATCH(Notes!$C$16,$U$3:$AB$3,0))-100%))*$L$1122</f>
        <v>654.12</v>
      </c>
      <c r="M1142" s="286"/>
      <c r="N1142" s="286"/>
      <c r="O1142" s="311">
        <f t="shared" si="470"/>
        <v>654.12</v>
      </c>
      <c r="P1142" s="285"/>
      <c r="Q1142" s="285"/>
      <c r="R1142" s="278"/>
      <c r="S1142" s="278"/>
      <c r="T1142" s="278"/>
    </row>
    <row r="1143" spans="1:28" s="305" customFormat="1" hidden="1" outlineLevel="2" x14ac:dyDescent="0.25">
      <c r="A1143" s="278"/>
      <c r="B1143" s="279" t="str">
        <f t="shared" si="471"/>
        <v>2100mm2 x 921mm to 1220mmDD/SCprestige</v>
      </c>
      <c r="C1143" s="278" t="s">
        <v>557</v>
      </c>
      <c r="D1143" s="278" t="s">
        <v>789</v>
      </c>
      <c r="E1143" s="278" t="s">
        <v>2154</v>
      </c>
      <c r="F1143" s="278" t="s">
        <v>545</v>
      </c>
      <c r="G1143" s="278" t="s">
        <v>5</v>
      </c>
      <c r="H1143" s="310">
        <v>2.8043696183009894</v>
      </c>
      <c r="I1143" s="280">
        <f t="shared" si="472"/>
        <v>226.08827862742578</v>
      </c>
      <c r="J1143" s="281">
        <f t="shared" si="473"/>
        <v>256.4035142012595</v>
      </c>
      <c r="K1143" s="282">
        <f>IF(Notes!$B$9="Domestic",I1143, IF(Notes!$B$9="Commercial",J1143))*$K$1122</f>
        <v>256.4035142012595</v>
      </c>
      <c r="L1143" s="283">
        <f>(SUM(O1143:Q1143)+(K1143+SUM(M1143:Q1143))*(INDEX($U$1122:$AB$1122,MATCH(Notes!$C$16,$U$3:$AB$3,0))-100%))*$L$1122</f>
        <v>784.94399999999996</v>
      </c>
      <c r="M1143" s="286"/>
      <c r="N1143" s="286"/>
      <c r="O1143" s="311">
        <f t="shared" si="470"/>
        <v>784.94399999999996</v>
      </c>
      <c r="P1143" s="285"/>
      <c r="Q1143" s="285"/>
      <c r="R1143" s="278"/>
      <c r="S1143" s="278"/>
      <c r="T1143" s="278"/>
    </row>
    <row r="1144" spans="1:28" s="305" customFormat="1" hidden="1" outlineLevel="2" x14ac:dyDescent="0.25">
      <c r="A1144" s="278"/>
      <c r="B1144" s="279" t="str">
        <f t="shared" si="471"/>
        <v>2400mm2 x up to 820mmDD/SCprestige</v>
      </c>
      <c r="C1144" s="278" t="s">
        <v>558</v>
      </c>
      <c r="D1144" s="278" t="s">
        <v>787</v>
      </c>
      <c r="E1144" s="278" t="s">
        <v>2154</v>
      </c>
      <c r="F1144" s="278" t="s">
        <v>545</v>
      </c>
      <c r="G1144" s="278" t="s">
        <v>5</v>
      </c>
      <c r="H1144" s="310">
        <v>2.1421411129674848</v>
      </c>
      <c r="I1144" s="280">
        <f t="shared" si="472"/>
        <v>172.69941652743864</v>
      </c>
      <c r="J1144" s="281">
        <f t="shared" si="473"/>
        <v>195.85596195861714</v>
      </c>
      <c r="K1144" s="282">
        <f>IF(Notes!$B$9="Domestic",I1144, IF(Notes!$B$9="Commercial",J1144))*$K$1122</f>
        <v>195.85596195861714</v>
      </c>
      <c r="L1144" s="283">
        <f>(SUM(O1144:Q1144)+(K1144+SUM(M1144:Q1144))*(INDEX($U$1122:$AB$1122,MATCH(Notes!$C$16,$U$3:$AB$3,0))-100%))*$L$1122</f>
        <v>655.48</v>
      </c>
      <c r="M1144" s="286"/>
      <c r="N1144" s="286"/>
      <c r="O1144" s="311">
        <f t="shared" si="470"/>
        <v>655.48</v>
      </c>
      <c r="P1144" s="285"/>
      <c r="Q1144" s="285"/>
      <c r="R1144" s="278"/>
      <c r="S1144" s="278"/>
      <c r="T1144" s="278"/>
    </row>
    <row r="1145" spans="1:28" s="305" customFormat="1" hidden="1" outlineLevel="2" x14ac:dyDescent="0.25">
      <c r="A1145" s="278"/>
      <c r="B1145" s="279" t="str">
        <f t="shared" si="471"/>
        <v>2400mm2 x 821mm to 920mmDD/SCprestige</v>
      </c>
      <c r="C1145" s="278" t="s">
        <v>558</v>
      </c>
      <c r="D1145" s="278" t="s">
        <v>788</v>
      </c>
      <c r="E1145" s="278" t="s">
        <v>2154</v>
      </c>
      <c r="F1145" s="278" t="s">
        <v>545</v>
      </c>
      <c r="G1145" s="278" t="s">
        <v>5</v>
      </c>
      <c r="H1145" s="310">
        <v>2.5318082508674977</v>
      </c>
      <c r="I1145" s="280">
        <f t="shared" si="472"/>
        <v>204.11438118493768</v>
      </c>
      <c r="J1145" s="281">
        <f t="shared" si="473"/>
        <v>231.48322837681533</v>
      </c>
      <c r="K1145" s="282">
        <f>IF(Notes!$B$9="Domestic",I1145, IF(Notes!$B$9="Commercial",J1145))*$K$1122</f>
        <v>231.48322837681533</v>
      </c>
      <c r="L1145" s="283">
        <f>(SUM(O1145:Q1145)+(K1145+SUM(M1145:Q1145))*(INDEX($U$1122:$AB$1122,MATCH(Notes!$C$16,$U$3:$AB$3,0))-100%))*$L$1122</f>
        <v>993.48</v>
      </c>
      <c r="M1145" s="286"/>
      <c r="N1145" s="286"/>
      <c r="O1145" s="311">
        <f t="shared" si="470"/>
        <v>993.48</v>
      </c>
      <c r="P1145" s="285"/>
      <c r="Q1145" s="285"/>
      <c r="R1145" s="278"/>
      <c r="S1145" s="278"/>
      <c r="T1145" s="278"/>
    </row>
    <row r="1146" spans="1:28" s="305" customFormat="1" hidden="1" outlineLevel="2" x14ac:dyDescent="0.25">
      <c r="A1146" s="278"/>
      <c r="B1146" s="279" t="str">
        <f t="shared" si="471"/>
        <v>2400mm2 x 921mm to 1220mmDD/SCprestige</v>
      </c>
      <c r="C1146" s="278" t="s">
        <v>558</v>
      </c>
      <c r="D1146" s="278" t="s">
        <v>789</v>
      </c>
      <c r="E1146" s="278" t="s">
        <v>2154</v>
      </c>
      <c r="F1146" s="278" t="s">
        <v>545</v>
      </c>
      <c r="G1146" s="278" t="s">
        <v>5</v>
      </c>
      <c r="H1146" s="310">
        <v>2.9212183523968642</v>
      </c>
      <c r="I1146" s="280">
        <f t="shared" si="472"/>
        <v>235.50862357023522</v>
      </c>
      <c r="J1146" s="281">
        <f t="shared" si="473"/>
        <v>267.08699395964533</v>
      </c>
      <c r="K1146" s="282">
        <f>IF(Notes!$B$9="Domestic",I1146, IF(Notes!$B$9="Commercial",J1146))*$K$1122</f>
        <v>267.08699395964533</v>
      </c>
      <c r="L1146" s="283">
        <f>(SUM(O1146:Q1146)+(K1146+SUM(M1146:Q1146))*(INDEX($U$1122:$AB$1122,MATCH(Notes!$C$16,$U$3:$AB$3,0))-100%))*$L$1122</f>
        <v>1114.8599999999999</v>
      </c>
      <c r="M1146" s="286"/>
      <c r="N1146" s="286"/>
      <c r="O1146" s="311">
        <f t="shared" si="470"/>
        <v>1114.8599999999999</v>
      </c>
      <c r="P1146" s="285"/>
      <c r="Q1146" s="285"/>
      <c r="R1146" s="278"/>
      <c r="S1146" s="278"/>
      <c r="T1146" s="278"/>
    </row>
    <row r="1147" spans="1:28" s="305" customFormat="1" hidden="1" outlineLevel="2" x14ac:dyDescent="0.25">
      <c r="A1147" s="278"/>
      <c r="B1147" s="279" t="str">
        <f t="shared" si="471"/>
        <v>2700mm2 x up to 820mmDD/SCprestige</v>
      </c>
      <c r="C1147" s="278" t="s">
        <v>779</v>
      </c>
      <c r="D1147" s="278" t="s">
        <v>787</v>
      </c>
      <c r="E1147" s="278" t="s">
        <v>2154</v>
      </c>
      <c r="F1147" s="278" t="s">
        <v>545</v>
      </c>
      <c r="G1147" s="278" t="s">
        <v>5</v>
      </c>
      <c r="H1147" s="310">
        <v>2.1421411129674848</v>
      </c>
      <c r="I1147" s="280">
        <f t="shared" si="472"/>
        <v>172.69941652743864</v>
      </c>
      <c r="J1147" s="281">
        <f t="shared" si="473"/>
        <v>195.85596195861714</v>
      </c>
      <c r="K1147" s="282">
        <f>IF(Notes!$B$9="Domestic",I1147, IF(Notes!$B$9="Commercial",J1147))*$K$1122</f>
        <v>195.85596195861714</v>
      </c>
      <c r="L1147" s="283">
        <f>(SUM(O1147:Q1147)+(K1147+SUM(M1147:Q1147))*(INDEX($U$1122:$AB$1122,MATCH(Notes!$C$16,$U$3:$AB$3,0))-100%))*$L$1122</f>
        <v>870.84</v>
      </c>
      <c r="M1147" s="286"/>
      <c r="N1147" s="286"/>
      <c r="O1147" s="311">
        <f t="shared" si="470"/>
        <v>870.84</v>
      </c>
      <c r="P1147" s="285"/>
      <c r="Q1147" s="285"/>
      <c r="R1147" s="278"/>
      <c r="S1147" s="278"/>
      <c r="T1147" s="278"/>
    </row>
    <row r="1148" spans="1:28" s="305" customFormat="1" hidden="1" outlineLevel="2" x14ac:dyDescent="0.25">
      <c r="A1148" s="278"/>
      <c r="B1148" s="279" t="str">
        <f t="shared" si="471"/>
        <v>2700mm2 x 821mm to 920mmDD/SCprestige</v>
      </c>
      <c r="C1148" s="278" t="s">
        <v>779</v>
      </c>
      <c r="D1148" s="278" t="s">
        <v>788</v>
      </c>
      <c r="E1148" s="278" t="s">
        <v>2154</v>
      </c>
      <c r="F1148" s="278" t="s">
        <v>545</v>
      </c>
      <c r="G1148" s="278" t="s">
        <v>5</v>
      </c>
      <c r="H1148" s="310">
        <v>2.5318082508674977</v>
      </c>
      <c r="I1148" s="280">
        <f t="shared" si="472"/>
        <v>204.11438118493768</v>
      </c>
      <c r="J1148" s="281">
        <f t="shared" si="473"/>
        <v>231.48322837681533</v>
      </c>
      <c r="K1148" s="282">
        <f>IF(Notes!$B$9="Domestic",I1148, IF(Notes!$B$9="Commercial",J1148))*$K$1122</f>
        <v>231.48322837681533</v>
      </c>
      <c r="L1148" s="283">
        <f>(SUM(O1148:Q1148)+(K1148+SUM(M1148:Q1148))*(INDEX($U$1122:$AB$1122,MATCH(Notes!$C$16,$U$3:$AB$3,0))-100%))*$L$1122</f>
        <v>1332.8400000000001</v>
      </c>
      <c r="M1148" s="286"/>
      <c r="N1148" s="286"/>
      <c r="O1148" s="311">
        <f t="shared" si="470"/>
        <v>1332.8400000000001</v>
      </c>
      <c r="P1148" s="285"/>
      <c r="Q1148" s="285"/>
      <c r="R1148" s="278"/>
      <c r="S1148" s="278"/>
      <c r="T1148" s="278"/>
    </row>
    <row r="1149" spans="1:28" s="305" customFormat="1" hidden="1" outlineLevel="2" x14ac:dyDescent="0.25">
      <c r="A1149" s="278"/>
      <c r="B1149" s="279" t="str">
        <f t="shared" si="471"/>
        <v>2700mm2 x 921mm to 1220mmDD/SCprestige</v>
      </c>
      <c r="C1149" s="278" t="s">
        <v>779</v>
      </c>
      <c r="D1149" s="278" t="s">
        <v>789</v>
      </c>
      <c r="E1149" s="278" t="s">
        <v>2154</v>
      </c>
      <c r="F1149" s="278" t="s">
        <v>545</v>
      </c>
      <c r="G1149" s="278" t="s">
        <v>5</v>
      </c>
      <c r="H1149" s="310">
        <v>2.9212183523968642</v>
      </c>
      <c r="I1149" s="280">
        <f t="shared" si="472"/>
        <v>235.50862357023522</v>
      </c>
      <c r="J1149" s="281">
        <f t="shared" si="473"/>
        <v>267.08699395964533</v>
      </c>
      <c r="K1149" s="282">
        <f>IF(Notes!$B$9="Domestic",I1149, IF(Notes!$B$9="Commercial",J1149))*$K$1122</f>
        <v>267.08699395964533</v>
      </c>
      <c r="L1149" s="283">
        <f>(SUM(O1149:Q1149)+(K1149+SUM(M1149:Q1149))*(INDEX($U$1122:$AB$1122,MATCH(Notes!$C$16,$U$3:$AB$3,0))-100%))*$L$1122</f>
        <v>1444.7759999999998</v>
      </c>
      <c r="M1149" s="286"/>
      <c r="N1149" s="286"/>
      <c r="O1149" s="311">
        <f t="shared" si="470"/>
        <v>1444.7759999999998</v>
      </c>
      <c r="P1149" s="285"/>
      <c r="Q1149" s="285"/>
      <c r="R1149" s="278"/>
      <c r="S1149" s="278"/>
      <c r="T1149" s="278"/>
    </row>
    <row r="1150" spans="1:28" ht="21" hidden="1" outlineLevel="1" collapsed="1" x14ac:dyDescent="0.25">
      <c r="A1150" s="299" t="s">
        <v>2098</v>
      </c>
      <c r="B1150" s="299"/>
      <c r="C1150" s="299"/>
      <c r="D1150" s="299"/>
      <c r="E1150" s="299"/>
      <c r="F1150" s="299"/>
      <c r="G1150" s="299"/>
      <c r="H1150" s="348"/>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row>
    <row r="1151" spans="1:28" ht="15.75" hidden="1" outlineLevel="1" x14ac:dyDescent="0.25">
      <c r="A1151" s="291"/>
      <c r="B1151" s="291"/>
      <c r="C1151" s="291"/>
      <c r="D1151" s="291"/>
      <c r="E1151" s="291"/>
      <c r="F1151" s="291"/>
      <c r="G1151" s="291"/>
      <c r="H1151" s="325"/>
      <c r="I1151" s="291"/>
      <c r="J1151" s="291"/>
      <c r="K1151" s="291">
        <f>K$2</f>
        <v>1</v>
      </c>
      <c r="L1151" s="291">
        <f>L$2</f>
        <v>1</v>
      </c>
      <c r="M1151" s="291"/>
      <c r="N1151" s="291"/>
      <c r="O1151" s="303"/>
      <c r="P1151" s="303"/>
      <c r="Q1151" s="303"/>
      <c r="R1151" s="291"/>
      <c r="S1151" s="291"/>
      <c r="T1151" s="291"/>
      <c r="U1151" s="291">
        <f>1340/1360</f>
        <v>0.98529411764705888</v>
      </c>
      <c r="V1151" s="291">
        <f>1360/1360</f>
        <v>1</v>
      </c>
      <c r="W1151" s="291">
        <f>1300/1360</f>
        <v>0.95588235294117652</v>
      </c>
      <c r="X1151" s="291">
        <f>1315/1360</f>
        <v>0.96691176470588236</v>
      </c>
      <c r="Y1151" s="291">
        <f>1355/1360</f>
        <v>0.99632352941176472</v>
      </c>
      <c r="Z1151" s="291">
        <f>1400/1360</f>
        <v>1.0294117647058822</v>
      </c>
      <c r="AA1151" s="291">
        <f>1650/1360</f>
        <v>1.213235294117647</v>
      </c>
      <c r="AB1151" s="291">
        <f>1590/1360</f>
        <v>1.1691176470588236</v>
      </c>
    </row>
    <row r="1152" spans="1:28" s="305" customFormat="1" hidden="1" outlineLevel="2" x14ac:dyDescent="0.25">
      <c r="A1152" s="278"/>
      <c r="B1152" s="279" t="str">
        <f>C1152&amp;D1152&amp;E1152&amp;F1152</f>
        <v>2100mmup to 820mmSD/FRaverage</v>
      </c>
      <c r="C1152" s="278" t="s">
        <v>557</v>
      </c>
      <c r="D1152" s="278" t="s">
        <v>724</v>
      </c>
      <c r="E1152" s="278" t="s">
        <v>2155</v>
      </c>
      <c r="F1152" s="278" t="s">
        <v>543</v>
      </c>
      <c r="G1152" s="278" t="s">
        <v>5</v>
      </c>
      <c r="H1152" s="310">
        <v>1.4999357409073382</v>
      </c>
      <c r="I1152" s="280">
        <f>$I$2*H1152</f>
        <v>120.92481943194962</v>
      </c>
      <c r="J1152" s="281">
        <f>$J$2*H1152</f>
        <v>137.13912479115794</v>
      </c>
      <c r="K1152" s="282">
        <f>IF(Notes!$B$9="Domestic",I1152, IF(Notes!$B$9="Commercial",J1152))*$K$1151</f>
        <v>137.13912479115794</v>
      </c>
      <c r="L1152" s="283">
        <f>(SUM(O1152:Q1152)+(K1152+SUM(M1152:Q1152))*(INDEX($U$1151:$AB$1151,MATCH(Notes!$C$16,$U$3:$AB$3,0))-100%))*$L$1151</f>
        <v>505</v>
      </c>
      <c r="M1152" s="286"/>
      <c r="N1152" s="286"/>
      <c r="O1152" s="285">
        <v>505</v>
      </c>
      <c r="P1152" s="285"/>
      <c r="Q1152" s="285"/>
      <c r="R1152" s="278"/>
      <c r="S1152" s="278"/>
      <c r="T1152" s="278"/>
    </row>
    <row r="1153" spans="1:20" s="305" customFormat="1" hidden="1" outlineLevel="2" x14ac:dyDescent="0.25">
      <c r="A1153" s="278"/>
      <c r="B1153" s="279" t="str">
        <f t="shared" ref="B1153:B1154" si="474">C1153&amp;D1153&amp;E1153&amp;F1153</f>
        <v>2100mm821mm to 920mmSD/FRaverage</v>
      </c>
      <c r="C1153" s="278" t="s">
        <v>557</v>
      </c>
      <c r="D1153" s="278" t="s">
        <v>721</v>
      </c>
      <c r="E1153" s="278" t="s">
        <v>2155</v>
      </c>
      <c r="F1153" s="278" t="s">
        <v>543</v>
      </c>
      <c r="G1153" s="278" t="s">
        <v>5</v>
      </c>
      <c r="H1153" s="310">
        <v>1.7499036113610076</v>
      </c>
      <c r="I1153" s="280">
        <f t="shared" ref="I1153:I1154" si="475">$I$2*H1153</f>
        <v>141.07722914792444</v>
      </c>
      <c r="J1153" s="281">
        <f t="shared" ref="J1153:J1154" si="476">$J$2*H1153</f>
        <v>159.99368718673693</v>
      </c>
      <c r="K1153" s="282">
        <f>IF(Notes!$B$9="Domestic",I1153, IF(Notes!$B$9="Commercial",J1153))*$K$1151</f>
        <v>159.99368718673693</v>
      </c>
      <c r="L1153" s="283">
        <f>(SUM(O1153:Q1153)+(K1153+SUM(M1153:Q1153))*(INDEX($U$1151:$AB$1151,MATCH(Notes!$C$16,$U$3:$AB$3,0))-100%))*$L$1151</f>
        <v>598</v>
      </c>
      <c r="M1153" s="286"/>
      <c r="N1153" s="286"/>
      <c r="O1153" s="285">
        <v>598</v>
      </c>
      <c r="P1153" s="285"/>
      <c r="Q1153" s="285"/>
      <c r="R1153" s="278"/>
      <c r="S1153" s="278"/>
      <c r="T1153" s="278"/>
    </row>
    <row r="1154" spans="1:20" s="305" customFormat="1" hidden="1" outlineLevel="2" x14ac:dyDescent="0.25">
      <c r="A1154" s="278"/>
      <c r="B1154" s="279" t="str">
        <f t="shared" si="474"/>
        <v>2100mm921mm to 1220mmSD/FRaverage</v>
      </c>
      <c r="C1154" s="278" t="s">
        <v>557</v>
      </c>
      <c r="D1154" s="278" t="s">
        <v>722</v>
      </c>
      <c r="E1154" s="278" t="s">
        <v>2155</v>
      </c>
      <c r="F1154" s="278" t="s">
        <v>543</v>
      </c>
      <c r="G1154" s="278" t="s">
        <v>5</v>
      </c>
      <c r="H1154" s="310">
        <v>2</v>
      </c>
      <c r="I1154" s="280">
        <f t="shared" si="475"/>
        <v>161.24</v>
      </c>
      <c r="J1154" s="281">
        <f t="shared" si="476"/>
        <v>182.86</v>
      </c>
      <c r="K1154" s="282">
        <f>IF(Notes!$B$9="Domestic",I1154, IF(Notes!$B$9="Commercial",J1154))*$K$1151</f>
        <v>182.86</v>
      </c>
      <c r="L1154" s="283">
        <f>(SUM(O1154:Q1154)+(K1154+SUM(M1154:Q1154))*(INDEX($U$1151:$AB$1151,MATCH(Notes!$C$16,$U$3:$AB$3,0))-100%))*$L$1151</f>
        <v>764</v>
      </c>
      <c r="M1154" s="286"/>
      <c r="N1154" s="286"/>
      <c r="O1154" s="285">
        <v>764</v>
      </c>
      <c r="P1154" s="285"/>
      <c r="Q1154" s="285"/>
      <c r="R1154" s="278"/>
      <c r="S1154" s="278"/>
      <c r="T1154" s="278"/>
    </row>
    <row r="1155" spans="1:20" s="305" customFormat="1" hidden="1" outlineLevel="2" x14ac:dyDescent="0.25">
      <c r="A1155" s="278"/>
      <c r="B1155" s="279" t="str">
        <f t="shared" ref="B1155:B1178" si="477">C1155&amp;D1155&amp;E1155&amp;F1155</f>
        <v>2400mmup to 820mmSD/FRaverage</v>
      </c>
      <c r="C1155" s="278" t="s">
        <v>558</v>
      </c>
      <c r="D1155" s="278" t="s">
        <v>724</v>
      </c>
      <c r="E1155" s="278" t="s">
        <v>2155</v>
      </c>
      <c r="F1155" s="278" t="s">
        <v>543</v>
      </c>
      <c r="G1155" s="278" t="s">
        <v>5</v>
      </c>
      <c r="H1155" s="310">
        <v>2</v>
      </c>
      <c r="I1155" s="280">
        <f t="shared" ref="I1155:I1178" si="478">$I$2*H1155</f>
        <v>161.24</v>
      </c>
      <c r="J1155" s="281">
        <f t="shared" ref="J1155:J1178" si="479">$J$2*H1155</f>
        <v>182.86</v>
      </c>
      <c r="K1155" s="282">
        <f>IF(Notes!$B$9="Domestic",I1155, IF(Notes!$B$9="Commercial",J1155))*$K$1151</f>
        <v>182.86</v>
      </c>
      <c r="L1155" s="283">
        <f>(SUM(O1155:Q1155)+(K1155+SUM(M1155:Q1155))*(INDEX($U$1151:$AB$1151,MATCH(Notes!$C$16,$U$3:$AB$3,0))-100%))*$L$1151</f>
        <v>775</v>
      </c>
      <c r="M1155" s="286"/>
      <c r="N1155" s="286"/>
      <c r="O1155" s="285">
        <v>775</v>
      </c>
      <c r="P1155" s="285"/>
      <c r="Q1155" s="285"/>
      <c r="R1155" s="278"/>
      <c r="S1155" s="278"/>
      <c r="T1155" s="278"/>
    </row>
    <row r="1156" spans="1:20" s="305" customFormat="1" hidden="1" outlineLevel="2" x14ac:dyDescent="0.25">
      <c r="A1156" s="278"/>
      <c r="B1156" s="279" t="str">
        <f t="shared" si="477"/>
        <v>2400mm821mm to 920mmSD/FRaverage</v>
      </c>
      <c r="C1156" s="278" t="s">
        <v>558</v>
      </c>
      <c r="D1156" s="278" t="s">
        <v>721</v>
      </c>
      <c r="E1156" s="278" t="s">
        <v>2155</v>
      </c>
      <c r="F1156" s="278" t="s">
        <v>543</v>
      </c>
      <c r="G1156" s="278" t="s">
        <v>5</v>
      </c>
      <c r="H1156" s="310">
        <v>2.1499807222722014</v>
      </c>
      <c r="I1156" s="280">
        <f t="shared" si="478"/>
        <v>173.33144582958488</v>
      </c>
      <c r="J1156" s="281">
        <f t="shared" si="479"/>
        <v>196.5727374373474</v>
      </c>
      <c r="K1156" s="282">
        <f>IF(Notes!$B$9="Domestic",I1156, IF(Notes!$B$9="Commercial",J1156))*$K$1151</f>
        <v>196.5727374373474</v>
      </c>
      <c r="L1156" s="283">
        <f>(SUM(O1156:Q1156)+(K1156+SUM(M1156:Q1156))*(INDEX($U$1151:$AB$1151,MATCH(Notes!$C$16,$U$3:$AB$3,0))-100%))*$L$1151</f>
        <v>810</v>
      </c>
      <c r="M1156" s="286"/>
      <c r="N1156" s="286"/>
      <c r="O1156" s="285">
        <v>810</v>
      </c>
      <c r="P1156" s="285"/>
      <c r="Q1156" s="285"/>
      <c r="R1156" s="278"/>
      <c r="S1156" s="278"/>
      <c r="T1156" s="278"/>
    </row>
    <row r="1157" spans="1:20" s="305" customFormat="1" hidden="1" outlineLevel="2" x14ac:dyDescent="0.25">
      <c r="A1157" s="278"/>
      <c r="B1157" s="279" t="str">
        <f t="shared" si="477"/>
        <v>2400mm921mm to 1220mmSD/FRaverage</v>
      </c>
      <c r="C1157" s="278" t="s">
        <v>558</v>
      </c>
      <c r="D1157" s="278" t="s">
        <v>722</v>
      </c>
      <c r="E1157" s="278" t="s">
        <v>2155</v>
      </c>
      <c r="F1157" s="278" t="s">
        <v>543</v>
      </c>
      <c r="G1157" s="278" t="s">
        <v>5</v>
      </c>
      <c r="H1157" s="310">
        <v>2.1499807222722014</v>
      </c>
      <c r="I1157" s="280">
        <f t="shared" si="478"/>
        <v>173.33144582958488</v>
      </c>
      <c r="J1157" s="281">
        <f t="shared" si="479"/>
        <v>196.5727374373474</v>
      </c>
      <c r="K1157" s="282">
        <f>IF(Notes!$B$9="Domestic",I1157, IF(Notes!$B$9="Commercial",J1157))*$K$1151</f>
        <v>196.5727374373474</v>
      </c>
      <c r="L1157" s="283">
        <f>(SUM(O1157:Q1157)+(K1157+SUM(M1157:Q1157))*(INDEX($U$1151:$AB$1151,MATCH(Notes!$C$16,$U$3:$AB$3,0))-100%))*$L$1151</f>
        <v>870</v>
      </c>
      <c r="M1157" s="286"/>
      <c r="N1157" s="286"/>
      <c r="O1157" s="285">
        <v>870</v>
      </c>
      <c r="P1157" s="285"/>
      <c r="Q1157" s="285"/>
      <c r="R1157" s="278"/>
      <c r="S1157" s="278"/>
      <c r="T1157" s="278"/>
    </row>
    <row r="1158" spans="1:20" s="305" customFormat="1" hidden="1" outlineLevel="2" x14ac:dyDescent="0.25">
      <c r="A1158" s="278"/>
      <c r="B1158" s="279" t="str">
        <f t="shared" si="477"/>
        <v>2700mmup to 820mmSD/FRaverage</v>
      </c>
      <c r="C1158" s="278" t="s">
        <v>779</v>
      </c>
      <c r="D1158" s="278" t="s">
        <v>724</v>
      </c>
      <c r="E1158" s="278" t="s">
        <v>2155</v>
      </c>
      <c r="F1158" s="278" t="s">
        <v>543</v>
      </c>
      <c r="G1158" s="278" t="s">
        <v>5</v>
      </c>
      <c r="H1158" s="310">
        <v>2.5000642590926621</v>
      </c>
      <c r="I1158" s="280">
        <f t="shared" si="478"/>
        <v>201.55518056805042</v>
      </c>
      <c r="J1158" s="281">
        <f t="shared" si="479"/>
        <v>228.58087520884212</v>
      </c>
      <c r="K1158" s="282">
        <f>IF(Notes!$B$9="Domestic",I1158, IF(Notes!$B$9="Commercial",J1158))*$K$1151</f>
        <v>228.58087520884212</v>
      </c>
      <c r="L1158" s="283">
        <f>(SUM(O1158:Q1158)+(K1158+SUM(M1158:Q1158))*(INDEX($U$1151:$AB$1151,MATCH(Notes!$C$16,$U$3:$AB$3,0))-100%))*$L$1151</f>
        <v>930</v>
      </c>
      <c r="M1158" s="286"/>
      <c r="N1158" s="286"/>
      <c r="O1158" s="311">
        <f>O1155*1.2</f>
        <v>930</v>
      </c>
      <c r="P1158" s="285"/>
      <c r="Q1158" s="285"/>
      <c r="R1158" s="278"/>
      <c r="S1158" s="278"/>
      <c r="T1158" s="278"/>
    </row>
    <row r="1159" spans="1:20" s="305" customFormat="1" hidden="1" outlineLevel="2" x14ac:dyDescent="0.25">
      <c r="A1159" s="278"/>
      <c r="B1159" s="279" t="str">
        <f t="shared" si="477"/>
        <v>2700mm821mm to 920mmSD/FRaverage</v>
      </c>
      <c r="C1159" s="278" t="s">
        <v>779</v>
      </c>
      <c r="D1159" s="278" t="s">
        <v>721</v>
      </c>
      <c r="E1159" s="278" t="s">
        <v>2155</v>
      </c>
      <c r="F1159" s="278" t="s">
        <v>543</v>
      </c>
      <c r="G1159" s="278" t="s">
        <v>5</v>
      </c>
      <c r="H1159" s="310">
        <v>2.5500578331833954</v>
      </c>
      <c r="I1159" s="280">
        <f t="shared" si="478"/>
        <v>205.58566251124535</v>
      </c>
      <c r="J1159" s="281">
        <f t="shared" si="479"/>
        <v>233.15178768795786</v>
      </c>
      <c r="K1159" s="282">
        <f>IF(Notes!$B$9="Domestic",I1159, IF(Notes!$B$9="Commercial",J1159))*$K$1151</f>
        <v>233.15178768795786</v>
      </c>
      <c r="L1159" s="283">
        <f>(SUM(O1159:Q1159)+(K1159+SUM(M1159:Q1159))*(INDEX($U$1151:$AB$1151,MATCH(Notes!$C$16,$U$3:$AB$3,0))-100%))*$L$1151</f>
        <v>972</v>
      </c>
      <c r="M1159" s="286"/>
      <c r="N1159" s="286"/>
      <c r="O1159" s="311">
        <f t="shared" ref="O1159:O1160" si="480">O1156*1.2</f>
        <v>972</v>
      </c>
      <c r="P1159" s="285"/>
      <c r="Q1159" s="285"/>
      <c r="R1159" s="278"/>
      <c r="S1159" s="278"/>
      <c r="T1159" s="278"/>
    </row>
    <row r="1160" spans="1:20" s="305" customFormat="1" hidden="1" outlineLevel="2" x14ac:dyDescent="0.25">
      <c r="A1160" s="278"/>
      <c r="B1160" s="279" t="str">
        <f t="shared" si="477"/>
        <v>2700mm921mm to 1220mmSD/FRaverage</v>
      </c>
      <c r="C1160" s="278" t="s">
        <v>779</v>
      </c>
      <c r="D1160" s="278" t="s">
        <v>722</v>
      </c>
      <c r="E1160" s="278" t="s">
        <v>2155</v>
      </c>
      <c r="F1160" s="278" t="s">
        <v>543</v>
      </c>
      <c r="G1160" s="278" t="s">
        <v>5</v>
      </c>
      <c r="H1160" s="310">
        <v>2.2999614445444028</v>
      </c>
      <c r="I1160" s="280">
        <f t="shared" si="478"/>
        <v>185.42289165916975</v>
      </c>
      <c r="J1160" s="281">
        <f t="shared" si="479"/>
        <v>210.28547487469476</v>
      </c>
      <c r="K1160" s="282">
        <f>IF(Notes!$B$9="Domestic",I1160, IF(Notes!$B$9="Commercial",J1160))*$K$1151</f>
        <v>210.28547487469476</v>
      </c>
      <c r="L1160" s="283">
        <f>(SUM(O1160:Q1160)+(K1160+SUM(M1160:Q1160))*(INDEX($U$1151:$AB$1151,MATCH(Notes!$C$16,$U$3:$AB$3,0))-100%))*$L$1151</f>
        <v>1044</v>
      </c>
      <c r="M1160" s="286"/>
      <c r="N1160" s="286"/>
      <c r="O1160" s="311">
        <f t="shared" si="480"/>
        <v>1044</v>
      </c>
      <c r="P1160" s="285"/>
      <c r="Q1160" s="285"/>
      <c r="R1160" s="278"/>
      <c r="S1160" s="278"/>
      <c r="T1160" s="278"/>
    </row>
    <row r="1161" spans="1:20" s="305" customFormat="1" hidden="1" outlineLevel="2" x14ac:dyDescent="0.25">
      <c r="A1161" s="278"/>
      <c r="B1161" s="279" t="str">
        <f t="shared" si="477"/>
        <v>2100mmup to 820mmSD/FRquality</v>
      </c>
      <c r="C1161" s="278" t="s">
        <v>557</v>
      </c>
      <c r="D1161" s="278" t="s">
        <v>724</v>
      </c>
      <c r="E1161" s="278" t="s">
        <v>2155</v>
      </c>
      <c r="F1161" s="278" t="s">
        <v>544</v>
      </c>
      <c r="G1161" s="278" t="s">
        <v>5</v>
      </c>
      <c r="H1161" s="310">
        <v>1.4999357409073382</v>
      </c>
      <c r="I1161" s="280">
        <f t="shared" si="478"/>
        <v>120.92481943194962</v>
      </c>
      <c r="J1161" s="281">
        <f t="shared" si="479"/>
        <v>137.13912479115794</v>
      </c>
      <c r="K1161" s="282">
        <f>IF(Notes!$B$9="Domestic",I1161, IF(Notes!$B$9="Commercial",J1161))*$K$1151</f>
        <v>137.13912479115794</v>
      </c>
      <c r="L1161" s="283">
        <f>(SUM(O1161:Q1161)+(K1161+SUM(M1161:Q1161))*(INDEX($U$1151:$AB$1151,MATCH(Notes!$C$16,$U$3:$AB$3,0))-100%))*$L$1151</f>
        <v>590</v>
      </c>
      <c r="M1161" s="286"/>
      <c r="N1161" s="286"/>
      <c r="O1161" s="285">
        <v>590</v>
      </c>
      <c r="P1161" s="285"/>
      <c r="Q1161" s="285"/>
      <c r="R1161" s="278"/>
      <c r="S1161" s="278"/>
      <c r="T1161" s="278"/>
    </row>
    <row r="1162" spans="1:20" s="305" customFormat="1" hidden="1" outlineLevel="2" x14ac:dyDescent="0.25">
      <c r="A1162" s="278"/>
      <c r="B1162" s="279" t="str">
        <f t="shared" si="477"/>
        <v>2100mm821mm to 920mmSD/FRquality</v>
      </c>
      <c r="C1162" s="278" t="s">
        <v>557</v>
      </c>
      <c r="D1162" s="278" t="s">
        <v>721</v>
      </c>
      <c r="E1162" s="278" t="s">
        <v>2155</v>
      </c>
      <c r="F1162" s="278" t="s">
        <v>544</v>
      </c>
      <c r="G1162" s="278" t="s">
        <v>5</v>
      </c>
      <c r="H1162" s="310">
        <v>1.7499036113610076</v>
      </c>
      <c r="I1162" s="280">
        <f t="shared" si="478"/>
        <v>141.07722914792444</v>
      </c>
      <c r="J1162" s="281">
        <f t="shared" si="479"/>
        <v>159.99368718673693</v>
      </c>
      <c r="K1162" s="282">
        <f>IF(Notes!$B$9="Domestic",I1162, IF(Notes!$B$9="Commercial",J1162))*$K$1151</f>
        <v>159.99368718673693</v>
      </c>
      <c r="L1162" s="283">
        <f>(SUM(O1162:Q1162)+(K1162+SUM(M1162:Q1162))*(INDEX($U$1151:$AB$1151,MATCH(Notes!$C$16,$U$3:$AB$3,0))-100%))*$L$1151</f>
        <v>660</v>
      </c>
      <c r="M1162" s="286"/>
      <c r="N1162" s="286"/>
      <c r="O1162" s="285">
        <v>660</v>
      </c>
      <c r="P1162" s="285"/>
      <c r="Q1162" s="285"/>
      <c r="R1162" s="278"/>
      <c r="S1162" s="278"/>
      <c r="T1162" s="278"/>
    </row>
    <row r="1163" spans="1:20" s="305" customFormat="1" hidden="1" outlineLevel="2" x14ac:dyDescent="0.25">
      <c r="A1163" s="278"/>
      <c r="B1163" s="279" t="str">
        <f t="shared" si="477"/>
        <v>2100mm921mm to 1220mmSD/FRquality</v>
      </c>
      <c r="C1163" s="278" t="s">
        <v>557</v>
      </c>
      <c r="D1163" s="278" t="s">
        <v>722</v>
      </c>
      <c r="E1163" s="278" t="s">
        <v>2155</v>
      </c>
      <c r="F1163" s="278" t="s">
        <v>544</v>
      </c>
      <c r="G1163" s="278" t="s">
        <v>5</v>
      </c>
      <c r="H1163" s="310">
        <v>2</v>
      </c>
      <c r="I1163" s="280">
        <f t="shared" si="478"/>
        <v>161.24</v>
      </c>
      <c r="J1163" s="281">
        <f t="shared" si="479"/>
        <v>182.86</v>
      </c>
      <c r="K1163" s="282">
        <f>IF(Notes!$B$9="Domestic",I1163, IF(Notes!$B$9="Commercial",J1163))*$K$1151</f>
        <v>182.86</v>
      </c>
      <c r="L1163" s="283">
        <f>(SUM(O1163:Q1163)+(K1163+SUM(M1163:Q1163))*(INDEX($U$1151:$AB$1151,MATCH(Notes!$C$16,$U$3:$AB$3,0))-100%))*$L$1151</f>
        <v>779</v>
      </c>
      <c r="M1163" s="286"/>
      <c r="N1163" s="286"/>
      <c r="O1163" s="285">
        <v>779</v>
      </c>
      <c r="P1163" s="285"/>
      <c r="Q1163" s="285"/>
      <c r="R1163" s="278"/>
      <c r="S1163" s="278"/>
      <c r="T1163" s="278"/>
    </row>
    <row r="1164" spans="1:20" s="305" customFormat="1" hidden="1" outlineLevel="2" x14ac:dyDescent="0.25">
      <c r="A1164" s="278"/>
      <c r="B1164" s="279" t="str">
        <f t="shared" si="477"/>
        <v>2400mmup to 820mmSD/FRquality</v>
      </c>
      <c r="C1164" s="278" t="s">
        <v>558</v>
      </c>
      <c r="D1164" s="278" t="s">
        <v>724</v>
      </c>
      <c r="E1164" s="278" t="s">
        <v>2155</v>
      </c>
      <c r="F1164" s="278" t="s">
        <v>544</v>
      </c>
      <c r="G1164" s="278" t="s">
        <v>5</v>
      </c>
      <c r="H1164" s="310">
        <v>2</v>
      </c>
      <c r="I1164" s="280">
        <f t="shared" si="478"/>
        <v>161.24</v>
      </c>
      <c r="J1164" s="281">
        <f t="shared" si="479"/>
        <v>182.86</v>
      </c>
      <c r="K1164" s="282">
        <f>IF(Notes!$B$9="Domestic",I1164, IF(Notes!$B$9="Commercial",J1164))*$K$1151</f>
        <v>182.86</v>
      </c>
      <c r="L1164" s="283">
        <f>(SUM(O1164:Q1164)+(K1164+SUM(M1164:Q1164))*(INDEX($U$1151:$AB$1151,MATCH(Notes!$C$16,$U$3:$AB$3,0))-100%))*$L$1151</f>
        <v>789</v>
      </c>
      <c r="M1164" s="286"/>
      <c r="N1164" s="286"/>
      <c r="O1164" s="285">
        <v>789</v>
      </c>
      <c r="P1164" s="285"/>
      <c r="Q1164" s="285"/>
      <c r="R1164" s="278"/>
      <c r="S1164" s="278"/>
      <c r="T1164" s="278"/>
    </row>
    <row r="1165" spans="1:20" s="305" customFormat="1" hidden="1" outlineLevel="2" x14ac:dyDescent="0.25">
      <c r="A1165" s="278"/>
      <c r="B1165" s="279" t="str">
        <f t="shared" si="477"/>
        <v>2400mm821mm to 920mmSD/FRquality</v>
      </c>
      <c r="C1165" s="278" t="s">
        <v>558</v>
      </c>
      <c r="D1165" s="278" t="s">
        <v>721</v>
      </c>
      <c r="E1165" s="278" t="s">
        <v>2155</v>
      </c>
      <c r="F1165" s="278" t="s">
        <v>544</v>
      </c>
      <c r="G1165" s="278" t="s">
        <v>5</v>
      </c>
      <c r="H1165" s="310">
        <v>2.1499807222722014</v>
      </c>
      <c r="I1165" s="280">
        <f t="shared" si="478"/>
        <v>173.33144582958488</v>
      </c>
      <c r="J1165" s="281">
        <f t="shared" si="479"/>
        <v>196.5727374373474</v>
      </c>
      <c r="K1165" s="282">
        <f>IF(Notes!$B$9="Domestic",I1165, IF(Notes!$B$9="Commercial",J1165))*$K$1151</f>
        <v>196.5727374373474</v>
      </c>
      <c r="L1165" s="283">
        <f>(SUM(O1165:Q1165)+(K1165+SUM(M1165:Q1165))*(INDEX($U$1151:$AB$1151,MATCH(Notes!$C$16,$U$3:$AB$3,0))-100%))*$L$1151</f>
        <v>824</v>
      </c>
      <c r="M1165" s="286"/>
      <c r="N1165" s="286"/>
      <c r="O1165" s="285">
        <v>824</v>
      </c>
      <c r="P1165" s="285"/>
      <c r="Q1165" s="285"/>
      <c r="R1165" s="278"/>
      <c r="S1165" s="278"/>
      <c r="T1165" s="278"/>
    </row>
    <row r="1166" spans="1:20" s="305" customFormat="1" hidden="1" outlineLevel="2" x14ac:dyDescent="0.25">
      <c r="A1166" s="278"/>
      <c r="B1166" s="279" t="str">
        <f t="shared" si="477"/>
        <v>2400mm921mm to 1220mmSD/FRquality</v>
      </c>
      <c r="C1166" s="278" t="s">
        <v>558</v>
      </c>
      <c r="D1166" s="278" t="s">
        <v>722</v>
      </c>
      <c r="E1166" s="278" t="s">
        <v>2155</v>
      </c>
      <c r="F1166" s="278" t="s">
        <v>544</v>
      </c>
      <c r="G1166" s="278" t="s">
        <v>5</v>
      </c>
      <c r="H1166" s="310">
        <v>2.1499807222722014</v>
      </c>
      <c r="I1166" s="280">
        <f t="shared" si="478"/>
        <v>173.33144582958488</v>
      </c>
      <c r="J1166" s="281">
        <f t="shared" si="479"/>
        <v>196.5727374373474</v>
      </c>
      <c r="K1166" s="282">
        <f>IF(Notes!$B$9="Domestic",I1166, IF(Notes!$B$9="Commercial",J1166))*$K$1151</f>
        <v>196.5727374373474</v>
      </c>
      <c r="L1166" s="283">
        <f>(SUM(O1166:Q1166)+(K1166+SUM(M1166:Q1166))*(INDEX($U$1151:$AB$1151,MATCH(Notes!$C$16,$U$3:$AB$3,0))-100%))*$L$1151</f>
        <v>881</v>
      </c>
      <c r="M1166" s="286"/>
      <c r="N1166" s="286"/>
      <c r="O1166" s="285">
        <v>881</v>
      </c>
      <c r="P1166" s="285"/>
      <c r="Q1166" s="285"/>
      <c r="R1166" s="278"/>
      <c r="S1166" s="278"/>
      <c r="T1166" s="278"/>
    </row>
    <row r="1167" spans="1:20" s="305" customFormat="1" hidden="1" outlineLevel="2" x14ac:dyDescent="0.25">
      <c r="A1167" s="278"/>
      <c r="B1167" s="279" t="str">
        <f t="shared" si="477"/>
        <v>2700mmup to 820mmSD/FRquality</v>
      </c>
      <c r="C1167" s="278" t="s">
        <v>779</v>
      </c>
      <c r="D1167" s="278" t="s">
        <v>724</v>
      </c>
      <c r="E1167" s="278" t="s">
        <v>2155</v>
      </c>
      <c r="F1167" s="278" t="s">
        <v>544</v>
      </c>
      <c r="G1167" s="278" t="s">
        <v>5</v>
      </c>
      <c r="H1167" s="310">
        <v>2.5000642590926621</v>
      </c>
      <c r="I1167" s="280">
        <f t="shared" si="478"/>
        <v>201.55518056805042</v>
      </c>
      <c r="J1167" s="281">
        <f t="shared" si="479"/>
        <v>228.58087520884212</v>
      </c>
      <c r="K1167" s="282">
        <f>IF(Notes!$B$9="Domestic",I1167, IF(Notes!$B$9="Commercial",J1167))*$K$1151</f>
        <v>228.58087520884212</v>
      </c>
      <c r="L1167" s="283">
        <f>(SUM(O1167:Q1167)+(K1167+SUM(M1167:Q1167))*(INDEX($U$1151:$AB$1151,MATCH(Notes!$C$16,$U$3:$AB$3,0))-100%))*$L$1151</f>
        <v>946.8</v>
      </c>
      <c r="M1167" s="286"/>
      <c r="N1167" s="286"/>
      <c r="O1167" s="311">
        <f>O1164*1.2</f>
        <v>946.8</v>
      </c>
      <c r="P1167" s="285"/>
      <c r="Q1167" s="285"/>
      <c r="R1167" s="278"/>
      <c r="S1167" s="278"/>
      <c r="T1167" s="278"/>
    </row>
    <row r="1168" spans="1:20" s="305" customFormat="1" hidden="1" outlineLevel="2" x14ac:dyDescent="0.25">
      <c r="A1168" s="278"/>
      <c r="B1168" s="279" t="str">
        <f t="shared" si="477"/>
        <v>2700mm821mm to 920mmSD/FRquality</v>
      </c>
      <c r="C1168" s="278" t="s">
        <v>779</v>
      </c>
      <c r="D1168" s="278" t="s">
        <v>721</v>
      </c>
      <c r="E1168" s="278" t="s">
        <v>2155</v>
      </c>
      <c r="F1168" s="278" t="s">
        <v>544</v>
      </c>
      <c r="G1168" s="278" t="s">
        <v>5</v>
      </c>
      <c r="H1168" s="310">
        <v>2.5500578331833954</v>
      </c>
      <c r="I1168" s="280">
        <f t="shared" si="478"/>
        <v>205.58566251124535</v>
      </c>
      <c r="J1168" s="281">
        <f t="shared" si="479"/>
        <v>233.15178768795786</v>
      </c>
      <c r="K1168" s="282">
        <f>IF(Notes!$B$9="Domestic",I1168, IF(Notes!$B$9="Commercial",J1168))*$K$1151</f>
        <v>233.15178768795786</v>
      </c>
      <c r="L1168" s="283">
        <f>(SUM(O1168:Q1168)+(K1168+SUM(M1168:Q1168))*(INDEX($U$1151:$AB$1151,MATCH(Notes!$C$16,$U$3:$AB$3,0))-100%))*$L$1151</f>
        <v>988.8</v>
      </c>
      <c r="M1168" s="286"/>
      <c r="N1168" s="286"/>
      <c r="O1168" s="311">
        <f t="shared" ref="O1168:O1169" si="481">O1165*1.2</f>
        <v>988.8</v>
      </c>
      <c r="P1168" s="285"/>
      <c r="Q1168" s="285"/>
      <c r="R1168" s="278"/>
      <c r="S1168" s="278"/>
      <c r="T1168" s="278"/>
    </row>
    <row r="1169" spans="1:28" s="305" customFormat="1" hidden="1" outlineLevel="2" x14ac:dyDescent="0.25">
      <c r="A1169" s="278"/>
      <c r="B1169" s="279" t="str">
        <f t="shared" si="477"/>
        <v>2700mm921mm to 1220mmSD/FRquality</v>
      </c>
      <c r="C1169" s="278" t="s">
        <v>779</v>
      </c>
      <c r="D1169" s="278" t="s">
        <v>722</v>
      </c>
      <c r="E1169" s="278" t="s">
        <v>2155</v>
      </c>
      <c r="F1169" s="278" t="s">
        <v>544</v>
      </c>
      <c r="G1169" s="278" t="s">
        <v>5</v>
      </c>
      <c r="H1169" s="310">
        <v>2.2999614445444028</v>
      </c>
      <c r="I1169" s="280">
        <f t="shared" si="478"/>
        <v>185.42289165916975</v>
      </c>
      <c r="J1169" s="281">
        <f t="shared" si="479"/>
        <v>210.28547487469476</v>
      </c>
      <c r="K1169" s="282">
        <f>IF(Notes!$B$9="Domestic",I1169, IF(Notes!$B$9="Commercial",J1169))*$K$1151</f>
        <v>210.28547487469476</v>
      </c>
      <c r="L1169" s="283">
        <f>(SUM(O1169:Q1169)+(K1169+SUM(M1169:Q1169))*(INDEX($U$1151:$AB$1151,MATCH(Notes!$C$16,$U$3:$AB$3,0))-100%))*$L$1151</f>
        <v>1057.2</v>
      </c>
      <c r="M1169" s="286"/>
      <c r="N1169" s="286"/>
      <c r="O1169" s="311">
        <f t="shared" si="481"/>
        <v>1057.2</v>
      </c>
      <c r="P1169" s="285"/>
      <c r="Q1169" s="285"/>
      <c r="R1169" s="278"/>
      <c r="S1169" s="278"/>
      <c r="T1169" s="278"/>
    </row>
    <row r="1170" spans="1:28" s="305" customFormat="1" hidden="1" outlineLevel="2" x14ac:dyDescent="0.25">
      <c r="A1170" s="278"/>
      <c r="B1170" s="279" t="str">
        <f t="shared" si="477"/>
        <v>2100mmup to 820mmSD/FRprestige</v>
      </c>
      <c r="C1170" s="278" t="s">
        <v>557</v>
      </c>
      <c r="D1170" s="278" t="s">
        <v>724</v>
      </c>
      <c r="E1170" s="278" t="s">
        <v>2155</v>
      </c>
      <c r="F1170" s="278" t="s">
        <v>545</v>
      </c>
      <c r="G1170" s="278" t="s">
        <v>5</v>
      </c>
      <c r="H1170" s="310">
        <v>1.4999357409073382</v>
      </c>
      <c r="I1170" s="280">
        <f t="shared" si="478"/>
        <v>120.92481943194962</v>
      </c>
      <c r="J1170" s="281">
        <f t="shared" si="479"/>
        <v>137.13912479115794</v>
      </c>
      <c r="K1170" s="282">
        <f>IF(Notes!$B$9="Domestic",I1170, IF(Notes!$B$9="Commercial",J1170))*$K$1151</f>
        <v>137.13912479115794</v>
      </c>
      <c r="L1170" s="283">
        <f>(SUM(O1170:Q1170)+(K1170+SUM(M1170:Q1170))*(INDEX($U$1151:$AB$1151,MATCH(Notes!$C$16,$U$3:$AB$3,0))-100%))*$L$1151</f>
        <v>590</v>
      </c>
      <c r="M1170" s="286"/>
      <c r="N1170" s="286"/>
      <c r="O1170" s="285">
        <v>590</v>
      </c>
      <c r="P1170" s="285"/>
      <c r="Q1170" s="285"/>
      <c r="R1170" s="278"/>
      <c r="S1170" s="278"/>
      <c r="T1170" s="278"/>
    </row>
    <row r="1171" spans="1:28" s="305" customFormat="1" hidden="1" outlineLevel="2" x14ac:dyDescent="0.25">
      <c r="A1171" s="278"/>
      <c r="B1171" s="279" t="str">
        <f t="shared" si="477"/>
        <v>2100mm821mm to 920mmSD/FRprestige</v>
      </c>
      <c r="C1171" s="278" t="s">
        <v>557</v>
      </c>
      <c r="D1171" s="278" t="s">
        <v>721</v>
      </c>
      <c r="E1171" s="278" t="s">
        <v>2155</v>
      </c>
      <c r="F1171" s="278" t="s">
        <v>545</v>
      </c>
      <c r="G1171" s="278" t="s">
        <v>5</v>
      </c>
      <c r="H1171" s="310">
        <v>1.7499036113610076</v>
      </c>
      <c r="I1171" s="280">
        <f t="shared" si="478"/>
        <v>141.07722914792444</v>
      </c>
      <c r="J1171" s="281">
        <f t="shared" si="479"/>
        <v>159.99368718673693</v>
      </c>
      <c r="K1171" s="282">
        <f>IF(Notes!$B$9="Domestic",I1171, IF(Notes!$B$9="Commercial",J1171))*$K$1151</f>
        <v>159.99368718673693</v>
      </c>
      <c r="L1171" s="283">
        <f>(SUM(O1171:Q1171)+(K1171+SUM(M1171:Q1171))*(INDEX($U$1151:$AB$1151,MATCH(Notes!$C$16,$U$3:$AB$3,0))-100%))*$L$1151</f>
        <v>660</v>
      </c>
      <c r="M1171" s="286"/>
      <c r="N1171" s="286"/>
      <c r="O1171" s="285">
        <v>660</v>
      </c>
      <c r="P1171" s="285"/>
      <c r="Q1171" s="285"/>
      <c r="R1171" s="278"/>
      <c r="S1171" s="278"/>
      <c r="T1171" s="278"/>
    </row>
    <row r="1172" spans="1:28" s="305" customFormat="1" hidden="1" outlineLevel="2" x14ac:dyDescent="0.25">
      <c r="A1172" s="278"/>
      <c r="B1172" s="279" t="str">
        <f t="shared" si="477"/>
        <v>2100mm921mm to 1220mmSD/FRprestige</v>
      </c>
      <c r="C1172" s="278" t="s">
        <v>557</v>
      </c>
      <c r="D1172" s="278" t="s">
        <v>722</v>
      </c>
      <c r="E1172" s="278" t="s">
        <v>2155</v>
      </c>
      <c r="F1172" s="278" t="s">
        <v>545</v>
      </c>
      <c r="G1172" s="278" t="s">
        <v>5</v>
      </c>
      <c r="H1172" s="310">
        <v>2</v>
      </c>
      <c r="I1172" s="280">
        <f t="shared" si="478"/>
        <v>161.24</v>
      </c>
      <c r="J1172" s="281">
        <f t="shared" si="479"/>
        <v>182.86</v>
      </c>
      <c r="K1172" s="282">
        <f>IF(Notes!$B$9="Domestic",I1172, IF(Notes!$B$9="Commercial",J1172))*$K$1151</f>
        <v>182.86</v>
      </c>
      <c r="L1172" s="283">
        <f>(SUM(O1172:Q1172)+(K1172+SUM(M1172:Q1172))*(INDEX($U$1151:$AB$1151,MATCH(Notes!$C$16,$U$3:$AB$3,0))-100%))*$L$1151</f>
        <v>779</v>
      </c>
      <c r="M1172" s="286"/>
      <c r="N1172" s="286"/>
      <c r="O1172" s="285">
        <v>779</v>
      </c>
      <c r="P1172" s="285"/>
      <c r="Q1172" s="285"/>
      <c r="R1172" s="278"/>
      <c r="S1172" s="278"/>
      <c r="T1172" s="278"/>
    </row>
    <row r="1173" spans="1:28" s="305" customFormat="1" hidden="1" outlineLevel="2" x14ac:dyDescent="0.25">
      <c r="A1173" s="278"/>
      <c r="B1173" s="279" t="str">
        <f t="shared" si="477"/>
        <v>2400mmup to 820mmSD/FRprestige</v>
      </c>
      <c r="C1173" s="278" t="s">
        <v>558</v>
      </c>
      <c r="D1173" s="278" t="s">
        <v>724</v>
      </c>
      <c r="E1173" s="278" t="s">
        <v>2155</v>
      </c>
      <c r="F1173" s="278" t="s">
        <v>545</v>
      </c>
      <c r="G1173" s="278" t="s">
        <v>5</v>
      </c>
      <c r="H1173" s="310">
        <v>2</v>
      </c>
      <c r="I1173" s="280">
        <f t="shared" si="478"/>
        <v>161.24</v>
      </c>
      <c r="J1173" s="281">
        <f t="shared" si="479"/>
        <v>182.86</v>
      </c>
      <c r="K1173" s="282">
        <f>IF(Notes!$B$9="Domestic",I1173, IF(Notes!$B$9="Commercial",J1173))*$K$1151</f>
        <v>182.86</v>
      </c>
      <c r="L1173" s="283">
        <f>(SUM(O1173:Q1173)+(K1173+SUM(M1173:Q1173))*(INDEX($U$1151:$AB$1151,MATCH(Notes!$C$16,$U$3:$AB$3,0))-100%))*$L$1151</f>
        <v>789</v>
      </c>
      <c r="M1173" s="286"/>
      <c r="N1173" s="286"/>
      <c r="O1173" s="285">
        <v>789</v>
      </c>
      <c r="P1173" s="285"/>
      <c r="Q1173" s="285"/>
      <c r="R1173" s="278"/>
      <c r="S1173" s="278"/>
      <c r="T1173" s="278"/>
    </row>
    <row r="1174" spans="1:28" s="305" customFormat="1" hidden="1" outlineLevel="2" x14ac:dyDescent="0.25">
      <c r="A1174" s="278"/>
      <c r="B1174" s="279" t="str">
        <f t="shared" si="477"/>
        <v>2400mm821mm to 920mmSD/FRprestige</v>
      </c>
      <c r="C1174" s="278" t="s">
        <v>558</v>
      </c>
      <c r="D1174" s="278" t="s">
        <v>721</v>
      </c>
      <c r="E1174" s="278" t="s">
        <v>2155</v>
      </c>
      <c r="F1174" s="278" t="s">
        <v>545</v>
      </c>
      <c r="G1174" s="278" t="s">
        <v>5</v>
      </c>
      <c r="H1174" s="310">
        <v>2.1499807222722014</v>
      </c>
      <c r="I1174" s="280">
        <f t="shared" si="478"/>
        <v>173.33144582958488</v>
      </c>
      <c r="J1174" s="281">
        <f t="shared" si="479"/>
        <v>196.5727374373474</v>
      </c>
      <c r="K1174" s="282">
        <f>IF(Notes!$B$9="Domestic",I1174, IF(Notes!$B$9="Commercial",J1174))*$K$1151</f>
        <v>196.5727374373474</v>
      </c>
      <c r="L1174" s="283">
        <f>(SUM(O1174:Q1174)+(K1174+SUM(M1174:Q1174))*(INDEX($U$1151:$AB$1151,MATCH(Notes!$C$16,$U$3:$AB$3,0))-100%))*$L$1151</f>
        <v>824</v>
      </c>
      <c r="M1174" s="286"/>
      <c r="N1174" s="286"/>
      <c r="O1174" s="285">
        <v>824</v>
      </c>
      <c r="P1174" s="285"/>
      <c r="Q1174" s="285"/>
      <c r="R1174" s="278"/>
      <c r="S1174" s="278"/>
      <c r="T1174" s="278"/>
    </row>
    <row r="1175" spans="1:28" s="305" customFormat="1" hidden="1" outlineLevel="2" x14ac:dyDescent="0.25">
      <c r="A1175" s="278"/>
      <c r="B1175" s="279" t="str">
        <f t="shared" si="477"/>
        <v>2400mm921mm to 1220mmSD/FRprestige</v>
      </c>
      <c r="C1175" s="278" t="s">
        <v>558</v>
      </c>
      <c r="D1175" s="278" t="s">
        <v>722</v>
      </c>
      <c r="E1175" s="278" t="s">
        <v>2155</v>
      </c>
      <c r="F1175" s="278" t="s">
        <v>545</v>
      </c>
      <c r="G1175" s="278" t="s">
        <v>5</v>
      </c>
      <c r="H1175" s="310">
        <v>2.1499807222722014</v>
      </c>
      <c r="I1175" s="280">
        <f t="shared" si="478"/>
        <v>173.33144582958488</v>
      </c>
      <c r="J1175" s="281">
        <f t="shared" si="479"/>
        <v>196.5727374373474</v>
      </c>
      <c r="K1175" s="282">
        <f>IF(Notes!$B$9="Domestic",I1175, IF(Notes!$B$9="Commercial",J1175))*$K$1151</f>
        <v>196.5727374373474</v>
      </c>
      <c r="L1175" s="283">
        <f>(SUM(O1175:Q1175)+(K1175+SUM(M1175:Q1175))*(INDEX($U$1151:$AB$1151,MATCH(Notes!$C$16,$U$3:$AB$3,0))-100%))*$L$1151</f>
        <v>881</v>
      </c>
      <c r="M1175" s="286"/>
      <c r="N1175" s="286"/>
      <c r="O1175" s="285">
        <v>881</v>
      </c>
      <c r="P1175" s="285"/>
      <c r="Q1175" s="285"/>
      <c r="R1175" s="278"/>
      <c r="S1175" s="278"/>
      <c r="T1175" s="278"/>
    </row>
    <row r="1176" spans="1:28" s="305" customFormat="1" hidden="1" outlineLevel="2" x14ac:dyDescent="0.25">
      <c r="A1176" s="278"/>
      <c r="B1176" s="279" t="str">
        <f t="shared" si="477"/>
        <v>2700mmup to 820mmSD/FRprestige</v>
      </c>
      <c r="C1176" s="278" t="s">
        <v>779</v>
      </c>
      <c r="D1176" s="278" t="s">
        <v>724</v>
      </c>
      <c r="E1176" s="278" t="s">
        <v>2155</v>
      </c>
      <c r="F1176" s="278" t="s">
        <v>545</v>
      </c>
      <c r="G1176" s="278" t="s">
        <v>5</v>
      </c>
      <c r="H1176" s="310">
        <v>2.5000642590926621</v>
      </c>
      <c r="I1176" s="280">
        <f t="shared" si="478"/>
        <v>201.55518056805042</v>
      </c>
      <c r="J1176" s="281">
        <f t="shared" si="479"/>
        <v>228.58087520884212</v>
      </c>
      <c r="K1176" s="282">
        <f>IF(Notes!$B$9="Domestic",I1176, IF(Notes!$B$9="Commercial",J1176))*$K$1151</f>
        <v>228.58087520884212</v>
      </c>
      <c r="L1176" s="283">
        <f>(SUM(O1176:Q1176)+(K1176+SUM(M1176:Q1176))*(INDEX($U$1151:$AB$1151,MATCH(Notes!$C$16,$U$3:$AB$3,0))-100%))*$L$1151</f>
        <v>946.8</v>
      </c>
      <c r="M1176" s="286"/>
      <c r="N1176" s="286"/>
      <c r="O1176" s="311">
        <f>O1173*1.2</f>
        <v>946.8</v>
      </c>
      <c r="P1176" s="285"/>
      <c r="Q1176" s="285"/>
      <c r="R1176" s="278"/>
      <c r="S1176" s="278"/>
      <c r="T1176" s="278"/>
    </row>
    <row r="1177" spans="1:28" s="305" customFormat="1" hidden="1" outlineLevel="2" x14ac:dyDescent="0.25">
      <c r="A1177" s="278"/>
      <c r="B1177" s="279" t="str">
        <f t="shared" si="477"/>
        <v>2700mm821mm to 920mmSD/FRprestige</v>
      </c>
      <c r="C1177" s="278" t="s">
        <v>779</v>
      </c>
      <c r="D1177" s="278" t="s">
        <v>721</v>
      </c>
      <c r="E1177" s="278" t="s">
        <v>2155</v>
      </c>
      <c r="F1177" s="278" t="s">
        <v>545</v>
      </c>
      <c r="G1177" s="278" t="s">
        <v>5</v>
      </c>
      <c r="H1177" s="310">
        <v>2.5500578331833954</v>
      </c>
      <c r="I1177" s="280">
        <f t="shared" si="478"/>
        <v>205.58566251124535</v>
      </c>
      <c r="J1177" s="281">
        <f t="shared" si="479"/>
        <v>233.15178768795786</v>
      </c>
      <c r="K1177" s="282">
        <f>IF(Notes!$B$9="Domestic",I1177, IF(Notes!$B$9="Commercial",J1177))*$K$1151</f>
        <v>233.15178768795786</v>
      </c>
      <c r="L1177" s="283">
        <f>(SUM(O1177:Q1177)+(K1177+SUM(M1177:Q1177))*(INDEX($U$1151:$AB$1151,MATCH(Notes!$C$16,$U$3:$AB$3,0))-100%))*$L$1151</f>
        <v>988.8</v>
      </c>
      <c r="M1177" s="286"/>
      <c r="N1177" s="286"/>
      <c r="O1177" s="311">
        <f t="shared" ref="O1177:O1178" si="482">O1174*1.2</f>
        <v>988.8</v>
      </c>
      <c r="P1177" s="285"/>
      <c r="Q1177" s="285"/>
      <c r="R1177" s="278"/>
      <c r="S1177" s="278"/>
      <c r="T1177" s="278"/>
    </row>
    <row r="1178" spans="1:28" s="305" customFormat="1" hidden="1" outlineLevel="2" x14ac:dyDescent="0.25">
      <c r="A1178" s="278"/>
      <c r="B1178" s="279" t="str">
        <f t="shared" si="477"/>
        <v>2700mm921mm to 1220mmSD/FRprestige</v>
      </c>
      <c r="C1178" s="278" t="s">
        <v>779</v>
      </c>
      <c r="D1178" s="278" t="s">
        <v>722</v>
      </c>
      <c r="E1178" s="278" t="s">
        <v>2155</v>
      </c>
      <c r="F1178" s="278" t="s">
        <v>545</v>
      </c>
      <c r="G1178" s="278" t="s">
        <v>5</v>
      </c>
      <c r="H1178" s="310">
        <v>2.2999614445444028</v>
      </c>
      <c r="I1178" s="280">
        <f t="shared" si="478"/>
        <v>185.42289165916975</v>
      </c>
      <c r="J1178" s="281">
        <f t="shared" si="479"/>
        <v>210.28547487469476</v>
      </c>
      <c r="K1178" s="282">
        <f>IF(Notes!$B$9="Domestic",I1178, IF(Notes!$B$9="Commercial",J1178))*$K$1151</f>
        <v>210.28547487469476</v>
      </c>
      <c r="L1178" s="283">
        <f>(SUM(O1178:Q1178)+(K1178+SUM(M1178:Q1178))*(INDEX($U$1151:$AB$1151,MATCH(Notes!$C$16,$U$3:$AB$3,0))-100%))*$L$1151</f>
        <v>1057.2</v>
      </c>
      <c r="M1178" s="286"/>
      <c r="N1178" s="286"/>
      <c r="O1178" s="311">
        <f t="shared" si="482"/>
        <v>1057.2</v>
      </c>
      <c r="P1178" s="285"/>
      <c r="Q1178" s="285"/>
      <c r="R1178" s="278"/>
      <c r="S1178" s="278"/>
      <c r="T1178" s="278"/>
    </row>
    <row r="1179" spans="1:28" ht="21" hidden="1" outlineLevel="1" collapsed="1" x14ac:dyDescent="0.25">
      <c r="A1179" s="299" t="s">
        <v>2099</v>
      </c>
      <c r="B1179" s="299"/>
      <c r="C1179" s="299"/>
      <c r="D1179" s="299"/>
      <c r="E1179" s="299"/>
      <c r="F1179" s="299"/>
      <c r="G1179" s="299"/>
      <c r="H1179" s="348"/>
      <c r="I1179" s="299"/>
      <c r="J1179" s="299"/>
      <c r="K1179" s="299"/>
      <c r="L1179" s="299"/>
      <c r="M1179" s="299"/>
      <c r="N1179" s="299"/>
      <c r="O1179" s="299"/>
      <c r="P1179" s="299"/>
      <c r="Q1179" s="299"/>
      <c r="R1179" s="299"/>
      <c r="S1179" s="299"/>
      <c r="T1179" s="299"/>
      <c r="U1179" s="299"/>
      <c r="V1179" s="299"/>
      <c r="W1179" s="299"/>
      <c r="X1179" s="299"/>
      <c r="Y1179" s="299"/>
      <c r="Z1179" s="299"/>
      <c r="AA1179" s="299"/>
      <c r="AB1179" s="299"/>
    </row>
    <row r="1180" spans="1:28" ht="15.75" hidden="1" outlineLevel="1" x14ac:dyDescent="0.25">
      <c r="A1180" s="291"/>
      <c r="B1180" s="291"/>
      <c r="C1180" s="291"/>
      <c r="D1180" s="291"/>
      <c r="E1180" s="291"/>
      <c r="F1180" s="291"/>
      <c r="G1180" s="291"/>
      <c r="H1180" s="325"/>
      <c r="I1180" s="291"/>
      <c r="J1180" s="291"/>
      <c r="K1180" s="291">
        <f>K$2</f>
        <v>1</v>
      </c>
      <c r="L1180" s="291">
        <f>L$2</f>
        <v>1</v>
      </c>
      <c r="M1180" s="291"/>
      <c r="N1180" s="291"/>
      <c r="O1180" s="303"/>
      <c r="P1180" s="303"/>
      <c r="Q1180" s="303"/>
      <c r="R1180" s="291"/>
      <c r="S1180" s="291"/>
      <c r="T1180" s="291"/>
      <c r="U1180" s="381">
        <f>U$1151</f>
        <v>0.98529411764705888</v>
      </c>
      <c r="V1180" s="381">
        <f t="shared" ref="V1180:AB1180" si="483">V$1151</f>
        <v>1</v>
      </c>
      <c r="W1180" s="381">
        <f t="shared" si="483"/>
        <v>0.95588235294117652</v>
      </c>
      <c r="X1180" s="381">
        <f t="shared" si="483"/>
        <v>0.96691176470588236</v>
      </c>
      <c r="Y1180" s="381">
        <f t="shared" si="483"/>
        <v>0.99632352941176472</v>
      </c>
      <c r="Z1180" s="381">
        <f t="shared" si="483"/>
        <v>1.0294117647058822</v>
      </c>
      <c r="AA1180" s="381">
        <f t="shared" si="483"/>
        <v>1.213235294117647</v>
      </c>
      <c r="AB1180" s="381">
        <f t="shared" si="483"/>
        <v>1.1691176470588236</v>
      </c>
    </row>
    <row r="1181" spans="1:28" s="305" customFormat="1" hidden="1" outlineLevel="2" x14ac:dyDescent="0.25">
      <c r="A1181" s="278"/>
      <c r="B1181" s="279" t="str">
        <f>C1181&amp;D1181&amp;E1181&amp;F1181</f>
        <v>2100mm2 x up to 820mmDD/FRaverage</v>
      </c>
      <c r="C1181" s="278" t="s">
        <v>557</v>
      </c>
      <c r="D1181" s="278" t="s">
        <v>787</v>
      </c>
      <c r="E1181" s="278" t="s">
        <v>2156</v>
      </c>
      <c r="F1181" s="278" t="s">
        <v>543</v>
      </c>
      <c r="G1181" s="278" t="s">
        <v>5</v>
      </c>
      <c r="H1181" s="310">
        <v>2.9998714818146763</v>
      </c>
      <c r="I1181" s="280">
        <f>$I$2*H1181</f>
        <v>241.84963886389923</v>
      </c>
      <c r="J1181" s="281">
        <f>$J$2*H1181</f>
        <v>274.27824958231588</v>
      </c>
      <c r="K1181" s="282">
        <f>IF(Notes!$B$9="Domestic",I1181, IF(Notes!$B$9="Commercial",J1181))*$K$1180</f>
        <v>274.27824958231588</v>
      </c>
      <c r="L1181" s="283">
        <f>(SUM(O1181:Q1181)+(K1181+SUM(M1181:Q1181))*(INDEX($U$1180:$AB$1180,MATCH(Notes!$C$16,$U$3:$AB$3,0))-100%))*$L$1180</f>
        <v>1010</v>
      </c>
      <c r="M1181" s="286"/>
      <c r="N1181" s="286"/>
      <c r="O1181" s="311">
        <f>O1152*2</f>
        <v>1010</v>
      </c>
      <c r="P1181" s="285"/>
      <c r="Q1181" s="285"/>
      <c r="R1181" s="278"/>
      <c r="S1181" s="278"/>
      <c r="T1181" s="278"/>
    </row>
    <row r="1182" spans="1:28" s="305" customFormat="1" hidden="1" outlineLevel="2" x14ac:dyDescent="0.25">
      <c r="A1182" s="278"/>
      <c r="B1182" s="279" t="str">
        <f t="shared" ref="B1182:B1183" si="484">C1182&amp;D1182&amp;E1182&amp;F1182</f>
        <v>2100mm2 x 821mm to 920mmDD/FRaverage</v>
      </c>
      <c r="C1182" s="278" t="s">
        <v>557</v>
      </c>
      <c r="D1182" s="278" t="s">
        <v>788</v>
      </c>
      <c r="E1182" s="278" t="s">
        <v>2156</v>
      </c>
      <c r="F1182" s="278" t="s">
        <v>543</v>
      </c>
      <c r="G1182" s="278" t="s">
        <v>5</v>
      </c>
      <c r="H1182" s="310">
        <v>3.4998072227220152</v>
      </c>
      <c r="I1182" s="280">
        <f t="shared" ref="I1182:I1183" si="485">$I$2*H1182</f>
        <v>282.15445829584888</v>
      </c>
      <c r="J1182" s="281">
        <f t="shared" ref="J1182:J1183" si="486">$J$2*H1182</f>
        <v>319.98737437347387</v>
      </c>
      <c r="K1182" s="282">
        <f>IF(Notes!$B$9="Domestic",I1182, IF(Notes!$B$9="Commercial",J1182))*$K$1180</f>
        <v>319.98737437347387</v>
      </c>
      <c r="L1182" s="283">
        <f>(SUM(O1182:Q1182)+(K1182+SUM(M1182:Q1182))*(INDEX($U$1180:$AB$1180,MATCH(Notes!$C$16,$U$3:$AB$3,0))-100%))*$L$1180</f>
        <v>1196</v>
      </c>
      <c r="M1182" s="286"/>
      <c r="N1182" s="286"/>
      <c r="O1182" s="311">
        <f t="shared" ref="O1182:O1207" si="487">O1153*2</f>
        <v>1196</v>
      </c>
      <c r="P1182" s="285"/>
      <c r="Q1182" s="285"/>
      <c r="R1182" s="278"/>
      <c r="S1182" s="278"/>
      <c r="T1182" s="278"/>
    </row>
    <row r="1183" spans="1:28" s="305" customFormat="1" hidden="1" outlineLevel="2" x14ac:dyDescent="0.25">
      <c r="A1183" s="278"/>
      <c r="B1183" s="279" t="str">
        <f t="shared" si="484"/>
        <v>2100mm2 x 921mm to 1220mmDD/FRaverage</v>
      </c>
      <c r="C1183" s="278" t="s">
        <v>557</v>
      </c>
      <c r="D1183" s="278" t="s">
        <v>789</v>
      </c>
      <c r="E1183" s="278" t="s">
        <v>2156</v>
      </c>
      <c r="F1183" s="278" t="s">
        <v>543</v>
      </c>
      <c r="G1183" s="278" t="s">
        <v>5</v>
      </c>
      <c r="H1183" s="310">
        <v>4</v>
      </c>
      <c r="I1183" s="280">
        <f t="shared" si="485"/>
        <v>322.48</v>
      </c>
      <c r="J1183" s="281">
        <f t="shared" si="486"/>
        <v>365.72</v>
      </c>
      <c r="K1183" s="282">
        <f>IF(Notes!$B$9="Domestic",I1183, IF(Notes!$B$9="Commercial",J1183))*$K$1180</f>
        <v>365.72</v>
      </c>
      <c r="L1183" s="283">
        <f>(SUM(O1183:Q1183)+(K1183+SUM(M1183:Q1183))*(INDEX($U$1180:$AB$1180,MATCH(Notes!$C$16,$U$3:$AB$3,0))-100%))*$L$1180</f>
        <v>1528</v>
      </c>
      <c r="M1183" s="286"/>
      <c r="N1183" s="286"/>
      <c r="O1183" s="311">
        <f t="shared" si="487"/>
        <v>1528</v>
      </c>
      <c r="P1183" s="285"/>
      <c r="Q1183" s="285"/>
      <c r="R1183" s="278"/>
      <c r="S1183" s="278"/>
      <c r="T1183" s="278"/>
    </row>
    <row r="1184" spans="1:28" s="305" customFormat="1" hidden="1" outlineLevel="2" x14ac:dyDescent="0.25">
      <c r="A1184" s="278"/>
      <c r="B1184" s="279" t="str">
        <f t="shared" ref="B1184:B1207" si="488">C1184&amp;D1184&amp;E1184&amp;F1184</f>
        <v>2400mm2 x up to 820mmDD/FRaverage</v>
      </c>
      <c r="C1184" s="278" t="s">
        <v>558</v>
      </c>
      <c r="D1184" s="278" t="s">
        <v>787</v>
      </c>
      <c r="E1184" s="278" t="s">
        <v>2156</v>
      </c>
      <c r="F1184" s="278" t="s">
        <v>543</v>
      </c>
      <c r="G1184" s="278" t="s">
        <v>5</v>
      </c>
      <c r="H1184" s="310">
        <v>4</v>
      </c>
      <c r="I1184" s="280">
        <f t="shared" ref="I1184:I1207" si="489">$I$2*H1184</f>
        <v>322.48</v>
      </c>
      <c r="J1184" s="281">
        <f t="shared" ref="J1184:J1207" si="490">$J$2*H1184</f>
        <v>365.72</v>
      </c>
      <c r="K1184" s="282">
        <f>IF(Notes!$B$9="Domestic",I1184, IF(Notes!$B$9="Commercial",J1184))*$K$1180</f>
        <v>365.72</v>
      </c>
      <c r="L1184" s="283">
        <f>(SUM(O1184:Q1184)+(K1184+SUM(M1184:Q1184))*(INDEX($U$1180:$AB$1180,MATCH(Notes!$C$16,$U$3:$AB$3,0))-100%))*$L$1180</f>
        <v>1550</v>
      </c>
      <c r="M1184" s="286"/>
      <c r="N1184" s="286"/>
      <c r="O1184" s="311">
        <f t="shared" si="487"/>
        <v>1550</v>
      </c>
      <c r="P1184" s="285"/>
      <c r="Q1184" s="285"/>
      <c r="R1184" s="278"/>
      <c r="S1184" s="278"/>
      <c r="T1184" s="278"/>
    </row>
    <row r="1185" spans="1:20" s="305" customFormat="1" hidden="1" outlineLevel="2" x14ac:dyDescent="0.25">
      <c r="A1185" s="278"/>
      <c r="B1185" s="279" t="str">
        <f t="shared" si="488"/>
        <v>2400mm2 x 821mm to 920mmDD/FRaverage</v>
      </c>
      <c r="C1185" s="278" t="s">
        <v>558</v>
      </c>
      <c r="D1185" s="278" t="s">
        <v>788</v>
      </c>
      <c r="E1185" s="278" t="s">
        <v>2156</v>
      </c>
      <c r="F1185" s="278" t="s">
        <v>543</v>
      </c>
      <c r="G1185" s="278" t="s">
        <v>5</v>
      </c>
      <c r="H1185" s="310">
        <v>4.2999614445444028</v>
      </c>
      <c r="I1185" s="280">
        <f t="shared" si="489"/>
        <v>346.66289165916976</v>
      </c>
      <c r="J1185" s="281">
        <f t="shared" si="490"/>
        <v>393.1454748746948</v>
      </c>
      <c r="K1185" s="282">
        <f>IF(Notes!$B$9="Domestic",I1185, IF(Notes!$B$9="Commercial",J1185))*$K$1180</f>
        <v>393.1454748746948</v>
      </c>
      <c r="L1185" s="283">
        <f>(SUM(O1185:Q1185)+(K1185+SUM(M1185:Q1185))*(INDEX($U$1180:$AB$1180,MATCH(Notes!$C$16,$U$3:$AB$3,0))-100%))*$L$1180</f>
        <v>1620</v>
      </c>
      <c r="M1185" s="286"/>
      <c r="N1185" s="286"/>
      <c r="O1185" s="311">
        <f t="shared" si="487"/>
        <v>1620</v>
      </c>
      <c r="P1185" s="285"/>
      <c r="Q1185" s="285"/>
      <c r="R1185" s="278"/>
      <c r="S1185" s="278"/>
      <c r="T1185" s="278"/>
    </row>
    <row r="1186" spans="1:20" s="305" customFormat="1" hidden="1" outlineLevel="2" x14ac:dyDescent="0.25">
      <c r="A1186" s="278"/>
      <c r="B1186" s="279" t="str">
        <f t="shared" si="488"/>
        <v>2400mm2 x 921mm to 1220mmDD/FRaverage</v>
      </c>
      <c r="C1186" s="278" t="s">
        <v>558</v>
      </c>
      <c r="D1186" s="278" t="s">
        <v>789</v>
      </c>
      <c r="E1186" s="278" t="s">
        <v>2156</v>
      </c>
      <c r="F1186" s="278" t="s">
        <v>543</v>
      </c>
      <c r="G1186" s="278" t="s">
        <v>5</v>
      </c>
      <c r="H1186" s="310">
        <v>4.2999614445444028</v>
      </c>
      <c r="I1186" s="280">
        <f t="shared" si="489"/>
        <v>346.66289165916976</v>
      </c>
      <c r="J1186" s="281">
        <f t="shared" si="490"/>
        <v>393.1454748746948</v>
      </c>
      <c r="K1186" s="282">
        <f>IF(Notes!$B$9="Domestic",I1186, IF(Notes!$B$9="Commercial",J1186))*$K$1180</f>
        <v>393.1454748746948</v>
      </c>
      <c r="L1186" s="283">
        <f>(SUM(O1186:Q1186)+(K1186+SUM(M1186:Q1186))*(INDEX($U$1180:$AB$1180,MATCH(Notes!$C$16,$U$3:$AB$3,0))-100%))*$L$1180</f>
        <v>1740</v>
      </c>
      <c r="M1186" s="286"/>
      <c r="N1186" s="286"/>
      <c r="O1186" s="311">
        <f t="shared" si="487"/>
        <v>1740</v>
      </c>
      <c r="P1186" s="285"/>
      <c r="Q1186" s="285"/>
      <c r="R1186" s="278"/>
      <c r="S1186" s="278"/>
      <c r="T1186" s="278"/>
    </row>
    <row r="1187" spans="1:20" s="305" customFormat="1" hidden="1" outlineLevel="2" x14ac:dyDescent="0.25">
      <c r="A1187" s="278"/>
      <c r="B1187" s="279" t="str">
        <f t="shared" si="488"/>
        <v>2700mm2 x up to 820mmDD/FRaverage</v>
      </c>
      <c r="C1187" s="278" t="s">
        <v>779</v>
      </c>
      <c r="D1187" s="278" t="s">
        <v>787</v>
      </c>
      <c r="E1187" s="278" t="s">
        <v>2156</v>
      </c>
      <c r="F1187" s="278" t="s">
        <v>543</v>
      </c>
      <c r="G1187" s="278" t="s">
        <v>5</v>
      </c>
      <c r="H1187" s="310">
        <v>5.0001285181853241</v>
      </c>
      <c r="I1187" s="280">
        <f t="shared" si="489"/>
        <v>403.11036113610083</v>
      </c>
      <c r="J1187" s="281">
        <f t="shared" si="490"/>
        <v>457.16175041768423</v>
      </c>
      <c r="K1187" s="282">
        <f>IF(Notes!$B$9="Domestic",I1187, IF(Notes!$B$9="Commercial",J1187))*$K$1180</f>
        <v>457.16175041768423</v>
      </c>
      <c r="L1187" s="283">
        <f>(SUM(O1187:Q1187)+(K1187+SUM(M1187:Q1187))*(INDEX($U$1180:$AB$1180,MATCH(Notes!$C$16,$U$3:$AB$3,0))-100%))*$L$1180</f>
        <v>1860</v>
      </c>
      <c r="M1187" s="286"/>
      <c r="N1187" s="286"/>
      <c r="O1187" s="311">
        <f t="shared" si="487"/>
        <v>1860</v>
      </c>
      <c r="P1187" s="285"/>
      <c r="Q1187" s="285"/>
      <c r="R1187" s="278"/>
      <c r="S1187" s="278"/>
      <c r="T1187" s="278"/>
    </row>
    <row r="1188" spans="1:20" s="305" customFormat="1" hidden="1" outlineLevel="2" x14ac:dyDescent="0.25">
      <c r="A1188" s="278"/>
      <c r="B1188" s="279" t="str">
        <f t="shared" si="488"/>
        <v>2700mm2 x 821mm to 920mmDD/FRaverage</v>
      </c>
      <c r="C1188" s="278" t="s">
        <v>779</v>
      </c>
      <c r="D1188" s="278" t="s">
        <v>788</v>
      </c>
      <c r="E1188" s="278" t="s">
        <v>2156</v>
      </c>
      <c r="F1188" s="278" t="s">
        <v>543</v>
      </c>
      <c r="G1188" s="278" t="s">
        <v>5</v>
      </c>
      <c r="H1188" s="310">
        <v>5.1001156663667908</v>
      </c>
      <c r="I1188" s="280">
        <f t="shared" si="489"/>
        <v>411.17132502249069</v>
      </c>
      <c r="J1188" s="281">
        <f t="shared" si="490"/>
        <v>466.30357537591573</v>
      </c>
      <c r="K1188" s="282">
        <f>IF(Notes!$B$9="Domestic",I1188, IF(Notes!$B$9="Commercial",J1188))*$K$1180</f>
        <v>466.30357537591573</v>
      </c>
      <c r="L1188" s="283">
        <f>(SUM(O1188:Q1188)+(K1188+SUM(M1188:Q1188))*(INDEX($U$1180:$AB$1180,MATCH(Notes!$C$16,$U$3:$AB$3,0))-100%))*$L$1180</f>
        <v>1944</v>
      </c>
      <c r="M1188" s="286"/>
      <c r="N1188" s="286"/>
      <c r="O1188" s="311">
        <f t="shared" si="487"/>
        <v>1944</v>
      </c>
      <c r="P1188" s="285"/>
      <c r="Q1188" s="285"/>
      <c r="R1188" s="278"/>
      <c r="S1188" s="278"/>
      <c r="T1188" s="278"/>
    </row>
    <row r="1189" spans="1:20" s="305" customFormat="1" hidden="1" outlineLevel="2" x14ac:dyDescent="0.25">
      <c r="A1189" s="278"/>
      <c r="B1189" s="279" t="str">
        <f t="shared" si="488"/>
        <v>2700mm2 x 921mm to 1220mmDD/FRaverage</v>
      </c>
      <c r="C1189" s="278" t="s">
        <v>779</v>
      </c>
      <c r="D1189" s="278" t="s">
        <v>789</v>
      </c>
      <c r="E1189" s="278" t="s">
        <v>2156</v>
      </c>
      <c r="F1189" s="278" t="s">
        <v>543</v>
      </c>
      <c r="G1189" s="278" t="s">
        <v>5</v>
      </c>
      <c r="H1189" s="310">
        <v>4.5999228890888055</v>
      </c>
      <c r="I1189" s="280">
        <f t="shared" si="489"/>
        <v>370.8457833183395</v>
      </c>
      <c r="J1189" s="281">
        <f t="shared" si="490"/>
        <v>420.57094974938951</v>
      </c>
      <c r="K1189" s="282">
        <f>IF(Notes!$B$9="Domestic",I1189, IF(Notes!$B$9="Commercial",J1189))*$K$1180</f>
        <v>420.57094974938951</v>
      </c>
      <c r="L1189" s="283">
        <f>(SUM(O1189:Q1189)+(K1189+SUM(M1189:Q1189))*(INDEX($U$1180:$AB$1180,MATCH(Notes!$C$16,$U$3:$AB$3,0))-100%))*$L$1180</f>
        <v>2088</v>
      </c>
      <c r="M1189" s="286"/>
      <c r="N1189" s="286"/>
      <c r="O1189" s="311">
        <f t="shared" si="487"/>
        <v>2088</v>
      </c>
      <c r="P1189" s="285"/>
      <c r="Q1189" s="285"/>
      <c r="R1189" s="278"/>
      <c r="S1189" s="278"/>
      <c r="T1189" s="278"/>
    </row>
    <row r="1190" spans="1:20" s="305" customFormat="1" hidden="1" outlineLevel="2" x14ac:dyDescent="0.25">
      <c r="A1190" s="278"/>
      <c r="B1190" s="279" t="str">
        <f t="shared" si="488"/>
        <v>2100mm2 x up to 820mmDD/FRquality</v>
      </c>
      <c r="C1190" s="278" t="s">
        <v>557</v>
      </c>
      <c r="D1190" s="278" t="s">
        <v>787</v>
      </c>
      <c r="E1190" s="278" t="s">
        <v>2156</v>
      </c>
      <c r="F1190" s="278" t="s">
        <v>544</v>
      </c>
      <c r="G1190" s="278" t="s">
        <v>5</v>
      </c>
      <c r="H1190" s="310">
        <v>2.9998714818146763</v>
      </c>
      <c r="I1190" s="280">
        <f t="shared" si="489"/>
        <v>241.84963886389923</v>
      </c>
      <c r="J1190" s="281">
        <f t="shared" si="490"/>
        <v>274.27824958231588</v>
      </c>
      <c r="K1190" s="282">
        <f>IF(Notes!$B$9="Domestic",I1190, IF(Notes!$B$9="Commercial",J1190))*$K$1180</f>
        <v>274.27824958231588</v>
      </c>
      <c r="L1190" s="283">
        <f>(SUM(O1190:Q1190)+(K1190+SUM(M1190:Q1190))*(INDEX($U$1180:$AB$1180,MATCH(Notes!$C$16,$U$3:$AB$3,0))-100%))*$L$1180</f>
        <v>1180</v>
      </c>
      <c r="M1190" s="286"/>
      <c r="N1190" s="286"/>
      <c r="O1190" s="311">
        <f t="shared" si="487"/>
        <v>1180</v>
      </c>
      <c r="P1190" s="285"/>
      <c r="Q1190" s="285"/>
      <c r="R1190" s="278"/>
      <c r="S1190" s="278"/>
      <c r="T1190" s="278"/>
    </row>
    <row r="1191" spans="1:20" s="305" customFormat="1" hidden="1" outlineLevel="2" x14ac:dyDescent="0.25">
      <c r="A1191" s="278"/>
      <c r="B1191" s="279" t="str">
        <f t="shared" si="488"/>
        <v>2100mm2 x 821mm to 920mmDD/FRquality</v>
      </c>
      <c r="C1191" s="278" t="s">
        <v>557</v>
      </c>
      <c r="D1191" s="278" t="s">
        <v>788</v>
      </c>
      <c r="E1191" s="278" t="s">
        <v>2156</v>
      </c>
      <c r="F1191" s="278" t="s">
        <v>544</v>
      </c>
      <c r="G1191" s="278" t="s">
        <v>5</v>
      </c>
      <c r="H1191" s="310">
        <v>3.4998072227220152</v>
      </c>
      <c r="I1191" s="280">
        <f t="shared" si="489"/>
        <v>282.15445829584888</v>
      </c>
      <c r="J1191" s="281">
        <f t="shared" si="490"/>
        <v>319.98737437347387</v>
      </c>
      <c r="K1191" s="282">
        <f>IF(Notes!$B$9="Domestic",I1191, IF(Notes!$B$9="Commercial",J1191))*$K$1180</f>
        <v>319.98737437347387</v>
      </c>
      <c r="L1191" s="283">
        <f>(SUM(O1191:Q1191)+(K1191+SUM(M1191:Q1191))*(INDEX($U$1180:$AB$1180,MATCH(Notes!$C$16,$U$3:$AB$3,0))-100%))*$L$1180</f>
        <v>1320</v>
      </c>
      <c r="M1191" s="286"/>
      <c r="N1191" s="286"/>
      <c r="O1191" s="311">
        <f t="shared" si="487"/>
        <v>1320</v>
      </c>
      <c r="P1191" s="285"/>
      <c r="Q1191" s="285"/>
      <c r="R1191" s="278"/>
      <c r="S1191" s="278"/>
      <c r="T1191" s="278"/>
    </row>
    <row r="1192" spans="1:20" s="305" customFormat="1" hidden="1" outlineLevel="2" x14ac:dyDescent="0.25">
      <c r="A1192" s="278"/>
      <c r="B1192" s="279" t="str">
        <f t="shared" si="488"/>
        <v>2100mm2 x 921mm to 1220mmDD/FRquality</v>
      </c>
      <c r="C1192" s="278" t="s">
        <v>557</v>
      </c>
      <c r="D1192" s="278" t="s">
        <v>789</v>
      </c>
      <c r="E1192" s="278" t="s">
        <v>2156</v>
      </c>
      <c r="F1192" s="278" t="s">
        <v>544</v>
      </c>
      <c r="G1192" s="278" t="s">
        <v>5</v>
      </c>
      <c r="H1192" s="310">
        <v>4</v>
      </c>
      <c r="I1192" s="280">
        <f t="shared" si="489"/>
        <v>322.48</v>
      </c>
      <c r="J1192" s="281">
        <f t="shared" si="490"/>
        <v>365.72</v>
      </c>
      <c r="K1192" s="282">
        <f>IF(Notes!$B$9="Domestic",I1192, IF(Notes!$B$9="Commercial",J1192))*$K$1180</f>
        <v>365.72</v>
      </c>
      <c r="L1192" s="283">
        <f>(SUM(O1192:Q1192)+(K1192+SUM(M1192:Q1192))*(INDEX($U$1180:$AB$1180,MATCH(Notes!$C$16,$U$3:$AB$3,0))-100%))*$L$1180</f>
        <v>1558</v>
      </c>
      <c r="M1192" s="286"/>
      <c r="N1192" s="286"/>
      <c r="O1192" s="311">
        <f t="shared" si="487"/>
        <v>1558</v>
      </c>
      <c r="P1192" s="285"/>
      <c r="Q1192" s="285"/>
      <c r="R1192" s="278"/>
      <c r="S1192" s="278"/>
      <c r="T1192" s="278"/>
    </row>
    <row r="1193" spans="1:20" s="305" customFormat="1" hidden="1" outlineLevel="2" x14ac:dyDescent="0.25">
      <c r="A1193" s="278"/>
      <c r="B1193" s="279" t="str">
        <f t="shared" si="488"/>
        <v>2400mm2 x up to 820mmDD/FRquality</v>
      </c>
      <c r="C1193" s="278" t="s">
        <v>558</v>
      </c>
      <c r="D1193" s="278" t="s">
        <v>787</v>
      </c>
      <c r="E1193" s="278" t="s">
        <v>2156</v>
      </c>
      <c r="F1193" s="278" t="s">
        <v>544</v>
      </c>
      <c r="G1193" s="278" t="s">
        <v>5</v>
      </c>
      <c r="H1193" s="310">
        <v>4</v>
      </c>
      <c r="I1193" s="280">
        <f t="shared" si="489"/>
        <v>322.48</v>
      </c>
      <c r="J1193" s="281">
        <f t="shared" si="490"/>
        <v>365.72</v>
      </c>
      <c r="K1193" s="282">
        <f>IF(Notes!$B$9="Domestic",I1193, IF(Notes!$B$9="Commercial",J1193))*$K$1180</f>
        <v>365.72</v>
      </c>
      <c r="L1193" s="283">
        <f>(SUM(O1193:Q1193)+(K1193+SUM(M1193:Q1193))*(INDEX($U$1180:$AB$1180,MATCH(Notes!$C$16,$U$3:$AB$3,0))-100%))*$L$1180</f>
        <v>1578</v>
      </c>
      <c r="M1193" s="286"/>
      <c r="N1193" s="286"/>
      <c r="O1193" s="311">
        <f t="shared" si="487"/>
        <v>1578</v>
      </c>
      <c r="P1193" s="285"/>
      <c r="Q1193" s="285"/>
      <c r="R1193" s="278"/>
      <c r="S1193" s="278"/>
      <c r="T1193" s="278"/>
    </row>
    <row r="1194" spans="1:20" s="305" customFormat="1" hidden="1" outlineLevel="2" x14ac:dyDescent="0.25">
      <c r="A1194" s="278"/>
      <c r="B1194" s="279" t="str">
        <f t="shared" si="488"/>
        <v>2400mm2 x 821mm to 920mmDD/FRquality</v>
      </c>
      <c r="C1194" s="278" t="s">
        <v>558</v>
      </c>
      <c r="D1194" s="278" t="s">
        <v>788</v>
      </c>
      <c r="E1194" s="278" t="s">
        <v>2156</v>
      </c>
      <c r="F1194" s="278" t="s">
        <v>544</v>
      </c>
      <c r="G1194" s="278" t="s">
        <v>5</v>
      </c>
      <c r="H1194" s="310">
        <v>4.2999614445444028</v>
      </c>
      <c r="I1194" s="280">
        <f t="shared" si="489"/>
        <v>346.66289165916976</v>
      </c>
      <c r="J1194" s="281">
        <f t="shared" si="490"/>
        <v>393.1454748746948</v>
      </c>
      <c r="K1194" s="282">
        <f>IF(Notes!$B$9="Domestic",I1194, IF(Notes!$B$9="Commercial",J1194))*$K$1180</f>
        <v>393.1454748746948</v>
      </c>
      <c r="L1194" s="283">
        <f>(SUM(O1194:Q1194)+(K1194+SUM(M1194:Q1194))*(INDEX($U$1180:$AB$1180,MATCH(Notes!$C$16,$U$3:$AB$3,0))-100%))*$L$1180</f>
        <v>1648</v>
      </c>
      <c r="M1194" s="286"/>
      <c r="N1194" s="286"/>
      <c r="O1194" s="311">
        <f t="shared" si="487"/>
        <v>1648</v>
      </c>
      <c r="P1194" s="285"/>
      <c r="Q1194" s="285"/>
      <c r="R1194" s="278"/>
      <c r="S1194" s="278"/>
      <c r="T1194" s="278"/>
    </row>
    <row r="1195" spans="1:20" s="305" customFormat="1" hidden="1" outlineLevel="2" x14ac:dyDescent="0.25">
      <c r="A1195" s="278"/>
      <c r="B1195" s="279" t="str">
        <f t="shared" si="488"/>
        <v>2400mm2 x 921mm to 1220mmDD/FRquality</v>
      </c>
      <c r="C1195" s="278" t="s">
        <v>558</v>
      </c>
      <c r="D1195" s="278" t="s">
        <v>789</v>
      </c>
      <c r="E1195" s="278" t="s">
        <v>2156</v>
      </c>
      <c r="F1195" s="278" t="s">
        <v>544</v>
      </c>
      <c r="G1195" s="278" t="s">
        <v>5</v>
      </c>
      <c r="H1195" s="310">
        <v>4.2999614445444028</v>
      </c>
      <c r="I1195" s="280">
        <f t="shared" si="489"/>
        <v>346.66289165916976</v>
      </c>
      <c r="J1195" s="281">
        <f t="shared" si="490"/>
        <v>393.1454748746948</v>
      </c>
      <c r="K1195" s="282">
        <f>IF(Notes!$B$9="Domestic",I1195, IF(Notes!$B$9="Commercial",J1195))*$K$1180</f>
        <v>393.1454748746948</v>
      </c>
      <c r="L1195" s="283">
        <f>(SUM(O1195:Q1195)+(K1195+SUM(M1195:Q1195))*(INDEX($U$1180:$AB$1180,MATCH(Notes!$C$16,$U$3:$AB$3,0))-100%))*$L$1180</f>
        <v>1762</v>
      </c>
      <c r="M1195" s="286"/>
      <c r="N1195" s="286"/>
      <c r="O1195" s="311">
        <f t="shared" si="487"/>
        <v>1762</v>
      </c>
      <c r="P1195" s="285"/>
      <c r="Q1195" s="285"/>
      <c r="R1195" s="278"/>
      <c r="S1195" s="278"/>
      <c r="T1195" s="278"/>
    </row>
    <row r="1196" spans="1:20" s="305" customFormat="1" hidden="1" outlineLevel="2" x14ac:dyDescent="0.25">
      <c r="A1196" s="278"/>
      <c r="B1196" s="279" t="str">
        <f t="shared" si="488"/>
        <v>2700mm2 x up to 820mmDD/FRquality</v>
      </c>
      <c r="C1196" s="278" t="s">
        <v>779</v>
      </c>
      <c r="D1196" s="278" t="s">
        <v>787</v>
      </c>
      <c r="E1196" s="278" t="s">
        <v>2156</v>
      </c>
      <c r="F1196" s="278" t="s">
        <v>544</v>
      </c>
      <c r="G1196" s="278" t="s">
        <v>5</v>
      </c>
      <c r="H1196" s="310">
        <v>5.0001285181853241</v>
      </c>
      <c r="I1196" s="280">
        <f t="shared" si="489"/>
        <v>403.11036113610083</v>
      </c>
      <c r="J1196" s="281">
        <f t="shared" si="490"/>
        <v>457.16175041768423</v>
      </c>
      <c r="K1196" s="282">
        <f>IF(Notes!$B$9="Domestic",I1196, IF(Notes!$B$9="Commercial",J1196))*$K$1180</f>
        <v>457.16175041768423</v>
      </c>
      <c r="L1196" s="283">
        <f>(SUM(O1196:Q1196)+(K1196+SUM(M1196:Q1196))*(INDEX($U$1180:$AB$1180,MATCH(Notes!$C$16,$U$3:$AB$3,0))-100%))*$L$1180</f>
        <v>1893.6</v>
      </c>
      <c r="M1196" s="286"/>
      <c r="N1196" s="286"/>
      <c r="O1196" s="311">
        <f t="shared" si="487"/>
        <v>1893.6</v>
      </c>
      <c r="P1196" s="285"/>
      <c r="Q1196" s="285"/>
      <c r="R1196" s="278"/>
      <c r="S1196" s="278"/>
      <c r="T1196" s="278"/>
    </row>
    <row r="1197" spans="1:20" s="305" customFormat="1" hidden="1" outlineLevel="2" x14ac:dyDescent="0.25">
      <c r="A1197" s="278"/>
      <c r="B1197" s="279" t="str">
        <f t="shared" si="488"/>
        <v>2700mm2 x 821mm to 920mmDD/FRquality</v>
      </c>
      <c r="C1197" s="278" t="s">
        <v>779</v>
      </c>
      <c r="D1197" s="278" t="s">
        <v>788</v>
      </c>
      <c r="E1197" s="278" t="s">
        <v>2156</v>
      </c>
      <c r="F1197" s="278" t="s">
        <v>544</v>
      </c>
      <c r="G1197" s="278" t="s">
        <v>5</v>
      </c>
      <c r="H1197" s="310">
        <v>5.1001156663667908</v>
      </c>
      <c r="I1197" s="280">
        <f t="shared" si="489"/>
        <v>411.17132502249069</v>
      </c>
      <c r="J1197" s="281">
        <f t="shared" si="490"/>
        <v>466.30357537591573</v>
      </c>
      <c r="K1197" s="282">
        <f>IF(Notes!$B$9="Domestic",I1197, IF(Notes!$B$9="Commercial",J1197))*$K$1180</f>
        <v>466.30357537591573</v>
      </c>
      <c r="L1197" s="283">
        <f>(SUM(O1197:Q1197)+(K1197+SUM(M1197:Q1197))*(INDEX($U$1180:$AB$1180,MATCH(Notes!$C$16,$U$3:$AB$3,0))-100%))*$L$1180</f>
        <v>1977.6</v>
      </c>
      <c r="M1197" s="286"/>
      <c r="N1197" s="286"/>
      <c r="O1197" s="311">
        <f t="shared" si="487"/>
        <v>1977.6</v>
      </c>
      <c r="P1197" s="285"/>
      <c r="Q1197" s="285"/>
      <c r="R1197" s="278"/>
      <c r="S1197" s="278"/>
      <c r="T1197" s="278"/>
    </row>
    <row r="1198" spans="1:20" s="305" customFormat="1" hidden="1" outlineLevel="2" x14ac:dyDescent="0.25">
      <c r="A1198" s="278"/>
      <c r="B1198" s="279" t="str">
        <f t="shared" si="488"/>
        <v>2700mm2 x 921mm to 1220mmDD/FRquality</v>
      </c>
      <c r="C1198" s="278" t="s">
        <v>779</v>
      </c>
      <c r="D1198" s="278" t="s">
        <v>789</v>
      </c>
      <c r="E1198" s="278" t="s">
        <v>2156</v>
      </c>
      <c r="F1198" s="278" t="s">
        <v>544</v>
      </c>
      <c r="G1198" s="278" t="s">
        <v>5</v>
      </c>
      <c r="H1198" s="310">
        <v>4.5999228890888055</v>
      </c>
      <c r="I1198" s="280">
        <f t="shared" si="489"/>
        <v>370.8457833183395</v>
      </c>
      <c r="J1198" s="281">
        <f t="shared" si="490"/>
        <v>420.57094974938951</v>
      </c>
      <c r="K1198" s="282">
        <f>IF(Notes!$B$9="Domestic",I1198, IF(Notes!$B$9="Commercial",J1198))*$K$1180</f>
        <v>420.57094974938951</v>
      </c>
      <c r="L1198" s="283">
        <f>(SUM(O1198:Q1198)+(K1198+SUM(M1198:Q1198))*(INDEX($U$1180:$AB$1180,MATCH(Notes!$C$16,$U$3:$AB$3,0))-100%))*$L$1180</f>
        <v>2114.4</v>
      </c>
      <c r="M1198" s="286"/>
      <c r="N1198" s="286"/>
      <c r="O1198" s="311">
        <f t="shared" si="487"/>
        <v>2114.4</v>
      </c>
      <c r="P1198" s="285"/>
      <c r="Q1198" s="285"/>
      <c r="R1198" s="278"/>
      <c r="S1198" s="278"/>
      <c r="T1198" s="278"/>
    </row>
    <row r="1199" spans="1:20" s="305" customFormat="1" hidden="1" outlineLevel="2" x14ac:dyDescent="0.25">
      <c r="A1199" s="278"/>
      <c r="B1199" s="279" t="str">
        <f t="shared" si="488"/>
        <v>2100mm2 x up to 820mmDD/FRprestige</v>
      </c>
      <c r="C1199" s="278" t="s">
        <v>557</v>
      </c>
      <c r="D1199" s="278" t="s">
        <v>787</v>
      </c>
      <c r="E1199" s="278" t="s">
        <v>2156</v>
      </c>
      <c r="F1199" s="278" t="s">
        <v>545</v>
      </c>
      <c r="G1199" s="278" t="s">
        <v>5</v>
      </c>
      <c r="H1199" s="310">
        <v>2.9998714818146763</v>
      </c>
      <c r="I1199" s="280">
        <f t="shared" si="489"/>
        <v>241.84963886389923</v>
      </c>
      <c r="J1199" s="281">
        <f t="shared" si="490"/>
        <v>274.27824958231588</v>
      </c>
      <c r="K1199" s="282">
        <f>IF(Notes!$B$9="Domestic",I1199, IF(Notes!$B$9="Commercial",J1199))*$K$1180</f>
        <v>274.27824958231588</v>
      </c>
      <c r="L1199" s="283">
        <f>(SUM(O1199:Q1199)+(K1199+SUM(M1199:Q1199))*(INDEX($U$1180:$AB$1180,MATCH(Notes!$C$16,$U$3:$AB$3,0))-100%))*$L$1180</f>
        <v>1180</v>
      </c>
      <c r="M1199" s="286"/>
      <c r="N1199" s="286"/>
      <c r="O1199" s="311">
        <f t="shared" si="487"/>
        <v>1180</v>
      </c>
      <c r="P1199" s="285"/>
      <c r="Q1199" s="285"/>
      <c r="R1199" s="278"/>
      <c r="S1199" s="278"/>
      <c r="T1199" s="278"/>
    </row>
    <row r="1200" spans="1:20" s="305" customFormat="1" hidden="1" outlineLevel="2" x14ac:dyDescent="0.25">
      <c r="A1200" s="278"/>
      <c r="B1200" s="279" t="str">
        <f t="shared" si="488"/>
        <v>2100mm2 x 821mm to 920mmDD/FRprestige</v>
      </c>
      <c r="C1200" s="278" t="s">
        <v>557</v>
      </c>
      <c r="D1200" s="278" t="s">
        <v>788</v>
      </c>
      <c r="E1200" s="278" t="s">
        <v>2156</v>
      </c>
      <c r="F1200" s="278" t="s">
        <v>545</v>
      </c>
      <c r="G1200" s="278" t="s">
        <v>5</v>
      </c>
      <c r="H1200" s="310">
        <v>3.4998072227220152</v>
      </c>
      <c r="I1200" s="280">
        <f t="shared" si="489"/>
        <v>282.15445829584888</v>
      </c>
      <c r="J1200" s="281">
        <f t="shared" si="490"/>
        <v>319.98737437347387</v>
      </c>
      <c r="K1200" s="282">
        <f>IF(Notes!$B$9="Domestic",I1200, IF(Notes!$B$9="Commercial",J1200))*$K$1180</f>
        <v>319.98737437347387</v>
      </c>
      <c r="L1200" s="283">
        <f>(SUM(O1200:Q1200)+(K1200+SUM(M1200:Q1200))*(INDEX($U$1180:$AB$1180,MATCH(Notes!$C$16,$U$3:$AB$3,0))-100%))*$L$1180</f>
        <v>1320</v>
      </c>
      <c r="M1200" s="286"/>
      <c r="N1200" s="286"/>
      <c r="O1200" s="311">
        <f t="shared" si="487"/>
        <v>1320</v>
      </c>
      <c r="P1200" s="285"/>
      <c r="Q1200" s="285"/>
      <c r="R1200" s="278"/>
      <c r="S1200" s="278"/>
      <c r="T1200" s="278"/>
    </row>
    <row r="1201" spans="1:28" s="305" customFormat="1" hidden="1" outlineLevel="2" x14ac:dyDescent="0.25">
      <c r="A1201" s="278"/>
      <c r="B1201" s="279" t="str">
        <f t="shared" si="488"/>
        <v>2100mm2 x 921mm to 1220mmDD/FRprestige</v>
      </c>
      <c r="C1201" s="278" t="s">
        <v>557</v>
      </c>
      <c r="D1201" s="278" t="s">
        <v>789</v>
      </c>
      <c r="E1201" s="278" t="s">
        <v>2156</v>
      </c>
      <c r="F1201" s="278" t="s">
        <v>545</v>
      </c>
      <c r="G1201" s="278" t="s">
        <v>5</v>
      </c>
      <c r="H1201" s="310">
        <v>4</v>
      </c>
      <c r="I1201" s="280">
        <f t="shared" si="489"/>
        <v>322.48</v>
      </c>
      <c r="J1201" s="281">
        <f t="shared" si="490"/>
        <v>365.72</v>
      </c>
      <c r="K1201" s="282">
        <f>IF(Notes!$B$9="Domestic",I1201, IF(Notes!$B$9="Commercial",J1201))*$K$1180</f>
        <v>365.72</v>
      </c>
      <c r="L1201" s="283">
        <f>(SUM(O1201:Q1201)+(K1201+SUM(M1201:Q1201))*(INDEX($U$1180:$AB$1180,MATCH(Notes!$C$16,$U$3:$AB$3,0))-100%))*$L$1180</f>
        <v>1558</v>
      </c>
      <c r="M1201" s="286"/>
      <c r="N1201" s="286"/>
      <c r="O1201" s="311">
        <f t="shared" si="487"/>
        <v>1558</v>
      </c>
      <c r="P1201" s="285"/>
      <c r="Q1201" s="285"/>
      <c r="R1201" s="278"/>
      <c r="S1201" s="278"/>
      <c r="T1201" s="278"/>
    </row>
    <row r="1202" spans="1:28" s="305" customFormat="1" hidden="1" outlineLevel="2" x14ac:dyDescent="0.25">
      <c r="A1202" s="278"/>
      <c r="B1202" s="279" t="str">
        <f t="shared" si="488"/>
        <v>2400mm2 x up to 820mmDD/FRprestige</v>
      </c>
      <c r="C1202" s="278" t="s">
        <v>558</v>
      </c>
      <c r="D1202" s="278" t="s">
        <v>787</v>
      </c>
      <c r="E1202" s="278" t="s">
        <v>2156</v>
      </c>
      <c r="F1202" s="278" t="s">
        <v>545</v>
      </c>
      <c r="G1202" s="278" t="s">
        <v>5</v>
      </c>
      <c r="H1202" s="310">
        <v>4</v>
      </c>
      <c r="I1202" s="280">
        <f t="shared" si="489"/>
        <v>322.48</v>
      </c>
      <c r="J1202" s="281">
        <f t="shared" si="490"/>
        <v>365.72</v>
      </c>
      <c r="K1202" s="282">
        <f>IF(Notes!$B$9="Domestic",I1202, IF(Notes!$B$9="Commercial",J1202))*$K$1180</f>
        <v>365.72</v>
      </c>
      <c r="L1202" s="283">
        <f>(SUM(O1202:Q1202)+(K1202+SUM(M1202:Q1202))*(INDEX($U$1180:$AB$1180,MATCH(Notes!$C$16,$U$3:$AB$3,0))-100%))*$L$1180</f>
        <v>1578</v>
      </c>
      <c r="M1202" s="286"/>
      <c r="N1202" s="286"/>
      <c r="O1202" s="311">
        <f t="shared" si="487"/>
        <v>1578</v>
      </c>
      <c r="P1202" s="285"/>
      <c r="Q1202" s="285"/>
      <c r="R1202" s="278"/>
      <c r="S1202" s="278"/>
      <c r="T1202" s="278"/>
    </row>
    <row r="1203" spans="1:28" s="305" customFormat="1" hidden="1" outlineLevel="2" x14ac:dyDescent="0.25">
      <c r="A1203" s="278"/>
      <c r="B1203" s="279" t="str">
        <f t="shared" si="488"/>
        <v>2400mm2 x 821mm to 920mmDD/FRprestige</v>
      </c>
      <c r="C1203" s="278" t="s">
        <v>558</v>
      </c>
      <c r="D1203" s="278" t="s">
        <v>788</v>
      </c>
      <c r="E1203" s="278" t="s">
        <v>2156</v>
      </c>
      <c r="F1203" s="278" t="s">
        <v>545</v>
      </c>
      <c r="G1203" s="278" t="s">
        <v>5</v>
      </c>
      <c r="H1203" s="310">
        <v>4.2999614445444028</v>
      </c>
      <c r="I1203" s="280">
        <f t="shared" si="489"/>
        <v>346.66289165916976</v>
      </c>
      <c r="J1203" s="281">
        <f t="shared" si="490"/>
        <v>393.1454748746948</v>
      </c>
      <c r="K1203" s="282">
        <f>IF(Notes!$B$9="Domestic",I1203, IF(Notes!$B$9="Commercial",J1203))*$K$1180</f>
        <v>393.1454748746948</v>
      </c>
      <c r="L1203" s="283">
        <f>(SUM(O1203:Q1203)+(K1203+SUM(M1203:Q1203))*(INDEX($U$1180:$AB$1180,MATCH(Notes!$C$16,$U$3:$AB$3,0))-100%))*$L$1180</f>
        <v>1648</v>
      </c>
      <c r="M1203" s="286"/>
      <c r="N1203" s="286"/>
      <c r="O1203" s="311">
        <f t="shared" si="487"/>
        <v>1648</v>
      </c>
      <c r="P1203" s="285"/>
      <c r="Q1203" s="285"/>
      <c r="R1203" s="278"/>
      <c r="S1203" s="278"/>
      <c r="T1203" s="278"/>
    </row>
    <row r="1204" spans="1:28" s="305" customFormat="1" hidden="1" outlineLevel="2" x14ac:dyDescent="0.25">
      <c r="A1204" s="278"/>
      <c r="B1204" s="279" t="str">
        <f t="shared" si="488"/>
        <v>2400mm2 x 921mm to 1220mmDD/FRprestige</v>
      </c>
      <c r="C1204" s="278" t="s">
        <v>558</v>
      </c>
      <c r="D1204" s="278" t="s">
        <v>789</v>
      </c>
      <c r="E1204" s="278" t="s">
        <v>2156</v>
      </c>
      <c r="F1204" s="278" t="s">
        <v>545</v>
      </c>
      <c r="G1204" s="278" t="s">
        <v>5</v>
      </c>
      <c r="H1204" s="310">
        <v>4.2999614445444028</v>
      </c>
      <c r="I1204" s="280">
        <f t="shared" si="489"/>
        <v>346.66289165916976</v>
      </c>
      <c r="J1204" s="281">
        <f t="shared" si="490"/>
        <v>393.1454748746948</v>
      </c>
      <c r="K1204" s="282">
        <f>IF(Notes!$B$9="Domestic",I1204, IF(Notes!$B$9="Commercial",J1204))*$K$1180</f>
        <v>393.1454748746948</v>
      </c>
      <c r="L1204" s="283">
        <f>(SUM(O1204:Q1204)+(K1204+SUM(M1204:Q1204))*(INDEX($U$1180:$AB$1180,MATCH(Notes!$C$16,$U$3:$AB$3,0))-100%))*$L$1180</f>
        <v>1762</v>
      </c>
      <c r="M1204" s="286"/>
      <c r="N1204" s="286"/>
      <c r="O1204" s="311">
        <f t="shared" si="487"/>
        <v>1762</v>
      </c>
      <c r="P1204" s="285"/>
      <c r="Q1204" s="285"/>
      <c r="R1204" s="278"/>
      <c r="S1204" s="278"/>
      <c r="T1204" s="278"/>
    </row>
    <row r="1205" spans="1:28" s="305" customFormat="1" hidden="1" outlineLevel="2" x14ac:dyDescent="0.25">
      <c r="A1205" s="278"/>
      <c r="B1205" s="279" t="str">
        <f t="shared" si="488"/>
        <v>2700mm2 x up to 820mmDD/FRprestige</v>
      </c>
      <c r="C1205" s="278" t="s">
        <v>779</v>
      </c>
      <c r="D1205" s="278" t="s">
        <v>787</v>
      </c>
      <c r="E1205" s="278" t="s">
        <v>2156</v>
      </c>
      <c r="F1205" s="278" t="s">
        <v>545</v>
      </c>
      <c r="G1205" s="278" t="s">
        <v>5</v>
      </c>
      <c r="H1205" s="310">
        <v>5.0001285181853241</v>
      </c>
      <c r="I1205" s="280">
        <f t="shared" si="489"/>
        <v>403.11036113610083</v>
      </c>
      <c r="J1205" s="281">
        <f t="shared" si="490"/>
        <v>457.16175041768423</v>
      </c>
      <c r="K1205" s="282">
        <f>IF(Notes!$B$9="Domestic",I1205, IF(Notes!$B$9="Commercial",J1205))*$K$1180</f>
        <v>457.16175041768423</v>
      </c>
      <c r="L1205" s="283">
        <f>(SUM(O1205:Q1205)+(K1205+SUM(M1205:Q1205))*(INDEX($U$1180:$AB$1180,MATCH(Notes!$C$16,$U$3:$AB$3,0))-100%))*$L$1180</f>
        <v>1893.6</v>
      </c>
      <c r="M1205" s="286"/>
      <c r="N1205" s="286"/>
      <c r="O1205" s="311">
        <f t="shared" si="487"/>
        <v>1893.6</v>
      </c>
      <c r="P1205" s="285"/>
      <c r="Q1205" s="285"/>
      <c r="R1205" s="278"/>
      <c r="S1205" s="278"/>
      <c r="T1205" s="278"/>
    </row>
    <row r="1206" spans="1:28" s="305" customFormat="1" hidden="1" outlineLevel="2" x14ac:dyDescent="0.25">
      <c r="A1206" s="278"/>
      <c r="B1206" s="279" t="str">
        <f t="shared" si="488"/>
        <v>2700mm2 x 821mm to 920mmDD/FRprestige</v>
      </c>
      <c r="C1206" s="278" t="s">
        <v>779</v>
      </c>
      <c r="D1206" s="278" t="s">
        <v>788</v>
      </c>
      <c r="E1206" s="278" t="s">
        <v>2156</v>
      </c>
      <c r="F1206" s="278" t="s">
        <v>545</v>
      </c>
      <c r="G1206" s="278" t="s">
        <v>5</v>
      </c>
      <c r="H1206" s="310">
        <v>5.1001156663667908</v>
      </c>
      <c r="I1206" s="280">
        <f t="shared" si="489"/>
        <v>411.17132502249069</v>
      </c>
      <c r="J1206" s="281">
        <f t="shared" si="490"/>
        <v>466.30357537591573</v>
      </c>
      <c r="K1206" s="282">
        <f>IF(Notes!$B$9="Domestic",I1206, IF(Notes!$B$9="Commercial",J1206))*$K$1180</f>
        <v>466.30357537591573</v>
      </c>
      <c r="L1206" s="283">
        <f>(SUM(O1206:Q1206)+(K1206+SUM(M1206:Q1206))*(INDEX($U$1180:$AB$1180,MATCH(Notes!$C$16,$U$3:$AB$3,0))-100%))*$L$1180</f>
        <v>1977.6</v>
      </c>
      <c r="M1206" s="286"/>
      <c r="N1206" s="286"/>
      <c r="O1206" s="311">
        <f t="shared" si="487"/>
        <v>1977.6</v>
      </c>
      <c r="P1206" s="285"/>
      <c r="Q1206" s="285"/>
      <c r="R1206" s="278"/>
      <c r="S1206" s="278"/>
      <c r="T1206" s="278"/>
    </row>
    <row r="1207" spans="1:28" s="305" customFormat="1" hidden="1" outlineLevel="2" x14ac:dyDescent="0.25">
      <c r="A1207" s="278"/>
      <c r="B1207" s="279" t="str">
        <f t="shared" si="488"/>
        <v>2700mm2 x 921mm to 1220mmDD/FRprestige</v>
      </c>
      <c r="C1207" s="278" t="s">
        <v>779</v>
      </c>
      <c r="D1207" s="278" t="s">
        <v>789</v>
      </c>
      <c r="E1207" s="278" t="s">
        <v>2156</v>
      </c>
      <c r="F1207" s="278" t="s">
        <v>545</v>
      </c>
      <c r="G1207" s="278" t="s">
        <v>5</v>
      </c>
      <c r="H1207" s="310">
        <v>4.5999228890888055</v>
      </c>
      <c r="I1207" s="280">
        <f t="shared" si="489"/>
        <v>370.8457833183395</v>
      </c>
      <c r="J1207" s="281">
        <f t="shared" si="490"/>
        <v>420.57094974938951</v>
      </c>
      <c r="K1207" s="282">
        <f>IF(Notes!$B$9="Domestic",I1207, IF(Notes!$B$9="Commercial",J1207))*$K$1180</f>
        <v>420.57094974938951</v>
      </c>
      <c r="L1207" s="283">
        <f>(SUM(O1207:Q1207)+(K1207+SUM(M1207:Q1207))*(INDEX($U$1180:$AB$1180,MATCH(Notes!$C$16,$U$3:$AB$3,0))-100%))*$L$1180</f>
        <v>2114.4</v>
      </c>
      <c r="M1207" s="286"/>
      <c r="N1207" s="286"/>
      <c r="O1207" s="311">
        <f t="shared" si="487"/>
        <v>2114.4</v>
      </c>
      <c r="P1207" s="285"/>
      <c r="Q1207" s="285"/>
      <c r="R1207" s="278"/>
      <c r="S1207" s="278"/>
      <c r="T1207" s="278"/>
    </row>
    <row r="1208" spans="1:28" ht="21" hidden="1" outlineLevel="1" collapsed="1" x14ac:dyDescent="0.25">
      <c r="A1208" s="299" t="s">
        <v>2100</v>
      </c>
      <c r="B1208" s="299"/>
      <c r="C1208" s="299"/>
      <c r="D1208" s="299"/>
      <c r="E1208" s="299"/>
      <c r="F1208" s="299"/>
      <c r="G1208" s="299"/>
      <c r="H1208" s="348"/>
      <c r="I1208" s="299"/>
      <c r="J1208" s="299"/>
      <c r="K1208" s="299"/>
      <c r="L1208" s="299"/>
      <c r="M1208" s="299"/>
      <c r="N1208" s="299"/>
      <c r="O1208" s="299"/>
      <c r="P1208" s="299"/>
      <c r="Q1208" s="299"/>
      <c r="R1208" s="299"/>
      <c r="S1208" s="299"/>
      <c r="T1208" s="299"/>
      <c r="U1208" s="299"/>
      <c r="V1208" s="299"/>
      <c r="W1208" s="299"/>
      <c r="X1208" s="299"/>
      <c r="Y1208" s="299"/>
      <c r="Z1208" s="299"/>
      <c r="AA1208" s="299"/>
      <c r="AB1208" s="299"/>
    </row>
    <row r="1209" spans="1:28" ht="15.75" hidden="1" outlineLevel="1" x14ac:dyDescent="0.25">
      <c r="A1209" s="291"/>
      <c r="B1209" s="291"/>
      <c r="C1209" s="291"/>
      <c r="D1209" s="291"/>
      <c r="E1209" s="291"/>
      <c r="F1209" s="291"/>
      <c r="G1209" s="291"/>
      <c r="H1209" s="325"/>
      <c r="I1209" s="291"/>
      <c r="J1209" s="291"/>
      <c r="K1209" s="291">
        <f>K$2</f>
        <v>1</v>
      </c>
      <c r="L1209" s="291">
        <f>L$2</f>
        <v>1</v>
      </c>
      <c r="M1209" s="291"/>
      <c r="N1209" s="291"/>
      <c r="O1209" s="303"/>
      <c r="P1209" s="303"/>
      <c r="Q1209" s="303"/>
      <c r="R1209" s="291"/>
      <c r="S1209" s="291"/>
      <c r="T1209" s="291"/>
      <c r="U1209" s="381">
        <f t="shared" ref="U1209:AB1209" si="491">U$1093</f>
        <v>0.97101449275362317</v>
      </c>
      <c r="V1209" s="381">
        <f t="shared" si="491"/>
        <v>1</v>
      </c>
      <c r="W1209" s="381">
        <f t="shared" si="491"/>
        <v>1.1159420289855073</v>
      </c>
      <c r="X1209" s="381">
        <f t="shared" si="491"/>
        <v>1.0905797101449275</v>
      </c>
      <c r="Y1209" s="381">
        <f t="shared" si="491"/>
        <v>1.1956521739130435</v>
      </c>
      <c r="Z1209" s="381">
        <f t="shared" si="491"/>
        <v>0.89130434782608692</v>
      </c>
      <c r="AA1209" s="381">
        <f t="shared" si="491"/>
        <v>1.3586956521739131</v>
      </c>
      <c r="AB1209" s="381">
        <f t="shared" si="491"/>
        <v>1.0253623188405796</v>
      </c>
    </row>
    <row r="1210" spans="1:28" s="305" customFormat="1" hidden="1" outlineLevel="2" x14ac:dyDescent="0.25">
      <c r="A1210" s="278"/>
      <c r="B1210" s="279" t="str">
        <f>C1210&amp;D1210&amp;E1210&amp;F1210</f>
        <v>2100mmup to 820mmSD/MDaverage</v>
      </c>
      <c r="C1210" s="278" t="s">
        <v>557</v>
      </c>
      <c r="D1210" s="278" t="s">
        <v>724</v>
      </c>
      <c r="E1210" s="278" t="s">
        <v>2157</v>
      </c>
      <c r="F1210" s="278" t="s">
        <v>543</v>
      </c>
      <c r="G1210" s="278" t="s">
        <v>5</v>
      </c>
      <c r="H1210" s="310">
        <v>1.2499678704536692</v>
      </c>
      <c r="I1210" s="280">
        <f>$I$2*H1210</f>
        <v>100.77240971597482</v>
      </c>
      <c r="J1210" s="281">
        <f>$J$2*H1210</f>
        <v>114.28456239557899</v>
      </c>
      <c r="K1210" s="282">
        <f>IF(Notes!$B$9="Domestic",I1210, IF(Notes!$B$9="Commercial",J1210))*$K$1209</f>
        <v>114.28456239557899</v>
      </c>
      <c r="L1210" s="283">
        <f>(SUM(O1210:Q1210)+(K1210+SUM(M1210:Q1210))*(INDEX($U$1209:$AB$1209,MATCH(Notes!$C$16,$U$3:$AB$3,0))-100%))*$L$1209</f>
        <v>334.24</v>
      </c>
      <c r="M1210" s="286"/>
      <c r="N1210" s="286"/>
      <c r="O1210" s="285">
        <v>334.24</v>
      </c>
      <c r="P1210" s="285"/>
      <c r="Q1210" s="285"/>
      <c r="R1210" s="278"/>
      <c r="S1210" s="278"/>
      <c r="T1210" s="278"/>
    </row>
    <row r="1211" spans="1:28" s="305" customFormat="1" hidden="1" outlineLevel="2" x14ac:dyDescent="0.25">
      <c r="A1211" s="278"/>
      <c r="B1211" s="279" t="str">
        <f t="shared" ref="B1211:B1212" si="492">C1211&amp;D1211&amp;E1211&amp;F1211</f>
        <v>2100mm821mm to 920mmSD/MDaverage</v>
      </c>
      <c r="C1211" s="278" t="s">
        <v>557</v>
      </c>
      <c r="D1211" s="278" t="s">
        <v>721</v>
      </c>
      <c r="E1211" s="278" t="s">
        <v>2157</v>
      </c>
      <c r="F1211" s="278" t="s">
        <v>543</v>
      </c>
      <c r="G1211" s="278" t="s">
        <v>5</v>
      </c>
      <c r="H1211" s="310">
        <v>1.5749261020434391</v>
      </c>
      <c r="I1211" s="280">
        <f t="shared" ref="I1211:I1212" si="493">$I$2*H1211</f>
        <v>126.97054234674206</v>
      </c>
      <c r="J1211" s="281">
        <f t="shared" ref="J1211:J1212" si="494">$J$2*H1211</f>
        <v>143.99549350983165</v>
      </c>
      <c r="K1211" s="282">
        <f>IF(Notes!$B$9="Domestic",I1211, IF(Notes!$B$9="Commercial",J1211))*$K$1209</f>
        <v>143.99549350983165</v>
      </c>
      <c r="L1211" s="283">
        <f>(SUM(O1211:Q1211)+(K1211+SUM(M1211:Q1211))*(INDEX($U$1209:$AB$1209,MATCH(Notes!$C$16,$U$3:$AB$3,0))-100%))*$L$1209</f>
        <v>402.745</v>
      </c>
      <c r="M1211" s="286"/>
      <c r="N1211" s="286"/>
      <c r="O1211" s="311">
        <f>O1210+137.01*0.5</f>
        <v>402.745</v>
      </c>
      <c r="P1211" s="285"/>
      <c r="Q1211" s="285"/>
      <c r="R1211" s="278"/>
      <c r="S1211" s="278"/>
      <c r="T1211" s="278"/>
    </row>
    <row r="1212" spans="1:28" s="305" customFormat="1" hidden="1" outlineLevel="2" x14ac:dyDescent="0.25">
      <c r="A1212" s="278"/>
      <c r="B1212" s="279" t="str">
        <f t="shared" si="492"/>
        <v>2100mm921mm to 1220mmSD/MDaverage</v>
      </c>
      <c r="C1212" s="278" t="s">
        <v>557</v>
      </c>
      <c r="D1212" s="278" t="s">
        <v>722</v>
      </c>
      <c r="E1212" s="278" t="s">
        <v>2157</v>
      </c>
      <c r="F1212" s="278" t="s">
        <v>543</v>
      </c>
      <c r="G1212" s="278" t="s">
        <v>5</v>
      </c>
      <c r="H1212" s="310">
        <v>2.2248425652229793</v>
      </c>
      <c r="I1212" s="280">
        <f t="shared" si="493"/>
        <v>179.36680760827659</v>
      </c>
      <c r="J1212" s="281">
        <f t="shared" si="494"/>
        <v>203.41735573833702</v>
      </c>
      <c r="K1212" s="282">
        <f>IF(Notes!$B$9="Domestic",I1212, IF(Notes!$B$9="Commercial",J1212))*$K$1209</f>
        <v>203.41735573833702</v>
      </c>
      <c r="L1212" s="283">
        <f>(SUM(O1212:Q1212)+(K1212+SUM(M1212:Q1212))*(INDEX($U$1209:$AB$1209,MATCH(Notes!$C$16,$U$3:$AB$3,0))-100%))*$L$1209</f>
        <v>539.755</v>
      </c>
      <c r="M1212" s="286"/>
      <c r="N1212" s="286"/>
      <c r="O1212" s="311">
        <f>O1210+137.01*1.5</f>
        <v>539.755</v>
      </c>
      <c r="P1212" s="285"/>
      <c r="Q1212" s="285"/>
      <c r="R1212" s="278"/>
      <c r="S1212" s="278"/>
      <c r="T1212" s="278"/>
    </row>
    <row r="1213" spans="1:28" s="305" customFormat="1" hidden="1" outlineLevel="2" x14ac:dyDescent="0.25">
      <c r="A1213" s="278"/>
      <c r="B1213" s="279" t="str">
        <f t="shared" ref="B1213:B1236" si="495">C1213&amp;D1213&amp;E1213&amp;F1213</f>
        <v>2400mmup to 820mmSD/MDaverage</v>
      </c>
      <c r="C1213" s="278" t="s">
        <v>558</v>
      </c>
      <c r="D1213" s="278" t="s">
        <v>724</v>
      </c>
      <c r="E1213" s="278" t="s">
        <v>2157</v>
      </c>
      <c r="F1213" s="278" t="s">
        <v>543</v>
      </c>
      <c r="G1213" s="278" t="s">
        <v>5</v>
      </c>
      <c r="H1213" s="310">
        <v>1.7374052178383241</v>
      </c>
      <c r="I1213" s="280">
        <f t="shared" ref="I1213:I1236" si="496">$I$2*H1213</f>
        <v>140.06960866212569</v>
      </c>
      <c r="J1213" s="281">
        <f t="shared" ref="J1213:J1236" si="497">$J$2*H1213</f>
        <v>158.85095906695798</v>
      </c>
      <c r="K1213" s="282">
        <f>IF(Notes!$B$9="Domestic",I1213, IF(Notes!$B$9="Commercial",J1213))*$K$1209</f>
        <v>158.85095906695798</v>
      </c>
      <c r="L1213" s="283">
        <f>(SUM(O1213:Q1213)+(K1213+SUM(M1213:Q1213))*(INDEX($U$1209:$AB$1209,MATCH(Notes!$C$16,$U$3:$AB$3,0))-100%))*$L$1209</f>
        <v>436.9975</v>
      </c>
      <c r="M1213" s="286"/>
      <c r="N1213" s="286"/>
      <c r="O1213" s="311">
        <f>O1210+137.01*0.75</f>
        <v>436.9975</v>
      </c>
      <c r="P1213" s="285"/>
      <c r="Q1213" s="285"/>
      <c r="R1213" s="278"/>
      <c r="S1213" s="278"/>
      <c r="T1213" s="278"/>
    </row>
    <row r="1214" spans="1:28" s="305" customFormat="1" hidden="1" outlineLevel="2" x14ac:dyDescent="0.25">
      <c r="A1214" s="278"/>
      <c r="B1214" s="279" t="str">
        <f t="shared" si="495"/>
        <v>2400mm821mm to 920mmSD/MDaverage</v>
      </c>
      <c r="C1214" s="278" t="s">
        <v>558</v>
      </c>
      <c r="D1214" s="278" t="s">
        <v>721</v>
      </c>
      <c r="E1214" s="278" t="s">
        <v>2157</v>
      </c>
      <c r="F1214" s="278" t="s">
        <v>543</v>
      </c>
      <c r="G1214" s="278" t="s">
        <v>5</v>
      </c>
      <c r="H1214" s="310">
        <v>1.8998843336332092</v>
      </c>
      <c r="I1214" s="280">
        <f t="shared" si="496"/>
        <v>153.16867497750934</v>
      </c>
      <c r="J1214" s="281">
        <f t="shared" si="497"/>
        <v>173.70642462408432</v>
      </c>
      <c r="K1214" s="282">
        <f>IF(Notes!$B$9="Domestic",I1214, IF(Notes!$B$9="Commercial",J1214))*$K$1209</f>
        <v>173.70642462408432</v>
      </c>
      <c r="L1214" s="283">
        <f>(SUM(O1214:Q1214)+(K1214+SUM(M1214:Q1214))*(INDEX($U$1209:$AB$1209,MATCH(Notes!$C$16,$U$3:$AB$3,0))-100%))*$L$1209</f>
        <v>471.25</v>
      </c>
      <c r="M1214" s="286"/>
      <c r="N1214" s="286"/>
      <c r="O1214" s="311">
        <f>O1210+137.01</f>
        <v>471.25</v>
      </c>
      <c r="P1214" s="285"/>
      <c r="Q1214" s="285"/>
      <c r="R1214" s="278"/>
      <c r="S1214" s="278"/>
      <c r="T1214" s="278"/>
    </row>
    <row r="1215" spans="1:28" s="305" customFormat="1" hidden="1" outlineLevel="2" x14ac:dyDescent="0.25">
      <c r="A1215" s="278"/>
      <c r="B1215" s="279" t="str">
        <f t="shared" si="495"/>
        <v>2400mm921mm to 1220mmSD/MDaverage</v>
      </c>
      <c r="C1215" s="278" t="s">
        <v>558</v>
      </c>
      <c r="D1215" s="278" t="s">
        <v>722</v>
      </c>
      <c r="E1215" s="278" t="s">
        <v>2157</v>
      </c>
      <c r="F1215" s="278" t="s">
        <v>543</v>
      </c>
      <c r="G1215" s="278" t="s">
        <v>5</v>
      </c>
      <c r="H1215" s="310">
        <v>2.549800796812749</v>
      </c>
      <c r="I1215" s="280">
        <f t="shared" si="496"/>
        <v>205.56494023904384</v>
      </c>
      <c r="J1215" s="281">
        <f t="shared" si="497"/>
        <v>233.12828685258967</v>
      </c>
      <c r="K1215" s="282">
        <f>IF(Notes!$B$9="Domestic",I1215, IF(Notes!$B$9="Commercial",J1215))*$K$1209</f>
        <v>233.12828685258967</v>
      </c>
      <c r="L1215" s="283">
        <f>(SUM(O1215:Q1215)+(K1215+SUM(M1215:Q1215))*(INDEX($U$1209:$AB$1209,MATCH(Notes!$C$16,$U$3:$AB$3,0))-100%))*$L$1209</f>
        <v>608.26</v>
      </c>
      <c r="M1215" s="286"/>
      <c r="N1215" s="286"/>
      <c r="O1215" s="311">
        <f>O1210+137.01*2</f>
        <v>608.26</v>
      </c>
      <c r="P1215" s="285"/>
      <c r="Q1215" s="285"/>
      <c r="R1215" s="278"/>
      <c r="S1215" s="278"/>
      <c r="T1215" s="278"/>
    </row>
    <row r="1216" spans="1:28" s="305" customFormat="1" hidden="1" outlineLevel="2" x14ac:dyDescent="0.25">
      <c r="A1216" s="278"/>
      <c r="B1216" s="279" t="str">
        <f t="shared" si="495"/>
        <v>2700mmup to 820mmSD/MDaverage</v>
      </c>
      <c r="C1216" s="278" t="s">
        <v>779</v>
      </c>
      <c r="D1216" s="278" t="s">
        <v>724</v>
      </c>
      <c r="E1216" s="278" t="s">
        <v>2157</v>
      </c>
      <c r="F1216" s="278" t="s">
        <v>543</v>
      </c>
      <c r="G1216" s="278" t="s">
        <v>5</v>
      </c>
      <c r="H1216" s="310">
        <v>2.3873216810178639</v>
      </c>
      <c r="I1216" s="280">
        <f t="shared" si="496"/>
        <v>192.46587392366021</v>
      </c>
      <c r="J1216" s="281">
        <f t="shared" si="497"/>
        <v>218.2728212954633</v>
      </c>
      <c r="K1216" s="282">
        <f>IF(Notes!$B$9="Domestic",I1216, IF(Notes!$B$9="Commercial",J1216))*$K$1209</f>
        <v>218.2728212954633</v>
      </c>
      <c r="L1216" s="283">
        <f>(SUM(O1216:Q1216)+(K1216+SUM(M1216:Q1216))*(INDEX($U$1209:$AB$1209,MATCH(Notes!$C$16,$U$3:$AB$3,0))-100%))*$L$1209</f>
        <v>574.00749999999994</v>
      </c>
      <c r="M1216" s="286"/>
      <c r="N1216" s="286"/>
      <c r="O1216" s="311">
        <f>O1210+137.01*1.75</f>
        <v>574.00749999999994</v>
      </c>
      <c r="P1216" s="285"/>
      <c r="Q1216" s="285"/>
      <c r="R1216" s="278"/>
      <c r="S1216" s="278"/>
      <c r="T1216" s="278"/>
    </row>
    <row r="1217" spans="1:20" s="305" customFormat="1" hidden="1" outlineLevel="2" x14ac:dyDescent="0.25">
      <c r="A1217" s="278"/>
      <c r="B1217" s="279" t="str">
        <f t="shared" si="495"/>
        <v>2700mm821mm to 920mmSD/MDaverage</v>
      </c>
      <c r="C1217" s="278" t="s">
        <v>779</v>
      </c>
      <c r="D1217" s="278" t="s">
        <v>721</v>
      </c>
      <c r="E1217" s="278" t="s">
        <v>2157</v>
      </c>
      <c r="F1217" s="278" t="s">
        <v>543</v>
      </c>
      <c r="G1217" s="278" t="s">
        <v>5</v>
      </c>
      <c r="H1217" s="310">
        <v>2.549800796812749</v>
      </c>
      <c r="I1217" s="280">
        <f t="shared" si="496"/>
        <v>205.56494023904384</v>
      </c>
      <c r="J1217" s="281">
        <f t="shared" si="497"/>
        <v>233.12828685258967</v>
      </c>
      <c r="K1217" s="282">
        <f>IF(Notes!$B$9="Domestic",I1217, IF(Notes!$B$9="Commercial",J1217))*$K$1209</f>
        <v>233.12828685258967</v>
      </c>
      <c r="L1217" s="283">
        <f>(SUM(O1217:Q1217)+(K1217+SUM(M1217:Q1217))*(INDEX($U$1209:$AB$1209,MATCH(Notes!$C$16,$U$3:$AB$3,0))-100%))*$L$1209</f>
        <v>608.26</v>
      </c>
      <c r="M1217" s="286"/>
      <c r="N1217" s="286"/>
      <c r="O1217" s="311">
        <f>O1210+137.01*2</f>
        <v>608.26</v>
      </c>
      <c r="P1217" s="285"/>
      <c r="Q1217" s="285"/>
      <c r="R1217" s="278"/>
      <c r="S1217" s="278"/>
      <c r="T1217" s="278"/>
    </row>
    <row r="1218" spans="1:20" s="305" customFormat="1" hidden="1" outlineLevel="2" x14ac:dyDescent="0.25">
      <c r="A1218" s="278"/>
      <c r="B1218" s="279" t="str">
        <f t="shared" si="495"/>
        <v>2700mm921mm to 1220mmSD/MDaverage</v>
      </c>
      <c r="C1218" s="278" t="s">
        <v>779</v>
      </c>
      <c r="D1218" s="278" t="s">
        <v>722</v>
      </c>
      <c r="E1218" s="278" t="s">
        <v>2157</v>
      </c>
      <c r="F1218" s="278" t="s">
        <v>543</v>
      </c>
      <c r="G1218" s="278" t="s">
        <v>5</v>
      </c>
      <c r="H1218" s="310">
        <v>3.1997172599922892</v>
      </c>
      <c r="I1218" s="280">
        <f t="shared" si="496"/>
        <v>257.96120550057839</v>
      </c>
      <c r="J1218" s="281">
        <f t="shared" si="497"/>
        <v>292.55014908109501</v>
      </c>
      <c r="K1218" s="282">
        <f>IF(Notes!$B$9="Domestic",I1218, IF(Notes!$B$9="Commercial",J1218))*$K$1209</f>
        <v>292.55014908109501</v>
      </c>
      <c r="L1218" s="283">
        <f>(SUM(O1218:Q1218)+(K1218+SUM(M1218:Q1218))*(INDEX($U$1209:$AB$1209,MATCH(Notes!$C$16,$U$3:$AB$3,0))-100%))*$L$1209</f>
        <v>745.27</v>
      </c>
      <c r="M1218" s="286"/>
      <c r="N1218" s="286"/>
      <c r="O1218" s="311">
        <f>O1210+137.01*3</f>
        <v>745.27</v>
      </c>
      <c r="P1218" s="285"/>
      <c r="Q1218" s="285"/>
      <c r="R1218" s="278"/>
      <c r="S1218" s="278"/>
      <c r="T1218" s="278"/>
    </row>
    <row r="1219" spans="1:20" s="305" customFormat="1" hidden="1" outlineLevel="2" x14ac:dyDescent="0.25">
      <c r="A1219" s="278"/>
      <c r="B1219" s="279" t="str">
        <f t="shared" si="495"/>
        <v>2100mmup to 820mmSD/MDquality</v>
      </c>
      <c r="C1219" s="278" t="s">
        <v>557</v>
      </c>
      <c r="D1219" s="278" t="s">
        <v>724</v>
      </c>
      <c r="E1219" s="278" t="s">
        <v>2157</v>
      </c>
      <c r="F1219" s="278" t="s">
        <v>544</v>
      </c>
      <c r="G1219" s="278" t="s">
        <v>5</v>
      </c>
      <c r="H1219" s="310">
        <v>1.2499678704536692</v>
      </c>
      <c r="I1219" s="280">
        <f t="shared" si="496"/>
        <v>100.77240971597482</v>
      </c>
      <c r="J1219" s="281">
        <f t="shared" si="497"/>
        <v>114.28456239557899</v>
      </c>
      <c r="K1219" s="282">
        <f>IF(Notes!$B$9="Domestic",I1219, IF(Notes!$B$9="Commercial",J1219))*$K$1209</f>
        <v>114.28456239557899</v>
      </c>
      <c r="L1219" s="283">
        <f>(SUM(O1219:Q1219)+(K1219+SUM(M1219:Q1219))*(INDEX($U$1209:$AB$1209,MATCH(Notes!$C$16,$U$3:$AB$3,0))-100%))*$L$1209</f>
        <v>465.24</v>
      </c>
      <c r="M1219" s="286"/>
      <c r="N1219" s="286"/>
      <c r="O1219" s="285">
        <v>465.24</v>
      </c>
      <c r="P1219" s="285"/>
      <c r="Q1219" s="285"/>
      <c r="R1219" s="278"/>
      <c r="S1219" s="278"/>
      <c r="T1219" s="278"/>
    </row>
    <row r="1220" spans="1:20" s="305" customFormat="1" hidden="1" outlineLevel="2" x14ac:dyDescent="0.25">
      <c r="A1220" s="278"/>
      <c r="B1220" s="279" t="str">
        <f t="shared" si="495"/>
        <v>2100mm821mm to 920mmSD/MDquality</v>
      </c>
      <c r="C1220" s="278" t="s">
        <v>557</v>
      </c>
      <c r="D1220" s="278" t="s">
        <v>721</v>
      </c>
      <c r="E1220" s="278" t="s">
        <v>2157</v>
      </c>
      <c r="F1220" s="278" t="s">
        <v>544</v>
      </c>
      <c r="G1220" s="278" t="s">
        <v>5</v>
      </c>
      <c r="H1220" s="310">
        <v>1.5749261020434391</v>
      </c>
      <c r="I1220" s="280">
        <f t="shared" si="496"/>
        <v>126.97054234674206</v>
      </c>
      <c r="J1220" s="281">
        <f t="shared" si="497"/>
        <v>143.99549350983165</v>
      </c>
      <c r="K1220" s="282">
        <f>IF(Notes!$B$9="Domestic",I1220, IF(Notes!$B$9="Commercial",J1220))*$K$1209</f>
        <v>143.99549350983165</v>
      </c>
      <c r="L1220" s="283">
        <f>(SUM(O1220:Q1220)+(K1220+SUM(M1220:Q1220))*(INDEX($U$1209:$AB$1209,MATCH(Notes!$C$16,$U$3:$AB$3,0))-100%))*$L$1209</f>
        <v>533.745</v>
      </c>
      <c r="M1220" s="286"/>
      <c r="N1220" s="286"/>
      <c r="O1220" s="311">
        <f>O1219+137.01*0.5</f>
        <v>533.745</v>
      </c>
      <c r="P1220" s="285"/>
      <c r="Q1220" s="285"/>
      <c r="R1220" s="278"/>
      <c r="S1220" s="278"/>
      <c r="T1220" s="278"/>
    </row>
    <row r="1221" spans="1:20" s="305" customFormat="1" hidden="1" outlineLevel="2" x14ac:dyDescent="0.25">
      <c r="A1221" s="278"/>
      <c r="B1221" s="279" t="str">
        <f t="shared" si="495"/>
        <v>2100mm921mm to 1220mmSD/MDquality</v>
      </c>
      <c r="C1221" s="278" t="s">
        <v>557</v>
      </c>
      <c r="D1221" s="278" t="s">
        <v>722</v>
      </c>
      <c r="E1221" s="278" t="s">
        <v>2157</v>
      </c>
      <c r="F1221" s="278" t="s">
        <v>544</v>
      </c>
      <c r="G1221" s="278" t="s">
        <v>5</v>
      </c>
      <c r="H1221" s="310">
        <v>2.2248425652229793</v>
      </c>
      <c r="I1221" s="280">
        <f t="shared" si="496"/>
        <v>179.36680760827659</v>
      </c>
      <c r="J1221" s="281">
        <f t="shared" si="497"/>
        <v>203.41735573833702</v>
      </c>
      <c r="K1221" s="282">
        <f>IF(Notes!$B$9="Domestic",I1221, IF(Notes!$B$9="Commercial",J1221))*$K$1209</f>
        <v>203.41735573833702</v>
      </c>
      <c r="L1221" s="283">
        <f>(SUM(O1221:Q1221)+(K1221+SUM(M1221:Q1221))*(INDEX($U$1209:$AB$1209,MATCH(Notes!$C$16,$U$3:$AB$3,0))-100%))*$L$1209</f>
        <v>670.755</v>
      </c>
      <c r="M1221" s="286"/>
      <c r="N1221" s="286"/>
      <c r="O1221" s="311">
        <f>O1219+137.01*1.5</f>
        <v>670.755</v>
      </c>
      <c r="P1221" s="285"/>
      <c r="Q1221" s="285"/>
      <c r="R1221" s="278"/>
      <c r="S1221" s="278"/>
      <c r="T1221" s="278"/>
    </row>
    <row r="1222" spans="1:20" s="305" customFormat="1" hidden="1" outlineLevel="2" x14ac:dyDescent="0.25">
      <c r="A1222" s="278"/>
      <c r="B1222" s="279" t="str">
        <f t="shared" si="495"/>
        <v>2400mmup to 820mmSD/MDquality</v>
      </c>
      <c r="C1222" s="278" t="s">
        <v>558</v>
      </c>
      <c r="D1222" s="278" t="s">
        <v>724</v>
      </c>
      <c r="E1222" s="278" t="s">
        <v>2157</v>
      </c>
      <c r="F1222" s="278" t="s">
        <v>544</v>
      </c>
      <c r="G1222" s="278" t="s">
        <v>5</v>
      </c>
      <c r="H1222" s="310">
        <v>1.7374052178383241</v>
      </c>
      <c r="I1222" s="280">
        <f t="shared" si="496"/>
        <v>140.06960866212569</v>
      </c>
      <c r="J1222" s="281">
        <f t="shared" si="497"/>
        <v>158.85095906695798</v>
      </c>
      <c r="K1222" s="282">
        <f>IF(Notes!$B$9="Domestic",I1222, IF(Notes!$B$9="Commercial",J1222))*$K$1209</f>
        <v>158.85095906695798</v>
      </c>
      <c r="L1222" s="283">
        <f>(SUM(O1222:Q1222)+(K1222+SUM(M1222:Q1222))*(INDEX($U$1209:$AB$1209,MATCH(Notes!$C$16,$U$3:$AB$3,0))-100%))*$L$1209</f>
        <v>567.99749999999995</v>
      </c>
      <c r="M1222" s="286"/>
      <c r="N1222" s="286"/>
      <c r="O1222" s="311">
        <f>O1219+137.01*0.75</f>
        <v>567.99749999999995</v>
      </c>
      <c r="P1222" s="285"/>
      <c r="Q1222" s="285"/>
      <c r="R1222" s="278"/>
      <c r="S1222" s="278"/>
      <c r="T1222" s="278"/>
    </row>
    <row r="1223" spans="1:20" s="305" customFormat="1" hidden="1" outlineLevel="2" x14ac:dyDescent="0.25">
      <c r="A1223" s="278"/>
      <c r="B1223" s="279" t="str">
        <f t="shared" si="495"/>
        <v>2400mm821mm to 920mmSD/MDquality</v>
      </c>
      <c r="C1223" s="278" t="s">
        <v>558</v>
      </c>
      <c r="D1223" s="278" t="s">
        <v>721</v>
      </c>
      <c r="E1223" s="278" t="s">
        <v>2157</v>
      </c>
      <c r="F1223" s="278" t="s">
        <v>544</v>
      </c>
      <c r="G1223" s="278" t="s">
        <v>5</v>
      </c>
      <c r="H1223" s="310">
        <v>1.8998843336332092</v>
      </c>
      <c r="I1223" s="280">
        <f t="shared" si="496"/>
        <v>153.16867497750934</v>
      </c>
      <c r="J1223" s="281">
        <f t="shared" si="497"/>
        <v>173.70642462408432</v>
      </c>
      <c r="K1223" s="282">
        <f>IF(Notes!$B$9="Domestic",I1223, IF(Notes!$B$9="Commercial",J1223))*$K$1209</f>
        <v>173.70642462408432</v>
      </c>
      <c r="L1223" s="283">
        <f>(SUM(O1223:Q1223)+(K1223+SUM(M1223:Q1223))*(INDEX($U$1209:$AB$1209,MATCH(Notes!$C$16,$U$3:$AB$3,0))-100%))*$L$1209</f>
        <v>602.25</v>
      </c>
      <c r="M1223" s="286"/>
      <c r="N1223" s="286"/>
      <c r="O1223" s="311">
        <f>O1219+137.01</f>
        <v>602.25</v>
      </c>
      <c r="P1223" s="285"/>
      <c r="Q1223" s="285"/>
      <c r="R1223" s="278"/>
      <c r="S1223" s="278"/>
      <c r="T1223" s="278"/>
    </row>
    <row r="1224" spans="1:20" s="305" customFormat="1" hidden="1" outlineLevel="2" x14ac:dyDescent="0.25">
      <c r="A1224" s="278"/>
      <c r="B1224" s="279" t="str">
        <f t="shared" si="495"/>
        <v>2400mm921mm to 1220mmSD/MDquality</v>
      </c>
      <c r="C1224" s="278" t="s">
        <v>558</v>
      </c>
      <c r="D1224" s="278" t="s">
        <v>722</v>
      </c>
      <c r="E1224" s="278" t="s">
        <v>2157</v>
      </c>
      <c r="F1224" s="278" t="s">
        <v>544</v>
      </c>
      <c r="G1224" s="278" t="s">
        <v>5</v>
      </c>
      <c r="H1224" s="310">
        <v>2.549800796812749</v>
      </c>
      <c r="I1224" s="280">
        <f t="shared" si="496"/>
        <v>205.56494023904384</v>
      </c>
      <c r="J1224" s="281">
        <f t="shared" si="497"/>
        <v>233.12828685258967</v>
      </c>
      <c r="K1224" s="282">
        <f>IF(Notes!$B$9="Domestic",I1224, IF(Notes!$B$9="Commercial",J1224))*$K$1209</f>
        <v>233.12828685258967</v>
      </c>
      <c r="L1224" s="283">
        <f>(SUM(O1224:Q1224)+(K1224+SUM(M1224:Q1224))*(INDEX($U$1209:$AB$1209,MATCH(Notes!$C$16,$U$3:$AB$3,0))-100%))*$L$1209</f>
        <v>739.26</v>
      </c>
      <c r="M1224" s="286"/>
      <c r="N1224" s="286"/>
      <c r="O1224" s="311">
        <f>O1219+137.01*2</f>
        <v>739.26</v>
      </c>
      <c r="P1224" s="285"/>
      <c r="Q1224" s="285"/>
      <c r="R1224" s="278"/>
      <c r="S1224" s="278"/>
      <c r="T1224" s="278"/>
    </row>
    <row r="1225" spans="1:20" s="305" customFormat="1" hidden="1" outlineLevel="2" x14ac:dyDescent="0.25">
      <c r="A1225" s="278"/>
      <c r="B1225" s="279" t="str">
        <f t="shared" si="495"/>
        <v>2700mmup to 820mmSD/MDquality</v>
      </c>
      <c r="C1225" s="278" t="s">
        <v>779</v>
      </c>
      <c r="D1225" s="278" t="s">
        <v>724</v>
      </c>
      <c r="E1225" s="278" t="s">
        <v>2157</v>
      </c>
      <c r="F1225" s="278" t="s">
        <v>544</v>
      </c>
      <c r="G1225" s="278" t="s">
        <v>5</v>
      </c>
      <c r="H1225" s="310">
        <v>2.3873216810178639</v>
      </c>
      <c r="I1225" s="280">
        <f t="shared" si="496"/>
        <v>192.46587392366021</v>
      </c>
      <c r="J1225" s="281">
        <f t="shared" si="497"/>
        <v>218.2728212954633</v>
      </c>
      <c r="K1225" s="282">
        <f>IF(Notes!$B$9="Domestic",I1225, IF(Notes!$B$9="Commercial",J1225))*$K$1209</f>
        <v>218.2728212954633</v>
      </c>
      <c r="L1225" s="283">
        <f>(SUM(O1225:Q1225)+(K1225+SUM(M1225:Q1225))*(INDEX($U$1209:$AB$1209,MATCH(Notes!$C$16,$U$3:$AB$3,0))-100%))*$L$1209</f>
        <v>705.00749999999994</v>
      </c>
      <c r="M1225" s="286"/>
      <c r="N1225" s="286"/>
      <c r="O1225" s="311">
        <f>O1219+137.01*1.75</f>
        <v>705.00749999999994</v>
      </c>
      <c r="P1225" s="285"/>
      <c r="Q1225" s="285"/>
      <c r="R1225" s="278"/>
      <c r="S1225" s="278"/>
      <c r="T1225" s="278"/>
    </row>
    <row r="1226" spans="1:20" s="305" customFormat="1" hidden="1" outlineLevel="2" x14ac:dyDescent="0.25">
      <c r="A1226" s="278"/>
      <c r="B1226" s="279" t="str">
        <f t="shared" si="495"/>
        <v>2700mm821mm to 920mmSD/MDquality</v>
      </c>
      <c r="C1226" s="278" t="s">
        <v>779</v>
      </c>
      <c r="D1226" s="278" t="s">
        <v>721</v>
      </c>
      <c r="E1226" s="278" t="s">
        <v>2157</v>
      </c>
      <c r="F1226" s="278" t="s">
        <v>544</v>
      </c>
      <c r="G1226" s="278" t="s">
        <v>5</v>
      </c>
      <c r="H1226" s="310">
        <v>2.549800796812749</v>
      </c>
      <c r="I1226" s="280">
        <f t="shared" si="496"/>
        <v>205.56494023904384</v>
      </c>
      <c r="J1226" s="281">
        <f t="shared" si="497"/>
        <v>233.12828685258967</v>
      </c>
      <c r="K1226" s="282">
        <f>IF(Notes!$B$9="Domestic",I1226, IF(Notes!$B$9="Commercial",J1226))*$K$1209</f>
        <v>233.12828685258967</v>
      </c>
      <c r="L1226" s="283">
        <f>(SUM(O1226:Q1226)+(K1226+SUM(M1226:Q1226))*(INDEX($U$1209:$AB$1209,MATCH(Notes!$C$16,$U$3:$AB$3,0))-100%))*$L$1209</f>
        <v>739.26</v>
      </c>
      <c r="M1226" s="286"/>
      <c r="N1226" s="286"/>
      <c r="O1226" s="311">
        <f>O1219+137.01*2</f>
        <v>739.26</v>
      </c>
      <c r="P1226" s="285"/>
      <c r="Q1226" s="285"/>
      <c r="R1226" s="278"/>
      <c r="S1226" s="278"/>
      <c r="T1226" s="278"/>
    </row>
    <row r="1227" spans="1:20" s="305" customFormat="1" hidden="1" outlineLevel="2" x14ac:dyDescent="0.25">
      <c r="A1227" s="278"/>
      <c r="B1227" s="279" t="str">
        <f t="shared" si="495"/>
        <v>2700mm921mm to 1220mmSD/MDquality</v>
      </c>
      <c r="C1227" s="278" t="s">
        <v>779</v>
      </c>
      <c r="D1227" s="278" t="s">
        <v>722</v>
      </c>
      <c r="E1227" s="278" t="s">
        <v>2157</v>
      </c>
      <c r="F1227" s="278" t="s">
        <v>544</v>
      </c>
      <c r="G1227" s="278" t="s">
        <v>5</v>
      </c>
      <c r="H1227" s="310">
        <v>3.1997172599922892</v>
      </c>
      <c r="I1227" s="280">
        <f t="shared" si="496"/>
        <v>257.96120550057839</v>
      </c>
      <c r="J1227" s="281">
        <f t="shared" si="497"/>
        <v>292.55014908109501</v>
      </c>
      <c r="K1227" s="282">
        <f>IF(Notes!$B$9="Domestic",I1227, IF(Notes!$B$9="Commercial",J1227))*$K$1209</f>
        <v>292.55014908109501</v>
      </c>
      <c r="L1227" s="283">
        <f>(SUM(O1227:Q1227)+(K1227+SUM(M1227:Q1227))*(INDEX($U$1209:$AB$1209,MATCH(Notes!$C$16,$U$3:$AB$3,0))-100%))*$L$1209</f>
        <v>876.27</v>
      </c>
      <c r="M1227" s="286"/>
      <c r="N1227" s="286"/>
      <c r="O1227" s="311">
        <f>O1219+137.01*3</f>
        <v>876.27</v>
      </c>
      <c r="P1227" s="285"/>
      <c r="Q1227" s="285"/>
      <c r="R1227" s="278"/>
      <c r="S1227" s="278"/>
      <c r="T1227" s="278"/>
    </row>
    <row r="1228" spans="1:20" s="305" customFormat="1" hidden="1" outlineLevel="2" x14ac:dyDescent="0.25">
      <c r="A1228" s="278"/>
      <c r="B1228" s="279" t="str">
        <f t="shared" si="495"/>
        <v>2100mmup to 820mmSD/MDprestige</v>
      </c>
      <c r="C1228" s="278" t="s">
        <v>557</v>
      </c>
      <c r="D1228" s="278" t="s">
        <v>724</v>
      </c>
      <c r="E1228" s="278" t="s">
        <v>2157</v>
      </c>
      <c r="F1228" s="278" t="s">
        <v>545</v>
      </c>
      <c r="G1228" s="278" t="s">
        <v>5</v>
      </c>
      <c r="H1228" s="310">
        <v>1.2499678704536692</v>
      </c>
      <c r="I1228" s="280">
        <f t="shared" si="496"/>
        <v>100.77240971597482</v>
      </c>
      <c r="J1228" s="281">
        <f t="shared" si="497"/>
        <v>114.28456239557899</v>
      </c>
      <c r="K1228" s="282">
        <f>IF(Notes!$B$9="Domestic",I1228, IF(Notes!$B$9="Commercial",J1228))*$K$1209</f>
        <v>114.28456239557899</v>
      </c>
      <c r="L1228" s="283">
        <f>(SUM(O1228:Q1228)+(K1228+SUM(M1228:Q1228))*(INDEX($U$1209:$AB$1209,MATCH(Notes!$C$16,$U$3:$AB$3,0))-100%))*$L$1209</f>
        <v>656.77</v>
      </c>
      <c r="M1228" s="286"/>
      <c r="N1228" s="286"/>
      <c r="O1228" s="285">
        <v>656.77</v>
      </c>
      <c r="P1228" s="285"/>
      <c r="Q1228" s="285"/>
      <c r="R1228" s="278"/>
      <c r="S1228" s="278"/>
      <c r="T1228" s="278"/>
    </row>
    <row r="1229" spans="1:20" s="305" customFormat="1" hidden="1" outlineLevel="2" x14ac:dyDescent="0.25">
      <c r="A1229" s="278"/>
      <c r="B1229" s="279" t="str">
        <f t="shared" si="495"/>
        <v>2100mm821mm to 920mmSD/MDprestige</v>
      </c>
      <c r="C1229" s="278" t="s">
        <v>557</v>
      </c>
      <c r="D1229" s="278" t="s">
        <v>721</v>
      </c>
      <c r="E1229" s="278" t="s">
        <v>2157</v>
      </c>
      <c r="F1229" s="278" t="s">
        <v>545</v>
      </c>
      <c r="G1229" s="278" t="s">
        <v>5</v>
      </c>
      <c r="H1229" s="310">
        <v>1.5749261020434391</v>
      </c>
      <c r="I1229" s="280">
        <f t="shared" si="496"/>
        <v>126.97054234674206</v>
      </c>
      <c r="J1229" s="281">
        <f t="shared" si="497"/>
        <v>143.99549350983165</v>
      </c>
      <c r="K1229" s="282">
        <f>IF(Notes!$B$9="Domestic",I1229, IF(Notes!$B$9="Commercial",J1229))*$K$1209</f>
        <v>143.99549350983165</v>
      </c>
      <c r="L1229" s="283">
        <f>(SUM(O1229:Q1229)+(K1229+SUM(M1229:Q1229))*(INDEX($U$1209:$AB$1209,MATCH(Notes!$C$16,$U$3:$AB$3,0))-100%))*$L$1209</f>
        <v>725.27499999999998</v>
      </c>
      <c r="M1229" s="286"/>
      <c r="N1229" s="286"/>
      <c r="O1229" s="311">
        <f>O1228+137.01*0.5</f>
        <v>725.27499999999998</v>
      </c>
      <c r="P1229" s="285"/>
      <c r="Q1229" s="285"/>
      <c r="R1229" s="278"/>
      <c r="S1229" s="278"/>
      <c r="T1229" s="278"/>
    </row>
    <row r="1230" spans="1:20" s="305" customFormat="1" hidden="1" outlineLevel="2" x14ac:dyDescent="0.25">
      <c r="A1230" s="278"/>
      <c r="B1230" s="279" t="str">
        <f t="shared" si="495"/>
        <v>2100mm921mm to 1220mmSD/MDprestige</v>
      </c>
      <c r="C1230" s="278" t="s">
        <v>557</v>
      </c>
      <c r="D1230" s="278" t="s">
        <v>722</v>
      </c>
      <c r="E1230" s="278" t="s">
        <v>2157</v>
      </c>
      <c r="F1230" s="278" t="s">
        <v>545</v>
      </c>
      <c r="G1230" s="278" t="s">
        <v>5</v>
      </c>
      <c r="H1230" s="310">
        <v>2.2248425652229793</v>
      </c>
      <c r="I1230" s="280">
        <f t="shared" si="496"/>
        <v>179.36680760827659</v>
      </c>
      <c r="J1230" s="281">
        <f t="shared" si="497"/>
        <v>203.41735573833702</v>
      </c>
      <c r="K1230" s="282">
        <f>IF(Notes!$B$9="Domestic",I1230, IF(Notes!$B$9="Commercial",J1230))*$K$1209</f>
        <v>203.41735573833702</v>
      </c>
      <c r="L1230" s="283">
        <f>(SUM(O1230:Q1230)+(K1230+SUM(M1230:Q1230))*(INDEX($U$1209:$AB$1209,MATCH(Notes!$C$16,$U$3:$AB$3,0))-100%))*$L$1209</f>
        <v>862.28499999999997</v>
      </c>
      <c r="M1230" s="286"/>
      <c r="N1230" s="286"/>
      <c r="O1230" s="311">
        <f>O1228+137.01*1.5</f>
        <v>862.28499999999997</v>
      </c>
      <c r="P1230" s="285"/>
      <c r="Q1230" s="285"/>
      <c r="R1230" s="278"/>
      <c r="S1230" s="278"/>
      <c r="T1230" s="278"/>
    </row>
    <row r="1231" spans="1:20" s="305" customFormat="1" hidden="1" outlineLevel="2" x14ac:dyDescent="0.25">
      <c r="A1231" s="278"/>
      <c r="B1231" s="279" t="str">
        <f t="shared" si="495"/>
        <v>2400mmup to 820mmSD/MDprestige</v>
      </c>
      <c r="C1231" s="278" t="s">
        <v>558</v>
      </c>
      <c r="D1231" s="278" t="s">
        <v>724</v>
      </c>
      <c r="E1231" s="278" t="s">
        <v>2157</v>
      </c>
      <c r="F1231" s="278" t="s">
        <v>545</v>
      </c>
      <c r="G1231" s="278" t="s">
        <v>5</v>
      </c>
      <c r="H1231" s="310">
        <v>1.7374052178383241</v>
      </c>
      <c r="I1231" s="280">
        <f t="shared" si="496"/>
        <v>140.06960866212569</v>
      </c>
      <c r="J1231" s="281">
        <f t="shared" si="497"/>
        <v>158.85095906695798</v>
      </c>
      <c r="K1231" s="282">
        <f>IF(Notes!$B$9="Domestic",I1231, IF(Notes!$B$9="Commercial",J1231))*$K$1209</f>
        <v>158.85095906695798</v>
      </c>
      <c r="L1231" s="283">
        <f>(SUM(O1231:Q1231)+(K1231+SUM(M1231:Q1231))*(INDEX($U$1209:$AB$1209,MATCH(Notes!$C$16,$U$3:$AB$3,0))-100%))*$L$1209</f>
        <v>759.52749999999992</v>
      </c>
      <c r="M1231" s="286"/>
      <c r="N1231" s="286"/>
      <c r="O1231" s="311">
        <f>O1228+137.01*0.75</f>
        <v>759.52749999999992</v>
      </c>
      <c r="P1231" s="285"/>
      <c r="Q1231" s="285"/>
      <c r="R1231" s="278"/>
      <c r="S1231" s="278"/>
      <c r="T1231" s="278"/>
    </row>
    <row r="1232" spans="1:20" s="305" customFormat="1" hidden="1" outlineLevel="2" x14ac:dyDescent="0.25">
      <c r="A1232" s="278"/>
      <c r="B1232" s="279" t="str">
        <f t="shared" si="495"/>
        <v>2400mm821mm to 920mmSD/MDprestige</v>
      </c>
      <c r="C1232" s="278" t="s">
        <v>558</v>
      </c>
      <c r="D1232" s="278" t="s">
        <v>721</v>
      </c>
      <c r="E1232" s="278" t="s">
        <v>2157</v>
      </c>
      <c r="F1232" s="278" t="s">
        <v>545</v>
      </c>
      <c r="G1232" s="278" t="s">
        <v>5</v>
      </c>
      <c r="H1232" s="310">
        <v>1.8998843336332092</v>
      </c>
      <c r="I1232" s="280">
        <f t="shared" si="496"/>
        <v>153.16867497750934</v>
      </c>
      <c r="J1232" s="281">
        <f t="shared" si="497"/>
        <v>173.70642462408432</v>
      </c>
      <c r="K1232" s="282">
        <f>IF(Notes!$B$9="Domestic",I1232, IF(Notes!$B$9="Commercial",J1232))*$K$1209</f>
        <v>173.70642462408432</v>
      </c>
      <c r="L1232" s="283">
        <f>(SUM(O1232:Q1232)+(K1232+SUM(M1232:Q1232))*(INDEX($U$1209:$AB$1209,MATCH(Notes!$C$16,$U$3:$AB$3,0))-100%))*$L$1209</f>
        <v>793.78</v>
      </c>
      <c r="M1232" s="286"/>
      <c r="N1232" s="286"/>
      <c r="O1232" s="311">
        <f>O1228+137.01</f>
        <v>793.78</v>
      </c>
      <c r="P1232" s="285"/>
      <c r="Q1232" s="285"/>
      <c r="R1232" s="278"/>
      <c r="S1232" s="278"/>
      <c r="T1232" s="278"/>
    </row>
    <row r="1233" spans="1:28" s="305" customFormat="1" hidden="1" outlineLevel="2" x14ac:dyDescent="0.25">
      <c r="A1233" s="278"/>
      <c r="B1233" s="279" t="str">
        <f t="shared" si="495"/>
        <v>2400mm921mm to 1220mmSD/MDprestige</v>
      </c>
      <c r="C1233" s="278" t="s">
        <v>558</v>
      </c>
      <c r="D1233" s="278" t="s">
        <v>722</v>
      </c>
      <c r="E1233" s="278" t="s">
        <v>2157</v>
      </c>
      <c r="F1233" s="278" t="s">
        <v>545</v>
      </c>
      <c r="G1233" s="278" t="s">
        <v>5</v>
      </c>
      <c r="H1233" s="310">
        <v>2.549800796812749</v>
      </c>
      <c r="I1233" s="280">
        <f t="shared" si="496"/>
        <v>205.56494023904384</v>
      </c>
      <c r="J1233" s="281">
        <f t="shared" si="497"/>
        <v>233.12828685258967</v>
      </c>
      <c r="K1233" s="282">
        <f>IF(Notes!$B$9="Domestic",I1233, IF(Notes!$B$9="Commercial",J1233))*$K$1209</f>
        <v>233.12828685258967</v>
      </c>
      <c r="L1233" s="283">
        <f>(SUM(O1233:Q1233)+(K1233+SUM(M1233:Q1233))*(INDEX($U$1209:$AB$1209,MATCH(Notes!$C$16,$U$3:$AB$3,0))-100%))*$L$1209</f>
        <v>930.79</v>
      </c>
      <c r="M1233" s="286"/>
      <c r="N1233" s="286"/>
      <c r="O1233" s="311">
        <f>O1228+137.01*2</f>
        <v>930.79</v>
      </c>
      <c r="P1233" s="285"/>
      <c r="Q1233" s="285"/>
      <c r="R1233" s="278"/>
      <c r="S1233" s="278"/>
      <c r="T1233" s="278"/>
    </row>
    <row r="1234" spans="1:28" s="305" customFormat="1" hidden="1" outlineLevel="2" x14ac:dyDescent="0.25">
      <c r="A1234" s="278"/>
      <c r="B1234" s="279" t="str">
        <f t="shared" si="495"/>
        <v>2700mmup to 820mmSD/MDprestige</v>
      </c>
      <c r="C1234" s="278" t="s">
        <v>779</v>
      </c>
      <c r="D1234" s="278" t="s">
        <v>724</v>
      </c>
      <c r="E1234" s="278" t="s">
        <v>2157</v>
      </c>
      <c r="F1234" s="278" t="s">
        <v>545</v>
      </c>
      <c r="G1234" s="278" t="s">
        <v>5</v>
      </c>
      <c r="H1234" s="310">
        <v>2.3873216810178639</v>
      </c>
      <c r="I1234" s="280">
        <f t="shared" si="496"/>
        <v>192.46587392366021</v>
      </c>
      <c r="J1234" s="281">
        <f t="shared" si="497"/>
        <v>218.2728212954633</v>
      </c>
      <c r="K1234" s="282">
        <f>IF(Notes!$B$9="Domestic",I1234, IF(Notes!$B$9="Commercial",J1234))*$K$1209</f>
        <v>218.2728212954633</v>
      </c>
      <c r="L1234" s="283">
        <f>(SUM(O1234:Q1234)+(K1234+SUM(M1234:Q1234))*(INDEX($U$1209:$AB$1209,MATCH(Notes!$C$16,$U$3:$AB$3,0))-100%))*$L$1209</f>
        <v>896.53749999999991</v>
      </c>
      <c r="M1234" s="286"/>
      <c r="N1234" s="286"/>
      <c r="O1234" s="311">
        <f>O1228+137.01*1.75</f>
        <v>896.53749999999991</v>
      </c>
      <c r="P1234" s="285"/>
      <c r="Q1234" s="285"/>
      <c r="R1234" s="278"/>
      <c r="S1234" s="278"/>
      <c r="T1234" s="278"/>
    </row>
    <row r="1235" spans="1:28" s="305" customFormat="1" hidden="1" outlineLevel="2" x14ac:dyDescent="0.25">
      <c r="A1235" s="278"/>
      <c r="B1235" s="279" t="str">
        <f t="shared" si="495"/>
        <v>2700mm821mm to 920mmSD/MDprestige</v>
      </c>
      <c r="C1235" s="278" t="s">
        <v>779</v>
      </c>
      <c r="D1235" s="278" t="s">
        <v>721</v>
      </c>
      <c r="E1235" s="278" t="s">
        <v>2157</v>
      </c>
      <c r="F1235" s="278" t="s">
        <v>545</v>
      </c>
      <c r="G1235" s="278" t="s">
        <v>5</v>
      </c>
      <c r="H1235" s="310">
        <v>2.549800796812749</v>
      </c>
      <c r="I1235" s="280">
        <f t="shared" si="496"/>
        <v>205.56494023904384</v>
      </c>
      <c r="J1235" s="281">
        <f t="shared" si="497"/>
        <v>233.12828685258967</v>
      </c>
      <c r="K1235" s="282">
        <f>IF(Notes!$B$9="Domestic",I1235, IF(Notes!$B$9="Commercial",J1235))*$K$1209</f>
        <v>233.12828685258967</v>
      </c>
      <c r="L1235" s="283">
        <f>(SUM(O1235:Q1235)+(K1235+SUM(M1235:Q1235))*(INDEX($U$1209:$AB$1209,MATCH(Notes!$C$16,$U$3:$AB$3,0))-100%))*$L$1209</f>
        <v>930.79</v>
      </c>
      <c r="M1235" s="286"/>
      <c r="N1235" s="286"/>
      <c r="O1235" s="311">
        <f>O1228+137.01*2</f>
        <v>930.79</v>
      </c>
      <c r="P1235" s="285"/>
      <c r="Q1235" s="285"/>
      <c r="R1235" s="278"/>
      <c r="S1235" s="278"/>
      <c r="T1235" s="278"/>
    </row>
    <row r="1236" spans="1:28" s="305" customFormat="1" hidden="1" outlineLevel="2" x14ac:dyDescent="0.25">
      <c r="A1236" s="278"/>
      <c r="B1236" s="279" t="str">
        <f t="shared" si="495"/>
        <v>2700mm921mm to 1220mmSD/MDprestige</v>
      </c>
      <c r="C1236" s="278" t="s">
        <v>779</v>
      </c>
      <c r="D1236" s="278" t="s">
        <v>722</v>
      </c>
      <c r="E1236" s="278" t="s">
        <v>2157</v>
      </c>
      <c r="F1236" s="278" t="s">
        <v>545</v>
      </c>
      <c r="G1236" s="278" t="s">
        <v>5</v>
      </c>
      <c r="H1236" s="310">
        <v>3.1997172599922892</v>
      </c>
      <c r="I1236" s="280">
        <f t="shared" si="496"/>
        <v>257.96120550057839</v>
      </c>
      <c r="J1236" s="281">
        <f t="shared" si="497"/>
        <v>292.55014908109501</v>
      </c>
      <c r="K1236" s="282">
        <f>IF(Notes!$B$9="Domestic",I1236, IF(Notes!$B$9="Commercial",J1236))*$K$1209</f>
        <v>292.55014908109501</v>
      </c>
      <c r="L1236" s="283">
        <f>(SUM(O1236:Q1236)+(K1236+SUM(M1236:Q1236))*(INDEX($U$1209:$AB$1209,MATCH(Notes!$C$16,$U$3:$AB$3,0))-100%))*$L$1209</f>
        <v>1067.8</v>
      </c>
      <c r="M1236" s="286"/>
      <c r="N1236" s="286"/>
      <c r="O1236" s="311">
        <f>O1228+137.01*3</f>
        <v>1067.8</v>
      </c>
      <c r="P1236" s="285"/>
      <c r="Q1236" s="285"/>
      <c r="R1236" s="278"/>
      <c r="S1236" s="278"/>
      <c r="T1236" s="278"/>
    </row>
    <row r="1237" spans="1:28" ht="21" hidden="1" outlineLevel="1" collapsed="1" x14ac:dyDescent="0.25">
      <c r="A1237" s="299" t="s">
        <v>2101</v>
      </c>
      <c r="B1237" s="299"/>
      <c r="C1237" s="299"/>
      <c r="D1237" s="299"/>
      <c r="E1237" s="299"/>
      <c r="F1237" s="299"/>
      <c r="G1237" s="299"/>
      <c r="H1237" s="348"/>
      <c r="I1237" s="299"/>
      <c r="J1237" s="299"/>
      <c r="K1237" s="299"/>
      <c r="L1237" s="299"/>
      <c r="M1237" s="299"/>
      <c r="N1237" s="299"/>
      <c r="O1237" s="299"/>
      <c r="P1237" s="299"/>
      <c r="Q1237" s="299"/>
      <c r="R1237" s="299"/>
      <c r="S1237" s="299"/>
      <c r="T1237" s="299"/>
      <c r="U1237" s="299"/>
      <c r="V1237" s="299"/>
      <c r="W1237" s="299"/>
      <c r="X1237" s="299"/>
      <c r="Y1237" s="299"/>
      <c r="Z1237" s="299"/>
      <c r="AA1237" s="299"/>
      <c r="AB1237" s="299"/>
    </row>
    <row r="1238" spans="1:28" ht="15.75" hidden="1" outlineLevel="1" x14ac:dyDescent="0.25">
      <c r="A1238" s="291"/>
      <c r="B1238" s="291"/>
      <c r="C1238" s="291"/>
      <c r="D1238" s="291"/>
      <c r="E1238" s="291"/>
      <c r="F1238" s="291"/>
      <c r="G1238" s="291"/>
      <c r="H1238" s="325"/>
      <c r="I1238" s="291"/>
      <c r="J1238" s="291"/>
      <c r="K1238" s="291">
        <f>K$2</f>
        <v>1</v>
      </c>
      <c r="L1238" s="291">
        <f>L$2</f>
        <v>1</v>
      </c>
      <c r="M1238" s="291"/>
      <c r="N1238" s="291"/>
      <c r="O1238" s="303"/>
      <c r="P1238" s="303"/>
      <c r="Q1238" s="303"/>
      <c r="R1238" s="291"/>
      <c r="S1238" s="291"/>
      <c r="T1238" s="291"/>
      <c r="U1238" s="381">
        <f t="shared" ref="U1238:AB1238" si="498">U$1093</f>
        <v>0.97101449275362317</v>
      </c>
      <c r="V1238" s="381">
        <f t="shared" si="498"/>
        <v>1</v>
      </c>
      <c r="W1238" s="381">
        <f t="shared" si="498"/>
        <v>1.1159420289855073</v>
      </c>
      <c r="X1238" s="381">
        <f t="shared" si="498"/>
        <v>1.0905797101449275</v>
      </c>
      <c r="Y1238" s="381">
        <f t="shared" si="498"/>
        <v>1.1956521739130435</v>
      </c>
      <c r="Z1238" s="381">
        <f t="shared" si="498"/>
        <v>0.89130434782608692</v>
      </c>
      <c r="AA1238" s="381">
        <f t="shared" si="498"/>
        <v>1.3586956521739131</v>
      </c>
      <c r="AB1238" s="381">
        <f t="shared" si="498"/>
        <v>1.0253623188405796</v>
      </c>
    </row>
    <row r="1239" spans="1:28" s="305" customFormat="1" hidden="1" outlineLevel="2" x14ac:dyDescent="0.25">
      <c r="A1239" s="278"/>
      <c r="B1239" s="279" t="str">
        <f>C1239&amp;D1239&amp;E1239&amp;F1239</f>
        <v>2100mm2 x up to 820mmDD/MDaverage</v>
      </c>
      <c r="C1239" s="278" t="s">
        <v>557</v>
      </c>
      <c r="D1239" s="278" t="s">
        <v>787</v>
      </c>
      <c r="E1239" s="278" t="s">
        <v>2158</v>
      </c>
      <c r="F1239" s="278" t="s">
        <v>543</v>
      </c>
      <c r="G1239" s="278" t="s">
        <v>5</v>
      </c>
      <c r="H1239" s="310">
        <v>2.4999357409073384</v>
      </c>
      <c r="I1239" s="280">
        <f>$I$2*H1239</f>
        <v>201.54481943194963</v>
      </c>
      <c r="J1239" s="281">
        <f>$J$2*H1239</f>
        <v>228.56912479115798</v>
      </c>
      <c r="K1239" s="282">
        <f>IF(Notes!$B$9="Domestic",I1239, IF(Notes!$B$9="Commercial",J1239))*$K$1238</f>
        <v>228.56912479115798</v>
      </c>
      <c r="L1239" s="283">
        <f>(SUM(O1239:Q1239)+(K1239+SUM(M1239:Q1239))*(INDEX($U$1238:$AB$1238,MATCH(Notes!$C$16,$U$3:$AB$3,0))-100%))*$L$1238</f>
        <v>668.48</v>
      </c>
      <c r="M1239" s="286"/>
      <c r="N1239" s="286"/>
      <c r="O1239" s="311">
        <f>O1210*2</f>
        <v>668.48</v>
      </c>
      <c r="P1239" s="285"/>
      <c r="Q1239" s="285"/>
      <c r="R1239" s="278"/>
      <c r="S1239" s="278"/>
      <c r="T1239" s="278"/>
    </row>
    <row r="1240" spans="1:28" s="305" customFormat="1" hidden="1" outlineLevel="2" x14ac:dyDescent="0.25">
      <c r="A1240" s="278"/>
      <c r="B1240" s="279" t="str">
        <f t="shared" ref="B1240" si="499">C1240&amp;D1240&amp;E1240&amp;F1240</f>
        <v>2100mm2 x 821mm to 920mmDD/MDaverage</v>
      </c>
      <c r="C1240" s="278" t="s">
        <v>557</v>
      </c>
      <c r="D1240" s="278" t="s">
        <v>788</v>
      </c>
      <c r="E1240" s="278" t="s">
        <v>2158</v>
      </c>
      <c r="F1240" s="278" t="s">
        <v>543</v>
      </c>
      <c r="G1240" s="278" t="s">
        <v>5</v>
      </c>
      <c r="H1240" s="310">
        <v>3.1498522040868782</v>
      </c>
      <c r="I1240" s="280">
        <f t="shared" ref="I1240" si="500">$I$2*H1240</f>
        <v>253.94108469348413</v>
      </c>
      <c r="J1240" s="281">
        <f t="shared" ref="J1240" si="501">$J$2*H1240</f>
        <v>287.99098701966329</v>
      </c>
      <c r="K1240" s="282">
        <f>IF(Notes!$B$9="Domestic",I1240, IF(Notes!$B$9="Commercial",J1240))*$K$1238</f>
        <v>287.99098701966329</v>
      </c>
      <c r="L1240" s="283">
        <f>(SUM(O1240:Q1240)+(K1240+SUM(M1240:Q1240))*(INDEX($U$1238:$AB$1238,MATCH(Notes!$C$16,$U$3:$AB$3,0))-100%))*$L$1238</f>
        <v>805.49</v>
      </c>
      <c r="M1240" s="286"/>
      <c r="N1240" s="286"/>
      <c r="O1240" s="311">
        <f t="shared" ref="O1240:O1265" si="502">O1211*2</f>
        <v>805.49</v>
      </c>
      <c r="P1240" s="285"/>
      <c r="Q1240" s="285"/>
      <c r="R1240" s="278"/>
      <c r="S1240" s="278"/>
      <c r="T1240" s="278"/>
    </row>
    <row r="1241" spans="1:28" s="305" customFormat="1" hidden="1" outlineLevel="2" x14ac:dyDescent="0.25">
      <c r="A1241" s="278"/>
      <c r="B1241" s="279" t="str">
        <f t="shared" ref="B1241:B1265" si="503">C1241&amp;D1241&amp;E1241&amp;F1241</f>
        <v>2100mm2 x 921mm to 1220mmDD/MDaverage</v>
      </c>
      <c r="C1241" s="278" t="s">
        <v>557</v>
      </c>
      <c r="D1241" s="278" t="s">
        <v>789</v>
      </c>
      <c r="E1241" s="278" t="s">
        <v>2158</v>
      </c>
      <c r="F1241" s="278" t="s">
        <v>543</v>
      </c>
      <c r="G1241" s="278" t="s">
        <v>5</v>
      </c>
      <c r="H1241" s="310">
        <v>4.4496851304459586</v>
      </c>
      <c r="I1241" s="280">
        <f t="shared" ref="I1241:I1265" si="504">$I$2*H1241</f>
        <v>358.73361521655318</v>
      </c>
      <c r="J1241" s="281">
        <f t="shared" ref="J1241:J1265" si="505">$J$2*H1241</f>
        <v>406.83471147667404</v>
      </c>
      <c r="K1241" s="282">
        <f>IF(Notes!$B$9="Domestic",I1241, IF(Notes!$B$9="Commercial",J1241))*$K$1238</f>
        <v>406.83471147667404</v>
      </c>
      <c r="L1241" s="283">
        <f>(SUM(O1241:Q1241)+(K1241+SUM(M1241:Q1241))*(INDEX($U$1238:$AB$1238,MATCH(Notes!$C$16,$U$3:$AB$3,0))-100%))*$L$1238</f>
        <v>1079.51</v>
      </c>
      <c r="M1241" s="286"/>
      <c r="N1241" s="286"/>
      <c r="O1241" s="311">
        <f t="shared" si="502"/>
        <v>1079.51</v>
      </c>
      <c r="P1241" s="285"/>
      <c r="Q1241" s="285"/>
      <c r="R1241" s="278"/>
      <c r="S1241" s="278"/>
      <c r="T1241" s="278"/>
    </row>
    <row r="1242" spans="1:28" s="305" customFormat="1" hidden="1" outlineLevel="2" x14ac:dyDescent="0.25">
      <c r="A1242" s="278"/>
      <c r="B1242" s="279" t="str">
        <f t="shared" si="503"/>
        <v>2400mm2 x up to 820mmDD/MDaverage</v>
      </c>
      <c r="C1242" s="278" t="s">
        <v>558</v>
      </c>
      <c r="D1242" s="278" t="s">
        <v>787</v>
      </c>
      <c r="E1242" s="278" t="s">
        <v>2158</v>
      </c>
      <c r="F1242" s="278" t="s">
        <v>543</v>
      </c>
      <c r="G1242" s="278" t="s">
        <v>5</v>
      </c>
      <c r="H1242" s="310">
        <v>3.4748104356766483</v>
      </c>
      <c r="I1242" s="280">
        <f t="shared" si="504"/>
        <v>280.13921732425138</v>
      </c>
      <c r="J1242" s="281">
        <f t="shared" si="505"/>
        <v>317.70191813391597</v>
      </c>
      <c r="K1242" s="282">
        <f>IF(Notes!$B$9="Domestic",I1242, IF(Notes!$B$9="Commercial",J1242))*$K$1238</f>
        <v>317.70191813391597</v>
      </c>
      <c r="L1242" s="283">
        <f>(SUM(O1242:Q1242)+(K1242+SUM(M1242:Q1242))*(INDEX($U$1238:$AB$1238,MATCH(Notes!$C$16,$U$3:$AB$3,0))-100%))*$L$1238</f>
        <v>873.995</v>
      </c>
      <c r="M1242" s="286"/>
      <c r="N1242" s="286"/>
      <c r="O1242" s="311">
        <f t="shared" si="502"/>
        <v>873.995</v>
      </c>
      <c r="P1242" s="285"/>
      <c r="Q1242" s="285"/>
      <c r="R1242" s="278"/>
      <c r="S1242" s="278"/>
      <c r="T1242" s="278"/>
    </row>
    <row r="1243" spans="1:28" s="305" customFormat="1" hidden="1" outlineLevel="2" x14ac:dyDescent="0.25">
      <c r="A1243" s="278"/>
      <c r="B1243" s="279" t="str">
        <f t="shared" si="503"/>
        <v>2400mm2 x 821mm to 920mmDD/MDaverage</v>
      </c>
      <c r="C1243" s="278" t="s">
        <v>558</v>
      </c>
      <c r="D1243" s="278" t="s">
        <v>788</v>
      </c>
      <c r="E1243" s="278" t="s">
        <v>2158</v>
      </c>
      <c r="F1243" s="278" t="s">
        <v>543</v>
      </c>
      <c r="G1243" s="278" t="s">
        <v>5</v>
      </c>
      <c r="H1243" s="310">
        <v>3.7997686672664184</v>
      </c>
      <c r="I1243" s="280">
        <f t="shared" si="504"/>
        <v>306.33734995501868</v>
      </c>
      <c r="J1243" s="281">
        <f t="shared" si="505"/>
        <v>347.41284924816864</v>
      </c>
      <c r="K1243" s="282">
        <f>IF(Notes!$B$9="Domestic",I1243, IF(Notes!$B$9="Commercial",J1243))*$K$1238</f>
        <v>347.41284924816864</v>
      </c>
      <c r="L1243" s="283">
        <f>(SUM(O1243:Q1243)+(K1243+SUM(M1243:Q1243))*(INDEX($U$1238:$AB$1238,MATCH(Notes!$C$16,$U$3:$AB$3,0))-100%))*$L$1238</f>
        <v>942.5</v>
      </c>
      <c r="M1243" s="286"/>
      <c r="N1243" s="286"/>
      <c r="O1243" s="311">
        <f t="shared" si="502"/>
        <v>942.5</v>
      </c>
      <c r="P1243" s="285"/>
      <c r="Q1243" s="285"/>
      <c r="R1243" s="278"/>
      <c r="S1243" s="278"/>
      <c r="T1243" s="278"/>
    </row>
    <row r="1244" spans="1:28" s="305" customFormat="1" hidden="1" outlineLevel="2" x14ac:dyDescent="0.25">
      <c r="A1244" s="278"/>
      <c r="B1244" s="279" t="str">
        <f t="shared" si="503"/>
        <v>2400mm2 x 921mm to 1220mmDD/MDaverage</v>
      </c>
      <c r="C1244" s="278" t="s">
        <v>558</v>
      </c>
      <c r="D1244" s="278" t="s">
        <v>789</v>
      </c>
      <c r="E1244" s="278" t="s">
        <v>2158</v>
      </c>
      <c r="F1244" s="278" t="s">
        <v>543</v>
      </c>
      <c r="G1244" s="278" t="s">
        <v>5</v>
      </c>
      <c r="H1244" s="310">
        <v>5.0996015936254979</v>
      </c>
      <c r="I1244" s="280">
        <f t="shared" si="504"/>
        <v>411.12988047808767</v>
      </c>
      <c r="J1244" s="281">
        <f t="shared" si="505"/>
        <v>466.25657370517933</v>
      </c>
      <c r="K1244" s="282">
        <f>IF(Notes!$B$9="Domestic",I1244, IF(Notes!$B$9="Commercial",J1244))*$K$1238</f>
        <v>466.25657370517933</v>
      </c>
      <c r="L1244" s="283">
        <f>(SUM(O1244:Q1244)+(K1244+SUM(M1244:Q1244))*(INDEX($U$1238:$AB$1238,MATCH(Notes!$C$16,$U$3:$AB$3,0))-100%))*$L$1238</f>
        <v>1216.52</v>
      </c>
      <c r="M1244" s="286"/>
      <c r="N1244" s="286"/>
      <c r="O1244" s="311">
        <f t="shared" si="502"/>
        <v>1216.52</v>
      </c>
      <c r="P1244" s="285"/>
      <c r="Q1244" s="285"/>
      <c r="R1244" s="278"/>
      <c r="S1244" s="278"/>
      <c r="T1244" s="278"/>
    </row>
    <row r="1245" spans="1:28" s="305" customFormat="1" hidden="1" outlineLevel="2" x14ac:dyDescent="0.25">
      <c r="A1245" s="278"/>
      <c r="B1245" s="279" t="str">
        <f t="shared" si="503"/>
        <v>2700mm2 x up to 820mmDD/MDaverage</v>
      </c>
      <c r="C1245" s="278" t="s">
        <v>779</v>
      </c>
      <c r="D1245" s="278" t="s">
        <v>787</v>
      </c>
      <c r="E1245" s="278" t="s">
        <v>2158</v>
      </c>
      <c r="F1245" s="278" t="s">
        <v>543</v>
      </c>
      <c r="G1245" s="278" t="s">
        <v>5</v>
      </c>
      <c r="H1245" s="310">
        <v>4.7746433620357278</v>
      </c>
      <c r="I1245" s="280">
        <f t="shared" si="504"/>
        <v>384.93174784732042</v>
      </c>
      <c r="J1245" s="281">
        <f t="shared" si="505"/>
        <v>436.5456425909266</v>
      </c>
      <c r="K1245" s="282">
        <f>IF(Notes!$B$9="Domestic",I1245, IF(Notes!$B$9="Commercial",J1245))*$K$1238</f>
        <v>436.5456425909266</v>
      </c>
      <c r="L1245" s="283">
        <f>(SUM(O1245:Q1245)+(K1245+SUM(M1245:Q1245))*(INDEX($U$1238:$AB$1238,MATCH(Notes!$C$16,$U$3:$AB$3,0))-100%))*$L$1238</f>
        <v>1148.0149999999999</v>
      </c>
      <c r="M1245" s="286"/>
      <c r="N1245" s="286"/>
      <c r="O1245" s="311">
        <f t="shared" si="502"/>
        <v>1148.0149999999999</v>
      </c>
      <c r="P1245" s="285"/>
      <c r="Q1245" s="285"/>
      <c r="R1245" s="278"/>
      <c r="S1245" s="278"/>
      <c r="T1245" s="278"/>
    </row>
    <row r="1246" spans="1:28" s="305" customFormat="1" hidden="1" outlineLevel="2" x14ac:dyDescent="0.25">
      <c r="A1246" s="278"/>
      <c r="B1246" s="279" t="str">
        <f t="shared" si="503"/>
        <v>2700mm2 x 821mm to 920mmDD/MDaverage</v>
      </c>
      <c r="C1246" s="278" t="s">
        <v>779</v>
      </c>
      <c r="D1246" s="278" t="s">
        <v>788</v>
      </c>
      <c r="E1246" s="278" t="s">
        <v>2158</v>
      </c>
      <c r="F1246" s="278" t="s">
        <v>543</v>
      </c>
      <c r="G1246" s="278" t="s">
        <v>5</v>
      </c>
      <c r="H1246" s="310">
        <v>5.0996015936254979</v>
      </c>
      <c r="I1246" s="280">
        <f t="shared" si="504"/>
        <v>411.12988047808767</v>
      </c>
      <c r="J1246" s="281">
        <f t="shared" si="505"/>
        <v>466.25657370517933</v>
      </c>
      <c r="K1246" s="282">
        <f>IF(Notes!$B$9="Domestic",I1246, IF(Notes!$B$9="Commercial",J1246))*$K$1238</f>
        <v>466.25657370517933</v>
      </c>
      <c r="L1246" s="283">
        <f>(SUM(O1246:Q1246)+(K1246+SUM(M1246:Q1246))*(INDEX($U$1238:$AB$1238,MATCH(Notes!$C$16,$U$3:$AB$3,0))-100%))*$L$1238</f>
        <v>1216.52</v>
      </c>
      <c r="M1246" s="286"/>
      <c r="N1246" s="286"/>
      <c r="O1246" s="311">
        <f t="shared" si="502"/>
        <v>1216.52</v>
      </c>
      <c r="P1246" s="285"/>
      <c r="Q1246" s="285"/>
      <c r="R1246" s="278"/>
      <c r="S1246" s="278"/>
      <c r="T1246" s="278"/>
    </row>
    <row r="1247" spans="1:28" s="305" customFormat="1" hidden="1" outlineLevel="2" x14ac:dyDescent="0.25">
      <c r="A1247" s="278"/>
      <c r="B1247" s="279" t="str">
        <f t="shared" si="503"/>
        <v>2700mm2 x 921mm to 1220mmDD/MDaverage</v>
      </c>
      <c r="C1247" s="278" t="s">
        <v>779</v>
      </c>
      <c r="D1247" s="278" t="s">
        <v>789</v>
      </c>
      <c r="E1247" s="278" t="s">
        <v>2158</v>
      </c>
      <c r="F1247" s="278" t="s">
        <v>543</v>
      </c>
      <c r="G1247" s="278" t="s">
        <v>5</v>
      </c>
      <c r="H1247" s="310">
        <v>6.3994345199845784</v>
      </c>
      <c r="I1247" s="280">
        <f t="shared" si="504"/>
        <v>515.92241100115677</v>
      </c>
      <c r="J1247" s="281">
        <f t="shared" si="505"/>
        <v>585.10029816219003</v>
      </c>
      <c r="K1247" s="282">
        <f>IF(Notes!$B$9="Domestic",I1247, IF(Notes!$B$9="Commercial",J1247))*$K$1238</f>
        <v>585.10029816219003</v>
      </c>
      <c r="L1247" s="283">
        <f>(SUM(O1247:Q1247)+(K1247+SUM(M1247:Q1247))*(INDEX($U$1238:$AB$1238,MATCH(Notes!$C$16,$U$3:$AB$3,0))-100%))*$L$1238</f>
        <v>1490.54</v>
      </c>
      <c r="M1247" s="286"/>
      <c r="N1247" s="286"/>
      <c r="O1247" s="311">
        <f t="shared" si="502"/>
        <v>1490.54</v>
      </c>
      <c r="P1247" s="285"/>
      <c r="Q1247" s="285"/>
      <c r="R1247" s="278"/>
      <c r="S1247" s="278"/>
      <c r="T1247" s="278"/>
    </row>
    <row r="1248" spans="1:28" s="305" customFormat="1" hidden="1" outlineLevel="2" x14ac:dyDescent="0.25">
      <c r="A1248" s="278"/>
      <c r="B1248" s="279" t="str">
        <f t="shared" si="503"/>
        <v>2100mm2 x up to 820mmDD/MDquality</v>
      </c>
      <c r="C1248" s="278" t="s">
        <v>557</v>
      </c>
      <c r="D1248" s="278" t="s">
        <v>787</v>
      </c>
      <c r="E1248" s="278" t="s">
        <v>2158</v>
      </c>
      <c r="F1248" s="278" t="s">
        <v>544</v>
      </c>
      <c r="G1248" s="278" t="s">
        <v>5</v>
      </c>
      <c r="H1248" s="310">
        <v>2.4999357409073384</v>
      </c>
      <c r="I1248" s="280">
        <f t="shared" si="504"/>
        <v>201.54481943194963</v>
      </c>
      <c r="J1248" s="281">
        <f t="shared" si="505"/>
        <v>228.56912479115798</v>
      </c>
      <c r="K1248" s="282">
        <f>IF(Notes!$B$9="Domestic",I1248, IF(Notes!$B$9="Commercial",J1248))*$K$1238</f>
        <v>228.56912479115798</v>
      </c>
      <c r="L1248" s="283">
        <f>(SUM(O1248:Q1248)+(K1248+SUM(M1248:Q1248))*(INDEX($U$1238:$AB$1238,MATCH(Notes!$C$16,$U$3:$AB$3,0))-100%))*$L$1238</f>
        <v>930.48</v>
      </c>
      <c r="M1248" s="286"/>
      <c r="N1248" s="286"/>
      <c r="O1248" s="311">
        <f t="shared" si="502"/>
        <v>930.48</v>
      </c>
      <c r="P1248" s="285"/>
      <c r="Q1248" s="285"/>
      <c r="R1248" s="278"/>
      <c r="S1248" s="278"/>
      <c r="T1248" s="278"/>
    </row>
    <row r="1249" spans="1:20" s="305" customFormat="1" hidden="1" outlineLevel="2" x14ac:dyDescent="0.25">
      <c r="A1249" s="278"/>
      <c r="B1249" s="279" t="str">
        <f t="shared" si="503"/>
        <v>2100mm2 x 821mm to 920mmDD/MDquality</v>
      </c>
      <c r="C1249" s="278" t="s">
        <v>557</v>
      </c>
      <c r="D1249" s="278" t="s">
        <v>788</v>
      </c>
      <c r="E1249" s="278" t="s">
        <v>2158</v>
      </c>
      <c r="F1249" s="278" t="s">
        <v>544</v>
      </c>
      <c r="G1249" s="278" t="s">
        <v>5</v>
      </c>
      <c r="H1249" s="310">
        <v>3.1498522040868782</v>
      </c>
      <c r="I1249" s="280">
        <f t="shared" si="504"/>
        <v>253.94108469348413</v>
      </c>
      <c r="J1249" s="281">
        <f t="shared" si="505"/>
        <v>287.99098701966329</v>
      </c>
      <c r="K1249" s="282">
        <f>IF(Notes!$B$9="Domestic",I1249, IF(Notes!$B$9="Commercial",J1249))*$K$1238</f>
        <v>287.99098701966329</v>
      </c>
      <c r="L1249" s="283">
        <f>(SUM(O1249:Q1249)+(K1249+SUM(M1249:Q1249))*(INDEX($U$1238:$AB$1238,MATCH(Notes!$C$16,$U$3:$AB$3,0))-100%))*$L$1238</f>
        <v>1067.49</v>
      </c>
      <c r="M1249" s="286"/>
      <c r="N1249" s="286"/>
      <c r="O1249" s="311">
        <f t="shared" si="502"/>
        <v>1067.49</v>
      </c>
      <c r="P1249" s="285"/>
      <c r="Q1249" s="285"/>
      <c r="R1249" s="278"/>
      <c r="S1249" s="278"/>
      <c r="T1249" s="278"/>
    </row>
    <row r="1250" spans="1:20" s="305" customFormat="1" hidden="1" outlineLevel="2" x14ac:dyDescent="0.25">
      <c r="A1250" s="278"/>
      <c r="B1250" s="279" t="str">
        <f t="shared" si="503"/>
        <v>2100mm2 x 921mm to 1220mmDD/MDquality</v>
      </c>
      <c r="C1250" s="278" t="s">
        <v>557</v>
      </c>
      <c r="D1250" s="278" t="s">
        <v>789</v>
      </c>
      <c r="E1250" s="278" t="s">
        <v>2158</v>
      </c>
      <c r="F1250" s="278" t="s">
        <v>544</v>
      </c>
      <c r="G1250" s="278" t="s">
        <v>5</v>
      </c>
      <c r="H1250" s="310">
        <v>4.4496851304459586</v>
      </c>
      <c r="I1250" s="280">
        <f t="shared" si="504"/>
        <v>358.73361521655318</v>
      </c>
      <c r="J1250" s="281">
        <f t="shared" si="505"/>
        <v>406.83471147667404</v>
      </c>
      <c r="K1250" s="282">
        <f>IF(Notes!$B$9="Domestic",I1250, IF(Notes!$B$9="Commercial",J1250))*$K$1238</f>
        <v>406.83471147667404</v>
      </c>
      <c r="L1250" s="283">
        <f>(SUM(O1250:Q1250)+(K1250+SUM(M1250:Q1250))*(INDEX($U$1238:$AB$1238,MATCH(Notes!$C$16,$U$3:$AB$3,0))-100%))*$L$1238</f>
        <v>1341.51</v>
      </c>
      <c r="M1250" s="286"/>
      <c r="N1250" s="286"/>
      <c r="O1250" s="311">
        <f t="shared" si="502"/>
        <v>1341.51</v>
      </c>
      <c r="P1250" s="285"/>
      <c r="Q1250" s="285"/>
      <c r="R1250" s="278"/>
      <c r="S1250" s="278"/>
      <c r="T1250" s="278"/>
    </row>
    <row r="1251" spans="1:20" s="305" customFormat="1" hidden="1" outlineLevel="2" x14ac:dyDescent="0.25">
      <c r="A1251" s="278"/>
      <c r="B1251" s="279" t="str">
        <f t="shared" si="503"/>
        <v>2400mm2 x up to 820mmDD/MDquality</v>
      </c>
      <c r="C1251" s="278" t="s">
        <v>558</v>
      </c>
      <c r="D1251" s="278" t="s">
        <v>787</v>
      </c>
      <c r="E1251" s="278" t="s">
        <v>2158</v>
      </c>
      <c r="F1251" s="278" t="s">
        <v>544</v>
      </c>
      <c r="G1251" s="278" t="s">
        <v>5</v>
      </c>
      <c r="H1251" s="310">
        <v>3.4748104356766483</v>
      </c>
      <c r="I1251" s="280">
        <f t="shared" si="504"/>
        <v>280.13921732425138</v>
      </c>
      <c r="J1251" s="281">
        <f t="shared" si="505"/>
        <v>317.70191813391597</v>
      </c>
      <c r="K1251" s="282">
        <f>IF(Notes!$B$9="Domestic",I1251, IF(Notes!$B$9="Commercial",J1251))*$K$1238</f>
        <v>317.70191813391597</v>
      </c>
      <c r="L1251" s="283">
        <f>(SUM(O1251:Q1251)+(K1251+SUM(M1251:Q1251))*(INDEX($U$1238:$AB$1238,MATCH(Notes!$C$16,$U$3:$AB$3,0))-100%))*$L$1238</f>
        <v>1135.9949999999999</v>
      </c>
      <c r="M1251" s="286"/>
      <c r="N1251" s="286"/>
      <c r="O1251" s="311">
        <f t="shared" si="502"/>
        <v>1135.9949999999999</v>
      </c>
      <c r="P1251" s="285"/>
      <c r="Q1251" s="285"/>
      <c r="R1251" s="278"/>
      <c r="S1251" s="278"/>
      <c r="T1251" s="278"/>
    </row>
    <row r="1252" spans="1:20" s="305" customFormat="1" hidden="1" outlineLevel="2" x14ac:dyDescent="0.25">
      <c r="A1252" s="278"/>
      <c r="B1252" s="279" t="str">
        <f t="shared" si="503"/>
        <v>2400mm2 x 821mm to 920mmDD/MDquality</v>
      </c>
      <c r="C1252" s="278" t="s">
        <v>558</v>
      </c>
      <c r="D1252" s="278" t="s">
        <v>788</v>
      </c>
      <c r="E1252" s="278" t="s">
        <v>2158</v>
      </c>
      <c r="F1252" s="278" t="s">
        <v>544</v>
      </c>
      <c r="G1252" s="278" t="s">
        <v>5</v>
      </c>
      <c r="H1252" s="310">
        <v>3.7997686672664184</v>
      </c>
      <c r="I1252" s="280">
        <f t="shared" si="504"/>
        <v>306.33734995501868</v>
      </c>
      <c r="J1252" s="281">
        <f t="shared" si="505"/>
        <v>347.41284924816864</v>
      </c>
      <c r="K1252" s="282">
        <f>IF(Notes!$B$9="Domestic",I1252, IF(Notes!$B$9="Commercial",J1252))*$K$1238</f>
        <v>347.41284924816864</v>
      </c>
      <c r="L1252" s="283">
        <f>(SUM(O1252:Q1252)+(K1252+SUM(M1252:Q1252))*(INDEX($U$1238:$AB$1238,MATCH(Notes!$C$16,$U$3:$AB$3,0))-100%))*$L$1238</f>
        <v>1204.5</v>
      </c>
      <c r="M1252" s="286"/>
      <c r="N1252" s="286"/>
      <c r="O1252" s="311">
        <f t="shared" si="502"/>
        <v>1204.5</v>
      </c>
      <c r="P1252" s="285"/>
      <c r="Q1252" s="285"/>
      <c r="R1252" s="278"/>
      <c r="S1252" s="278"/>
      <c r="T1252" s="278"/>
    </row>
    <row r="1253" spans="1:20" s="305" customFormat="1" hidden="1" outlineLevel="2" x14ac:dyDescent="0.25">
      <c r="A1253" s="278"/>
      <c r="B1253" s="279" t="str">
        <f t="shared" si="503"/>
        <v>2400mm2 x 921mm to 1220mmDD/MDquality</v>
      </c>
      <c r="C1253" s="278" t="s">
        <v>558</v>
      </c>
      <c r="D1253" s="278" t="s">
        <v>789</v>
      </c>
      <c r="E1253" s="278" t="s">
        <v>2158</v>
      </c>
      <c r="F1253" s="278" t="s">
        <v>544</v>
      </c>
      <c r="G1253" s="278" t="s">
        <v>5</v>
      </c>
      <c r="H1253" s="310">
        <v>5.0996015936254979</v>
      </c>
      <c r="I1253" s="280">
        <f t="shared" si="504"/>
        <v>411.12988047808767</v>
      </c>
      <c r="J1253" s="281">
        <f t="shared" si="505"/>
        <v>466.25657370517933</v>
      </c>
      <c r="K1253" s="282">
        <f>IF(Notes!$B$9="Domestic",I1253, IF(Notes!$B$9="Commercial",J1253))*$K$1238</f>
        <v>466.25657370517933</v>
      </c>
      <c r="L1253" s="283">
        <f>(SUM(O1253:Q1253)+(K1253+SUM(M1253:Q1253))*(INDEX($U$1238:$AB$1238,MATCH(Notes!$C$16,$U$3:$AB$3,0))-100%))*$L$1238</f>
        <v>1478.52</v>
      </c>
      <c r="M1253" s="286"/>
      <c r="N1253" s="286"/>
      <c r="O1253" s="311">
        <f t="shared" si="502"/>
        <v>1478.52</v>
      </c>
      <c r="P1253" s="285"/>
      <c r="Q1253" s="285"/>
      <c r="R1253" s="278"/>
      <c r="S1253" s="278"/>
      <c r="T1253" s="278"/>
    </row>
    <row r="1254" spans="1:20" s="305" customFormat="1" hidden="1" outlineLevel="2" x14ac:dyDescent="0.25">
      <c r="A1254" s="278"/>
      <c r="B1254" s="279" t="str">
        <f t="shared" si="503"/>
        <v>2700mm2 x up to 820mmDD/MDquality</v>
      </c>
      <c r="C1254" s="278" t="s">
        <v>779</v>
      </c>
      <c r="D1254" s="278" t="s">
        <v>787</v>
      </c>
      <c r="E1254" s="278" t="s">
        <v>2158</v>
      </c>
      <c r="F1254" s="278" t="s">
        <v>544</v>
      </c>
      <c r="G1254" s="278" t="s">
        <v>5</v>
      </c>
      <c r="H1254" s="310">
        <v>4.7746433620357278</v>
      </c>
      <c r="I1254" s="280">
        <f t="shared" si="504"/>
        <v>384.93174784732042</v>
      </c>
      <c r="J1254" s="281">
        <f t="shared" si="505"/>
        <v>436.5456425909266</v>
      </c>
      <c r="K1254" s="282">
        <f>IF(Notes!$B$9="Domestic",I1254, IF(Notes!$B$9="Commercial",J1254))*$K$1238</f>
        <v>436.5456425909266</v>
      </c>
      <c r="L1254" s="283">
        <f>(SUM(O1254:Q1254)+(K1254+SUM(M1254:Q1254))*(INDEX($U$1238:$AB$1238,MATCH(Notes!$C$16,$U$3:$AB$3,0))-100%))*$L$1238</f>
        <v>1410.0149999999999</v>
      </c>
      <c r="M1254" s="286"/>
      <c r="N1254" s="286"/>
      <c r="O1254" s="311">
        <f t="shared" si="502"/>
        <v>1410.0149999999999</v>
      </c>
      <c r="P1254" s="285"/>
      <c r="Q1254" s="285"/>
      <c r="R1254" s="278"/>
      <c r="S1254" s="278"/>
      <c r="T1254" s="278"/>
    </row>
    <row r="1255" spans="1:20" s="305" customFormat="1" hidden="1" outlineLevel="2" x14ac:dyDescent="0.25">
      <c r="A1255" s="278"/>
      <c r="B1255" s="279" t="str">
        <f t="shared" si="503"/>
        <v>2700mm2 x 821mm to 920mmDD/MDquality</v>
      </c>
      <c r="C1255" s="278" t="s">
        <v>779</v>
      </c>
      <c r="D1255" s="278" t="s">
        <v>788</v>
      </c>
      <c r="E1255" s="278" t="s">
        <v>2158</v>
      </c>
      <c r="F1255" s="278" t="s">
        <v>544</v>
      </c>
      <c r="G1255" s="278" t="s">
        <v>5</v>
      </c>
      <c r="H1255" s="310">
        <v>5.0996015936254979</v>
      </c>
      <c r="I1255" s="280">
        <f t="shared" si="504"/>
        <v>411.12988047808767</v>
      </c>
      <c r="J1255" s="281">
        <f t="shared" si="505"/>
        <v>466.25657370517933</v>
      </c>
      <c r="K1255" s="282">
        <f>IF(Notes!$B$9="Domestic",I1255, IF(Notes!$B$9="Commercial",J1255))*$K$1238</f>
        <v>466.25657370517933</v>
      </c>
      <c r="L1255" s="283">
        <f>(SUM(O1255:Q1255)+(K1255+SUM(M1255:Q1255))*(INDEX($U$1238:$AB$1238,MATCH(Notes!$C$16,$U$3:$AB$3,0))-100%))*$L$1238</f>
        <v>1478.52</v>
      </c>
      <c r="M1255" s="286"/>
      <c r="N1255" s="286"/>
      <c r="O1255" s="311">
        <f t="shared" si="502"/>
        <v>1478.52</v>
      </c>
      <c r="P1255" s="285"/>
      <c r="Q1255" s="285"/>
      <c r="R1255" s="278"/>
      <c r="S1255" s="278"/>
      <c r="T1255" s="278"/>
    </row>
    <row r="1256" spans="1:20" s="305" customFormat="1" hidden="1" outlineLevel="2" x14ac:dyDescent="0.25">
      <c r="A1256" s="278"/>
      <c r="B1256" s="279" t="str">
        <f t="shared" si="503"/>
        <v>2700mm2 x 921mm to 1220mmDD/MDquality</v>
      </c>
      <c r="C1256" s="278" t="s">
        <v>779</v>
      </c>
      <c r="D1256" s="278" t="s">
        <v>789</v>
      </c>
      <c r="E1256" s="278" t="s">
        <v>2158</v>
      </c>
      <c r="F1256" s="278" t="s">
        <v>544</v>
      </c>
      <c r="G1256" s="278" t="s">
        <v>5</v>
      </c>
      <c r="H1256" s="310">
        <v>6.3994345199845784</v>
      </c>
      <c r="I1256" s="280">
        <f t="shared" si="504"/>
        <v>515.92241100115677</v>
      </c>
      <c r="J1256" s="281">
        <f t="shared" si="505"/>
        <v>585.10029816219003</v>
      </c>
      <c r="K1256" s="282">
        <f>IF(Notes!$B$9="Domestic",I1256, IF(Notes!$B$9="Commercial",J1256))*$K$1238</f>
        <v>585.10029816219003</v>
      </c>
      <c r="L1256" s="283">
        <f>(SUM(O1256:Q1256)+(K1256+SUM(M1256:Q1256))*(INDEX($U$1238:$AB$1238,MATCH(Notes!$C$16,$U$3:$AB$3,0))-100%))*$L$1238</f>
        <v>1752.54</v>
      </c>
      <c r="M1256" s="286"/>
      <c r="N1256" s="286"/>
      <c r="O1256" s="311">
        <f t="shared" si="502"/>
        <v>1752.54</v>
      </c>
      <c r="P1256" s="285"/>
      <c r="Q1256" s="285"/>
      <c r="R1256" s="278"/>
      <c r="S1256" s="278"/>
      <c r="T1256" s="278"/>
    </row>
    <row r="1257" spans="1:20" s="305" customFormat="1" hidden="1" outlineLevel="2" x14ac:dyDescent="0.25">
      <c r="A1257" s="278"/>
      <c r="B1257" s="279" t="str">
        <f t="shared" si="503"/>
        <v>2100mm2 x up to 820mmDD/MDprestige</v>
      </c>
      <c r="C1257" s="278" t="s">
        <v>557</v>
      </c>
      <c r="D1257" s="278" t="s">
        <v>787</v>
      </c>
      <c r="E1257" s="278" t="s">
        <v>2158</v>
      </c>
      <c r="F1257" s="278" t="s">
        <v>545</v>
      </c>
      <c r="G1257" s="278" t="s">
        <v>5</v>
      </c>
      <c r="H1257" s="310">
        <v>2.4999357409073384</v>
      </c>
      <c r="I1257" s="280">
        <f t="shared" si="504"/>
        <v>201.54481943194963</v>
      </c>
      <c r="J1257" s="281">
        <f t="shared" si="505"/>
        <v>228.56912479115798</v>
      </c>
      <c r="K1257" s="282">
        <f>IF(Notes!$B$9="Domestic",I1257, IF(Notes!$B$9="Commercial",J1257))*$K$1238</f>
        <v>228.56912479115798</v>
      </c>
      <c r="L1257" s="283">
        <f>(SUM(O1257:Q1257)+(K1257+SUM(M1257:Q1257))*(INDEX($U$1238:$AB$1238,MATCH(Notes!$C$16,$U$3:$AB$3,0))-100%))*$L$1238</f>
        <v>1313.54</v>
      </c>
      <c r="M1257" s="286"/>
      <c r="N1257" s="286"/>
      <c r="O1257" s="311">
        <f t="shared" si="502"/>
        <v>1313.54</v>
      </c>
      <c r="P1257" s="285"/>
      <c r="Q1257" s="285"/>
      <c r="R1257" s="278"/>
      <c r="S1257" s="278"/>
      <c r="T1257" s="278"/>
    </row>
    <row r="1258" spans="1:20" s="305" customFormat="1" hidden="1" outlineLevel="2" x14ac:dyDescent="0.25">
      <c r="A1258" s="278"/>
      <c r="B1258" s="279" t="str">
        <f t="shared" si="503"/>
        <v>2100mm2 x 821mm to 920mmDD/MDprestige</v>
      </c>
      <c r="C1258" s="278" t="s">
        <v>557</v>
      </c>
      <c r="D1258" s="278" t="s">
        <v>788</v>
      </c>
      <c r="E1258" s="278" t="s">
        <v>2158</v>
      </c>
      <c r="F1258" s="278" t="s">
        <v>545</v>
      </c>
      <c r="G1258" s="278" t="s">
        <v>5</v>
      </c>
      <c r="H1258" s="310">
        <v>3.1498522040868782</v>
      </c>
      <c r="I1258" s="280">
        <f t="shared" si="504"/>
        <v>253.94108469348413</v>
      </c>
      <c r="J1258" s="281">
        <f t="shared" si="505"/>
        <v>287.99098701966329</v>
      </c>
      <c r="K1258" s="282">
        <f>IF(Notes!$B$9="Domestic",I1258, IF(Notes!$B$9="Commercial",J1258))*$K$1238</f>
        <v>287.99098701966329</v>
      </c>
      <c r="L1258" s="283">
        <f>(SUM(O1258:Q1258)+(K1258+SUM(M1258:Q1258))*(INDEX($U$1238:$AB$1238,MATCH(Notes!$C$16,$U$3:$AB$3,0))-100%))*$L$1238</f>
        <v>1450.55</v>
      </c>
      <c r="M1258" s="286"/>
      <c r="N1258" s="286"/>
      <c r="O1258" s="311">
        <f t="shared" si="502"/>
        <v>1450.55</v>
      </c>
      <c r="P1258" s="285"/>
      <c r="Q1258" s="285"/>
      <c r="R1258" s="278"/>
      <c r="S1258" s="278"/>
      <c r="T1258" s="278"/>
    </row>
    <row r="1259" spans="1:20" s="305" customFormat="1" hidden="1" outlineLevel="2" x14ac:dyDescent="0.25">
      <c r="A1259" s="278"/>
      <c r="B1259" s="279" t="str">
        <f t="shared" si="503"/>
        <v>2100mm2 x 921mm to 1220mmDD/MDprestige</v>
      </c>
      <c r="C1259" s="278" t="s">
        <v>557</v>
      </c>
      <c r="D1259" s="278" t="s">
        <v>789</v>
      </c>
      <c r="E1259" s="278" t="s">
        <v>2158</v>
      </c>
      <c r="F1259" s="278" t="s">
        <v>545</v>
      </c>
      <c r="G1259" s="278" t="s">
        <v>5</v>
      </c>
      <c r="H1259" s="310">
        <v>4.4496851304459586</v>
      </c>
      <c r="I1259" s="280">
        <f t="shared" si="504"/>
        <v>358.73361521655318</v>
      </c>
      <c r="J1259" s="281">
        <f t="shared" si="505"/>
        <v>406.83471147667404</v>
      </c>
      <c r="K1259" s="282">
        <f>IF(Notes!$B$9="Domestic",I1259, IF(Notes!$B$9="Commercial",J1259))*$K$1238</f>
        <v>406.83471147667404</v>
      </c>
      <c r="L1259" s="283">
        <f>(SUM(O1259:Q1259)+(K1259+SUM(M1259:Q1259))*(INDEX($U$1238:$AB$1238,MATCH(Notes!$C$16,$U$3:$AB$3,0))-100%))*$L$1238</f>
        <v>1724.57</v>
      </c>
      <c r="M1259" s="286"/>
      <c r="N1259" s="286"/>
      <c r="O1259" s="311">
        <f t="shared" si="502"/>
        <v>1724.57</v>
      </c>
      <c r="P1259" s="285"/>
      <c r="Q1259" s="285"/>
      <c r="R1259" s="278"/>
      <c r="S1259" s="278"/>
      <c r="T1259" s="278"/>
    </row>
    <row r="1260" spans="1:20" s="305" customFormat="1" hidden="1" outlineLevel="2" x14ac:dyDescent="0.25">
      <c r="A1260" s="278"/>
      <c r="B1260" s="279" t="str">
        <f t="shared" si="503"/>
        <v>2400mm2 x up to 820mmDD/MDprestige</v>
      </c>
      <c r="C1260" s="278" t="s">
        <v>558</v>
      </c>
      <c r="D1260" s="278" t="s">
        <v>787</v>
      </c>
      <c r="E1260" s="278" t="s">
        <v>2158</v>
      </c>
      <c r="F1260" s="278" t="s">
        <v>545</v>
      </c>
      <c r="G1260" s="278" t="s">
        <v>5</v>
      </c>
      <c r="H1260" s="310">
        <v>3.4748104356766483</v>
      </c>
      <c r="I1260" s="280">
        <f t="shared" si="504"/>
        <v>280.13921732425138</v>
      </c>
      <c r="J1260" s="281">
        <f t="shared" si="505"/>
        <v>317.70191813391597</v>
      </c>
      <c r="K1260" s="282">
        <f>IF(Notes!$B$9="Domestic",I1260, IF(Notes!$B$9="Commercial",J1260))*$K$1238</f>
        <v>317.70191813391597</v>
      </c>
      <c r="L1260" s="283">
        <f>(SUM(O1260:Q1260)+(K1260+SUM(M1260:Q1260))*(INDEX($U$1238:$AB$1238,MATCH(Notes!$C$16,$U$3:$AB$3,0))-100%))*$L$1238</f>
        <v>1519.0549999999998</v>
      </c>
      <c r="M1260" s="286"/>
      <c r="N1260" s="286"/>
      <c r="O1260" s="311">
        <f t="shared" si="502"/>
        <v>1519.0549999999998</v>
      </c>
      <c r="P1260" s="285"/>
      <c r="Q1260" s="285"/>
      <c r="R1260" s="278"/>
      <c r="S1260" s="278"/>
      <c r="T1260" s="278"/>
    </row>
    <row r="1261" spans="1:20" s="305" customFormat="1" hidden="1" outlineLevel="2" x14ac:dyDescent="0.25">
      <c r="A1261" s="278"/>
      <c r="B1261" s="279" t="str">
        <f t="shared" si="503"/>
        <v>2400mm2 x 821mm to 920mmDD/MDprestige</v>
      </c>
      <c r="C1261" s="278" t="s">
        <v>558</v>
      </c>
      <c r="D1261" s="278" t="s">
        <v>788</v>
      </c>
      <c r="E1261" s="278" t="s">
        <v>2158</v>
      </c>
      <c r="F1261" s="278" t="s">
        <v>545</v>
      </c>
      <c r="G1261" s="278" t="s">
        <v>5</v>
      </c>
      <c r="H1261" s="310">
        <v>3.7997686672664184</v>
      </c>
      <c r="I1261" s="280">
        <f t="shared" si="504"/>
        <v>306.33734995501868</v>
      </c>
      <c r="J1261" s="281">
        <f t="shared" si="505"/>
        <v>347.41284924816864</v>
      </c>
      <c r="K1261" s="282">
        <f>IF(Notes!$B$9="Domestic",I1261, IF(Notes!$B$9="Commercial",J1261))*$K$1238</f>
        <v>347.41284924816864</v>
      </c>
      <c r="L1261" s="283">
        <f>(SUM(O1261:Q1261)+(K1261+SUM(M1261:Q1261))*(INDEX($U$1238:$AB$1238,MATCH(Notes!$C$16,$U$3:$AB$3,0))-100%))*$L$1238</f>
        <v>1587.56</v>
      </c>
      <c r="M1261" s="286"/>
      <c r="N1261" s="286"/>
      <c r="O1261" s="311">
        <f t="shared" si="502"/>
        <v>1587.56</v>
      </c>
      <c r="P1261" s="285"/>
      <c r="Q1261" s="285"/>
      <c r="R1261" s="278"/>
      <c r="S1261" s="278"/>
      <c r="T1261" s="278"/>
    </row>
    <row r="1262" spans="1:20" s="305" customFormat="1" hidden="1" outlineLevel="2" x14ac:dyDescent="0.25">
      <c r="A1262" s="278"/>
      <c r="B1262" s="279" t="str">
        <f t="shared" si="503"/>
        <v>2400mm2 x 921mm to 1220mmDD/MDprestige</v>
      </c>
      <c r="C1262" s="278" t="s">
        <v>558</v>
      </c>
      <c r="D1262" s="278" t="s">
        <v>789</v>
      </c>
      <c r="E1262" s="278" t="s">
        <v>2158</v>
      </c>
      <c r="F1262" s="278" t="s">
        <v>545</v>
      </c>
      <c r="G1262" s="278" t="s">
        <v>5</v>
      </c>
      <c r="H1262" s="310">
        <v>5.0996015936254979</v>
      </c>
      <c r="I1262" s="280">
        <f t="shared" si="504"/>
        <v>411.12988047808767</v>
      </c>
      <c r="J1262" s="281">
        <f t="shared" si="505"/>
        <v>466.25657370517933</v>
      </c>
      <c r="K1262" s="282">
        <f>IF(Notes!$B$9="Domestic",I1262, IF(Notes!$B$9="Commercial",J1262))*$K$1238</f>
        <v>466.25657370517933</v>
      </c>
      <c r="L1262" s="283">
        <f>(SUM(O1262:Q1262)+(K1262+SUM(M1262:Q1262))*(INDEX($U$1238:$AB$1238,MATCH(Notes!$C$16,$U$3:$AB$3,0))-100%))*$L$1238</f>
        <v>1861.58</v>
      </c>
      <c r="M1262" s="286"/>
      <c r="N1262" s="286"/>
      <c r="O1262" s="311">
        <f t="shared" si="502"/>
        <v>1861.58</v>
      </c>
      <c r="P1262" s="285"/>
      <c r="Q1262" s="285"/>
      <c r="R1262" s="278"/>
      <c r="S1262" s="278"/>
      <c r="T1262" s="278"/>
    </row>
    <row r="1263" spans="1:20" s="305" customFormat="1" hidden="1" outlineLevel="2" x14ac:dyDescent="0.25">
      <c r="A1263" s="278"/>
      <c r="B1263" s="279" t="str">
        <f t="shared" si="503"/>
        <v>2700mm2 x up to 820mmDD/MDprestige</v>
      </c>
      <c r="C1263" s="278" t="s">
        <v>779</v>
      </c>
      <c r="D1263" s="278" t="s">
        <v>787</v>
      </c>
      <c r="E1263" s="278" t="s">
        <v>2158</v>
      </c>
      <c r="F1263" s="278" t="s">
        <v>545</v>
      </c>
      <c r="G1263" s="278" t="s">
        <v>5</v>
      </c>
      <c r="H1263" s="310">
        <v>4.7746433620357278</v>
      </c>
      <c r="I1263" s="280">
        <f t="shared" si="504"/>
        <v>384.93174784732042</v>
      </c>
      <c r="J1263" s="281">
        <f t="shared" si="505"/>
        <v>436.5456425909266</v>
      </c>
      <c r="K1263" s="282">
        <f>IF(Notes!$B$9="Domestic",I1263, IF(Notes!$B$9="Commercial",J1263))*$K$1238</f>
        <v>436.5456425909266</v>
      </c>
      <c r="L1263" s="283">
        <f>(SUM(O1263:Q1263)+(K1263+SUM(M1263:Q1263))*(INDEX($U$1238:$AB$1238,MATCH(Notes!$C$16,$U$3:$AB$3,0))-100%))*$L$1238</f>
        <v>1793.0749999999998</v>
      </c>
      <c r="M1263" s="286"/>
      <c r="N1263" s="286"/>
      <c r="O1263" s="311">
        <f t="shared" si="502"/>
        <v>1793.0749999999998</v>
      </c>
      <c r="P1263" s="285"/>
      <c r="Q1263" s="285"/>
      <c r="R1263" s="278"/>
      <c r="S1263" s="278"/>
      <c r="T1263" s="278"/>
    </row>
    <row r="1264" spans="1:20" s="305" customFormat="1" hidden="1" outlineLevel="2" x14ac:dyDescent="0.25">
      <c r="A1264" s="278"/>
      <c r="B1264" s="279" t="str">
        <f t="shared" si="503"/>
        <v>2700mm2 x 821mm to 920mmDD/MDprestige</v>
      </c>
      <c r="C1264" s="278" t="s">
        <v>779</v>
      </c>
      <c r="D1264" s="278" t="s">
        <v>788</v>
      </c>
      <c r="E1264" s="278" t="s">
        <v>2158</v>
      </c>
      <c r="F1264" s="278" t="s">
        <v>545</v>
      </c>
      <c r="G1264" s="278" t="s">
        <v>5</v>
      </c>
      <c r="H1264" s="310">
        <v>5.0996015936254979</v>
      </c>
      <c r="I1264" s="280">
        <f t="shared" si="504"/>
        <v>411.12988047808767</v>
      </c>
      <c r="J1264" s="281">
        <f t="shared" si="505"/>
        <v>466.25657370517933</v>
      </c>
      <c r="K1264" s="282">
        <f>IF(Notes!$B$9="Domestic",I1264, IF(Notes!$B$9="Commercial",J1264))*$K$1238</f>
        <v>466.25657370517933</v>
      </c>
      <c r="L1264" s="283">
        <f>(SUM(O1264:Q1264)+(K1264+SUM(M1264:Q1264))*(INDEX($U$1238:$AB$1238,MATCH(Notes!$C$16,$U$3:$AB$3,0))-100%))*$L$1238</f>
        <v>1861.58</v>
      </c>
      <c r="M1264" s="286"/>
      <c r="N1264" s="286"/>
      <c r="O1264" s="311">
        <f t="shared" si="502"/>
        <v>1861.58</v>
      </c>
      <c r="P1264" s="285"/>
      <c r="Q1264" s="285"/>
      <c r="R1264" s="278"/>
      <c r="S1264" s="278"/>
      <c r="T1264" s="278"/>
    </row>
    <row r="1265" spans="1:28" s="305" customFormat="1" hidden="1" outlineLevel="2" x14ac:dyDescent="0.25">
      <c r="A1265" s="278"/>
      <c r="B1265" s="279" t="str">
        <f t="shared" si="503"/>
        <v>2700mm2 x 921mm to 1220mmDD/MDprestige</v>
      </c>
      <c r="C1265" s="278" t="s">
        <v>779</v>
      </c>
      <c r="D1265" s="278" t="s">
        <v>789</v>
      </c>
      <c r="E1265" s="278" t="s">
        <v>2158</v>
      </c>
      <c r="F1265" s="278" t="s">
        <v>545</v>
      </c>
      <c r="G1265" s="278" t="s">
        <v>5</v>
      </c>
      <c r="H1265" s="310">
        <v>6.3994345199845784</v>
      </c>
      <c r="I1265" s="280">
        <f t="shared" si="504"/>
        <v>515.92241100115677</v>
      </c>
      <c r="J1265" s="281">
        <f t="shared" si="505"/>
        <v>585.10029816219003</v>
      </c>
      <c r="K1265" s="282">
        <f>IF(Notes!$B$9="Domestic",I1265, IF(Notes!$B$9="Commercial",J1265))*$K$1238</f>
        <v>585.10029816219003</v>
      </c>
      <c r="L1265" s="283">
        <f>(SUM(O1265:Q1265)+(K1265+SUM(M1265:Q1265))*(INDEX($U$1238:$AB$1238,MATCH(Notes!$C$16,$U$3:$AB$3,0))-100%))*$L$1238</f>
        <v>2135.6</v>
      </c>
      <c r="M1265" s="286"/>
      <c r="N1265" s="286"/>
      <c r="O1265" s="311">
        <f t="shared" si="502"/>
        <v>2135.6</v>
      </c>
      <c r="P1265" s="285"/>
      <c r="Q1265" s="285"/>
      <c r="R1265" s="278"/>
      <c r="S1265" s="278"/>
      <c r="T1265" s="278"/>
    </row>
    <row r="1266" spans="1:28" ht="21" hidden="1" outlineLevel="1" collapsed="1" x14ac:dyDescent="0.25">
      <c r="A1266" s="299" t="s">
        <v>2102</v>
      </c>
      <c r="B1266" s="299"/>
      <c r="C1266" s="299"/>
      <c r="D1266" s="299"/>
      <c r="E1266" s="299"/>
      <c r="F1266" s="299"/>
      <c r="G1266" s="299"/>
      <c r="H1266" s="348"/>
      <c r="I1266" s="299"/>
      <c r="J1266" s="299"/>
      <c r="K1266" s="299"/>
      <c r="L1266" s="299"/>
      <c r="M1266" s="299"/>
      <c r="N1266" s="299"/>
      <c r="O1266" s="299"/>
      <c r="P1266" s="299"/>
      <c r="Q1266" s="299"/>
      <c r="R1266" s="299"/>
      <c r="S1266" s="299"/>
      <c r="T1266" s="299"/>
      <c r="U1266" s="299"/>
      <c r="V1266" s="299"/>
      <c r="W1266" s="299"/>
      <c r="X1266" s="299"/>
      <c r="Y1266" s="299"/>
      <c r="Z1266" s="299"/>
      <c r="AA1266" s="299"/>
      <c r="AB1266" s="299"/>
    </row>
    <row r="1267" spans="1:28" ht="15.75" hidden="1" outlineLevel="1" x14ac:dyDescent="0.25">
      <c r="A1267" s="291"/>
      <c r="B1267" s="291"/>
      <c r="C1267" s="291"/>
      <c r="D1267" s="291"/>
      <c r="E1267" s="291"/>
      <c r="F1267" s="291"/>
      <c r="G1267" s="291"/>
      <c r="H1267" s="325"/>
      <c r="I1267" s="291"/>
      <c r="J1267" s="291"/>
      <c r="K1267" s="291">
        <f>K$2</f>
        <v>1</v>
      </c>
      <c r="L1267" s="291">
        <f>L$2</f>
        <v>1</v>
      </c>
      <c r="M1267" s="291"/>
      <c r="N1267" s="291"/>
      <c r="O1267" s="303"/>
      <c r="P1267" s="303"/>
      <c r="Q1267" s="303"/>
      <c r="R1267" s="291"/>
      <c r="S1267" s="291"/>
      <c r="T1267" s="291"/>
      <c r="U1267" s="381">
        <f t="shared" ref="U1267:AB1267" si="506">U$1093</f>
        <v>0.97101449275362317</v>
      </c>
      <c r="V1267" s="381">
        <f t="shared" si="506"/>
        <v>1</v>
      </c>
      <c r="W1267" s="381">
        <f t="shared" si="506"/>
        <v>1.1159420289855073</v>
      </c>
      <c r="X1267" s="381">
        <f t="shared" si="506"/>
        <v>1.0905797101449275</v>
      </c>
      <c r="Y1267" s="381">
        <f t="shared" si="506"/>
        <v>1.1956521739130435</v>
      </c>
      <c r="Z1267" s="381">
        <f t="shared" si="506"/>
        <v>0.89130434782608692</v>
      </c>
      <c r="AA1267" s="381">
        <f t="shared" si="506"/>
        <v>1.3586956521739131</v>
      </c>
      <c r="AB1267" s="381">
        <f t="shared" si="506"/>
        <v>1.0253623188405796</v>
      </c>
    </row>
    <row r="1268" spans="1:28" s="305" customFormat="1" hidden="1" outlineLevel="2" x14ac:dyDescent="0.25">
      <c r="A1268" s="278"/>
      <c r="B1268" s="279" t="str">
        <f>C1268&amp;D1268&amp;E1268&amp;F1268</f>
        <v>2100mmup to 820mmSD/GLaverage</v>
      </c>
      <c r="C1268" s="278" t="s">
        <v>557</v>
      </c>
      <c r="D1268" s="278" t="s">
        <v>724</v>
      </c>
      <c r="E1268" s="278" t="s">
        <v>2159</v>
      </c>
      <c r="F1268" s="278" t="s">
        <v>543</v>
      </c>
      <c r="G1268" s="278" t="s">
        <v>5</v>
      </c>
      <c r="H1268" s="310">
        <v>1.2499678704536692</v>
      </c>
      <c r="I1268" s="280">
        <f>$I$2*H1268</f>
        <v>100.77240971597482</v>
      </c>
      <c r="J1268" s="281">
        <f>$J$2*H1268</f>
        <v>114.28456239557899</v>
      </c>
      <c r="K1268" s="282">
        <f>IF(Notes!$B$9="Domestic",I1268, IF(Notes!$B$9="Commercial",J1268))*$K$1267</f>
        <v>114.28456239557899</v>
      </c>
      <c r="L1268" s="283">
        <f>(SUM(O1268:Q1268)+(K1268+SUM(M1268:Q1268))*(INDEX($U$1267:$AB$1267,MATCH(Notes!$C$16,$U$3:$AB$3,0))-100%))*$L$1267</f>
        <v>661.24</v>
      </c>
      <c r="M1268" s="286"/>
      <c r="N1268" s="286"/>
      <c r="O1268" s="285">
        <v>661.24</v>
      </c>
      <c r="P1268" s="285"/>
      <c r="Q1268" s="285"/>
      <c r="R1268" s="278"/>
      <c r="S1268" s="278"/>
      <c r="T1268" s="278"/>
    </row>
    <row r="1269" spans="1:28" s="305" customFormat="1" hidden="1" outlineLevel="2" x14ac:dyDescent="0.25">
      <c r="A1269" s="278"/>
      <c r="B1269" s="279" t="str">
        <f t="shared" ref="B1269:B1271" si="507">C1269&amp;D1269&amp;E1269&amp;F1269</f>
        <v>2100mm821mm to 920mmSD/GLaverage</v>
      </c>
      <c r="C1269" s="278" t="s">
        <v>557</v>
      </c>
      <c r="D1269" s="278" t="s">
        <v>721</v>
      </c>
      <c r="E1269" s="278" t="s">
        <v>2159</v>
      </c>
      <c r="F1269" s="278" t="s">
        <v>543</v>
      </c>
      <c r="G1269" s="278" t="s">
        <v>5</v>
      </c>
      <c r="H1269" s="310">
        <v>1.5749261020434391</v>
      </c>
      <c r="I1269" s="280">
        <f t="shared" ref="I1269:I1271" si="508">$I$2*H1269</f>
        <v>126.97054234674206</v>
      </c>
      <c r="J1269" s="281">
        <f t="shared" ref="J1269:J1271" si="509">$J$2*H1269</f>
        <v>143.99549350983165</v>
      </c>
      <c r="K1269" s="282">
        <f>IF(Notes!$B$9="Domestic",I1269, IF(Notes!$B$9="Commercial",J1269))*$K$1267</f>
        <v>143.99549350983165</v>
      </c>
      <c r="L1269" s="283">
        <f>(SUM(O1269:Q1269)+(K1269+SUM(M1269:Q1269))*(INDEX($U$1267:$AB$1267,MATCH(Notes!$C$16,$U$3:$AB$3,0))-100%))*$L$1267</f>
        <v>950.69499999999994</v>
      </c>
      <c r="M1269" s="286"/>
      <c r="N1269" s="286"/>
      <c r="O1269" s="311">
        <f>O1268+578.91*0.5</f>
        <v>950.69499999999994</v>
      </c>
      <c r="P1269" s="285"/>
      <c r="Q1269" s="285"/>
      <c r="R1269" s="278"/>
      <c r="S1269" s="278"/>
      <c r="T1269" s="278"/>
    </row>
    <row r="1270" spans="1:28" s="305" customFormat="1" hidden="1" outlineLevel="2" x14ac:dyDescent="0.25">
      <c r="A1270" s="278"/>
      <c r="B1270" s="279" t="str">
        <f t="shared" si="507"/>
        <v>2100mm921mm to 1220mmSD/GLaverage</v>
      </c>
      <c r="C1270" s="278" t="s">
        <v>557</v>
      </c>
      <c r="D1270" s="278" t="s">
        <v>722</v>
      </c>
      <c r="E1270" s="278" t="s">
        <v>2159</v>
      </c>
      <c r="F1270" s="278" t="s">
        <v>543</v>
      </c>
      <c r="G1270" s="278" t="s">
        <v>5</v>
      </c>
      <c r="H1270" s="310">
        <v>2.2248425652229793</v>
      </c>
      <c r="I1270" s="280">
        <f t="shared" si="508"/>
        <v>179.36680760827659</v>
      </c>
      <c r="J1270" s="281">
        <f t="shared" si="509"/>
        <v>203.41735573833702</v>
      </c>
      <c r="K1270" s="282">
        <f>IF(Notes!$B$9="Domestic",I1270, IF(Notes!$B$9="Commercial",J1270))*$K$1267</f>
        <v>203.41735573833702</v>
      </c>
      <c r="L1270" s="283">
        <f>(SUM(O1270:Q1270)+(K1270+SUM(M1270:Q1270))*(INDEX($U$1267:$AB$1267,MATCH(Notes!$C$16,$U$3:$AB$3,0))-100%))*$L$1267</f>
        <v>1529.605</v>
      </c>
      <c r="M1270" s="286"/>
      <c r="N1270" s="286"/>
      <c r="O1270" s="311">
        <f>O1268+578.91*1.5</f>
        <v>1529.605</v>
      </c>
      <c r="P1270" s="285"/>
      <c r="Q1270" s="285"/>
      <c r="R1270" s="278"/>
      <c r="S1270" s="278"/>
      <c r="T1270" s="278"/>
    </row>
    <row r="1271" spans="1:28" s="305" customFormat="1" hidden="1" outlineLevel="2" x14ac:dyDescent="0.25">
      <c r="A1271" s="278"/>
      <c r="B1271" s="279" t="str">
        <f t="shared" si="507"/>
        <v>2400mmup to 820mmSD/GLaverage</v>
      </c>
      <c r="C1271" s="278" t="s">
        <v>558</v>
      </c>
      <c r="D1271" s="278" t="s">
        <v>724</v>
      </c>
      <c r="E1271" s="278" t="s">
        <v>2159</v>
      </c>
      <c r="F1271" s="278" t="s">
        <v>543</v>
      </c>
      <c r="G1271" s="278" t="s">
        <v>5</v>
      </c>
      <c r="H1271" s="310">
        <v>1.7374052178383241</v>
      </c>
      <c r="I1271" s="280">
        <f t="shared" si="508"/>
        <v>140.06960866212569</v>
      </c>
      <c r="J1271" s="281">
        <f t="shared" si="509"/>
        <v>158.85095906695798</v>
      </c>
      <c r="K1271" s="282">
        <f>IF(Notes!$B$9="Domestic",I1271, IF(Notes!$B$9="Commercial",J1271))*$K$1267</f>
        <v>158.85095906695798</v>
      </c>
      <c r="L1271" s="283">
        <f>(SUM(O1271:Q1271)+(K1271+SUM(M1271:Q1271))*(INDEX($U$1267:$AB$1267,MATCH(Notes!$C$16,$U$3:$AB$3,0))-100%))*$L$1267</f>
        <v>1095.4225000000001</v>
      </c>
      <c r="M1271" s="286"/>
      <c r="N1271" s="286"/>
      <c r="O1271" s="311">
        <f>O1268+578.91*0.75</f>
        <v>1095.4225000000001</v>
      </c>
      <c r="P1271" s="285"/>
      <c r="Q1271" s="285"/>
      <c r="R1271" s="278"/>
      <c r="S1271" s="278"/>
      <c r="T1271" s="278"/>
    </row>
    <row r="1272" spans="1:28" s="305" customFormat="1" hidden="1" outlineLevel="2" x14ac:dyDescent="0.25">
      <c r="A1272" s="278"/>
      <c r="B1272" s="279" t="str">
        <f t="shared" ref="B1272:B1294" si="510">C1272&amp;D1272&amp;E1272&amp;F1272</f>
        <v>2400mm821mm to 920mmSD/GLaverage</v>
      </c>
      <c r="C1272" s="278" t="s">
        <v>558</v>
      </c>
      <c r="D1272" s="278" t="s">
        <v>721</v>
      </c>
      <c r="E1272" s="278" t="s">
        <v>2159</v>
      </c>
      <c r="F1272" s="278" t="s">
        <v>543</v>
      </c>
      <c r="G1272" s="278" t="s">
        <v>5</v>
      </c>
      <c r="H1272" s="310">
        <v>1.8998843336332092</v>
      </c>
      <c r="I1272" s="280">
        <f t="shared" ref="I1272:I1294" si="511">$I$2*H1272</f>
        <v>153.16867497750934</v>
      </c>
      <c r="J1272" s="281">
        <f t="shared" ref="J1272:J1294" si="512">$J$2*H1272</f>
        <v>173.70642462408432</v>
      </c>
      <c r="K1272" s="282">
        <f>IF(Notes!$B$9="Domestic",I1272, IF(Notes!$B$9="Commercial",J1272))*$K$1267</f>
        <v>173.70642462408432</v>
      </c>
      <c r="L1272" s="283">
        <f>(SUM(O1272:Q1272)+(K1272+SUM(M1272:Q1272))*(INDEX($U$1267:$AB$1267,MATCH(Notes!$C$16,$U$3:$AB$3,0))-100%))*$L$1267</f>
        <v>1240.1500000000001</v>
      </c>
      <c r="M1272" s="286"/>
      <c r="N1272" s="286"/>
      <c r="O1272" s="311">
        <f>O1268+578.91</f>
        <v>1240.1500000000001</v>
      </c>
      <c r="P1272" s="285"/>
      <c r="Q1272" s="285"/>
      <c r="R1272" s="278"/>
      <c r="S1272" s="278"/>
      <c r="T1272" s="278"/>
    </row>
    <row r="1273" spans="1:28" s="305" customFormat="1" hidden="1" outlineLevel="2" x14ac:dyDescent="0.25">
      <c r="A1273" s="278"/>
      <c r="B1273" s="279" t="str">
        <f t="shared" si="510"/>
        <v>2400mm921mm to 1220mmSD/GLaverage</v>
      </c>
      <c r="C1273" s="278" t="s">
        <v>558</v>
      </c>
      <c r="D1273" s="278" t="s">
        <v>722</v>
      </c>
      <c r="E1273" s="278" t="s">
        <v>2159</v>
      </c>
      <c r="F1273" s="278" t="s">
        <v>543</v>
      </c>
      <c r="G1273" s="278" t="s">
        <v>5</v>
      </c>
      <c r="H1273" s="310">
        <v>2.549800796812749</v>
      </c>
      <c r="I1273" s="280">
        <f t="shared" si="511"/>
        <v>205.56494023904384</v>
      </c>
      <c r="J1273" s="281">
        <f t="shared" si="512"/>
        <v>233.12828685258967</v>
      </c>
      <c r="K1273" s="282">
        <f>IF(Notes!$B$9="Domestic",I1273, IF(Notes!$B$9="Commercial",J1273))*$K$1267</f>
        <v>233.12828685258967</v>
      </c>
      <c r="L1273" s="283">
        <f>(SUM(O1273:Q1273)+(K1273+SUM(M1273:Q1273))*(INDEX($U$1267:$AB$1267,MATCH(Notes!$C$16,$U$3:$AB$3,0))-100%))*$L$1267</f>
        <v>1819.06</v>
      </c>
      <c r="M1273" s="286"/>
      <c r="N1273" s="286"/>
      <c r="O1273" s="311">
        <f>O1268+578.91*2</f>
        <v>1819.06</v>
      </c>
      <c r="P1273" s="285"/>
      <c r="Q1273" s="285"/>
      <c r="R1273" s="278"/>
      <c r="S1273" s="278"/>
      <c r="T1273" s="278"/>
    </row>
    <row r="1274" spans="1:28" s="305" customFormat="1" hidden="1" outlineLevel="2" x14ac:dyDescent="0.25">
      <c r="A1274" s="278"/>
      <c r="B1274" s="279" t="str">
        <f t="shared" si="510"/>
        <v>2700mmup to 820mmSD/GLaverage</v>
      </c>
      <c r="C1274" s="278" t="s">
        <v>779</v>
      </c>
      <c r="D1274" s="278" t="s">
        <v>724</v>
      </c>
      <c r="E1274" s="278" t="s">
        <v>2159</v>
      </c>
      <c r="F1274" s="278" t="s">
        <v>543</v>
      </c>
      <c r="G1274" s="278" t="s">
        <v>5</v>
      </c>
      <c r="H1274" s="310">
        <v>2.3873216810178639</v>
      </c>
      <c r="I1274" s="280">
        <f t="shared" si="511"/>
        <v>192.46587392366021</v>
      </c>
      <c r="J1274" s="281">
        <f t="shared" si="512"/>
        <v>218.2728212954633</v>
      </c>
      <c r="K1274" s="282">
        <f>IF(Notes!$B$9="Domestic",I1274, IF(Notes!$B$9="Commercial",J1274))*$K$1267</f>
        <v>218.2728212954633</v>
      </c>
      <c r="L1274" s="283">
        <f>(SUM(O1274:Q1274)+(K1274+SUM(M1274:Q1274))*(INDEX($U$1267:$AB$1267,MATCH(Notes!$C$16,$U$3:$AB$3,0))-100%))*$L$1267</f>
        <v>1674.3325</v>
      </c>
      <c r="M1274" s="286"/>
      <c r="N1274" s="286"/>
      <c r="O1274" s="311">
        <f>O1268+578.91*1.75</f>
        <v>1674.3325</v>
      </c>
      <c r="P1274" s="285"/>
      <c r="Q1274" s="285"/>
      <c r="R1274" s="278"/>
      <c r="S1274" s="278"/>
      <c r="T1274" s="278"/>
    </row>
    <row r="1275" spans="1:28" s="305" customFormat="1" hidden="1" outlineLevel="2" x14ac:dyDescent="0.25">
      <c r="A1275" s="278"/>
      <c r="B1275" s="279" t="str">
        <f t="shared" si="510"/>
        <v>2700mm821mm to 920mmSD/GLaverage</v>
      </c>
      <c r="C1275" s="278" t="s">
        <v>779</v>
      </c>
      <c r="D1275" s="278" t="s">
        <v>721</v>
      </c>
      <c r="E1275" s="278" t="s">
        <v>2159</v>
      </c>
      <c r="F1275" s="278" t="s">
        <v>543</v>
      </c>
      <c r="G1275" s="278" t="s">
        <v>5</v>
      </c>
      <c r="H1275" s="310">
        <v>2.549800796812749</v>
      </c>
      <c r="I1275" s="280">
        <f t="shared" si="511"/>
        <v>205.56494023904384</v>
      </c>
      <c r="J1275" s="281">
        <f t="shared" si="512"/>
        <v>233.12828685258967</v>
      </c>
      <c r="K1275" s="282">
        <f>IF(Notes!$B$9="Domestic",I1275, IF(Notes!$B$9="Commercial",J1275))*$K$1267</f>
        <v>233.12828685258967</v>
      </c>
      <c r="L1275" s="283">
        <f>(SUM(O1275:Q1275)+(K1275+SUM(M1275:Q1275))*(INDEX($U$1267:$AB$1267,MATCH(Notes!$C$16,$U$3:$AB$3,0))-100%))*$L$1267</f>
        <v>1819.06</v>
      </c>
      <c r="M1275" s="286"/>
      <c r="N1275" s="286"/>
      <c r="O1275" s="311">
        <f>O1268+578.91*2</f>
        <v>1819.06</v>
      </c>
      <c r="P1275" s="285"/>
      <c r="Q1275" s="285"/>
      <c r="R1275" s="278"/>
      <c r="S1275" s="278"/>
      <c r="T1275" s="278"/>
    </row>
    <row r="1276" spans="1:28" s="305" customFormat="1" hidden="1" outlineLevel="2" x14ac:dyDescent="0.25">
      <c r="A1276" s="278"/>
      <c r="B1276" s="279" t="str">
        <f t="shared" si="510"/>
        <v>2700mm921mm to 1220mmSD/GLaverage</v>
      </c>
      <c r="C1276" s="278" t="s">
        <v>779</v>
      </c>
      <c r="D1276" s="278" t="s">
        <v>722</v>
      </c>
      <c r="E1276" s="278" t="s">
        <v>2159</v>
      </c>
      <c r="F1276" s="278" t="s">
        <v>543</v>
      </c>
      <c r="G1276" s="278" t="s">
        <v>5</v>
      </c>
      <c r="H1276" s="310">
        <v>3.1997172599922892</v>
      </c>
      <c r="I1276" s="280">
        <f t="shared" si="511"/>
        <v>257.96120550057839</v>
      </c>
      <c r="J1276" s="281">
        <f t="shared" si="512"/>
        <v>292.55014908109501</v>
      </c>
      <c r="K1276" s="282">
        <f>IF(Notes!$B$9="Domestic",I1276, IF(Notes!$B$9="Commercial",J1276))*$K$1267</f>
        <v>292.55014908109501</v>
      </c>
      <c r="L1276" s="283">
        <f>(SUM(O1276:Q1276)+(K1276+SUM(M1276:Q1276))*(INDEX($U$1267:$AB$1267,MATCH(Notes!$C$16,$U$3:$AB$3,0))-100%))*$L$1267</f>
        <v>2397.9700000000003</v>
      </c>
      <c r="M1276" s="286"/>
      <c r="N1276" s="286"/>
      <c r="O1276" s="311">
        <f>O1268+578.91*3</f>
        <v>2397.9700000000003</v>
      </c>
      <c r="P1276" s="285"/>
      <c r="Q1276" s="285"/>
      <c r="R1276" s="278"/>
      <c r="S1276" s="278"/>
      <c r="T1276" s="278"/>
    </row>
    <row r="1277" spans="1:28" s="305" customFormat="1" hidden="1" outlineLevel="2" x14ac:dyDescent="0.25">
      <c r="A1277" s="278"/>
      <c r="B1277" s="279" t="str">
        <f t="shared" si="510"/>
        <v>2100mmup to 820mmSD/GLquality</v>
      </c>
      <c r="C1277" s="278" t="s">
        <v>557</v>
      </c>
      <c r="D1277" s="278" t="s">
        <v>724</v>
      </c>
      <c r="E1277" s="278" t="s">
        <v>2159</v>
      </c>
      <c r="F1277" s="278" t="s">
        <v>544</v>
      </c>
      <c r="G1277" s="278" t="s">
        <v>5</v>
      </c>
      <c r="H1277" s="310">
        <v>1.2499678704536692</v>
      </c>
      <c r="I1277" s="280">
        <f t="shared" si="511"/>
        <v>100.77240971597482</v>
      </c>
      <c r="J1277" s="281">
        <f t="shared" si="512"/>
        <v>114.28456239557899</v>
      </c>
      <c r="K1277" s="282">
        <f>IF(Notes!$B$9="Domestic",I1277, IF(Notes!$B$9="Commercial",J1277))*$K$1267</f>
        <v>114.28456239557899</v>
      </c>
      <c r="L1277" s="283">
        <f>(SUM(O1277:Q1277)+(K1277+SUM(M1277:Q1277))*(INDEX($U$1267:$AB$1267,MATCH(Notes!$C$16,$U$3:$AB$3,0))-100%))*$L$1267</f>
        <v>968.24</v>
      </c>
      <c r="M1277" s="286"/>
      <c r="N1277" s="286"/>
      <c r="O1277" s="285">
        <v>968.24</v>
      </c>
      <c r="P1277" s="285"/>
      <c r="Q1277" s="285"/>
      <c r="R1277" s="278"/>
      <c r="S1277" s="278"/>
      <c r="T1277" s="278"/>
    </row>
    <row r="1278" spans="1:28" s="305" customFormat="1" hidden="1" outlineLevel="2" x14ac:dyDescent="0.25">
      <c r="A1278" s="278"/>
      <c r="B1278" s="279" t="str">
        <f t="shared" si="510"/>
        <v>2100mm821mm to 920mmSD/GLquality</v>
      </c>
      <c r="C1278" s="278" t="s">
        <v>557</v>
      </c>
      <c r="D1278" s="278" t="s">
        <v>721</v>
      </c>
      <c r="E1278" s="278" t="s">
        <v>2159</v>
      </c>
      <c r="F1278" s="278" t="s">
        <v>544</v>
      </c>
      <c r="G1278" s="278" t="s">
        <v>5</v>
      </c>
      <c r="H1278" s="310">
        <v>1.5749261020434391</v>
      </c>
      <c r="I1278" s="280">
        <f t="shared" si="511"/>
        <v>126.97054234674206</v>
      </c>
      <c r="J1278" s="281">
        <f t="shared" si="512"/>
        <v>143.99549350983165</v>
      </c>
      <c r="K1278" s="282">
        <f>IF(Notes!$B$9="Domestic",I1278, IF(Notes!$B$9="Commercial",J1278))*$K$1267</f>
        <v>143.99549350983165</v>
      </c>
      <c r="L1278" s="283">
        <f>(SUM(O1278:Q1278)+(K1278+SUM(M1278:Q1278))*(INDEX($U$1267:$AB$1267,MATCH(Notes!$C$16,$U$3:$AB$3,0))-100%))*$L$1267</f>
        <v>1257.6949999999999</v>
      </c>
      <c r="M1278" s="286"/>
      <c r="N1278" s="286"/>
      <c r="O1278" s="311">
        <f>O1277+578.91*0.5</f>
        <v>1257.6949999999999</v>
      </c>
      <c r="P1278" s="285"/>
      <c r="Q1278" s="285"/>
      <c r="R1278" s="278"/>
      <c r="S1278" s="278"/>
      <c r="T1278" s="278"/>
    </row>
    <row r="1279" spans="1:28" s="305" customFormat="1" hidden="1" outlineLevel="2" x14ac:dyDescent="0.25">
      <c r="A1279" s="278"/>
      <c r="B1279" s="279" t="str">
        <f t="shared" si="510"/>
        <v>2100mm921mm to 1220mmSD/GLquality</v>
      </c>
      <c r="C1279" s="278" t="s">
        <v>557</v>
      </c>
      <c r="D1279" s="278" t="s">
        <v>722</v>
      </c>
      <c r="E1279" s="278" t="s">
        <v>2159</v>
      </c>
      <c r="F1279" s="278" t="s">
        <v>544</v>
      </c>
      <c r="G1279" s="278" t="s">
        <v>5</v>
      </c>
      <c r="H1279" s="310">
        <v>2.2248425652229793</v>
      </c>
      <c r="I1279" s="280">
        <f t="shared" si="511"/>
        <v>179.36680760827659</v>
      </c>
      <c r="J1279" s="281">
        <f t="shared" si="512"/>
        <v>203.41735573833702</v>
      </c>
      <c r="K1279" s="282">
        <f>IF(Notes!$B$9="Domestic",I1279, IF(Notes!$B$9="Commercial",J1279))*$K$1267</f>
        <v>203.41735573833702</v>
      </c>
      <c r="L1279" s="283">
        <f>(SUM(O1279:Q1279)+(K1279+SUM(M1279:Q1279))*(INDEX($U$1267:$AB$1267,MATCH(Notes!$C$16,$U$3:$AB$3,0))-100%))*$L$1267</f>
        <v>1836.605</v>
      </c>
      <c r="M1279" s="286"/>
      <c r="N1279" s="286"/>
      <c r="O1279" s="311">
        <f>O1277+578.91*1.5</f>
        <v>1836.605</v>
      </c>
      <c r="P1279" s="285"/>
      <c r="Q1279" s="285"/>
      <c r="R1279" s="278"/>
      <c r="S1279" s="278"/>
      <c r="T1279" s="278"/>
    </row>
    <row r="1280" spans="1:28" s="305" customFormat="1" hidden="1" outlineLevel="2" x14ac:dyDescent="0.25">
      <c r="A1280" s="278"/>
      <c r="B1280" s="279" t="str">
        <f t="shared" si="510"/>
        <v>2400mmup to 820mmSD/GLquality</v>
      </c>
      <c r="C1280" s="278" t="s">
        <v>558</v>
      </c>
      <c r="D1280" s="278" t="s">
        <v>724</v>
      </c>
      <c r="E1280" s="278" t="s">
        <v>2159</v>
      </c>
      <c r="F1280" s="278" t="s">
        <v>544</v>
      </c>
      <c r="G1280" s="278" t="s">
        <v>5</v>
      </c>
      <c r="H1280" s="310">
        <v>1.7374052178383241</v>
      </c>
      <c r="I1280" s="280">
        <f t="shared" si="511"/>
        <v>140.06960866212569</v>
      </c>
      <c r="J1280" s="281">
        <f t="shared" si="512"/>
        <v>158.85095906695798</v>
      </c>
      <c r="K1280" s="282">
        <f>IF(Notes!$B$9="Domestic",I1280, IF(Notes!$B$9="Commercial",J1280))*$K$1267</f>
        <v>158.85095906695798</v>
      </c>
      <c r="L1280" s="283">
        <f>(SUM(O1280:Q1280)+(K1280+SUM(M1280:Q1280))*(INDEX($U$1267:$AB$1267,MATCH(Notes!$C$16,$U$3:$AB$3,0))-100%))*$L$1267</f>
        <v>1402.4225000000001</v>
      </c>
      <c r="M1280" s="286"/>
      <c r="N1280" s="286"/>
      <c r="O1280" s="311">
        <f>O1277+578.91*0.75</f>
        <v>1402.4225000000001</v>
      </c>
      <c r="P1280" s="285"/>
      <c r="Q1280" s="285"/>
      <c r="R1280" s="278"/>
      <c r="S1280" s="278"/>
      <c r="T1280" s="278"/>
    </row>
    <row r="1281" spans="1:28" s="305" customFormat="1" hidden="1" outlineLevel="2" x14ac:dyDescent="0.25">
      <c r="A1281" s="278"/>
      <c r="B1281" s="279" t="str">
        <f t="shared" si="510"/>
        <v>2400mm821mm to 920mmSD/GLquality</v>
      </c>
      <c r="C1281" s="278" t="s">
        <v>558</v>
      </c>
      <c r="D1281" s="278" t="s">
        <v>721</v>
      </c>
      <c r="E1281" s="278" t="s">
        <v>2159</v>
      </c>
      <c r="F1281" s="278" t="s">
        <v>544</v>
      </c>
      <c r="G1281" s="278" t="s">
        <v>5</v>
      </c>
      <c r="H1281" s="310">
        <v>1.8998843336332092</v>
      </c>
      <c r="I1281" s="280">
        <f t="shared" si="511"/>
        <v>153.16867497750934</v>
      </c>
      <c r="J1281" s="281">
        <f t="shared" si="512"/>
        <v>173.70642462408432</v>
      </c>
      <c r="K1281" s="282">
        <f>IF(Notes!$B$9="Domestic",I1281, IF(Notes!$B$9="Commercial",J1281))*$K$1267</f>
        <v>173.70642462408432</v>
      </c>
      <c r="L1281" s="283">
        <f>(SUM(O1281:Q1281)+(K1281+SUM(M1281:Q1281))*(INDEX($U$1267:$AB$1267,MATCH(Notes!$C$16,$U$3:$AB$3,0))-100%))*$L$1267</f>
        <v>1547.15</v>
      </c>
      <c r="M1281" s="286"/>
      <c r="N1281" s="286"/>
      <c r="O1281" s="311">
        <f>O1277+578.91</f>
        <v>1547.15</v>
      </c>
      <c r="P1281" s="285"/>
      <c r="Q1281" s="285"/>
      <c r="R1281" s="278"/>
      <c r="S1281" s="278"/>
      <c r="T1281" s="278"/>
    </row>
    <row r="1282" spans="1:28" s="305" customFormat="1" hidden="1" outlineLevel="2" x14ac:dyDescent="0.25">
      <c r="A1282" s="278"/>
      <c r="B1282" s="279" t="str">
        <f t="shared" si="510"/>
        <v>2400mm921mm to 1220mmSD/GLquality</v>
      </c>
      <c r="C1282" s="278" t="s">
        <v>558</v>
      </c>
      <c r="D1282" s="278" t="s">
        <v>722</v>
      </c>
      <c r="E1282" s="278" t="s">
        <v>2159</v>
      </c>
      <c r="F1282" s="278" t="s">
        <v>544</v>
      </c>
      <c r="G1282" s="278" t="s">
        <v>5</v>
      </c>
      <c r="H1282" s="310">
        <v>2.549800796812749</v>
      </c>
      <c r="I1282" s="280">
        <f t="shared" si="511"/>
        <v>205.56494023904384</v>
      </c>
      <c r="J1282" s="281">
        <f t="shared" si="512"/>
        <v>233.12828685258967</v>
      </c>
      <c r="K1282" s="282">
        <f>IF(Notes!$B$9="Domestic",I1282, IF(Notes!$B$9="Commercial",J1282))*$K$1267</f>
        <v>233.12828685258967</v>
      </c>
      <c r="L1282" s="283">
        <f>(SUM(O1282:Q1282)+(K1282+SUM(M1282:Q1282))*(INDEX($U$1267:$AB$1267,MATCH(Notes!$C$16,$U$3:$AB$3,0))-100%))*$L$1267</f>
        <v>2126.06</v>
      </c>
      <c r="M1282" s="286"/>
      <c r="N1282" s="286"/>
      <c r="O1282" s="311">
        <f>O1277+578.91*2</f>
        <v>2126.06</v>
      </c>
      <c r="P1282" s="285"/>
      <c r="Q1282" s="285"/>
      <c r="R1282" s="278"/>
      <c r="S1282" s="278"/>
      <c r="T1282" s="278"/>
    </row>
    <row r="1283" spans="1:28" s="305" customFormat="1" hidden="1" outlineLevel="2" x14ac:dyDescent="0.25">
      <c r="A1283" s="278"/>
      <c r="B1283" s="279" t="str">
        <f t="shared" si="510"/>
        <v>2700mmup to 820mmSD/GLquality</v>
      </c>
      <c r="C1283" s="278" t="s">
        <v>779</v>
      </c>
      <c r="D1283" s="278" t="s">
        <v>724</v>
      </c>
      <c r="E1283" s="278" t="s">
        <v>2159</v>
      </c>
      <c r="F1283" s="278" t="s">
        <v>544</v>
      </c>
      <c r="G1283" s="278" t="s">
        <v>5</v>
      </c>
      <c r="H1283" s="310">
        <v>2.3873216810178639</v>
      </c>
      <c r="I1283" s="280">
        <f t="shared" si="511"/>
        <v>192.46587392366021</v>
      </c>
      <c r="J1283" s="281">
        <f t="shared" si="512"/>
        <v>218.2728212954633</v>
      </c>
      <c r="K1283" s="282">
        <f>IF(Notes!$B$9="Domestic",I1283, IF(Notes!$B$9="Commercial",J1283))*$K$1267</f>
        <v>218.2728212954633</v>
      </c>
      <c r="L1283" s="283">
        <f>(SUM(O1283:Q1283)+(K1283+SUM(M1283:Q1283))*(INDEX($U$1267:$AB$1267,MATCH(Notes!$C$16,$U$3:$AB$3,0))-100%))*$L$1267</f>
        <v>1981.3325</v>
      </c>
      <c r="M1283" s="286"/>
      <c r="N1283" s="286"/>
      <c r="O1283" s="311">
        <f>O1277+578.91*1.75</f>
        <v>1981.3325</v>
      </c>
      <c r="P1283" s="285"/>
      <c r="Q1283" s="285"/>
      <c r="R1283" s="278"/>
      <c r="S1283" s="278"/>
      <c r="T1283" s="278"/>
    </row>
    <row r="1284" spans="1:28" s="305" customFormat="1" hidden="1" outlineLevel="2" x14ac:dyDescent="0.25">
      <c r="A1284" s="278"/>
      <c r="B1284" s="279" t="str">
        <f t="shared" si="510"/>
        <v>2700mm821mm to 920mmSD/GLquality</v>
      </c>
      <c r="C1284" s="278" t="s">
        <v>779</v>
      </c>
      <c r="D1284" s="278" t="s">
        <v>721</v>
      </c>
      <c r="E1284" s="278" t="s">
        <v>2159</v>
      </c>
      <c r="F1284" s="278" t="s">
        <v>544</v>
      </c>
      <c r="G1284" s="278" t="s">
        <v>5</v>
      </c>
      <c r="H1284" s="310">
        <v>2.549800796812749</v>
      </c>
      <c r="I1284" s="280">
        <f t="shared" si="511"/>
        <v>205.56494023904384</v>
      </c>
      <c r="J1284" s="281">
        <f t="shared" si="512"/>
        <v>233.12828685258967</v>
      </c>
      <c r="K1284" s="282">
        <f>IF(Notes!$B$9="Domestic",I1284, IF(Notes!$B$9="Commercial",J1284))*$K$1267</f>
        <v>233.12828685258967</v>
      </c>
      <c r="L1284" s="283">
        <f>(SUM(O1284:Q1284)+(K1284+SUM(M1284:Q1284))*(INDEX($U$1267:$AB$1267,MATCH(Notes!$C$16,$U$3:$AB$3,0))-100%))*$L$1267</f>
        <v>2126.06</v>
      </c>
      <c r="M1284" s="286"/>
      <c r="N1284" s="286"/>
      <c r="O1284" s="311">
        <f>O1277+578.91*2</f>
        <v>2126.06</v>
      </c>
      <c r="P1284" s="285"/>
      <c r="Q1284" s="285"/>
      <c r="R1284" s="278"/>
      <c r="S1284" s="278"/>
      <c r="T1284" s="278"/>
    </row>
    <row r="1285" spans="1:28" s="305" customFormat="1" hidden="1" outlineLevel="2" x14ac:dyDescent="0.25">
      <c r="A1285" s="278"/>
      <c r="B1285" s="279" t="str">
        <f t="shared" si="510"/>
        <v>2700mm921mm to 1220mmSD/GLquality</v>
      </c>
      <c r="C1285" s="278" t="s">
        <v>779</v>
      </c>
      <c r="D1285" s="278" t="s">
        <v>722</v>
      </c>
      <c r="E1285" s="278" t="s">
        <v>2159</v>
      </c>
      <c r="F1285" s="278" t="s">
        <v>544</v>
      </c>
      <c r="G1285" s="278" t="s">
        <v>5</v>
      </c>
      <c r="H1285" s="310">
        <v>3.1997172599922892</v>
      </c>
      <c r="I1285" s="280">
        <f t="shared" si="511"/>
        <v>257.96120550057839</v>
      </c>
      <c r="J1285" s="281">
        <f t="shared" si="512"/>
        <v>292.55014908109501</v>
      </c>
      <c r="K1285" s="282">
        <f>IF(Notes!$B$9="Domestic",I1285, IF(Notes!$B$9="Commercial",J1285))*$K$1267</f>
        <v>292.55014908109501</v>
      </c>
      <c r="L1285" s="283">
        <f>(SUM(O1285:Q1285)+(K1285+SUM(M1285:Q1285))*(INDEX($U$1267:$AB$1267,MATCH(Notes!$C$16,$U$3:$AB$3,0))-100%))*$L$1267</f>
        <v>2704.9700000000003</v>
      </c>
      <c r="M1285" s="286"/>
      <c r="N1285" s="286"/>
      <c r="O1285" s="311">
        <f>O1277+578.91*3</f>
        <v>2704.9700000000003</v>
      </c>
      <c r="P1285" s="285"/>
      <c r="Q1285" s="285"/>
      <c r="R1285" s="278"/>
      <c r="S1285" s="278"/>
      <c r="T1285" s="278"/>
    </row>
    <row r="1286" spans="1:28" s="305" customFormat="1" hidden="1" outlineLevel="2" x14ac:dyDescent="0.25">
      <c r="A1286" s="278"/>
      <c r="B1286" s="279" t="str">
        <f t="shared" si="510"/>
        <v>2100mmup to 820mmSD/GLprestige</v>
      </c>
      <c r="C1286" s="278" t="s">
        <v>557</v>
      </c>
      <c r="D1286" s="278" t="s">
        <v>724</v>
      </c>
      <c r="E1286" s="278" t="s">
        <v>2159</v>
      </c>
      <c r="F1286" s="278" t="s">
        <v>545</v>
      </c>
      <c r="G1286" s="278" t="s">
        <v>5</v>
      </c>
      <c r="H1286" s="310">
        <v>1.2499678704536692</v>
      </c>
      <c r="I1286" s="280">
        <f t="shared" si="511"/>
        <v>100.77240971597482</v>
      </c>
      <c r="J1286" s="281">
        <f t="shared" si="512"/>
        <v>114.28456239557899</v>
      </c>
      <c r="K1286" s="282">
        <f>IF(Notes!$B$9="Domestic",I1286, IF(Notes!$B$9="Commercial",J1286))*$K$1267</f>
        <v>114.28456239557899</v>
      </c>
      <c r="L1286" s="283">
        <f>(SUM(O1286:Q1286)+(K1286+SUM(M1286:Q1286))*(INDEX($U$1267:$AB$1267,MATCH(Notes!$C$16,$U$3:$AB$3,0))-100%))*$L$1267</f>
        <v>1295.77</v>
      </c>
      <c r="M1286" s="286"/>
      <c r="N1286" s="286"/>
      <c r="O1286" s="285">
        <v>1295.77</v>
      </c>
      <c r="P1286" s="285"/>
      <c r="Q1286" s="285"/>
      <c r="R1286" s="278"/>
      <c r="S1286" s="278"/>
      <c r="T1286" s="278"/>
    </row>
    <row r="1287" spans="1:28" s="305" customFormat="1" hidden="1" outlineLevel="2" x14ac:dyDescent="0.25">
      <c r="A1287" s="278"/>
      <c r="B1287" s="279" t="str">
        <f t="shared" si="510"/>
        <v>2100mm821mm to 920mmSD/GLprestige</v>
      </c>
      <c r="C1287" s="278" t="s">
        <v>557</v>
      </c>
      <c r="D1287" s="278" t="s">
        <v>721</v>
      </c>
      <c r="E1287" s="278" t="s">
        <v>2159</v>
      </c>
      <c r="F1287" s="278" t="s">
        <v>545</v>
      </c>
      <c r="G1287" s="278" t="s">
        <v>5</v>
      </c>
      <c r="H1287" s="310">
        <v>1.5749261020434391</v>
      </c>
      <c r="I1287" s="280">
        <f t="shared" si="511"/>
        <v>126.97054234674206</v>
      </c>
      <c r="J1287" s="281">
        <f t="shared" si="512"/>
        <v>143.99549350983165</v>
      </c>
      <c r="K1287" s="282">
        <f>IF(Notes!$B$9="Domestic",I1287, IF(Notes!$B$9="Commercial",J1287))*$K$1267</f>
        <v>143.99549350983165</v>
      </c>
      <c r="L1287" s="283">
        <f>(SUM(O1287:Q1287)+(K1287+SUM(M1287:Q1287))*(INDEX($U$1267:$AB$1267,MATCH(Notes!$C$16,$U$3:$AB$3,0))-100%))*$L$1267</f>
        <v>1585.2249999999999</v>
      </c>
      <c r="M1287" s="286"/>
      <c r="N1287" s="286"/>
      <c r="O1287" s="311">
        <f>O1286+578.91*0.5</f>
        <v>1585.2249999999999</v>
      </c>
      <c r="P1287" s="285"/>
      <c r="Q1287" s="285"/>
      <c r="R1287" s="278"/>
      <c r="S1287" s="278"/>
      <c r="T1287" s="278"/>
    </row>
    <row r="1288" spans="1:28" s="305" customFormat="1" hidden="1" outlineLevel="2" x14ac:dyDescent="0.25">
      <c r="A1288" s="278"/>
      <c r="B1288" s="279" t="str">
        <f t="shared" si="510"/>
        <v>2100mm921mm to 1220mmSD/GLprestige</v>
      </c>
      <c r="C1288" s="278" t="s">
        <v>557</v>
      </c>
      <c r="D1288" s="278" t="s">
        <v>722</v>
      </c>
      <c r="E1288" s="278" t="s">
        <v>2159</v>
      </c>
      <c r="F1288" s="278" t="s">
        <v>545</v>
      </c>
      <c r="G1288" s="278" t="s">
        <v>5</v>
      </c>
      <c r="H1288" s="310">
        <v>2.2248425652229793</v>
      </c>
      <c r="I1288" s="280">
        <f t="shared" si="511"/>
        <v>179.36680760827659</v>
      </c>
      <c r="J1288" s="281">
        <f t="shared" si="512"/>
        <v>203.41735573833702</v>
      </c>
      <c r="K1288" s="282">
        <f>IF(Notes!$B$9="Domestic",I1288, IF(Notes!$B$9="Commercial",J1288))*$K$1267</f>
        <v>203.41735573833702</v>
      </c>
      <c r="L1288" s="283">
        <f>(SUM(O1288:Q1288)+(K1288+SUM(M1288:Q1288))*(INDEX($U$1267:$AB$1267,MATCH(Notes!$C$16,$U$3:$AB$3,0))-100%))*$L$1267</f>
        <v>2164.1350000000002</v>
      </c>
      <c r="M1288" s="286"/>
      <c r="N1288" s="286"/>
      <c r="O1288" s="311">
        <f>O1286+578.91*1.5</f>
        <v>2164.1350000000002</v>
      </c>
      <c r="P1288" s="285"/>
      <c r="Q1288" s="285"/>
      <c r="R1288" s="278"/>
      <c r="S1288" s="278"/>
      <c r="T1288" s="278"/>
    </row>
    <row r="1289" spans="1:28" s="305" customFormat="1" hidden="1" outlineLevel="2" x14ac:dyDescent="0.25">
      <c r="A1289" s="278"/>
      <c r="B1289" s="279" t="str">
        <f t="shared" si="510"/>
        <v>2400mmup to 820mmSD/GLprestige</v>
      </c>
      <c r="C1289" s="278" t="s">
        <v>558</v>
      </c>
      <c r="D1289" s="278" t="s">
        <v>724</v>
      </c>
      <c r="E1289" s="278" t="s">
        <v>2159</v>
      </c>
      <c r="F1289" s="278" t="s">
        <v>545</v>
      </c>
      <c r="G1289" s="278" t="s">
        <v>5</v>
      </c>
      <c r="H1289" s="310">
        <v>1.7374052178383241</v>
      </c>
      <c r="I1289" s="280">
        <f t="shared" si="511"/>
        <v>140.06960866212569</v>
      </c>
      <c r="J1289" s="281">
        <f t="shared" si="512"/>
        <v>158.85095906695798</v>
      </c>
      <c r="K1289" s="282">
        <f>IF(Notes!$B$9="Domestic",I1289, IF(Notes!$B$9="Commercial",J1289))*$K$1267</f>
        <v>158.85095906695798</v>
      </c>
      <c r="L1289" s="283">
        <f>(SUM(O1289:Q1289)+(K1289+SUM(M1289:Q1289))*(INDEX($U$1267:$AB$1267,MATCH(Notes!$C$16,$U$3:$AB$3,0))-100%))*$L$1267</f>
        <v>1729.9524999999999</v>
      </c>
      <c r="M1289" s="286"/>
      <c r="N1289" s="286"/>
      <c r="O1289" s="311">
        <f>O1286+578.91*0.75</f>
        <v>1729.9524999999999</v>
      </c>
      <c r="P1289" s="285"/>
      <c r="Q1289" s="285"/>
      <c r="R1289" s="278"/>
      <c r="S1289" s="278"/>
      <c r="T1289" s="278"/>
    </row>
    <row r="1290" spans="1:28" s="305" customFormat="1" hidden="1" outlineLevel="2" x14ac:dyDescent="0.25">
      <c r="A1290" s="278"/>
      <c r="B1290" s="279" t="str">
        <f t="shared" si="510"/>
        <v>2400mm821mm to 920mmSD/GLprestige</v>
      </c>
      <c r="C1290" s="278" t="s">
        <v>558</v>
      </c>
      <c r="D1290" s="278" t="s">
        <v>721</v>
      </c>
      <c r="E1290" s="278" t="s">
        <v>2159</v>
      </c>
      <c r="F1290" s="278" t="s">
        <v>545</v>
      </c>
      <c r="G1290" s="278" t="s">
        <v>5</v>
      </c>
      <c r="H1290" s="310">
        <v>1.8998843336332092</v>
      </c>
      <c r="I1290" s="280">
        <f t="shared" si="511"/>
        <v>153.16867497750934</v>
      </c>
      <c r="J1290" s="281">
        <f t="shared" si="512"/>
        <v>173.70642462408432</v>
      </c>
      <c r="K1290" s="282">
        <f>IF(Notes!$B$9="Domestic",I1290, IF(Notes!$B$9="Commercial",J1290))*$K$1267</f>
        <v>173.70642462408432</v>
      </c>
      <c r="L1290" s="283">
        <f>(SUM(O1290:Q1290)+(K1290+SUM(M1290:Q1290))*(INDEX($U$1267:$AB$1267,MATCH(Notes!$C$16,$U$3:$AB$3,0))-100%))*$L$1267</f>
        <v>1874.6799999999998</v>
      </c>
      <c r="M1290" s="286"/>
      <c r="N1290" s="286"/>
      <c r="O1290" s="311">
        <f>O1286+578.91</f>
        <v>1874.6799999999998</v>
      </c>
      <c r="P1290" s="285"/>
      <c r="Q1290" s="285"/>
      <c r="R1290" s="278"/>
      <c r="S1290" s="278"/>
      <c r="T1290" s="278"/>
    </row>
    <row r="1291" spans="1:28" s="305" customFormat="1" hidden="1" outlineLevel="2" x14ac:dyDescent="0.25">
      <c r="A1291" s="278"/>
      <c r="B1291" s="279" t="str">
        <f t="shared" si="510"/>
        <v>2400mm921mm to 1220mmSD/GLprestige</v>
      </c>
      <c r="C1291" s="278" t="s">
        <v>558</v>
      </c>
      <c r="D1291" s="278" t="s">
        <v>722</v>
      </c>
      <c r="E1291" s="278" t="s">
        <v>2159</v>
      </c>
      <c r="F1291" s="278" t="s">
        <v>545</v>
      </c>
      <c r="G1291" s="278" t="s">
        <v>5</v>
      </c>
      <c r="H1291" s="310">
        <v>2.549800796812749</v>
      </c>
      <c r="I1291" s="280">
        <f t="shared" si="511"/>
        <v>205.56494023904384</v>
      </c>
      <c r="J1291" s="281">
        <f t="shared" si="512"/>
        <v>233.12828685258967</v>
      </c>
      <c r="K1291" s="282">
        <f>IF(Notes!$B$9="Domestic",I1291, IF(Notes!$B$9="Commercial",J1291))*$K$1267</f>
        <v>233.12828685258967</v>
      </c>
      <c r="L1291" s="283">
        <f>(SUM(O1291:Q1291)+(K1291+SUM(M1291:Q1291))*(INDEX($U$1267:$AB$1267,MATCH(Notes!$C$16,$U$3:$AB$3,0))-100%))*$L$1267</f>
        <v>2453.59</v>
      </c>
      <c r="M1291" s="286"/>
      <c r="N1291" s="286"/>
      <c r="O1291" s="311">
        <f>O1286+578.91*2</f>
        <v>2453.59</v>
      </c>
      <c r="P1291" s="285"/>
      <c r="Q1291" s="285"/>
      <c r="R1291" s="278"/>
      <c r="S1291" s="278"/>
      <c r="T1291" s="278"/>
    </row>
    <row r="1292" spans="1:28" s="305" customFormat="1" hidden="1" outlineLevel="2" x14ac:dyDescent="0.25">
      <c r="A1292" s="278"/>
      <c r="B1292" s="279" t="str">
        <f t="shared" si="510"/>
        <v>2700mmup to 820mmSD/GLprestige</v>
      </c>
      <c r="C1292" s="278" t="s">
        <v>779</v>
      </c>
      <c r="D1292" s="278" t="s">
        <v>724</v>
      </c>
      <c r="E1292" s="278" t="s">
        <v>2159</v>
      </c>
      <c r="F1292" s="278" t="s">
        <v>545</v>
      </c>
      <c r="G1292" s="278" t="s">
        <v>5</v>
      </c>
      <c r="H1292" s="310">
        <v>2.3873216810178639</v>
      </c>
      <c r="I1292" s="280">
        <f t="shared" si="511"/>
        <v>192.46587392366021</v>
      </c>
      <c r="J1292" s="281">
        <f t="shared" si="512"/>
        <v>218.2728212954633</v>
      </c>
      <c r="K1292" s="282">
        <f>IF(Notes!$B$9="Domestic",I1292, IF(Notes!$B$9="Commercial",J1292))*$K$1267</f>
        <v>218.2728212954633</v>
      </c>
      <c r="L1292" s="283">
        <f>(SUM(O1292:Q1292)+(K1292+SUM(M1292:Q1292))*(INDEX($U$1267:$AB$1267,MATCH(Notes!$C$16,$U$3:$AB$3,0))-100%))*$L$1267</f>
        <v>2308.8625000000002</v>
      </c>
      <c r="M1292" s="286"/>
      <c r="N1292" s="286"/>
      <c r="O1292" s="311">
        <f>O1286+578.91*1.75</f>
        <v>2308.8625000000002</v>
      </c>
      <c r="P1292" s="285"/>
      <c r="Q1292" s="285"/>
      <c r="R1292" s="278"/>
      <c r="S1292" s="278"/>
      <c r="T1292" s="278"/>
    </row>
    <row r="1293" spans="1:28" s="305" customFormat="1" hidden="1" outlineLevel="2" x14ac:dyDescent="0.25">
      <c r="A1293" s="278"/>
      <c r="B1293" s="279" t="str">
        <f t="shared" si="510"/>
        <v>2700mm821mm to 920mmSD/GLprestige</v>
      </c>
      <c r="C1293" s="278" t="s">
        <v>779</v>
      </c>
      <c r="D1293" s="278" t="s">
        <v>721</v>
      </c>
      <c r="E1293" s="278" t="s">
        <v>2159</v>
      </c>
      <c r="F1293" s="278" t="s">
        <v>545</v>
      </c>
      <c r="G1293" s="278" t="s">
        <v>5</v>
      </c>
      <c r="H1293" s="310">
        <v>2.549800796812749</v>
      </c>
      <c r="I1293" s="280">
        <f t="shared" si="511"/>
        <v>205.56494023904384</v>
      </c>
      <c r="J1293" s="281">
        <f t="shared" si="512"/>
        <v>233.12828685258967</v>
      </c>
      <c r="K1293" s="282">
        <f>IF(Notes!$B$9="Domestic",I1293, IF(Notes!$B$9="Commercial",J1293))*$K$1267</f>
        <v>233.12828685258967</v>
      </c>
      <c r="L1293" s="283">
        <f>(SUM(O1293:Q1293)+(K1293+SUM(M1293:Q1293))*(INDEX($U$1267:$AB$1267,MATCH(Notes!$C$16,$U$3:$AB$3,0))-100%))*$L$1267</f>
        <v>2453.59</v>
      </c>
      <c r="M1293" s="286"/>
      <c r="N1293" s="286"/>
      <c r="O1293" s="311">
        <f>O1286+578.91*2</f>
        <v>2453.59</v>
      </c>
      <c r="P1293" s="285"/>
      <c r="Q1293" s="285"/>
      <c r="R1293" s="278"/>
      <c r="S1293" s="278"/>
      <c r="T1293" s="278"/>
    </row>
    <row r="1294" spans="1:28" s="305" customFormat="1" hidden="1" outlineLevel="2" x14ac:dyDescent="0.25">
      <c r="A1294" s="278"/>
      <c r="B1294" s="279" t="str">
        <f t="shared" si="510"/>
        <v>2700mm921mm to 1220mmSD/GLprestige</v>
      </c>
      <c r="C1294" s="278" t="s">
        <v>779</v>
      </c>
      <c r="D1294" s="278" t="s">
        <v>722</v>
      </c>
      <c r="E1294" s="278" t="s">
        <v>2159</v>
      </c>
      <c r="F1294" s="278" t="s">
        <v>545</v>
      </c>
      <c r="G1294" s="278" t="s">
        <v>5</v>
      </c>
      <c r="H1294" s="310">
        <v>3.1997172599922892</v>
      </c>
      <c r="I1294" s="280">
        <f t="shared" si="511"/>
        <v>257.96120550057839</v>
      </c>
      <c r="J1294" s="281">
        <f t="shared" si="512"/>
        <v>292.55014908109501</v>
      </c>
      <c r="K1294" s="282">
        <f>IF(Notes!$B$9="Domestic",I1294, IF(Notes!$B$9="Commercial",J1294))*$K$1267</f>
        <v>292.55014908109501</v>
      </c>
      <c r="L1294" s="283">
        <f>(SUM(O1294:Q1294)+(K1294+SUM(M1294:Q1294))*(INDEX($U$1267:$AB$1267,MATCH(Notes!$C$16,$U$3:$AB$3,0))-100%))*$L$1267</f>
        <v>3032.5</v>
      </c>
      <c r="M1294" s="286"/>
      <c r="N1294" s="286"/>
      <c r="O1294" s="311">
        <f>O1286+578.91*3</f>
        <v>3032.5</v>
      </c>
      <c r="P1294" s="285"/>
      <c r="Q1294" s="285"/>
      <c r="R1294" s="278"/>
      <c r="S1294" s="278"/>
      <c r="T1294" s="278"/>
    </row>
    <row r="1295" spans="1:28" ht="21" hidden="1" outlineLevel="1" collapsed="1" x14ac:dyDescent="0.25">
      <c r="A1295" s="299" t="s">
        <v>2103</v>
      </c>
      <c r="B1295" s="299"/>
      <c r="C1295" s="299"/>
      <c r="D1295" s="299"/>
      <c r="E1295" s="299"/>
      <c r="F1295" s="299"/>
      <c r="G1295" s="299"/>
      <c r="H1295" s="348"/>
      <c r="I1295" s="299"/>
      <c r="J1295" s="299"/>
      <c r="K1295" s="299"/>
      <c r="L1295" s="299"/>
      <c r="M1295" s="299"/>
      <c r="N1295" s="299"/>
      <c r="O1295" s="299"/>
      <c r="P1295" s="299"/>
      <c r="Q1295" s="299"/>
      <c r="R1295" s="299"/>
      <c r="S1295" s="299"/>
      <c r="T1295" s="299"/>
      <c r="U1295" s="299"/>
      <c r="V1295" s="299"/>
      <c r="W1295" s="299"/>
      <c r="X1295" s="299"/>
      <c r="Y1295" s="299"/>
      <c r="Z1295" s="299"/>
      <c r="AA1295" s="299"/>
      <c r="AB1295" s="299"/>
    </row>
    <row r="1296" spans="1:28" ht="15.75" hidden="1" outlineLevel="1" x14ac:dyDescent="0.25">
      <c r="A1296" s="291"/>
      <c r="B1296" s="291"/>
      <c r="C1296" s="291"/>
      <c r="D1296" s="291"/>
      <c r="E1296" s="291"/>
      <c r="F1296" s="291"/>
      <c r="G1296" s="291"/>
      <c r="H1296" s="325"/>
      <c r="I1296" s="291"/>
      <c r="J1296" s="291"/>
      <c r="K1296" s="291">
        <f>K$2</f>
        <v>1</v>
      </c>
      <c r="L1296" s="291">
        <f>L$2</f>
        <v>1</v>
      </c>
      <c r="M1296" s="291"/>
      <c r="N1296" s="291"/>
      <c r="O1296" s="303"/>
      <c r="P1296" s="303"/>
      <c r="Q1296" s="303"/>
      <c r="R1296" s="291"/>
      <c r="S1296" s="291"/>
      <c r="T1296" s="291"/>
      <c r="U1296" s="381">
        <f t="shared" ref="U1296:AB1296" si="513">U$1093</f>
        <v>0.97101449275362317</v>
      </c>
      <c r="V1296" s="381">
        <f t="shared" si="513"/>
        <v>1</v>
      </c>
      <c r="W1296" s="381">
        <f t="shared" si="513"/>
        <v>1.1159420289855073</v>
      </c>
      <c r="X1296" s="381">
        <f t="shared" si="513"/>
        <v>1.0905797101449275</v>
      </c>
      <c r="Y1296" s="381">
        <f t="shared" si="513"/>
        <v>1.1956521739130435</v>
      </c>
      <c r="Z1296" s="381">
        <f t="shared" si="513"/>
        <v>0.89130434782608692</v>
      </c>
      <c r="AA1296" s="381">
        <f t="shared" si="513"/>
        <v>1.3586956521739131</v>
      </c>
      <c r="AB1296" s="381">
        <f t="shared" si="513"/>
        <v>1.0253623188405796</v>
      </c>
    </row>
    <row r="1297" spans="1:20" s="305" customFormat="1" hidden="1" outlineLevel="2" x14ac:dyDescent="0.25">
      <c r="A1297" s="278"/>
      <c r="B1297" s="279" t="str">
        <f>C1297&amp;D1297&amp;E1297&amp;F1297</f>
        <v>2100mm2 x up to 820mmDD/GLaverage</v>
      </c>
      <c r="C1297" s="278" t="s">
        <v>557</v>
      </c>
      <c r="D1297" s="278" t="s">
        <v>787</v>
      </c>
      <c r="E1297" s="278" t="s">
        <v>2160</v>
      </c>
      <c r="F1297" s="278" t="s">
        <v>543</v>
      </c>
      <c r="G1297" s="278" t="s">
        <v>5</v>
      </c>
      <c r="H1297" s="310">
        <v>2.4999357409073384</v>
      </c>
      <c r="I1297" s="280">
        <f>$I$2*H1297</f>
        <v>201.54481943194963</v>
      </c>
      <c r="J1297" s="281">
        <f>$J$2*H1297</f>
        <v>228.56912479115798</v>
      </c>
      <c r="K1297" s="282">
        <f>IF(Notes!$B$9="Domestic",I1297, IF(Notes!$B$9="Commercial",J1297))*$K$1296</f>
        <v>228.56912479115798</v>
      </c>
      <c r="L1297" s="283">
        <f>(SUM(O1297:Q1297)+(K1297+SUM(M1297:Q1297))*(INDEX($U$1296:$AB$1296,MATCH(Notes!$C$16,$U$3:$AB$3,0))-100%))*$L$1296</f>
        <v>661.24</v>
      </c>
      <c r="M1297" s="286"/>
      <c r="N1297" s="286"/>
      <c r="O1297" s="311">
        <f>O1268</f>
        <v>661.24</v>
      </c>
      <c r="P1297" s="285"/>
      <c r="Q1297" s="285"/>
      <c r="R1297" s="278"/>
      <c r="S1297" s="278"/>
      <c r="T1297" s="278"/>
    </row>
    <row r="1298" spans="1:20" s="305" customFormat="1" hidden="1" outlineLevel="2" x14ac:dyDescent="0.25">
      <c r="A1298" s="278"/>
      <c r="B1298" s="279" t="str">
        <f t="shared" ref="B1298:B1299" si="514">C1298&amp;D1298&amp;E1298&amp;F1298</f>
        <v>2100mm2 x 821mm to 920mmDD/GLaverage</v>
      </c>
      <c r="C1298" s="278" t="s">
        <v>557</v>
      </c>
      <c r="D1298" s="278" t="s">
        <v>788</v>
      </c>
      <c r="E1298" s="278" t="s">
        <v>2160</v>
      </c>
      <c r="F1298" s="278" t="s">
        <v>543</v>
      </c>
      <c r="G1298" s="278" t="s">
        <v>5</v>
      </c>
      <c r="H1298" s="310">
        <v>3.1498522040868782</v>
      </c>
      <c r="I1298" s="280">
        <f t="shared" ref="I1298:I1299" si="515">$I$2*H1298</f>
        <v>253.94108469348413</v>
      </c>
      <c r="J1298" s="281">
        <f t="shared" ref="J1298:J1299" si="516">$J$2*H1298</f>
        <v>287.99098701966329</v>
      </c>
      <c r="K1298" s="282">
        <f>IF(Notes!$B$9="Domestic",I1298, IF(Notes!$B$9="Commercial",J1298))*$K$1296</f>
        <v>287.99098701966329</v>
      </c>
      <c r="L1298" s="283">
        <f>(SUM(O1298:Q1298)+(K1298+SUM(M1298:Q1298))*(INDEX($U$1296:$AB$1296,MATCH(Notes!$C$16,$U$3:$AB$3,0))-100%))*$L$1296</f>
        <v>950.69499999999994</v>
      </c>
      <c r="M1298" s="286"/>
      <c r="N1298" s="286"/>
      <c r="O1298" s="311">
        <f t="shared" ref="O1298:O1323" si="517">O1269</f>
        <v>950.69499999999994</v>
      </c>
      <c r="P1298" s="285"/>
      <c r="Q1298" s="285"/>
      <c r="R1298" s="278"/>
      <c r="S1298" s="278"/>
      <c r="T1298" s="278"/>
    </row>
    <row r="1299" spans="1:20" s="305" customFormat="1" hidden="1" outlineLevel="2" x14ac:dyDescent="0.25">
      <c r="A1299" s="278"/>
      <c r="B1299" s="279" t="str">
        <f t="shared" si="514"/>
        <v>2100mm2 x 921mm to 1220mmDD/GLaverage</v>
      </c>
      <c r="C1299" s="278" t="s">
        <v>557</v>
      </c>
      <c r="D1299" s="278" t="s">
        <v>789</v>
      </c>
      <c r="E1299" s="278" t="s">
        <v>2160</v>
      </c>
      <c r="F1299" s="278" t="s">
        <v>543</v>
      </c>
      <c r="G1299" s="278" t="s">
        <v>5</v>
      </c>
      <c r="H1299" s="310">
        <v>4.4496851304459586</v>
      </c>
      <c r="I1299" s="280">
        <f t="shared" si="515"/>
        <v>358.73361521655318</v>
      </c>
      <c r="J1299" s="281">
        <f t="shared" si="516"/>
        <v>406.83471147667404</v>
      </c>
      <c r="K1299" s="282">
        <f>IF(Notes!$B$9="Domestic",I1299, IF(Notes!$B$9="Commercial",J1299))*$K$1296</f>
        <v>406.83471147667404</v>
      </c>
      <c r="L1299" s="283">
        <f>(SUM(O1299:Q1299)+(K1299+SUM(M1299:Q1299))*(INDEX($U$1296:$AB$1296,MATCH(Notes!$C$16,$U$3:$AB$3,0))-100%))*$L$1296</f>
        <v>1529.605</v>
      </c>
      <c r="M1299" s="286"/>
      <c r="N1299" s="286"/>
      <c r="O1299" s="311">
        <f t="shared" si="517"/>
        <v>1529.605</v>
      </c>
      <c r="P1299" s="285"/>
      <c r="Q1299" s="285"/>
      <c r="R1299" s="278"/>
      <c r="S1299" s="278"/>
      <c r="T1299" s="278"/>
    </row>
    <row r="1300" spans="1:20" s="305" customFormat="1" hidden="1" outlineLevel="2" x14ac:dyDescent="0.25">
      <c r="A1300" s="278"/>
      <c r="B1300" s="279" t="str">
        <f t="shared" ref="B1300:B1323" si="518">C1300&amp;D1300&amp;E1300&amp;F1300</f>
        <v>2400mm2 x up to 820mmDD/GLaverage</v>
      </c>
      <c r="C1300" s="278" t="s">
        <v>558</v>
      </c>
      <c r="D1300" s="278" t="s">
        <v>787</v>
      </c>
      <c r="E1300" s="278" t="s">
        <v>2160</v>
      </c>
      <c r="F1300" s="278" t="s">
        <v>543</v>
      </c>
      <c r="G1300" s="278" t="s">
        <v>5</v>
      </c>
      <c r="H1300" s="310">
        <v>3.4748104356766483</v>
      </c>
      <c r="I1300" s="280">
        <f t="shared" ref="I1300:I1323" si="519">$I$2*H1300</f>
        <v>280.13921732425138</v>
      </c>
      <c r="J1300" s="281">
        <f t="shared" ref="J1300:J1323" si="520">$J$2*H1300</f>
        <v>317.70191813391597</v>
      </c>
      <c r="K1300" s="282">
        <f>IF(Notes!$B$9="Domestic",I1300, IF(Notes!$B$9="Commercial",J1300))*$K$1296</f>
        <v>317.70191813391597</v>
      </c>
      <c r="L1300" s="283">
        <f>(SUM(O1300:Q1300)+(K1300+SUM(M1300:Q1300))*(INDEX($U$1296:$AB$1296,MATCH(Notes!$C$16,$U$3:$AB$3,0))-100%))*$L$1296</f>
        <v>1095.4225000000001</v>
      </c>
      <c r="M1300" s="286"/>
      <c r="N1300" s="286"/>
      <c r="O1300" s="311">
        <f t="shared" si="517"/>
        <v>1095.4225000000001</v>
      </c>
      <c r="P1300" s="285"/>
      <c r="Q1300" s="285"/>
      <c r="R1300" s="278"/>
      <c r="S1300" s="278"/>
      <c r="T1300" s="278"/>
    </row>
    <row r="1301" spans="1:20" s="305" customFormat="1" hidden="1" outlineLevel="2" x14ac:dyDescent="0.25">
      <c r="A1301" s="278"/>
      <c r="B1301" s="279" t="str">
        <f t="shared" si="518"/>
        <v>2400mm2 x 821mm to 920mmDD/GLaverage</v>
      </c>
      <c r="C1301" s="278" t="s">
        <v>558</v>
      </c>
      <c r="D1301" s="278" t="s">
        <v>788</v>
      </c>
      <c r="E1301" s="278" t="s">
        <v>2160</v>
      </c>
      <c r="F1301" s="278" t="s">
        <v>543</v>
      </c>
      <c r="G1301" s="278" t="s">
        <v>5</v>
      </c>
      <c r="H1301" s="310">
        <v>3.7997686672664184</v>
      </c>
      <c r="I1301" s="280">
        <f t="shared" si="519"/>
        <v>306.33734995501868</v>
      </c>
      <c r="J1301" s="281">
        <f t="shared" si="520"/>
        <v>347.41284924816864</v>
      </c>
      <c r="K1301" s="282">
        <f>IF(Notes!$B$9="Domestic",I1301, IF(Notes!$B$9="Commercial",J1301))*$K$1296</f>
        <v>347.41284924816864</v>
      </c>
      <c r="L1301" s="283">
        <f>(SUM(O1301:Q1301)+(K1301+SUM(M1301:Q1301))*(INDEX($U$1296:$AB$1296,MATCH(Notes!$C$16,$U$3:$AB$3,0))-100%))*$L$1296</f>
        <v>1240.1500000000001</v>
      </c>
      <c r="M1301" s="286"/>
      <c r="N1301" s="286"/>
      <c r="O1301" s="311">
        <f t="shared" si="517"/>
        <v>1240.1500000000001</v>
      </c>
      <c r="P1301" s="285"/>
      <c r="Q1301" s="285"/>
      <c r="R1301" s="278"/>
      <c r="S1301" s="278"/>
      <c r="T1301" s="278"/>
    </row>
    <row r="1302" spans="1:20" s="305" customFormat="1" hidden="1" outlineLevel="2" x14ac:dyDescent="0.25">
      <c r="A1302" s="278"/>
      <c r="B1302" s="279" t="str">
        <f t="shared" si="518"/>
        <v>2400mm2 x 921mm to 1220mmDD/GLaverage</v>
      </c>
      <c r="C1302" s="278" t="s">
        <v>558</v>
      </c>
      <c r="D1302" s="278" t="s">
        <v>789</v>
      </c>
      <c r="E1302" s="278" t="s">
        <v>2160</v>
      </c>
      <c r="F1302" s="278" t="s">
        <v>543</v>
      </c>
      <c r="G1302" s="278" t="s">
        <v>5</v>
      </c>
      <c r="H1302" s="310">
        <v>5.0996015936254979</v>
      </c>
      <c r="I1302" s="280">
        <f t="shared" si="519"/>
        <v>411.12988047808767</v>
      </c>
      <c r="J1302" s="281">
        <f t="shared" si="520"/>
        <v>466.25657370517933</v>
      </c>
      <c r="K1302" s="282">
        <f>IF(Notes!$B$9="Domestic",I1302, IF(Notes!$B$9="Commercial",J1302))*$K$1296</f>
        <v>466.25657370517933</v>
      </c>
      <c r="L1302" s="283">
        <f>(SUM(O1302:Q1302)+(K1302+SUM(M1302:Q1302))*(INDEX($U$1296:$AB$1296,MATCH(Notes!$C$16,$U$3:$AB$3,0))-100%))*$L$1296</f>
        <v>1819.06</v>
      </c>
      <c r="M1302" s="286"/>
      <c r="N1302" s="286"/>
      <c r="O1302" s="311">
        <f t="shared" si="517"/>
        <v>1819.06</v>
      </c>
      <c r="P1302" s="285"/>
      <c r="Q1302" s="285"/>
      <c r="R1302" s="278"/>
      <c r="S1302" s="278"/>
      <c r="T1302" s="278"/>
    </row>
    <row r="1303" spans="1:20" s="305" customFormat="1" hidden="1" outlineLevel="2" x14ac:dyDescent="0.25">
      <c r="A1303" s="278"/>
      <c r="B1303" s="279" t="str">
        <f t="shared" si="518"/>
        <v>2700mm2 x up to 820mmDD/GLaverage</v>
      </c>
      <c r="C1303" s="278" t="s">
        <v>779</v>
      </c>
      <c r="D1303" s="278" t="s">
        <v>787</v>
      </c>
      <c r="E1303" s="278" t="s">
        <v>2160</v>
      </c>
      <c r="F1303" s="278" t="s">
        <v>543</v>
      </c>
      <c r="G1303" s="278" t="s">
        <v>5</v>
      </c>
      <c r="H1303" s="310">
        <v>4.7746433620357278</v>
      </c>
      <c r="I1303" s="280">
        <f t="shared" si="519"/>
        <v>384.93174784732042</v>
      </c>
      <c r="J1303" s="281">
        <f t="shared" si="520"/>
        <v>436.5456425909266</v>
      </c>
      <c r="K1303" s="282">
        <f>IF(Notes!$B$9="Domestic",I1303, IF(Notes!$B$9="Commercial",J1303))*$K$1296</f>
        <v>436.5456425909266</v>
      </c>
      <c r="L1303" s="283">
        <f>(SUM(O1303:Q1303)+(K1303+SUM(M1303:Q1303))*(INDEX($U$1296:$AB$1296,MATCH(Notes!$C$16,$U$3:$AB$3,0))-100%))*$L$1296</f>
        <v>1674.3325</v>
      </c>
      <c r="M1303" s="286"/>
      <c r="N1303" s="286"/>
      <c r="O1303" s="311">
        <f t="shared" si="517"/>
        <v>1674.3325</v>
      </c>
      <c r="P1303" s="285"/>
      <c r="Q1303" s="285"/>
      <c r="R1303" s="278"/>
      <c r="S1303" s="278"/>
      <c r="T1303" s="278"/>
    </row>
    <row r="1304" spans="1:20" s="305" customFormat="1" hidden="1" outlineLevel="2" x14ac:dyDescent="0.25">
      <c r="A1304" s="278"/>
      <c r="B1304" s="279" t="str">
        <f t="shared" si="518"/>
        <v>2700mm2 x 821mm to 920mmDD/GLaverage</v>
      </c>
      <c r="C1304" s="278" t="s">
        <v>779</v>
      </c>
      <c r="D1304" s="278" t="s">
        <v>788</v>
      </c>
      <c r="E1304" s="278" t="s">
        <v>2160</v>
      </c>
      <c r="F1304" s="278" t="s">
        <v>543</v>
      </c>
      <c r="G1304" s="278" t="s">
        <v>5</v>
      </c>
      <c r="H1304" s="310">
        <v>5.0996015936254979</v>
      </c>
      <c r="I1304" s="280">
        <f t="shared" si="519"/>
        <v>411.12988047808767</v>
      </c>
      <c r="J1304" s="281">
        <f t="shared" si="520"/>
        <v>466.25657370517933</v>
      </c>
      <c r="K1304" s="282">
        <f>IF(Notes!$B$9="Domestic",I1304, IF(Notes!$B$9="Commercial",J1304))*$K$1296</f>
        <v>466.25657370517933</v>
      </c>
      <c r="L1304" s="283">
        <f>(SUM(O1304:Q1304)+(K1304+SUM(M1304:Q1304))*(INDEX($U$1296:$AB$1296,MATCH(Notes!$C$16,$U$3:$AB$3,0))-100%))*$L$1296</f>
        <v>1819.06</v>
      </c>
      <c r="M1304" s="286"/>
      <c r="N1304" s="286"/>
      <c r="O1304" s="311">
        <f t="shared" si="517"/>
        <v>1819.06</v>
      </c>
      <c r="P1304" s="285"/>
      <c r="Q1304" s="285"/>
      <c r="R1304" s="278"/>
      <c r="S1304" s="278"/>
      <c r="T1304" s="278"/>
    </row>
    <row r="1305" spans="1:20" s="305" customFormat="1" hidden="1" outlineLevel="2" x14ac:dyDescent="0.25">
      <c r="A1305" s="278"/>
      <c r="B1305" s="279" t="str">
        <f t="shared" si="518"/>
        <v>2700mm2 x 921mm to 1220mmDD/GLaverage</v>
      </c>
      <c r="C1305" s="278" t="s">
        <v>779</v>
      </c>
      <c r="D1305" s="278" t="s">
        <v>789</v>
      </c>
      <c r="E1305" s="278" t="s">
        <v>2160</v>
      </c>
      <c r="F1305" s="278" t="s">
        <v>543</v>
      </c>
      <c r="G1305" s="278" t="s">
        <v>5</v>
      </c>
      <c r="H1305" s="310">
        <v>6.3994345199845784</v>
      </c>
      <c r="I1305" s="280">
        <f t="shared" si="519"/>
        <v>515.92241100115677</v>
      </c>
      <c r="J1305" s="281">
        <f t="shared" si="520"/>
        <v>585.10029816219003</v>
      </c>
      <c r="K1305" s="282">
        <f>IF(Notes!$B$9="Domestic",I1305, IF(Notes!$B$9="Commercial",J1305))*$K$1296</f>
        <v>585.10029816219003</v>
      </c>
      <c r="L1305" s="283">
        <f>(SUM(O1305:Q1305)+(K1305+SUM(M1305:Q1305))*(INDEX($U$1296:$AB$1296,MATCH(Notes!$C$16,$U$3:$AB$3,0))-100%))*$L$1296</f>
        <v>2397.9700000000003</v>
      </c>
      <c r="M1305" s="286"/>
      <c r="N1305" s="286"/>
      <c r="O1305" s="311">
        <f t="shared" si="517"/>
        <v>2397.9700000000003</v>
      </c>
      <c r="P1305" s="285"/>
      <c r="Q1305" s="285"/>
      <c r="R1305" s="278"/>
      <c r="S1305" s="278"/>
      <c r="T1305" s="278"/>
    </row>
    <row r="1306" spans="1:20" s="305" customFormat="1" hidden="1" outlineLevel="2" x14ac:dyDescent="0.25">
      <c r="A1306" s="278"/>
      <c r="B1306" s="279" t="str">
        <f t="shared" si="518"/>
        <v>2100mm2 x up to 820mmDD/GLquality</v>
      </c>
      <c r="C1306" s="278" t="s">
        <v>557</v>
      </c>
      <c r="D1306" s="278" t="s">
        <v>787</v>
      </c>
      <c r="E1306" s="278" t="s">
        <v>2160</v>
      </c>
      <c r="F1306" s="278" t="s">
        <v>544</v>
      </c>
      <c r="G1306" s="278" t="s">
        <v>5</v>
      </c>
      <c r="H1306" s="310">
        <v>2.4999357409073384</v>
      </c>
      <c r="I1306" s="280">
        <f t="shared" si="519"/>
        <v>201.54481943194963</v>
      </c>
      <c r="J1306" s="281">
        <f t="shared" si="520"/>
        <v>228.56912479115798</v>
      </c>
      <c r="K1306" s="282">
        <f>IF(Notes!$B$9="Domestic",I1306, IF(Notes!$B$9="Commercial",J1306))*$K$1296</f>
        <v>228.56912479115798</v>
      </c>
      <c r="L1306" s="283">
        <f>(SUM(O1306:Q1306)+(K1306+SUM(M1306:Q1306))*(INDEX($U$1296:$AB$1296,MATCH(Notes!$C$16,$U$3:$AB$3,0))-100%))*$L$1296</f>
        <v>968.24</v>
      </c>
      <c r="M1306" s="286"/>
      <c r="N1306" s="286"/>
      <c r="O1306" s="311">
        <f t="shared" si="517"/>
        <v>968.24</v>
      </c>
      <c r="P1306" s="285"/>
      <c r="Q1306" s="285"/>
      <c r="R1306" s="278"/>
      <c r="S1306" s="278"/>
      <c r="T1306" s="278"/>
    </row>
    <row r="1307" spans="1:20" s="305" customFormat="1" hidden="1" outlineLevel="2" x14ac:dyDescent="0.25">
      <c r="A1307" s="278"/>
      <c r="B1307" s="279" t="str">
        <f t="shared" si="518"/>
        <v>2100mm2 x 821mm to 920mmDD/GLquality</v>
      </c>
      <c r="C1307" s="278" t="s">
        <v>557</v>
      </c>
      <c r="D1307" s="278" t="s">
        <v>788</v>
      </c>
      <c r="E1307" s="278" t="s">
        <v>2160</v>
      </c>
      <c r="F1307" s="278" t="s">
        <v>544</v>
      </c>
      <c r="G1307" s="278" t="s">
        <v>5</v>
      </c>
      <c r="H1307" s="310">
        <v>3.1498522040868782</v>
      </c>
      <c r="I1307" s="280">
        <f t="shared" si="519"/>
        <v>253.94108469348413</v>
      </c>
      <c r="J1307" s="281">
        <f t="shared" si="520"/>
        <v>287.99098701966329</v>
      </c>
      <c r="K1307" s="282">
        <f>IF(Notes!$B$9="Domestic",I1307, IF(Notes!$B$9="Commercial",J1307))*$K$1296</f>
        <v>287.99098701966329</v>
      </c>
      <c r="L1307" s="283">
        <f>(SUM(O1307:Q1307)+(K1307+SUM(M1307:Q1307))*(INDEX($U$1296:$AB$1296,MATCH(Notes!$C$16,$U$3:$AB$3,0))-100%))*$L$1296</f>
        <v>1257.6949999999999</v>
      </c>
      <c r="M1307" s="286"/>
      <c r="N1307" s="286"/>
      <c r="O1307" s="311">
        <f t="shared" si="517"/>
        <v>1257.6949999999999</v>
      </c>
      <c r="P1307" s="285"/>
      <c r="Q1307" s="285"/>
      <c r="R1307" s="278"/>
      <c r="S1307" s="278"/>
      <c r="T1307" s="278"/>
    </row>
    <row r="1308" spans="1:20" s="305" customFormat="1" hidden="1" outlineLevel="2" x14ac:dyDescent="0.25">
      <c r="A1308" s="278"/>
      <c r="B1308" s="279" t="str">
        <f t="shared" si="518"/>
        <v>2100mm2 x 921mm to 1220mmDD/GLquality</v>
      </c>
      <c r="C1308" s="278" t="s">
        <v>557</v>
      </c>
      <c r="D1308" s="278" t="s">
        <v>789</v>
      </c>
      <c r="E1308" s="278" t="s">
        <v>2160</v>
      </c>
      <c r="F1308" s="278" t="s">
        <v>544</v>
      </c>
      <c r="G1308" s="278" t="s">
        <v>5</v>
      </c>
      <c r="H1308" s="310">
        <v>4.4496851304459586</v>
      </c>
      <c r="I1308" s="280">
        <f t="shared" si="519"/>
        <v>358.73361521655318</v>
      </c>
      <c r="J1308" s="281">
        <f t="shared" si="520"/>
        <v>406.83471147667404</v>
      </c>
      <c r="K1308" s="282">
        <f>IF(Notes!$B$9="Domestic",I1308, IF(Notes!$B$9="Commercial",J1308))*$K$1296</f>
        <v>406.83471147667404</v>
      </c>
      <c r="L1308" s="283">
        <f>(SUM(O1308:Q1308)+(K1308+SUM(M1308:Q1308))*(INDEX($U$1296:$AB$1296,MATCH(Notes!$C$16,$U$3:$AB$3,0))-100%))*$L$1296</f>
        <v>1836.605</v>
      </c>
      <c r="M1308" s="286"/>
      <c r="N1308" s="286"/>
      <c r="O1308" s="311">
        <f t="shared" si="517"/>
        <v>1836.605</v>
      </c>
      <c r="P1308" s="285"/>
      <c r="Q1308" s="285"/>
      <c r="R1308" s="278"/>
      <c r="S1308" s="278"/>
      <c r="T1308" s="278"/>
    </row>
    <row r="1309" spans="1:20" s="305" customFormat="1" hidden="1" outlineLevel="2" x14ac:dyDescent="0.25">
      <c r="A1309" s="278"/>
      <c r="B1309" s="279" t="str">
        <f t="shared" si="518"/>
        <v>2400mm2 x up to 820mmDD/GLquality</v>
      </c>
      <c r="C1309" s="278" t="s">
        <v>558</v>
      </c>
      <c r="D1309" s="278" t="s">
        <v>787</v>
      </c>
      <c r="E1309" s="278" t="s">
        <v>2160</v>
      </c>
      <c r="F1309" s="278" t="s">
        <v>544</v>
      </c>
      <c r="G1309" s="278" t="s">
        <v>5</v>
      </c>
      <c r="H1309" s="310">
        <v>3.4748104356766483</v>
      </c>
      <c r="I1309" s="280">
        <f t="shared" si="519"/>
        <v>280.13921732425138</v>
      </c>
      <c r="J1309" s="281">
        <f t="shared" si="520"/>
        <v>317.70191813391597</v>
      </c>
      <c r="K1309" s="282">
        <f>IF(Notes!$B$9="Domestic",I1309, IF(Notes!$B$9="Commercial",J1309))*$K$1296</f>
        <v>317.70191813391597</v>
      </c>
      <c r="L1309" s="283">
        <f>(SUM(O1309:Q1309)+(K1309+SUM(M1309:Q1309))*(INDEX($U$1296:$AB$1296,MATCH(Notes!$C$16,$U$3:$AB$3,0))-100%))*$L$1296</f>
        <v>1402.4225000000001</v>
      </c>
      <c r="M1309" s="286"/>
      <c r="N1309" s="286"/>
      <c r="O1309" s="311">
        <f t="shared" si="517"/>
        <v>1402.4225000000001</v>
      </c>
      <c r="P1309" s="285"/>
      <c r="Q1309" s="285"/>
      <c r="R1309" s="278"/>
      <c r="S1309" s="278"/>
      <c r="T1309" s="278"/>
    </row>
    <row r="1310" spans="1:20" s="305" customFormat="1" hidden="1" outlineLevel="2" x14ac:dyDescent="0.25">
      <c r="A1310" s="278"/>
      <c r="B1310" s="279" t="str">
        <f t="shared" si="518"/>
        <v>2400mm2 x 821mm to 920mmDD/GLquality</v>
      </c>
      <c r="C1310" s="278" t="s">
        <v>558</v>
      </c>
      <c r="D1310" s="278" t="s">
        <v>788</v>
      </c>
      <c r="E1310" s="278" t="s">
        <v>2160</v>
      </c>
      <c r="F1310" s="278" t="s">
        <v>544</v>
      </c>
      <c r="G1310" s="278" t="s">
        <v>5</v>
      </c>
      <c r="H1310" s="310">
        <v>3.7997686672664184</v>
      </c>
      <c r="I1310" s="280">
        <f t="shared" si="519"/>
        <v>306.33734995501868</v>
      </c>
      <c r="J1310" s="281">
        <f t="shared" si="520"/>
        <v>347.41284924816864</v>
      </c>
      <c r="K1310" s="282">
        <f>IF(Notes!$B$9="Domestic",I1310, IF(Notes!$B$9="Commercial",J1310))*$K$1296</f>
        <v>347.41284924816864</v>
      </c>
      <c r="L1310" s="283">
        <f>(SUM(O1310:Q1310)+(K1310+SUM(M1310:Q1310))*(INDEX($U$1296:$AB$1296,MATCH(Notes!$C$16,$U$3:$AB$3,0))-100%))*$L$1296</f>
        <v>1547.15</v>
      </c>
      <c r="M1310" s="286"/>
      <c r="N1310" s="286"/>
      <c r="O1310" s="311">
        <f t="shared" si="517"/>
        <v>1547.15</v>
      </c>
      <c r="P1310" s="285"/>
      <c r="Q1310" s="285"/>
      <c r="R1310" s="278"/>
      <c r="S1310" s="278"/>
      <c r="T1310" s="278"/>
    </row>
    <row r="1311" spans="1:20" s="305" customFormat="1" hidden="1" outlineLevel="2" x14ac:dyDescent="0.25">
      <c r="A1311" s="278"/>
      <c r="B1311" s="279" t="str">
        <f t="shared" si="518"/>
        <v>2400mm2 x 921mm to 1220mmDD/GLquality</v>
      </c>
      <c r="C1311" s="278" t="s">
        <v>558</v>
      </c>
      <c r="D1311" s="278" t="s">
        <v>789</v>
      </c>
      <c r="E1311" s="278" t="s">
        <v>2160</v>
      </c>
      <c r="F1311" s="278" t="s">
        <v>544</v>
      </c>
      <c r="G1311" s="278" t="s">
        <v>5</v>
      </c>
      <c r="H1311" s="310">
        <v>5.0996015936254979</v>
      </c>
      <c r="I1311" s="280">
        <f t="shared" si="519"/>
        <v>411.12988047808767</v>
      </c>
      <c r="J1311" s="281">
        <f t="shared" si="520"/>
        <v>466.25657370517933</v>
      </c>
      <c r="K1311" s="282">
        <f>IF(Notes!$B$9="Domestic",I1311, IF(Notes!$B$9="Commercial",J1311))*$K$1296</f>
        <v>466.25657370517933</v>
      </c>
      <c r="L1311" s="283">
        <f>(SUM(O1311:Q1311)+(K1311+SUM(M1311:Q1311))*(INDEX($U$1296:$AB$1296,MATCH(Notes!$C$16,$U$3:$AB$3,0))-100%))*$L$1296</f>
        <v>2126.06</v>
      </c>
      <c r="M1311" s="286"/>
      <c r="N1311" s="286"/>
      <c r="O1311" s="311">
        <f t="shared" si="517"/>
        <v>2126.06</v>
      </c>
      <c r="P1311" s="285"/>
      <c r="Q1311" s="285"/>
      <c r="R1311" s="278"/>
      <c r="S1311" s="278"/>
      <c r="T1311" s="278"/>
    </row>
    <row r="1312" spans="1:20" s="305" customFormat="1" hidden="1" outlineLevel="2" x14ac:dyDescent="0.25">
      <c r="A1312" s="278"/>
      <c r="B1312" s="279" t="str">
        <f t="shared" si="518"/>
        <v>2700mm2 x up to 820mmDD/GLquality</v>
      </c>
      <c r="C1312" s="278" t="s">
        <v>779</v>
      </c>
      <c r="D1312" s="278" t="s">
        <v>787</v>
      </c>
      <c r="E1312" s="278" t="s">
        <v>2160</v>
      </c>
      <c r="F1312" s="278" t="s">
        <v>544</v>
      </c>
      <c r="G1312" s="278" t="s">
        <v>5</v>
      </c>
      <c r="H1312" s="310">
        <v>4.7746433620357278</v>
      </c>
      <c r="I1312" s="280">
        <f t="shared" si="519"/>
        <v>384.93174784732042</v>
      </c>
      <c r="J1312" s="281">
        <f t="shared" si="520"/>
        <v>436.5456425909266</v>
      </c>
      <c r="K1312" s="282">
        <f>IF(Notes!$B$9="Domestic",I1312, IF(Notes!$B$9="Commercial",J1312))*$K$1296</f>
        <v>436.5456425909266</v>
      </c>
      <c r="L1312" s="283">
        <f>(SUM(O1312:Q1312)+(K1312+SUM(M1312:Q1312))*(INDEX($U$1296:$AB$1296,MATCH(Notes!$C$16,$U$3:$AB$3,0))-100%))*$L$1296</f>
        <v>1981.3325</v>
      </c>
      <c r="M1312" s="286"/>
      <c r="N1312" s="286"/>
      <c r="O1312" s="311">
        <f t="shared" si="517"/>
        <v>1981.3325</v>
      </c>
      <c r="P1312" s="285"/>
      <c r="Q1312" s="285"/>
      <c r="R1312" s="278"/>
      <c r="S1312" s="278"/>
      <c r="T1312" s="278"/>
    </row>
    <row r="1313" spans="1:28" s="305" customFormat="1" hidden="1" outlineLevel="2" x14ac:dyDescent="0.25">
      <c r="A1313" s="278"/>
      <c r="B1313" s="279" t="str">
        <f t="shared" si="518"/>
        <v>2700mm2 x 821mm to 920mmDD/GLquality</v>
      </c>
      <c r="C1313" s="278" t="s">
        <v>779</v>
      </c>
      <c r="D1313" s="278" t="s">
        <v>788</v>
      </c>
      <c r="E1313" s="278" t="s">
        <v>2160</v>
      </c>
      <c r="F1313" s="278" t="s">
        <v>544</v>
      </c>
      <c r="G1313" s="278" t="s">
        <v>5</v>
      </c>
      <c r="H1313" s="310">
        <v>5.0996015936254979</v>
      </c>
      <c r="I1313" s="280">
        <f t="shared" si="519"/>
        <v>411.12988047808767</v>
      </c>
      <c r="J1313" s="281">
        <f t="shared" si="520"/>
        <v>466.25657370517933</v>
      </c>
      <c r="K1313" s="282">
        <f>IF(Notes!$B$9="Domestic",I1313, IF(Notes!$B$9="Commercial",J1313))*$K$1296</f>
        <v>466.25657370517933</v>
      </c>
      <c r="L1313" s="283">
        <f>(SUM(O1313:Q1313)+(K1313+SUM(M1313:Q1313))*(INDEX($U$1296:$AB$1296,MATCH(Notes!$C$16,$U$3:$AB$3,0))-100%))*$L$1296</f>
        <v>2126.06</v>
      </c>
      <c r="M1313" s="286"/>
      <c r="N1313" s="286"/>
      <c r="O1313" s="311">
        <f t="shared" si="517"/>
        <v>2126.06</v>
      </c>
      <c r="P1313" s="285"/>
      <c r="Q1313" s="285"/>
      <c r="R1313" s="278"/>
      <c r="S1313" s="278"/>
      <c r="T1313" s="278"/>
    </row>
    <row r="1314" spans="1:28" s="305" customFormat="1" hidden="1" outlineLevel="2" x14ac:dyDescent="0.25">
      <c r="A1314" s="278"/>
      <c r="B1314" s="279" t="str">
        <f t="shared" si="518"/>
        <v>2700mm2 x 921mm to 1220mmDD/GLquality</v>
      </c>
      <c r="C1314" s="278" t="s">
        <v>779</v>
      </c>
      <c r="D1314" s="278" t="s">
        <v>789</v>
      </c>
      <c r="E1314" s="278" t="s">
        <v>2160</v>
      </c>
      <c r="F1314" s="278" t="s">
        <v>544</v>
      </c>
      <c r="G1314" s="278" t="s">
        <v>5</v>
      </c>
      <c r="H1314" s="310">
        <v>6.3994345199845784</v>
      </c>
      <c r="I1314" s="280">
        <f t="shared" si="519"/>
        <v>515.92241100115677</v>
      </c>
      <c r="J1314" s="281">
        <f t="shared" si="520"/>
        <v>585.10029816219003</v>
      </c>
      <c r="K1314" s="282">
        <f>IF(Notes!$B$9="Domestic",I1314, IF(Notes!$B$9="Commercial",J1314))*$K$1296</f>
        <v>585.10029816219003</v>
      </c>
      <c r="L1314" s="283">
        <f>(SUM(O1314:Q1314)+(K1314+SUM(M1314:Q1314))*(INDEX($U$1296:$AB$1296,MATCH(Notes!$C$16,$U$3:$AB$3,0))-100%))*$L$1296</f>
        <v>2704.9700000000003</v>
      </c>
      <c r="M1314" s="286"/>
      <c r="N1314" s="286"/>
      <c r="O1314" s="311">
        <f t="shared" si="517"/>
        <v>2704.9700000000003</v>
      </c>
      <c r="P1314" s="285"/>
      <c r="Q1314" s="285"/>
      <c r="R1314" s="278"/>
      <c r="S1314" s="278"/>
      <c r="T1314" s="278"/>
    </row>
    <row r="1315" spans="1:28" s="305" customFormat="1" hidden="1" outlineLevel="2" x14ac:dyDescent="0.25">
      <c r="A1315" s="278"/>
      <c r="B1315" s="279" t="str">
        <f t="shared" si="518"/>
        <v>2100mm2 x up to 820mmDD/GLprestige</v>
      </c>
      <c r="C1315" s="278" t="s">
        <v>557</v>
      </c>
      <c r="D1315" s="278" t="s">
        <v>787</v>
      </c>
      <c r="E1315" s="278" t="s">
        <v>2160</v>
      </c>
      <c r="F1315" s="278" t="s">
        <v>545</v>
      </c>
      <c r="G1315" s="278" t="s">
        <v>5</v>
      </c>
      <c r="H1315" s="310">
        <v>2.4999357409073384</v>
      </c>
      <c r="I1315" s="280">
        <f t="shared" si="519"/>
        <v>201.54481943194963</v>
      </c>
      <c r="J1315" s="281">
        <f t="shared" si="520"/>
        <v>228.56912479115798</v>
      </c>
      <c r="K1315" s="282">
        <f>IF(Notes!$B$9="Domestic",I1315, IF(Notes!$B$9="Commercial",J1315))*$K$1296</f>
        <v>228.56912479115798</v>
      </c>
      <c r="L1315" s="283">
        <f>(SUM(O1315:Q1315)+(K1315+SUM(M1315:Q1315))*(INDEX($U$1296:$AB$1296,MATCH(Notes!$C$16,$U$3:$AB$3,0))-100%))*$L$1296</f>
        <v>1295.77</v>
      </c>
      <c r="M1315" s="286"/>
      <c r="N1315" s="286"/>
      <c r="O1315" s="311">
        <f t="shared" si="517"/>
        <v>1295.77</v>
      </c>
      <c r="P1315" s="285"/>
      <c r="Q1315" s="285"/>
      <c r="R1315" s="278"/>
      <c r="S1315" s="278"/>
      <c r="T1315" s="278"/>
    </row>
    <row r="1316" spans="1:28" s="305" customFormat="1" hidden="1" outlineLevel="2" x14ac:dyDescent="0.25">
      <c r="A1316" s="278"/>
      <c r="B1316" s="279" t="str">
        <f t="shared" si="518"/>
        <v>2100mm2 x 821mm to 920mmDD/GLprestige</v>
      </c>
      <c r="C1316" s="278" t="s">
        <v>557</v>
      </c>
      <c r="D1316" s="278" t="s">
        <v>788</v>
      </c>
      <c r="E1316" s="278" t="s">
        <v>2160</v>
      </c>
      <c r="F1316" s="278" t="s">
        <v>545</v>
      </c>
      <c r="G1316" s="278" t="s">
        <v>5</v>
      </c>
      <c r="H1316" s="310">
        <v>3.1498522040868782</v>
      </c>
      <c r="I1316" s="280">
        <f t="shared" si="519"/>
        <v>253.94108469348413</v>
      </c>
      <c r="J1316" s="281">
        <f t="shared" si="520"/>
        <v>287.99098701966329</v>
      </c>
      <c r="K1316" s="282">
        <f>IF(Notes!$B$9="Domestic",I1316, IF(Notes!$B$9="Commercial",J1316))*$K$1296</f>
        <v>287.99098701966329</v>
      </c>
      <c r="L1316" s="283">
        <f>(SUM(O1316:Q1316)+(K1316+SUM(M1316:Q1316))*(INDEX($U$1296:$AB$1296,MATCH(Notes!$C$16,$U$3:$AB$3,0))-100%))*$L$1296</f>
        <v>1585.2249999999999</v>
      </c>
      <c r="M1316" s="286"/>
      <c r="N1316" s="286"/>
      <c r="O1316" s="311">
        <f t="shared" si="517"/>
        <v>1585.2249999999999</v>
      </c>
      <c r="P1316" s="285"/>
      <c r="Q1316" s="285"/>
      <c r="R1316" s="278"/>
      <c r="S1316" s="278"/>
      <c r="T1316" s="278"/>
    </row>
    <row r="1317" spans="1:28" s="305" customFormat="1" hidden="1" outlineLevel="2" x14ac:dyDescent="0.25">
      <c r="A1317" s="278"/>
      <c r="B1317" s="279" t="str">
        <f t="shared" si="518"/>
        <v>2100mm2 x 921mm to 1220mmDD/GLprestige</v>
      </c>
      <c r="C1317" s="278" t="s">
        <v>557</v>
      </c>
      <c r="D1317" s="278" t="s">
        <v>789</v>
      </c>
      <c r="E1317" s="278" t="s">
        <v>2160</v>
      </c>
      <c r="F1317" s="278" t="s">
        <v>545</v>
      </c>
      <c r="G1317" s="278" t="s">
        <v>5</v>
      </c>
      <c r="H1317" s="310">
        <v>4.4496851304459586</v>
      </c>
      <c r="I1317" s="280">
        <f t="shared" si="519"/>
        <v>358.73361521655318</v>
      </c>
      <c r="J1317" s="281">
        <f t="shared" si="520"/>
        <v>406.83471147667404</v>
      </c>
      <c r="K1317" s="282">
        <f>IF(Notes!$B$9="Domestic",I1317, IF(Notes!$B$9="Commercial",J1317))*$K$1296</f>
        <v>406.83471147667404</v>
      </c>
      <c r="L1317" s="283">
        <f>(SUM(O1317:Q1317)+(K1317+SUM(M1317:Q1317))*(INDEX($U$1296:$AB$1296,MATCH(Notes!$C$16,$U$3:$AB$3,0))-100%))*$L$1296</f>
        <v>2164.1350000000002</v>
      </c>
      <c r="M1317" s="286"/>
      <c r="N1317" s="286"/>
      <c r="O1317" s="311">
        <f t="shared" si="517"/>
        <v>2164.1350000000002</v>
      </c>
      <c r="P1317" s="285"/>
      <c r="Q1317" s="285"/>
      <c r="R1317" s="278"/>
      <c r="S1317" s="278"/>
      <c r="T1317" s="278"/>
    </row>
    <row r="1318" spans="1:28" s="305" customFormat="1" hidden="1" outlineLevel="2" x14ac:dyDescent="0.25">
      <c r="A1318" s="278"/>
      <c r="B1318" s="279" t="str">
        <f t="shared" si="518"/>
        <v>2400mm2 x up to 820mmDD/GLprestige</v>
      </c>
      <c r="C1318" s="278" t="s">
        <v>558</v>
      </c>
      <c r="D1318" s="278" t="s">
        <v>787</v>
      </c>
      <c r="E1318" s="278" t="s">
        <v>2160</v>
      </c>
      <c r="F1318" s="278" t="s">
        <v>545</v>
      </c>
      <c r="G1318" s="278" t="s">
        <v>5</v>
      </c>
      <c r="H1318" s="310">
        <v>3.4748104356766483</v>
      </c>
      <c r="I1318" s="280">
        <f t="shared" si="519"/>
        <v>280.13921732425138</v>
      </c>
      <c r="J1318" s="281">
        <f t="shared" si="520"/>
        <v>317.70191813391597</v>
      </c>
      <c r="K1318" s="282">
        <f>IF(Notes!$B$9="Domestic",I1318, IF(Notes!$B$9="Commercial",J1318))*$K$1296</f>
        <v>317.70191813391597</v>
      </c>
      <c r="L1318" s="283">
        <f>(SUM(O1318:Q1318)+(K1318+SUM(M1318:Q1318))*(INDEX($U$1296:$AB$1296,MATCH(Notes!$C$16,$U$3:$AB$3,0))-100%))*$L$1296</f>
        <v>1729.9524999999999</v>
      </c>
      <c r="M1318" s="286"/>
      <c r="N1318" s="286"/>
      <c r="O1318" s="311">
        <f t="shared" si="517"/>
        <v>1729.9524999999999</v>
      </c>
      <c r="P1318" s="285"/>
      <c r="Q1318" s="285"/>
      <c r="R1318" s="278"/>
      <c r="S1318" s="278"/>
      <c r="T1318" s="278"/>
    </row>
    <row r="1319" spans="1:28" s="305" customFormat="1" hidden="1" outlineLevel="2" x14ac:dyDescent="0.25">
      <c r="A1319" s="278"/>
      <c r="B1319" s="279" t="str">
        <f t="shared" si="518"/>
        <v>2400mm2 x 821mm to 920mmDD/GLprestige</v>
      </c>
      <c r="C1319" s="278" t="s">
        <v>558</v>
      </c>
      <c r="D1319" s="278" t="s">
        <v>788</v>
      </c>
      <c r="E1319" s="278" t="s">
        <v>2160</v>
      </c>
      <c r="F1319" s="278" t="s">
        <v>545</v>
      </c>
      <c r="G1319" s="278" t="s">
        <v>5</v>
      </c>
      <c r="H1319" s="310">
        <v>3.7997686672664184</v>
      </c>
      <c r="I1319" s="280">
        <f t="shared" si="519"/>
        <v>306.33734995501868</v>
      </c>
      <c r="J1319" s="281">
        <f t="shared" si="520"/>
        <v>347.41284924816864</v>
      </c>
      <c r="K1319" s="282">
        <f>IF(Notes!$B$9="Domestic",I1319, IF(Notes!$B$9="Commercial",J1319))*$K$1296</f>
        <v>347.41284924816864</v>
      </c>
      <c r="L1319" s="283">
        <f>(SUM(O1319:Q1319)+(K1319+SUM(M1319:Q1319))*(INDEX($U$1296:$AB$1296,MATCH(Notes!$C$16,$U$3:$AB$3,0))-100%))*$L$1296</f>
        <v>1874.6799999999998</v>
      </c>
      <c r="M1319" s="286"/>
      <c r="N1319" s="286"/>
      <c r="O1319" s="311">
        <f t="shared" si="517"/>
        <v>1874.6799999999998</v>
      </c>
      <c r="P1319" s="285"/>
      <c r="Q1319" s="285"/>
      <c r="R1319" s="278"/>
      <c r="S1319" s="278"/>
      <c r="T1319" s="278"/>
    </row>
    <row r="1320" spans="1:28" s="305" customFormat="1" hidden="1" outlineLevel="2" x14ac:dyDescent="0.25">
      <c r="A1320" s="278"/>
      <c r="B1320" s="279" t="str">
        <f t="shared" si="518"/>
        <v>2400mm2 x 921mm to 1220mmDD/GLprestige</v>
      </c>
      <c r="C1320" s="278" t="s">
        <v>558</v>
      </c>
      <c r="D1320" s="278" t="s">
        <v>789</v>
      </c>
      <c r="E1320" s="278" t="s">
        <v>2160</v>
      </c>
      <c r="F1320" s="278" t="s">
        <v>545</v>
      </c>
      <c r="G1320" s="278" t="s">
        <v>5</v>
      </c>
      <c r="H1320" s="310">
        <v>5.0996015936254979</v>
      </c>
      <c r="I1320" s="280">
        <f t="shared" si="519"/>
        <v>411.12988047808767</v>
      </c>
      <c r="J1320" s="281">
        <f t="shared" si="520"/>
        <v>466.25657370517933</v>
      </c>
      <c r="K1320" s="282">
        <f>IF(Notes!$B$9="Domestic",I1320, IF(Notes!$B$9="Commercial",J1320))*$K$1296</f>
        <v>466.25657370517933</v>
      </c>
      <c r="L1320" s="283">
        <f>(SUM(O1320:Q1320)+(K1320+SUM(M1320:Q1320))*(INDEX($U$1296:$AB$1296,MATCH(Notes!$C$16,$U$3:$AB$3,0))-100%))*$L$1296</f>
        <v>2453.59</v>
      </c>
      <c r="M1320" s="286"/>
      <c r="N1320" s="286"/>
      <c r="O1320" s="311">
        <f t="shared" si="517"/>
        <v>2453.59</v>
      </c>
      <c r="P1320" s="285"/>
      <c r="Q1320" s="285"/>
      <c r="R1320" s="278"/>
      <c r="S1320" s="278"/>
      <c r="T1320" s="278"/>
    </row>
    <row r="1321" spans="1:28" s="305" customFormat="1" hidden="1" outlineLevel="2" x14ac:dyDescent="0.25">
      <c r="A1321" s="278"/>
      <c r="B1321" s="279" t="str">
        <f t="shared" si="518"/>
        <v>2700mm2 x up to 820mmDD/GLprestige</v>
      </c>
      <c r="C1321" s="278" t="s">
        <v>779</v>
      </c>
      <c r="D1321" s="278" t="s">
        <v>787</v>
      </c>
      <c r="E1321" s="278" t="s">
        <v>2160</v>
      </c>
      <c r="F1321" s="278" t="s">
        <v>545</v>
      </c>
      <c r="G1321" s="278" t="s">
        <v>5</v>
      </c>
      <c r="H1321" s="310">
        <v>4.7746433620357278</v>
      </c>
      <c r="I1321" s="280">
        <f t="shared" si="519"/>
        <v>384.93174784732042</v>
      </c>
      <c r="J1321" s="281">
        <f t="shared" si="520"/>
        <v>436.5456425909266</v>
      </c>
      <c r="K1321" s="282">
        <f>IF(Notes!$B$9="Domestic",I1321, IF(Notes!$B$9="Commercial",J1321))*$K$1296</f>
        <v>436.5456425909266</v>
      </c>
      <c r="L1321" s="283">
        <f>(SUM(O1321:Q1321)+(K1321+SUM(M1321:Q1321))*(INDEX($U$1296:$AB$1296,MATCH(Notes!$C$16,$U$3:$AB$3,0))-100%))*$L$1296</f>
        <v>2308.8625000000002</v>
      </c>
      <c r="M1321" s="286"/>
      <c r="N1321" s="286"/>
      <c r="O1321" s="311">
        <f t="shared" si="517"/>
        <v>2308.8625000000002</v>
      </c>
      <c r="P1321" s="285"/>
      <c r="Q1321" s="285"/>
      <c r="R1321" s="278"/>
      <c r="S1321" s="278"/>
      <c r="T1321" s="278"/>
    </row>
    <row r="1322" spans="1:28" s="305" customFormat="1" hidden="1" outlineLevel="2" x14ac:dyDescent="0.25">
      <c r="A1322" s="278"/>
      <c r="B1322" s="279" t="str">
        <f t="shared" si="518"/>
        <v>2700mm2 x 821mm to 920mmDD/GLprestige</v>
      </c>
      <c r="C1322" s="278" t="s">
        <v>779</v>
      </c>
      <c r="D1322" s="278" t="s">
        <v>788</v>
      </c>
      <c r="E1322" s="278" t="s">
        <v>2160</v>
      </c>
      <c r="F1322" s="278" t="s">
        <v>545</v>
      </c>
      <c r="G1322" s="278" t="s">
        <v>5</v>
      </c>
      <c r="H1322" s="310">
        <v>5.0996015936254979</v>
      </c>
      <c r="I1322" s="280">
        <f t="shared" si="519"/>
        <v>411.12988047808767</v>
      </c>
      <c r="J1322" s="281">
        <f t="shared" si="520"/>
        <v>466.25657370517933</v>
      </c>
      <c r="K1322" s="282">
        <f>IF(Notes!$B$9="Domestic",I1322, IF(Notes!$B$9="Commercial",J1322))*$K$1296</f>
        <v>466.25657370517933</v>
      </c>
      <c r="L1322" s="283">
        <f>(SUM(O1322:Q1322)+(K1322+SUM(M1322:Q1322))*(INDEX($U$1296:$AB$1296,MATCH(Notes!$C$16,$U$3:$AB$3,0))-100%))*$L$1296</f>
        <v>2453.59</v>
      </c>
      <c r="M1322" s="286"/>
      <c r="N1322" s="286"/>
      <c r="O1322" s="311">
        <f t="shared" si="517"/>
        <v>2453.59</v>
      </c>
      <c r="P1322" s="285"/>
      <c r="Q1322" s="285"/>
      <c r="R1322" s="278"/>
      <c r="S1322" s="278"/>
      <c r="T1322" s="278"/>
    </row>
    <row r="1323" spans="1:28" s="305" customFormat="1" hidden="1" outlineLevel="2" x14ac:dyDescent="0.25">
      <c r="A1323" s="278"/>
      <c r="B1323" s="279" t="str">
        <f t="shared" si="518"/>
        <v>2700mm2 x 921mm to 1220mmDD/GLprestige</v>
      </c>
      <c r="C1323" s="278" t="s">
        <v>779</v>
      </c>
      <c r="D1323" s="278" t="s">
        <v>789</v>
      </c>
      <c r="E1323" s="278" t="s">
        <v>2160</v>
      </c>
      <c r="F1323" s="278" t="s">
        <v>545</v>
      </c>
      <c r="G1323" s="278" t="s">
        <v>5</v>
      </c>
      <c r="H1323" s="310">
        <v>6.3994345199845784</v>
      </c>
      <c r="I1323" s="280">
        <f t="shared" si="519"/>
        <v>515.92241100115677</v>
      </c>
      <c r="J1323" s="281">
        <f t="shared" si="520"/>
        <v>585.10029816219003</v>
      </c>
      <c r="K1323" s="282">
        <f>IF(Notes!$B$9="Domestic",I1323, IF(Notes!$B$9="Commercial",J1323))*$K$1296</f>
        <v>585.10029816219003</v>
      </c>
      <c r="L1323" s="283">
        <f>(SUM(O1323:Q1323)+(K1323+SUM(M1323:Q1323))*(INDEX($U$1296:$AB$1296,MATCH(Notes!$C$16,$U$3:$AB$3,0))-100%))*$L$1296</f>
        <v>3032.5</v>
      </c>
      <c r="M1323" s="286"/>
      <c r="N1323" s="286"/>
      <c r="O1323" s="311">
        <f t="shared" si="517"/>
        <v>3032.5</v>
      </c>
      <c r="P1323" s="285"/>
      <c r="Q1323" s="285"/>
      <c r="R1323" s="278"/>
      <c r="S1323" s="278"/>
      <c r="T1323" s="278"/>
    </row>
    <row r="1324" spans="1:28" ht="21" hidden="1" outlineLevel="1" collapsed="1" x14ac:dyDescent="0.25">
      <c r="A1324" s="299" t="s">
        <v>2104</v>
      </c>
      <c r="B1324" s="299"/>
      <c r="C1324" s="299"/>
      <c r="D1324" s="299"/>
      <c r="E1324" s="299"/>
      <c r="F1324" s="299"/>
      <c r="G1324" s="299"/>
      <c r="H1324" s="348"/>
      <c r="I1324" s="299"/>
      <c r="J1324" s="299"/>
      <c r="K1324" s="299"/>
      <c r="L1324" s="299"/>
      <c r="M1324" s="299"/>
      <c r="N1324" s="299"/>
      <c r="O1324" s="299"/>
      <c r="P1324" s="299"/>
      <c r="Q1324" s="299"/>
      <c r="R1324" s="299"/>
      <c r="S1324" s="299"/>
      <c r="T1324" s="299"/>
      <c r="U1324" s="299"/>
      <c r="V1324" s="299"/>
      <c r="W1324" s="299"/>
      <c r="X1324" s="299"/>
      <c r="Y1324" s="299"/>
      <c r="Z1324" s="299"/>
      <c r="AA1324" s="299"/>
      <c r="AB1324" s="299"/>
    </row>
    <row r="1325" spans="1:28" ht="15.75" hidden="1" outlineLevel="1" x14ac:dyDescent="0.25">
      <c r="A1325" s="291"/>
      <c r="B1325" s="291"/>
      <c r="C1325" s="291"/>
      <c r="D1325" s="291"/>
      <c r="E1325" s="291"/>
      <c r="F1325" s="291"/>
      <c r="G1325" s="291"/>
      <c r="H1325" s="325"/>
      <c r="I1325" s="291"/>
      <c r="J1325" s="291"/>
      <c r="K1325" s="291">
        <f>K$2</f>
        <v>1</v>
      </c>
      <c r="L1325" s="291">
        <f>L$2</f>
        <v>1</v>
      </c>
      <c r="M1325" s="291"/>
      <c r="N1325" s="291"/>
      <c r="O1325" s="303"/>
      <c r="P1325" s="303"/>
      <c r="Q1325" s="303"/>
      <c r="R1325" s="291"/>
      <c r="S1325" s="291"/>
      <c r="T1325" s="291"/>
      <c r="U1325" s="381">
        <f t="shared" ref="U1325:AB1325" si="521">U$1093</f>
        <v>0.97101449275362317</v>
      </c>
      <c r="V1325" s="381">
        <f t="shared" si="521"/>
        <v>1</v>
      </c>
      <c r="W1325" s="381">
        <f t="shared" si="521"/>
        <v>1.1159420289855073</v>
      </c>
      <c r="X1325" s="381">
        <f t="shared" si="521"/>
        <v>1.0905797101449275</v>
      </c>
      <c r="Y1325" s="381">
        <f t="shared" si="521"/>
        <v>1.1956521739130435</v>
      </c>
      <c r="Z1325" s="381">
        <f t="shared" si="521"/>
        <v>0.89130434782608692</v>
      </c>
      <c r="AA1325" s="381">
        <f t="shared" si="521"/>
        <v>1.3586956521739131</v>
      </c>
      <c r="AB1325" s="381">
        <f t="shared" si="521"/>
        <v>1.0253623188405796</v>
      </c>
    </row>
    <row r="1326" spans="1:28" s="305" customFormat="1" hidden="1" outlineLevel="2" x14ac:dyDescent="0.25">
      <c r="A1326" s="278"/>
      <c r="B1326" s="279" t="str">
        <f>C1326&amp;D1326&amp;E1326&amp;F1326</f>
        <v>2100mmup to 820mmSHDFaverage</v>
      </c>
      <c r="C1326" s="278" t="s">
        <v>557</v>
      </c>
      <c r="D1326" s="278" t="s">
        <v>724</v>
      </c>
      <c r="E1326" s="278" t="s">
        <v>2108</v>
      </c>
      <c r="F1326" s="278" t="s">
        <v>543</v>
      </c>
      <c r="G1326" s="278" t="s">
        <v>5</v>
      </c>
      <c r="H1326" s="310">
        <v>0.24996787045366917</v>
      </c>
      <c r="I1326" s="280">
        <f>$I$2*H1326</f>
        <v>20.152409715974809</v>
      </c>
      <c r="J1326" s="281">
        <f>$J$2*H1326</f>
        <v>22.854562395578974</v>
      </c>
      <c r="K1326" s="282">
        <f>IF(Notes!$B$9="Domestic",I1326, IF(Notes!$B$9="Commercial",J1326))*$K$1325</f>
        <v>22.854562395578974</v>
      </c>
      <c r="L1326" s="283">
        <f>(SUM(O1326:Q1326)+(K1326+SUM(M1326:Q1326))*(INDEX($U$1325:$AB$1325,MATCH(Notes!$C$16,$U$3:$AB$3,0))-100%))*$L$1325</f>
        <v>34.619999999999997</v>
      </c>
      <c r="M1326" s="286"/>
      <c r="N1326" s="286"/>
      <c r="O1326" s="285">
        <v>34.619999999999997</v>
      </c>
      <c r="P1326" s="285"/>
      <c r="Q1326" s="285"/>
      <c r="R1326" s="278"/>
      <c r="S1326" s="278"/>
      <c r="T1326" s="278"/>
    </row>
    <row r="1327" spans="1:28" s="305" customFormat="1" hidden="1" outlineLevel="2" x14ac:dyDescent="0.25">
      <c r="A1327" s="278"/>
      <c r="B1327" s="279" t="str">
        <f t="shared" ref="B1327:B1328" si="522">C1327&amp;D1327&amp;E1327&amp;F1327</f>
        <v>2100mm821mm to 920mmSHDFaverage</v>
      </c>
      <c r="C1327" s="278" t="s">
        <v>557</v>
      </c>
      <c r="D1327" s="278" t="s">
        <v>721</v>
      </c>
      <c r="E1327" s="278" t="s">
        <v>2108</v>
      </c>
      <c r="F1327" s="278" t="s">
        <v>543</v>
      </c>
      <c r="G1327" s="278" t="s">
        <v>5</v>
      </c>
      <c r="H1327" s="310">
        <v>0.33491839095231973</v>
      </c>
      <c r="I1327" s="280">
        <f t="shared" ref="I1327:I1328" si="523">$I$2*H1327</f>
        <v>27.001120678576019</v>
      </c>
      <c r="J1327" s="281">
        <f t="shared" ref="J1327:J1328" si="524">$J$2*H1327</f>
        <v>30.621588484770594</v>
      </c>
      <c r="K1327" s="282">
        <f>IF(Notes!$B$9="Domestic",I1327, IF(Notes!$B$9="Commercial",J1327))*$K$1325</f>
        <v>30.621588484770594</v>
      </c>
      <c r="L1327" s="283">
        <f>(SUM(O1327:Q1327)+(K1327+SUM(M1327:Q1327))*(INDEX($U$1325:$AB$1325,MATCH(Notes!$C$16,$U$3:$AB$3,0))-100%))*$L$1325</f>
        <v>39.89</v>
      </c>
      <c r="M1327" s="286"/>
      <c r="N1327" s="286"/>
      <c r="O1327" s="285">
        <v>39.89</v>
      </c>
      <c r="P1327" s="285"/>
      <c r="Q1327" s="285"/>
      <c r="R1327" s="278"/>
      <c r="S1327" s="278"/>
      <c r="T1327" s="278"/>
    </row>
    <row r="1328" spans="1:28" s="305" customFormat="1" hidden="1" outlineLevel="2" x14ac:dyDescent="0.25">
      <c r="A1328" s="278"/>
      <c r="B1328" s="279" t="str">
        <f t="shared" si="522"/>
        <v>2100mm921mm to 1220mmSHDFaverage</v>
      </c>
      <c r="C1328" s="278" t="s">
        <v>557</v>
      </c>
      <c r="D1328" s="278" t="s">
        <v>722</v>
      </c>
      <c r="E1328" s="278" t="s">
        <v>2108</v>
      </c>
      <c r="F1328" s="278" t="s">
        <v>543</v>
      </c>
      <c r="G1328" s="278" t="s">
        <v>5</v>
      </c>
      <c r="H1328" s="310">
        <v>0.34995501863513689</v>
      </c>
      <c r="I1328" s="280">
        <f t="shared" si="523"/>
        <v>28.213373602364737</v>
      </c>
      <c r="J1328" s="281">
        <f t="shared" si="524"/>
        <v>31.996387353810569</v>
      </c>
      <c r="K1328" s="282">
        <f>IF(Notes!$B$9="Domestic",I1328, IF(Notes!$B$9="Commercial",J1328))*$K$1325</f>
        <v>31.996387353810569</v>
      </c>
      <c r="L1328" s="283">
        <f>(SUM(O1328:Q1328)+(K1328+SUM(M1328:Q1328))*(INDEX($U$1325:$AB$1325,MATCH(Notes!$C$16,$U$3:$AB$3,0))-100%))*$L$1325</f>
        <v>45.18</v>
      </c>
      <c r="M1328" s="286"/>
      <c r="N1328" s="286"/>
      <c r="O1328" s="285">
        <v>45.18</v>
      </c>
      <c r="P1328" s="285"/>
      <c r="Q1328" s="285"/>
      <c r="R1328" s="278"/>
      <c r="S1328" s="278"/>
      <c r="T1328" s="278"/>
    </row>
    <row r="1329" spans="1:20" s="305" customFormat="1" hidden="1" outlineLevel="2" x14ac:dyDescent="0.25">
      <c r="A1329" s="278"/>
      <c r="B1329" s="279" t="str">
        <f t="shared" ref="B1329:B1352" si="525">C1329&amp;D1329&amp;E1329&amp;F1329</f>
        <v>2400mmup to 820mmSHDFaverage</v>
      </c>
      <c r="C1329" s="278" t="s">
        <v>558</v>
      </c>
      <c r="D1329" s="278" t="s">
        <v>724</v>
      </c>
      <c r="E1329" s="278" t="s">
        <v>2108</v>
      </c>
      <c r="F1329" s="278" t="s">
        <v>543</v>
      </c>
      <c r="G1329" s="278" t="s">
        <v>5</v>
      </c>
      <c r="H1329" s="310">
        <v>0.29996144454440304</v>
      </c>
      <c r="I1329" s="280">
        <f t="shared" ref="I1329:I1352" si="526">$I$2*H1329</f>
        <v>24.182891659169776</v>
      </c>
      <c r="J1329" s="281">
        <f t="shared" ref="J1329:J1352" si="527">$J$2*H1329</f>
        <v>27.425474874694771</v>
      </c>
      <c r="K1329" s="282">
        <f>IF(Notes!$B$9="Domestic",I1329, IF(Notes!$B$9="Commercial",J1329))*$K$1325</f>
        <v>27.425474874694771</v>
      </c>
      <c r="L1329" s="283">
        <f>(SUM(O1329:Q1329)+(K1329+SUM(M1329:Q1329))*(INDEX($U$1325:$AB$1325,MATCH(Notes!$C$16,$U$3:$AB$3,0))-100%))*$L$1325</f>
        <v>45.16</v>
      </c>
      <c r="M1329" s="286"/>
      <c r="N1329" s="286"/>
      <c r="O1329" s="285">
        <v>45.16</v>
      </c>
      <c r="P1329" s="285"/>
      <c r="Q1329" s="285"/>
      <c r="R1329" s="278"/>
      <c r="S1329" s="278"/>
      <c r="T1329" s="278"/>
    </row>
    <row r="1330" spans="1:20" s="305" customFormat="1" hidden="1" outlineLevel="2" x14ac:dyDescent="0.25">
      <c r="A1330" s="278"/>
      <c r="B1330" s="279" t="str">
        <f t="shared" si="525"/>
        <v>2400mm821mm to 920mmSHDFaverage</v>
      </c>
      <c r="C1330" s="278" t="s">
        <v>558</v>
      </c>
      <c r="D1330" s="278" t="s">
        <v>721</v>
      </c>
      <c r="E1330" s="278" t="s">
        <v>2108</v>
      </c>
      <c r="F1330" s="278" t="s">
        <v>543</v>
      </c>
      <c r="G1330" s="278" t="s">
        <v>5</v>
      </c>
      <c r="H1330" s="310">
        <v>0.3599794370903483</v>
      </c>
      <c r="I1330" s="280">
        <f t="shared" si="526"/>
        <v>29.021542218223882</v>
      </c>
      <c r="J1330" s="281">
        <f t="shared" si="527"/>
        <v>32.912919933170549</v>
      </c>
      <c r="K1330" s="282">
        <f>IF(Notes!$B$9="Domestic",I1330, IF(Notes!$B$9="Commercial",J1330))*$K$1325</f>
        <v>32.912919933170549</v>
      </c>
      <c r="L1330" s="283">
        <f>(SUM(O1330:Q1330)+(K1330+SUM(M1330:Q1330))*(INDEX($U$1325:$AB$1325,MATCH(Notes!$C$16,$U$3:$AB$3,0))-100%))*$L$1325</f>
        <v>47.8</v>
      </c>
      <c r="M1330" s="286"/>
      <c r="N1330" s="286"/>
      <c r="O1330" s="285">
        <v>47.8</v>
      </c>
      <c r="P1330" s="285"/>
      <c r="Q1330" s="285"/>
      <c r="R1330" s="278"/>
      <c r="S1330" s="278"/>
      <c r="T1330" s="278"/>
    </row>
    <row r="1331" spans="1:20" s="305" customFormat="1" hidden="1" outlineLevel="2" x14ac:dyDescent="0.25">
      <c r="A1331" s="278"/>
      <c r="B1331" s="279" t="str">
        <f t="shared" si="525"/>
        <v>2400mm921mm to 1220mmSHDFaverage</v>
      </c>
      <c r="C1331" s="278" t="s">
        <v>558</v>
      </c>
      <c r="D1331" s="278" t="s">
        <v>722</v>
      </c>
      <c r="E1331" s="278" t="s">
        <v>2108</v>
      </c>
      <c r="F1331" s="278" t="s">
        <v>543</v>
      </c>
      <c r="G1331" s="278" t="s">
        <v>5</v>
      </c>
      <c r="H1331" s="310">
        <v>0.37989975581544788</v>
      </c>
      <c r="I1331" s="280">
        <f t="shared" si="526"/>
        <v>30.62751831384141</v>
      </c>
      <c r="J1331" s="281">
        <f t="shared" si="527"/>
        <v>34.734234674206405</v>
      </c>
      <c r="K1331" s="282">
        <f>IF(Notes!$B$9="Domestic",I1331, IF(Notes!$B$9="Commercial",J1331))*$K$1325</f>
        <v>34.734234674206405</v>
      </c>
      <c r="L1331" s="283">
        <f>(SUM(O1331:Q1331)+(K1331+SUM(M1331:Q1331))*(INDEX($U$1325:$AB$1325,MATCH(Notes!$C$16,$U$3:$AB$3,0))-100%))*$L$1325</f>
        <v>53.09</v>
      </c>
      <c r="M1331" s="286"/>
      <c r="N1331" s="286"/>
      <c r="O1331" s="285">
        <v>53.09</v>
      </c>
      <c r="P1331" s="285"/>
      <c r="Q1331" s="285"/>
      <c r="R1331" s="278"/>
      <c r="S1331" s="278"/>
      <c r="T1331" s="278"/>
    </row>
    <row r="1332" spans="1:20" s="305" customFormat="1" hidden="1" outlineLevel="2" x14ac:dyDescent="0.25">
      <c r="A1332" s="278"/>
      <c r="B1332" s="279" t="str">
        <f t="shared" si="525"/>
        <v>2700mmup to 820mmSHDFaverage</v>
      </c>
      <c r="C1332" s="278" t="s">
        <v>779</v>
      </c>
      <c r="D1332" s="278" t="s">
        <v>724</v>
      </c>
      <c r="E1332" s="278" t="s">
        <v>2108</v>
      </c>
      <c r="F1332" s="278" t="s">
        <v>543</v>
      </c>
      <c r="G1332" s="278" t="s">
        <v>5</v>
      </c>
      <c r="H1332" s="310">
        <v>0.29996144454440304</v>
      </c>
      <c r="I1332" s="280">
        <f t="shared" si="526"/>
        <v>24.182891659169776</v>
      </c>
      <c r="J1332" s="281">
        <f t="shared" si="527"/>
        <v>27.425474874694771</v>
      </c>
      <c r="K1332" s="282">
        <f>IF(Notes!$B$9="Domestic",I1332, IF(Notes!$B$9="Commercial",J1332))*$K$1325</f>
        <v>27.425474874694771</v>
      </c>
      <c r="L1332" s="283">
        <f>(SUM(O1332:Q1332)+(K1332+SUM(M1332:Q1332))*(INDEX($U$1325:$AB$1325,MATCH(Notes!$C$16,$U$3:$AB$3,0))-100%))*$L$1325</f>
        <v>55.699999999999996</v>
      </c>
      <c r="M1332" s="286"/>
      <c r="N1332" s="286"/>
      <c r="O1332" s="311">
        <f>O1329+O1329-O1326</f>
        <v>55.699999999999996</v>
      </c>
      <c r="P1332" s="285"/>
      <c r="Q1332" s="285"/>
      <c r="R1332" s="278"/>
      <c r="S1332" s="278"/>
      <c r="T1332" s="278"/>
    </row>
    <row r="1333" spans="1:20" s="305" customFormat="1" hidden="1" outlineLevel="2" x14ac:dyDescent="0.25">
      <c r="A1333" s="278"/>
      <c r="B1333" s="279" t="str">
        <f t="shared" si="525"/>
        <v>2700mm821mm to 920mmSHDFaverage</v>
      </c>
      <c r="C1333" s="278" t="s">
        <v>779</v>
      </c>
      <c r="D1333" s="278" t="s">
        <v>721</v>
      </c>
      <c r="E1333" s="278" t="s">
        <v>2108</v>
      </c>
      <c r="F1333" s="278" t="s">
        <v>543</v>
      </c>
      <c r="G1333" s="278" t="s">
        <v>5</v>
      </c>
      <c r="H1333" s="310">
        <v>0.3599794370903483</v>
      </c>
      <c r="I1333" s="280">
        <f t="shared" si="526"/>
        <v>29.021542218223882</v>
      </c>
      <c r="J1333" s="281">
        <f t="shared" si="527"/>
        <v>32.912919933170549</v>
      </c>
      <c r="K1333" s="282">
        <f>IF(Notes!$B$9="Domestic",I1333, IF(Notes!$B$9="Commercial",J1333))*$K$1325</f>
        <v>32.912919933170549</v>
      </c>
      <c r="L1333" s="283">
        <f>(SUM(O1333:Q1333)+(K1333+SUM(M1333:Q1333))*(INDEX($U$1325:$AB$1325,MATCH(Notes!$C$16,$U$3:$AB$3,0))-100%))*$L$1325</f>
        <v>55.709999999999994</v>
      </c>
      <c r="M1333" s="286"/>
      <c r="N1333" s="286"/>
      <c r="O1333" s="311">
        <f>O1330+O1330-O1327</f>
        <v>55.709999999999994</v>
      </c>
      <c r="P1333" s="285"/>
      <c r="Q1333" s="285"/>
      <c r="R1333" s="278"/>
      <c r="S1333" s="278"/>
      <c r="T1333" s="278"/>
    </row>
    <row r="1334" spans="1:20" s="305" customFormat="1" hidden="1" outlineLevel="2" x14ac:dyDescent="0.25">
      <c r="A1334" s="278"/>
      <c r="B1334" s="279" t="str">
        <f t="shared" si="525"/>
        <v>2700mm921mm to 1220mmSHDFaverage</v>
      </c>
      <c r="C1334" s="278" t="s">
        <v>779</v>
      </c>
      <c r="D1334" s="278" t="s">
        <v>722</v>
      </c>
      <c r="E1334" s="278" t="s">
        <v>2108</v>
      </c>
      <c r="F1334" s="278" t="s">
        <v>543</v>
      </c>
      <c r="G1334" s="278" t="s">
        <v>5</v>
      </c>
      <c r="H1334" s="310">
        <v>0.37989975581544788</v>
      </c>
      <c r="I1334" s="280">
        <f t="shared" si="526"/>
        <v>30.62751831384141</v>
      </c>
      <c r="J1334" s="281">
        <f t="shared" si="527"/>
        <v>34.734234674206405</v>
      </c>
      <c r="K1334" s="282">
        <f>IF(Notes!$B$9="Domestic",I1334, IF(Notes!$B$9="Commercial",J1334))*$K$1325</f>
        <v>34.734234674206405</v>
      </c>
      <c r="L1334" s="283">
        <f>(SUM(O1334:Q1334)+(K1334+SUM(M1334:Q1334))*(INDEX($U$1325:$AB$1325,MATCH(Notes!$C$16,$U$3:$AB$3,0))-100%))*$L$1325</f>
        <v>61.000000000000007</v>
      </c>
      <c r="M1334" s="286"/>
      <c r="N1334" s="286"/>
      <c r="O1334" s="311">
        <f>O1331+O1331-O1328</f>
        <v>61.000000000000007</v>
      </c>
      <c r="P1334" s="285"/>
      <c r="Q1334" s="285"/>
      <c r="R1334" s="278"/>
      <c r="S1334" s="278"/>
      <c r="T1334" s="278"/>
    </row>
    <row r="1335" spans="1:20" s="305" customFormat="1" hidden="1" outlineLevel="2" x14ac:dyDescent="0.25">
      <c r="A1335" s="278"/>
      <c r="B1335" s="279" t="str">
        <f t="shared" si="525"/>
        <v>2100mmup to 820mmSHDFquality</v>
      </c>
      <c r="C1335" s="278" t="s">
        <v>557</v>
      </c>
      <c r="D1335" s="278" t="s">
        <v>724</v>
      </c>
      <c r="E1335" s="278" t="s">
        <v>2108</v>
      </c>
      <c r="F1335" s="278" t="s">
        <v>544</v>
      </c>
      <c r="G1335" s="278" t="s">
        <v>5</v>
      </c>
      <c r="H1335" s="310">
        <v>0.24996787045366917</v>
      </c>
      <c r="I1335" s="280">
        <f t="shared" si="526"/>
        <v>20.152409715974809</v>
      </c>
      <c r="J1335" s="281">
        <f t="shared" si="527"/>
        <v>22.854562395578974</v>
      </c>
      <c r="K1335" s="282">
        <f>IF(Notes!$B$9="Domestic",I1335, IF(Notes!$B$9="Commercial",J1335))*$K$1325</f>
        <v>22.854562395578974</v>
      </c>
      <c r="L1335" s="283">
        <f>(SUM(O1335:Q1335)+(K1335+SUM(M1335:Q1335))*(INDEX($U$1325:$AB$1325,MATCH(Notes!$C$16,$U$3:$AB$3,0))-100%))*$L$1325</f>
        <v>34.619999999999997</v>
      </c>
      <c r="M1335" s="286"/>
      <c r="N1335" s="286"/>
      <c r="O1335" s="285">
        <v>34.619999999999997</v>
      </c>
      <c r="P1335" s="285"/>
      <c r="Q1335" s="285"/>
      <c r="R1335" s="278"/>
      <c r="S1335" s="278"/>
      <c r="T1335" s="278"/>
    </row>
    <row r="1336" spans="1:20" s="305" customFormat="1" hidden="1" outlineLevel="2" x14ac:dyDescent="0.25">
      <c r="A1336" s="278"/>
      <c r="B1336" s="279" t="str">
        <f t="shared" si="525"/>
        <v>2100mm821mm to 920mmSHDFquality</v>
      </c>
      <c r="C1336" s="278" t="s">
        <v>557</v>
      </c>
      <c r="D1336" s="278" t="s">
        <v>721</v>
      </c>
      <c r="E1336" s="278" t="s">
        <v>2108</v>
      </c>
      <c r="F1336" s="278" t="s">
        <v>544</v>
      </c>
      <c r="G1336" s="278" t="s">
        <v>5</v>
      </c>
      <c r="H1336" s="310">
        <v>0.33491839095231973</v>
      </c>
      <c r="I1336" s="280">
        <f t="shared" si="526"/>
        <v>27.001120678576019</v>
      </c>
      <c r="J1336" s="281">
        <f t="shared" si="527"/>
        <v>30.621588484770594</v>
      </c>
      <c r="K1336" s="282">
        <f>IF(Notes!$B$9="Domestic",I1336, IF(Notes!$B$9="Commercial",J1336))*$K$1325</f>
        <v>30.621588484770594</v>
      </c>
      <c r="L1336" s="283">
        <f>(SUM(O1336:Q1336)+(K1336+SUM(M1336:Q1336))*(INDEX($U$1325:$AB$1325,MATCH(Notes!$C$16,$U$3:$AB$3,0))-100%))*$L$1325</f>
        <v>39.89</v>
      </c>
      <c r="M1336" s="286"/>
      <c r="N1336" s="286"/>
      <c r="O1336" s="285">
        <v>39.89</v>
      </c>
      <c r="P1336" s="285"/>
      <c r="Q1336" s="285"/>
      <c r="R1336" s="278"/>
      <c r="S1336" s="278"/>
      <c r="T1336" s="278"/>
    </row>
    <row r="1337" spans="1:20" s="305" customFormat="1" hidden="1" outlineLevel="2" x14ac:dyDescent="0.25">
      <c r="A1337" s="278"/>
      <c r="B1337" s="279" t="str">
        <f t="shared" si="525"/>
        <v>2100mm921mm to 1220mmSHDFquality</v>
      </c>
      <c r="C1337" s="278" t="s">
        <v>557</v>
      </c>
      <c r="D1337" s="278" t="s">
        <v>722</v>
      </c>
      <c r="E1337" s="278" t="s">
        <v>2108</v>
      </c>
      <c r="F1337" s="278" t="s">
        <v>544</v>
      </c>
      <c r="G1337" s="278" t="s">
        <v>5</v>
      </c>
      <c r="H1337" s="310">
        <v>0.34995501863513689</v>
      </c>
      <c r="I1337" s="280">
        <f t="shared" si="526"/>
        <v>28.213373602364737</v>
      </c>
      <c r="J1337" s="281">
        <f t="shared" si="527"/>
        <v>31.996387353810569</v>
      </c>
      <c r="K1337" s="282">
        <f>IF(Notes!$B$9="Domestic",I1337, IF(Notes!$B$9="Commercial",J1337))*$K$1325</f>
        <v>31.996387353810569</v>
      </c>
      <c r="L1337" s="283">
        <f>(SUM(O1337:Q1337)+(K1337+SUM(M1337:Q1337))*(INDEX($U$1325:$AB$1325,MATCH(Notes!$C$16,$U$3:$AB$3,0))-100%))*$L$1325</f>
        <v>45.18</v>
      </c>
      <c r="M1337" s="286"/>
      <c r="N1337" s="286"/>
      <c r="O1337" s="285">
        <v>45.18</v>
      </c>
      <c r="P1337" s="285"/>
      <c r="Q1337" s="285"/>
      <c r="R1337" s="278"/>
      <c r="S1337" s="278"/>
      <c r="T1337" s="278"/>
    </row>
    <row r="1338" spans="1:20" s="305" customFormat="1" hidden="1" outlineLevel="2" x14ac:dyDescent="0.25">
      <c r="A1338" s="278"/>
      <c r="B1338" s="279" t="str">
        <f t="shared" si="525"/>
        <v>2400mmup to 820mmSHDFquality</v>
      </c>
      <c r="C1338" s="278" t="s">
        <v>558</v>
      </c>
      <c r="D1338" s="278" t="s">
        <v>724</v>
      </c>
      <c r="E1338" s="278" t="s">
        <v>2108</v>
      </c>
      <c r="F1338" s="278" t="s">
        <v>544</v>
      </c>
      <c r="G1338" s="278" t="s">
        <v>5</v>
      </c>
      <c r="H1338" s="310">
        <v>0.29996144454440304</v>
      </c>
      <c r="I1338" s="280">
        <f t="shared" si="526"/>
        <v>24.182891659169776</v>
      </c>
      <c r="J1338" s="281">
        <f t="shared" si="527"/>
        <v>27.425474874694771</v>
      </c>
      <c r="K1338" s="282">
        <f>IF(Notes!$B$9="Domestic",I1338, IF(Notes!$B$9="Commercial",J1338))*$K$1325</f>
        <v>27.425474874694771</v>
      </c>
      <c r="L1338" s="283">
        <f>(SUM(O1338:Q1338)+(K1338+SUM(M1338:Q1338))*(INDEX($U$1325:$AB$1325,MATCH(Notes!$C$16,$U$3:$AB$3,0))-100%))*$L$1325</f>
        <v>45.16</v>
      </c>
      <c r="M1338" s="286"/>
      <c r="N1338" s="286"/>
      <c r="O1338" s="285">
        <v>45.16</v>
      </c>
      <c r="P1338" s="285"/>
      <c r="Q1338" s="285"/>
      <c r="R1338" s="278"/>
      <c r="S1338" s="278"/>
      <c r="T1338" s="278"/>
    </row>
    <row r="1339" spans="1:20" s="305" customFormat="1" hidden="1" outlineLevel="2" x14ac:dyDescent="0.25">
      <c r="A1339" s="278"/>
      <c r="B1339" s="279" t="str">
        <f t="shared" si="525"/>
        <v>2400mm821mm to 920mmSHDFquality</v>
      </c>
      <c r="C1339" s="278" t="s">
        <v>558</v>
      </c>
      <c r="D1339" s="278" t="s">
        <v>721</v>
      </c>
      <c r="E1339" s="278" t="s">
        <v>2108</v>
      </c>
      <c r="F1339" s="278" t="s">
        <v>544</v>
      </c>
      <c r="G1339" s="278" t="s">
        <v>5</v>
      </c>
      <c r="H1339" s="310">
        <v>0.3599794370903483</v>
      </c>
      <c r="I1339" s="280">
        <f t="shared" si="526"/>
        <v>29.021542218223882</v>
      </c>
      <c r="J1339" s="281">
        <f t="shared" si="527"/>
        <v>32.912919933170549</v>
      </c>
      <c r="K1339" s="282">
        <f>IF(Notes!$B$9="Domestic",I1339, IF(Notes!$B$9="Commercial",J1339))*$K$1325</f>
        <v>32.912919933170549</v>
      </c>
      <c r="L1339" s="283">
        <f>(SUM(O1339:Q1339)+(K1339+SUM(M1339:Q1339))*(INDEX($U$1325:$AB$1325,MATCH(Notes!$C$16,$U$3:$AB$3,0))-100%))*$L$1325</f>
        <v>47.8</v>
      </c>
      <c r="M1339" s="286"/>
      <c r="N1339" s="286"/>
      <c r="O1339" s="285">
        <v>47.8</v>
      </c>
      <c r="P1339" s="285"/>
      <c r="Q1339" s="285"/>
      <c r="R1339" s="278"/>
      <c r="S1339" s="278"/>
      <c r="T1339" s="278"/>
    </row>
    <row r="1340" spans="1:20" s="305" customFormat="1" hidden="1" outlineLevel="2" x14ac:dyDescent="0.25">
      <c r="A1340" s="278"/>
      <c r="B1340" s="279" t="str">
        <f t="shared" si="525"/>
        <v>2400mm921mm to 1220mmSHDFquality</v>
      </c>
      <c r="C1340" s="278" t="s">
        <v>558</v>
      </c>
      <c r="D1340" s="278" t="s">
        <v>722</v>
      </c>
      <c r="E1340" s="278" t="s">
        <v>2108</v>
      </c>
      <c r="F1340" s="278" t="s">
        <v>544</v>
      </c>
      <c r="G1340" s="278" t="s">
        <v>5</v>
      </c>
      <c r="H1340" s="310">
        <v>0.37989975581544788</v>
      </c>
      <c r="I1340" s="280">
        <f t="shared" si="526"/>
        <v>30.62751831384141</v>
      </c>
      <c r="J1340" s="281">
        <f t="shared" si="527"/>
        <v>34.734234674206405</v>
      </c>
      <c r="K1340" s="282">
        <f>IF(Notes!$B$9="Domestic",I1340, IF(Notes!$B$9="Commercial",J1340))*$K$1325</f>
        <v>34.734234674206405</v>
      </c>
      <c r="L1340" s="283">
        <f>(SUM(O1340:Q1340)+(K1340+SUM(M1340:Q1340))*(INDEX($U$1325:$AB$1325,MATCH(Notes!$C$16,$U$3:$AB$3,0))-100%))*$L$1325</f>
        <v>53.09</v>
      </c>
      <c r="M1340" s="286"/>
      <c r="N1340" s="286"/>
      <c r="O1340" s="285">
        <v>53.09</v>
      </c>
      <c r="P1340" s="285"/>
      <c r="Q1340" s="285"/>
      <c r="R1340" s="278"/>
      <c r="S1340" s="278"/>
      <c r="T1340" s="278"/>
    </row>
    <row r="1341" spans="1:20" s="305" customFormat="1" hidden="1" outlineLevel="2" x14ac:dyDescent="0.25">
      <c r="A1341" s="278"/>
      <c r="B1341" s="279" t="str">
        <f t="shared" si="525"/>
        <v>2700mmup to 820mmSHDFquality</v>
      </c>
      <c r="C1341" s="278" t="s">
        <v>779</v>
      </c>
      <c r="D1341" s="278" t="s">
        <v>724</v>
      </c>
      <c r="E1341" s="278" t="s">
        <v>2108</v>
      </c>
      <c r="F1341" s="278" t="s">
        <v>544</v>
      </c>
      <c r="G1341" s="278" t="s">
        <v>5</v>
      </c>
      <c r="H1341" s="310">
        <v>0.29996144454440304</v>
      </c>
      <c r="I1341" s="280">
        <f t="shared" si="526"/>
        <v>24.182891659169776</v>
      </c>
      <c r="J1341" s="281">
        <f t="shared" si="527"/>
        <v>27.425474874694771</v>
      </c>
      <c r="K1341" s="282">
        <f>IF(Notes!$B$9="Domestic",I1341, IF(Notes!$B$9="Commercial",J1341))*$K$1325</f>
        <v>27.425474874694771</v>
      </c>
      <c r="L1341" s="283">
        <f>(SUM(O1341:Q1341)+(K1341+SUM(M1341:Q1341))*(INDEX($U$1325:$AB$1325,MATCH(Notes!$C$16,$U$3:$AB$3,0))-100%))*$L$1325</f>
        <v>55.699999999999996</v>
      </c>
      <c r="M1341" s="286"/>
      <c r="N1341" s="286"/>
      <c r="O1341" s="311">
        <f>O1338+O1338-O1335</f>
        <v>55.699999999999996</v>
      </c>
      <c r="P1341" s="285"/>
      <c r="Q1341" s="285"/>
      <c r="R1341" s="278"/>
      <c r="S1341" s="278"/>
      <c r="T1341" s="278"/>
    </row>
    <row r="1342" spans="1:20" s="305" customFormat="1" hidden="1" outlineLevel="2" x14ac:dyDescent="0.25">
      <c r="A1342" s="278"/>
      <c r="B1342" s="279" t="str">
        <f t="shared" si="525"/>
        <v>2700mm821mm to 920mmSHDFquality</v>
      </c>
      <c r="C1342" s="278" t="s">
        <v>779</v>
      </c>
      <c r="D1342" s="278" t="s">
        <v>721</v>
      </c>
      <c r="E1342" s="278" t="s">
        <v>2108</v>
      </c>
      <c r="F1342" s="278" t="s">
        <v>544</v>
      </c>
      <c r="G1342" s="278" t="s">
        <v>5</v>
      </c>
      <c r="H1342" s="310">
        <v>0.3599794370903483</v>
      </c>
      <c r="I1342" s="280">
        <f t="shared" si="526"/>
        <v>29.021542218223882</v>
      </c>
      <c r="J1342" s="281">
        <f t="shared" si="527"/>
        <v>32.912919933170549</v>
      </c>
      <c r="K1342" s="282">
        <f>IF(Notes!$B$9="Domestic",I1342, IF(Notes!$B$9="Commercial",J1342))*$K$1325</f>
        <v>32.912919933170549</v>
      </c>
      <c r="L1342" s="283">
        <f>(SUM(O1342:Q1342)+(K1342+SUM(M1342:Q1342))*(INDEX($U$1325:$AB$1325,MATCH(Notes!$C$16,$U$3:$AB$3,0))-100%))*$L$1325</f>
        <v>55.709999999999994</v>
      </c>
      <c r="M1342" s="286"/>
      <c r="N1342" s="286"/>
      <c r="O1342" s="311">
        <f>O1339+O1339-O1336</f>
        <v>55.709999999999994</v>
      </c>
      <c r="P1342" s="285"/>
      <c r="Q1342" s="285"/>
      <c r="R1342" s="278"/>
      <c r="S1342" s="278"/>
      <c r="T1342" s="278"/>
    </row>
    <row r="1343" spans="1:20" s="305" customFormat="1" hidden="1" outlineLevel="2" x14ac:dyDescent="0.25">
      <c r="A1343" s="278"/>
      <c r="B1343" s="279" t="str">
        <f t="shared" si="525"/>
        <v>2700mm921mm to 1220mmSHDFquality</v>
      </c>
      <c r="C1343" s="278" t="s">
        <v>779</v>
      </c>
      <c r="D1343" s="278" t="s">
        <v>722</v>
      </c>
      <c r="E1343" s="278" t="s">
        <v>2108</v>
      </c>
      <c r="F1343" s="278" t="s">
        <v>544</v>
      </c>
      <c r="G1343" s="278" t="s">
        <v>5</v>
      </c>
      <c r="H1343" s="310">
        <v>0.37989975581544788</v>
      </c>
      <c r="I1343" s="280">
        <f t="shared" si="526"/>
        <v>30.62751831384141</v>
      </c>
      <c r="J1343" s="281">
        <f t="shared" si="527"/>
        <v>34.734234674206405</v>
      </c>
      <c r="K1343" s="282">
        <f>IF(Notes!$B$9="Domestic",I1343, IF(Notes!$B$9="Commercial",J1343))*$K$1325</f>
        <v>34.734234674206405</v>
      </c>
      <c r="L1343" s="283">
        <f>(SUM(O1343:Q1343)+(K1343+SUM(M1343:Q1343))*(INDEX($U$1325:$AB$1325,MATCH(Notes!$C$16,$U$3:$AB$3,0))-100%))*$L$1325</f>
        <v>61.000000000000007</v>
      </c>
      <c r="M1343" s="286"/>
      <c r="N1343" s="286"/>
      <c r="O1343" s="311">
        <f>O1340+O1340-O1337</f>
        <v>61.000000000000007</v>
      </c>
      <c r="P1343" s="285"/>
      <c r="Q1343" s="285"/>
      <c r="R1343" s="278"/>
      <c r="S1343" s="278"/>
      <c r="T1343" s="278"/>
    </row>
    <row r="1344" spans="1:20" s="305" customFormat="1" hidden="1" outlineLevel="2" x14ac:dyDescent="0.25">
      <c r="A1344" s="278"/>
      <c r="B1344" s="279" t="str">
        <f t="shared" si="525"/>
        <v>2100mmup to 820mmSHDFprestige</v>
      </c>
      <c r="C1344" s="278" t="s">
        <v>557</v>
      </c>
      <c r="D1344" s="278" t="s">
        <v>724</v>
      </c>
      <c r="E1344" s="278" t="s">
        <v>2108</v>
      </c>
      <c r="F1344" s="278" t="s">
        <v>545</v>
      </c>
      <c r="G1344" s="278" t="s">
        <v>5</v>
      </c>
      <c r="H1344" s="310">
        <v>0.24996787045366917</v>
      </c>
      <c r="I1344" s="280">
        <f t="shared" si="526"/>
        <v>20.152409715974809</v>
      </c>
      <c r="J1344" s="281">
        <f t="shared" si="527"/>
        <v>22.854562395578974</v>
      </c>
      <c r="K1344" s="282">
        <f>IF(Notes!$B$9="Domestic",I1344, IF(Notes!$B$9="Commercial",J1344))*$K$1325</f>
        <v>22.854562395578974</v>
      </c>
      <c r="L1344" s="283">
        <f>(SUM(O1344:Q1344)+(K1344+SUM(M1344:Q1344))*(INDEX($U$1325:$AB$1325,MATCH(Notes!$C$16,$U$3:$AB$3,0))-100%))*$L$1325</f>
        <v>65.17</v>
      </c>
      <c r="M1344" s="286"/>
      <c r="N1344" s="286"/>
      <c r="O1344" s="285">
        <v>65.17</v>
      </c>
      <c r="P1344" s="285"/>
      <c r="Q1344" s="285"/>
      <c r="R1344" s="278"/>
      <c r="S1344" s="278"/>
      <c r="T1344" s="278"/>
    </row>
    <row r="1345" spans="1:28" s="305" customFormat="1" hidden="1" outlineLevel="2" x14ac:dyDescent="0.25">
      <c r="A1345" s="278"/>
      <c r="B1345" s="279" t="str">
        <f t="shared" si="525"/>
        <v>2100mm821mm to 920mmSHDFprestige</v>
      </c>
      <c r="C1345" s="278" t="s">
        <v>557</v>
      </c>
      <c r="D1345" s="278" t="s">
        <v>721</v>
      </c>
      <c r="E1345" s="278" t="s">
        <v>2108</v>
      </c>
      <c r="F1345" s="278" t="s">
        <v>545</v>
      </c>
      <c r="G1345" s="278" t="s">
        <v>5</v>
      </c>
      <c r="H1345" s="310">
        <v>0.33491839095231973</v>
      </c>
      <c r="I1345" s="280">
        <f t="shared" si="526"/>
        <v>27.001120678576019</v>
      </c>
      <c r="J1345" s="281">
        <f t="shared" si="527"/>
        <v>30.621588484770594</v>
      </c>
      <c r="K1345" s="282">
        <f>IF(Notes!$B$9="Domestic",I1345, IF(Notes!$B$9="Commercial",J1345))*$K$1325</f>
        <v>30.621588484770594</v>
      </c>
      <c r="L1345" s="283">
        <f>(SUM(O1345:Q1345)+(K1345+SUM(M1345:Q1345))*(INDEX($U$1325:$AB$1325,MATCH(Notes!$C$16,$U$3:$AB$3,0))-100%))*$L$1325</f>
        <v>75.33</v>
      </c>
      <c r="M1345" s="286"/>
      <c r="N1345" s="286"/>
      <c r="O1345" s="285">
        <v>75.33</v>
      </c>
      <c r="P1345" s="285"/>
      <c r="Q1345" s="285"/>
      <c r="R1345" s="278"/>
      <c r="S1345" s="278"/>
      <c r="T1345" s="278"/>
    </row>
    <row r="1346" spans="1:28" s="305" customFormat="1" hidden="1" outlineLevel="2" x14ac:dyDescent="0.25">
      <c r="A1346" s="278"/>
      <c r="B1346" s="279" t="str">
        <f t="shared" si="525"/>
        <v>2100mm921mm to 1220mmSHDFprestige</v>
      </c>
      <c r="C1346" s="278" t="s">
        <v>557</v>
      </c>
      <c r="D1346" s="278" t="s">
        <v>722</v>
      </c>
      <c r="E1346" s="278" t="s">
        <v>2108</v>
      </c>
      <c r="F1346" s="278" t="s">
        <v>545</v>
      </c>
      <c r="G1346" s="278" t="s">
        <v>5</v>
      </c>
      <c r="H1346" s="310">
        <v>0.34995501863513689</v>
      </c>
      <c r="I1346" s="280">
        <f t="shared" si="526"/>
        <v>28.213373602364737</v>
      </c>
      <c r="J1346" s="281">
        <f t="shared" si="527"/>
        <v>31.996387353810569</v>
      </c>
      <c r="K1346" s="282">
        <f>IF(Notes!$B$9="Domestic",I1346, IF(Notes!$B$9="Commercial",J1346))*$K$1325</f>
        <v>31.996387353810569</v>
      </c>
      <c r="L1346" s="283">
        <f>(SUM(O1346:Q1346)+(K1346+SUM(M1346:Q1346))*(INDEX($U$1325:$AB$1325,MATCH(Notes!$C$16,$U$3:$AB$3,0))-100%))*$L$1325</f>
        <v>85.51</v>
      </c>
      <c r="M1346" s="286"/>
      <c r="N1346" s="286"/>
      <c r="O1346" s="285">
        <v>85.51</v>
      </c>
      <c r="P1346" s="285"/>
      <c r="Q1346" s="285"/>
      <c r="R1346" s="278"/>
      <c r="S1346" s="278"/>
      <c r="T1346" s="278"/>
    </row>
    <row r="1347" spans="1:28" s="305" customFormat="1" hidden="1" outlineLevel="2" x14ac:dyDescent="0.25">
      <c r="A1347" s="278"/>
      <c r="B1347" s="279" t="str">
        <f t="shared" si="525"/>
        <v>2400mmup to 820mmSHDFprestige</v>
      </c>
      <c r="C1347" s="278" t="s">
        <v>558</v>
      </c>
      <c r="D1347" s="278" t="s">
        <v>724</v>
      </c>
      <c r="E1347" s="278" t="s">
        <v>2108</v>
      </c>
      <c r="F1347" s="278" t="s">
        <v>545</v>
      </c>
      <c r="G1347" s="278" t="s">
        <v>5</v>
      </c>
      <c r="H1347" s="310">
        <v>0.29996144454440304</v>
      </c>
      <c r="I1347" s="280">
        <f t="shared" si="526"/>
        <v>24.182891659169776</v>
      </c>
      <c r="J1347" s="281">
        <f t="shared" si="527"/>
        <v>27.425474874694771</v>
      </c>
      <c r="K1347" s="282">
        <f>IF(Notes!$B$9="Domestic",I1347, IF(Notes!$B$9="Commercial",J1347))*$K$1325</f>
        <v>27.425474874694771</v>
      </c>
      <c r="L1347" s="283">
        <f>(SUM(O1347:Q1347)+(K1347+SUM(M1347:Q1347))*(INDEX($U$1325:$AB$1325,MATCH(Notes!$C$16,$U$3:$AB$3,0))-100%))*$L$1325</f>
        <v>85.49</v>
      </c>
      <c r="M1347" s="286"/>
      <c r="N1347" s="286"/>
      <c r="O1347" s="285">
        <v>85.49</v>
      </c>
      <c r="P1347" s="285"/>
      <c r="Q1347" s="285"/>
      <c r="R1347" s="278"/>
      <c r="S1347" s="278"/>
      <c r="T1347" s="278"/>
    </row>
    <row r="1348" spans="1:28" s="305" customFormat="1" hidden="1" outlineLevel="2" x14ac:dyDescent="0.25">
      <c r="A1348" s="278"/>
      <c r="B1348" s="279" t="str">
        <f t="shared" si="525"/>
        <v>2400mm821mm to 920mmSHDFprestige</v>
      </c>
      <c r="C1348" s="278" t="s">
        <v>558</v>
      </c>
      <c r="D1348" s="278" t="s">
        <v>721</v>
      </c>
      <c r="E1348" s="278" t="s">
        <v>2108</v>
      </c>
      <c r="F1348" s="278" t="s">
        <v>545</v>
      </c>
      <c r="G1348" s="278" t="s">
        <v>5</v>
      </c>
      <c r="H1348" s="310">
        <v>0.3599794370903483</v>
      </c>
      <c r="I1348" s="280">
        <f t="shared" si="526"/>
        <v>29.021542218223882</v>
      </c>
      <c r="J1348" s="281">
        <f t="shared" si="527"/>
        <v>32.912919933170549</v>
      </c>
      <c r="K1348" s="282">
        <f>IF(Notes!$B$9="Domestic",I1348, IF(Notes!$B$9="Commercial",J1348))*$K$1325</f>
        <v>32.912919933170549</v>
      </c>
      <c r="L1348" s="283">
        <f>(SUM(O1348:Q1348)+(K1348+SUM(M1348:Q1348))*(INDEX($U$1325:$AB$1325,MATCH(Notes!$C$16,$U$3:$AB$3,0))-100%))*$L$1325</f>
        <v>90.57</v>
      </c>
      <c r="M1348" s="286"/>
      <c r="N1348" s="286"/>
      <c r="O1348" s="285">
        <v>90.57</v>
      </c>
      <c r="P1348" s="285"/>
      <c r="Q1348" s="285"/>
      <c r="R1348" s="278"/>
      <c r="S1348" s="278"/>
      <c r="T1348" s="278"/>
    </row>
    <row r="1349" spans="1:28" s="305" customFormat="1" hidden="1" outlineLevel="2" x14ac:dyDescent="0.25">
      <c r="A1349" s="278"/>
      <c r="B1349" s="279" t="str">
        <f t="shared" si="525"/>
        <v>2400mm921mm to 1220mmSHDFprestige</v>
      </c>
      <c r="C1349" s="278" t="s">
        <v>558</v>
      </c>
      <c r="D1349" s="278" t="s">
        <v>722</v>
      </c>
      <c r="E1349" s="278" t="s">
        <v>2108</v>
      </c>
      <c r="F1349" s="278" t="s">
        <v>545</v>
      </c>
      <c r="G1349" s="278" t="s">
        <v>5</v>
      </c>
      <c r="H1349" s="310">
        <v>0.37989975581544788</v>
      </c>
      <c r="I1349" s="280">
        <f t="shared" si="526"/>
        <v>30.62751831384141</v>
      </c>
      <c r="J1349" s="281">
        <f t="shared" si="527"/>
        <v>34.734234674206405</v>
      </c>
      <c r="K1349" s="282">
        <f>IF(Notes!$B$9="Domestic",I1349, IF(Notes!$B$9="Commercial",J1349))*$K$1325</f>
        <v>34.734234674206405</v>
      </c>
      <c r="L1349" s="283">
        <f>(SUM(O1349:Q1349)+(K1349+SUM(M1349:Q1349))*(INDEX($U$1325:$AB$1325,MATCH(Notes!$C$16,$U$3:$AB$3,0))-100%))*$L$1325</f>
        <v>100.75</v>
      </c>
      <c r="M1349" s="286"/>
      <c r="N1349" s="286"/>
      <c r="O1349" s="285">
        <v>100.75</v>
      </c>
      <c r="P1349" s="285"/>
      <c r="Q1349" s="285"/>
      <c r="R1349" s="278"/>
      <c r="S1349" s="278"/>
      <c r="T1349" s="278"/>
    </row>
    <row r="1350" spans="1:28" s="305" customFormat="1" hidden="1" outlineLevel="2" x14ac:dyDescent="0.25">
      <c r="A1350" s="278"/>
      <c r="B1350" s="279" t="str">
        <f t="shared" si="525"/>
        <v>2700mmup to 820mmSHDFprestige</v>
      </c>
      <c r="C1350" s="278" t="s">
        <v>779</v>
      </c>
      <c r="D1350" s="278" t="s">
        <v>724</v>
      </c>
      <c r="E1350" s="278" t="s">
        <v>2108</v>
      </c>
      <c r="F1350" s="278" t="s">
        <v>545</v>
      </c>
      <c r="G1350" s="278" t="s">
        <v>5</v>
      </c>
      <c r="H1350" s="310">
        <v>0.29996144454440304</v>
      </c>
      <c r="I1350" s="280">
        <f t="shared" si="526"/>
        <v>24.182891659169776</v>
      </c>
      <c r="J1350" s="281">
        <f t="shared" si="527"/>
        <v>27.425474874694771</v>
      </c>
      <c r="K1350" s="282">
        <f>IF(Notes!$B$9="Domestic",I1350, IF(Notes!$B$9="Commercial",J1350))*$K$1325</f>
        <v>27.425474874694771</v>
      </c>
      <c r="L1350" s="283">
        <f>(SUM(O1350:Q1350)+(K1350+SUM(M1350:Q1350))*(INDEX($U$1325:$AB$1325,MATCH(Notes!$C$16,$U$3:$AB$3,0))-100%))*$L$1325</f>
        <v>105.80999999999999</v>
      </c>
      <c r="M1350" s="286"/>
      <c r="N1350" s="286"/>
      <c r="O1350" s="311">
        <f>O1347+O1347-O1344</f>
        <v>105.80999999999999</v>
      </c>
      <c r="P1350" s="285"/>
      <c r="Q1350" s="285"/>
      <c r="R1350" s="278"/>
      <c r="S1350" s="278"/>
      <c r="T1350" s="278"/>
    </row>
    <row r="1351" spans="1:28" s="305" customFormat="1" hidden="1" outlineLevel="2" x14ac:dyDescent="0.25">
      <c r="A1351" s="278"/>
      <c r="B1351" s="279" t="str">
        <f t="shared" si="525"/>
        <v>2700mm821mm to 920mmSHDFprestige</v>
      </c>
      <c r="C1351" s="278" t="s">
        <v>779</v>
      </c>
      <c r="D1351" s="278" t="s">
        <v>721</v>
      </c>
      <c r="E1351" s="278" t="s">
        <v>2108</v>
      </c>
      <c r="F1351" s="278" t="s">
        <v>545</v>
      </c>
      <c r="G1351" s="278" t="s">
        <v>5</v>
      </c>
      <c r="H1351" s="310">
        <v>0.3599794370903483</v>
      </c>
      <c r="I1351" s="280">
        <f t="shared" si="526"/>
        <v>29.021542218223882</v>
      </c>
      <c r="J1351" s="281">
        <f t="shared" si="527"/>
        <v>32.912919933170549</v>
      </c>
      <c r="K1351" s="282">
        <f>IF(Notes!$B$9="Domestic",I1351, IF(Notes!$B$9="Commercial",J1351))*$K$1325</f>
        <v>32.912919933170549</v>
      </c>
      <c r="L1351" s="283">
        <f>(SUM(O1351:Q1351)+(K1351+SUM(M1351:Q1351))*(INDEX($U$1325:$AB$1325,MATCH(Notes!$C$16,$U$3:$AB$3,0))-100%))*$L$1325</f>
        <v>105.80999999999999</v>
      </c>
      <c r="M1351" s="286"/>
      <c r="N1351" s="286"/>
      <c r="O1351" s="311">
        <f>O1348+O1348-O1345</f>
        <v>105.80999999999999</v>
      </c>
      <c r="P1351" s="285"/>
      <c r="Q1351" s="285"/>
      <c r="R1351" s="278"/>
      <c r="S1351" s="278"/>
      <c r="T1351" s="278"/>
    </row>
    <row r="1352" spans="1:28" s="305" customFormat="1" hidden="1" outlineLevel="2" x14ac:dyDescent="0.25">
      <c r="A1352" s="278"/>
      <c r="B1352" s="279" t="str">
        <f t="shared" si="525"/>
        <v>2700mm921mm to 1220mmSHDFprestige</v>
      </c>
      <c r="C1352" s="278" t="s">
        <v>779</v>
      </c>
      <c r="D1352" s="278" t="s">
        <v>722</v>
      </c>
      <c r="E1352" s="278" t="s">
        <v>2108</v>
      </c>
      <c r="F1352" s="278" t="s">
        <v>545</v>
      </c>
      <c r="G1352" s="278" t="s">
        <v>5</v>
      </c>
      <c r="H1352" s="310">
        <v>0.37989975581544788</v>
      </c>
      <c r="I1352" s="280">
        <f t="shared" si="526"/>
        <v>30.62751831384141</v>
      </c>
      <c r="J1352" s="281">
        <f t="shared" si="527"/>
        <v>34.734234674206405</v>
      </c>
      <c r="K1352" s="282">
        <f>IF(Notes!$B$9="Domestic",I1352, IF(Notes!$B$9="Commercial",J1352))*$K$1325</f>
        <v>34.734234674206405</v>
      </c>
      <c r="L1352" s="283">
        <f>(SUM(O1352:Q1352)+(K1352+SUM(M1352:Q1352))*(INDEX($U$1325:$AB$1325,MATCH(Notes!$C$16,$U$3:$AB$3,0))-100%))*$L$1325</f>
        <v>115.99</v>
      </c>
      <c r="M1352" s="286"/>
      <c r="N1352" s="286"/>
      <c r="O1352" s="311">
        <f>O1349+O1349-O1346</f>
        <v>115.99</v>
      </c>
      <c r="P1352" s="285"/>
      <c r="Q1352" s="285"/>
      <c r="R1352" s="278"/>
      <c r="S1352" s="278"/>
      <c r="T1352" s="278"/>
    </row>
    <row r="1353" spans="1:28" ht="21" hidden="1" outlineLevel="1" collapsed="1" x14ac:dyDescent="0.25">
      <c r="A1353" s="299" t="s">
        <v>2105</v>
      </c>
      <c r="B1353" s="299"/>
      <c r="C1353" s="299"/>
      <c r="D1353" s="299"/>
      <c r="E1353" s="299"/>
      <c r="F1353" s="299"/>
      <c r="G1353" s="299"/>
      <c r="H1353" s="348"/>
      <c r="I1353" s="299"/>
      <c r="J1353" s="299"/>
      <c r="K1353" s="299"/>
      <c r="L1353" s="299"/>
      <c r="M1353" s="299"/>
      <c r="N1353" s="299"/>
      <c r="O1353" s="299"/>
      <c r="P1353" s="299"/>
      <c r="Q1353" s="299"/>
      <c r="R1353" s="299"/>
      <c r="S1353" s="299"/>
      <c r="T1353" s="299"/>
      <c r="U1353" s="299"/>
      <c r="V1353" s="299"/>
      <c r="W1353" s="299"/>
      <c r="X1353" s="299"/>
      <c r="Y1353" s="299"/>
      <c r="Z1353" s="299"/>
      <c r="AA1353" s="299"/>
      <c r="AB1353" s="299"/>
    </row>
    <row r="1354" spans="1:28" ht="15.75" hidden="1" outlineLevel="1" x14ac:dyDescent="0.25">
      <c r="A1354" s="291"/>
      <c r="B1354" s="291"/>
      <c r="C1354" s="291"/>
      <c r="D1354" s="291"/>
      <c r="E1354" s="291"/>
      <c r="F1354" s="291"/>
      <c r="G1354" s="291"/>
      <c r="H1354" s="325"/>
      <c r="I1354" s="291"/>
      <c r="J1354" s="291"/>
      <c r="K1354" s="291">
        <f>K$2</f>
        <v>1</v>
      </c>
      <c r="L1354" s="291">
        <f>L$2</f>
        <v>1</v>
      </c>
      <c r="M1354" s="291"/>
      <c r="N1354" s="291"/>
      <c r="O1354" s="303"/>
      <c r="P1354" s="303"/>
      <c r="Q1354" s="303"/>
      <c r="R1354" s="291"/>
      <c r="S1354" s="291"/>
      <c r="T1354" s="291"/>
      <c r="U1354" s="381">
        <f t="shared" ref="U1354:AB1354" si="528">U$1093</f>
        <v>0.97101449275362317</v>
      </c>
      <c r="V1354" s="381">
        <f t="shared" si="528"/>
        <v>1</v>
      </c>
      <c r="W1354" s="381">
        <f t="shared" si="528"/>
        <v>1.1159420289855073</v>
      </c>
      <c r="X1354" s="381">
        <f t="shared" si="528"/>
        <v>1.0905797101449275</v>
      </c>
      <c r="Y1354" s="381">
        <f t="shared" si="528"/>
        <v>1.1956521739130435</v>
      </c>
      <c r="Z1354" s="381">
        <f t="shared" si="528"/>
        <v>0.89130434782608692</v>
      </c>
      <c r="AA1354" s="381">
        <f t="shared" si="528"/>
        <v>1.3586956521739131</v>
      </c>
      <c r="AB1354" s="381">
        <f t="shared" si="528"/>
        <v>1.0253623188405796</v>
      </c>
    </row>
    <row r="1355" spans="1:28" s="305" customFormat="1" hidden="1" outlineLevel="2" x14ac:dyDescent="0.25">
      <c r="A1355" s="278"/>
      <c r="B1355" s="279" t="str">
        <f>C1355&amp;D1355&amp;E1355&amp;F1355</f>
        <v>2100mm2 x up to 820mmDHDFaverage</v>
      </c>
      <c r="C1355" s="278" t="s">
        <v>557</v>
      </c>
      <c r="D1355" s="278" t="s">
        <v>787</v>
      </c>
      <c r="E1355" s="278" t="s">
        <v>2109</v>
      </c>
      <c r="F1355" s="278" t="s">
        <v>543</v>
      </c>
      <c r="G1355" s="278" t="s">
        <v>5</v>
      </c>
      <c r="H1355" s="310">
        <v>0.33491839095231973</v>
      </c>
      <c r="I1355" s="280">
        <f>$I$2*H1355</f>
        <v>27.001120678576019</v>
      </c>
      <c r="J1355" s="281">
        <f>$J$2*H1355</f>
        <v>30.621588484770594</v>
      </c>
      <c r="K1355" s="282">
        <f>IF(Notes!$B$9="Domestic",I1355, IF(Notes!$B$9="Commercial",J1355))*$K$1354</f>
        <v>30.621588484770594</v>
      </c>
      <c r="L1355" s="283">
        <f>(SUM(O1355:Q1355)+(K1355+SUM(M1355:Q1355))*(INDEX($U$1354:$AB$1354,MATCH(Notes!$C$16,$U$3:$AB$3,0))-100%))*$L$1354</f>
        <v>39.89</v>
      </c>
      <c r="M1355" s="286"/>
      <c r="N1355" s="286"/>
      <c r="O1355" s="285">
        <v>39.89</v>
      </c>
      <c r="P1355" s="285"/>
      <c r="Q1355" s="285"/>
      <c r="R1355" s="278"/>
      <c r="S1355" s="278"/>
      <c r="T1355" s="278"/>
    </row>
    <row r="1356" spans="1:28" s="305" customFormat="1" hidden="1" outlineLevel="2" x14ac:dyDescent="0.25">
      <c r="A1356" s="278"/>
      <c r="B1356" s="279" t="str">
        <f>C1356&amp;D1356&amp;E1356&amp;F1356</f>
        <v>2100mm2 x 821mm to 920mmDHDFaverage</v>
      </c>
      <c r="C1356" s="278" t="s">
        <v>557</v>
      </c>
      <c r="D1356" s="278" t="s">
        <v>788</v>
      </c>
      <c r="E1356" s="278" t="s">
        <v>2109</v>
      </c>
      <c r="F1356" s="278" t="s">
        <v>543</v>
      </c>
      <c r="G1356" s="278" t="s">
        <v>5</v>
      </c>
      <c r="H1356" s="310">
        <v>0.34995501863513689</v>
      </c>
      <c r="I1356" s="280">
        <f t="shared" ref="I1356:I1357" si="529">$I$2*H1356</f>
        <v>28.213373602364737</v>
      </c>
      <c r="J1356" s="281">
        <f t="shared" ref="J1356:J1357" si="530">$J$2*H1356</f>
        <v>31.996387353810569</v>
      </c>
      <c r="K1356" s="282">
        <f>IF(Notes!$B$9="Domestic",I1356, IF(Notes!$B$9="Commercial",J1356))*$K$1354</f>
        <v>31.996387353810569</v>
      </c>
      <c r="L1356" s="283">
        <f>(SUM(O1356:Q1356)+(K1356+SUM(M1356:Q1356))*(INDEX($U$1354:$AB$1354,MATCH(Notes!$C$16,$U$3:$AB$3,0))-100%))*$L$1354</f>
        <v>45.18</v>
      </c>
      <c r="M1356" s="286"/>
      <c r="N1356" s="286"/>
      <c r="O1356" s="285">
        <v>45.18</v>
      </c>
      <c r="P1356" s="285"/>
      <c r="Q1356" s="285"/>
      <c r="R1356" s="278"/>
      <c r="S1356" s="278"/>
      <c r="T1356" s="278"/>
    </row>
    <row r="1357" spans="1:28" s="305" customFormat="1" hidden="1" outlineLevel="2" x14ac:dyDescent="0.25">
      <c r="A1357" s="278"/>
      <c r="B1357" s="279" t="str">
        <f t="shared" ref="B1357" si="531">C1357&amp;D1357&amp;E1357&amp;F1357</f>
        <v>2100mm2 x 921mm to 1220mmDHDFaverage</v>
      </c>
      <c r="C1357" s="278" t="s">
        <v>557</v>
      </c>
      <c r="D1357" s="278" t="s">
        <v>789</v>
      </c>
      <c r="E1357" s="278" t="s">
        <v>2109</v>
      </c>
      <c r="F1357" s="278" t="s">
        <v>543</v>
      </c>
      <c r="G1357" s="278" t="s">
        <v>5</v>
      </c>
      <c r="H1357" s="310">
        <v>0.37989975581544788</v>
      </c>
      <c r="I1357" s="280">
        <f t="shared" si="529"/>
        <v>30.62751831384141</v>
      </c>
      <c r="J1357" s="281">
        <f t="shared" si="530"/>
        <v>34.734234674206405</v>
      </c>
      <c r="K1357" s="282">
        <f>IF(Notes!$B$9="Domestic",I1357, IF(Notes!$B$9="Commercial",J1357))*$K$1354</f>
        <v>34.734234674206405</v>
      </c>
      <c r="L1357" s="283">
        <f>(SUM(O1357:Q1357)+(K1357+SUM(M1357:Q1357))*(INDEX($U$1354:$AB$1354,MATCH(Notes!$C$16,$U$3:$AB$3,0))-100%))*$L$1354</f>
        <v>50.47</v>
      </c>
      <c r="M1357" s="286"/>
      <c r="N1357" s="286"/>
      <c r="O1357" s="285">
        <v>50.47</v>
      </c>
      <c r="P1357" s="285"/>
      <c r="Q1357" s="285"/>
      <c r="R1357" s="278"/>
      <c r="S1357" s="278"/>
      <c r="T1357" s="278"/>
    </row>
    <row r="1358" spans="1:28" s="305" customFormat="1" hidden="1" outlineLevel="2" x14ac:dyDescent="0.25">
      <c r="A1358" s="278"/>
      <c r="B1358" s="279" t="str">
        <f t="shared" ref="B1358:B1381" si="532">C1358&amp;D1358&amp;E1358&amp;F1358</f>
        <v>2400mm2 x up to 820mmDHDFaverage</v>
      </c>
      <c r="C1358" s="278" t="s">
        <v>558</v>
      </c>
      <c r="D1358" s="278" t="s">
        <v>787</v>
      </c>
      <c r="E1358" s="278" t="s">
        <v>2109</v>
      </c>
      <c r="F1358" s="278" t="s">
        <v>543</v>
      </c>
      <c r="G1358" s="278" t="s">
        <v>5</v>
      </c>
      <c r="H1358" s="310">
        <v>0.3599794370903483</v>
      </c>
      <c r="I1358" s="280">
        <f t="shared" ref="I1358:I1381" si="533">$I$2*H1358</f>
        <v>29.021542218223882</v>
      </c>
      <c r="J1358" s="281">
        <f t="shared" ref="J1358:J1381" si="534">$J$2*H1358</f>
        <v>32.912919933170549</v>
      </c>
      <c r="K1358" s="282">
        <f>IF(Notes!$B$9="Domestic",I1358, IF(Notes!$B$9="Commercial",J1358))*$K$1354</f>
        <v>32.912919933170549</v>
      </c>
      <c r="L1358" s="283">
        <f>(SUM(O1358:Q1358)+(K1358+SUM(M1358:Q1358))*(INDEX($U$1354:$AB$1354,MATCH(Notes!$C$16,$U$3:$AB$3,0))-100%))*$L$1354</f>
        <v>47.8</v>
      </c>
      <c r="M1358" s="286"/>
      <c r="N1358" s="286"/>
      <c r="O1358" s="285">
        <v>47.8</v>
      </c>
      <c r="P1358" s="285"/>
      <c r="Q1358" s="285"/>
      <c r="R1358" s="278"/>
      <c r="S1358" s="278"/>
      <c r="T1358" s="278"/>
    </row>
    <row r="1359" spans="1:28" s="305" customFormat="1" hidden="1" outlineLevel="2" x14ac:dyDescent="0.25">
      <c r="A1359" s="278"/>
      <c r="B1359" s="279" t="str">
        <f t="shared" si="532"/>
        <v>2400mm2 x 821mm to 920mmDHDFaverage</v>
      </c>
      <c r="C1359" s="278" t="s">
        <v>558</v>
      </c>
      <c r="D1359" s="278" t="s">
        <v>788</v>
      </c>
      <c r="E1359" s="278" t="s">
        <v>2109</v>
      </c>
      <c r="F1359" s="278" t="s">
        <v>543</v>
      </c>
      <c r="G1359" s="278" t="s">
        <v>5</v>
      </c>
      <c r="H1359" s="310">
        <v>0.37989975581544788</v>
      </c>
      <c r="I1359" s="280">
        <f t="shared" si="533"/>
        <v>30.62751831384141</v>
      </c>
      <c r="J1359" s="281">
        <f t="shared" si="534"/>
        <v>34.734234674206405</v>
      </c>
      <c r="K1359" s="282">
        <f>IF(Notes!$B$9="Domestic",I1359, IF(Notes!$B$9="Commercial",J1359))*$K$1354</f>
        <v>34.734234674206405</v>
      </c>
      <c r="L1359" s="283">
        <f>(SUM(O1359:Q1359)+(K1359+SUM(M1359:Q1359))*(INDEX($U$1354:$AB$1354,MATCH(Notes!$C$16,$U$3:$AB$3,0))-100%))*$L$1354</f>
        <v>53.09</v>
      </c>
      <c r="M1359" s="286"/>
      <c r="N1359" s="286"/>
      <c r="O1359" s="285">
        <v>53.09</v>
      </c>
      <c r="P1359" s="285"/>
      <c r="Q1359" s="285"/>
      <c r="R1359" s="278"/>
      <c r="S1359" s="278"/>
      <c r="T1359" s="278"/>
    </row>
    <row r="1360" spans="1:28" s="305" customFormat="1" hidden="1" outlineLevel="2" x14ac:dyDescent="0.25">
      <c r="A1360" s="278"/>
      <c r="B1360" s="279" t="str">
        <f t="shared" si="532"/>
        <v>2400mm2 x 921mm to 1220mmDHDFaverage</v>
      </c>
      <c r="C1360" s="278" t="s">
        <v>558</v>
      </c>
      <c r="D1360" s="278" t="s">
        <v>789</v>
      </c>
      <c r="E1360" s="278" t="s">
        <v>2109</v>
      </c>
      <c r="F1360" s="278" t="s">
        <v>543</v>
      </c>
      <c r="G1360" s="278" t="s">
        <v>5</v>
      </c>
      <c r="H1360" s="310">
        <v>0.4199974296362935</v>
      </c>
      <c r="I1360" s="280">
        <f t="shared" si="533"/>
        <v>33.86019277727798</v>
      </c>
      <c r="J1360" s="281">
        <f t="shared" si="534"/>
        <v>38.40036499164632</v>
      </c>
      <c r="K1360" s="282">
        <f>IF(Notes!$B$9="Domestic",I1360, IF(Notes!$B$9="Commercial",J1360))*$K$1354</f>
        <v>38.40036499164632</v>
      </c>
      <c r="L1360" s="283">
        <f>(SUM(O1360:Q1360)+(K1360+SUM(M1360:Q1360))*(INDEX($U$1354:$AB$1354,MATCH(Notes!$C$16,$U$3:$AB$3,0))-100%))*$L$1354</f>
        <v>57.06</v>
      </c>
      <c r="M1360" s="286"/>
      <c r="N1360" s="286"/>
      <c r="O1360" s="285">
        <v>57.06</v>
      </c>
      <c r="P1360" s="285"/>
      <c r="Q1360" s="285"/>
      <c r="R1360" s="278"/>
      <c r="S1360" s="278"/>
      <c r="T1360" s="278"/>
    </row>
    <row r="1361" spans="1:20" s="305" customFormat="1" hidden="1" outlineLevel="2" x14ac:dyDescent="0.25">
      <c r="A1361" s="278"/>
      <c r="B1361" s="279" t="str">
        <f t="shared" si="532"/>
        <v>2700mm2 x up to 820mmDHDFaverage</v>
      </c>
      <c r="C1361" s="278" t="s">
        <v>779</v>
      </c>
      <c r="D1361" s="278" t="s">
        <v>787</v>
      </c>
      <c r="E1361" s="278" t="s">
        <v>2109</v>
      </c>
      <c r="F1361" s="278" t="s">
        <v>543</v>
      </c>
      <c r="G1361" s="278" t="s">
        <v>5</v>
      </c>
      <c r="H1361" s="310">
        <v>0.3599794370903483</v>
      </c>
      <c r="I1361" s="280">
        <f t="shared" si="533"/>
        <v>29.021542218223882</v>
      </c>
      <c r="J1361" s="281">
        <f t="shared" si="534"/>
        <v>32.912919933170549</v>
      </c>
      <c r="K1361" s="282">
        <f>IF(Notes!$B$9="Domestic",I1361, IF(Notes!$B$9="Commercial",J1361))*$K$1354</f>
        <v>32.912919933170549</v>
      </c>
      <c r="L1361" s="283">
        <f>(SUM(O1361:Q1361)+(K1361+SUM(M1361:Q1361))*(INDEX($U$1354:$AB$1354,MATCH(Notes!$C$16,$U$3:$AB$3,0))-100%))*$L$1354</f>
        <v>55.709999999999994</v>
      </c>
      <c r="M1361" s="286"/>
      <c r="N1361" s="286"/>
      <c r="O1361" s="311">
        <f>O1358+O1358-O1355</f>
        <v>55.709999999999994</v>
      </c>
      <c r="P1361" s="285"/>
      <c r="Q1361" s="285"/>
      <c r="R1361" s="278"/>
      <c r="S1361" s="278"/>
      <c r="T1361" s="278"/>
    </row>
    <row r="1362" spans="1:20" s="305" customFormat="1" hidden="1" outlineLevel="2" x14ac:dyDescent="0.25">
      <c r="A1362" s="278"/>
      <c r="B1362" s="279" t="str">
        <f t="shared" si="532"/>
        <v>2700mm2 x 821mm to 920mmDHDFaverage</v>
      </c>
      <c r="C1362" s="278" t="s">
        <v>779</v>
      </c>
      <c r="D1362" s="278" t="s">
        <v>788</v>
      </c>
      <c r="E1362" s="278" t="s">
        <v>2109</v>
      </c>
      <c r="F1362" s="278" t="s">
        <v>543</v>
      </c>
      <c r="G1362" s="278" t="s">
        <v>5</v>
      </c>
      <c r="H1362" s="310">
        <v>0.37989975581544788</v>
      </c>
      <c r="I1362" s="280">
        <f t="shared" si="533"/>
        <v>30.62751831384141</v>
      </c>
      <c r="J1362" s="281">
        <f t="shared" si="534"/>
        <v>34.734234674206405</v>
      </c>
      <c r="K1362" s="282">
        <f>IF(Notes!$B$9="Domestic",I1362, IF(Notes!$B$9="Commercial",J1362))*$K$1354</f>
        <v>34.734234674206405</v>
      </c>
      <c r="L1362" s="283">
        <f>(SUM(O1362:Q1362)+(K1362+SUM(M1362:Q1362))*(INDEX($U$1354:$AB$1354,MATCH(Notes!$C$16,$U$3:$AB$3,0))-100%))*$L$1354</f>
        <v>61.000000000000007</v>
      </c>
      <c r="M1362" s="286"/>
      <c r="N1362" s="286"/>
      <c r="O1362" s="311">
        <f>O1359+O1359-O1356</f>
        <v>61.000000000000007</v>
      </c>
      <c r="P1362" s="285"/>
      <c r="Q1362" s="285"/>
      <c r="R1362" s="278"/>
      <c r="S1362" s="278"/>
      <c r="T1362" s="278"/>
    </row>
    <row r="1363" spans="1:20" s="305" customFormat="1" hidden="1" outlineLevel="2" x14ac:dyDescent="0.25">
      <c r="A1363" s="278"/>
      <c r="B1363" s="279" t="str">
        <f t="shared" si="532"/>
        <v>2700mm2 x 921mm to 1220mmDHDFaverage</v>
      </c>
      <c r="C1363" s="278" t="s">
        <v>779</v>
      </c>
      <c r="D1363" s="278" t="s">
        <v>789</v>
      </c>
      <c r="E1363" s="278" t="s">
        <v>2109</v>
      </c>
      <c r="F1363" s="278" t="s">
        <v>543</v>
      </c>
      <c r="G1363" s="278" t="s">
        <v>5</v>
      </c>
      <c r="H1363" s="310">
        <v>0.4199974296362935</v>
      </c>
      <c r="I1363" s="280">
        <f t="shared" si="533"/>
        <v>33.86019277727798</v>
      </c>
      <c r="J1363" s="281">
        <f t="shared" si="534"/>
        <v>38.40036499164632</v>
      </c>
      <c r="K1363" s="282">
        <f>IF(Notes!$B$9="Domestic",I1363, IF(Notes!$B$9="Commercial",J1363))*$K$1354</f>
        <v>38.40036499164632</v>
      </c>
      <c r="L1363" s="283">
        <f>(SUM(O1363:Q1363)+(K1363+SUM(M1363:Q1363))*(INDEX($U$1354:$AB$1354,MATCH(Notes!$C$16,$U$3:$AB$3,0))-100%))*$L$1354</f>
        <v>63.650000000000006</v>
      </c>
      <c r="M1363" s="286"/>
      <c r="N1363" s="286"/>
      <c r="O1363" s="311">
        <f>O1360+O1360-O1357</f>
        <v>63.650000000000006</v>
      </c>
      <c r="P1363" s="285"/>
      <c r="Q1363" s="285"/>
      <c r="R1363" s="278"/>
      <c r="S1363" s="278"/>
      <c r="T1363" s="278"/>
    </row>
    <row r="1364" spans="1:20" s="305" customFormat="1" hidden="1" outlineLevel="2" x14ac:dyDescent="0.25">
      <c r="A1364" s="278"/>
      <c r="B1364" s="279" t="str">
        <f t="shared" si="532"/>
        <v>2100mm2 x up to 820mmDHDFquality</v>
      </c>
      <c r="C1364" s="278" t="s">
        <v>557</v>
      </c>
      <c r="D1364" s="278" t="s">
        <v>787</v>
      </c>
      <c r="E1364" s="278" t="s">
        <v>2109</v>
      </c>
      <c r="F1364" s="278" t="s">
        <v>544</v>
      </c>
      <c r="G1364" s="278" t="s">
        <v>5</v>
      </c>
      <c r="H1364" s="310">
        <v>0.33491839095231973</v>
      </c>
      <c r="I1364" s="280">
        <f t="shared" si="533"/>
        <v>27.001120678576019</v>
      </c>
      <c r="J1364" s="281">
        <f t="shared" si="534"/>
        <v>30.621588484770594</v>
      </c>
      <c r="K1364" s="282">
        <f>IF(Notes!$B$9="Domestic",I1364, IF(Notes!$B$9="Commercial",J1364))*$K$1354</f>
        <v>30.621588484770594</v>
      </c>
      <c r="L1364" s="283">
        <f>(SUM(O1364:Q1364)+(K1364+SUM(M1364:Q1364))*(INDEX($U$1354:$AB$1354,MATCH(Notes!$C$16,$U$3:$AB$3,0))-100%))*$L$1354</f>
        <v>39.89</v>
      </c>
      <c r="M1364" s="286"/>
      <c r="N1364" s="286"/>
      <c r="O1364" s="285">
        <v>39.89</v>
      </c>
      <c r="P1364" s="285"/>
      <c r="Q1364" s="285"/>
      <c r="R1364" s="278"/>
      <c r="S1364" s="278"/>
      <c r="T1364" s="278"/>
    </row>
    <row r="1365" spans="1:20" s="305" customFormat="1" hidden="1" outlineLevel="2" x14ac:dyDescent="0.25">
      <c r="A1365" s="278"/>
      <c r="B1365" s="279" t="str">
        <f t="shared" si="532"/>
        <v>2100mm2 x 821mm to 920mmDHDFquality</v>
      </c>
      <c r="C1365" s="278" t="s">
        <v>557</v>
      </c>
      <c r="D1365" s="278" t="s">
        <v>788</v>
      </c>
      <c r="E1365" s="278" t="s">
        <v>2109</v>
      </c>
      <c r="F1365" s="278" t="s">
        <v>544</v>
      </c>
      <c r="G1365" s="278" t="s">
        <v>5</v>
      </c>
      <c r="H1365" s="310">
        <v>0.34995501863513689</v>
      </c>
      <c r="I1365" s="280">
        <f t="shared" si="533"/>
        <v>28.213373602364737</v>
      </c>
      <c r="J1365" s="281">
        <f t="shared" si="534"/>
        <v>31.996387353810569</v>
      </c>
      <c r="K1365" s="282">
        <f>IF(Notes!$B$9="Domestic",I1365, IF(Notes!$B$9="Commercial",J1365))*$K$1354</f>
        <v>31.996387353810569</v>
      </c>
      <c r="L1365" s="283">
        <f>(SUM(O1365:Q1365)+(K1365+SUM(M1365:Q1365))*(INDEX($U$1354:$AB$1354,MATCH(Notes!$C$16,$U$3:$AB$3,0))-100%))*$L$1354</f>
        <v>45.18</v>
      </c>
      <c r="M1365" s="286"/>
      <c r="N1365" s="286"/>
      <c r="O1365" s="285">
        <v>45.18</v>
      </c>
      <c r="P1365" s="285"/>
      <c r="Q1365" s="285"/>
      <c r="R1365" s="278"/>
      <c r="S1365" s="278"/>
      <c r="T1365" s="278"/>
    </row>
    <row r="1366" spans="1:20" s="305" customFormat="1" hidden="1" outlineLevel="2" x14ac:dyDescent="0.25">
      <c r="A1366" s="278"/>
      <c r="B1366" s="279" t="str">
        <f t="shared" si="532"/>
        <v>2100mm2 x 921mm to 1220mmDHDFquality</v>
      </c>
      <c r="C1366" s="278" t="s">
        <v>557</v>
      </c>
      <c r="D1366" s="278" t="s">
        <v>789</v>
      </c>
      <c r="E1366" s="278" t="s">
        <v>2109</v>
      </c>
      <c r="F1366" s="278" t="s">
        <v>544</v>
      </c>
      <c r="G1366" s="278" t="s">
        <v>5</v>
      </c>
      <c r="H1366" s="310">
        <v>0.37989975581544788</v>
      </c>
      <c r="I1366" s="280">
        <f t="shared" si="533"/>
        <v>30.62751831384141</v>
      </c>
      <c r="J1366" s="281">
        <f t="shared" si="534"/>
        <v>34.734234674206405</v>
      </c>
      <c r="K1366" s="282">
        <f>IF(Notes!$B$9="Domestic",I1366, IF(Notes!$B$9="Commercial",J1366))*$K$1354</f>
        <v>34.734234674206405</v>
      </c>
      <c r="L1366" s="283">
        <f>(SUM(O1366:Q1366)+(K1366+SUM(M1366:Q1366))*(INDEX($U$1354:$AB$1354,MATCH(Notes!$C$16,$U$3:$AB$3,0))-100%))*$L$1354</f>
        <v>50.47</v>
      </c>
      <c r="M1366" s="286"/>
      <c r="N1366" s="286"/>
      <c r="O1366" s="285">
        <v>50.47</v>
      </c>
      <c r="P1366" s="285"/>
      <c r="Q1366" s="285"/>
      <c r="R1366" s="278"/>
      <c r="S1366" s="278"/>
      <c r="T1366" s="278"/>
    </row>
    <row r="1367" spans="1:20" s="305" customFormat="1" hidden="1" outlineLevel="2" x14ac:dyDescent="0.25">
      <c r="A1367" s="278"/>
      <c r="B1367" s="279" t="str">
        <f t="shared" si="532"/>
        <v>2400mm2 x up to 820mmDHDFquality</v>
      </c>
      <c r="C1367" s="278" t="s">
        <v>558</v>
      </c>
      <c r="D1367" s="278" t="s">
        <v>787</v>
      </c>
      <c r="E1367" s="278" t="s">
        <v>2109</v>
      </c>
      <c r="F1367" s="278" t="s">
        <v>544</v>
      </c>
      <c r="G1367" s="278" t="s">
        <v>5</v>
      </c>
      <c r="H1367" s="310">
        <v>0.3599794370903483</v>
      </c>
      <c r="I1367" s="280">
        <f t="shared" si="533"/>
        <v>29.021542218223882</v>
      </c>
      <c r="J1367" s="281">
        <f t="shared" si="534"/>
        <v>32.912919933170549</v>
      </c>
      <c r="K1367" s="282">
        <f>IF(Notes!$B$9="Domestic",I1367, IF(Notes!$B$9="Commercial",J1367))*$K$1354</f>
        <v>32.912919933170549</v>
      </c>
      <c r="L1367" s="283">
        <f>(SUM(O1367:Q1367)+(K1367+SUM(M1367:Q1367))*(INDEX($U$1354:$AB$1354,MATCH(Notes!$C$16,$U$3:$AB$3,0))-100%))*$L$1354</f>
        <v>47.8</v>
      </c>
      <c r="M1367" s="286"/>
      <c r="N1367" s="286"/>
      <c r="O1367" s="285">
        <v>47.8</v>
      </c>
      <c r="P1367" s="285"/>
      <c r="Q1367" s="285"/>
      <c r="R1367" s="278"/>
      <c r="S1367" s="278"/>
      <c r="T1367" s="278"/>
    </row>
    <row r="1368" spans="1:20" s="305" customFormat="1" hidden="1" outlineLevel="2" x14ac:dyDescent="0.25">
      <c r="A1368" s="278"/>
      <c r="B1368" s="279" t="str">
        <f t="shared" si="532"/>
        <v>2400mm2 x 821mm to 920mmDHDFquality</v>
      </c>
      <c r="C1368" s="278" t="s">
        <v>558</v>
      </c>
      <c r="D1368" s="278" t="s">
        <v>788</v>
      </c>
      <c r="E1368" s="278" t="s">
        <v>2109</v>
      </c>
      <c r="F1368" s="278" t="s">
        <v>544</v>
      </c>
      <c r="G1368" s="278" t="s">
        <v>5</v>
      </c>
      <c r="H1368" s="310">
        <v>0.37989975581544788</v>
      </c>
      <c r="I1368" s="280">
        <f t="shared" si="533"/>
        <v>30.62751831384141</v>
      </c>
      <c r="J1368" s="281">
        <f t="shared" si="534"/>
        <v>34.734234674206405</v>
      </c>
      <c r="K1368" s="282">
        <f>IF(Notes!$B$9="Domestic",I1368, IF(Notes!$B$9="Commercial",J1368))*$K$1354</f>
        <v>34.734234674206405</v>
      </c>
      <c r="L1368" s="283">
        <f>(SUM(O1368:Q1368)+(K1368+SUM(M1368:Q1368))*(INDEX($U$1354:$AB$1354,MATCH(Notes!$C$16,$U$3:$AB$3,0))-100%))*$L$1354</f>
        <v>53.09</v>
      </c>
      <c r="M1368" s="286"/>
      <c r="N1368" s="286"/>
      <c r="O1368" s="285">
        <v>53.09</v>
      </c>
      <c r="P1368" s="285"/>
      <c r="Q1368" s="285"/>
      <c r="R1368" s="278"/>
      <c r="S1368" s="278"/>
      <c r="T1368" s="278"/>
    </row>
    <row r="1369" spans="1:20" s="305" customFormat="1" hidden="1" outlineLevel="2" x14ac:dyDescent="0.25">
      <c r="A1369" s="278"/>
      <c r="B1369" s="279" t="str">
        <f t="shared" si="532"/>
        <v>2400mm2 x 921mm to 1220mmDHDFquality</v>
      </c>
      <c r="C1369" s="278" t="s">
        <v>558</v>
      </c>
      <c r="D1369" s="278" t="s">
        <v>789</v>
      </c>
      <c r="E1369" s="278" t="s">
        <v>2109</v>
      </c>
      <c r="F1369" s="278" t="s">
        <v>544</v>
      </c>
      <c r="G1369" s="278" t="s">
        <v>5</v>
      </c>
      <c r="H1369" s="310">
        <v>0.4199974296362935</v>
      </c>
      <c r="I1369" s="280">
        <f t="shared" si="533"/>
        <v>33.86019277727798</v>
      </c>
      <c r="J1369" s="281">
        <f t="shared" si="534"/>
        <v>38.40036499164632</v>
      </c>
      <c r="K1369" s="282">
        <f>IF(Notes!$B$9="Domestic",I1369, IF(Notes!$B$9="Commercial",J1369))*$K$1354</f>
        <v>38.40036499164632</v>
      </c>
      <c r="L1369" s="283">
        <f>(SUM(O1369:Q1369)+(K1369+SUM(M1369:Q1369))*(INDEX($U$1354:$AB$1354,MATCH(Notes!$C$16,$U$3:$AB$3,0))-100%))*$L$1354</f>
        <v>57.06</v>
      </c>
      <c r="M1369" s="286"/>
      <c r="N1369" s="286"/>
      <c r="O1369" s="285">
        <v>57.06</v>
      </c>
      <c r="P1369" s="285"/>
      <c r="Q1369" s="285"/>
      <c r="R1369" s="278"/>
      <c r="S1369" s="278"/>
      <c r="T1369" s="278"/>
    </row>
    <row r="1370" spans="1:20" s="305" customFormat="1" hidden="1" outlineLevel="2" x14ac:dyDescent="0.25">
      <c r="A1370" s="278"/>
      <c r="B1370" s="279" t="str">
        <f t="shared" si="532"/>
        <v>2700mm2 x up to 820mmDHDFquality</v>
      </c>
      <c r="C1370" s="278" t="s">
        <v>779</v>
      </c>
      <c r="D1370" s="278" t="s">
        <v>787</v>
      </c>
      <c r="E1370" s="278" t="s">
        <v>2109</v>
      </c>
      <c r="F1370" s="278" t="s">
        <v>544</v>
      </c>
      <c r="G1370" s="278" t="s">
        <v>5</v>
      </c>
      <c r="H1370" s="310">
        <v>0.3599794370903483</v>
      </c>
      <c r="I1370" s="280">
        <f t="shared" si="533"/>
        <v>29.021542218223882</v>
      </c>
      <c r="J1370" s="281">
        <f t="shared" si="534"/>
        <v>32.912919933170549</v>
      </c>
      <c r="K1370" s="282">
        <f>IF(Notes!$B$9="Domestic",I1370, IF(Notes!$B$9="Commercial",J1370))*$K$1354</f>
        <v>32.912919933170549</v>
      </c>
      <c r="L1370" s="283">
        <f>(SUM(O1370:Q1370)+(K1370+SUM(M1370:Q1370))*(INDEX($U$1354:$AB$1354,MATCH(Notes!$C$16,$U$3:$AB$3,0))-100%))*$L$1354</f>
        <v>55.709999999999994</v>
      </c>
      <c r="M1370" s="286"/>
      <c r="N1370" s="286"/>
      <c r="O1370" s="311">
        <f>O1367+O1367-O1364</f>
        <v>55.709999999999994</v>
      </c>
      <c r="P1370" s="285"/>
      <c r="Q1370" s="285"/>
      <c r="R1370" s="278"/>
      <c r="S1370" s="278"/>
      <c r="T1370" s="278"/>
    </row>
    <row r="1371" spans="1:20" s="305" customFormat="1" hidden="1" outlineLevel="2" x14ac:dyDescent="0.25">
      <c r="A1371" s="278"/>
      <c r="B1371" s="279" t="str">
        <f t="shared" si="532"/>
        <v>2700mm2 x 821mm to 920mmDHDFquality</v>
      </c>
      <c r="C1371" s="278" t="s">
        <v>779</v>
      </c>
      <c r="D1371" s="278" t="s">
        <v>788</v>
      </c>
      <c r="E1371" s="278" t="s">
        <v>2109</v>
      </c>
      <c r="F1371" s="278" t="s">
        <v>544</v>
      </c>
      <c r="G1371" s="278" t="s">
        <v>5</v>
      </c>
      <c r="H1371" s="310">
        <v>0.37989975581544788</v>
      </c>
      <c r="I1371" s="280">
        <f t="shared" si="533"/>
        <v>30.62751831384141</v>
      </c>
      <c r="J1371" s="281">
        <f t="shared" si="534"/>
        <v>34.734234674206405</v>
      </c>
      <c r="K1371" s="282">
        <f>IF(Notes!$B$9="Domestic",I1371, IF(Notes!$B$9="Commercial",J1371))*$K$1354</f>
        <v>34.734234674206405</v>
      </c>
      <c r="L1371" s="283">
        <f>(SUM(O1371:Q1371)+(K1371+SUM(M1371:Q1371))*(INDEX($U$1354:$AB$1354,MATCH(Notes!$C$16,$U$3:$AB$3,0))-100%))*$L$1354</f>
        <v>61.000000000000007</v>
      </c>
      <c r="M1371" s="286"/>
      <c r="N1371" s="286"/>
      <c r="O1371" s="311">
        <f>O1368+O1368-O1365</f>
        <v>61.000000000000007</v>
      </c>
      <c r="P1371" s="285"/>
      <c r="Q1371" s="285"/>
      <c r="R1371" s="278"/>
      <c r="S1371" s="278"/>
      <c r="T1371" s="278"/>
    </row>
    <row r="1372" spans="1:20" s="305" customFormat="1" hidden="1" outlineLevel="2" x14ac:dyDescent="0.25">
      <c r="A1372" s="278"/>
      <c r="B1372" s="279" t="str">
        <f t="shared" si="532"/>
        <v>2700mm2 x 921mm to 1220mmDHDFquality</v>
      </c>
      <c r="C1372" s="278" t="s">
        <v>779</v>
      </c>
      <c r="D1372" s="278" t="s">
        <v>789</v>
      </c>
      <c r="E1372" s="278" t="s">
        <v>2109</v>
      </c>
      <c r="F1372" s="278" t="s">
        <v>544</v>
      </c>
      <c r="G1372" s="278" t="s">
        <v>5</v>
      </c>
      <c r="H1372" s="310">
        <v>0.4199974296362935</v>
      </c>
      <c r="I1372" s="280">
        <f t="shared" si="533"/>
        <v>33.86019277727798</v>
      </c>
      <c r="J1372" s="281">
        <f t="shared" si="534"/>
        <v>38.40036499164632</v>
      </c>
      <c r="K1372" s="282">
        <f>IF(Notes!$B$9="Domestic",I1372, IF(Notes!$B$9="Commercial",J1372))*$K$1354</f>
        <v>38.40036499164632</v>
      </c>
      <c r="L1372" s="283">
        <f>(SUM(O1372:Q1372)+(K1372+SUM(M1372:Q1372))*(INDEX($U$1354:$AB$1354,MATCH(Notes!$C$16,$U$3:$AB$3,0))-100%))*$L$1354</f>
        <v>63.650000000000006</v>
      </c>
      <c r="M1372" s="286"/>
      <c r="N1372" s="286"/>
      <c r="O1372" s="311">
        <f>O1369+O1369-O1366</f>
        <v>63.650000000000006</v>
      </c>
      <c r="P1372" s="285"/>
      <c r="Q1372" s="285"/>
      <c r="R1372" s="278"/>
      <c r="S1372" s="278"/>
      <c r="T1372" s="278"/>
    </row>
    <row r="1373" spans="1:20" s="305" customFormat="1" hidden="1" outlineLevel="2" x14ac:dyDescent="0.25">
      <c r="A1373" s="278"/>
      <c r="B1373" s="279" t="str">
        <f t="shared" si="532"/>
        <v>2100mm2 x up to 820mmDHDFprestige</v>
      </c>
      <c r="C1373" s="278" t="s">
        <v>557</v>
      </c>
      <c r="D1373" s="278" t="s">
        <v>787</v>
      </c>
      <c r="E1373" s="278" t="s">
        <v>2109</v>
      </c>
      <c r="F1373" s="278" t="s">
        <v>545</v>
      </c>
      <c r="G1373" s="278" t="s">
        <v>5</v>
      </c>
      <c r="H1373" s="310">
        <v>0.33491839095231973</v>
      </c>
      <c r="I1373" s="280">
        <f t="shared" si="533"/>
        <v>27.001120678576019</v>
      </c>
      <c r="J1373" s="281">
        <f t="shared" si="534"/>
        <v>30.621588484770594</v>
      </c>
      <c r="K1373" s="282">
        <f>IF(Notes!$B$9="Domestic",I1373, IF(Notes!$B$9="Commercial",J1373))*$K$1354</f>
        <v>30.621588484770594</v>
      </c>
      <c r="L1373" s="283">
        <f>(SUM(O1373:Q1373)+(K1373+SUM(M1373:Q1373))*(INDEX($U$1354:$AB$1354,MATCH(Notes!$C$16,$U$3:$AB$3,0))-100%))*$L$1354</f>
        <v>75.33</v>
      </c>
      <c r="M1373" s="286"/>
      <c r="N1373" s="286"/>
      <c r="O1373" s="285">
        <v>75.33</v>
      </c>
      <c r="P1373" s="285"/>
      <c r="Q1373" s="285"/>
      <c r="R1373" s="278"/>
      <c r="S1373" s="278"/>
      <c r="T1373" s="278"/>
    </row>
    <row r="1374" spans="1:20" s="305" customFormat="1" hidden="1" outlineLevel="2" x14ac:dyDescent="0.25">
      <c r="A1374" s="278"/>
      <c r="B1374" s="279" t="str">
        <f t="shared" si="532"/>
        <v>2100mm2 x 821mm to 920mmDHDFprestige</v>
      </c>
      <c r="C1374" s="278" t="s">
        <v>557</v>
      </c>
      <c r="D1374" s="278" t="s">
        <v>788</v>
      </c>
      <c r="E1374" s="278" t="s">
        <v>2109</v>
      </c>
      <c r="F1374" s="278" t="s">
        <v>545</v>
      </c>
      <c r="G1374" s="278" t="s">
        <v>5</v>
      </c>
      <c r="H1374" s="310">
        <v>0.34995501863513689</v>
      </c>
      <c r="I1374" s="280">
        <f t="shared" si="533"/>
        <v>28.213373602364737</v>
      </c>
      <c r="J1374" s="281">
        <f t="shared" si="534"/>
        <v>31.996387353810569</v>
      </c>
      <c r="K1374" s="282">
        <f>IF(Notes!$B$9="Domestic",I1374, IF(Notes!$B$9="Commercial",J1374))*$K$1354</f>
        <v>31.996387353810569</v>
      </c>
      <c r="L1374" s="283">
        <f>(SUM(O1374:Q1374)+(K1374+SUM(M1374:Q1374))*(INDEX($U$1354:$AB$1354,MATCH(Notes!$C$16,$U$3:$AB$3,0))-100%))*$L$1354</f>
        <v>85.51</v>
      </c>
      <c r="M1374" s="286"/>
      <c r="N1374" s="286"/>
      <c r="O1374" s="285">
        <v>85.51</v>
      </c>
      <c r="P1374" s="285"/>
      <c r="Q1374" s="285"/>
      <c r="R1374" s="278"/>
      <c r="S1374" s="278"/>
      <c r="T1374" s="278"/>
    </row>
    <row r="1375" spans="1:20" s="305" customFormat="1" hidden="1" outlineLevel="2" x14ac:dyDescent="0.25">
      <c r="A1375" s="278"/>
      <c r="B1375" s="279" t="str">
        <f t="shared" si="532"/>
        <v>2100mm2 x 921mm to 1220mmDHDFprestige</v>
      </c>
      <c r="C1375" s="278" t="s">
        <v>557</v>
      </c>
      <c r="D1375" s="278" t="s">
        <v>789</v>
      </c>
      <c r="E1375" s="278" t="s">
        <v>2109</v>
      </c>
      <c r="F1375" s="278" t="s">
        <v>545</v>
      </c>
      <c r="G1375" s="278" t="s">
        <v>5</v>
      </c>
      <c r="H1375" s="310">
        <v>0.37989975581544788</v>
      </c>
      <c r="I1375" s="280">
        <f t="shared" si="533"/>
        <v>30.62751831384141</v>
      </c>
      <c r="J1375" s="281">
        <f t="shared" si="534"/>
        <v>34.734234674206405</v>
      </c>
      <c r="K1375" s="282">
        <f>IF(Notes!$B$9="Domestic",I1375, IF(Notes!$B$9="Commercial",J1375))*$K$1354</f>
        <v>34.734234674206405</v>
      </c>
      <c r="L1375" s="283">
        <f>(SUM(O1375:Q1375)+(K1375+SUM(M1375:Q1375))*(INDEX($U$1354:$AB$1354,MATCH(Notes!$C$16,$U$3:$AB$3,0))-100%))*$L$1354</f>
        <v>95.69</v>
      </c>
      <c r="M1375" s="286"/>
      <c r="N1375" s="286"/>
      <c r="O1375" s="285">
        <v>95.69</v>
      </c>
      <c r="P1375" s="285"/>
      <c r="Q1375" s="285"/>
      <c r="R1375" s="278"/>
      <c r="S1375" s="278"/>
      <c r="T1375" s="278"/>
    </row>
    <row r="1376" spans="1:20" s="305" customFormat="1" hidden="1" outlineLevel="2" x14ac:dyDescent="0.25">
      <c r="A1376" s="278"/>
      <c r="B1376" s="279" t="str">
        <f t="shared" si="532"/>
        <v>2400mm2 x up to 820mmDHDFprestige</v>
      </c>
      <c r="C1376" s="278" t="s">
        <v>558</v>
      </c>
      <c r="D1376" s="278" t="s">
        <v>787</v>
      </c>
      <c r="E1376" s="278" t="s">
        <v>2109</v>
      </c>
      <c r="F1376" s="278" t="s">
        <v>545</v>
      </c>
      <c r="G1376" s="278" t="s">
        <v>5</v>
      </c>
      <c r="H1376" s="310">
        <v>0.3599794370903483</v>
      </c>
      <c r="I1376" s="280">
        <f t="shared" si="533"/>
        <v>29.021542218223882</v>
      </c>
      <c r="J1376" s="281">
        <f t="shared" si="534"/>
        <v>32.912919933170549</v>
      </c>
      <c r="K1376" s="282">
        <f>IF(Notes!$B$9="Domestic",I1376, IF(Notes!$B$9="Commercial",J1376))*$K$1354</f>
        <v>32.912919933170549</v>
      </c>
      <c r="L1376" s="283">
        <f>(SUM(O1376:Q1376)+(K1376+SUM(M1376:Q1376))*(INDEX($U$1354:$AB$1354,MATCH(Notes!$C$16,$U$3:$AB$3,0))-100%))*$L$1354</f>
        <v>90.57</v>
      </c>
      <c r="M1376" s="286"/>
      <c r="N1376" s="286"/>
      <c r="O1376" s="285">
        <v>90.57</v>
      </c>
      <c r="P1376" s="285"/>
      <c r="Q1376" s="285"/>
      <c r="R1376" s="278"/>
      <c r="S1376" s="278"/>
      <c r="T1376" s="278"/>
    </row>
    <row r="1377" spans="1:28" s="305" customFormat="1" hidden="1" outlineLevel="2" x14ac:dyDescent="0.25">
      <c r="A1377" s="278"/>
      <c r="B1377" s="279" t="str">
        <f t="shared" si="532"/>
        <v>2400mm2 x 821mm to 920mmDHDFprestige</v>
      </c>
      <c r="C1377" s="278" t="s">
        <v>558</v>
      </c>
      <c r="D1377" s="278" t="s">
        <v>788</v>
      </c>
      <c r="E1377" s="278" t="s">
        <v>2109</v>
      </c>
      <c r="F1377" s="278" t="s">
        <v>545</v>
      </c>
      <c r="G1377" s="278" t="s">
        <v>5</v>
      </c>
      <c r="H1377" s="310">
        <v>0.37989975581544788</v>
      </c>
      <c r="I1377" s="280">
        <f t="shared" si="533"/>
        <v>30.62751831384141</v>
      </c>
      <c r="J1377" s="281">
        <f t="shared" si="534"/>
        <v>34.734234674206405</v>
      </c>
      <c r="K1377" s="282">
        <f>IF(Notes!$B$9="Domestic",I1377, IF(Notes!$B$9="Commercial",J1377))*$K$1354</f>
        <v>34.734234674206405</v>
      </c>
      <c r="L1377" s="283">
        <f>(SUM(O1377:Q1377)+(K1377+SUM(M1377:Q1377))*(INDEX($U$1354:$AB$1354,MATCH(Notes!$C$16,$U$3:$AB$3,0))-100%))*$L$1354</f>
        <v>100.75</v>
      </c>
      <c r="M1377" s="286"/>
      <c r="N1377" s="286"/>
      <c r="O1377" s="285">
        <v>100.75</v>
      </c>
      <c r="P1377" s="285"/>
      <c r="Q1377" s="285"/>
      <c r="R1377" s="278"/>
      <c r="S1377" s="278"/>
      <c r="T1377" s="278"/>
    </row>
    <row r="1378" spans="1:28" s="305" customFormat="1" hidden="1" outlineLevel="2" x14ac:dyDescent="0.25">
      <c r="A1378" s="278"/>
      <c r="B1378" s="279" t="str">
        <f t="shared" si="532"/>
        <v>2400mm2 x 921mm to 1220mmDHDFprestige</v>
      </c>
      <c r="C1378" s="278" t="s">
        <v>558</v>
      </c>
      <c r="D1378" s="278" t="s">
        <v>789</v>
      </c>
      <c r="E1378" s="278" t="s">
        <v>2109</v>
      </c>
      <c r="F1378" s="278" t="s">
        <v>545</v>
      </c>
      <c r="G1378" s="278" t="s">
        <v>5</v>
      </c>
      <c r="H1378" s="310">
        <v>0.4199974296362935</v>
      </c>
      <c r="I1378" s="280">
        <f t="shared" si="533"/>
        <v>33.86019277727798</v>
      </c>
      <c r="J1378" s="281">
        <f t="shared" si="534"/>
        <v>38.40036499164632</v>
      </c>
      <c r="K1378" s="282">
        <f>IF(Notes!$B$9="Domestic",I1378, IF(Notes!$B$9="Commercial",J1378))*$K$1354</f>
        <v>38.40036499164632</v>
      </c>
      <c r="L1378" s="283">
        <f>(SUM(O1378:Q1378)+(K1378+SUM(M1378:Q1378))*(INDEX($U$1354:$AB$1354,MATCH(Notes!$C$16,$U$3:$AB$3,0))-100%))*$L$1354</f>
        <v>108.39</v>
      </c>
      <c r="M1378" s="286"/>
      <c r="N1378" s="286"/>
      <c r="O1378" s="285">
        <v>108.39</v>
      </c>
      <c r="P1378" s="285"/>
      <c r="Q1378" s="285"/>
      <c r="R1378" s="278"/>
      <c r="S1378" s="278"/>
      <c r="T1378" s="278"/>
    </row>
    <row r="1379" spans="1:28" s="305" customFormat="1" hidden="1" outlineLevel="2" x14ac:dyDescent="0.25">
      <c r="A1379" s="278"/>
      <c r="B1379" s="279" t="str">
        <f t="shared" si="532"/>
        <v>2700mm2 x up to 820mmDHDFprestige</v>
      </c>
      <c r="C1379" s="278" t="s">
        <v>779</v>
      </c>
      <c r="D1379" s="278" t="s">
        <v>787</v>
      </c>
      <c r="E1379" s="278" t="s">
        <v>2109</v>
      </c>
      <c r="F1379" s="278" t="s">
        <v>545</v>
      </c>
      <c r="G1379" s="278" t="s">
        <v>5</v>
      </c>
      <c r="H1379" s="310">
        <v>0.3599794370903483</v>
      </c>
      <c r="I1379" s="280">
        <f t="shared" si="533"/>
        <v>29.021542218223882</v>
      </c>
      <c r="J1379" s="281">
        <f t="shared" si="534"/>
        <v>32.912919933170549</v>
      </c>
      <c r="K1379" s="282">
        <f>IF(Notes!$B$9="Domestic",I1379, IF(Notes!$B$9="Commercial",J1379))*$K$1354</f>
        <v>32.912919933170549</v>
      </c>
      <c r="L1379" s="283">
        <f>(SUM(O1379:Q1379)+(K1379+SUM(M1379:Q1379))*(INDEX($U$1354:$AB$1354,MATCH(Notes!$C$16,$U$3:$AB$3,0))-100%))*$L$1354</f>
        <v>105.80999999999999</v>
      </c>
      <c r="M1379" s="286"/>
      <c r="N1379" s="286"/>
      <c r="O1379" s="311">
        <f>O1376+O1376-O1373</f>
        <v>105.80999999999999</v>
      </c>
      <c r="P1379" s="285"/>
      <c r="Q1379" s="285"/>
      <c r="R1379" s="278"/>
      <c r="S1379" s="278"/>
      <c r="T1379" s="278"/>
    </row>
    <row r="1380" spans="1:28" s="305" customFormat="1" hidden="1" outlineLevel="2" x14ac:dyDescent="0.25">
      <c r="A1380" s="278"/>
      <c r="B1380" s="279" t="str">
        <f t="shared" si="532"/>
        <v>2700mm2 x 821mm to 920mmDHDFprestige</v>
      </c>
      <c r="C1380" s="278" t="s">
        <v>779</v>
      </c>
      <c r="D1380" s="278" t="s">
        <v>788</v>
      </c>
      <c r="E1380" s="278" t="s">
        <v>2109</v>
      </c>
      <c r="F1380" s="278" t="s">
        <v>545</v>
      </c>
      <c r="G1380" s="278" t="s">
        <v>5</v>
      </c>
      <c r="H1380" s="310">
        <v>0.37989975581544788</v>
      </c>
      <c r="I1380" s="280">
        <f t="shared" si="533"/>
        <v>30.62751831384141</v>
      </c>
      <c r="J1380" s="281">
        <f t="shared" si="534"/>
        <v>34.734234674206405</v>
      </c>
      <c r="K1380" s="282">
        <f>IF(Notes!$B$9="Domestic",I1380, IF(Notes!$B$9="Commercial",J1380))*$K$1354</f>
        <v>34.734234674206405</v>
      </c>
      <c r="L1380" s="283">
        <f>(SUM(O1380:Q1380)+(K1380+SUM(M1380:Q1380))*(INDEX($U$1354:$AB$1354,MATCH(Notes!$C$16,$U$3:$AB$3,0))-100%))*$L$1354</f>
        <v>115.99</v>
      </c>
      <c r="M1380" s="286"/>
      <c r="N1380" s="286"/>
      <c r="O1380" s="311">
        <f>O1377+O1377-O1374</f>
        <v>115.99</v>
      </c>
      <c r="P1380" s="285"/>
      <c r="Q1380" s="285"/>
      <c r="R1380" s="278"/>
      <c r="S1380" s="278"/>
      <c r="T1380" s="278"/>
    </row>
    <row r="1381" spans="1:28" s="305" customFormat="1" hidden="1" outlineLevel="2" x14ac:dyDescent="0.25">
      <c r="A1381" s="278"/>
      <c r="B1381" s="279" t="str">
        <f t="shared" si="532"/>
        <v>2700mm2 x 921mm to 1220mmDHDFprestige</v>
      </c>
      <c r="C1381" s="278" t="s">
        <v>779</v>
      </c>
      <c r="D1381" s="278" t="s">
        <v>789</v>
      </c>
      <c r="E1381" s="278" t="s">
        <v>2109</v>
      </c>
      <c r="F1381" s="278" t="s">
        <v>545</v>
      </c>
      <c r="G1381" s="278" t="s">
        <v>5</v>
      </c>
      <c r="H1381" s="310">
        <v>0.4199974296362935</v>
      </c>
      <c r="I1381" s="280">
        <f t="shared" si="533"/>
        <v>33.86019277727798</v>
      </c>
      <c r="J1381" s="281">
        <f t="shared" si="534"/>
        <v>38.40036499164632</v>
      </c>
      <c r="K1381" s="282">
        <f>IF(Notes!$B$9="Domestic",I1381, IF(Notes!$B$9="Commercial",J1381))*$K$1354</f>
        <v>38.40036499164632</v>
      </c>
      <c r="L1381" s="283">
        <f>(SUM(O1381:Q1381)+(K1381+SUM(M1381:Q1381))*(INDEX($U$1354:$AB$1354,MATCH(Notes!$C$16,$U$3:$AB$3,0))-100%))*$L$1354</f>
        <v>121.09</v>
      </c>
      <c r="M1381" s="286"/>
      <c r="N1381" s="286"/>
      <c r="O1381" s="311">
        <f>O1378+O1378-O1375</f>
        <v>121.09</v>
      </c>
      <c r="P1381" s="285"/>
      <c r="Q1381" s="285"/>
      <c r="R1381" s="278"/>
      <c r="S1381" s="278"/>
      <c r="T1381" s="278"/>
    </row>
    <row r="1382" spans="1:28" ht="21" hidden="1" outlineLevel="1" collapsed="1" x14ac:dyDescent="0.25">
      <c r="A1382" s="299" t="s">
        <v>2106</v>
      </c>
      <c r="B1382" s="299"/>
      <c r="C1382" s="299"/>
      <c r="D1382" s="299"/>
      <c r="E1382" s="299"/>
      <c r="F1382" s="299"/>
      <c r="G1382" s="299"/>
      <c r="H1382" s="348"/>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row>
    <row r="1383" spans="1:28" ht="15.75" hidden="1" outlineLevel="1" x14ac:dyDescent="0.25">
      <c r="A1383" s="291"/>
      <c r="B1383" s="291"/>
      <c r="C1383" s="291"/>
      <c r="D1383" s="291"/>
      <c r="E1383" s="291"/>
      <c r="F1383" s="291"/>
      <c r="G1383" s="291"/>
      <c r="H1383" s="325"/>
      <c r="I1383" s="291"/>
      <c r="J1383" s="291"/>
      <c r="K1383" s="291">
        <f>K$2</f>
        <v>1</v>
      </c>
      <c r="L1383" s="291">
        <f>L$2</f>
        <v>1</v>
      </c>
      <c r="M1383" s="291"/>
      <c r="N1383" s="291"/>
      <c r="O1383" s="303"/>
      <c r="P1383" s="303"/>
      <c r="Q1383" s="303"/>
      <c r="R1383" s="291"/>
      <c r="S1383" s="291"/>
      <c r="T1383" s="291"/>
      <c r="U1383" s="381">
        <f t="shared" ref="U1383:AB1383" si="535">U$1093</f>
        <v>0.97101449275362317</v>
      </c>
      <c r="V1383" s="381">
        <f t="shared" si="535"/>
        <v>1</v>
      </c>
      <c r="W1383" s="381">
        <f t="shared" si="535"/>
        <v>1.1159420289855073</v>
      </c>
      <c r="X1383" s="381">
        <f t="shared" si="535"/>
        <v>1.0905797101449275</v>
      </c>
      <c r="Y1383" s="381">
        <f t="shared" si="535"/>
        <v>1.1956521739130435</v>
      </c>
      <c r="Z1383" s="381">
        <f t="shared" si="535"/>
        <v>0.89130434782608692</v>
      </c>
      <c r="AA1383" s="381">
        <f t="shared" si="535"/>
        <v>1.3586956521739131</v>
      </c>
      <c r="AB1383" s="381">
        <f t="shared" si="535"/>
        <v>1.0253623188405796</v>
      </c>
    </row>
    <row r="1384" spans="1:28" s="305" customFormat="1" hidden="1" outlineLevel="2" x14ac:dyDescent="0.25">
      <c r="A1384" s="278"/>
      <c r="B1384" s="279" t="str">
        <f>C1384&amp;D1384&amp;E1384&amp;F1384</f>
        <v>2100mmup to 820mmCSDFaverage</v>
      </c>
      <c r="C1384" s="278" t="s">
        <v>557</v>
      </c>
      <c r="D1384" s="278" t="s">
        <v>724</v>
      </c>
      <c r="E1384" s="278" t="s">
        <v>2110</v>
      </c>
      <c r="F1384" s="278" t="s">
        <v>543</v>
      </c>
      <c r="G1384" s="278" t="s">
        <v>5</v>
      </c>
      <c r="H1384" s="310">
        <v>0.49993574090733833</v>
      </c>
      <c r="I1384" s="280">
        <f>$I$2*H1384</f>
        <v>40.304819431949618</v>
      </c>
      <c r="J1384" s="281">
        <f>$J$2*H1384</f>
        <v>45.709124791157947</v>
      </c>
      <c r="K1384" s="282">
        <f>IF(Notes!$B$9="Domestic",I1384, IF(Notes!$B$9="Commercial",J1384))*$K$1383</f>
        <v>45.709124791157947</v>
      </c>
      <c r="L1384" s="283">
        <f>(SUM(O1384:Q1384)+(K1384+SUM(M1384:Q1384))*(INDEX($U$1383:$AB$1383,MATCH(Notes!$C$16,$U$3:$AB$3,0))-100%))*$L$1383</f>
        <v>216.23</v>
      </c>
      <c r="M1384" s="286"/>
      <c r="N1384" s="286"/>
      <c r="O1384" s="285">
        <v>216.23</v>
      </c>
      <c r="P1384" s="285"/>
      <c r="Q1384" s="285"/>
      <c r="R1384" s="278"/>
      <c r="S1384" s="278"/>
      <c r="T1384" s="278"/>
    </row>
    <row r="1385" spans="1:28" s="305" customFormat="1" hidden="1" outlineLevel="2" x14ac:dyDescent="0.25">
      <c r="A1385" s="278"/>
      <c r="B1385" s="279" t="str">
        <f t="shared" ref="B1385:B1386" si="536">C1385&amp;D1385&amp;E1385&amp;F1385</f>
        <v>2100mm821mm to 920mmCSDFaverage</v>
      </c>
      <c r="C1385" s="278" t="s">
        <v>557</v>
      </c>
      <c r="D1385" s="278" t="s">
        <v>721</v>
      </c>
      <c r="E1385" s="278" t="s">
        <v>2110</v>
      </c>
      <c r="F1385" s="278" t="s">
        <v>543</v>
      </c>
      <c r="G1385" s="278" t="s">
        <v>5</v>
      </c>
      <c r="H1385" s="310">
        <v>0.49993574090733833</v>
      </c>
      <c r="I1385" s="280">
        <f t="shared" ref="I1385:I1386" si="537">$I$2*H1385</f>
        <v>40.304819431949618</v>
      </c>
      <c r="J1385" s="281">
        <f t="shared" ref="J1385:J1386" si="538">$J$2*H1385</f>
        <v>45.709124791157947</v>
      </c>
      <c r="K1385" s="282">
        <f>IF(Notes!$B$9="Domestic",I1385, IF(Notes!$B$9="Commercial",J1385))*$K$1383</f>
        <v>45.709124791157947</v>
      </c>
      <c r="L1385" s="283">
        <f>(SUM(O1385:Q1385)+(K1385+SUM(M1385:Q1385))*(INDEX($U$1383:$AB$1383,MATCH(Notes!$C$16,$U$3:$AB$3,0))-100%))*$L$1383</f>
        <v>268.23</v>
      </c>
      <c r="M1385" s="286"/>
      <c r="N1385" s="286"/>
      <c r="O1385" s="285">
        <v>268.23</v>
      </c>
      <c r="P1385" s="285"/>
      <c r="Q1385" s="285"/>
      <c r="R1385" s="278"/>
      <c r="S1385" s="278"/>
      <c r="T1385" s="278"/>
    </row>
    <row r="1386" spans="1:28" s="305" customFormat="1" hidden="1" outlineLevel="2" x14ac:dyDescent="0.25">
      <c r="A1386" s="278"/>
      <c r="B1386" s="279" t="str">
        <f t="shared" si="536"/>
        <v>2100mm921mm to 1220mmCSDFaverage</v>
      </c>
      <c r="C1386" s="278" t="s">
        <v>557</v>
      </c>
      <c r="D1386" s="278" t="s">
        <v>722</v>
      </c>
      <c r="E1386" s="278" t="s">
        <v>2110</v>
      </c>
      <c r="F1386" s="278" t="s">
        <v>543</v>
      </c>
      <c r="G1386" s="278" t="s">
        <v>5</v>
      </c>
      <c r="H1386" s="310">
        <v>0.64991646317953988</v>
      </c>
      <c r="I1386" s="280">
        <f t="shared" si="537"/>
        <v>52.396265261534509</v>
      </c>
      <c r="J1386" s="281">
        <f t="shared" si="538"/>
        <v>59.421862228505333</v>
      </c>
      <c r="K1386" s="282">
        <f>IF(Notes!$B$9="Domestic",I1386, IF(Notes!$B$9="Commercial",J1386))*$K$1383</f>
        <v>59.421862228505333</v>
      </c>
      <c r="L1386" s="283">
        <f>(SUM(O1386:Q1386)+(K1386+SUM(M1386:Q1386))*(INDEX($U$1383:$AB$1383,MATCH(Notes!$C$16,$U$3:$AB$3,0))-100%))*$L$1383</f>
        <v>375.23</v>
      </c>
      <c r="M1386" s="286"/>
      <c r="N1386" s="286"/>
      <c r="O1386" s="311">
        <f>O1385+O1389-O1388</f>
        <v>375.23</v>
      </c>
      <c r="P1386" s="285"/>
      <c r="Q1386" s="285"/>
      <c r="R1386" s="278"/>
      <c r="S1386" s="278"/>
      <c r="T1386" s="278"/>
    </row>
    <row r="1387" spans="1:28" s="305" customFormat="1" hidden="1" outlineLevel="2" x14ac:dyDescent="0.25">
      <c r="A1387" s="278"/>
      <c r="B1387" s="279" t="str">
        <f t="shared" ref="B1387:B1410" si="539">C1387&amp;D1387&amp;E1387&amp;F1387</f>
        <v>2400mmup to 820mmCSDFaverage</v>
      </c>
      <c r="C1387" s="278" t="s">
        <v>558</v>
      </c>
      <c r="D1387" s="278" t="s">
        <v>724</v>
      </c>
      <c r="E1387" s="278" t="s">
        <v>2110</v>
      </c>
      <c r="F1387" s="278" t="s">
        <v>543</v>
      </c>
      <c r="G1387" s="278" t="s">
        <v>5</v>
      </c>
      <c r="H1387" s="310">
        <v>0.49993574090733833</v>
      </c>
      <c r="I1387" s="280">
        <f t="shared" ref="I1387:I1410" si="540">$I$2*H1387</f>
        <v>40.304819431949618</v>
      </c>
      <c r="J1387" s="281">
        <f t="shared" ref="J1387:J1410" si="541">$J$2*H1387</f>
        <v>45.709124791157947</v>
      </c>
      <c r="K1387" s="282">
        <f>IF(Notes!$B$9="Domestic",I1387, IF(Notes!$B$9="Commercial",J1387))*$K$1383</f>
        <v>45.709124791157947</v>
      </c>
      <c r="L1387" s="283">
        <f>(SUM(O1387:Q1387)+(K1387+SUM(M1387:Q1387))*(INDEX($U$1383:$AB$1383,MATCH(Notes!$C$16,$U$3:$AB$3,0))-100%))*$L$1383</f>
        <v>392.23</v>
      </c>
      <c r="M1387" s="286"/>
      <c r="N1387" s="286"/>
      <c r="O1387" s="285">
        <v>392.23</v>
      </c>
      <c r="P1387" s="285"/>
      <c r="Q1387" s="285"/>
      <c r="R1387" s="278"/>
      <c r="S1387" s="278"/>
      <c r="T1387" s="278"/>
    </row>
    <row r="1388" spans="1:28" s="305" customFormat="1" hidden="1" outlineLevel="2" x14ac:dyDescent="0.25">
      <c r="A1388" s="278"/>
      <c r="B1388" s="279" t="str">
        <f t="shared" si="539"/>
        <v>2400mm821mm to 920mmCSDFaverage</v>
      </c>
      <c r="C1388" s="278" t="s">
        <v>558</v>
      </c>
      <c r="D1388" s="278" t="s">
        <v>721</v>
      </c>
      <c r="E1388" s="278" t="s">
        <v>2110</v>
      </c>
      <c r="F1388" s="278" t="s">
        <v>543</v>
      </c>
      <c r="G1388" s="278" t="s">
        <v>5</v>
      </c>
      <c r="H1388" s="310">
        <v>0.49993574090733833</v>
      </c>
      <c r="I1388" s="280">
        <f t="shared" si="540"/>
        <v>40.304819431949618</v>
      </c>
      <c r="J1388" s="281">
        <f t="shared" si="541"/>
        <v>45.709124791157947</v>
      </c>
      <c r="K1388" s="282">
        <f>IF(Notes!$B$9="Domestic",I1388, IF(Notes!$B$9="Commercial",J1388))*$K$1383</f>
        <v>45.709124791157947</v>
      </c>
      <c r="L1388" s="283">
        <f>(SUM(O1388:Q1388)+(K1388+SUM(M1388:Q1388))*(INDEX($U$1383:$AB$1383,MATCH(Notes!$C$16,$U$3:$AB$3,0))-100%))*$L$1383</f>
        <v>400.23</v>
      </c>
      <c r="M1388" s="286"/>
      <c r="N1388" s="286"/>
      <c r="O1388" s="285">
        <v>400.23</v>
      </c>
      <c r="P1388" s="285"/>
      <c r="Q1388" s="285"/>
      <c r="R1388" s="278"/>
      <c r="S1388" s="278"/>
      <c r="T1388" s="278"/>
    </row>
    <row r="1389" spans="1:28" s="305" customFormat="1" hidden="1" outlineLevel="2" x14ac:dyDescent="0.25">
      <c r="A1389" s="278"/>
      <c r="B1389" s="279" t="str">
        <f t="shared" si="539"/>
        <v>2400mm921mm to 1220mmCSDFaverage</v>
      </c>
      <c r="C1389" s="278" t="s">
        <v>558</v>
      </c>
      <c r="D1389" s="278" t="s">
        <v>722</v>
      </c>
      <c r="E1389" s="278" t="s">
        <v>2110</v>
      </c>
      <c r="F1389" s="278" t="s">
        <v>543</v>
      </c>
      <c r="G1389" s="278" t="s">
        <v>5</v>
      </c>
      <c r="H1389" s="310">
        <v>0.64991646317953988</v>
      </c>
      <c r="I1389" s="280">
        <f t="shared" si="540"/>
        <v>52.396265261534509</v>
      </c>
      <c r="J1389" s="281">
        <f t="shared" si="541"/>
        <v>59.421862228505333</v>
      </c>
      <c r="K1389" s="282">
        <f>IF(Notes!$B$9="Domestic",I1389, IF(Notes!$B$9="Commercial",J1389))*$K$1383</f>
        <v>59.421862228505333</v>
      </c>
      <c r="L1389" s="283">
        <f>(SUM(O1389:Q1389)+(K1389+SUM(M1389:Q1389))*(INDEX($U$1383:$AB$1383,MATCH(Notes!$C$16,$U$3:$AB$3,0))-100%))*$L$1383</f>
        <v>507.23</v>
      </c>
      <c r="M1389" s="286"/>
      <c r="N1389" s="286"/>
      <c r="O1389" s="285">
        <v>507.23</v>
      </c>
      <c r="P1389" s="285"/>
      <c r="Q1389" s="285"/>
      <c r="R1389" s="278"/>
      <c r="S1389" s="278"/>
      <c r="T1389" s="278"/>
    </row>
    <row r="1390" spans="1:28" s="305" customFormat="1" hidden="1" outlineLevel="2" x14ac:dyDescent="0.25">
      <c r="A1390" s="278"/>
      <c r="B1390" s="279" t="str">
        <f t="shared" si="539"/>
        <v>2700mmup to 820mmCSDFaverage</v>
      </c>
      <c r="C1390" s="278" t="s">
        <v>779</v>
      </c>
      <c r="D1390" s="278" t="s">
        <v>724</v>
      </c>
      <c r="E1390" s="278" t="s">
        <v>2110</v>
      </c>
      <c r="F1390" s="278" t="s">
        <v>543</v>
      </c>
      <c r="G1390" s="278" t="s">
        <v>5</v>
      </c>
      <c r="H1390" s="310">
        <v>0.49993574090733833</v>
      </c>
      <c r="I1390" s="280">
        <f t="shared" si="540"/>
        <v>40.304819431949618</v>
      </c>
      <c r="J1390" s="281">
        <f t="shared" si="541"/>
        <v>45.709124791157947</v>
      </c>
      <c r="K1390" s="282">
        <f>IF(Notes!$B$9="Domestic",I1390, IF(Notes!$B$9="Commercial",J1390))*$K$1383</f>
        <v>45.709124791157947</v>
      </c>
      <c r="L1390" s="283">
        <f>(SUM(O1390:Q1390)+(K1390+SUM(M1390:Q1390))*(INDEX($U$1383:$AB$1383,MATCH(Notes!$C$16,$U$3:$AB$3,0))-100%))*$L$1383</f>
        <v>568.23</v>
      </c>
      <c r="M1390" s="286"/>
      <c r="N1390" s="286"/>
      <c r="O1390" s="311">
        <f>O1387+O1387-O1384</f>
        <v>568.23</v>
      </c>
      <c r="P1390" s="285"/>
      <c r="Q1390" s="285"/>
      <c r="R1390" s="278"/>
      <c r="S1390" s="278"/>
      <c r="T1390" s="278"/>
    </row>
    <row r="1391" spans="1:28" s="305" customFormat="1" hidden="1" outlineLevel="2" x14ac:dyDescent="0.25">
      <c r="A1391" s="278"/>
      <c r="B1391" s="279" t="str">
        <f t="shared" si="539"/>
        <v>2700mm821mm to 920mmCSDFaverage</v>
      </c>
      <c r="C1391" s="278" t="s">
        <v>779</v>
      </c>
      <c r="D1391" s="278" t="s">
        <v>721</v>
      </c>
      <c r="E1391" s="278" t="s">
        <v>2110</v>
      </c>
      <c r="F1391" s="278" t="s">
        <v>543</v>
      </c>
      <c r="G1391" s="278" t="s">
        <v>5</v>
      </c>
      <c r="H1391" s="310">
        <v>0.49993574090733833</v>
      </c>
      <c r="I1391" s="280">
        <f t="shared" si="540"/>
        <v>40.304819431949618</v>
      </c>
      <c r="J1391" s="281">
        <f t="shared" si="541"/>
        <v>45.709124791157947</v>
      </c>
      <c r="K1391" s="282">
        <f>IF(Notes!$B$9="Domestic",I1391, IF(Notes!$B$9="Commercial",J1391))*$K$1383</f>
        <v>45.709124791157947</v>
      </c>
      <c r="L1391" s="283">
        <f>(SUM(O1391:Q1391)+(K1391+SUM(M1391:Q1391))*(INDEX($U$1383:$AB$1383,MATCH(Notes!$C$16,$U$3:$AB$3,0))-100%))*$L$1383</f>
        <v>532.23</v>
      </c>
      <c r="M1391" s="286"/>
      <c r="N1391" s="286"/>
      <c r="O1391" s="311">
        <f t="shared" ref="O1391:O1392" si="542">O1388+O1388-O1385</f>
        <v>532.23</v>
      </c>
      <c r="P1391" s="285"/>
      <c r="Q1391" s="285"/>
      <c r="R1391" s="278"/>
      <c r="S1391" s="278"/>
      <c r="T1391" s="278"/>
    </row>
    <row r="1392" spans="1:28" s="305" customFormat="1" hidden="1" outlineLevel="2" x14ac:dyDescent="0.25">
      <c r="A1392" s="278"/>
      <c r="B1392" s="279" t="str">
        <f t="shared" si="539"/>
        <v>2700mm921mm to 1220mmCSDFaverage</v>
      </c>
      <c r="C1392" s="278" t="s">
        <v>779</v>
      </c>
      <c r="D1392" s="278" t="s">
        <v>722</v>
      </c>
      <c r="E1392" s="278" t="s">
        <v>2110</v>
      </c>
      <c r="F1392" s="278" t="s">
        <v>543</v>
      </c>
      <c r="G1392" s="278" t="s">
        <v>5</v>
      </c>
      <c r="H1392" s="310">
        <v>0.64991646317953988</v>
      </c>
      <c r="I1392" s="280">
        <f t="shared" si="540"/>
        <v>52.396265261534509</v>
      </c>
      <c r="J1392" s="281">
        <f t="shared" si="541"/>
        <v>59.421862228505333</v>
      </c>
      <c r="K1392" s="282">
        <f>IF(Notes!$B$9="Domestic",I1392, IF(Notes!$B$9="Commercial",J1392))*$K$1383</f>
        <v>59.421862228505333</v>
      </c>
      <c r="L1392" s="283">
        <f>(SUM(O1392:Q1392)+(K1392+SUM(M1392:Q1392))*(INDEX($U$1383:$AB$1383,MATCH(Notes!$C$16,$U$3:$AB$3,0))-100%))*$L$1383</f>
        <v>639.23</v>
      </c>
      <c r="M1392" s="286"/>
      <c r="N1392" s="286"/>
      <c r="O1392" s="311">
        <f t="shared" si="542"/>
        <v>639.23</v>
      </c>
      <c r="P1392" s="285"/>
      <c r="Q1392" s="285"/>
      <c r="R1392" s="278"/>
      <c r="S1392" s="278"/>
      <c r="T1392" s="278"/>
    </row>
    <row r="1393" spans="1:20" s="305" customFormat="1" hidden="1" outlineLevel="2" x14ac:dyDescent="0.25">
      <c r="A1393" s="278"/>
      <c r="B1393" s="279" t="str">
        <f t="shared" si="539"/>
        <v>2100mmup to 820mmCSDFquality</v>
      </c>
      <c r="C1393" s="278" t="s">
        <v>557</v>
      </c>
      <c r="D1393" s="278" t="s">
        <v>724</v>
      </c>
      <c r="E1393" s="278" t="s">
        <v>2110</v>
      </c>
      <c r="F1393" s="278" t="s">
        <v>544</v>
      </c>
      <c r="G1393" s="278" t="s">
        <v>5</v>
      </c>
      <c r="H1393" s="310">
        <v>0.49993574090733833</v>
      </c>
      <c r="I1393" s="280">
        <f t="shared" si="540"/>
        <v>40.304819431949618</v>
      </c>
      <c r="J1393" s="281">
        <f t="shared" si="541"/>
        <v>45.709124791157947</v>
      </c>
      <c r="K1393" s="282">
        <f>IF(Notes!$B$9="Domestic",I1393, IF(Notes!$B$9="Commercial",J1393))*$K$1383</f>
        <v>45.709124791157947</v>
      </c>
      <c r="L1393" s="283">
        <f>(SUM(O1393:Q1393)+(K1393+SUM(M1393:Q1393))*(INDEX($U$1383:$AB$1383,MATCH(Notes!$C$16,$U$3:$AB$3,0))-100%))*$L$1383</f>
        <v>261.23</v>
      </c>
      <c r="M1393" s="286"/>
      <c r="N1393" s="286"/>
      <c r="O1393" s="285">
        <v>261.23</v>
      </c>
      <c r="P1393" s="285"/>
      <c r="Q1393" s="285"/>
      <c r="R1393" s="278"/>
      <c r="S1393" s="278"/>
      <c r="T1393" s="278"/>
    </row>
    <row r="1394" spans="1:20" s="305" customFormat="1" hidden="1" outlineLevel="2" x14ac:dyDescent="0.25">
      <c r="A1394" s="278"/>
      <c r="B1394" s="279" t="str">
        <f t="shared" si="539"/>
        <v>2100mm821mm to 920mmCSDFquality</v>
      </c>
      <c r="C1394" s="278" t="s">
        <v>557</v>
      </c>
      <c r="D1394" s="278" t="s">
        <v>721</v>
      </c>
      <c r="E1394" s="278" t="s">
        <v>2110</v>
      </c>
      <c r="F1394" s="278" t="s">
        <v>544</v>
      </c>
      <c r="G1394" s="278" t="s">
        <v>5</v>
      </c>
      <c r="H1394" s="310">
        <v>0.49993574090733833</v>
      </c>
      <c r="I1394" s="280">
        <f t="shared" si="540"/>
        <v>40.304819431949618</v>
      </c>
      <c r="J1394" s="281">
        <f t="shared" si="541"/>
        <v>45.709124791157947</v>
      </c>
      <c r="K1394" s="282">
        <f>IF(Notes!$B$9="Domestic",I1394, IF(Notes!$B$9="Commercial",J1394))*$K$1383</f>
        <v>45.709124791157947</v>
      </c>
      <c r="L1394" s="283">
        <f>(SUM(O1394:Q1394)+(K1394+SUM(M1394:Q1394))*(INDEX($U$1383:$AB$1383,MATCH(Notes!$C$16,$U$3:$AB$3,0))-100%))*$L$1383</f>
        <v>284.23</v>
      </c>
      <c r="M1394" s="286"/>
      <c r="N1394" s="286"/>
      <c r="O1394" s="285">
        <v>284.23</v>
      </c>
      <c r="P1394" s="285"/>
      <c r="Q1394" s="285"/>
      <c r="R1394" s="278"/>
      <c r="S1394" s="278"/>
      <c r="T1394" s="278"/>
    </row>
    <row r="1395" spans="1:20" s="305" customFormat="1" hidden="1" outlineLevel="2" x14ac:dyDescent="0.25">
      <c r="A1395" s="278"/>
      <c r="B1395" s="279" t="str">
        <f t="shared" si="539"/>
        <v>2100mm921mm to 1220mmCSDFquality</v>
      </c>
      <c r="C1395" s="278" t="s">
        <v>557</v>
      </c>
      <c r="D1395" s="278" t="s">
        <v>722</v>
      </c>
      <c r="E1395" s="278" t="s">
        <v>2110</v>
      </c>
      <c r="F1395" s="278" t="s">
        <v>544</v>
      </c>
      <c r="G1395" s="278" t="s">
        <v>5</v>
      </c>
      <c r="H1395" s="310">
        <v>0.64991646317953988</v>
      </c>
      <c r="I1395" s="280">
        <f t="shared" si="540"/>
        <v>52.396265261534509</v>
      </c>
      <c r="J1395" s="281">
        <f t="shared" si="541"/>
        <v>59.421862228505333</v>
      </c>
      <c r="K1395" s="282">
        <f>IF(Notes!$B$9="Domestic",I1395, IF(Notes!$B$9="Commercial",J1395))*$K$1383</f>
        <v>59.421862228505333</v>
      </c>
      <c r="L1395" s="283">
        <f>(SUM(O1395:Q1395)+(K1395+SUM(M1395:Q1395))*(INDEX($U$1383:$AB$1383,MATCH(Notes!$C$16,$U$3:$AB$3,0))-100%))*$L$1383</f>
        <v>391.23</v>
      </c>
      <c r="M1395" s="286"/>
      <c r="N1395" s="286"/>
      <c r="O1395" s="311">
        <f>O1394+O1398-O1397</f>
        <v>391.23</v>
      </c>
      <c r="P1395" s="285"/>
      <c r="Q1395" s="285"/>
      <c r="R1395" s="278"/>
      <c r="S1395" s="278"/>
      <c r="T1395" s="278"/>
    </row>
    <row r="1396" spans="1:20" s="305" customFormat="1" hidden="1" outlineLevel="2" x14ac:dyDescent="0.25">
      <c r="A1396" s="278"/>
      <c r="B1396" s="279" t="str">
        <f t="shared" si="539"/>
        <v>2400mmup to 820mmCSDFquality</v>
      </c>
      <c r="C1396" s="278" t="s">
        <v>558</v>
      </c>
      <c r="D1396" s="278" t="s">
        <v>724</v>
      </c>
      <c r="E1396" s="278" t="s">
        <v>2110</v>
      </c>
      <c r="F1396" s="278" t="s">
        <v>544</v>
      </c>
      <c r="G1396" s="278" t="s">
        <v>5</v>
      </c>
      <c r="H1396" s="310">
        <v>0.49993574090733833</v>
      </c>
      <c r="I1396" s="280">
        <f t="shared" si="540"/>
        <v>40.304819431949618</v>
      </c>
      <c r="J1396" s="281">
        <f t="shared" si="541"/>
        <v>45.709124791157947</v>
      </c>
      <c r="K1396" s="282">
        <f>IF(Notes!$B$9="Domestic",I1396, IF(Notes!$B$9="Commercial",J1396))*$K$1383</f>
        <v>45.709124791157947</v>
      </c>
      <c r="L1396" s="283">
        <f>(SUM(O1396:Q1396)+(K1396+SUM(M1396:Q1396))*(INDEX($U$1383:$AB$1383,MATCH(Notes!$C$16,$U$3:$AB$3,0))-100%))*$L$1383</f>
        <v>412.23</v>
      </c>
      <c r="M1396" s="286"/>
      <c r="N1396" s="286"/>
      <c r="O1396" s="285">
        <f>392.23+20</f>
        <v>412.23</v>
      </c>
      <c r="P1396" s="285"/>
      <c r="Q1396" s="285"/>
      <c r="R1396" s="278"/>
      <c r="S1396" s="278"/>
      <c r="T1396" s="278"/>
    </row>
    <row r="1397" spans="1:20" s="305" customFormat="1" hidden="1" outlineLevel="2" x14ac:dyDescent="0.25">
      <c r="A1397" s="278"/>
      <c r="B1397" s="279" t="str">
        <f t="shared" si="539"/>
        <v>2400mm821mm to 920mmCSDFquality</v>
      </c>
      <c r="C1397" s="278" t="s">
        <v>558</v>
      </c>
      <c r="D1397" s="278" t="s">
        <v>721</v>
      </c>
      <c r="E1397" s="278" t="s">
        <v>2110</v>
      </c>
      <c r="F1397" s="278" t="s">
        <v>544</v>
      </c>
      <c r="G1397" s="278" t="s">
        <v>5</v>
      </c>
      <c r="H1397" s="310">
        <v>0.49993574090733833</v>
      </c>
      <c r="I1397" s="280">
        <f t="shared" si="540"/>
        <v>40.304819431949618</v>
      </c>
      <c r="J1397" s="281">
        <f t="shared" si="541"/>
        <v>45.709124791157947</v>
      </c>
      <c r="K1397" s="282">
        <f>IF(Notes!$B$9="Domestic",I1397, IF(Notes!$B$9="Commercial",J1397))*$K$1383</f>
        <v>45.709124791157947</v>
      </c>
      <c r="L1397" s="283">
        <f>(SUM(O1397:Q1397)+(K1397+SUM(M1397:Q1397))*(INDEX($U$1383:$AB$1383,MATCH(Notes!$C$16,$U$3:$AB$3,0))-100%))*$L$1383</f>
        <v>420.23</v>
      </c>
      <c r="M1397" s="286"/>
      <c r="N1397" s="286"/>
      <c r="O1397" s="285">
        <f>400.23+20</f>
        <v>420.23</v>
      </c>
      <c r="P1397" s="285"/>
      <c r="Q1397" s="285"/>
      <c r="R1397" s="278"/>
      <c r="S1397" s="278"/>
      <c r="T1397" s="278"/>
    </row>
    <row r="1398" spans="1:20" s="305" customFormat="1" hidden="1" outlineLevel="2" x14ac:dyDescent="0.25">
      <c r="A1398" s="278"/>
      <c r="B1398" s="279" t="str">
        <f t="shared" si="539"/>
        <v>2400mm921mm to 1220mmCSDFquality</v>
      </c>
      <c r="C1398" s="278" t="s">
        <v>558</v>
      </c>
      <c r="D1398" s="278" t="s">
        <v>722</v>
      </c>
      <c r="E1398" s="278" t="s">
        <v>2110</v>
      </c>
      <c r="F1398" s="278" t="s">
        <v>544</v>
      </c>
      <c r="G1398" s="278" t="s">
        <v>5</v>
      </c>
      <c r="H1398" s="310">
        <v>0.64991646317953988</v>
      </c>
      <c r="I1398" s="280">
        <f t="shared" si="540"/>
        <v>52.396265261534509</v>
      </c>
      <c r="J1398" s="281">
        <f t="shared" si="541"/>
        <v>59.421862228505333</v>
      </c>
      <c r="K1398" s="282">
        <f>IF(Notes!$B$9="Domestic",I1398, IF(Notes!$B$9="Commercial",J1398))*$K$1383</f>
        <v>59.421862228505333</v>
      </c>
      <c r="L1398" s="283">
        <f>(SUM(O1398:Q1398)+(K1398+SUM(M1398:Q1398))*(INDEX($U$1383:$AB$1383,MATCH(Notes!$C$16,$U$3:$AB$3,0))-100%))*$L$1383</f>
        <v>527.23</v>
      </c>
      <c r="M1398" s="286"/>
      <c r="N1398" s="286"/>
      <c r="O1398" s="285">
        <f>507.23+20</f>
        <v>527.23</v>
      </c>
      <c r="P1398" s="285"/>
      <c r="Q1398" s="285"/>
      <c r="R1398" s="278"/>
      <c r="S1398" s="278"/>
      <c r="T1398" s="278"/>
    </row>
    <row r="1399" spans="1:20" s="305" customFormat="1" hidden="1" outlineLevel="2" x14ac:dyDescent="0.25">
      <c r="A1399" s="278"/>
      <c r="B1399" s="279" t="str">
        <f t="shared" si="539"/>
        <v>2700mmup to 820mmCSDFquality</v>
      </c>
      <c r="C1399" s="278" t="s">
        <v>779</v>
      </c>
      <c r="D1399" s="278" t="s">
        <v>724</v>
      </c>
      <c r="E1399" s="278" t="s">
        <v>2110</v>
      </c>
      <c r="F1399" s="278" t="s">
        <v>544</v>
      </c>
      <c r="G1399" s="278" t="s">
        <v>5</v>
      </c>
      <c r="H1399" s="310">
        <v>0.49993574090733833</v>
      </c>
      <c r="I1399" s="280">
        <f t="shared" si="540"/>
        <v>40.304819431949618</v>
      </c>
      <c r="J1399" s="281">
        <f t="shared" si="541"/>
        <v>45.709124791157947</v>
      </c>
      <c r="K1399" s="282">
        <f>IF(Notes!$B$9="Domestic",I1399, IF(Notes!$B$9="Commercial",J1399))*$K$1383</f>
        <v>45.709124791157947</v>
      </c>
      <c r="L1399" s="283">
        <f>(SUM(O1399:Q1399)+(K1399+SUM(M1399:Q1399))*(INDEX($U$1383:$AB$1383,MATCH(Notes!$C$16,$U$3:$AB$3,0))-100%))*$L$1383</f>
        <v>563.23</v>
      </c>
      <c r="M1399" s="286"/>
      <c r="N1399" s="286"/>
      <c r="O1399" s="311">
        <f>O1396+O1396-O1393</f>
        <v>563.23</v>
      </c>
      <c r="P1399" s="285"/>
      <c r="Q1399" s="285"/>
      <c r="R1399" s="278"/>
      <c r="S1399" s="278"/>
      <c r="T1399" s="278"/>
    </row>
    <row r="1400" spans="1:20" s="305" customFormat="1" hidden="1" outlineLevel="2" x14ac:dyDescent="0.25">
      <c r="A1400" s="278"/>
      <c r="B1400" s="279" t="str">
        <f t="shared" si="539"/>
        <v>2700mm821mm to 920mmCSDFquality</v>
      </c>
      <c r="C1400" s="278" t="s">
        <v>779</v>
      </c>
      <c r="D1400" s="278" t="s">
        <v>721</v>
      </c>
      <c r="E1400" s="278" t="s">
        <v>2110</v>
      </c>
      <c r="F1400" s="278" t="s">
        <v>544</v>
      </c>
      <c r="G1400" s="278" t="s">
        <v>5</v>
      </c>
      <c r="H1400" s="310">
        <v>0.49993574090733833</v>
      </c>
      <c r="I1400" s="280">
        <f t="shared" si="540"/>
        <v>40.304819431949618</v>
      </c>
      <c r="J1400" s="281">
        <f t="shared" si="541"/>
        <v>45.709124791157947</v>
      </c>
      <c r="K1400" s="282">
        <f>IF(Notes!$B$9="Domestic",I1400, IF(Notes!$B$9="Commercial",J1400))*$K$1383</f>
        <v>45.709124791157947</v>
      </c>
      <c r="L1400" s="283">
        <f>(SUM(O1400:Q1400)+(K1400+SUM(M1400:Q1400))*(INDEX($U$1383:$AB$1383,MATCH(Notes!$C$16,$U$3:$AB$3,0))-100%))*$L$1383</f>
        <v>556.23</v>
      </c>
      <c r="M1400" s="286"/>
      <c r="N1400" s="286"/>
      <c r="O1400" s="311">
        <f t="shared" ref="O1400:O1401" si="543">O1397+O1397-O1394</f>
        <v>556.23</v>
      </c>
      <c r="P1400" s="285"/>
      <c r="Q1400" s="285"/>
      <c r="R1400" s="278"/>
      <c r="S1400" s="278"/>
      <c r="T1400" s="278"/>
    </row>
    <row r="1401" spans="1:20" s="305" customFormat="1" hidden="1" outlineLevel="2" x14ac:dyDescent="0.25">
      <c r="A1401" s="278"/>
      <c r="B1401" s="279" t="str">
        <f t="shared" si="539"/>
        <v>2700mm921mm to 1220mmCSDFquality</v>
      </c>
      <c r="C1401" s="278" t="s">
        <v>779</v>
      </c>
      <c r="D1401" s="278" t="s">
        <v>722</v>
      </c>
      <c r="E1401" s="278" t="s">
        <v>2110</v>
      </c>
      <c r="F1401" s="278" t="s">
        <v>544</v>
      </c>
      <c r="G1401" s="278" t="s">
        <v>5</v>
      </c>
      <c r="H1401" s="310">
        <v>0.64991646317953988</v>
      </c>
      <c r="I1401" s="280">
        <f t="shared" si="540"/>
        <v>52.396265261534509</v>
      </c>
      <c r="J1401" s="281">
        <f t="shared" si="541"/>
        <v>59.421862228505333</v>
      </c>
      <c r="K1401" s="282">
        <f>IF(Notes!$B$9="Domestic",I1401, IF(Notes!$B$9="Commercial",J1401))*$K$1383</f>
        <v>59.421862228505333</v>
      </c>
      <c r="L1401" s="283">
        <f>(SUM(O1401:Q1401)+(K1401+SUM(M1401:Q1401))*(INDEX($U$1383:$AB$1383,MATCH(Notes!$C$16,$U$3:$AB$3,0))-100%))*$L$1383</f>
        <v>663.23</v>
      </c>
      <c r="M1401" s="286"/>
      <c r="N1401" s="286"/>
      <c r="O1401" s="311">
        <f t="shared" si="543"/>
        <v>663.23</v>
      </c>
      <c r="P1401" s="285"/>
      <c r="Q1401" s="285"/>
      <c r="R1401" s="278"/>
      <c r="S1401" s="278"/>
      <c r="T1401" s="278"/>
    </row>
    <row r="1402" spans="1:20" s="305" customFormat="1" hidden="1" outlineLevel="2" x14ac:dyDescent="0.25">
      <c r="A1402" s="278"/>
      <c r="B1402" s="279" t="str">
        <f t="shared" si="539"/>
        <v>2100mmup to 820mmCSDFprestige</v>
      </c>
      <c r="C1402" s="278" t="s">
        <v>557</v>
      </c>
      <c r="D1402" s="278" t="s">
        <v>724</v>
      </c>
      <c r="E1402" s="278" t="s">
        <v>2110</v>
      </c>
      <c r="F1402" s="278" t="s">
        <v>545</v>
      </c>
      <c r="G1402" s="278" t="s">
        <v>5</v>
      </c>
      <c r="H1402" s="310">
        <v>0.49993574090733833</v>
      </c>
      <c r="I1402" s="280">
        <f t="shared" si="540"/>
        <v>40.304819431949618</v>
      </c>
      <c r="J1402" s="281">
        <f t="shared" si="541"/>
        <v>45.709124791157947</v>
      </c>
      <c r="K1402" s="282">
        <f>IF(Notes!$B$9="Domestic",I1402, IF(Notes!$B$9="Commercial",J1402))*$K$1383</f>
        <v>45.709124791157947</v>
      </c>
      <c r="L1402" s="283">
        <f>(SUM(O1402:Q1402)+(K1402+SUM(M1402:Q1402))*(INDEX($U$1383:$AB$1383,MATCH(Notes!$C$16,$U$3:$AB$3,0))-100%))*$L$1383</f>
        <v>261.23</v>
      </c>
      <c r="M1402" s="286"/>
      <c r="N1402" s="286"/>
      <c r="O1402" s="285">
        <v>261.23</v>
      </c>
      <c r="P1402" s="285"/>
      <c r="Q1402" s="285"/>
      <c r="R1402" s="278"/>
      <c r="S1402" s="278"/>
      <c r="T1402" s="278"/>
    </row>
    <row r="1403" spans="1:20" s="305" customFormat="1" hidden="1" outlineLevel="2" x14ac:dyDescent="0.25">
      <c r="A1403" s="278"/>
      <c r="B1403" s="279" t="str">
        <f t="shared" si="539"/>
        <v>2100mm821mm to 920mmCSDFprestige</v>
      </c>
      <c r="C1403" s="278" t="s">
        <v>557</v>
      </c>
      <c r="D1403" s="278" t="s">
        <v>721</v>
      </c>
      <c r="E1403" s="278" t="s">
        <v>2110</v>
      </c>
      <c r="F1403" s="278" t="s">
        <v>545</v>
      </c>
      <c r="G1403" s="278" t="s">
        <v>5</v>
      </c>
      <c r="H1403" s="310">
        <v>0.49993574090733833</v>
      </c>
      <c r="I1403" s="280">
        <f t="shared" si="540"/>
        <v>40.304819431949618</v>
      </c>
      <c r="J1403" s="281">
        <f t="shared" si="541"/>
        <v>45.709124791157947</v>
      </c>
      <c r="K1403" s="282">
        <f>IF(Notes!$B$9="Domestic",I1403, IF(Notes!$B$9="Commercial",J1403))*$K$1383</f>
        <v>45.709124791157947</v>
      </c>
      <c r="L1403" s="283">
        <f>(SUM(O1403:Q1403)+(K1403+SUM(M1403:Q1403))*(INDEX($U$1383:$AB$1383,MATCH(Notes!$C$16,$U$3:$AB$3,0))-100%))*$L$1383</f>
        <v>284.23</v>
      </c>
      <c r="M1403" s="286"/>
      <c r="N1403" s="286"/>
      <c r="O1403" s="285">
        <v>284.23</v>
      </c>
      <c r="P1403" s="285"/>
      <c r="Q1403" s="285"/>
      <c r="R1403" s="278"/>
      <c r="S1403" s="278"/>
      <c r="T1403" s="278"/>
    </row>
    <row r="1404" spans="1:20" s="305" customFormat="1" hidden="1" outlineLevel="2" x14ac:dyDescent="0.25">
      <c r="A1404" s="278"/>
      <c r="B1404" s="279" t="str">
        <f t="shared" si="539"/>
        <v>2100mm921mm to 1220mmCSDFprestige</v>
      </c>
      <c r="C1404" s="278" t="s">
        <v>557</v>
      </c>
      <c r="D1404" s="278" t="s">
        <v>722</v>
      </c>
      <c r="E1404" s="278" t="s">
        <v>2110</v>
      </c>
      <c r="F1404" s="278" t="s">
        <v>545</v>
      </c>
      <c r="G1404" s="278" t="s">
        <v>5</v>
      </c>
      <c r="H1404" s="310">
        <v>0.64991646317953988</v>
      </c>
      <c r="I1404" s="280">
        <f t="shared" si="540"/>
        <v>52.396265261534509</v>
      </c>
      <c r="J1404" s="281">
        <f t="shared" si="541"/>
        <v>59.421862228505333</v>
      </c>
      <c r="K1404" s="282">
        <f>IF(Notes!$B$9="Domestic",I1404, IF(Notes!$B$9="Commercial",J1404))*$K$1383</f>
        <v>59.421862228505333</v>
      </c>
      <c r="L1404" s="283">
        <f>(SUM(O1404:Q1404)+(K1404+SUM(M1404:Q1404))*(INDEX($U$1383:$AB$1383,MATCH(Notes!$C$16,$U$3:$AB$3,0))-100%))*$L$1383</f>
        <v>391.23</v>
      </c>
      <c r="M1404" s="286"/>
      <c r="N1404" s="286"/>
      <c r="O1404" s="311">
        <f>O1403+O1407-O1406</f>
        <v>391.23</v>
      </c>
      <c r="P1404" s="285"/>
      <c r="Q1404" s="285"/>
      <c r="R1404" s="278"/>
      <c r="S1404" s="278"/>
      <c r="T1404" s="278"/>
    </row>
    <row r="1405" spans="1:20" s="305" customFormat="1" hidden="1" outlineLevel="2" x14ac:dyDescent="0.25">
      <c r="A1405" s="278"/>
      <c r="B1405" s="279" t="str">
        <f t="shared" si="539"/>
        <v>2400mmup to 820mmCSDFprestige</v>
      </c>
      <c r="C1405" s="278" t="s">
        <v>558</v>
      </c>
      <c r="D1405" s="278" t="s">
        <v>724</v>
      </c>
      <c r="E1405" s="278" t="s">
        <v>2110</v>
      </c>
      <c r="F1405" s="278" t="s">
        <v>545</v>
      </c>
      <c r="G1405" s="278" t="s">
        <v>5</v>
      </c>
      <c r="H1405" s="310">
        <v>0.49993574090733833</v>
      </c>
      <c r="I1405" s="280">
        <f t="shared" si="540"/>
        <v>40.304819431949618</v>
      </c>
      <c r="J1405" s="281">
        <f t="shared" si="541"/>
        <v>45.709124791157947</v>
      </c>
      <c r="K1405" s="282">
        <f>IF(Notes!$B$9="Domestic",I1405, IF(Notes!$B$9="Commercial",J1405))*$K$1383</f>
        <v>45.709124791157947</v>
      </c>
      <c r="L1405" s="283">
        <f>(SUM(O1405:Q1405)+(K1405+SUM(M1405:Q1405))*(INDEX($U$1383:$AB$1383,MATCH(Notes!$C$16,$U$3:$AB$3,0))-100%))*$L$1383</f>
        <v>412.23</v>
      </c>
      <c r="M1405" s="286"/>
      <c r="N1405" s="286"/>
      <c r="O1405" s="285">
        <f>392.23+20</f>
        <v>412.23</v>
      </c>
      <c r="P1405" s="285"/>
      <c r="Q1405" s="285"/>
      <c r="R1405" s="278"/>
      <c r="S1405" s="278"/>
      <c r="T1405" s="278"/>
    </row>
    <row r="1406" spans="1:20" s="305" customFormat="1" hidden="1" outlineLevel="2" x14ac:dyDescent="0.25">
      <c r="A1406" s="278"/>
      <c r="B1406" s="279" t="str">
        <f t="shared" si="539"/>
        <v>2400mm821mm to 920mmCSDFprestige</v>
      </c>
      <c r="C1406" s="278" t="s">
        <v>558</v>
      </c>
      <c r="D1406" s="278" t="s">
        <v>721</v>
      </c>
      <c r="E1406" s="278" t="s">
        <v>2110</v>
      </c>
      <c r="F1406" s="278" t="s">
        <v>545</v>
      </c>
      <c r="G1406" s="278" t="s">
        <v>5</v>
      </c>
      <c r="H1406" s="310">
        <v>0.49993574090733833</v>
      </c>
      <c r="I1406" s="280">
        <f t="shared" si="540"/>
        <v>40.304819431949618</v>
      </c>
      <c r="J1406" s="281">
        <f t="shared" si="541"/>
        <v>45.709124791157947</v>
      </c>
      <c r="K1406" s="282">
        <f>IF(Notes!$B$9="Domestic",I1406, IF(Notes!$B$9="Commercial",J1406))*$K$1383</f>
        <v>45.709124791157947</v>
      </c>
      <c r="L1406" s="283">
        <f>(SUM(O1406:Q1406)+(K1406+SUM(M1406:Q1406))*(INDEX($U$1383:$AB$1383,MATCH(Notes!$C$16,$U$3:$AB$3,0))-100%))*$L$1383</f>
        <v>420.23</v>
      </c>
      <c r="M1406" s="286"/>
      <c r="N1406" s="286"/>
      <c r="O1406" s="285">
        <f>400.23+20</f>
        <v>420.23</v>
      </c>
      <c r="P1406" s="285"/>
      <c r="Q1406" s="285"/>
      <c r="R1406" s="278"/>
      <c r="S1406" s="278"/>
      <c r="T1406" s="278"/>
    </row>
    <row r="1407" spans="1:20" s="305" customFormat="1" hidden="1" outlineLevel="2" x14ac:dyDescent="0.25">
      <c r="A1407" s="278"/>
      <c r="B1407" s="279" t="str">
        <f t="shared" si="539"/>
        <v>2400mm921mm to 1220mmCSDFprestige</v>
      </c>
      <c r="C1407" s="278" t="s">
        <v>558</v>
      </c>
      <c r="D1407" s="278" t="s">
        <v>722</v>
      </c>
      <c r="E1407" s="278" t="s">
        <v>2110</v>
      </c>
      <c r="F1407" s="278" t="s">
        <v>545</v>
      </c>
      <c r="G1407" s="278" t="s">
        <v>5</v>
      </c>
      <c r="H1407" s="310">
        <v>0.64991646317953988</v>
      </c>
      <c r="I1407" s="280">
        <f t="shared" si="540"/>
        <v>52.396265261534509</v>
      </c>
      <c r="J1407" s="281">
        <f t="shared" si="541"/>
        <v>59.421862228505333</v>
      </c>
      <c r="K1407" s="282">
        <f>IF(Notes!$B$9="Domestic",I1407, IF(Notes!$B$9="Commercial",J1407))*$K$1383</f>
        <v>59.421862228505333</v>
      </c>
      <c r="L1407" s="283">
        <f>(SUM(O1407:Q1407)+(K1407+SUM(M1407:Q1407))*(INDEX($U$1383:$AB$1383,MATCH(Notes!$C$16,$U$3:$AB$3,0))-100%))*$L$1383</f>
        <v>527.23</v>
      </c>
      <c r="M1407" s="286"/>
      <c r="N1407" s="286"/>
      <c r="O1407" s="285">
        <f>507.23+20</f>
        <v>527.23</v>
      </c>
      <c r="P1407" s="285"/>
      <c r="Q1407" s="285"/>
      <c r="R1407" s="278"/>
      <c r="S1407" s="278"/>
      <c r="T1407" s="278"/>
    </row>
    <row r="1408" spans="1:20" s="305" customFormat="1" hidden="1" outlineLevel="2" x14ac:dyDescent="0.25">
      <c r="A1408" s="278"/>
      <c r="B1408" s="279" t="str">
        <f t="shared" si="539"/>
        <v>2700mmup to 820mmCSDFprestige</v>
      </c>
      <c r="C1408" s="278" t="s">
        <v>779</v>
      </c>
      <c r="D1408" s="278" t="s">
        <v>724</v>
      </c>
      <c r="E1408" s="278" t="s">
        <v>2110</v>
      </c>
      <c r="F1408" s="278" t="s">
        <v>545</v>
      </c>
      <c r="G1408" s="278" t="s">
        <v>5</v>
      </c>
      <c r="H1408" s="310">
        <v>0.49993574090733833</v>
      </c>
      <c r="I1408" s="280">
        <f t="shared" si="540"/>
        <v>40.304819431949618</v>
      </c>
      <c r="J1408" s="281">
        <f t="shared" si="541"/>
        <v>45.709124791157947</v>
      </c>
      <c r="K1408" s="282">
        <f>IF(Notes!$B$9="Domestic",I1408, IF(Notes!$B$9="Commercial",J1408))*$K$1383</f>
        <v>45.709124791157947</v>
      </c>
      <c r="L1408" s="283">
        <f>(SUM(O1408:Q1408)+(K1408+SUM(M1408:Q1408))*(INDEX($U$1383:$AB$1383,MATCH(Notes!$C$16,$U$3:$AB$3,0))-100%))*$L$1383</f>
        <v>563.23</v>
      </c>
      <c r="M1408" s="286"/>
      <c r="N1408" s="286"/>
      <c r="O1408" s="311">
        <f>O1405+O1405-O1402</f>
        <v>563.23</v>
      </c>
      <c r="P1408" s="285"/>
      <c r="Q1408" s="285"/>
      <c r="R1408" s="278"/>
      <c r="S1408" s="278"/>
      <c r="T1408" s="278"/>
    </row>
    <row r="1409" spans="1:28" s="305" customFormat="1" hidden="1" outlineLevel="2" x14ac:dyDescent="0.25">
      <c r="A1409" s="278"/>
      <c r="B1409" s="279" t="str">
        <f t="shared" si="539"/>
        <v>2700mm821mm to 920mmCSDFprestige</v>
      </c>
      <c r="C1409" s="278" t="s">
        <v>779</v>
      </c>
      <c r="D1409" s="278" t="s">
        <v>721</v>
      </c>
      <c r="E1409" s="278" t="s">
        <v>2110</v>
      </c>
      <c r="F1409" s="278" t="s">
        <v>545</v>
      </c>
      <c r="G1409" s="278" t="s">
        <v>5</v>
      </c>
      <c r="H1409" s="310">
        <v>0.49993574090733833</v>
      </c>
      <c r="I1409" s="280">
        <f t="shared" si="540"/>
        <v>40.304819431949618</v>
      </c>
      <c r="J1409" s="281">
        <f t="shared" si="541"/>
        <v>45.709124791157947</v>
      </c>
      <c r="K1409" s="282">
        <f>IF(Notes!$B$9="Domestic",I1409, IF(Notes!$B$9="Commercial",J1409))*$K$1383</f>
        <v>45.709124791157947</v>
      </c>
      <c r="L1409" s="283">
        <f>(SUM(O1409:Q1409)+(K1409+SUM(M1409:Q1409))*(INDEX($U$1383:$AB$1383,MATCH(Notes!$C$16,$U$3:$AB$3,0))-100%))*$L$1383</f>
        <v>556.23</v>
      </c>
      <c r="M1409" s="286"/>
      <c r="N1409" s="286"/>
      <c r="O1409" s="311">
        <f t="shared" ref="O1409:O1410" si="544">O1406+O1406-O1403</f>
        <v>556.23</v>
      </c>
      <c r="P1409" s="285"/>
      <c r="Q1409" s="285"/>
      <c r="R1409" s="278"/>
      <c r="S1409" s="278"/>
      <c r="T1409" s="278"/>
    </row>
    <row r="1410" spans="1:28" s="305" customFormat="1" hidden="1" outlineLevel="2" x14ac:dyDescent="0.25">
      <c r="A1410" s="278"/>
      <c r="B1410" s="279" t="str">
        <f t="shared" si="539"/>
        <v>2700mm921mm to 1220mmCSDFprestige</v>
      </c>
      <c r="C1410" s="278" t="s">
        <v>779</v>
      </c>
      <c r="D1410" s="278" t="s">
        <v>722</v>
      </c>
      <c r="E1410" s="278" t="s">
        <v>2110</v>
      </c>
      <c r="F1410" s="278" t="s">
        <v>545</v>
      </c>
      <c r="G1410" s="278" t="s">
        <v>5</v>
      </c>
      <c r="H1410" s="310">
        <v>0.64991646317953988</v>
      </c>
      <c r="I1410" s="280">
        <f t="shared" si="540"/>
        <v>52.396265261534509</v>
      </c>
      <c r="J1410" s="281">
        <f t="shared" si="541"/>
        <v>59.421862228505333</v>
      </c>
      <c r="K1410" s="282">
        <f>IF(Notes!$B$9="Domestic",I1410, IF(Notes!$B$9="Commercial",J1410))*$K$1383</f>
        <v>59.421862228505333</v>
      </c>
      <c r="L1410" s="283">
        <f>(SUM(O1410:Q1410)+(K1410+SUM(M1410:Q1410))*(INDEX($U$1383:$AB$1383,MATCH(Notes!$C$16,$U$3:$AB$3,0))-100%))*$L$1383</f>
        <v>663.23</v>
      </c>
      <c r="M1410" s="286"/>
      <c r="N1410" s="286"/>
      <c r="O1410" s="311">
        <f t="shared" si="544"/>
        <v>663.23</v>
      </c>
      <c r="P1410" s="285"/>
      <c r="Q1410" s="285"/>
      <c r="R1410" s="278"/>
      <c r="S1410" s="278"/>
      <c r="T1410" s="278"/>
    </row>
    <row r="1411" spans="1:28" ht="21" hidden="1" outlineLevel="1" collapsed="1" x14ac:dyDescent="0.25">
      <c r="A1411" s="299" t="s">
        <v>2107</v>
      </c>
      <c r="B1411" s="299"/>
      <c r="C1411" s="299"/>
      <c r="D1411" s="299"/>
      <c r="E1411" s="299"/>
      <c r="F1411" s="299"/>
      <c r="G1411" s="299"/>
      <c r="H1411" s="348"/>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row>
    <row r="1412" spans="1:28" ht="15.75" hidden="1" outlineLevel="1" x14ac:dyDescent="0.25">
      <c r="A1412" s="291"/>
      <c r="B1412" s="291"/>
      <c r="C1412" s="291"/>
      <c r="D1412" s="291"/>
      <c r="E1412" s="291"/>
      <c r="F1412" s="291"/>
      <c r="G1412" s="291"/>
      <c r="H1412" s="325"/>
      <c r="I1412" s="291"/>
      <c r="J1412" s="291"/>
      <c r="K1412" s="291">
        <f>K$2</f>
        <v>1</v>
      </c>
      <c r="L1412" s="291">
        <f>L$2</f>
        <v>1</v>
      </c>
      <c r="M1412" s="291"/>
      <c r="N1412" s="291"/>
      <c r="O1412" s="303"/>
      <c r="P1412" s="303"/>
      <c r="Q1412" s="303"/>
      <c r="R1412" s="291"/>
      <c r="S1412" s="291"/>
      <c r="T1412" s="291"/>
      <c r="U1412" s="381">
        <f t="shared" ref="U1412:AB1412" si="545">U$1093</f>
        <v>0.97101449275362317</v>
      </c>
      <c r="V1412" s="381">
        <f t="shared" si="545"/>
        <v>1</v>
      </c>
      <c r="W1412" s="381">
        <f t="shared" si="545"/>
        <v>1.1159420289855073</v>
      </c>
      <c r="X1412" s="381">
        <f t="shared" si="545"/>
        <v>1.0905797101449275</v>
      </c>
      <c r="Y1412" s="381">
        <f t="shared" si="545"/>
        <v>1.1956521739130435</v>
      </c>
      <c r="Z1412" s="381">
        <f t="shared" si="545"/>
        <v>0.89130434782608692</v>
      </c>
      <c r="AA1412" s="381">
        <f t="shared" si="545"/>
        <v>1.3586956521739131</v>
      </c>
      <c r="AB1412" s="381">
        <f t="shared" si="545"/>
        <v>1.0253623188405796</v>
      </c>
    </row>
    <row r="1413" spans="1:28" s="305" customFormat="1" hidden="1" outlineLevel="2" x14ac:dyDescent="0.25">
      <c r="A1413" s="278"/>
      <c r="B1413" s="279" t="str">
        <f>C1413&amp;D1413&amp;E1413&amp;F1413</f>
        <v>2100mmup to 820mmSSDFaverage</v>
      </c>
      <c r="C1413" s="278" t="s">
        <v>557</v>
      </c>
      <c r="D1413" s="278" t="s">
        <v>724</v>
      </c>
      <c r="E1413" s="278" t="s">
        <v>2111</v>
      </c>
      <c r="F1413" s="278" t="s">
        <v>543</v>
      </c>
      <c r="G1413" s="278" t="s">
        <v>5</v>
      </c>
      <c r="H1413" s="310">
        <v>0.24996787045366917</v>
      </c>
      <c r="I1413" s="280">
        <f>$I$2*H1413</f>
        <v>20.152409715974809</v>
      </c>
      <c r="J1413" s="281">
        <f>$J$2*H1413</f>
        <v>22.854562395578974</v>
      </c>
      <c r="K1413" s="282">
        <f>IF(Notes!$B$9="Domestic",I1413, IF(Notes!$B$9="Commercial",J1413))*$K$1412</f>
        <v>22.854562395578974</v>
      </c>
      <c r="L1413" s="283">
        <f>(SUM(O1413:Q1413)+(K1413+SUM(M1413:Q1413))*(INDEX($U$1412:$AB$1412,MATCH(Notes!$C$16,$U$3:$AB$3,0))-100%))*$L$1412</f>
        <v>50.339999999999996</v>
      </c>
      <c r="M1413" s="286"/>
      <c r="N1413" s="286"/>
      <c r="O1413" s="311">
        <f>O1326+15.72</f>
        <v>50.339999999999996</v>
      </c>
      <c r="P1413" s="285"/>
      <c r="Q1413" s="285"/>
      <c r="R1413" s="278"/>
      <c r="S1413" s="278"/>
      <c r="T1413" s="278"/>
    </row>
    <row r="1414" spans="1:28" s="305" customFormat="1" hidden="1" outlineLevel="2" x14ac:dyDescent="0.25">
      <c r="A1414" s="278"/>
      <c r="B1414" s="279" t="str">
        <f t="shared" ref="B1414:B1416" si="546">C1414&amp;D1414&amp;E1414&amp;F1414</f>
        <v>2100mm821mm to 920mmSSDFaverage</v>
      </c>
      <c r="C1414" s="278" t="s">
        <v>557</v>
      </c>
      <c r="D1414" s="278" t="s">
        <v>721</v>
      </c>
      <c r="E1414" s="278" t="s">
        <v>2111</v>
      </c>
      <c r="F1414" s="278" t="s">
        <v>543</v>
      </c>
      <c r="G1414" s="278" t="s">
        <v>5</v>
      </c>
      <c r="H1414" s="310">
        <v>0.33491839095231973</v>
      </c>
      <c r="I1414" s="280">
        <f t="shared" ref="I1414:I1416" si="547">$I$2*H1414</f>
        <v>27.001120678576019</v>
      </c>
      <c r="J1414" s="281">
        <f t="shared" ref="J1414:J1416" si="548">$J$2*H1414</f>
        <v>30.621588484770594</v>
      </c>
      <c r="K1414" s="282">
        <f>IF(Notes!$B$9="Domestic",I1414, IF(Notes!$B$9="Commercial",J1414))*$K$1412</f>
        <v>30.621588484770594</v>
      </c>
      <c r="L1414" s="283">
        <f>(SUM(O1414:Q1414)+(K1414+SUM(M1414:Q1414))*(INDEX($U$1412:$AB$1412,MATCH(Notes!$C$16,$U$3:$AB$3,0))-100%))*$L$1412</f>
        <v>55.61</v>
      </c>
      <c r="M1414" s="286"/>
      <c r="N1414" s="286"/>
      <c r="O1414" s="311">
        <f t="shared" ref="O1414:O1439" si="549">O1327+15.72</f>
        <v>55.61</v>
      </c>
      <c r="P1414" s="285"/>
      <c r="Q1414" s="285"/>
      <c r="R1414" s="278"/>
      <c r="S1414" s="278"/>
      <c r="T1414" s="278"/>
    </row>
    <row r="1415" spans="1:28" s="305" customFormat="1" hidden="1" outlineLevel="2" x14ac:dyDescent="0.25">
      <c r="A1415" s="278"/>
      <c r="B1415" s="279" t="str">
        <f t="shared" si="546"/>
        <v>2100mm921mm to 1220mmSSDFaverage</v>
      </c>
      <c r="C1415" s="278" t="s">
        <v>557</v>
      </c>
      <c r="D1415" s="278" t="s">
        <v>722</v>
      </c>
      <c r="E1415" s="278" t="s">
        <v>2111</v>
      </c>
      <c r="F1415" s="278" t="s">
        <v>543</v>
      </c>
      <c r="G1415" s="278" t="s">
        <v>5</v>
      </c>
      <c r="H1415" s="310">
        <v>0.34995501863513689</v>
      </c>
      <c r="I1415" s="280">
        <f t="shared" si="547"/>
        <v>28.213373602364737</v>
      </c>
      <c r="J1415" s="281">
        <f t="shared" si="548"/>
        <v>31.996387353810569</v>
      </c>
      <c r="K1415" s="282">
        <f>IF(Notes!$B$9="Domestic",I1415, IF(Notes!$B$9="Commercial",J1415))*$K$1412</f>
        <v>31.996387353810569</v>
      </c>
      <c r="L1415" s="283">
        <f>(SUM(O1415:Q1415)+(K1415+SUM(M1415:Q1415))*(INDEX($U$1412:$AB$1412,MATCH(Notes!$C$16,$U$3:$AB$3,0))-100%))*$L$1412</f>
        <v>60.9</v>
      </c>
      <c r="M1415" s="286"/>
      <c r="N1415" s="286"/>
      <c r="O1415" s="311">
        <f t="shared" si="549"/>
        <v>60.9</v>
      </c>
      <c r="P1415" s="285"/>
      <c r="Q1415" s="285"/>
      <c r="R1415" s="278"/>
      <c r="S1415" s="278"/>
      <c r="T1415" s="278"/>
    </row>
    <row r="1416" spans="1:28" s="305" customFormat="1" hidden="1" outlineLevel="2" x14ac:dyDescent="0.25">
      <c r="A1416" s="278"/>
      <c r="B1416" s="279" t="str">
        <f t="shared" si="546"/>
        <v>2400mmup to 820mmSSDFaverage</v>
      </c>
      <c r="C1416" s="278" t="s">
        <v>558</v>
      </c>
      <c r="D1416" s="278" t="s">
        <v>724</v>
      </c>
      <c r="E1416" s="278" t="s">
        <v>2111</v>
      </c>
      <c r="F1416" s="278" t="s">
        <v>543</v>
      </c>
      <c r="G1416" s="278" t="s">
        <v>5</v>
      </c>
      <c r="H1416" s="310">
        <v>0.29996144454440304</v>
      </c>
      <c r="I1416" s="280">
        <f t="shared" si="547"/>
        <v>24.182891659169776</v>
      </c>
      <c r="J1416" s="281">
        <f t="shared" si="548"/>
        <v>27.425474874694771</v>
      </c>
      <c r="K1416" s="282">
        <f>IF(Notes!$B$9="Domestic",I1416, IF(Notes!$B$9="Commercial",J1416))*$K$1412</f>
        <v>27.425474874694771</v>
      </c>
      <c r="L1416" s="283">
        <f>(SUM(O1416:Q1416)+(K1416+SUM(M1416:Q1416))*(INDEX($U$1412:$AB$1412,MATCH(Notes!$C$16,$U$3:$AB$3,0))-100%))*$L$1412</f>
        <v>60.879999999999995</v>
      </c>
      <c r="M1416" s="286"/>
      <c r="N1416" s="286"/>
      <c r="O1416" s="311">
        <f t="shared" si="549"/>
        <v>60.879999999999995</v>
      </c>
      <c r="P1416" s="285"/>
      <c r="Q1416" s="285"/>
      <c r="R1416" s="278"/>
      <c r="S1416" s="278"/>
      <c r="T1416" s="278"/>
    </row>
    <row r="1417" spans="1:28" s="305" customFormat="1" hidden="1" outlineLevel="2" x14ac:dyDescent="0.25">
      <c r="A1417" s="278"/>
      <c r="B1417" s="279" t="str">
        <f t="shared" ref="B1417:B1439" si="550">C1417&amp;D1417&amp;E1417&amp;F1417</f>
        <v>2400mm821mm to 920mmSSDFaverage</v>
      </c>
      <c r="C1417" s="278" t="s">
        <v>558</v>
      </c>
      <c r="D1417" s="278" t="s">
        <v>721</v>
      </c>
      <c r="E1417" s="278" t="s">
        <v>2111</v>
      </c>
      <c r="F1417" s="278" t="s">
        <v>543</v>
      </c>
      <c r="G1417" s="278" t="s">
        <v>5</v>
      </c>
      <c r="H1417" s="310">
        <v>0.3599794370903483</v>
      </c>
      <c r="I1417" s="280">
        <f t="shared" ref="I1417:I1439" si="551">$I$2*H1417</f>
        <v>29.021542218223882</v>
      </c>
      <c r="J1417" s="281">
        <f t="shared" ref="J1417:J1439" si="552">$J$2*H1417</f>
        <v>32.912919933170549</v>
      </c>
      <c r="K1417" s="282">
        <f>IF(Notes!$B$9="Domestic",I1417, IF(Notes!$B$9="Commercial",J1417))*$K$1412</f>
        <v>32.912919933170549</v>
      </c>
      <c r="L1417" s="283">
        <f>(SUM(O1417:Q1417)+(K1417+SUM(M1417:Q1417))*(INDEX($U$1412:$AB$1412,MATCH(Notes!$C$16,$U$3:$AB$3,0))-100%))*$L$1412</f>
        <v>63.519999999999996</v>
      </c>
      <c r="M1417" s="286"/>
      <c r="N1417" s="286"/>
      <c r="O1417" s="311">
        <f t="shared" si="549"/>
        <v>63.519999999999996</v>
      </c>
      <c r="P1417" s="285"/>
      <c r="Q1417" s="285"/>
      <c r="R1417" s="278"/>
      <c r="S1417" s="278"/>
      <c r="T1417" s="278"/>
    </row>
    <row r="1418" spans="1:28" s="305" customFormat="1" hidden="1" outlineLevel="2" x14ac:dyDescent="0.25">
      <c r="A1418" s="278"/>
      <c r="B1418" s="279" t="str">
        <f t="shared" si="550"/>
        <v>2400mm921mm to 1220mmSSDFaverage</v>
      </c>
      <c r="C1418" s="278" t="s">
        <v>558</v>
      </c>
      <c r="D1418" s="278" t="s">
        <v>722</v>
      </c>
      <c r="E1418" s="278" t="s">
        <v>2111</v>
      </c>
      <c r="F1418" s="278" t="s">
        <v>543</v>
      </c>
      <c r="G1418" s="278" t="s">
        <v>5</v>
      </c>
      <c r="H1418" s="310">
        <v>0.37989975581544788</v>
      </c>
      <c r="I1418" s="280">
        <f t="shared" si="551"/>
        <v>30.62751831384141</v>
      </c>
      <c r="J1418" s="281">
        <f t="shared" si="552"/>
        <v>34.734234674206405</v>
      </c>
      <c r="K1418" s="282">
        <f>IF(Notes!$B$9="Domestic",I1418, IF(Notes!$B$9="Commercial",J1418))*$K$1412</f>
        <v>34.734234674206405</v>
      </c>
      <c r="L1418" s="283">
        <f>(SUM(O1418:Q1418)+(K1418+SUM(M1418:Q1418))*(INDEX($U$1412:$AB$1412,MATCH(Notes!$C$16,$U$3:$AB$3,0))-100%))*$L$1412</f>
        <v>68.81</v>
      </c>
      <c r="M1418" s="286"/>
      <c r="N1418" s="286"/>
      <c r="O1418" s="311">
        <f t="shared" si="549"/>
        <v>68.81</v>
      </c>
      <c r="P1418" s="285"/>
      <c r="Q1418" s="285"/>
      <c r="R1418" s="278"/>
      <c r="S1418" s="278"/>
      <c r="T1418" s="278"/>
    </row>
    <row r="1419" spans="1:28" s="305" customFormat="1" hidden="1" outlineLevel="2" x14ac:dyDescent="0.25">
      <c r="A1419" s="278"/>
      <c r="B1419" s="279" t="str">
        <f t="shared" si="550"/>
        <v>2700mmup to 820mmSSDFaverage</v>
      </c>
      <c r="C1419" s="278" t="s">
        <v>779</v>
      </c>
      <c r="D1419" s="278" t="s">
        <v>724</v>
      </c>
      <c r="E1419" s="278" t="s">
        <v>2111</v>
      </c>
      <c r="F1419" s="278" t="s">
        <v>543</v>
      </c>
      <c r="G1419" s="278" t="s">
        <v>5</v>
      </c>
      <c r="H1419" s="310">
        <v>0.29996144454440304</v>
      </c>
      <c r="I1419" s="280">
        <f t="shared" si="551"/>
        <v>24.182891659169776</v>
      </c>
      <c r="J1419" s="281">
        <f t="shared" si="552"/>
        <v>27.425474874694771</v>
      </c>
      <c r="K1419" s="282">
        <f>IF(Notes!$B$9="Domestic",I1419, IF(Notes!$B$9="Commercial",J1419))*$K$1412</f>
        <v>27.425474874694771</v>
      </c>
      <c r="L1419" s="283">
        <f>(SUM(O1419:Q1419)+(K1419+SUM(M1419:Q1419))*(INDEX($U$1412:$AB$1412,MATCH(Notes!$C$16,$U$3:$AB$3,0))-100%))*$L$1412</f>
        <v>71.42</v>
      </c>
      <c r="M1419" s="286"/>
      <c r="N1419" s="286"/>
      <c r="O1419" s="311">
        <f t="shared" si="549"/>
        <v>71.42</v>
      </c>
      <c r="P1419" s="285"/>
      <c r="Q1419" s="285"/>
      <c r="R1419" s="278"/>
      <c r="S1419" s="278"/>
      <c r="T1419" s="278"/>
    </row>
    <row r="1420" spans="1:28" s="305" customFormat="1" hidden="1" outlineLevel="2" x14ac:dyDescent="0.25">
      <c r="A1420" s="278"/>
      <c r="B1420" s="279" t="str">
        <f t="shared" si="550"/>
        <v>2700mm821mm to 920mmSSDFaverage</v>
      </c>
      <c r="C1420" s="278" t="s">
        <v>779</v>
      </c>
      <c r="D1420" s="278" t="s">
        <v>721</v>
      </c>
      <c r="E1420" s="278" t="s">
        <v>2111</v>
      </c>
      <c r="F1420" s="278" t="s">
        <v>543</v>
      </c>
      <c r="G1420" s="278" t="s">
        <v>5</v>
      </c>
      <c r="H1420" s="310">
        <v>0.3599794370903483</v>
      </c>
      <c r="I1420" s="280">
        <f t="shared" si="551"/>
        <v>29.021542218223882</v>
      </c>
      <c r="J1420" s="281">
        <f t="shared" si="552"/>
        <v>32.912919933170549</v>
      </c>
      <c r="K1420" s="282">
        <f>IF(Notes!$B$9="Domestic",I1420, IF(Notes!$B$9="Commercial",J1420))*$K$1412</f>
        <v>32.912919933170549</v>
      </c>
      <c r="L1420" s="283">
        <f>(SUM(O1420:Q1420)+(K1420+SUM(M1420:Q1420))*(INDEX($U$1412:$AB$1412,MATCH(Notes!$C$16,$U$3:$AB$3,0))-100%))*$L$1412</f>
        <v>71.429999999999993</v>
      </c>
      <c r="M1420" s="286"/>
      <c r="N1420" s="286"/>
      <c r="O1420" s="311">
        <f t="shared" si="549"/>
        <v>71.429999999999993</v>
      </c>
      <c r="P1420" s="285"/>
      <c r="Q1420" s="285"/>
      <c r="R1420" s="278"/>
      <c r="S1420" s="278"/>
      <c r="T1420" s="278"/>
    </row>
    <row r="1421" spans="1:28" s="305" customFormat="1" hidden="1" outlineLevel="2" x14ac:dyDescent="0.25">
      <c r="A1421" s="278"/>
      <c r="B1421" s="279" t="str">
        <f t="shared" si="550"/>
        <v>2700mm921mm to 1220mmSSDFaverage</v>
      </c>
      <c r="C1421" s="278" t="s">
        <v>779</v>
      </c>
      <c r="D1421" s="278" t="s">
        <v>722</v>
      </c>
      <c r="E1421" s="278" t="s">
        <v>2111</v>
      </c>
      <c r="F1421" s="278" t="s">
        <v>543</v>
      </c>
      <c r="G1421" s="278" t="s">
        <v>5</v>
      </c>
      <c r="H1421" s="310">
        <v>0.37989975581544788</v>
      </c>
      <c r="I1421" s="280">
        <f t="shared" si="551"/>
        <v>30.62751831384141</v>
      </c>
      <c r="J1421" s="281">
        <f t="shared" si="552"/>
        <v>34.734234674206405</v>
      </c>
      <c r="K1421" s="282">
        <f>IF(Notes!$B$9="Domestic",I1421, IF(Notes!$B$9="Commercial",J1421))*$K$1412</f>
        <v>34.734234674206405</v>
      </c>
      <c r="L1421" s="283">
        <f>(SUM(O1421:Q1421)+(K1421+SUM(M1421:Q1421))*(INDEX($U$1412:$AB$1412,MATCH(Notes!$C$16,$U$3:$AB$3,0))-100%))*$L$1412</f>
        <v>76.720000000000013</v>
      </c>
      <c r="M1421" s="286"/>
      <c r="N1421" s="286"/>
      <c r="O1421" s="311">
        <f t="shared" si="549"/>
        <v>76.720000000000013</v>
      </c>
      <c r="P1421" s="285"/>
      <c r="Q1421" s="285"/>
      <c r="R1421" s="278"/>
      <c r="S1421" s="278"/>
      <c r="T1421" s="278"/>
    </row>
    <row r="1422" spans="1:28" s="305" customFormat="1" hidden="1" outlineLevel="2" x14ac:dyDescent="0.25">
      <c r="A1422" s="278"/>
      <c r="B1422" s="279" t="str">
        <f t="shared" si="550"/>
        <v>2100mmup to 820mmSSDFquality</v>
      </c>
      <c r="C1422" s="278" t="s">
        <v>557</v>
      </c>
      <c r="D1422" s="278" t="s">
        <v>724</v>
      </c>
      <c r="E1422" s="278" t="s">
        <v>2111</v>
      </c>
      <c r="F1422" s="278" t="s">
        <v>544</v>
      </c>
      <c r="G1422" s="278" t="s">
        <v>5</v>
      </c>
      <c r="H1422" s="310">
        <v>0.24996787045366917</v>
      </c>
      <c r="I1422" s="280">
        <f t="shared" si="551"/>
        <v>20.152409715974809</v>
      </c>
      <c r="J1422" s="281">
        <f t="shared" si="552"/>
        <v>22.854562395578974</v>
      </c>
      <c r="K1422" s="282">
        <f>IF(Notes!$B$9="Domestic",I1422, IF(Notes!$B$9="Commercial",J1422))*$K$1412</f>
        <v>22.854562395578974</v>
      </c>
      <c r="L1422" s="283">
        <f>(SUM(O1422:Q1422)+(K1422+SUM(M1422:Q1422))*(INDEX($U$1412:$AB$1412,MATCH(Notes!$C$16,$U$3:$AB$3,0))-100%))*$L$1412</f>
        <v>50.339999999999996</v>
      </c>
      <c r="M1422" s="286"/>
      <c r="N1422" s="286"/>
      <c r="O1422" s="311">
        <f t="shared" si="549"/>
        <v>50.339999999999996</v>
      </c>
      <c r="P1422" s="285"/>
      <c r="Q1422" s="285"/>
      <c r="R1422" s="278"/>
      <c r="S1422" s="278"/>
      <c r="T1422" s="278"/>
    </row>
    <row r="1423" spans="1:28" s="305" customFormat="1" hidden="1" outlineLevel="2" x14ac:dyDescent="0.25">
      <c r="A1423" s="278"/>
      <c r="B1423" s="279" t="str">
        <f t="shared" si="550"/>
        <v>2100mm821mm to 920mmSSDFquality</v>
      </c>
      <c r="C1423" s="278" t="s">
        <v>557</v>
      </c>
      <c r="D1423" s="278" t="s">
        <v>721</v>
      </c>
      <c r="E1423" s="278" t="s">
        <v>2111</v>
      </c>
      <c r="F1423" s="278" t="s">
        <v>544</v>
      </c>
      <c r="G1423" s="278" t="s">
        <v>5</v>
      </c>
      <c r="H1423" s="310">
        <v>0.33491839095231973</v>
      </c>
      <c r="I1423" s="280">
        <f t="shared" si="551"/>
        <v>27.001120678576019</v>
      </c>
      <c r="J1423" s="281">
        <f t="shared" si="552"/>
        <v>30.621588484770594</v>
      </c>
      <c r="K1423" s="282">
        <f>IF(Notes!$B$9="Domestic",I1423, IF(Notes!$B$9="Commercial",J1423))*$K$1412</f>
        <v>30.621588484770594</v>
      </c>
      <c r="L1423" s="283">
        <f>(SUM(O1423:Q1423)+(K1423+SUM(M1423:Q1423))*(INDEX($U$1412:$AB$1412,MATCH(Notes!$C$16,$U$3:$AB$3,0))-100%))*$L$1412</f>
        <v>55.61</v>
      </c>
      <c r="M1423" s="286"/>
      <c r="N1423" s="286"/>
      <c r="O1423" s="311">
        <f t="shared" si="549"/>
        <v>55.61</v>
      </c>
      <c r="P1423" s="285"/>
      <c r="Q1423" s="285"/>
      <c r="R1423" s="278"/>
      <c r="S1423" s="278"/>
      <c r="T1423" s="278"/>
    </row>
    <row r="1424" spans="1:28" s="305" customFormat="1" hidden="1" outlineLevel="2" x14ac:dyDescent="0.25">
      <c r="A1424" s="278"/>
      <c r="B1424" s="279" t="str">
        <f t="shared" si="550"/>
        <v>2100mm921mm to 1220mmSSDFquality</v>
      </c>
      <c r="C1424" s="278" t="s">
        <v>557</v>
      </c>
      <c r="D1424" s="278" t="s">
        <v>722</v>
      </c>
      <c r="E1424" s="278" t="s">
        <v>2111</v>
      </c>
      <c r="F1424" s="278" t="s">
        <v>544</v>
      </c>
      <c r="G1424" s="278" t="s">
        <v>5</v>
      </c>
      <c r="H1424" s="310">
        <v>0.34995501863513689</v>
      </c>
      <c r="I1424" s="280">
        <f t="shared" si="551"/>
        <v>28.213373602364737</v>
      </c>
      <c r="J1424" s="281">
        <f t="shared" si="552"/>
        <v>31.996387353810569</v>
      </c>
      <c r="K1424" s="282">
        <f>IF(Notes!$B$9="Domestic",I1424, IF(Notes!$B$9="Commercial",J1424))*$K$1412</f>
        <v>31.996387353810569</v>
      </c>
      <c r="L1424" s="283">
        <f>(SUM(O1424:Q1424)+(K1424+SUM(M1424:Q1424))*(INDEX($U$1412:$AB$1412,MATCH(Notes!$C$16,$U$3:$AB$3,0))-100%))*$L$1412</f>
        <v>60.9</v>
      </c>
      <c r="M1424" s="286"/>
      <c r="N1424" s="286"/>
      <c r="O1424" s="311">
        <f t="shared" si="549"/>
        <v>60.9</v>
      </c>
      <c r="P1424" s="285"/>
      <c r="Q1424" s="285"/>
      <c r="R1424" s="278"/>
      <c r="S1424" s="278"/>
      <c r="T1424" s="278"/>
    </row>
    <row r="1425" spans="1:28" s="305" customFormat="1" hidden="1" outlineLevel="2" x14ac:dyDescent="0.25">
      <c r="A1425" s="278"/>
      <c r="B1425" s="279" t="str">
        <f t="shared" si="550"/>
        <v>2400mmup to 820mmSSDFquality</v>
      </c>
      <c r="C1425" s="278" t="s">
        <v>558</v>
      </c>
      <c r="D1425" s="278" t="s">
        <v>724</v>
      </c>
      <c r="E1425" s="278" t="s">
        <v>2111</v>
      </c>
      <c r="F1425" s="278" t="s">
        <v>544</v>
      </c>
      <c r="G1425" s="278" t="s">
        <v>5</v>
      </c>
      <c r="H1425" s="310">
        <v>0.29996144454440304</v>
      </c>
      <c r="I1425" s="280">
        <f t="shared" si="551"/>
        <v>24.182891659169776</v>
      </c>
      <c r="J1425" s="281">
        <f t="shared" si="552"/>
        <v>27.425474874694771</v>
      </c>
      <c r="K1425" s="282">
        <f>IF(Notes!$B$9="Domestic",I1425, IF(Notes!$B$9="Commercial",J1425))*$K$1412</f>
        <v>27.425474874694771</v>
      </c>
      <c r="L1425" s="283">
        <f>(SUM(O1425:Q1425)+(K1425+SUM(M1425:Q1425))*(INDEX($U$1412:$AB$1412,MATCH(Notes!$C$16,$U$3:$AB$3,0))-100%))*$L$1412</f>
        <v>60.879999999999995</v>
      </c>
      <c r="M1425" s="286"/>
      <c r="N1425" s="286"/>
      <c r="O1425" s="311">
        <f t="shared" si="549"/>
        <v>60.879999999999995</v>
      </c>
      <c r="P1425" s="285"/>
      <c r="Q1425" s="285"/>
      <c r="R1425" s="278"/>
      <c r="S1425" s="278"/>
      <c r="T1425" s="278"/>
    </row>
    <row r="1426" spans="1:28" s="305" customFormat="1" hidden="1" outlineLevel="2" x14ac:dyDescent="0.25">
      <c r="A1426" s="278"/>
      <c r="B1426" s="279" t="str">
        <f t="shared" si="550"/>
        <v>2400mm821mm to 920mmSSDFquality</v>
      </c>
      <c r="C1426" s="278" t="s">
        <v>558</v>
      </c>
      <c r="D1426" s="278" t="s">
        <v>721</v>
      </c>
      <c r="E1426" s="278" t="s">
        <v>2111</v>
      </c>
      <c r="F1426" s="278" t="s">
        <v>544</v>
      </c>
      <c r="G1426" s="278" t="s">
        <v>5</v>
      </c>
      <c r="H1426" s="310">
        <v>0.3599794370903483</v>
      </c>
      <c r="I1426" s="280">
        <f t="shared" si="551"/>
        <v>29.021542218223882</v>
      </c>
      <c r="J1426" s="281">
        <f t="shared" si="552"/>
        <v>32.912919933170549</v>
      </c>
      <c r="K1426" s="282">
        <f>IF(Notes!$B$9="Domestic",I1426, IF(Notes!$B$9="Commercial",J1426))*$K$1412</f>
        <v>32.912919933170549</v>
      </c>
      <c r="L1426" s="283">
        <f>(SUM(O1426:Q1426)+(K1426+SUM(M1426:Q1426))*(INDEX($U$1412:$AB$1412,MATCH(Notes!$C$16,$U$3:$AB$3,0))-100%))*$L$1412</f>
        <v>63.519999999999996</v>
      </c>
      <c r="M1426" s="286"/>
      <c r="N1426" s="286"/>
      <c r="O1426" s="311">
        <f t="shared" si="549"/>
        <v>63.519999999999996</v>
      </c>
      <c r="P1426" s="285"/>
      <c r="Q1426" s="285"/>
      <c r="R1426" s="278"/>
      <c r="S1426" s="278"/>
      <c r="T1426" s="278"/>
    </row>
    <row r="1427" spans="1:28" s="305" customFormat="1" hidden="1" outlineLevel="2" x14ac:dyDescent="0.25">
      <c r="A1427" s="278"/>
      <c r="B1427" s="279" t="str">
        <f t="shared" si="550"/>
        <v>2400mm921mm to 1220mmSSDFquality</v>
      </c>
      <c r="C1427" s="278" t="s">
        <v>558</v>
      </c>
      <c r="D1427" s="278" t="s">
        <v>722</v>
      </c>
      <c r="E1427" s="278" t="s">
        <v>2111</v>
      </c>
      <c r="F1427" s="278" t="s">
        <v>544</v>
      </c>
      <c r="G1427" s="278" t="s">
        <v>5</v>
      </c>
      <c r="H1427" s="310">
        <v>0.37989975581544788</v>
      </c>
      <c r="I1427" s="280">
        <f t="shared" si="551"/>
        <v>30.62751831384141</v>
      </c>
      <c r="J1427" s="281">
        <f t="shared" si="552"/>
        <v>34.734234674206405</v>
      </c>
      <c r="K1427" s="282">
        <f>IF(Notes!$B$9="Domestic",I1427, IF(Notes!$B$9="Commercial",J1427))*$K$1412</f>
        <v>34.734234674206405</v>
      </c>
      <c r="L1427" s="283">
        <f>(SUM(O1427:Q1427)+(K1427+SUM(M1427:Q1427))*(INDEX($U$1412:$AB$1412,MATCH(Notes!$C$16,$U$3:$AB$3,0))-100%))*$L$1412</f>
        <v>68.81</v>
      </c>
      <c r="M1427" s="286"/>
      <c r="N1427" s="286"/>
      <c r="O1427" s="311">
        <f t="shared" si="549"/>
        <v>68.81</v>
      </c>
      <c r="P1427" s="285"/>
      <c r="Q1427" s="285"/>
      <c r="R1427" s="278"/>
      <c r="S1427" s="278"/>
      <c r="T1427" s="278"/>
    </row>
    <row r="1428" spans="1:28" s="305" customFormat="1" hidden="1" outlineLevel="2" x14ac:dyDescent="0.25">
      <c r="A1428" s="278"/>
      <c r="B1428" s="279" t="str">
        <f t="shared" si="550"/>
        <v>2700mmup to 820mmSSDFquality</v>
      </c>
      <c r="C1428" s="278" t="s">
        <v>779</v>
      </c>
      <c r="D1428" s="278" t="s">
        <v>724</v>
      </c>
      <c r="E1428" s="278" t="s">
        <v>2111</v>
      </c>
      <c r="F1428" s="278" t="s">
        <v>544</v>
      </c>
      <c r="G1428" s="278" t="s">
        <v>5</v>
      </c>
      <c r="H1428" s="310">
        <v>0.29996144454440304</v>
      </c>
      <c r="I1428" s="280">
        <f t="shared" si="551"/>
        <v>24.182891659169776</v>
      </c>
      <c r="J1428" s="281">
        <f t="shared" si="552"/>
        <v>27.425474874694771</v>
      </c>
      <c r="K1428" s="282">
        <f>IF(Notes!$B$9="Domestic",I1428, IF(Notes!$B$9="Commercial",J1428))*$K$1412</f>
        <v>27.425474874694771</v>
      </c>
      <c r="L1428" s="283">
        <f>(SUM(O1428:Q1428)+(K1428+SUM(M1428:Q1428))*(INDEX($U$1412:$AB$1412,MATCH(Notes!$C$16,$U$3:$AB$3,0))-100%))*$L$1412</f>
        <v>71.42</v>
      </c>
      <c r="M1428" s="286"/>
      <c r="N1428" s="286"/>
      <c r="O1428" s="311">
        <f t="shared" si="549"/>
        <v>71.42</v>
      </c>
      <c r="P1428" s="285"/>
      <c r="Q1428" s="285"/>
      <c r="R1428" s="278"/>
      <c r="S1428" s="278"/>
      <c r="T1428" s="278"/>
    </row>
    <row r="1429" spans="1:28" s="305" customFormat="1" hidden="1" outlineLevel="2" x14ac:dyDescent="0.25">
      <c r="A1429" s="278"/>
      <c r="B1429" s="279" t="str">
        <f t="shared" si="550"/>
        <v>2700mm821mm to 920mmSSDFquality</v>
      </c>
      <c r="C1429" s="278" t="s">
        <v>779</v>
      </c>
      <c r="D1429" s="278" t="s">
        <v>721</v>
      </c>
      <c r="E1429" s="278" t="s">
        <v>2111</v>
      </c>
      <c r="F1429" s="278" t="s">
        <v>544</v>
      </c>
      <c r="G1429" s="278" t="s">
        <v>5</v>
      </c>
      <c r="H1429" s="310">
        <v>0.3599794370903483</v>
      </c>
      <c r="I1429" s="280">
        <f t="shared" si="551"/>
        <v>29.021542218223882</v>
      </c>
      <c r="J1429" s="281">
        <f t="shared" si="552"/>
        <v>32.912919933170549</v>
      </c>
      <c r="K1429" s="282">
        <f>IF(Notes!$B$9="Domestic",I1429, IF(Notes!$B$9="Commercial",J1429))*$K$1412</f>
        <v>32.912919933170549</v>
      </c>
      <c r="L1429" s="283">
        <f>(SUM(O1429:Q1429)+(K1429+SUM(M1429:Q1429))*(INDEX($U$1412:$AB$1412,MATCH(Notes!$C$16,$U$3:$AB$3,0))-100%))*$L$1412</f>
        <v>71.429999999999993</v>
      </c>
      <c r="M1429" s="286"/>
      <c r="N1429" s="286"/>
      <c r="O1429" s="311">
        <f t="shared" si="549"/>
        <v>71.429999999999993</v>
      </c>
      <c r="P1429" s="285"/>
      <c r="Q1429" s="285"/>
      <c r="R1429" s="278"/>
      <c r="S1429" s="278"/>
      <c r="T1429" s="278"/>
    </row>
    <row r="1430" spans="1:28" s="305" customFormat="1" hidden="1" outlineLevel="2" x14ac:dyDescent="0.25">
      <c r="A1430" s="278"/>
      <c r="B1430" s="279" t="str">
        <f t="shared" si="550"/>
        <v>2700mm921mm to 1220mmSSDFquality</v>
      </c>
      <c r="C1430" s="278" t="s">
        <v>779</v>
      </c>
      <c r="D1430" s="278" t="s">
        <v>722</v>
      </c>
      <c r="E1430" s="278" t="s">
        <v>2111</v>
      </c>
      <c r="F1430" s="278" t="s">
        <v>544</v>
      </c>
      <c r="G1430" s="278" t="s">
        <v>5</v>
      </c>
      <c r="H1430" s="310">
        <v>0.37989975581544788</v>
      </c>
      <c r="I1430" s="280">
        <f t="shared" si="551"/>
        <v>30.62751831384141</v>
      </c>
      <c r="J1430" s="281">
        <f t="shared" si="552"/>
        <v>34.734234674206405</v>
      </c>
      <c r="K1430" s="282">
        <f>IF(Notes!$B$9="Domestic",I1430, IF(Notes!$B$9="Commercial",J1430))*$K$1412</f>
        <v>34.734234674206405</v>
      </c>
      <c r="L1430" s="283">
        <f>(SUM(O1430:Q1430)+(K1430+SUM(M1430:Q1430))*(INDEX($U$1412:$AB$1412,MATCH(Notes!$C$16,$U$3:$AB$3,0))-100%))*$L$1412</f>
        <v>76.720000000000013</v>
      </c>
      <c r="M1430" s="286"/>
      <c r="N1430" s="286"/>
      <c r="O1430" s="311">
        <f t="shared" si="549"/>
        <v>76.720000000000013</v>
      </c>
      <c r="P1430" s="285"/>
      <c r="Q1430" s="285"/>
      <c r="R1430" s="278"/>
      <c r="S1430" s="278"/>
      <c r="T1430" s="278"/>
    </row>
    <row r="1431" spans="1:28" s="305" customFormat="1" hidden="1" outlineLevel="2" x14ac:dyDescent="0.25">
      <c r="A1431" s="278"/>
      <c r="B1431" s="279" t="str">
        <f t="shared" si="550"/>
        <v>2100mmup to 820mmSSDFprestige</v>
      </c>
      <c r="C1431" s="278" t="s">
        <v>557</v>
      </c>
      <c r="D1431" s="278" t="s">
        <v>724</v>
      </c>
      <c r="E1431" s="278" t="s">
        <v>2111</v>
      </c>
      <c r="F1431" s="278" t="s">
        <v>545</v>
      </c>
      <c r="G1431" s="278" t="s">
        <v>5</v>
      </c>
      <c r="H1431" s="310">
        <v>0.24996787045366917</v>
      </c>
      <c r="I1431" s="280">
        <f t="shared" si="551"/>
        <v>20.152409715974809</v>
      </c>
      <c r="J1431" s="281">
        <f t="shared" si="552"/>
        <v>22.854562395578974</v>
      </c>
      <c r="K1431" s="282">
        <f>IF(Notes!$B$9="Domestic",I1431, IF(Notes!$B$9="Commercial",J1431))*$K$1412</f>
        <v>22.854562395578974</v>
      </c>
      <c r="L1431" s="283">
        <f>(SUM(O1431:Q1431)+(K1431+SUM(M1431:Q1431))*(INDEX($U$1412:$AB$1412,MATCH(Notes!$C$16,$U$3:$AB$3,0))-100%))*$L$1412</f>
        <v>80.89</v>
      </c>
      <c r="M1431" s="286"/>
      <c r="N1431" s="286"/>
      <c r="O1431" s="311">
        <f t="shared" si="549"/>
        <v>80.89</v>
      </c>
      <c r="P1431" s="285"/>
      <c r="Q1431" s="285"/>
      <c r="R1431" s="278"/>
      <c r="S1431" s="278"/>
      <c r="T1431" s="278"/>
    </row>
    <row r="1432" spans="1:28" s="305" customFormat="1" hidden="1" outlineLevel="2" x14ac:dyDescent="0.25">
      <c r="A1432" s="278"/>
      <c r="B1432" s="279" t="str">
        <f t="shared" si="550"/>
        <v>2100mm821mm to 920mmSSDFprestige</v>
      </c>
      <c r="C1432" s="278" t="s">
        <v>557</v>
      </c>
      <c r="D1432" s="278" t="s">
        <v>721</v>
      </c>
      <c r="E1432" s="278" t="s">
        <v>2111</v>
      </c>
      <c r="F1432" s="278" t="s">
        <v>545</v>
      </c>
      <c r="G1432" s="278" t="s">
        <v>5</v>
      </c>
      <c r="H1432" s="310">
        <v>0.33491839095231973</v>
      </c>
      <c r="I1432" s="280">
        <f t="shared" si="551"/>
        <v>27.001120678576019</v>
      </c>
      <c r="J1432" s="281">
        <f t="shared" si="552"/>
        <v>30.621588484770594</v>
      </c>
      <c r="K1432" s="282">
        <f>IF(Notes!$B$9="Domestic",I1432, IF(Notes!$B$9="Commercial",J1432))*$K$1412</f>
        <v>30.621588484770594</v>
      </c>
      <c r="L1432" s="283">
        <f>(SUM(O1432:Q1432)+(K1432+SUM(M1432:Q1432))*(INDEX($U$1412:$AB$1412,MATCH(Notes!$C$16,$U$3:$AB$3,0))-100%))*$L$1412</f>
        <v>91.05</v>
      </c>
      <c r="M1432" s="286"/>
      <c r="N1432" s="286"/>
      <c r="O1432" s="311">
        <f t="shared" si="549"/>
        <v>91.05</v>
      </c>
      <c r="P1432" s="285"/>
      <c r="Q1432" s="285"/>
      <c r="R1432" s="278"/>
      <c r="S1432" s="278"/>
      <c r="T1432" s="278"/>
    </row>
    <row r="1433" spans="1:28" s="305" customFormat="1" hidden="1" outlineLevel="2" x14ac:dyDescent="0.25">
      <c r="A1433" s="278"/>
      <c r="B1433" s="279" t="str">
        <f t="shared" si="550"/>
        <v>2100mm921mm to 1220mmSSDFprestige</v>
      </c>
      <c r="C1433" s="278" t="s">
        <v>557</v>
      </c>
      <c r="D1433" s="278" t="s">
        <v>722</v>
      </c>
      <c r="E1433" s="278" t="s">
        <v>2111</v>
      </c>
      <c r="F1433" s="278" t="s">
        <v>545</v>
      </c>
      <c r="G1433" s="278" t="s">
        <v>5</v>
      </c>
      <c r="H1433" s="310">
        <v>0.34995501863513689</v>
      </c>
      <c r="I1433" s="280">
        <f t="shared" si="551"/>
        <v>28.213373602364737</v>
      </c>
      <c r="J1433" s="281">
        <f t="shared" si="552"/>
        <v>31.996387353810569</v>
      </c>
      <c r="K1433" s="282">
        <f>IF(Notes!$B$9="Domestic",I1433, IF(Notes!$B$9="Commercial",J1433))*$K$1412</f>
        <v>31.996387353810569</v>
      </c>
      <c r="L1433" s="283">
        <f>(SUM(O1433:Q1433)+(K1433+SUM(M1433:Q1433))*(INDEX($U$1412:$AB$1412,MATCH(Notes!$C$16,$U$3:$AB$3,0))-100%))*$L$1412</f>
        <v>101.23</v>
      </c>
      <c r="M1433" s="286"/>
      <c r="N1433" s="286"/>
      <c r="O1433" s="311">
        <f t="shared" si="549"/>
        <v>101.23</v>
      </c>
      <c r="P1433" s="285"/>
      <c r="Q1433" s="285"/>
      <c r="R1433" s="278"/>
      <c r="S1433" s="278"/>
      <c r="T1433" s="278"/>
    </row>
    <row r="1434" spans="1:28" s="305" customFormat="1" hidden="1" outlineLevel="2" x14ac:dyDescent="0.25">
      <c r="A1434" s="278"/>
      <c r="B1434" s="279" t="str">
        <f t="shared" si="550"/>
        <v>2400mmup to 820mmSSDFprestige</v>
      </c>
      <c r="C1434" s="278" t="s">
        <v>558</v>
      </c>
      <c r="D1434" s="278" t="s">
        <v>724</v>
      </c>
      <c r="E1434" s="278" t="s">
        <v>2111</v>
      </c>
      <c r="F1434" s="278" t="s">
        <v>545</v>
      </c>
      <c r="G1434" s="278" t="s">
        <v>5</v>
      </c>
      <c r="H1434" s="310">
        <v>0.29996144454440304</v>
      </c>
      <c r="I1434" s="280">
        <f t="shared" si="551"/>
        <v>24.182891659169776</v>
      </c>
      <c r="J1434" s="281">
        <f t="shared" si="552"/>
        <v>27.425474874694771</v>
      </c>
      <c r="K1434" s="282">
        <f>IF(Notes!$B$9="Domestic",I1434, IF(Notes!$B$9="Commercial",J1434))*$K$1412</f>
        <v>27.425474874694771</v>
      </c>
      <c r="L1434" s="283">
        <f>(SUM(O1434:Q1434)+(K1434+SUM(M1434:Q1434))*(INDEX($U$1412:$AB$1412,MATCH(Notes!$C$16,$U$3:$AB$3,0))-100%))*$L$1412</f>
        <v>101.21</v>
      </c>
      <c r="M1434" s="286"/>
      <c r="N1434" s="286"/>
      <c r="O1434" s="311">
        <f t="shared" si="549"/>
        <v>101.21</v>
      </c>
      <c r="P1434" s="285"/>
      <c r="Q1434" s="285"/>
      <c r="R1434" s="278"/>
      <c r="S1434" s="278"/>
      <c r="T1434" s="278"/>
    </row>
    <row r="1435" spans="1:28" s="305" customFormat="1" hidden="1" outlineLevel="2" x14ac:dyDescent="0.25">
      <c r="A1435" s="278"/>
      <c r="B1435" s="279" t="str">
        <f t="shared" si="550"/>
        <v>2400mm821mm to 920mmSSDFprestige</v>
      </c>
      <c r="C1435" s="278" t="s">
        <v>558</v>
      </c>
      <c r="D1435" s="278" t="s">
        <v>721</v>
      </c>
      <c r="E1435" s="278" t="s">
        <v>2111</v>
      </c>
      <c r="F1435" s="278" t="s">
        <v>545</v>
      </c>
      <c r="G1435" s="278" t="s">
        <v>5</v>
      </c>
      <c r="H1435" s="310">
        <v>0.3599794370903483</v>
      </c>
      <c r="I1435" s="280">
        <f t="shared" si="551"/>
        <v>29.021542218223882</v>
      </c>
      <c r="J1435" s="281">
        <f t="shared" si="552"/>
        <v>32.912919933170549</v>
      </c>
      <c r="K1435" s="282">
        <f>IF(Notes!$B$9="Domestic",I1435, IF(Notes!$B$9="Commercial",J1435))*$K$1412</f>
        <v>32.912919933170549</v>
      </c>
      <c r="L1435" s="283">
        <f>(SUM(O1435:Q1435)+(K1435+SUM(M1435:Q1435))*(INDEX($U$1412:$AB$1412,MATCH(Notes!$C$16,$U$3:$AB$3,0))-100%))*$L$1412</f>
        <v>106.28999999999999</v>
      </c>
      <c r="M1435" s="286"/>
      <c r="N1435" s="286"/>
      <c r="O1435" s="311">
        <f t="shared" si="549"/>
        <v>106.28999999999999</v>
      </c>
      <c r="P1435" s="285"/>
      <c r="Q1435" s="285"/>
      <c r="R1435" s="278"/>
      <c r="S1435" s="278"/>
      <c r="T1435" s="278"/>
    </row>
    <row r="1436" spans="1:28" s="305" customFormat="1" hidden="1" outlineLevel="2" x14ac:dyDescent="0.25">
      <c r="A1436" s="278"/>
      <c r="B1436" s="279" t="str">
        <f t="shared" si="550"/>
        <v>2400mm921mm to 1220mmSSDFprestige</v>
      </c>
      <c r="C1436" s="278" t="s">
        <v>558</v>
      </c>
      <c r="D1436" s="278" t="s">
        <v>722</v>
      </c>
      <c r="E1436" s="278" t="s">
        <v>2111</v>
      </c>
      <c r="F1436" s="278" t="s">
        <v>545</v>
      </c>
      <c r="G1436" s="278" t="s">
        <v>5</v>
      </c>
      <c r="H1436" s="310">
        <v>0.37989975581544788</v>
      </c>
      <c r="I1436" s="280">
        <f t="shared" si="551"/>
        <v>30.62751831384141</v>
      </c>
      <c r="J1436" s="281">
        <f t="shared" si="552"/>
        <v>34.734234674206405</v>
      </c>
      <c r="K1436" s="282">
        <f>IF(Notes!$B$9="Domestic",I1436, IF(Notes!$B$9="Commercial",J1436))*$K$1412</f>
        <v>34.734234674206405</v>
      </c>
      <c r="L1436" s="283">
        <f>(SUM(O1436:Q1436)+(K1436+SUM(M1436:Q1436))*(INDEX($U$1412:$AB$1412,MATCH(Notes!$C$16,$U$3:$AB$3,0))-100%))*$L$1412</f>
        <v>116.47</v>
      </c>
      <c r="M1436" s="286"/>
      <c r="N1436" s="286"/>
      <c r="O1436" s="311">
        <f t="shared" si="549"/>
        <v>116.47</v>
      </c>
      <c r="P1436" s="285"/>
      <c r="Q1436" s="285"/>
      <c r="R1436" s="278"/>
      <c r="S1436" s="278"/>
      <c r="T1436" s="278"/>
    </row>
    <row r="1437" spans="1:28" s="305" customFormat="1" hidden="1" outlineLevel="2" x14ac:dyDescent="0.25">
      <c r="A1437" s="278"/>
      <c r="B1437" s="279" t="str">
        <f t="shared" si="550"/>
        <v>2700mmup to 820mmSSDFprestige</v>
      </c>
      <c r="C1437" s="278" t="s">
        <v>779</v>
      </c>
      <c r="D1437" s="278" t="s">
        <v>724</v>
      </c>
      <c r="E1437" s="278" t="s">
        <v>2111</v>
      </c>
      <c r="F1437" s="278" t="s">
        <v>545</v>
      </c>
      <c r="G1437" s="278" t="s">
        <v>5</v>
      </c>
      <c r="H1437" s="310">
        <v>0.29996144454440304</v>
      </c>
      <c r="I1437" s="280">
        <f t="shared" si="551"/>
        <v>24.182891659169776</v>
      </c>
      <c r="J1437" s="281">
        <f t="shared" si="552"/>
        <v>27.425474874694771</v>
      </c>
      <c r="K1437" s="282">
        <f>IF(Notes!$B$9="Domestic",I1437, IF(Notes!$B$9="Commercial",J1437))*$K$1412</f>
        <v>27.425474874694771</v>
      </c>
      <c r="L1437" s="283">
        <f>(SUM(O1437:Q1437)+(K1437+SUM(M1437:Q1437))*(INDEX($U$1412:$AB$1412,MATCH(Notes!$C$16,$U$3:$AB$3,0))-100%))*$L$1412</f>
        <v>121.52999999999999</v>
      </c>
      <c r="M1437" s="286"/>
      <c r="N1437" s="286"/>
      <c r="O1437" s="311">
        <f t="shared" si="549"/>
        <v>121.52999999999999</v>
      </c>
      <c r="P1437" s="285"/>
      <c r="Q1437" s="285"/>
      <c r="R1437" s="278"/>
      <c r="S1437" s="278"/>
      <c r="T1437" s="278"/>
    </row>
    <row r="1438" spans="1:28" s="305" customFormat="1" hidden="1" outlineLevel="2" x14ac:dyDescent="0.25">
      <c r="A1438" s="278"/>
      <c r="B1438" s="279" t="str">
        <f t="shared" si="550"/>
        <v>2700mm821mm to 920mmSSDFprestige</v>
      </c>
      <c r="C1438" s="278" t="s">
        <v>779</v>
      </c>
      <c r="D1438" s="278" t="s">
        <v>721</v>
      </c>
      <c r="E1438" s="278" t="s">
        <v>2111</v>
      </c>
      <c r="F1438" s="278" t="s">
        <v>545</v>
      </c>
      <c r="G1438" s="278" t="s">
        <v>5</v>
      </c>
      <c r="H1438" s="310">
        <v>0.3599794370903483</v>
      </c>
      <c r="I1438" s="280">
        <f t="shared" si="551"/>
        <v>29.021542218223882</v>
      </c>
      <c r="J1438" s="281">
        <f t="shared" si="552"/>
        <v>32.912919933170549</v>
      </c>
      <c r="K1438" s="282">
        <f>IF(Notes!$B$9="Domestic",I1438, IF(Notes!$B$9="Commercial",J1438))*$K$1412</f>
        <v>32.912919933170549</v>
      </c>
      <c r="L1438" s="283">
        <f>(SUM(O1438:Q1438)+(K1438+SUM(M1438:Q1438))*(INDEX($U$1412:$AB$1412,MATCH(Notes!$C$16,$U$3:$AB$3,0))-100%))*$L$1412</f>
        <v>121.52999999999999</v>
      </c>
      <c r="M1438" s="286"/>
      <c r="N1438" s="286"/>
      <c r="O1438" s="311">
        <f t="shared" si="549"/>
        <v>121.52999999999999</v>
      </c>
      <c r="P1438" s="285"/>
      <c r="Q1438" s="285"/>
      <c r="R1438" s="278"/>
      <c r="S1438" s="278"/>
      <c r="T1438" s="278"/>
    </row>
    <row r="1439" spans="1:28" s="305" customFormat="1" hidden="1" outlineLevel="2" x14ac:dyDescent="0.25">
      <c r="A1439" s="278"/>
      <c r="B1439" s="279" t="str">
        <f t="shared" si="550"/>
        <v>2700mm921mm to 1220mmSSDFprestige</v>
      </c>
      <c r="C1439" s="278" t="s">
        <v>779</v>
      </c>
      <c r="D1439" s="278" t="s">
        <v>722</v>
      </c>
      <c r="E1439" s="278" t="s">
        <v>2111</v>
      </c>
      <c r="F1439" s="278" t="s">
        <v>545</v>
      </c>
      <c r="G1439" s="278" t="s">
        <v>5</v>
      </c>
      <c r="H1439" s="310">
        <v>0.37989975581544788</v>
      </c>
      <c r="I1439" s="280">
        <f t="shared" si="551"/>
        <v>30.62751831384141</v>
      </c>
      <c r="J1439" s="281">
        <f t="shared" si="552"/>
        <v>34.734234674206405</v>
      </c>
      <c r="K1439" s="282">
        <f>IF(Notes!$B$9="Domestic",I1439, IF(Notes!$B$9="Commercial",J1439))*$K$1412</f>
        <v>34.734234674206405</v>
      </c>
      <c r="L1439" s="283">
        <f>(SUM(O1439:Q1439)+(K1439+SUM(M1439:Q1439))*(INDEX($U$1412:$AB$1412,MATCH(Notes!$C$16,$U$3:$AB$3,0))-100%))*$L$1412</f>
        <v>131.71</v>
      </c>
      <c r="M1439" s="286"/>
      <c r="N1439" s="286"/>
      <c r="O1439" s="311">
        <f t="shared" si="549"/>
        <v>131.71</v>
      </c>
      <c r="P1439" s="285"/>
      <c r="Q1439" s="285"/>
      <c r="R1439" s="278"/>
      <c r="S1439" s="278"/>
      <c r="T1439" s="278"/>
    </row>
    <row r="1440" spans="1:28" ht="21" hidden="1" outlineLevel="1" collapsed="1" x14ac:dyDescent="0.25">
      <c r="A1440" s="299" t="s">
        <v>2112</v>
      </c>
      <c r="B1440" s="299"/>
      <c r="C1440" s="299"/>
      <c r="D1440" s="299"/>
      <c r="E1440" s="299"/>
      <c r="F1440" s="299"/>
      <c r="G1440" s="299"/>
      <c r="H1440" s="348"/>
      <c r="I1440" s="299"/>
      <c r="J1440" s="299"/>
      <c r="K1440" s="299"/>
      <c r="L1440" s="299"/>
      <c r="M1440" s="299"/>
      <c r="N1440" s="299"/>
      <c r="O1440" s="299"/>
      <c r="P1440" s="299"/>
      <c r="Q1440" s="299"/>
      <c r="R1440" s="299"/>
      <c r="S1440" s="299"/>
      <c r="T1440" s="299"/>
      <c r="U1440" s="299"/>
      <c r="V1440" s="299"/>
      <c r="W1440" s="299"/>
      <c r="X1440" s="299"/>
      <c r="Y1440" s="299"/>
      <c r="Z1440" s="299"/>
      <c r="AA1440" s="299"/>
      <c r="AB1440" s="299"/>
    </row>
    <row r="1441" spans="1:28" ht="15.75" hidden="1" outlineLevel="1" x14ac:dyDescent="0.25">
      <c r="A1441" s="291"/>
      <c r="B1441" s="291"/>
      <c r="C1441" s="291"/>
      <c r="D1441" s="291"/>
      <c r="E1441" s="291"/>
      <c r="F1441" s="291"/>
      <c r="G1441" s="291"/>
      <c r="H1441" s="325"/>
      <c r="I1441" s="291"/>
      <c r="J1441" s="291"/>
      <c r="K1441" s="291">
        <f>K$2</f>
        <v>1</v>
      </c>
      <c r="L1441" s="291">
        <f>L$2</f>
        <v>1</v>
      </c>
      <c r="M1441" s="291"/>
      <c r="N1441" s="291"/>
      <c r="O1441" s="303"/>
      <c r="P1441" s="303"/>
      <c r="Q1441" s="303"/>
      <c r="R1441" s="291"/>
      <c r="S1441" s="291"/>
      <c r="T1441" s="291"/>
      <c r="U1441" s="381">
        <f t="shared" ref="U1441:AB1441" si="553">U$1093</f>
        <v>0.97101449275362317</v>
      </c>
      <c r="V1441" s="381">
        <f t="shared" si="553"/>
        <v>1</v>
      </c>
      <c r="W1441" s="381">
        <f t="shared" si="553"/>
        <v>1.1159420289855073</v>
      </c>
      <c r="X1441" s="381">
        <f t="shared" si="553"/>
        <v>1.0905797101449275</v>
      </c>
      <c r="Y1441" s="381">
        <f t="shared" si="553"/>
        <v>1.1956521739130435</v>
      </c>
      <c r="Z1441" s="381">
        <f t="shared" si="553"/>
        <v>0.89130434782608692</v>
      </c>
      <c r="AA1441" s="381">
        <f t="shared" si="553"/>
        <v>1.3586956521739131</v>
      </c>
      <c r="AB1441" s="381">
        <f t="shared" si="553"/>
        <v>1.0253623188405796</v>
      </c>
    </row>
    <row r="1442" spans="1:28" s="305" customFormat="1" hidden="1" outlineLevel="2" x14ac:dyDescent="0.25">
      <c r="A1442" s="278"/>
      <c r="B1442" s="279" t="str">
        <f>C1442&amp;D1442&amp;E1442&amp;F1442</f>
        <v>2100mmup to 820mmSFDFaverage</v>
      </c>
      <c r="C1442" s="278" t="s">
        <v>557</v>
      </c>
      <c r="D1442" s="278" t="s">
        <v>724</v>
      </c>
      <c r="E1442" s="278" t="s">
        <v>2113</v>
      </c>
      <c r="F1442" s="278" t="s">
        <v>543</v>
      </c>
      <c r="G1442" s="278" t="s">
        <v>5</v>
      </c>
      <c r="H1442" s="310">
        <v>2.3998200745405471</v>
      </c>
      <c r="I1442" s="280">
        <f>$I$2*H1442</f>
        <v>193.47349440945891</v>
      </c>
      <c r="J1442" s="281">
        <f>$J$2*H1442</f>
        <v>219.41554941524225</v>
      </c>
      <c r="K1442" s="282">
        <f>IF(Notes!$B$9="Domestic",I1442, IF(Notes!$B$9="Commercial",J1442))*$K$1441</f>
        <v>219.41554941524225</v>
      </c>
      <c r="L1442" s="283">
        <f>(SUM(O1442:Q1442)+(K1442+SUM(M1442:Q1442))*(INDEX($U$1441:$AB$1441,MATCH(Notes!$C$16,$U$3:$AB$3,0))-100%))*$L$1441</f>
        <v>302.14</v>
      </c>
      <c r="M1442" s="286"/>
      <c r="N1442" s="286"/>
      <c r="O1442" s="285">
        <f>302.14</f>
        <v>302.14</v>
      </c>
      <c r="P1442" s="285"/>
      <c r="Q1442" s="285"/>
      <c r="R1442" s="278"/>
      <c r="S1442" s="278"/>
      <c r="T1442" s="278"/>
    </row>
    <row r="1443" spans="1:28" s="305" customFormat="1" hidden="1" outlineLevel="2" x14ac:dyDescent="0.25">
      <c r="A1443" s="278"/>
      <c r="B1443" s="279" t="str">
        <f t="shared" ref="B1443:B1444" si="554">C1443&amp;D1443&amp;E1443&amp;F1443</f>
        <v>2100mm821mm to 920mmSFDFaverage</v>
      </c>
      <c r="C1443" s="278" t="s">
        <v>557</v>
      </c>
      <c r="D1443" s="278" t="s">
        <v>721</v>
      </c>
      <c r="E1443" s="278" t="s">
        <v>2113</v>
      </c>
      <c r="F1443" s="278" t="s">
        <v>543</v>
      </c>
      <c r="G1443" s="278" t="s">
        <v>5</v>
      </c>
      <c r="H1443" s="310">
        <v>2.5499293149980722</v>
      </c>
      <c r="I1443" s="280">
        <f t="shared" ref="I1443:I1444" si="555">$I$2*H1443</f>
        <v>205.57530137514459</v>
      </c>
      <c r="J1443" s="281">
        <f t="shared" ref="J1443:J1444" si="556">$J$2*H1443</f>
        <v>233.14003727027375</v>
      </c>
      <c r="K1443" s="282">
        <f>IF(Notes!$B$9="Domestic",I1443, IF(Notes!$B$9="Commercial",J1443))*$K$1441</f>
        <v>233.14003727027375</v>
      </c>
      <c r="L1443" s="283">
        <f>(SUM(O1443:Q1443)+(K1443+SUM(M1443:Q1443))*(INDEX($U$1441:$AB$1441,MATCH(Notes!$C$16,$U$3:$AB$3,0))-100%))*$L$1441</f>
        <v>302.14</v>
      </c>
      <c r="M1443" s="286"/>
      <c r="N1443" s="286"/>
      <c r="O1443" s="285">
        <f>302.14</f>
        <v>302.14</v>
      </c>
      <c r="P1443" s="285"/>
      <c r="Q1443" s="285"/>
      <c r="R1443" s="278"/>
      <c r="S1443" s="278"/>
      <c r="T1443" s="278"/>
    </row>
    <row r="1444" spans="1:28" s="305" customFormat="1" hidden="1" outlineLevel="2" x14ac:dyDescent="0.25">
      <c r="A1444" s="278"/>
      <c r="B1444" s="279" t="str">
        <f t="shared" si="554"/>
        <v>2100mm921mm to 1220mmSFDFaverage</v>
      </c>
      <c r="C1444" s="278" t="s">
        <v>557</v>
      </c>
      <c r="D1444" s="278" t="s">
        <v>722</v>
      </c>
      <c r="E1444" s="278" t="s">
        <v>2113</v>
      </c>
      <c r="F1444" s="278" t="s">
        <v>543</v>
      </c>
      <c r="G1444" s="278" t="s">
        <v>5</v>
      </c>
      <c r="H1444" s="310">
        <v>2.6499164631795398</v>
      </c>
      <c r="I1444" s="280">
        <f t="shared" si="555"/>
        <v>213.6362652615345</v>
      </c>
      <c r="J1444" s="281">
        <f t="shared" si="556"/>
        <v>242.28186222850533</v>
      </c>
      <c r="K1444" s="282">
        <f>IF(Notes!$B$9="Domestic",I1444, IF(Notes!$B$9="Commercial",J1444))*$K$1441</f>
        <v>242.28186222850533</v>
      </c>
      <c r="L1444" s="283">
        <f>(SUM(O1444:Q1444)+(K1444+SUM(M1444:Q1444))*(INDEX($U$1441:$AB$1441,MATCH(Notes!$C$16,$U$3:$AB$3,0))-100%))*$L$1441</f>
        <v>382.14</v>
      </c>
      <c r="M1444" s="286"/>
      <c r="N1444" s="286"/>
      <c r="O1444" s="285">
        <f>382.14</f>
        <v>382.14</v>
      </c>
      <c r="P1444" s="285"/>
      <c r="Q1444" s="285"/>
      <c r="R1444" s="278"/>
      <c r="S1444" s="278"/>
      <c r="T1444" s="278"/>
    </row>
    <row r="1445" spans="1:28" s="305" customFormat="1" hidden="1" outlineLevel="2" x14ac:dyDescent="0.25">
      <c r="A1445" s="278"/>
      <c r="B1445" s="279" t="str">
        <f t="shared" ref="B1445:B1468" si="557">C1445&amp;D1445&amp;E1445&amp;F1445</f>
        <v>2400mmup to 820mmSFDFaverage</v>
      </c>
      <c r="C1445" s="278" t="s">
        <v>558</v>
      </c>
      <c r="D1445" s="278" t="s">
        <v>724</v>
      </c>
      <c r="E1445" s="278" t="s">
        <v>2113</v>
      </c>
      <c r="F1445" s="278" t="s">
        <v>543</v>
      </c>
      <c r="G1445" s="278" t="s">
        <v>5</v>
      </c>
      <c r="H1445" s="310">
        <v>2.5283382598637707</v>
      </c>
      <c r="I1445" s="280">
        <f t="shared" ref="I1445:I1468" si="558">$I$2*H1445</f>
        <v>203.83463051021721</v>
      </c>
      <c r="J1445" s="281">
        <f t="shared" ref="J1445:J1468" si="559">$J$2*H1445</f>
        <v>231.16596709934458</v>
      </c>
      <c r="K1445" s="282">
        <f>IF(Notes!$B$9="Domestic",I1445, IF(Notes!$B$9="Commercial",J1445))*$K$1441</f>
        <v>231.16596709934458</v>
      </c>
      <c r="L1445" s="283">
        <f>(SUM(O1445:Q1445)+(K1445+SUM(M1445:Q1445))*(INDEX($U$1441:$AB$1441,MATCH(Notes!$C$16,$U$3:$AB$3,0))-100%))*$L$1441</f>
        <v>322.14</v>
      </c>
      <c r="M1445" s="286"/>
      <c r="N1445" s="286"/>
      <c r="O1445" s="285">
        <f>O1442+20</f>
        <v>322.14</v>
      </c>
      <c r="P1445" s="285"/>
      <c r="Q1445" s="285"/>
      <c r="R1445" s="278"/>
      <c r="S1445" s="278"/>
      <c r="T1445" s="278"/>
    </row>
    <row r="1446" spans="1:28" s="305" customFormat="1" hidden="1" outlineLevel="2" x14ac:dyDescent="0.25">
      <c r="A1446" s="278"/>
      <c r="B1446" s="279" t="str">
        <f t="shared" si="557"/>
        <v>2400mm821mm to 920mmSFDFaverage</v>
      </c>
      <c r="C1446" s="278" t="s">
        <v>558</v>
      </c>
      <c r="D1446" s="278" t="s">
        <v>721</v>
      </c>
      <c r="E1446" s="278" t="s">
        <v>2113</v>
      </c>
      <c r="F1446" s="278" t="s">
        <v>543</v>
      </c>
      <c r="G1446" s="278" t="s">
        <v>5</v>
      </c>
      <c r="H1446" s="310">
        <v>2.6784475003212953</v>
      </c>
      <c r="I1446" s="280">
        <f t="shared" si="558"/>
        <v>215.93643747590284</v>
      </c>
      <c r="J1446" s="281">
        <f t="shared" si="559"/>
        <v>244.89045495437605</v>
      </c>
      <c r="K1446" s="282">
        <f>IF(Notes!$B$9="Domestic",I1446, IF(Notes!$B$9="Commercial",J1446))*$K$1441</f>
        <v>244.89045495437605</v>
      </c>
      <c r="L1446" s="283">
        <f>(SUM(O1446:Q1446)+(K1446+SUM(M1446:Q1446))*(INDEX($U$1441:$AB$1441,MATCH(Notes!$C$16,$U$3:$AB$3,0))-100%))*$L$1441</f>
        <v>322.14</v>
      </c>
      <c r="M1446" s="286"/>
      <c r="N1446" s="286"/>
      <c r="O1446" s="285">
        <f t="shared" ref="O1446:O1450" si="560">O1443+20</f>
        <v>322.14</v>
      </c>
      <c r="P1446" s="285"/>
      <c r="Q1446" s="285"/>
      <c r="R1446" s="278"/>
      <c r="S1446" s="278"/>
      <c r="T1446" s="278"/>
    </row>
    <row r="1447" spans="1:28" s="305" customFormat="1" hidden="1" outlineLevel="2" x14ac:dyDescent="0.25">
      <c r="A1447" s="278"/>
      <c r="B1447" s="279" t="str">
        <f t="shared" si="557"/>
        <v>2400mm921mm to 1220mmSFDFaverage</v>
      </c>
      <c r="C1447" s="278" t="s">
        <v>558</v>
      </c>
      <c r="D1447" s="278" t="s">
        <v>722</v>
      </c>
      <c r="E1447" s="278" t="s">
        <v>2113</v>
      </c>
      <c r="F1447" s="278" t="s">
        <v>543</v>
      </c>
      <c r="G1447" s="278" t="s">
        <v>5</v>
      </c>
      <c r="H1447" s="310">
        <v>2.7784346485027629</v>
      </c>
      <c r="I1447" s="280">
        <f t="shared" si="558"/>
        <v>223.99740136229275</v>
      </c>
      <c r="J1447" s="281">
        <f t="shared" si="559"/>
        <v>254.03227991260763</v>
      </c>
      <c r="K1447" s="282">
        <f>IF(Notes!$B$9="Domestic",I1447, IF(Notes!$B$9="Commercial",J1447))*$K$1441</f>
        <v>254.03227991260763</v>
      </c>
      <c r="L1447" s="283">
        <f>(SUM(O1447:Q1447)+(K1447+SUM(M1447:Q1447))*(INDEX($U$1441:$AB$1441,MATCH(Notes!$C$16,$U$3:$AB$3,0))-100%))*$L$1441</f>
        <v>402.14</v>
      </c>
      <c r="M1447" s="286"/>
      <c r="N1447" s="286"/>
      <c r="O1447" s="285">
        <f t="shared" si="560"/>
        <v>402.14</v>
      </c>
      <c r="P1447" s="285"/>
      <c r="Q1447" s="285"/>
      <c r="R1447" s="278"/>
      <c r="S1447" s="278"/>
      <c r="T1447" s="278"/>
    </row>
    <row r="1448" spans="1:28" s="305" customFormat="1" hidden="1" outlineLevel="2" x14ac:dyDescent="0.25">
      <c r="A1448" s="278"/>
      <c r="B1448" s="279" t="str">
        <f t="shared" si="557"/>
        <v>2700mmup to 820mmSFDFaverage</v>
      </c>
      <c r="C1448" s="278" t="s">
        <v>779</v>
      </c>
      <c r="D1448" s="278" t="s">
        <v>724</v>
      </c>
      <c r="E1448" s="278" t="s">
        <v>2113</v>
      </c>
      <c r="F1448" s="278" t="s">
        <v>543</v>
      </c>
      <c r="G1448" s="278" t="s">
        <v>5</v>
      </c>
      <c r="H1448" s="310">
        <v>2.6568564451869938</v>
      </c>
      <c r="I1448" s="280">
        <f t="shared" si="558"/>
        <v>214.19576661097545</v>
      </c>
      <c r="J1448" s="281">
        <f t="shared" si="559"/>
        <v>242.91638478344686</v>
      </c>
      <c r="K1448" s="282">
        <f>IF(Notes!$B$9="Domestic",I1448, IF(Notes!$B$9="Commercial",J1448))*$K$1441</f>
        <v>242.91638478344686</v>
      </c>
      <c r="L1448" s="283">
        <f>(SUM(O1448:Q1448)+(K1448+SUM(M1448:Q1448))*(INDEX($U$1441:$AB$1441,MATCH(Notes!$C$16,$U$3:$AB$3,0))-100%))*$L$1441</f>
        <v>342.14</v>
      </c>
      <c r="M1448" s="286"/>
      <c r="N1448" s="286"/>
      <c r="O1448" s="285">
        <f t="shared" si="560"/>
        <v>342.14</v>
      </c>
      <c r="P1448" s="285"/>
      <c r="Q1448" s="285"/>
      <c r="R1448" s="278"/>
      <c r="S1448" s="278"/>
      <c r="T1448" s="278"/>
    </row>
    <row r="1449" spans="1:28" s="305" customFormat="1" hidden="1" outlineLevel="2" x14ac:dyDescent="0.25">
      <c r="A1449" s="278"/>
      <c r="B1449" s="279" t="str">
        <f t="shared" si="557"/>
        <v>2700mm821mm to 920mmSFDFaverage</v>
      </c>
      <c r="C1449" s="278" t="s">
        <v>779</v>
      </c>
      <c r="D1449" s="278" t="s">
        <v>721</v>
      </c>
      <c r="E1449" s="278" t="s">
        <v>2113</v>
      </c>
      <c r="F1449" s="278" t="s">
        <v>543</v>
      </c>
      <c r="G1449" s="278" t="s">
        <v>5</v>
      </c>
      <c r="H1449" s="310">
        <v>2.8069656856445184</v>
      </c>
      <c r="I1449" s="280">
        <f t="shared" si="558"/>
        <v>226.29757357666108</v>
      </c>
      <c r="J1449" s="281">
        <f t="shared" si="559"/>
        <v>256.64087263847836</v>
      </c>
      <c r="K1449" s="282">
        <f>IF(Notes!$B$9="Domestic",I1449, IF(Notes!$B$9="Commercial",J1449))*$K$1441</f>
        <v>256.64087263847836</v>
      </c>
      <c r="L1449" s="283">
        <f>(SUM(O1449:Q1449)+(K1449+SUM(M1449:Q1449))*(INDEX($U$1441:$AB$1441,MATCH(Notes!$C$16,$U$3:$AB$3,0))-100%))*$L$1441</f>
        <v>342.14</v>
      </c>
      <c r="M1449" s="286"/>
      <c r="N1449" s="286"/>
      <c r="O1449" s="285">
        <f t="shared" si="560"/>
        <v>342.14</v>
      </c>
      <c r="P1449" s="285"/>
      <c r="Q1449" s="285"/>
      <c r="R1449" s="278"/>
      <c r="S1449" s="278"/>
      <c r="T1449" s="278"/>
    </row>
    <row r="1450" spans="1:28" s="305" customFormat="1" hidden="1" outlineLevel="2" x14ac:dyDescent="0.25">
      <c r="A1450" s="278"/>
      <c r="B1450" s="279" t="str">
        <f t="shared" si="557"/>
        <v>2700mm921mm to 1220mmSFDFaverage</v>
      </c>
      <c r="C1450" s="278" t="s">
        <v>779</v>
      </c>
      <c r="D1450" s="278" t="s">
        <v>722</v>
      </c>
      <c r="E1450" s="278" t="s">
        <v>2113</v>
      </c>
      <c r="F1450" s="278" t="s">
        <v>543</v>
      </c>
      <c r="G1450" s="278" t="s">
        <v>5</v>
      </c>
      <c r="H1450" s="310">
        <v>2.9069528338259865</v>
      </c>
      <c r="I1450" s="280">
        <f t="shared" si="558"/>
        <v>234.35853746305105</v>
      </c>
      <c r="J1450" s="281">
        <f t="shared" si="559"/>
        <v>265.78269759670997</v>
      </c>
      <c r="K1450" s="282">
        <f>IF(Notes!$B$9="Domestic",I1450, IF(Notes!$B$9="Commercial",J1450))*$K$1441</f>
        <v>265.78269759670997</v>
      </c>
      <c r="L1450" s="283">
        <f>(SUM(O1450:Q1450)+(K1450+SUM(M1450:Q1450))*(INDEX($U$1441:$AB$1441,MATCH(Notes!$C$16,$U$3:$AB$3,0))-100%))*$L$1441</f>
        <v>422.14</v>
      </c>
      <c r="M1450" s="286"/>
      <c r="N1450" s="286"/>
      <c r="O1450" s="285">
        <f t="shared" si="560"/>
        <v>422.14</v>
      </c>
      <c r="P1450" s="285"/>
      <c r="Q1450" s="285"/>
      <c r="R1450" s="278"/>
      <c r="S1450" s="278"/>
      <c r="T1450" s="278"/>
    </row>
    <row r="1451" spans="1:28" s="305" customFormat="1" hidden="1" outlineLevel="2" x14ac:dyDescent="0.25">
      <c r="A1451" s="278"/>
      <c r="B1451" s="279" t="str">
        <f t="shared" si="557"/>
        <v>2100mmup to 820mmSFDFquality</v>
      </c>
      <c r="C1451" s="278" t="s">
        <v>557</v>
      </c>
      <c r="D1451" s="278" t="s">
        <v>724</v>
      </c>
      <c r="E1451" s="278" t="s">
        <v>2113</v>
      </c>
      <c r="F1451" s="278" t="s">
        <v>544</v>
      </c>
      <c r="G1451" s="278" t="s">
        <v>5</v>
      </c>
      <c r="H1451" s="310">
        <v>2.3998200745405471</v>
      </c>
      <c r="I1451" s="280">
        <f t="shared" si="558"/>
        <v>193.47349440945891</v>
      </c>
      <c r="J1451" s="281">
        <f t="shared" si="559"/>
        <v>219.41554941524225</v>
      </c>
      <c r="K1451" s="282">
        <f>IF(Notes!$B$9="Domestic",I1451, IF(Notes!$B$9="Commercial",J1451))*$K$1441</f>
        <v>219.41554941524225</v>
      </c>
      <c r="L1451" s="283">
        <f>(SUM(O1451:Q1451)+(K1451+SUM(M1451:Q1451))*(INDEX($U$1441:$AB$1441,MATCH(Notes!$C$16,$U$3:$AB$3,0))-100%))*$L$1441</f>
        <v>323.98</v>
      </c>
      <c r="M1451" s="286"/>
      <c r="N1451" s="286"/>
      <c r="O1451" s="285">
        <f>323.98</f>
        <v>323.98</v>
      </c>
      <c r="P1451" s="285"/>
      <c r="Q1451" s="285"/>
      <c r="R1451" s="278"/>
      <c r="S1451" s="278"/>
      <c r="T1451" s="278"/>
    </row>
    <row r="1452" spans="1:28" s="305" customFormat="1" hidden="1" outlineLevel="2" x14ac:dyDescent="0.25">
      <c r="A1452" s="278"/>
      <c r="B1452" s="279" t="str">
        <f t="shared" si="557"/>
        <v>2100mm821mm to 920mmSFDFquality</v>
      </c>
      <c r="C1452" s="278" t="s">
        <v>557</v>
      </c>
      <c r="D1452" s="278" t="s">
        <v>721</v>
      </c>
      <c r="E1452" s="278" t="s">
        <v>2113</v>
      </c>
      <c r="F1452" s="278" t="s">
        <v>544</v>
      </c>
      <c r="G1452" s="278" t="s">
        <v>5</v>
      </c>
      <c r="H1452" s="310">
        <v>2.5499293149980722</v>
      </c>
      <c r="I1452" s="280">
        <f t="shared" si="558"/>
        <v>205.57530137514459</v>
      </c>
      <c r="J1452" s="281">
        <f t="shared" si="559"/>
        <v>233.14003727027375</v>
      </c>
      <c r="K1452" s="282">
        <f>IF(Notes!$B$9="Domestic",I1452, IF(Notes!$B$9="Commercial",J1452))*$K$1441</f>
        <v>233.14003727027375</v>
      </c>
      <c r="L1452" s="283">
        <f>(SUM(O1452:Q1452)+(K1452+SUM(M1452:Q1452))*(INDEX($U$1441:$AB$1441,MATCH(Notes!$C$16,$U$3:$AB$3,0))-100%))*$L$1441</f>
        <v>323.98</v>
      </c>
      <c r="M1452" s="286"/>
      <c r="N1452" s="286"/>
      <c r="O1452" s="285">
        <f>323.98</f>
        <v>323.98</v>
      </c>
      <c r="P1452" s="285"/>
      <c r="Q1452" s="285"/>
      <c r="R1452" s="278"/>
      <c r="S1452" s="278"/>
      <c r="T1452" s="278"/>
    </row>
    <row r="1453" spans="1:28" s="305" customFormat="1" hidden="1" outlineLevel="2" x14ac:dyDescent="0.25">
      <c r="A1453" s="278"/>
      <c r="B1453" s="279" t="str">
        <f t="shared" si="557"/>
        <v>2100mm921mm to 1220mmSFDFquality</v>
      </c>
      <c r="C1453" s="278" t="s">
        <v>557</v>
      </c>
      <c r="D1453" s="278" t="s">
        <v>722</v>
      </c>
      <c r="E1453" s="278" t="s">
        <v>2113</v>
      </c>
      <c r="F1453" s="278" t="s">
        <v>544</v>
      </c>
      <c r="G1453" s="278" t="s">
        <v>5</v>
      </c>
      <c r="H1453" s="310">
        <v>2.6499164631795398</v>
      </c>
      <c r="I1453" s="280">
        <f t="shared" si="558"/>
        <v>213.6362652615345</v>
      </c>
      <c r="J1453" s="281">
        <f t="shared" si="559"/>
        <v>242.28186222850533</v>
      </c>
      <c r="K1453" s="282">
        <f>IF(Notes!$B$9="Domestic",I1453, IF(Notes!$B$9="Commercial",J1453))*$K$1441</f>
        <v>242.28186222850533</v>
      </c>
      <c r="L1453" s="283">
        <f>(SUM(O1453:Q1453)+(K1453+SUM(M1453:Q1453))*(INDEX($U$1441:$AB$1441,MATCH(Notes!$C$16,$U$3:$AB$3,0))-100%))*$L$1441</f>
        <v>405.98</v>
      </c>
      <c r="M1453" s="286"/>
      <c r="N1453" s="286"/>
      <c r="O1453" s="285">
        <f>405.98</f>
        <v>405.98</v>
      </c>
      <c r="P1453" s="285"/>
      <c r="Q1453" s="285"/>
      <c r="R1453" s="278"/>
      <c r="S1453" s="278"/>
      <c r="T1453" s="278"/>
    </row>
    <row r="1454" spans="1:28" s="305" customFormat="1" hidden="1" outlineLevel="2" x14ac:dyDescent="0.25">
      <c r="A1454" s="278"/>
      <c r="B1454" s="279" t="str">
        <f t="shared" si="557"/>
        <v>2400mmup to 820mmSFDFquality</v>
      </c>
      <c r="C1454" s="278" t="s">
        <v>558</v>
      </c>
      <c r="D1454" s="278" t="s">
        <v>724</v>
      </c>
      <c r="E1454" s="278" t="s">
        <v>2113</v>
      </c>
      <c r="F1454" s="278" t="s">
        <v>544</v>
      </c>
      <c r="G1454" s="278" t="s">
        <v>5</v>
      </c>
      <c r="H1454" s="310">
        <v>2.5283382598637707</v>
      </c>
      <c r="I1454" s="280">
        <f t="shared" si="558"/>
        <v>203.83463051021721</v>
      </c>
      <c r="J1454" s="281">
        <f t="shared" si="559"/>
        <v>231.16596709934458</v>
      </c>
      <c r="K1454" s="282">
        <f>IF(Notes!$B$9="Domestic",I1454, IF(Notes!$B$9="Commercial",J1454))*$K$1441</f>
        <v>231.16596709934458</v>
      </c>
      <c r="L1454" s="283">
        <f>(SUM(O1454:Q1454)+(K1454+SUM(M1454:Q1454))*(INDEX($U$1441:$AB$1441,MATCH(Notes!$C$16,$U$3:$AB$3,0))-100%))*$L$1441</f>
        <v>353.98</v>
      </c>
      <c r="M1454" s="286"/>
      <c r="N1454" s="286"/>
      <c r="O1454" s="285">
        <f>O1451+30</f>
        <v>353.98</v>
      </c>
      <c r="P1454" s="285"/>
      <c r="Q1454" s="285"/>
      <c r="R1454" s="278"/>
      <c r="S1454" s="278"/>
      <c r="T1454" s="278"/>
    </row>
    <row r="1455" spans="1:28" s="305" customFormat="1" hidden="1" outlineLevel="2" x14ac:dyDescent="0.25">
      <c r="A1455" s="278"/>
      <c r="B1455" s="279" t="str">
        <f t="shared" si="557"/>
        <v>2400mm821mm to 920mmSFDFquality</v>
      </c>
      <c r="C1455" s="278" t="s">
        <v>558</v>
      </c>
      <c r="D1455" s="278" t="s">
        <v>721</v>
      </c>
      <c r="E1455" s="278" t="s">
        <v>2113</v>
      </c>
      <c r="F1455" s="278" t="s">
        <v>544</v>
      </c>
      <c r="G1455" s="278" t="s">
        <v>5</v>
      </c>
      <c r="H1455" s="310">
        <v>2.6784475003212953</v>
      </c>
      <c r="I1455" s="280">
        <f t="shared" si="558"/>
        <v>215.93643747590284</v>
      </c>
      <c r="J1455" s="281">
        <f t="shared" si="559"/>
        <v>244.89045495437605</v>
      </c>
      <c r="K1455" s="282">
        <f>IF(Notes!$B$9="Domestic",I1455, IF(Notes!$B$9="Commercial",J1455))*$K$1441</f>
        <v>244.89045495437605</v>
      </c>
      <c r="L1455" s="283">
        <f>(SUM(O1455:Q1455)+(K1455+SUM(M1455:Q1455))*(INDEX($U$1441:$AB$1441,MATCH(Notes!$C$16,$U$3:$AB$3,0))-100%))*$L$1441</f>
        <v>353.98</v>
      </c>
      <c r="M1455" s="286"/>
      <c r="N1455" s="286"/>
      <c r="O1455" s="285">
        <f t="shared" ref="O1455:O1459" si="561">O1452+30</f>
        <v>353.98</v>
      </c>
      <c r="P1455" s="285"/>
      <c r="Q1455" s="285"/>
      <c r="R1455" s="278"/>
      <c r="S1455" s="278"/>
      <c r="T1455" s="278"/>
    </row>
    <row r="1456" spans="1:28" s="305" customFormat="1" hidden="1" outlineLevel="2" x14ac:dyDescent="0.25">
      <c r="A1456" s="278"/>
      <c r="B1456" s="279" t="str">
        <f t="shared" si="557"/>
        <v>2400mm921mm to 1220mmSFDFquality</v>
      </c>
      <c r="C1456" s="278" t="s">
        <v>558</v>
      </c>
      <c r="D1456" s="278" t="s">
        <v>722</v>
      </c>
      <c r="E1456" s="278" t="s">
        <v>2113</v>
      </c>
      <c r="F1456" s="278" t="s">
        <v>544</v>
      </c>
      <c r="G1456" s="278" t="s">
        <v>5</v>
      </c>
      <c r="H1456" s="310">
        <v>2.7784346485027629</v>
      </c>
      <c r="I1456" s="280">
        <f t="shared" si="558"/>
        <v>223.99740136229275</v>
      </c>
      <c r="J1456" s="281">
        <f t="shared" si="559"/>
        <v>254.03227991260763</v>
      </c>
      <c r="K1456" s="282">
        <f>IF(Notes!$B$9="Domestic",I1456, IF(Notes!$B$9="Commercial",J1456))*$K$1441</f>
        <v>254.03227991260763</v>
      </c>
      <c r="L1456" s="283">
        <f>(SUM(O1456:Q1456)+(K1456+SUM(M1456:Q1456))*(INDEX($U$1441:$AB$1441,MATCH(Notes!$C$16,$U$3:$AB$3,0))-100%))*$L$1441</f>
        <v>435.98</v>
      </c>
      <c r="M1456" s="286"/>
      <c r="N1456" s="286"/>
      <c r="O1456" s="285">
        <f t="shared" si="561"/>
        <v>435.98</v>
      </c>
      <c r="P1456" s="285"/>
      <c r="Q1456" s="285"/>
      <c r="R1456" s="278"/>
      <c r="S1456" s="278"/>
      <c r="T1456" s="278"/>
    </row>
    <row r="1457" spans="1:28" s="305" customFormat="1" hidden="1" outlineLevel="2" x14ac:dyDescent="0.25">
      <c r="A1457" s="278"/>
      <c r="B1457" s="279" t="str">
        <f t="shared" si="557"/>
        <v>2700mmup to 820mmSFDFquality</v>
      </c>
      <c r="C1457" s="278" t="s">
        <v>779</v>
      </c>
      <c r="D1457" s="278" t="s">
        <v>724</v>
      </c>
      <c r="E1457" s="278" t="s">
        <v>2113</v>
      </c>
      <c r="F1457" s="278" t="s">
        <v>544</v>
      </c>
      <c r="G1457" s="278" t="s">
        <v>5</v>
      </c>
      <c r="H1457" s="310">
        <v>2.6568564451869938</v>
      </c>
      <c r="I1457" s="280">
        <f t="shared" si="558"/>
        <v>214.19576661097545</v>
      </c>
      <c r="J1457" s="281">
        <f t="shared" si="559"/>
        <v>242.91638478344686</v>
      </c>
      <c r="K1457" s="282">
        <f>IF(Notes!$B$9="Domestic",I1457, IF(Notes!$B$9="Commercial",J1457))*$K$1441</f>
        <v>242.91638478344686</v>
      </c>
      <c r="L1457" s="283">
        <f>(SUM(O1457:Q1457)+(K1457+SUM(M1457:Q1457))*(INDEX($U$1441:$AB$1441,MATCH(Notes!$C$16,$U$3:$AB$3,0))-100%))*$L$1441</f>
        <v>383.98</v>
      </c>
      <c r="M1457" s="286"/>
      <c r="N1457" s="286"/>
      <c r="O1457" s="285">
        <f t="shared" si="561"/>
        <v>383.98</v>
      </c>
      <c r="P1457" s="285"/>
      <c r="Q1457" s="285"/>
      <c r="R1457" s="278"/>
      <c r="S1457" s="278"/>
      <c r="T1457" s="278"/>
    </row>
    <row r="1458" spans="1:28" s="305" customFormat="1" hidden="1" outlineLevel="2" x14ac:dyDescent="0.25">
      <c r="A1458" s="278"/>
      <c r="B1458" s="279" t="str">
        <f t="shared" si="557"/>
        <v>2700mm821mm to 920mmSFDFquality</v>
      </c>
      <c r="C1458" s="278" t="s">
        <v>779</v>
      </c>
      <c r="D1458" s="278" t="s">
        <v>721</v>
      </c>
      <c r="E1458" s="278" t="s">
        <v>2113</v>
      </c>
      <c r="F1458" s="278" t="s">
        <v>544</v>
      </c>
      <c r="G1458" s="278" t="s">
        <v>5</v>
      </c>
      <c r="H1458" s="310">
        <v>2.8069656856445184</v>
      </c>
      <c r="I1458" s="280">
        <f t="shared" si="558"/>
        <v>226.29757357666108</v>
      </c>
      <c r="J1458" s="281">
        <f t="shared" si="559"/>
        <v>256.64087263847836</v>
      </c>
      <c r="K1458" s="282">
        <f>IF(Notes!$B$9="Domestic",I1458, IF(Notes!$B$9="Commercial",J1458))*$K$1441</f>
        <v>256.64087263847836</v>
      </c>
      <c r="L1458" s="283">
        <f>(SUM(O1458:Q1458)+(K1458+SUM(M1458:Q1458))*(INDEX($U$1441:$AB$1441,MATCH(Notes!$C$16,$U$3:$AB$3,0))-100%))*$L$1441</f>
        <v>383.98</v>
      </c>
      <c r="M1458" s="286"/>
      <c r="N1458" s="286"/>
      <c r="O1458" s="285">
        <f t="shared" si="561"/>
        <v>383.98</v>
      </c>
      <c r="P1458" s="285"/>
      <c r="Q1458" s="285"/>
      <c r="R1458" s="278"/>
      <c r="S1458" s="278"/>
      <c r="T1458" s="278"/>
    </row>
    <row r="1459" spans="1:28" s="305" customFormat="1" hidden="1" outlineLevel="2" x14ac:dyDescent="0.25">
      <c r="A1459" s="278"/>
      <c r="B1459" s="279" t="str">
        <f t="shared" si="557"/>
        <v>2700mm921mm to 1220mmSFDFquality</v>
      </c>
      <c r="C1459" s="278" t="s">
        <v>779</v>
      </c>
      <c r="D1459" s="278" t="s">
        <v>722</v>
      </c>
      <c r="E1459" s="278" t="s">
        <v>2113</v>
      </c>
      <c r="F1459" s="278" t="s">
        <v>544</v>
      </c>
      <c r="G1459" s="278" t="s">
        <v>5</v>
      </c>
      <c r="H1459" s="310">
        <v>2.9069528338259865</v>
      </c>
      <c r="I1459" s="280">
        <f t="shared" si="558"/>
        <v>234.35853746305105</v>
      </c>
      <c r="J1459" s="281">
        <f t="shared" si="559"/>
        <v>265.78269759670997</v>
      </c>
      <c r="K1459" s="282">
        <f>IF(Notes!$B$9="Domestic",I1459, IF(Notes!$B$9="Commercial",J1459))*$K$1441</f>
        <v>265.78269759670997</v>
      </c>
      <c r="L1459" s="283">
        <f>(SUM(O1459:Q1459)+(K1459+SUM(M1459:Q1459))*(INDEX($U$1441:$AB$1441,MATCH(Notes!$C$16,$U$3:$AB$3,0))-100%))*$L$1441</f>
        <v>465.98</v>
      </c>
      <c r="M1459" s="286"/>
      <c r="N1459" s="286"/>
      <c r="O1459" s="285">
        <f t="shared" si="561"/>
        <v>465.98</v>
      </c>
      <c r="P1459" s="285"/>
      <c r="Q1459" s="285"/>
      <c r="R1459" s="278"/>
      <c r="S1459" s="278"/>
      <c r="T1459" s="278"/>
    </row>
    <row r="1460" spans="1:28" s="305" customFormat="1" hidden="1" outlineLevel="2" x14ac:dyDescent="0.25">
      <c r="A1460" s="278"/>
      <c r="B1460" s="279" t="str">
        <f t="shared" si="557"/>
        <v>2100mmup to 820mmSFDFprestige</v>
      </c>
      <c r="C1460" s="278" t="s">
        <v>557</v>
      </c>
      <c r="D1460" s="278" t="s">
        <v>724</v>
      </c>
      <c r="E1460" s="278" t="s">
        <v>2113</v>
      </c>
      <c r="F1460" s="278" t="s">
        <v>545</v>
      </c>
      <c r="G1460" s="278" t="s">
        <v>5</v>
      </c>
      <c r="H1460" s="310">
        <v>2.3998200745405471</v>
      </c>
      <c r="I1460" s="280">
        <f t="shared" si="558"/>
        <v>193.47349440945891</v>
      </c>
      <c r="J1460" s="281">
        <f t="shared" si="559"/>
        <v>219.41554941524225</v>
      </c>
      <c r="K1460" s="282">
        <f>IF(Notes!$B$9="Domestic",I1460, IF(Notes!$B$9="Commercial",J1460))*$K$1441</f>
        <v>219.41554941524225</v>
      </c>
      <c r="L1460" s="283">
        <f>(SUM(O1460:Q1460)+(K1460+SUM(M1460:Q1460))*(INDEX($U$1441:$AB$1441,MATCH(Notes!$C$16,$U$3:$AB$3,0))-100%))*$L$1441</f>
        <v>418.98</v>
      </c>
      <c r="M1460" s="286"/>
      <c r="N1460" s="286"/>
      <c r="O1460" s="285">
        <f>418.98</f>
        <v>418.98</v>
      </c>
      <c r="P1460" s="285"/>
      <c r="Q1460" s="285"/>
      <c r="R1460" s="278"/>
      <c r="S1460" s="278"/>
      <c r="T1460" s="278"/>
    </row>
    <row r="1461" spans="1:28" s="305" customFormat="1" hidden="1" outlineLevel="2" x14ac:dyDescent="0.25">
      <c r="A1461" s="278"/>
      <c r="B1461" s="279" t="str">
        <f t="shared" si="557"/>
        <v>2100mm821mm to 920mmSFDFprestige</v>
      </c>
      <c r="C1461" s="278" t="s">
        <v>557</v>
      </c>
      <c r="D1461" s="278" t="s">
        <v>721</v>
      </c>
      <c r="E1461" s="278" t="s">
        <v>2113</v>
      </c>
      <c r="F1461" s="278" t="s">
        <v>545</v>
      </c>
      <c r="G1461" s="278" t="s">
        <v>5</v>
      </c>
      <c r="H1461" s="310">
        <v>2.5499293149980722</v>
      </c>
      <c r="I1461" s="280">
        <f t="shared" si="558"/>
        <v>205.57530137514459</v>
      </c>
      <c r="J1461" s="281">
        <f t="shared" si="559"/>
        <v>233.14003727027375</v>
      </c>
      <c r="K1461" s="282">
        <f>IF(Notes!$B$9="Domestic",I1461, IF(Notes!$B$9="Commercial",J1461))*$K$1441</f>
        <v>233.14003727027375</v>
      </c>
      <c r="L1461" s="283">
        <f>(SUM(O1461:Q1461)+(K1461+SUM(M1461:Q1461))*(INDEX($U$1441:$AB$1441,MATCH(Notes!$C$16,$U$3:$AB$3,0))-100%))*$L$1441</f>
        <v>418.98</v>
      </c>
      <c r="M1461" s="286"/>
      <c r="N1461" s="286"/>
      <c r="O1461" s="285">
        <f>418.98</f>
        <v>418.98</v>
      </c>
      <c r="P1461" s="285"/>
      <c r="Q1461" s="285"/>
      <c r="R1461" s="278"/>
      <c r="S1461" s="278"/>
      <c r="T1461" s="278"/>
    </row>
    <row r="1462" spans="1:28" s="305" customFormat="1" hidden="1" outlineLevel="2" x14ac:dyDescent="0.25">
      <c r="A1462" s="278"/>
      <c r="B1462" s="279" t="str">
        <f t="shared" si="557"/>
        <v>2100mm921mm to 1220mmSFDFprestige</v>
      </c>
      <c r="C1462" s="278" t="s">
        <v>557</v>
      </c>
      <c r="D1462" s="278" t="s">
        <v>722</v>
      </c>
      <c r="E1462" s="278" t="s">
        <v>2113</v>
      </c>
      <c r="F1462" s="278" t="s">
        <v>545</v>
      </c>
      <c r="G1462" s="278" t="s">
        <v>5</v>
      </c>
      <c r="H1462" s="310">
        <v>2.6499164631795398</v>
      </c>
      <c r="I1462" s="280">
        <f t="shared" si="558"/>
        <v>213.6362652615345</v>
      </c>
      <c r="J1462" s="281">
        <f t="shared" si="559"/>
        <v>242.28186222850533</v>
      </c>
      <c r="K1462" s="282">
        <f>IF(Notes!$B$9="Domestic",I1462, IF(Notes!$B$9="Commercial",J1462))*$K$1441</f>
        <v>242.28186222850533</v>
      </c>
      <c r="L1462" s="283">
        <f>(SUM(O1462:Q1462)+(K1462+SUM(M1462:Q1462))*(INDEX($U$1441:$AB$1441,MATCH(Notes!$C$16,$U$3:$AB$3,0))-100%))*$L$1441</f>
        <v>487.98</v>
      </c>
      <c r="M1462" s="286"/>
      <c r="N1462" s="286"/>
      <c r="O1462" s="285">
        <f>487.98</f>
        <v>487.98</v>
      </c>
      <c r="P1462" s="285"/>
      <c r="Q1462" s="285"/>
      <c r="R1462" s="278"/>
      <c r="S1462" s="278"/>
      <c r="T1462" s="278"/>
    </row>
    <row r="1463" spans="1:28" s="305" customFormat="1" hidden="1" outlineLevel="2" x14ac:dyDescent="0.25">
      <c r="A1463" s="278"/>
      <c r="B1463" s="279" t="str">
        <f t="shared" si="557"/>
        <v>2400mmup to 820mmSFDFprestige</v>
      </c>
      <c r="C1463" s="278" t="s">
        <v>558</v>
      </c>
      <c r="D1463" s="278" t="s">
        <v>724</v>
      </c>
      <c r="E1463" s="278" t="s">
        <v>2113</v>
      </c>
      <c r="F1463" s="278" t="s">
        <v>545</v>
      </c>
      <c r="G1463" s="278" t="s">
        <v>5</v>
      </c>
      <c r="H1463" s="310">
        <v>2.5283382598637707</v>
      </c>
      <c r="I1463" s="280">
        <f t="shared" si="558"/>
        <v>203.83463051021721</v>
      </c>
      <c r="J1463" s="281">
        <f t="shared" si="559"/>
        <v>231.16596709934458</v>
      </c>
      <c r="K1463" s="282">
        <f>IF(Notes!$B$9="Domestic",I1463, IF(Notes!$B$9="Commercial",J1463))*$K$1441</f>
        <v>231.16596709934458</v>
      </c>
      <c r="L1463" s="283">
        <f>(SUM(O1463:Q1463)+(K1463+SUM(M1463:Q1463))*(INDEX($U$1441:$AB$1441,MATCH(Notes!$C$16,$U$3:$AB$3,0))-100%))*$L$1441</f>
        <v>458.98</v>
      </c>
      <c r="M1463" s="286"/>
      <c r="N1463" s="286"/>
      <c r="O1463" s="285">
        <f>O1460+40</f>
        <v>458.98</v>
      </c>
      <c r="P1463" s="285"/>
      <c r="Q1463" s="285"/>
      <c r="R1463" s="278"/>
      <c r="S1463" s="278"/>
      <c r="T1463" s="278"/>
    </row>
    <row r="1464" spans="1:28" s="305" customFormat="1" hidden="1" outlineLevel="2" x14ac:dyDescent="0.25">
      <c r="A1464" s="278"/>
      <c r="B1464" s="279" t="str">
        <f t="shared" si="557"/>
        <v>2400mm821mm to 920mmSFDFprestige</v>
      </c>
      <c r="C1464" s="278" t="s">
        <v>558</v>
      </c>
      <c r="D1464" s="278" t="s">
        <v>721</v>
      </c>
      <c r="E1464" s="278" t="s">
        <v>2113</v>
      </c>
      <c r="F1464" s="278" t="s">
        <v>545</v>
      </c>
      <c r="G1464" s="278" t="s">
        <v>5</v>
      </c>
      <c r="H1464" s="310">
        <v>2.6784475003212953</v>
      </c>
      <c r="I1464" s="280">
        <f t="shared" si="558"/>
        <v>215.93643747590284</v>
      </c>
      <c r="J1464" s="281">
        <f t="shared" si="559"/>
        <v>244.89045495437605</v>
      </c>
      <c r="K1464" s="282">
        <f>IF(Notes!$B$9="Domestic",I1464, IF(Notes!$B$9="Commercial",J1464))*$K$1441</f>
        <v>244.89045495437605</v>
      </c>
      <c r="L1464" s="283">
        <f>(SUM(O1464:Q1464)+(K1464+SUM(M1464:Q1464))*(INDEX($U$1441:$AB$1441,MATCH(Notes!$C$16,$U$3:$AB$3,0))-100%))*$L$1441</f>
        <v>458.98</v>
      </c>
      <c r="M1464" s="286"/>
      <c r="N1464" s="286"/>
      <c r="O1464" s="285">
        <f t="shared" ref="O1464:O1468" si="562">O1461+40</f>
        <v>458.98</v>
      </c>
      <c r="P1464" s="285"/>
      <c r="Q1464" s="285"/>
      <c r="R1464" s="278"/>
      <c r="S1464" s="278"/>
      <c r="T1464" s="278"/>
    </row>
    <row r="1465" spans="1:28" s="305" customFormat="1" hidden="1" outlineLevel="2" x14ac:dyDescent="0.25">
      <c r="A1465" s="278"/>
      <c r="B1465" s="279" t="str">
        <f t="shared" si="557"/>
        <v>2400mm921mm to 1220mmSFDFprestige</v>
      </c>
      <c r="C1465" s="278" t="s">
        <v>558</v>
      </c>
      <c r="D1465" s="278" t="s">
        <v>722</v>
      </c>
      <c r="E1465" s="278" t="s">
        <v>2113</v>
      </c>
      <c r="F1465" s="278" t="s">
        <v>545</v>
      </c>
      <c r="G1465" s="278" t="s">
        <v>5</v>
      </c>
      <c r="H1465" s="310">
        <v>2.7784346485027629</v>
      </c>
      <c r="I1465" s="280">
        <f t="shared" si="558"/>
        <v>223.99740136229275</v>
      </c>
      <c r="J1465" s="281">
        <f t="shared" si="559"/>
        <v>254.03227991260763</v>
      </c>
      <c r="K1465" s="282">
        <f>IF(Notes!$B$9="Domestic",I1465, IF(Notes!$B$9="Commercial",J1465))*$K$1441</f>
        <v>254.03227991260763</v>
      </c>
      <c r="L1465" s="283">
        <f>(SUM(O1465:Q1465)+(K1465+SUM(M1465:Q1465))*(INDEX($U$1441:$AB$1441,MATCH(Notes!$C$16,$U$3:$AB$3,0))-100%))*$L$1441</f>
        <v>527.98</v>
      </c>
      <c r="M1465" s="286"/>
      <c r="N1465" s="286"/>
      <c r="O1465" s="285">
        <f t="shared" si="562"/>
        <v>527.98</v>
      </c>
      <c r="P1465" s="285"/>
      <c r="Q1465" s="285"/>
      <c r="R1465" s="278"/>
      <c r="S1465" s="278"/>
      <c r="T1465" s="278"/>
    </row>
    <row r="1466" spans="1:28" s="305" customFormat="1" hidden="1" outlineLevel="2" x14ac:dyDescent="0.25">
      <c r="A1466" s="278"/>
      <c r="B1466" s="279" t="str">
        <f t="shared" si="557"/>
        <v>2700mmup to 820mmSFDFprestige</v>
      </c>
      <c r="C1466" s="278" t="s">
        <v>779</v>
      </c>
      <c r="D1466" s="278" t="s">
        <v>724</v>
      </c>
      <c r="E1466" s="278" t="s">
        <v>2113</v>
      </c>
      <c r="F1466" s="278" t="s">
        <v>545</v>
      </c>
      <c r="G1466" s="278" t="s">
        <v>5</v>
      </c>
      <c r="H1466" s="310">
        <v>2.6568564451869938</v>
      </c>
      <c r="I1466" s="280">
        <f t="shared" si="558"/>
        <v>214.19576661097545</v>
      </c>
      <c r="J1466" s="281">
        <f t="shared" si="559"/>
        <v>242.91638478344686</v>
      </c>
      <c r="K1466" s="282">
        <f>IF(Notes!$B$9="Domestic",I1466, IF(Notes!$B$9="Commercial",J1466))*$K$1441</f>
        <v>242.91638478344686</v>
      </c>
      <c r="L1466" s="283">
        <f>(SUM(O1466:Q1466)+(K1466+SUM(M1466:Q1466))*(INDEX($U$1441:$AB$1441,MATCH(Notes!$C$16,$U$3:$AB$3,0))-100%))*$L$1441</f>
        <v>498.98</v>
      </c>
      <c r="M1466" s="286"/>
      <c r="N1466" s="286"/>
      <c r="O1466" s="285">
        <f t="shared" si="562"/>
        <v>498.98</v>
      </c>
      <c r="P1466" s="285"/>
      <c r="Q1466" s="285"/>
      <c r="R1466" s="278"/>
      <c r="S1466" s="278"/>
      <c r="T1466" s="278"/>
    </row>
    <row r="1467" spans="1:28" s="305" customFormat="1" hidden="1" outlineLevel="2" x14ac:dyDescent="0.25">
      <c r="A1467" s="278"/>
      <c r="B1467" s="279" t="str">
        <f t="shared" si="557"/>
        <v>2700mm821mm to 920mmSFDFprestige</v>
      </c>
      <c r="C1467" s="278" t="s">
        <v>779</v>
      </c>
      <c r="D1467" s="278" t="s">
        <v>721</v>
      </c>
      <c r="E1467" s="278" t="s">
        <v>2113</v>
      </c>
      <c r="F1467" s="278" t="s">
        <v>545</v>
      </c>
      <c r="G1467" s="278" t="s">
        <v>5</v>
      </c>
      <c r="H1467" s="310">
        <v>2.8069656856445184</v>
      </c>
      <c r="I1467" s="280">
        <f t="shared" si="558"/>
        <v>226.29757357666108</v>
      </c>
      <c r="J1467" s="281">
        <f t="shared" si="559"/>
        <v>256.64087263847836</v>
      </c>
      <c r="K1467" s="282">
        <f>IF(Notes!$B$9="Domestic",I1467, IF(Notes!$B$9="Commercial",J1467))*$K$1441</f>
        <v>256.64087263847836</v>
      </c>
      <c r="L1467" s="283">
        <f>(SUM(O1467:Q1467)+(K1467+SUM(M1467:Q1467))*(INDEX($U$1441:$AB$1441,MATCH(Notes!$C$16,$U$3:$AB$3,0))-100%))*$L$1441</f>
        <v>498.98</v>
      </c>
      <c r="M1467" s="286"/>
      <c r="N1467" s="286"/>
      <c r="O1467" s="285">
        <f t="shared" si="562"/>
        <v>498.98</v>
      </c>
      <c r="P1467" s="285"/>
      <c r="Q1467" s="285"/>
      <c r="R1467" s="278"/>
      <c r="S1467" s="278"/>
      <c r="T1467" s="278"/>
    </row>
    <row r="1468" spans="1:28" s="305" customFormat="1" hidden="1" outlineLevel="2" x14ac:dyDescent="0.25">
      <c r="A1468" s="278"/>
      <c r="B1468" s="279" t="str">
        <f t="shared" si="557"/>
        <v>2700mm921mm to 1220mmSFDFprestige</v>
      </c>
      <c r="C1468" s="278" t="s">
        <v>779</v>
      </c>
      <c r="D1468" s="278" t="s">
        <v>722</v>
      </c>
      <c r="E1468" s="278" t="s">
        <v>2113</v>
      </c>
      <c r="F1468" s="278" t="s">
        <v>545</v>
      </c>
      <c r="G1468" s="278" t="s">
        <v>5</v>
      </c>
      <c r="H1468" s="310">
        <v>2.9069528338259865</v>
      </c>
      <c r="I1468" s="280">
        <f t="shared" si="558"/>
        <v>234.35853746305105</v>
      </c>
      <c r="J1468" s="281">
        <f t="shared" si="559"/>
        <v>265.78269759670997</v>
      </c>
      <c r="K1468" s="282">
        <f>IF(Notes!$B$9="Domestic",I1468, IF(Notes!$B$9="Commercial",J1468))*$K$1441</f>
        <v>265.78269759670997</v>
      </c>
      <c r="L1468" s="283">
        <f>(SUM(O1468:Q1468)+(K1468+SUM(M1468:Q1468))*(INDEX($U$1441:$AB$1441,MATCH(Notes!$C$16,$U$3:$AB$3,0))-100%))*$L$1441</f>
        <v>567.98</v>
      </c>
      <c r="M1468" s="286"/>
      <c r="N1468" s="286"/>
      <c r="O1468" s="285">
        <f t="shared" si="562"/>
        <v>567.98</v>
      </c>
      <c r="P1468" s="285"/>
      <c r="Q1468" s="285"/>
      <c r="R1468" s="278"/>
      <c r="S1468" s="278"/>
      <c r="T1468" s="278"/>
    </row>
    <row r="1469" spans="1:28" ht="21" hidden="1" outlineLevel="1" collapsed="1" x14ac:dyDescent="0.25">
      <c r="A1469" s="299" t="s">
        <v>2114</v>
      </c>
      <c r="B1469" s="299"/>
      <c r="C1469" s="299"/>
      <c r="D1469" s="299"/>
      <c r="E1469" s="299"/>
      <c r="F1469" s="299"/>
      <c r="G1469" s="299"/>
      <c r="H1469" s="348"/>
      <c r="I1469" s="299"/>
      <c r="J1469" s="299"/>
      <c r="K1469" s="299"/>
      <c r="L1469" s="299"/>
      <c r="M1469" s="299"/>
      <c r="N1469" s="299"/>
      <c r="O1469" s="299"/>
      <c r="P1469" s="299"/>
      <c r="Q1469" s="299"/>
      <c r="R1469" s="299"/>
      <c r="S1469" s="299"/>
      <c r="T1469" s="299"/>
      <c r="U1469" s="299"/>
      <c r="V1469" s="299"/>
      <c r="W1469" s="299"/>
      <c r="X1469" s="299"/>
      <c r="Y1469" s="299"/>
      <c r="Z1469" s="299"/>
      <c r="AA1469" s="299"/>
      <c r="AB1469" s="299"/>
    </row>
    <row r="1470" spans="1:28" ht="15.75" hidden="1" outlineLevel="1" x14ac:dyDescent="0.25">
      <c r="A1470" s="291"/>
      <c r="B1470" s="291"/>
      <c r="C1470" s="291"/>
      <c r="D1470" s="291"/>
      <c r="E1470" s="291"/>
      <c r="F1470" s="291"/>
      <c r="G1470" s="291"/>
      <c r="H1470" s="325"/>
      <c r="I1470" s="291"/>
      <c r="J1470" s="291"/>
      <c r="K1470" s="291">
        <f>K$2</f>
        <v>1</v>
      </c>
      <c r="L1470" s="291">
        <f>L$2</f>
        <v>1</v>
      </c>
      <c r="M1470" s="291"/>
      <c r="N1470" s="291"/>
      <c r="O1470" s="303"/>
      <c r="P1470" s="303"/>
      <c r="Q1470" s="303"/>
      <c r="R1470" s="291"/>
      <c r="S1470" s="291"/>
      <c r="T1470" s="291"/>
      <c r="U1470" s="381">
        <f t="shared" ref="U1470:AB1470" si="563">U$1093</f>
        <v>0.97101449275362317</v>
      </c>
      <c r="V1470" s="381">
        <f t="shared" si="563"/>
        <v>1</v>
      </c>
      <c r="W1470" s="381">
        <f t="shared" si="563"/>
        <v>1.1159420289855073</v>
      </c>
      <c r="X1470" s="381">
        <f t="shared" si="563"/>
        <v>1.0905797101449275</v>
      </c>
      <c r="Y1470" s="381">
        <f t="shared" si="563"/>
        <v>1.1956521739130435</v>
      </c>
      <c r="Z1470" s="381">
        <f t="shared" si="563"/>
        <v>0.89130434782608692</v>
      </c>
      <c r="AA1470" s="381">
        <f t="shared" si="563"/>
        <v>1.3586956521739131</v>
      </c>
      <c r="AB1470" s="381">
        <f t="shared" si="563"/>
        <v>1.0253623188405796</v>
      </c>
    </row>
    <row r="1471" spans="1:28" s="305" customFormat="1" hidden="1" outlineLevel="2" x14ac:dyDescent="0.25">
      <c r="A1471" s="278"/>
      <c r="B1471" s="279" t="str">
        <f>C1471&amp;D1471&amp;E1471&amp;F1471</f>
        <v>2100mm2 x up to 820mmDFDFaverage</v>
      </c>
      <c r="C1471" s="278" t="s">
        <v>557</v>
      </c>
      <c r="D1471" s="278" t="s">
        <v>787</v>
      </c>
      <c r="E1471" s="278" t="s">
        <v>2115</v>
      </c>
      <c r="F1471" s="278" t="s">
        <v>543</v>
      </c>
      <c r="G1471" s="278" t="s">
        <v>5</v>
      </c>
      <c r="H1471" s="310">
        <v>2.7499036113610074</v>
      </c>
      <c r="I1471" s="280">
        <f>$I$2*H1471</f>
        <v>221.69722914792442</v>
      </c>
      <c r="J1471" s="281">
        <f>$J$2*H1471</f>
        <v>251.42368718673691</v>
      </c>
      <c r="K1471" s="282">
        <f>IF(Notes!$B$9="Domestic",I1471, IF(Notes!$B$9="Commercial",J1471))*$K$1470</f>
        <v>251.42368718673691</v>
      </c>
      <c r="L1471" s="283">
        <f>(SUM(O1471:Q1471)+(K1471+SUM(M1471:Q1471))*(INDEX($U$1470:$AB$1470,MATCH(Notes!$C$16,$U$3:$AB$3,0))-100%))*$L$1470</f>
        <v>382.83</v>
      </c>
      <c r="M1471" s="286"/>
      <c r="N1471" s="286"/>
      <c r="O1471" s="285">
        <v>382.83</v>
      </c>
      <c r="P1471" s="285"/>
      <c r="Q1471" s="285"/>
      <c r="R1471" s="278"/>
      <c r="S1471" s="278"/>
      <c r="T1471" s="278"/>
    </row>
    <row r="1472" spans="1:28" s="305" customFormat="1" hidden="1" outlineLevel="2" x14ac:dyDescent="0.25">
      <c r="A1472" s="278"/>
      <c r="B1472" s="279" t="str">
        <f t="shared" ref="B1472" si="564">C1472&amp;D1472&amp;E1472&amp;F1472</f>
        <v>2100mm2 x 821mm to 920mmDFDFaverage</v>
      </c>
      <c r="C1472" s="278" t="s">
        <v>557</v>
      </c>
      <c r="D1472" s="278" t="s">
        <v>788</v>
      </c>
      <c r="E1472" s="278" t="s">
        <v>2115</v>
      </c>
      <c r="F1472" s="278" t="s">
        <v>543</v>
      </c>
      <c r="G1472" s="278" t="s">
        <v>5</v>
      </c>
      <c r="H1472" s="310">
        <v>2.949877907723943</v>
      </c>
      <c r="I1472" s="280">
        <f t="shared" ref="I1472" si="565">$I$2*H1472</f>
        <v>237.8191569207043</v>
      </c>
      <c r="J1472" s="281">
        <f t="shared" ref="J1472" si="566">$J$2*H1472</f>
        <v>269.70733710320013</v>
      </c>
      <c r="K1472" s="282">
        <f>IF(Notes!$B$9="Domestic",I1472, IF(Notes!$B$9="Commercial",J1472))*$K$1470</f>
        <v>269.70733710320013</v>
      </c>
      <c r="L1472" s="283">
        <f>(SUM(O1472:Q1472)+(K1472+SUM(M1472:Q1472))*(INDEX($U$1470:$AB$1470,MATCH(Notes!$C$16,$U$3:$AB$3,0))-100%))*$L$1470</f>
        <v>382.83</v>
      </c>
      <c r="M1472" s="286"/>
      <c r="N1472" s="286"/>
      <c r="O1472" s="311">
        <f>O1471</f>
        <v>382.83</v>
      </c>
      <c r="P1472" s="285"/>
      <c r="Q1472" s="285"/>
      <c r="R1472" s="278"/>
      <c r="S1472" s="278"/>
      <c r="T1472" s="278"/>
    </row>
    <row r="1473" spans="1:20" s="305" customFormat="1" hidden="1" outlineLevel="2" x14ac:dyDescent="0.25">
      <c r="A1473" s="278"/>
      <c r="B1473" s="279" t="str">
        <f t="shared" ref="B1473:B1497" si="567">C1473&amp;D1473&amp;E1473&amp;F1473</f>
        <v>2100mm2 x 921mm to 1220mmDFDFaverage</v>
      </c>
      <c r="C1473" s="278" t="s">
        <v>557</v>
      </c>
      <c r="D1473" s="278" t="s">
        <v>789</v>
      </c>
      <c r="E1473" s="278" t="s">
        <v>2115</v>
      </c>
      <c r="F1473" s="278" t="s">
        <v>543</v>
      </c>
      <c r="G1473" s="278" t="s">
        <v>5</v>
      </c>
      <c r="H1473" s="310">
        <v>3.1498522040868782</v>
      </c>
      <c r="I1473" s="280">
        <f t="shared" ref="I1473:I1497" si="568">$I$2*H1473</f>
        <v>253.94108469348413</v>
      </c>
      <c r="J1473" s="281">
        <f t="shared" ref="J1473:J1497" si="569">$J$2*H1473</f>
        <v>287.99098701966329</v>
      </c>
      <c r="K1473" s="282">
        <f>IF(Notes!$B$9="Domestic",I1473, IF(Notes!$B$9="Commercial",J1473))*$K$1470</f>
        <v>287.99098701966329</v>
      </c>
      <c r="L1473" s="283">
        <f>(SUM(O1473:Q1473)+(K1473+SUM(M1473:Q1473))*(INDEX($U$1470:$AB$1470,MATCH(Notes!$C$16,$U$3:$AB$3,0))-100%))*$L$1470</f>
        <v>402.83</v>
      </c>
      <c r="M1473" s="286"/>
      <c r="N1473" s="286"/>
      <c r="O1473" s="311">
        <f>O1472+20</f>
        <v>402.83</v>
      </c>
      <c r="P1473" s="285"/>
      <c r="Q1473" s="285"/>
      <c r="R1473" s="278"/>
      <c r="S1473" s="278"/>
      <c r="T1473" s="278"/>
    </row>
    <row r="1474" spans="1:20" s="305" customFormat="1" hidden="1" outlineLevel="2" x14ac:dyDescent="0.25">
      <c r="A1474" s="278"/>
      <c r="B1474" s="279" t="str">
        <f t="shared" si="567"/>
        <v>2400mm2 x up to 820mmDFDFaverage</v>
      </c>
      <c r="C1474" s="278" t="s">
        <v>558</v>
      </c>
      <c r="D1474" s="278" t="s">
        <v>787</v>
      </c>
      <c r="E1474" s="278" t="s">
        <v>2115</v>
      </c>
      <c r="F1474" s="278" t="s">
        <v>543</v>
      </c>
      <c r="G1474" s="278" t="s">
        <v>5</v>
      </c>
      <c r="H1474" s="310">
        <v>2.8784217966842309</v>
      </c>
      <c r="I1474" s="280">
        <f t="shared" si="568"/>
        <v>232.05836524868272</v>
      </c>
      <c r="J1474" s="281">
        <f t="shared" si="569"/>
        <v>263.17410487083924</v>
      </c>
      <c r="K1474" s="282">
        <f>IF(Notes!$B$9="Domestic",I1474, IF(Notes!$B$9="Commercial",J1474))*$K$1470</f>
        <v>263.17410487083924</v>
      </c>
      <c r="L1474" s="283">
        <f>(SUM(O1474:Q1474)+(K1474+SUM(M1474:Q1474))*(INDEX($U$1470:$AB$1470,MATCH(Notes!$C$16,$U$3:$AB$3,0))-100%))*$L$1470</f>
        <v>402.83</v>
      </c>
      <c r="M1474" s="286"/>
      <c r="N1474" s="286"/>
      <c r="O1474" s="311">
        <f>O1471+20</f>
        <v>402.83</v>
      </c>
      <c r="P1474" s="285"/>
      <c r="Q1474" s="285"/>
      <c r="R1474" s="278"/>
      <c r="S1474" s="278"/>
      <c r="T1474" s="278"/>
    </row>
    <row r="1475" spans="1:20" s="305" customFormat="1" hidden="1" outlineLevel="2" x14ac:dyDescent="0.25">
      <c r="A1475" s="278"/>
      <c r="B1475" s="279" t="str">
        <f t="shared" si="567"/>
        <v>2400mm2 x 821mm to 920mmDFDFaverage</v>
      </c>
      <c r="C1475" s="278" t="s">
        <v>558</v>
      </c>
      <c r="D1475" s="278" t="s">
        <v>788</v>
      </c>
      <c r="E1475" s="278" t="s">
        <v>2115</v>
      </c>
      <c r="F1475" s="278" t="s">
        <v>543</v>
      </c>
      <c r="G1475" s="278" t="s">
        <v>5</v>
      </c>
      <c r="H1475" s="310">
        <v>3.0783960930471661</v>
      </c>
      <c r="I1475" s="280">
        <f t="shared" si="568"/>
        <v>248.18029302146255</v>
      </c>
      <c r="J1475" s="281">
        <f t="shared" si="569"/>
        <v>281.45775478730241</v>
      </c>
      <c r="K1475" s="282">
        <f>IF(Notes!$B$9="Domestic",I1475, IF(Notes!$B$9="Commercial",J1475))*$K$1470</f>
        <v>281.45775478730241</v>
      </c>
      <c r="L1475" s="283">
        <f>(SUM(O1475:Q1475)+(K1475+SUM(M1475:Q1475))*(INDEX($U$1470:$AB$1470,MATCH(Notes!$C$16,$U$3:$AB$3,0))-100%))*$L$1470</f>
        <v>402.83</v>
      </c>
      <c r="M1475" s="286"/>
      <c r="N1475" s="286"/>
      <c r="O1475" s="311">
        <f t="shared" ref="O1475:O1479" si="570">O1472+20</f>
        <v>402.83</v>
      </c>
      <c r="P1475" s="285"/>
      <c r="Q1475" s="285"/>
      <c r="R1475" s="278"/>
      <c r="S1475" s="278"/>
      <c r="T1475" s="278"/>
    </row>
    <row r="1476" spans="1:20" s="305" customFormat="1" hidden="1" outlineLevel="2" x14ac:dyDescent="0.25">
      <c r="A1476" s="278"/>
      <c r="B1476" s="279" t="str">
        <f t="shared" si="567"/>
        <v>2400mm2 x 921mm to 1220mmDFDFaverage</v>
      </c>
      <c r="C1476" s="278" t="s">
        <v>558</v>
      </c>
      <c r="D1476" s="278" t="s">
        <v>789</v>
      </c>
      <c r="E1476" s="278" t="s">
        <v>2115</v>
      </c>
      <c r="F1476" s="278" t="s">
        <v>543</v>
      </c>
      <c r="G1476" s="278" t="s">
        <v>5</v>
      </c>
      <c r="H1476" s="310">
        <v>3.2783703894101013</v>
      </c>
      <c r="I1476" s="280">
        <f t="shared" si="568"/>
        <v>264.30222079424237</v>
      </c>
      <c r="J1476" s="281">
        <f t="shared" si="569"/>
        <v>299.74140470376557</v>
      </c>
      <c r="K1476" s="282">
        <f>IF(Notes!$B$9="Domestic",I1476, IF(Notes!$B$9="Commercial",J1476))*$K$1470</f>
        <v>299.74140470376557</v>
      </c>
      <c r="L1476" s="283">
        <f>(SUM(O1476:Q1476)+(K1476+SUM(M1476:Q1476))*(INDEX($U$1470:$AB$1470,MATCH(Notes!$C$16,$U$3:$AB$3,0))-100%))*$L$1470</f>
        <v>422.83</v>
      </c>
      <c r="M1476" s="286"/>
      <c r="N1476" s="286"/>
      <c r="O1476" s="311">
        <f t="shared" si="570"/>
        <v>422.83</v>
      </c>
      <c r="P1476" s="285"/>
      <c r="Q1476" s="285"/>
      <c r="R1476" s="278"/>
      <c r="S1476" s="278"/>
      <c r="T1476" s="278"/>
    </row>
    <row r="1477" spans="1:20" s="305" customFormat="1" hidden="1" outlineLevel="2" x14ac:dyDescent="0.25">
      <c r="A1477" s="278"/>
      <c r="B1477" s="279" t="str">
        <f t="shared" si="567"/>
        <v>2700mm2 x up to 820mmDFDFaverage</v>
      </c>
      <c r="C1477" s="278" t="s">
        <v>779</v>
      </c>
      <c r="D1477" s="278" t="s">
        <v>787</v>
      </c>
      <c r="E1477" s="278" t="s">
        <v>2115</v>
      </c>
      <c r="F1477" s="278" t="s">
        <v>543</v>
      </c>
      <c r="G1477" s="278" t="s">
        <v>5</v>
      </c>
      <c r="H1477" s="310">
        <v>3.006939982007454</v>
      </c>
      <c r="I1477" s="280">
        <f t="shared" si="568"/>
        <v>242.41950134944096</v>
      </c>
      <c r="J1477" s="281">
        <f t="shared" si="569"/>
        <v>274.92452255494152</v>
      </c>
      <c r="K1477" s="282">
        <f>IF(Notes!$B$9="Domestic",I1477, IF(Notes!$B$9="Commercial",J1477))*$K$1470</f>
        <v>274.92452255494152</v>
      </c>
      <c r="L1477" s="283">
        <f>(SUM(O1477:Q1477)+(K1477+SUM(M1477:Q1477))*(INDEX($U$1470:$AB$1470,MATCH(Notes!$C$16,$U$3:$AB$3,0))-100%))*$L$1470</f>
        <v>422.83</v>
      </c>
      <c r="M1477" s="286"/>
      <c r="N1477" s="286"/>
      <c r="O1477" s="311">
        <f t="shared" si="570"/>
        <v>422.83</v>
      </c>
      <c r="P1477" s="285"/>
      <c r="Q1477" s="285"/>
      <c r="R1477" s="278"/>
      <c r="S1477" s="278"/>
      <c r="T1477" s="278"/>
    </row>
    <row r="1478" spans="1:20" s="305" customFormat="1" hidden="1" outlineLevel="2" x14ac:dyDescent="0.25">
      <c r="A1478" s="278"/>
      <c r="B1478" s="279" t="str">
        <f t="shared" si="567"/>
        <v>2700mm2 x 821mm to 920mmDFDFaverage</v>
      </c>
      <c r="C1478" s="278" t="s">
        <v>779</v>
      </c>
      <c r="D1478" s="278" t="s">
        <v>788</v>
      </c>
      <c r="E1478" s="278" t="s">
        <v>2115</v>
      </c>
      <c r="F1478" s="278" t="s">
        <v>543</v>
      </c>
      <c r="G1478" s="278" t="s">
        <v>5</v>
      </c>
      <c r="H1478" s="310">
        <v>3.2069142783703892</v>
      </c>
      <c r="I1478" s="280">
        <f t="shared" si="568"/>
        <v>258.54142912222079</v>
      </c>
      <c r="J1478" s="281">
        <f t="shared" si="569"/>
        <v>293.20817247140474</v>
      </c>
      <c r="K1478" s="282">
        <f>IF(Notes!$B$9="Domestic",I1478, IF(Notes!$B$9="Commercial",J1478))*$K$1470</f>
        <v>293.20817247140474</v>
      </c>
      <c r="L1478" s="283">
        <f>(SUM(O1478:Q1478)+(K1478+SUM(M1478:Q1478))*(INDEX($U$1470:$AB$1470,MATCH(Notes!$C$16,$U$3:$AB$3,0))-100%))*$L$1470</f>
        <v>422.83</v>
      </c>
      <c r="M1478" s="286"/>
      <c r="N1478" s="286"/>
      <c r="O1478" s="311">
        <f t="shared" si="570"/>
        <v>422.83</v>
      </c>
      <c r="P1478" s="285"/>
      <c r="Q1478" s="285"/>
      <c r="R1478" s="278"/>
      <c r="S1478" s="278"/>
      <c r="T1478" s="278"/>
    </row>
    <row r="1479" spans="1:20" s="305" customFormat="1" hidden="1" outlineLevel="2" x14ac:dyDescent="0.25">
      <c r="A1479" s="278"/>
      <c r="B1479" s="279" t="str">
        <f t="shared" si="567"/>
        <v>2700mm2 x 921mm to 1220mmDFDFaverage</v>
      </c>
      <c r="C1479" s="278" t="s">
        <v>779</v>
      </c>
      <c r="D1479" s="278" t="s">
        <v>789</v>
      </c>
      <c r="E1479" s="278" t="s">
        <v>2115</v>
      </c>
      <c r="F1479" s="278" t="s">
        <v>543</v>
      </c>
      <c r="G1479" s="278" t="s">
        <v>5</v>
      </c>
      <c r="H1479" s="310">
        <v>3.4068885747333253</v>
      </c>
      <c r="I1479" s="280">
        <f t="shared" si="568"/>
        <v>274.66335689500067</v>
      </c>
      <c r="J1479" s="281">
        <f t="shared" si="569"/>
        <v>311.49182238786796</v>
      </c>
      <c r="K1479" s="282">
        <f>IF(Notes!$B$9="Domestic",I1479, IF(Notes!$B$9="Commercial",J1479))*$K$1470</f>
        <v>311.49182238786796</v>
      </c>
      <c r="L1479" s="283">
        <f>(SUM(O1479:Q1479)+(K1479+SUM(M1479:Q1479))*(INDEX($U$1470:$AB$1470,MATCH(Notes!$C$16,$U$3:$AB$3,0))-100%))*$L$1470</f>
        <v>442.83</v>
      </c>
      <c r="M1479" s="286"/>
      <c r="N1479" s="286"/>
      <c r="O1479" s="311">
        <f t="shared" si="570"/>
        <v>442.83</v>
      </c>
      <c r="P1479" s="285"/>
      <c r="Q1479" s="285"/>
      <c r="R1479" s="278"/>
      <c r="S1479" s="278"/>
      <c r="T1479" s="278"/>
    </row>
    <row r="1480" spans="1:20" s="305" customFormat="1" hidden="1" outlineLevel="2" x14ac:dyDescent="0.25">
      <c r="A1480" s="278"/>
      <c r="B1480" s="279" t="str">
        <f t="shared" si="567"/>
        <v>2100mm2 x up to 820mmDFDFquality</v>
      </c>
      <c r="C1480" s="278" t="s">
        <v>557</v>
      </c>
      <c r="D1480" s="278" t="s">
        <v>787</v>
      </c>
      <c r="E1480" s="278" t="s">
        <v>2115</v>
      </c>
      <c r="F1480" s="278" t="s">
        <v>544</v>
      </c>
      <c r="G1480" s="278" t="s">
        <v>5</v>
      </c>
      <c r="H1480" s="310">
        <v>2.7499036113610074</v>
      </c>
      <c r="I1480" s="280">
        <f t="shared" si="568"/>
        <v>221.69722914792442</v>
      </c>
      <c r="J1480" s="281">
        <f t="shared" si="569"/>
        <v>251.42368718673691</v>
      </c>
      <c r="K1480" s="282">
        <f>IF(Notes!$B$9="Domestic",I1480, IF(Notes!$B$9="Commercial",J1480))*$K$1470</f>
        <v>251.42368718673691</v>
      </c>
      <c r="L1480" s="283">
        <f>(SUM(O1480:Q1480)+(K1480+SUM(M1480:Q1480))*(INDEX($U$1470:$AB$1470,MATCH(Notes!$C$16,$U$3:$AB$3,0))-100%))*$L$1470</f>
        <v>406.67</v>
      </c>
      <c r="M1480" s="286"/>
      <c r="N1480" s="286"/>
      <c r="O1480" s="285">
        <v>406.67</v>
      </c>
      <c r="P1480" s="285"/>
      <c r="Q1480" s="285"/>
      <c r="R1480" s="278"/>
      <c r="S1480" s="278"/>
      <c r="T1480" s="278"/>
    </row>
    <row r="1481" spans="1:20" s="305" customFormat="1" hidden="1" outlineLevel="2" x14ac:dyDescent="0.25">
      <c r="A1481" s="278"/>
      <c r="B1481" s="279" t="str">
        <f t="shared" si="567"/>
        <v>2100mm2 x 821mm to 920mmDFDFquality</v>
      </c>
      <c r="C1481" s="278" t="s">
        <v>557</v>
      </c>
      <c r="D1481" s="278" t="s">
        <v>788</v>
      </c>
      <c r="E1481" s="278" t="s">
        <v>2115</v>
      </c>
      <c r="F1481" s="278" t="s">
        <v>544</v>
      </c>
      <c r="G1481" s="278" t="s">
        <v>5</v>
      </c>
      <c r="H1481" s="310">
        <v>2.949877907723943</v>
      </c>
      <c r="I1481" s="280">
        <f t="shared" si="568"/>
        <v>237.8191569207043</v>
      </c>
      <c r="J1481" s="281">
        <f t="shared" si="569"/>
        <v>269.70733710320013</v>
      </c>
      <c r="K1481" s="282">
        <f>IF(Notes!$B$9="Domestic",I1481, IF(Notes!$B$9="Commercial",J1481))*$K$1470</f>
        <v>269.70733710320013</v>
      </c>
      <c r="L1481" s="283">
        <f>(SUM(O1481:Q1481)+(K1481+SUM(M1481:Q1481))*(INDEX($U$1470:$AB$1470,MATCH(Notes!$C$16,$U$3:$AB$3,0))-100%))*$L$1470</f>
        <v>406.67</v>
      </c>
      <c r="M1481" s="286"/>
      <c r="N1481" s="286"/>
      <c r="O1481" s="311">
        <f>O1480</f>
        <v>406.67</v>
      </c>
      <c r="P1481" s="285"/>
      <c r="Q1481" s="285"/>
      <c r="R1481" s="278"/>
      <c r="S1481" s="278"/>
      <c r="T1481" s="278"/>
    </row>
    <row r="1482" spans="1:20" s="305" customFormat="1" hidden="1" outlineLevel="2" x14ac:dyDescent="0.25">
      <c r="A1482" s="278"/>
      <c r="B1482" s="279" t="str">
        <f t="shared" si="567"/>
        <v>2100mm2 x 921mm to 1220mmDFDFquality</v>
      </c>
      <c r="C1482" s="278" t="s">
        <v>557</v>
      </c>
      <c r="D1482" s="278" t="s">
        <v>789</v>
      </c>
      <c r="E1482" s="278" t="s">
        <v>2115</v>
      </c>
      <c r="F1482" s="278" t="s">
        <v>544</v>
      </c>
      <c r="G1482" s="278" t="s">
        <v>5</v>
      </c>
      <c r="H1482" s="310">
        <v>3.1498522040868782</v>
      </c>
      <c r="I1482" s="280">
        <f t="shared" si="568"/>
        <v>253.94108469348413</v>
      </c>
      <c r="J1482" s="281">
        <f t="shared" si="569"/>
        <v>287.99098701966329</v>
      </c>
      <c r="K1482" s="282">
        <f>IF(Notes!$B$9="Domestic",I1482, IF(Notes!$B$9="Commercial",J1482))*$K$1470</f>
        <v>287.99098701966329</v>
      </c>
      <c r="L1482" s="283">
        <f>(SUM(O1482:Q1482)+(K1482+SUM(M1482:Q1482))*(INDEX($U$1470:$AB$1470,MATCH(Notes!$C$16,$U$3:$AB$3,0))-100%))*$L$1470</f>
        <v>436.67</v>
      </c>
      <c r="M1482" s="286"/>
      <c r="N1482" s="286"/>
      <c r="O1482" s="311">
        <f>O1481+30</f>
        <v>436.67</v>
      </c>
      <c r="P1482" s="285"/>
      <c r="Q1482" s="285"/>
      <c r="R1482" s="278"/>
      <c r="S1482" s="278"/>
      <c r="T1482" s="278"/>
    </row>
    <row r="1483" spans="1:20" s="305" customFormat="1" hidden="1" outlineLevel="2" x14ac:dyDescent="0.25">
      <c r="A1483" s="278"/>
      <c r="B1483" s="279" t="str">
        <f t="shared" si="567"/>
        <v>2400mm2 x up to 820mmDFDFquality</v>
      </c>
      <c r="C1483" s="278" t="s">
        <v>558</v>
      </c>
      <c r="D1483" s="278" t="s">
        <v>787</v>
      </c>
      <c r="E1483" s="278" t="s">
        <v>2115</v>
      </c>
      <c r="F1483" s="278" t="s">
        <v>544</v>
      </c>
      <c r="G1483" s="278" t="s">
        <v>5</v>
      </c>
      <c r="H1483" s="310">
        <v>2.8784217966842309</v>
      </c>
      <c r="I1483" s="280">
        <f t="shared" si="568"/>
        <v>232.05836524868272</v>
      </c>
      <c r="J1483" s="281">
        <f t="shared" si="569"/>
        <v>263.17410487083924</v>
      </c>
      <c r="K1483" s="282">
        <f>IF(Notes!$B$9="Domestic",I1483, IF(Notes!$B$9="Commercial",J1483))*$K$1470</f>
        <v>263.17410487083924</v>
      </c>
      <c r="L1483" s="283">
        <f>(SUM(O1483:Q1483)+(K1483+SUM(M1483:Q1483))*(INDEX($U$1470:$AB$1470,MATCH(Notes!$C$16,$U$3:$AB$3,0))-100%))*$L$1470</f>
        <v>436.67</v>
      </c>
      <c r="M1483" s="286"/>
      <c r="N1483" s="286"/>
      <c r="O1483" s="311">
        <f>O1480+30</f>
        <v>436.67</v>
      </c>
      <c r="P1483" s="285"/>
      <c r="Q1483" s="285"/>
      <c r="R1483" s="278"/>
      <c r="S1483" s="278"/>
      <c r="T1483" s="278"/>
    </row>
    <row r="1484" spans="1:20" s="305" customFormat="1" hidden="1" outlineLevel="2" x14ac:dyDescent="0.25">
      <c r="A1484" s="278"/>
      <c r="B1484" s="279" t="str">
        <f t="shared" si="567"/>
        <v>2400mm2 x 821mm to 920mmDFDFquality</v>
      </c>
      <c r="C1484" s="278" t="s">
        <v>558</v>
      </c>
      <c r="D1484" s="278" t="s">
        <v>788</v>
      </c>
      <c r="E1484" s="278" t="s">
        <v>2115</v>
      </c>
      <c r="F1484" s="278" t="s">
        <v>544</v>
      </c>
      <c r="G1484" s="278" t="s">
        <v>5</v>
      </c>
      <c r="H1484" s="310">
        <v>3.0783960930471661</v>
      </c>
      <c r="I1484" s="280">
        <f t="shared" si="568"/>
        <v>248.18029302146255</v>
      </c>
      <c r="J1484" s="281">
        <f t="shared" si="569"/>
        <v>281.45775478730241</v>
      </c>
      <c r="K1484" s="282">
        <f>IF(Notes!$B$9="Domestic",I1484, IF(Notes!$B$9="Commercial",J1484))*$K$1470</f>
        <v>281.45775478730241</v>
      </c>
      <c r="L1484" s="283">
        <f>(SUM(O1484:Q1484)+(K1484+SUM(M1484:Q1484))*(INDEX($U$1470:$AB$1470,MATCH(Notes!$C$16,$U$3:$AB$3,0))-100%))*$L$1470</f>
        <v>436.67</v>
      </c>
      <c r="M1484" s="286"/>
      <c r="N1484" s="286"/>
      <c r="O1484" s="311">
        <f t="shared" ref="O1484:O1486" si="571">O1481+30</f>
        <v>436.67</v>
      </c>
      <c r="P1484" s="285"/>
      <c r="Q1484" s="285"/>
      <c r="R1484" s="278"/>
      <c r="S1484" s="278"/>
      <c r="T1484" s="278"/>
    </row>
    <row r="1485" spans="1:20" s="305" customFormat="1" hidden="1" outlineLevel="2" x14ac:dyDescent="0.25">
      <c r="A1485" s="278"/>
      <c r="B1485" s="279" t="str">
        <f t="shared" si="567"/>
        <v>2400mm2 x 921mm to 1220mmDFDFquality</v>
      </c>
      <c r="C1485" s="278" t="s">
        <v>558</v>
      </c>
      <c r="D1485" s="278" t="s">
        <v>789</v>
      </c>
      <c r="E1485" s="278" t="s">
        <v>2115</v>
      </c>
      <c r="F1485" s="278" t="s">
        <v>544</v>
      </c>
      <c r="G1485" s="278" t="s">
        <v>5</v>
      </c>
      <c r="H1485" s="310">
        <v>3.2783703894101013</v>
      </c>
      <c r="I1485" s="280">
        <f t="shared" si="568"/>
        <v>264.30222079424237</v>
      </c>
      <c r="J1485" s="281">
        <f t="shared" si="569"/>
        <v>299.74140470376557</v>
      </c>
      <c r="K1485" s="282">
        <f>IF(Notes!$B$9="Domestic",I1485, IF(Notes!$B$9="Commercial",J1485))*$K$1470</f>
        <v>299.74140470376557</v>
      </c>
      <c r="L1485" s="283">
        <f>(SUM(O1485:Q1485)+(K1485+SUM(M1485:Q1485))*(INDEX($U$1470:$AB$1470,MATCH(Notes!$C$16,$U$3:$AB$3,0))-100%))*$L$1470</f>
        <v>466.67</v>
      </c>
      <c r="M1485" s="286"/>
      <c r="N1485" s="286"/>
      <c r="O1485" s="311">
        <f>O1482+30</f>
        <v>466.67</v>
      </c>
      <c r="P1485" s="285"/>
      <c r="Q1485" s="285"/>
      <c r="R1485" s="278"/>
      <c r="S1485" s="278"/>
      <c r="T1485" s="278"/>
    </row>
    <row r="1486" spans="1:20" s="305" customFormat="1" hidden="1" outlineLevel="2" x14ac:dyDescent="0.25">
      <c r="A1486" s="278"/>
      <c r="B1486" s="279" t="str">
        <f t="shared" si="567"/>
        <v>2700mm2 x up to 820mmDFDFquality</v>
      </c>
      <c r="C1486" s="278" t="s">
        <v>779</v>
      </c>
      <c r="D1486" s="278" t="s">
        <v>787</v>
      </c>
      <c r="E1486" s="278" t="s">
        <v>2115</v>
      </c>
      <c r="F1486" s="278" t="s">
        <v>544</v>
      </c>
      <c r="G1486" s="278" t="s">
        <v>5</v>
      </c>
      <c r="H1486" s="310">
        <v>3.006939982007454</v>
      </c>
      <c r="I1486" s="280">
        <f t="shared" si="568"/>
        <v>242.41950134944096</v>
      </c>
      <c r="J1486" s="281">
        <f t="shared" si="569"/>
        <v>274.92452255494152</v>
      </c>
      <c r="K1486" s="282">
        <f>IF(Notes!$B$9="Domestic",I1486, IF(Notes!$B$9="Commercial",J1486))*$K$1470</f>
        <v>274.92452255494152</v>
      </c>
      <c r="L1486" s="283">
        <f>(SUM(O1486:Q1486)+(K1486+SUM(M1486:Q1486))*(INDEX($U$1470:$AB$1470,MATCH(Notes!$C$16,$U$3:$AB$3,0))-100%))*$L$1470</f>
        <v>466.67</v>
      </c>
      <c r="M1486" s="286"/>
      <c r="N1486" s="286"/>
      <c r="O1486" s="311">
        <f t="shared" si="571"/>
        <v>466.67</v>
      </c>
      <c r="P1486" s="285"/>
      <c r="Q1486" s="285"/>
      <c r="R1486" s="278"/>
      <c r="S1486" s="278"/>
      <c r="T1486" s="278"/>
    </row>
    <row r="1487" spans="1:20" s="305" customFormat="1" hidden="1" outlineLevel="2" x14ac:dyDescent="0.25">
      <c r="A1487" s="278"/>
      <c r="B1487" s="279" t="str">
        <f t="shared" si="567"/>
        <v>2700mm2 x 821mm to 920mmDFDFquality</v>
      </c>
      <c r="C1487" s="278" t="s">
        <v>779</v>
      </c>
      <c r="D1487" s="278" t="s">
        <v>788</v>
      </c>
      <c r="E1487" s="278" t="s">
        <v>2115</v>
      </c>
      <c r="F1487" s="278" t="s">
        <v>544</v>
      </c>
      <c r="G1487" s="278" t="s">
        <v>5</v>
      </c>
      <c r="H1487" s="310">
        <v>3.2069142783703892</v>
      </c>
      <c r="I1487" s="280">
        <f t="shared" si="568"/>
        <v>258.54142912222079</v>
      </c>
      <c r="J1487" s="281">
        <f t="shared" si="569"/>
        <v>293.20817247140474</v>
      </c>
      <c r="K1487" s="282">
        <f>IF(Notes!$B$9="Domestic",I1487, IF(Notes!$B$9="Commercial",J1487))*$K$1470</f>
        <v>293.20817247140474</v>
      </c>
      <c r="L1487" s="283">
        <f>(SUM(O1487:Q1487)+(K1487+SUM(M1487:Q1487))*(INDEX($U$1470:$AB$1470,MATCH(Notes!$C$16,$U$3:$AB$3,0))-100%))*$L$1470</f>
        <v>466.67</v>
      </c>
      <c r="M1487" s="286"/>
      <c r="N1487" s="286"/>
      <c r="O1487" s="311">
        <f>O1484+30</f>
        <v>466.67</v>
      </c>
      <c r="P1487" s="285"/>
      <c r="Q1487" s="285"/>
      <c r="R1487" s="278"/>
      <c r="S1487" s="278"/>
      <c r="T1487" s="278"/>
    </row>
    <row r="1488" spans="1:20" s="305" customFormat="1" hidden="1" outlineLevel="2" x14ac:dyDescent="0.25">
      <c r="A1488" s="278"/>
      <c r="B1488" s="279" t="str">
        <f t="shared" si="567"/>
        <v>2700mm2 x 921mm to 1220mmDFDFquality</v>
      </c>
      <c r="C1488" s="278" t="s">
        <v>779</v>
      </c>
      <c r="D1488" s="278" t="s">
        <v>789</v>
      </c>
      <c r="E1488" s="278" t="s">
        <v>2115</v>
      </c>
      <c r="F1488" s="278" t="s">
        <v>544</v>
      </c>
      <c r="G1488" s="278" t="s">
        <v>5</v>
      </c>
      <c r="H1488" s="310">
        <v>3.4068885747333253</v>
      </c>
      <c r="I1488" s="280">
        <f t="shared" si="568"/>
        <v>274.66335689500067</v>
      </c>
      <c r="J1488" s="281">
        <f t="shared" si="569"/>
        <v>311.49182238786796</v>
      </c>
      <c r="K1488" s="282">
        <f>IF(Notes!$B$9="Domestic",I1488, IF(Notes!$B$9="Commercial",J1488))*$K$1470</f>
        <v>311.49182238786796</v>
      </c>
      <c r="L1488" s="283">
        <f>(SUM(O1488:Q1488)+(K1488+SUM(M1488:Q1488))*(INDEX($U$1470:$AB$1470,MATCH(Notes!$C$16,$U$3:$AB$3,0))-100%))*$L$1470</f>
        <v>496.67</v>
      </c>
      <c r="M1488" s="286"/>
      <c r="N1488" s="286"/>
      <c r="O1488" s="311">
        <f>O1485+30</f>
        <v>496.67</v>
      </c>
      <c r="P1488" s="285"/>
      <c r="Q1488" s="285"/>
      <c r="R1488" s="278"/>
      <c r="S1488" s="278"/>
      <c r="T1488" s="278"/>
    </row>
    <row r="1489" spans="1:28" s="305" customFormat="1" hidden="1" outlineLevel="2" x14ac:dyDescent="0.25">
      <c r="A1489" s="278"/>
      <c r="B1489" s="279" t="str">
        <f t="shared" si="567"/>
        <v>2100mm2 x up to 820mmDFDFprestige</v>
      </c>
      <c r="C1489" s="278" t="s">
        <v>557</v>
      </c>
      <c r="D1489" s="278" t="s">
        <v>787</v>
      </c>
      <c r="E1489" s="278" t="s">
        <v>2115</v>
      </c>
      <c r="F1489" s="278" t="s">
        <v>545</v>
      </c>
      <c r="G1489" s="278" t="s">
        <v>5</v>
      </c>
      <c r="H1489" s="310">
        <v>2.7499036113610074</v>
      </c>
      <c r="I1489" s="280">
        <f t="shared" si="568"/>
        <v>221.69722914792442</v>
      </c>
      <c r="J1489" s="281">
        <f t="shared" si="569"/>
        <v>251.42368718673691</v>
      </c>
      <c r="K1489" s="282">
        <f>IF(Notes!$B$9="Domestic",I1489, IF(Notes!$B$9="Commercial",J1489))*$K$1470</f>
        <v>251.42368718673691</v>
      </c>
      <c r="L1489" s="283">
        <f>(SUM(O1489:Q1489)+(K1489+SUM(M1489:Q1489))*(INDEX($U$1470:$AB$1470,MATCH(Notes!$C$16,$U$3:$AB$3,0))-100%))*$L$1470</f>
        <v>488.67</v>
      </c>
      <c r="M1489" s="286"/>
      <c r="N1489" s="286"/>
      <c r="O1489" s="285">
        <v>488.67</v>
      </c>
      <c r="P1489" s="285"/>
      <c r="Q1489" s="285"/>
      <c r="R1489" s="278"/>
      <c r="S1489" s="278"/>
      <c r="T1489" s="278"/>
    </row>
    <row r="1490" spans="1:28" s="305" customFormat="1" hidden="1" outlineLevel="2" x14ac:dyDescent="0.25">
      <c r="A1490" s="278"/>
      <c r="B1490" s="279" t="str">
        <f t="shared" si="567"/>
        <v>2100mm2 x 821mm to 920mmDFDFprestige</v>
      </c>
      <c r="C1490" s="278" t="s">
        <v>557</v>
      </c>
      <c r="D1490" s="278" t="s">
        <v>788</v>
      </c>
      <c r="E1490" s="278" t="s">
        <v>2115</v>
      </c>
      <c r="F1490" s="278" t="s">
        <v>545</v>
      </c>
      <c r="G1490" s="278" t="s">
        <v>5</v>
      </c>
      <c r="H1490" s="310">
        <v>2.949877907723943</v>
      </c>
      <c r="I1490" s="280">
        <f t="shared" si="568"/>
        <v>237.8191569207043</v>
      </c>
      <c r="J1490" s="281">
        <f t="shared" si="569"/>
        <v>269.70733710320013</v>
      </c>
      <c r="K1490" s="282">
        <f>IF(Notes!$B$9="Domestic",I1490, IF(Notes!$B$9="Commercial",J1490))*$K$1470</f>
        <v>269.70733710320013</v>
      </c>
      <c r="L1490" s="283">
        <f>(SUM(O1490:Q1490)+(K1490+SUM(M1490:Q1490))*(INDEX($U$1470:$AB$1470,MATCH(Notes!$C$16,$U$3:$AB$3,0))-100%))*$L$1470</f>
        <v>488.67</v>
      </c>
      <c r="M1490" s="286"/>
      <c r="N1490" s="286"/>
      <c r="O1490" s="311">
        <f>O1489</f>
        <v>488.67</v>
      </c>
      <c r="P1490" s="285"/>
      <c r="Q1490" s="285"/>
      <c r="R1490" s="278"/>
      <c r="S1490" s="278"/>
      <c r="T1490" s="278"/>
    </row>
    <row r="1491" spans="1:28" s="305" customFormat="1" hidden="1" outlineLevel="2" x14ac:dyDescent="0.25">
      <c r="A1491" s="278"/>
      <c r="B1491" s="279" t="str">
        <f t="shared" si="567"/>
        <v>2100mm2 x 921mm to 1220mmDFDFprestige</v>
      </c>
      <c r="C1491" s="278" t="s">
        <v>557</v>
      </c>
      <c r="D1491" s="278" t="s">
        <v>789</v>
      </c>
      <c r="E1491" s="278" t="s">
        <v>2115</v>
      </c>
      <c r="F1491" s="278" t="s">
        <v>545</v>
      </c>
      <c r="G1491" s="278" t="s">
        <v>5</v>
      </c>
      <c r="H1491" s="310">
        <v>3.1498522040868782</v>
      </c>
      <c r="I1491" s="280">
        <f t="shared" si="568"/>
        <v>253.94108469348413</v>
      </c>
      <c r="J1491" s="281">
        <f t="shared" si="569"/>
        <v>287.99098701966329</v>
      </c>
      <c r="K1491" s="282">
        <f>IF(Notes!$B$9="Domestic",I1491, IF(Notes!$B$9="Commercial",J1491))*$K$1470</f>
        <v>287.99098701966329</v>
      </c>
      <c r="L1491" s="283">
        <f>(SUM(O1491:Q1491)+(K1491+SUM(M1491:Q1491))*(INDEX($U$1470:$AB$1470,MATCH(Notes!$C$16,$U$3:$AB$3,0))-100%))*$L$1470</f>
        <v>528.67000000000007</v>
      </c>
      <c r="M1491" s="286"/>
      <c r="N1491" s="286"/>
      <c r="O1491" s="311">
        <f>O1490+40</f>
        <v>528.67000000000007</v>
      </c>
      <c r="P1491" s="285"/>
      <c r="Q1491" s="285"/>
      <c r="R1491" s="278"/>
      <c r="S1491" s="278"/>
      <c r="T1491" s="278"/>
    </row>
    <row r="1492" spans="1:28" s="305" customFormat="1" hidden="1" outlineLevel="2" x14ac:dyDescent="0.25">
      <c r="A1492" s="278"/>
      <c r="B1492" s="279" t="str">
        <f t="shared" si="567"/>
        <v>2400mm2 x up to 820mmDFDFprestige</v>
      </c>
      <c r="C1492" s="278" t="s">
        <v>558</v>
      </c>
      <c r="D1492" s="278" t="s">
        <v>787</v>
      </c>
      <c r="E1492" s="278" t="s">
        <v>2115</v>
      </c>
      <c r="F1492" s="278" t="s">
        <v>545</v>
      </c>
      <c r="G1492" s="278" t="s">
        <v>5</v>
      </c>
      <c r="H1492" s="310">
        <v>2.8784217966842309</v>
      </c>
      <c r="I1492" s="280">
        <f t="shared" si="568"/>
        <v>232.05836524868272</v>
      </c>
      <c r="J1492" s="281">
        <f t="shared" si="569"/>
        <v>263.17410487083924</v>
      </c>
      <c r="K1492" s="282">
        <f>IF(Notes!$B$9="Domestic",I1492, IF(Notes!$B$9="Commercial",J1492))*$K$1470</f>
        <v>263.17410487083924</v>
      </c>
      <c r="L1492" s="283">
        <f>(SUM(O1492:Q1492)+(K1492+SUM(M1492:Q1492))*(INDEX($U$1470:$AB$1470,MATCH(Notes!$C$16,$U$3:$AB$3,0))-100%))*$L$1470</f>
        <v>528.67000000000007</v>
      </c>
      <c r="M1492" s="286"/>
      <c r="N1492" s="286"/>
      <c r="O1492" s="311">
        <f>O1489+40</f>
        <v>528.67000000000007</v>
      </c>
      <c r="P1492" s="285"/>
      <c r="Q1492" s="285"/>
      <c r="R1492" s="278"/>
      <c r="S1492" s="278"/>
      <c r="T1492" s="278"/>
    </row>
    <row r="1493" spans="1:28" s="305" customFormat="1" hidden="1" outlineLevel="2" x14ac:dyDescent="0.25">
      <c r="A1493" s="278"/>
      <c r="B1493" s="279" t="str">
        <f t="shared" si="567"/>
        <v>2400mm2 x 821mm to 920mmDFDFprestige</v>
      </c>
      <c r="C1493" s="278" t="s">
        <v>558</v>
      </c>
      <c r="D1493" s="278" t="s">
        <v>788</v>
      </c>
      <c r="E1493" s="278" t="s">
        <v>2115</v>
      </c>
      <c r="F1493" s="278" t="s">
        <v>545</v>
      </c>
      <c r="G1493" s="278" t="s">
        <v>5</v>
      </c>
      <c r="H1493" s="310">
        <v>3.0783960930471661</v>
      </c>
      <c r="I1493" s="280">
        <f t="shared" si="568"/>
        <v>248.18029302146255</v>
      </c>
      <c r="J1493" s="281">
        <f t="shared" si="569"/>
        <v>281.45775478730241</v>
      </c>
      <c r="K1493" s="282">
        <f>IF(Notes!$B$9="Domestic",I1493, IF(Notes!$B$9="Commercial",J1493))*$K$1470</f>
        <v>281.45775478730241</v>
      </c>
      <c r="L1493" s="283">
        <f>(SUM(O1493:Q1493)+(K1493+SUM(M1493:Q1493))*(INDEX($U$1470:$AB$1470,MATCH(Notes!$C$16,$U$3:$AB$3,0))-100%))*$L$1470</f>
        <v>528.67000000000007</v>
      </c>
      <c r="M1493" s="286"/>
      <c r="N1493" s="286"/>
      <c r="O1493" s="311">
        <f t="shared" ref="O1493:O1497" si="572">O1490+40</f>
        <v>528.67000000000007</v>
      </c>
      <c r="P1493" s="285"/>
      <c r="Q1493" s="285"/>
      <c r="R1493" s="278"/>
      <c r="S1493" s="278"/>
      <c r="T1493" s="278"/>
    </row>
    <row r="1494" spans="1:28" s="305" customFormat="1" hidden="1" outlineLevel="2" x14ac:dyDescent="0.25">
      <c r="A1494" s="278"/>
      <c r="B1494" s="279" t="str">
        <f t="shared" si="567"/>
        <v>2400mm2 x 921mm to 1220mmDFDFprestige</v>
      </c>
      <c r="C1494" s="278" t="s">
        <v>558</v>
      </c>
      <c r="D1494" s="278" t="s">
        <v>789</v>
      </c>
      <c r="E1494" s="278" t="s">
        <v>2115</v>
      </c>
      <c r="F1494" s="278" t="s">
        <v>545</v>
      </c>
      <c r="G1494" s="278" t="s">
        <v>5</v>
      </c>
      <c r="H1494" s="310">
        <v>3.2783703894101013</v>
      </c>
      <c r="I1494" s="280">
        <f t="shared" si="568"/>
        <v>264.30222079424237</v>
      </c>
      <c r="J1494" s="281">
        <f t="shared" si="569"/>
        <v>299.74140470376557</v>
      </c>
      <c r="K1494" s="282">
        <f>IF(Notes!$B$9="Domestic",I1494, IF(Notes!$B$9="Commercial",J1494))*$K$1470</f>
        <v>299.74140470376557</v>
      </c>
      <c r="L1494" s="283">
        <f>(SUM(O1494:Q1494)+(K1494+SUM(M1494:Q1494))*(INDEX($U$1470:$AB$1470,MATCH(Notes!$C$16,$U$3:$AB$3,0))-100%))*$L$1470</f>
        <v>568.67000000000007</v>
      </c>
      <c r="M1494" s="286"/>
      <c r="N1494" s="286"/>
      <c r="O1494" s="311">
        <f t="shared" si="572"/>
        <v>568.67000000000007</v>
      </c>
      <c r="P1494" s="285"/>
      <c r="Q1494" s="285"/>
      <c r="R1494" s="278"/>
      <c r="S1494" s="278"/>
      <c r="T1494" s="278"/>
    </row>
    <row r="1495" spans="1:28" s="305" customFormat="1" hidden="1" outlineLevel="2" x14ac:dyDescent="0.25">
      <c r="A1495" s="278"/>
      <c r="B1495" s="279" t="str">
        <f t="shared" si="567"/>
        <v>2700mm2 x up to 820mmDFDFprestige</v>
      </c>
      <c r="C1495" s="278" t="s">
        <v>779</v>
      </c>
      <c r="D1495" s="278" t="s">
        <v>787</v>
      </c>
      <c r="E1495" s="278" t="s">
        <v>2115</v>
      </c>
      <c r="F1495" s="278" t="s">
        <v>545</v>
      </c>
      <c r="G1495" s="278" t="s">
        <v>5</v>
      </c>
      <c r="H1495" s="310">
        <v>3.006939982007454</v>
      </c>
      <c r="I1495" s="280">
        <f t="shared" si="568"/>
        <v>242.41950134944096</v>
      </c>
      <c r="J1495" s="281">
        <f t="shared" si="569"/>
        <v>274.92452255494152</v>
      </c>
      <c r="K1495" s="282">
        <f>IF(Notes!$B$9="Domestic",I1495, IF(Notes!$B$9="Commercial",J1495))*$K$1470</f>
        <v>274.92452255494152</v>
      </c>
      <c r="L1495" s="283">
        <f>(SUM(O1495:Q1495)+(K1495+SUM(M1495:Q1495))*(INDEX($U$1470:$AB$1470,MATCH(Notes!$C$16,$U$3:$AB$3,0))-100%))*$L$1470</f>
        <v>568.67000000000007</v>
      </c>
      <c r="M1495" s="286"/>
      <c r="N1495" s="286"/>
      <c r="O1495" s="311">
        <f t="shared" si="572"/>
        <v>568.67000000000007</v>
      </c>
      <c r="P1495" s="285"/>
      <c r="Q1495" s="285"/>
      <c r="R1495" s="278"/>
      <c r="S1495" s="278"/>
      <c r="T1495" s="278"/>
    </row>
    <row r="1496" spans="1:28" s="305" customFormat="1" hidden="1" outlineLevel="2" x14ac:dyDescent="0.25">
      <c r="A1496" s="278"/>
      <c r="B1496" s="279" t="str">
        <f t="shared" si="567"/>
        <v>2700mm2 x 821mm to 920mmDFDFprestige</v>
      </c>
      <c r="C1496" s="278" t="s">
        <v>779</v>
      </c>
      <c r="D1496" s="278" t="s">
        <v>788</v>
      </c>
      <c r="E1496" s="278" t="s">
        <v>2115</v>
      </c>
      <c r="F1496" s="278" t="s">
        <v>545</v>
      </c>
      <c r="G1496" s="278" t="s">
        <v>5</v>
      </c>
      <c r="H1496" s="310">
        <v>3.2069142783703892</v>
      </c>
      <c r="I1496" s="280">
        <f t="shared" si="568"/>
        <v>258.54142912222079</v>
      </c>
      <c r="J1496" s="281">
        <f t="shared" si="569"/>
        <v>293.20817247140474</v>
      </c>
      <c r="K1496" s="282">
        <f>IF(Notes!$B$9="Domestic",I1496, IF(Notes!$B$9="Commercial",J1496))*$K$1470</f>
        <v>293.20817247140474</v>
      </c>
      <c r="L1496" s="283">
        <f>(SUM(O1496:Q1496)+(K1496+SUM(M1496:Q1496))*(INDEX($U$1470:$AB$1470,MATCH(Notes!$C$16,$U$3:$AB$3,0))-100%))*$L$1470</f>
        <v>568.67000000000007</v>
      </c>
      <c r="M1496" s="286"/>
      <c r="N1496" s="286"/>
      <c r="O1496" s="311">
        <f t="shared" si="572"/>
        <v>568.67000000000007</v>
      </c>
      <c r="P1496" s="285"/>
      <c r="Q1496" s="285"/>
      <c r="R1496" s="278"/>
      <c r="S1496" s="278"/>
      <c r="T1496" s="278"/>
    </row>
    <row r="1497" spans="1:28" s="305" customFormat="1" hidden="1" outlineLevel="2" x14ac:dyDescent="0.25">
      <c r="A1497" s="278"/>
      <c r="B1497" s="279" t="str">
        <f t="shared" si="567"/>
        <v>2700mm2 x 921mm to 1220mmDFDFprestige</v>
      </c>
      <c r="C1497" s="278" t="s">
        <v>779</v>
      </c>
      <c r="D1497" s="278" t="s">
        <v>789</v>
      </c>
      <c r="E1497" s="278" t="s">
        <v>2115</v>
      </c>
      <c r="F1497" s="278" t="s">
        <v>545</v>
      </c>
      <c r="G1497" s="278" t="s">
        <v>5</v>
      </c>
      <c r="H1497" s="310">
        <v>3.4068885747333253</v>
      </c>
      <c r="I1497" s="280">
        <f t="shared" si="568"/>
        <v>274.66335689500067</v>
      </c>
      <c r="J1497" s="281">
        <f t="shared" si="569"/>
        <v>311.49182238786796</v>
      </c>
      <c r="K1497" s="282">
        <f>IF(Notes!$B$9="Domestic",I1497, IF(Notes!$B$9="Commercial",J1497))*$K$1470</f>
        <v>311.49182238786796</v>
      </c>
      <c r="L1497" s="283">
        <f>(SUM(O1497:Q1497)+(K1497+SUM(M1497:Q1497))*(INDEX($U$1470:$AB$1470,MATCH(Notes!$C$16,$U$3:$AB$3,0))-100%))*$L$1470</f>
        <v>608.67000000000007</v>
      </c>
      <c r="M1497" s="286"/>
      <c r="N1497" s="286"/>
      <c r="O1497" s="311">
        <f t="shared" si="572"/>
        <v>608.67000000000007</v>
      </c>
      <c r="P1497" s="285"/>
      <c r="Q1497" s="285"/>
      <c r="R1497" s="278"/>
      <c r="S1497" s="278"/>
      <c r="T1497" s="278"/>
    </row>
    <row r="1498" spans="1:28" ht="21" hidden="1" outlineLevel="1" collapsed="1" x14ac:dyDescent="0.25">
      <c r="A1498" s="299" t="s">
        <v>2117</v>
      </c>
      <c r="B1498" s="299"/>
      <c r="C1498" s="299"/>
      <c r="D1498" s="299"/>
      <c r="E1498" s="299"/>
      <c r="F1498" s="299"/>
      <c r="G1498" s="299"/>
      <c r="H1498" s="348"/>
      <c r="I1498" s="299"/>
      <c r="J1498" s="299"/>
      <c r="K1498" s="299"/>
      <c r="L1498" s="299"/>
      <c r="M1498" s="299"/>
      <c r="N1498" s="299"/>
      <c r="O1498" s="299"/>
      <c r="P1498" s="299"/>
      <c r="Q1498" s="299"/>
      <c r="R1498" s="299"/>
      <c r="S1498" s="299"/>
      <c r="T1498" s="299"/>
      <c r="U1498" s="299"/>
      <c r="V1498" s="299"/>
      <c r="W1498" s="299"/>
      <c r="X1498" s="299"/>
      <c r="Y1498" s="299"/>
      <c r="Z1498" s="299"/>
      <c r="AA1498" s="299"/>
      <c r="AB1498" s="299"/>
    </row>
    <row r="1499" spans="1:28" ht="15.75" hidden="1" outlineLevel="1" x14ac:dyDescent="0.25">
      <c r="A1499" s="291"/>
      <c r="B1499" s="291"/>
      <c r="C1499" s="291"/>
      <c r="D1499" s="291"/>
      <c r="E1499" s="291"/>
      <c r="F1499" s="291"/>
      <c r="G1499" s="291"/>
      <c r="H1499" s="325"/>
      <c r="I1499" s="291"/>
      <c r="J1499" s="291"/>
      <c r="K1499" s="291">
        <f>K$2</f>
        <v>1</v>
      </c>
      <c r="L1499" s="291">
        <f>L$2</f>
        <v>1</v>
      </c>
      <c r="M1499" s="291"/>
      <c r="N1499" s="291"/>
      <c r="O1499" s="303"/>
      <c r="P1499" s="303"/>
      <c r="Q1499" s="303"/>
      <c r="R1499" s="291"/>
      <c r="S1499" s="291"/>
      <c r="T1499" s="291"/>
      <c r="U1499" s="381">
        <f t="shared" ref="U1499:AB1499" si="573">U$1093</f>
        <v>0.97101449275362317</v>
      </c>
      <c r="V1499" s="381">
        <f t="shared" si="573"/>
        <v>1</v>
      </c>
      <c r="W1499" s="381">
        <f t="shared" si="573"/>
        <v>1.1159420289855073</v>
      </c>
      <c r="X1499" s="381">
        <f t="shared" si="573"/>
        <v>1.0905797101449275</v>
      </c>
      <c r="Y1499" s="381">
        <f t="shared" si="573"/>
        <v>1.1956521739130435</v>
      </c>
      <c r="Z1499" s="381">
        <f t="shared" si="573"/>
        <v>0.89130434782608692</v>
      </c>
      <c r="AA1499" s="381">
        <f t="shared" si="573"/>
        <v>1.3586956521739131</v>
      </c>
      <c r="AB1499" s="381">
        <f t="shared" si="573"/>
        <v>1.0253623188405796</v>
      </c>
    </row>
    <row r="1500" spans="1:28" s="305" customFormat="1" hidden="1" outlineLevel="2" x14ac:dyDescent="0.25">
      <c r="A1500" s="278"/>
      <c r="B1500" s="279" t="str">
        <f>C1500&amp;D1500&amp;E1500&amp;F1500</f>
        <v>2100mmup to 820mmSEDFaverage</v>
      </c>
      <c r="C1500" s="278" t="s">
        <v>557</v>
      </c>
      <c r="D1500" s="278" t="s">
        <v>724</v>
      </c>
      <c r="E1500" s="278" t="s">
        <v>2116</v>
      </c>
      <c r="F1500" s="278" t="s">
        <v>543</v>
      </c>
      <c r="G1500" s="278" t="s">
        <v>5</v>
      </c>
      <c r="H1500" s="310">
        <v>0.5199845778177612</v>
      </c>
      <c r="I1500" s="280">
        <f>$I$2*H1500</f>
        <v>41.921156663667908</v>
      </c>
      <c r="J1500" s="281">
        <f>$J$2*H1500</f>
        <v>47.542189949877908</v>
      </c>
      <c r="K1500" s="282">
        <f>IF(Notes!$B$9="Domestic",I1500, IF(Notes!$B$9="Commercial",J1500))*$K$1499</f>
        <v>47.542189949877908</v>
      </c>
      <c r="L1500" s="283">
        <f>(SUM(O1500:Q1500)+(K1500+SUM(M1500:Q1500))*(INDEX($U$1499:$AB$1499,MATCH(Notes!$C$16,$U$3:$AB$3,0))-100%))*$L$1499</f>
        <v>374.73</v>
      </c>
      <c r="M1500" s="286"/>
      <c r="N1500" s="286"/>
      <c r="O1500" s="285">
        <v>374.73</v>
      </c>
      <c r="P1500" s="285"/>
      <c r="Q1500" s="285"/>
      <c r="R1500" s="278"/>
      <c r="S1500" s="278"/>
      <c r="T1500" s="278"/>
    </row>
    <row r="1501" spans="1:28" s="305" customFormat="1" hidden="1" outlineLevel="2" x14ac:dyDescent="0.25">
      <c r="A1501" s="278"/>
      <c r="B1501" s="279" t="str">
        <f t="shared" ref="B1501:B1502" si="574">C1501&amp;D1501&amp;E1501&amp;F1501</f>
        <v>2100mm821mm to 920mmSEDFaverage</v>
      </c>
      <c r="C1501" s="278" t="s">
        <v>557</v>
      </c>
      <c r="D1501" s="278" t="s">
        <v>721</v>
      </c>
      <c r="E1501" s="278" t="s">
        <v>2116</v>
      </c>
      <c r="F1501" s="278" t="s">
        <v>543</v>
      </c>
      <c r="G1501" s="278" t="s">
        <v>5</v>
      </c>
      <c r="H1501" s="310">
        <v>0.7199588741806966</v>
      </c>
      <c r="I1501" s="280">
        <f t="shared" ref="I1501:I1502" si="575">$I$2*H1501</f>
        <v>58.043084436447764</v>
      </c>
      <c r="J1501" s="281">
        <f t="shared" ref="J1501:J1502" si="576">$J$2*H1501</f>
        <v>65.825839866341099</v>
      </c>
      <c r="K1501" s="282">
        <f>IF(Notes!$B$9="Domestic",I1501, IF(Notes!$B$9="Commercial",J1501))*$K$1499</f>
        <v>65.825839866341099</v>
      </c>
      <c r="L1501" s="283">
        <f>(SUM(O1501:Q1501)+(K1501+SUM(M1501:Q1501))*(INDEX($U$1499:$AB$1499,MATCH(Notes!$C$16,$U$3:$AB$3,0))-100%))*$L$1499</f>
        <v>417.73</v>
      </c>
      <c r="M1501" s="286"/>
      <c r="N1501" s="286"/>
      <c r="O1501" s="311">
        <f>O1500+43</f>
        <v>417.73</v>
      </c>
      <c r="P1501" s="285"/>
      <c r="Q1501" s="285"/>
      <c r="R1501" s="278"/>
      <c r="S1501" s="278"/>
      <c r="T1501" s="278"/>
    </row>
    <row r="1502" spans="1:28" s="305" customFormat="1" hidden="1" outlineLevel="2" x14ac:dyDescent="0.25">
      <c r="A1502" s="278"/>
      <c r="B1502" s="279" t="str">
        <f t="shared" si="574"/>
        <v>2100mm921mm to 1220mmSEDFaverage</v>
      </c>
      <c r="C1502" s="278" t="s">
        <v>557</v>
      </c>
      <c r="D1502" s="278" t="s">
        <v>722</v>
      </c>
      <c r="E1502" s="278" t="s">
        <v>2116</v>
      </c>
      <c r="F1502" s="278" t="s">
        <v>543</v>
      </c>
      <c r="G1502" s="278" t="s">
        <v>5</v>
      </c>
      <c r="H1502" s="310">
        <v>0.81994602236216418</v>
      </c>
      <c r="I1502" s="280">
        <f t="shared" si="575"/>
        <v>66.104048322837684</v>
      </c>
      <c r="J1502" s="281">
        <f t="shared" si="576"/>
        <v>74.96766482457268</v>
      </c>
      <c r="K1502" s="282">
        <f>IF(Notes!$B$9="Domestic",I1502, IF(Notes!$B$9="Commercial",J1502))*$K$1499</f>
        <v>74.96766482457268</v>
      </c>
      <c r="L1502" s="283">
        <f>(SUM(O1502:Q1502)+(K1502+SUM(M1502:Q1502))*(INDEX($U$1499:$AB$1499,MATCH(Notes!$C$16,$U$3:$AB$3,0))-100%))*$L$1499</f>
        <v>456.73</v>
      </c>
      <c r="M1502" s="286"/>
      <c r="N1502" s="286"/>
      <c r="O1502" s="311">
        <f>O1500+82</f>
        <v>456.73</v>
      </c>
      <c r="P1502" s="285"/>
      <c r="Q1502" s="285"/>
      <c r="R1502" s="278"/>
      <c r="S1502" s="278"/>
      <c r="T1502" s="278"/>
    </row>
    <row r="1503" spans="1:28" s="305" customFormat="1" hidden="1" outlineLevel="2" x14ac:dyDescent="0.25">
      <c r="A1503" s="278"/>
      <c r="B1503" s="279" t="str">
        <f t="shared" ref="B1503:B1526" si="577">C1503&amp;D1503&amp;E1503&amp;F1503</f>
        <v>2400mmup to 820mmSEDFaverage</v>
      </c>
      <c r="C1503" s="278" t="s">
        <v>558</v>
      </c>
      <c r="D1503" s="278" t="s">
        <v>724</v>
      </c>
      <c r="E1503" s="278" t="s">
        <v>2116</v>
      </c>
      <c r="F1503" s="278" t="s">
        <v>543</v>
      </c>
      <c r="G1503" s="278" t="s">
        <v>5</v>
      </c>
      <c r="H1503" s="310">
        <v>0.86993959645289798</v>
      </c>
      <c r="I1503" s="280">
        <f t="shared" ref="I1503:I1526" si="578">$I$2*H1503</f>
        <v>70.134530266032641</v>
      </c>
      <c r="J1503" s="281">
        <f t="shared" ref="J1503:J1526" si="579">$J$2*H1503</f>
        <v>79.53857730368847</v>
      </c>
      <c r="K1503" s="282">
        <f>IF(Notes!$B$9="Domestic",I1503, IF(Notes!$B$9="Commercial",J1503))*$K$1499</f>
        <v>79.53857730368847</v>
      </c>
      <c r="L1503" s="283">
        <f>(SUM(O1503:Q1503)+(K1503+SUM(M1503:Q1503))*(INDEX($U$1499:$AB$1499,MATCH(Notes!$C$16,$U$3:$AB$3,0))-100%))*$L$1499</f>
        <v>598.73</v>
      </c>
      <c r="M1503" s="286"/>
      <c r="N1503" s="286"/>
      <c r="O1503" s="311">
        <f>O1500+224</f>
        <v>598.73</v>
      </c>
      <c r="P1503" s="285"/>
      <c r="Q1503" s="285"/>
      <c r="R1503" s="278"/>
      <c r="S1503" s="278"/>
      <c r="T1503" s="278"/>
    </row>
    <row r="1504" spans="1:28" s="305" customFormat="1" hidden="1" outlineLevel="2" x14ac:dyDescent="0.25">
      <c r="A1504" s="278"/>
      <c r="B1504" s="279" t="str">
        <f t="shared" si="577"/>
        <v>2400mm821mm to 920mmSEDFaverage</v>
      </c>
      <c r="C1504" s="278" t="s">
        <v>558</v>
      </c>
      <c r="D1504" s="278" t="s">
        <v>721</v>
      </c>
      <c r="E1504" s="278" t="s">
        <v>2116</v>
      </c>
      <c r="F1504" s="278" t="s">
        <v>543</v>
      </c>
      <c r="G1504" s="278" t="s">
        <v>5</v>
      </c>
      <c r="H1504" s="310">
        <v>1.0699138928158334</v>
      </c>
      <c r="I1504" s="280">
        <f t="shared" si="578"/>
        <v>86.256458038812497</v>
      </c>
      <c r="J1504" s="281">
        <f t="shared" si="579"/>
        <v>97.822227220151646</v>
      </c>
      <c r="K1504" s="282">
        <f>IF(Notes!$B$9="Domestic",I1504, IF(Notes!$B$9="Commercial",J1504))*$K$1499</f>
        <v>97.822227220151646</v>
      </c>
      <c r="L1504" s="283">
        <f>(SUM(O1504:Q1504)+(K1504+SUM(M1504:Q1504))*(INDEX($U$1499:$AB$1499,MATCH(Notes!$C$16,$U$3:$AB$3,0))-100%))*$L$1499</f>
        <v>641.73</v>
      </c>
      <c r="M1504" s="286"/>
      <c r="N1504" s="286"/>
      <c r="O1504" s="311">
        <f t="shared" ref="O1504" si="580">O1501+224</f>
        <v>641.73</v>
      </c>
      <c r="P1504" s="285"/>
      <c r="Q1504" s="285"/>
      <c r="R1504" s="278"/>
      <c r="S1504" s="278"/>
      <c r="T1504" s="278"/>
    </row>
    <row r="1505" spans="1:20" s="305" customFormat="1" hidden="1" outlineLevel="2" x14ac:dyDescent="0.25">
      <c r="A1505" s="278"/>
      <c r="B1505" s="279" t="str">
        <f t="shared" si="577"/>
        <v>2400mm921mm to 1220mmSEDFaverage</v>
      </c>
      <c r="C1505" s="278" t="s">
        <v>558</v>
      </c>
      <c r="D1505" s="278" t="s">
        <v>722</v>
      </c>
      <c r="E1505" s="278" t="s">
        <v>2116</v>
      </c>
      <c r="F1505" s="278" t="s">
        <v>543</v>
      </c>
      <c r="G1505" s="278" t="s">
        <v>5</v>
      </c>
      <c r="H1505" s="310">
        <v>1.1699010409973012</v>
      </c>
      <c r="I1505" s="280">
        <f t="shared" si="578"/>
        <v>94.317421925202424</v>
      </c>
      <c r="J1505" s="281">
        <f t="shared" si="579"/>
        <v>106.96405217838326</v>
      </c>
      <c r="K1505" s="282">
        <f>IF(Notes!$B$9="Domestic",I1505, IF(Notes!$B$9="Commercial",J1505))*$K$1499</f>
        <v>106.96405217838326</v>
      </c>
      <c r="L1505" s="283">
        <f>(SUM(O1505:Q1505)+(K1505+SUM(M1505:Q1505))*(INDEX($U$1499:$AB$1499,MATCH(Notes!$C$16,$U$3:$AB$3,0))-100%))*$L$1499</f>
        <v>680.73</v>
      </c>
      <c r="M1505" s="286"/>
      <c r="N1505" s="286"/>
      <c r="O1505" s="311">
        <f>O1502+224</f>
        <v>680.73</v>
      </c>
      <c r="P1505" s="285"/>
      <c r="Q1505" s="285"/>
      <c r="R1505" s="278"/>
      <c r="S1505" s="278"/>
      <c r="T1505" s="278"/>
    </row>
    <row r="1506" spans="1:20" s="305" customFormat="1" hidden="1" outlineLevel="2" x14ac:dyDescent="0.25">
      <c r="A1506" s="278"/>
      <c r="B1506" s="279" t="str">
        <f t="shared" si="577"/>
        <v>2700mmup to 820mmSEDFaverage</v>
      </c>
      <c r="C1506" s="278" t="s">
        <v>779</v>
      </c>
      <c r="D1506" s="278" t="s">
        <v>724</v>
      </c>
      <c r="E1506" s="278" t="s">
        <v>2116</v>
      </c>
      <c r="F1506" s="278" t="s">
        <v>543</v>
      </c>
      <c r="G1506" s="278" t="s">
        <v>5</v>
      </c>
      <c r="H1506" s="310">
        <v>1.219894615088035</v>
      </c>
      <c r="I1506" s="280">
        <f t="shared" si="578"/>
        <v>98.347903868397381</v>
      </c>
      <c r="J1506" s="281">
        <f t="shared" si="579"/>
        <v>111.53496465749905</v>
      </c>
      <c r="K1506" s="282">
        <f>IF(Notes!$B$9="Domestic",I1506, IF(Notes!$B$9="Commercial",J1506))*$K$1499</f>
        <v>111.53496465749905</v>
      </c>
      <c r="L1506" s="283">
        <f>(SUM(O1506:Q1506)+(K1506+SUM(M1506:Q1506))*(INDEX($U$1499:$AB$1499,MATCH(Notes!$C$16,$U$3:$AB$3,0))-100%))*$L$1499</f>
        <v>710.73</v>
      </c>
      <c r="M1506" s="286"/>
      <c r="N1506" s="286"/>
      <c r="O1506" s="311">
        <f>O1503+224/2</f>
        <v>710.73</v>
      </c>
      <c r="P1506" s="285"/>
      <c r="Q1506" s="285"/>
      <c r="R1506" s="278"/>
      <c r="S1506" s="278"/>
      <c r="T1506" s="278"/>
    </row>
    <row r="1507" spans="1:20" s="305" customFormat="1" hidden="1" outlineLevel="2" x14ac:dyDescent="0.25">
      <c r="A1507" s="278"/>
      <c r="B1507" s="279" t="str">
        <f t="shared" si="577"/>
        <v>2700mm821mm to 920mmSEDFaverage</v>
      </c>
      <c r="C1507" s="278" t="s">
        <v>779</v>
      </c>
      <c r="D1507" s="278" t="s">
        <v>721</v>
      </c>
      <c r="E1507" s="278" t="s">
        <v>2116</v>
      </c>
      <c r="F1507" s="278" t="s">
        <v>543</v>
      </c>
      <c r="G1507" s="278" t="s">
        <v>5</v>
      </c>
      <c r="H1507" s="310">
        <v>1.4198689114509704</v>
      </c>
      <c r="I1507" s="280">
        <f t="shared" si="578"/>
        <v>114.46983164117724</v>
      </c>
      <c r="J1507" s="281">
        <f t="shared" si="579"/>
        <v>129.81861457396224</v>
      </c>
      <c r="K1507" s="282">
        <f>IF(Notes!$B$9="Domestic",I1507, IF(Notes!$B$9="Commercial",J1507))*$K$1499</f>
        <v>129.81861457396224</v>
      </c>
      <c r="L1507" s="283">
        <f>(SUM(O1507:Q1507)+(K1507+SUM(M1507:Q1507))*(INDEX($U$1499:$AB$1499,MATCH(Notes!$C$16,$U$3:$AB$3,0))-100%))*$L$1499</f>
        <v>753.73</v>
      </c>
      <c r="M1507" s="286"/>
      <c r="N1507" s="286"/>
      <c r="O1507" s="311">
        <f t="shared" ref="O1507:O1508" si="581">O1504+224/2</f>
        <v>753.73</v>
      </c>
      <c r="P1507" s="285"/>
      <c r="Q1507" s="285"/>
      <c r="R1507" s="278"/>
      <c r="S1507" s="278"/>
      <c r="T1507" s="278"/>
    </row>
    <row r="1508" spans="1:20" s="305" customFormat="1" hidden="1" outlineLevel="2" x14ac:dyDescent="0.25">
      <c r="A1508" s="278"/>
      <c r="B1508" s="279" t="str">
        <f t="shared" si="577"/>
        <v>2700mm921mm to 1220mmSEDFaverage</v>
      </c>
      <c r="C1508" s="278" t="s">
        <v>779</v>
      </c>
      <c r="D1508" s="278" t="s">
        <v>722</v>
      </c>
      <c r="E1508" s="278" t="s">
        <v>2116</v>
      </c>
      <c r="F1508" s="278" t="s">
        <v>543</v>
      </c>
      <c r="G1508" s="278" t="s">
        <v>5</v>
      </c>
      <c r="H1508" s="310">
        <v>1.519856059632438</v>
      </c>
      <c r="I1508" s="280">
        <f t="shared" si="578"/>
        <v>122.53079552756715</v>
      </c>
      <c r="J1508" s="281">
        <f t="shared" si="579"/>
        <v>138.96043953219382</v>
      </c>
      <c r="K1508" s="282">
        <f>IF(Notes!$B$9="Domestic",I1508, IF(Notes!$B$9="Commercial",J1508))*$K$1499</f>
        <v>138.96043953219382</v>
      </c>
      <c r="L1508" s="283">
        <f>(SUM(O1508:Q1508)+(K1508+SUM(M1508:Q1508))*(INDEX($U$1499:$AB$1499,MATCH(Notes!$C$16,$U$3:$AB$3,0))-100%))*$L$1499</f>
        <v>792.73</v>
      </c>
      <c r="M1508" s="286"/>
      <c r="N1508" s="286"/>
      <c r="O1508" s="311">
        <f t="shared" si="581"/>
        <v>792.73</v>
      </c>
      <c r="P1508" s="285"/>
      <c r="Q1508" s="285"/>
      <c r="R1508" s="278"/>
      <c r="S1508" s="278"/>
      <c r="T1508" s="278"/>
    </row>
    <row r="1509" spans="1:20" s="305" customFormat="1" hidden="1" outlineLevel="2" x14ac:dyDescent="0.25">
      <c r="A1509" s="278"/>
      <c r="B1509" s="279" t="str">
        <f t="shared" si="577"/>
        <v>2100mmup to 820mmSEDFquality</v>
      </c>
      <c r="C1509" s="278" t="s">
        <v>557</v>
      </c>
      <c r="D1509" s="278" t="s">
        <v>724</v>
      </c>
      <c r="E1509" s="278" t="s">
        <v>2116</v>
      </c>
      <c r="F1509" s="278" t="s">
        <v>544</v>
      </c>
      <c r="G1509" s="278" t="s">
        <v>5</v>
      </c>
      <c r="H1509" s="310">
        <v>0.5199845778177612</v>
      </c>
      <c r="I1509" s="280">
        <f t="shared" si="578"/>
        <v>41.921156663667908</v>
      </c>
      <c r="J1509" s="281">
        <f t="shared" si="579"/>
        <v>47.542189949877908</v>
      </c>
      <c r="K1509" s="282">
        <f>IF(Notes!$B$9="Domestic",I1509, IF(Notes!$B$9="Commercial",J1509))*$K$1499</f>
        <v>47.542189949877908</v>
      </c>
      <c r="L1509" s="283">
        <f>(SUM(O1509:Q1509)+(K1509+SUM(M1509:Q1509))*(INDEX($U$1499:$AB$1499,MATCH(Notes!$C$16,$U$3:$AB$3,0))-100%))*$L$1499</f>
        <v>428.73</v>
      </c>
      <c r="M1509" s="286"/>
      <c r="N1509" s="286"/>
      <c r="O1509" s="285">
        <v>428.73</v>
      </c>
      <c r="P1509" s="285"/>
      <c r="Q1509" s="285"/>
      <c r="R1509" s="278"/>
      <c r="S1509" s="278"/>
      <c r="T1509" s="278"/>
    </row>
    <row r="1510" spans="1:20" s="305" customFormat="1" hidden="1" outlineLevel="2" x14ac:dyDescent="0.25">
      <c r="A1510" s="278"/>
      <c r="B1510" s="279" t="str">
        <f t="shared" si="577"/>
        <v>2100mm821mm to 920mmSEDFquality</v>
      </c>
      <c r="C1510" s="278" t="s">
        <v>557</v>
      </c>
      <c r="D1510" s="278" t="s">
        <v>721</v>
      </c>
      <c r="E1510" s="278" t="s">
        <v>2116</v>
      </c>
      <c r="F1510" s="278" t="s">
        <v>544</v>
      </c>
      <c r="G1510" s="278" t="s">
        <v>5</v>
      </c>
      <c r="H1510" s="310">
        <v>0.7199588741806966</v>
      </c>
      <c r="I1510" s="280">
        <f t="shared" si="578"/>
        <v>58.043084436447764</v>
      </c>
      <c r="J1510" s="281">
        <f t="shared" si="579"/>
        <v>65.825839866341099</v>
      </c>
      <c r="K1510" s="282">
        <f>IF(Notes!$B$9="Domestic",I1510, IF(Notes!$B$9="Commercial",J1510))*$K$1499</f>
        <v>65.825839866341099</v>
      </c>
      <c r="L1510" s="283">
        <f>(SUM(O1510:Q1510)+(K1510+SUM(M1510:Q1510))*(INDEX($U$1499:$AB$1499,MATCH(Notes!$C$16,$U$3:$AB$3,0))-100%))*$L$1499</f>
        <v>471.73</v>
      </c>
      <c r="M1510" s="286"/>
      <c r="N1510" s="286"/>
      <c r="O1510" s="311">
        <f>O1509+43</f>
        <v>471.73</v>
      </c>
      <c r="P1510" s="285"/>
      <c r="Q1510" s="285"/>
      <c r="R1510" s="278"/>
      <c r="S1510" s="278"/>
      <c r="T1510" s="278"/>
    </row>
    <row r="1511" spans="1:20" s="305" customFormat="1" hidden="1" outlineLevel="2" x14ac:dyDescent="0.25">
      <c r="A1511" s="278"/>
      <c r="B1511" s="279" t="str">
        <f t="shared" si="577"/>
        <v>2100mm921mm to 1220mmSEDFquality</v>
      </c>
      <c r="C1511" s="278" t="s">
        <v>557</v>
      </c>
      <c r="D1511" s="278" t="s">
        <v>722</v>
      </c>
      <c r="E1511" s="278" t="s">
        <v>2116</v>
      </c>
      <c r="F1511" s="278" t="s">
        <v>544</v>
      </c>
      <c r="G1511" s="278" t="s">
        <v>5</v>
      </c>
      <c r="H1511" s="310">
        <v>0.81994602236216418</v>
      </c>
      <c r="I1511" s="280">
        <f t="shared" si="578"/>
        <v>66.104048322837684</v>
      </c>
      <c r="J1511" s="281">
        <f t="shared" si="579"/>
        <v>74.96766482457268</v>
      </c>
      <c r="K1511" s="282">
        <f>IF(Notes!$B$9="Domestic",I1511, IF(Notes!$B$9="Commercial",J1511))*$K$1499</f>
        <v>74.96766482457268</v>
      </c>
      <c r="L1511" s="283">
        <f>(SUM(O1511:Q1511)+(K1511+SUM(M1511:Q1511))*(INDEX($U$1499:$AB$1499,MATCH(Notes!$C$16,$U$3:$AB$3,0))-100%))*$L$1499</f>
        <v>510.73</v>
      </c>
      <c r="M1511" s="286"/>
      <c r="N1511" s="286"/>
      <c r="O1511" s="311">
        <f>O1509+82</f>
        <v>510.73</v>
      </c>
      <c r="P1511" s="285"/>
      <c r="Q1511" s="285"/>
      <c r="R1511" s="278"/>
      <c r="S1511" s="278"/>
      <c r="T1511" s="278"/>
    </row>
    <row r="1512" spans="1:20" s="305" customFormat="1" hidden="1" outlineLevel="2" x14ac:dyDescent="0.25">
      <c r="A1512" s="278"/>
      <c r="B1512" s="279" t="str">
        <f t="shared" si="577"/>
        <v>2400mmup to 820mmSEDFquality</v>
      </c>
      <c r="C1512" s="278" t="s">
        <v>558</v>
      </c>
      <c r="D1512" s="278" t="s">
        <v>724</v>
      </c>
      <c r="E1512" s="278" t="s">
        <v>2116</v>
      </c>
      <c r="F1512" s="278" t="s">
        <v>544</v>
      </c>
      <c r="G1512" s="278" t="s">
        <v>5</v>
      </c>
      <c r="H1512" s="310">
        <v>0.86993959645289798</v>
      </c>
      <c r="I1512" s="280">
        <f t="shared" si="578"/>
        <v>70.134530266032641</v>
      </c>
      <c r="J1512" s="281">
        <f t="shared" si="579"/>
        <v>79.53857730368847</v>
      </c>
      <c r="K1512" s="282">
        <f>IF(Notes!$B$9="Domestic",I1512, IF(Notes!$B$9="Commercial",J1512))*$K$1499</f>
        <v>79.53857730368847</v>
      </c>
      <c r="L1512" s="283">
        <f>(SUM(O1512:Q1512)+(K1512+SUM(M1512:Q1512))*(INDEX($U$1499:$AB$1499,MATCH(Notes!$C$16,$U$3:$AB$3,0))-100%))*$L$1499</f>
        <v>652.73</v>
      </c>
      <c r="M1512" s="286"/>
      <c r="N1512" s="286"/>
      <c r="O1512" s="311">
        <f>O1509+224</f>
        <v>652.73</v>
      </c>
      <c r="P1512" s="285"/>
      <c r="Q1512" s="285"/>
      <c r="R1512" s="278"/>
      <c r="S1512" s="278"/>
      <c r="T1512" s="278"/>
    </row>
    <row r="1513" spans="1:20" s="305" customFormat="1" hidden="1" outlineLevel="2" x14ac:dyDescent="0.25">
      <c r="A1513" s="278"/>
      <c r="B1513" s="279" t="str">
        <f t="shared" si="577"/>
        <v>2400mm821mm to 920mmSEDFquality</v>
      </c>
      <c r="C1513" s="278" t="s">
        <v>558</v>
      </c>
      <c r="D1513" s="278" t="s">
        <v>721</v>
      </c>
      <c r="E1513" s="278" t="s">
        <v>2116</v>
      </c>
      <c r="F1513" s="278" t="s">
        <v>544</v>
      </c>
      <c r="G1513" s="278" t="s">
        <v>5</v>
      </c>
      <c r="H1513" s="310">
        <v>1.0699138928158334</v>
      </c>
      <c r="I1513" s="280">
        <f t="shared" si="578"/>
        <v>86.256458038812497</v>
      </c>
      <c r="J1513" s="281">
        <f t="shared" si="579"/>
        <v>97.822227220151646</v>
      </c>
      <c r="K1513" s="282">
        <f>IF(Notes!$B$9="Domestic",I1513, IF(Notes!$B$9="Commercial",J1513))*$K$1499</f>
        <v>97.822227220151646</v>
      </c>
      <c r="L1513" s="283">
        <f>(SUM(O1513:Q1513)+(K1513+SUM(M1513:Q1513))*(INDEX($U$1499:$AB$1499,MATCH(Notes!$C$16,$U$3:$AB$3,0))-100%))*$L$1499</f>
        <v>695.73</v>
      </c>
      <c r="M1513" s="286"/>
      <c r="N1513" s="286"/>
      <c r="O1513" s="311">
        <f t="shared" ref="O1513" si="582">O1510+224</f>
        <v>695.73</v>
      </c>
      <c r="P1513" s="285"/>
      <c r="Q1513" s="285"/>
      <c r="R1513" s="278"/>
      <c r="S1513" s="278"/>
      <c r="T1513" s="278"/>
    </row>
    <row r="1514" spans="1:20" s="305" customFormat="1" hidden="1" outlineLevel="2" x14ac:dyDescent="0.25">
      <c r="A1514" s="278"/>
      <c r="B1514" s="279" t="str">
        <f t="shared" si="577"/>
        <v>2400mm921mm to 1220mmSEDFquality</v>
      </c>
      <c r="C1514" s="278" t="s">
        <v>558</v>
      </c>
      <c r="D1514" s="278" t="s">
        <v>722</v>
      </c>
      <c r="E1514" s="278" t="s">
        <v>2116</v>
      </c>
      <c r="F1514" s="278" t="s">
        <v>544</v>
      </c>
      <c r="G1514" s="278" t="s">
        <v>5</v>
      </c>
      <c r="H1514" s="310">
        <v>1.1699010409973012</v>
      </c>
      <c r="I1514" s="280">
        <f t="shared" si="578"/>
        <v>94.317421925202424</v>
      </c>
      <c r="J1514" s="281">
        <f t="shared" si="579"/>
        <v>106.96405217838326</v>
      </c>
      <c r="K1514" s="282">
        <f>IF(Notes!$B$9="Domestic",I1514, IF(Notes!$B$9="Commercial",J1514))*$K$1499</f>
        <v>106.96405217838326</v>
      </c>
      <c r="L1514" s="283">
        <f>(SUM(O1514:Q1514)+(K1514+SUM(M1514:Q1514))*(INDEX($U$1499:$AB$1499,MATCH(Notes!$C$16,$U$3:$AB$3,0))-100%))*$L$1499</f>
        <v>734.73</v>
      </c>
      <c r="M1514" s="286"/>
      <c r="N1514" s="286"/>
      <c r="O1514" s="311">
        <f>O1511+224</f>
        <v>734.73</v>
      </c>
      <c r="P1514" s="285"/>
      <c r="Q1514" s="285"/>
      <c r="R1514" s="278"/>
      <c r="S1514" s="278"/>
      <c r="T1514" s="278"/>
    </row>
    <row r="1515" spans="1:20" s="305" customFormat="1" hidden="1" outlineLevel="2" x14ac:dyDescent="0.25">
      <c r="A1515" s="278"/>
      <c r="B1515" s="279" t="str">
        <f t="shared" si="577"/>
        <v>2700mmup to 820mmSEDFquality</v>
      </c>
      <c r="C1515" s="278" t="s">
        <v>779</v>
      </c>
      <c r="D1515" s="278" t="s">
        <v>724</v>
      </c>
      <c r="E1515" s="278" t="s">
        <v>2116</v>
      </c>
      <c r="F1515" s="278" t="s">
        <v>544</v>
      </c>
      <c r="G1515" s="278" t="s">
        <v>5</v>
      </c>
      <c r="H1515" s="310">
        <v>1.219894615088035</v>
      </c>
      <c r="I1515" s="280">
        <f t="shared" si="578"/>
        <v>98.347903868397381</v>
      </c>
      <c r="J1515" s="281">
        <f t="shared" si="579"/>
        <v>111.53496465749905</v>
      </c>
      <c r="K1515" s="282">
        <f>IF(Notes!$B$9="Domestic",I1515, IF(Notes!$B$9="Commercial",J1515))*$K$1499</f>
        <v>111.53496465749905</v>
      </c>
      <c r="L1515" s="283">
        <f>(SUM(O1515:Q1515)+(K1515+SUM(M1515:Q1515))*(INDEX($U$1499:$AB$1499,MATCH(Notes!$C$16,$U$3:$AB$3,0))-100%))*$L$1499</f>
        <v>764.73</v>
      </c>
      <c r="M1515" s="286"/>
      <c r="N1515" s="286"/>
      <c r="O1515" s="311">
        <f>O1512+224/2</f>
        <v>764.73</v>
      </c>
      <c r="P1515" s="285"/>
      <c r="Q1515" s="285"/>
      <c r="R1515" s="278"/>
      <c r="S1515" s="278"/>
      <c r="T1515" s="278"/>
    </row>
    <row r="1516" spans="1:20" s="305" customFormat="1" hidden="1" outlineLevel="2" x14ac:dyDescent="0.25">
      <c r="A1516" s="278"/>
      <c r="B1516" s="279" t="str">
        <f t="shared" si="577"/>
        <v>2700mm821mm to 920mmSEDFquality</v>
      </c>
      <c r="C1516" s="278" t="s">
        <v>779</v>
      </c>
      <c r="D1516" s="278" t="s">
        <v>721</v>
      </c>
      <c r="E1516" s="278" t="s">
        <v>2116</v>
      </c>
      <c r="F1516" s="278" t="s">
        <v>544</v>
      </c>
      <c r="G1516" s="278" t="s">
        <v>5</v>
      </c>
      <c r="H1516" s="310">
        <v>1.4198689114509704</v>
      </c>
      <c r="I1516" s="280">
        <f t="shared" si="578"/>
        <v>114.46983164117724</v>
      </c>
      <c r="J1516" s="281">
        <f t="shared" si="579"/>
        <v>129.81861457396224</v>
      </c>
      <c r="K1516" s="282">
        <f>IF(Notes!$B$9="Domestic",I1516, IF(Notes!$B$9="Commercial",J1516))*$K$1499</f>
        <v>129.81861457396224</v>
      </c>
      <c r="L1516" s="283">
        <f>(SUM(O1516:Q1516)+(K1516+SUM(M1516:Q1516))*(INDEX($U$1499:$AB$1499,MATCH(Notes!$C$16,$U$3:$AB$3,0))-100%))*$L$1499</f>
        <v>807.73</v>
      </c>
      <c r="M1516" s="286"/>
      <c r="N1516" s="286"/>
      <c r="O1516" s="311">
        <f t="shared" ref="O1516:O1517" si="583">O1513+224/2</f>
        <v>807.73</v>
      </c>
      <c r="P1516" s="285"/>
      <c r="Q1516" s="285"/>
      <c r="R1516" s="278"/>
      <c r="S1516" s="278"/>
      <c r="T1516" s="278"/>
    </row>
    <row r="1517" spans="1:20" s="305" customFormat="1" hidden="1" outlineLevel="2" x14ac:dyDescent="0.25">
      <c r="A1517" s="278"/>
      <c r="B1517" s="279" t="str">
        <f t="shared" si="577"/>
        <v>2700mm921mm to 1220mmSEDFquality</v>
      </c>
      <c r="C1517" s="278" t="s">
        <v>779</v>
      </c>
      <c r="D1517" s="278" t="s">
        <v>722</v>
      </c>
      <c r="E1517" s="278" t="s">
        <v>2116</v>
      </c>
      <c r="F1517" s="278" t="s">
        <v>544</v>
      </c>
      <c r="G1517" s="278" t="s">
        <v>5</v>
      </c>
      <c r="H1517" s="310">
        <v>1.519856059632438</v>
      </c>
      <c r="I1517" s="280">
        <f t="shared" si="578"/>
        <v>122.53079552756715</v>
      </c>
      <c r="J1517" s="281">
        <f t="shared" si="579"/>
        <v>138.96043953219382</v>
      </c>
      <c r="K1517" s="282">
        <f>IF(Notes!$B$9="Domestic",I1517, IF(Notes!$B$9="Commercial",J1517))*$K$1499</f>
        <v>138.96043953219382</v>
      </c>
      <c r="L1517" s="283">
        <f>(SUM(O1517:Q1517)+(K1517+SUM(M1517:Q1517))*(INDEX($U$1499:$AB$1499,MATCH(Notes!$C$16,$U$3:$AB$3,0))-100%))*$L$1499</f>
        <v>846.73</v>
      </c>
      <c r="M1517" s="286"/>
      <c r="N1517" s="286"/>
      <c r="O1517" s="311">
        <f t="shared" si="583"/>
        <v>846.73</v>
      </c>
      <c r="P1517" s="285"/>
      <c r="Q1517" s="285"/>
      <c r="R1517" s="278"/>
      <c r="S1517" s="278"/>
      <c r="T1517" s="278"/>
    </row>
    <row r="1518" spans="1:20" s="305" customFormat="1" hidden="1" outlineLevel="2" x14ac:dyDescent="0.25">
      <c r="A1518" s="278"/>
      <c r="B1518" s="279" t="str">
        <f t="shared" si="577"/>
        <v>2100mmup to 820mmSEDFprestige</v>
      </c>
      <c r="C1518" s="278" t="s">
        <v>557</v>
      </c>
      <c r="D1518" s="278" t="s">
        <v>724</v>
      </c>
      <c r="E1518" s="278" t="s">
        <v>2116</v>
      </c>
      <c r="F1518" s="278" t="s">
        <v>545</v>
      </c>
      <c r="G1518" s="278" t="s">
        <v>5</v>
      </c>
      <c r="H1518" s="310">
        <v>0.7199588741806966</v>
      </c>
      <c r="I1518" s="280">
        <f t="shared" si="578"/>
        <v>58.043084436447764</v>
      </c>
      <c r="J1518" s="281">
        <f t="shared" si="579"/>
        <v>65.825839866341099</v>
      </c>
      <c r="K1518" s="282">
        <f>IF(Notes!$B$9="Domestic",I1518, IF(Notes!$B$9="Commercial",J1518))*$K$1499</f>
        <v>65.825839866341099</v>
      </c>
      <c r="L1518" s="283">
        <f>(SUM(O1518:Q1518)+(K1518+SUM(M1518:Q1518))*(INDEX($U$1499:$AB$1499,MATCH(Notes!$C$16,$U$3:$AB$3,0))-100%))*$L$1499</f>
        <v>806.38</v>
      </c>
      <c r="M1518" s="286"/>
      <c r="N1518" s="286"/>
      <c r="O1518" s="285">
        <v>806.38</v>
      </c>
      <c r="P1518" s="285"/>
      <c r="Q1518" s="285"/>
      <c r="R1518" s="278"/>
      <c r="S1518" s="278"/>
      <c r="T1518" s="278"/>
    </row>
    <row r="1519" spans="1:20" s="305" customFormat="1" hidden="1" outlineLevel="2" x14ac:dyDescent="0.25">
      <c r="A1519" s="278"/>
      <c r="B1519" s="279" t="str">
        <f t="shared" si="577"/>
        <v>2100mm821mm to 920mmSEDFprestige</v>
      </c>
      <c r="C1519" s="278" t="s">
        <v>557</v>
      </c>
      <c r="D1519" s="278" t="s">
        <v>721</v>
      </c>
      <c r="E1519" s="278" t="s">
        <v>2116</v>
      </c>
      <c r="F1519" s="278" t="s">
        <v>545</v>
      </c>
      <c r="G1519" s="278" t="s">
        <v>5</v>
      </c>
      <c r="H1519" s="310">
        <v>0.91993317054363188</v>
      </c>
      <c r="I1519" s="280">
        <f t="shared" si="578"/>
        <v>74.165012209227612</v>
      </c>
      <c r="J1519" s="281">
        <f t="shared" si="579"/>
        <v>84.109489782804275</v>
      </c>
      <c r="K1519" s="282">
        <f>IF(Notes!$B$9="Domestic",I1519, IF(Notes!$B$9="Commercial",J1519))*$K$1499</f>
        <v>84.109489782804275</v>
      </c>
      <c r="L1519" s="283">
        <f>(SUM(O1519:Q1519)+(K1519+SUM(M1519:Q1519))*(INDEX($U$1499:$AB$1499,MATCH(Notes!$C$16,$U$3:$AB$3,0))-100%))*$L$1499</f>
        <v>849.38</v>
      </c>
      <c r="M1519" s="286"/>
      <c r="N1519" s="286"/>
      <c r="O1519" s="311">
        <f>O1518+43</f>
        <v>849.38</v>
      </c>
      <c r="P1519" s="285"/>
      <c r="Q1519" s="285"/>
      <c r="R1519" s="278"/>
      <c r="S1519" s="278"/>
      <c r="T1519" s="278"/>
    </row>
    <row r="1520" spans="1:20" s="305" customFormat="1" hidden="1" outlineLevel="2" x14ac:dyDescent="0.25">
      <c r="A1520" s="278"/>
      <c r="B1520" s="279" t="str">
        <f t="shared" si="577"/>
        <v>2100mm921mm to 1220mmSEDFprestige</v>
      </c>
      <c r="C1520" s="278" t="s">
        <v>557</v>
      </c>
      <c r="D1520" s="278" t="s">
        <v>722</v>
      </c>
      <c r="E1520" s="278" t="s">
        <v>2116</v>
      </c>
      <c r="F1520" s="278" t="s">
        <v>545</v>
      </c>
      <c r="G1520" s="278" t="s">
        <v>5</v>
      </c>
      <c r="H1520" s="310">
        <v>1.0199203187250996</v>
      </c>
      <c r="I1520" s="280">
        <f t="shared" si="578"/>
        <v>82.22597609561754</v>
      </c>
      <c r="J1520" s="281">
        <f t="shared" si="579"/>
        <v>93.251314741035856</v>
      </c>
      <c r="K1520" s="282">
        <f>IF(Notes!$B$9="Domestic",I1520, IF(Notes!$B$9="Commercial",J1520))*$K$1499</f>
        <v>93.251314741035856</v>
      </c>
      <c r="L1520" s="283">
        <f>(SUM(O1520:Q1520)+(K1520+SUM(M1520:Q1520))*(INDEX($U$1499:$AB$1499,MATCH(Notes!$C$16,$U$3:$AB$3,0))-100%))*$L$1499</f>
        <v>888.38</v>
      </c>
      <c r="M1520" s="286"/>
      <c r="N1520" s="286"/>
      <c r="O1520" s="311">
        <f>O1518+82</f>
        <v>888.38</v>
      </c>
      <c r="P1520" s="285"/>
      <c r="Q1520" s="285"/>
      <c r="R1520" s="278"/>
      <c r="S1520" s="278"/>
      <c r="T1520" s="278"/>
    </row>
    <row r="1521" spans="1:28" s="305" customFormat="1" hidden="1" outlineLevel="2" x14ac:dyDescent="0.25">
      <c r="A1521" s="278"/>
      <c r="B1521" s="279" t="str">
        <f t="shared" si="577"/>
        <v>2400mmup to 820mmSEDFprestige</v>
      </c>
      <c r="C1521" s="278" t="s">
        <v>558</v>
      </c>
      <c r="D1521" s="278" t="s">
        <v>724</v>
      </c>
      <c r="E1521" s="278" t="s">
        <v>2116</v>
      </c>
      <c r="F1521" s="278" t="s">
        <v>545</v>
      </c>
      <c r="G1521" s="278" t="s">
        <v>5</v>
      </c>
      <c r="H1521" s="310">
        <v>1.0699138928158334</v>
      </c>
      <c r="I1521" s="280">
        <f t="shared" si="578"/>
        <v>86.256458038812497</v>
      </c>
      <c r="J1521" s="281">
        <f t="shared" si="579"/>
        <v>97.822227220151646</v>
      </c>
      <c r="K1521" s="282">
        <f>IF(Notes!$B$9="Domestic",I1521, IF(Notes!$B$9="Commercial",J1521))*$K$1499</f>
        <v>97.822227220151646</v>
      </c>
      <c r="L1521" s="283">
        <f>(SUM(O1521:Q1521)+(K1521+SUM(M1521:Q1521))*(INDEX($U$1499:$AB$1499,MATCH(Notes!$C$16,$U$3:$AB$3,0))-100%))*$L$1499</f>
        <v>1030.3800000000001</v>
      </c>
      <c r="M1521" s="286"/>
      <c r="N1521" s="286"/>
      <c r="O1521" s="311">
        <f>O1518+224</f>
        <v>1030.3800000000001</v>
      </c>
      <c r="P1521" s="285"/>
      <c r="Q1521" s="285"/>
      <c r="R1521" s="278"/>
      <c r="S1521" s="278"/>
      <c r="T1521" s="278"/>
    </row>
    <row r="1522" spans="1:28" s="305" customFormat="1" hidden="1" outlineLevel="2" x14ac:dyDescent="0.25">
      <c r="A1522" s="278"/>
      <c r="B1522" s="279" t="str">
        <f t="shared" si="577"/>
        <v>2400mm821mm to 920mmSEDFprestige</v>
      </c>
      <c r="C1522" s="278" t="s">
        <v>558</v>
      </c>
      <c r="D1522" s="278" t="s">
        <v>721</v>
      </c>
      <c r="E1522" s="278" t="s">
        <v>2116</v>
      </c>
      <c r="F1522" s="278" t="s">
        <v>545</v>
      </c>
      <c r="G1522" s="278" t="s">
        <v>5</v>
      </c>
      <c r="H1522" s="310">
        <v>1.2698881891787688</v>
      </c>
      <c r="I1522" s="280">
        <f t="shared" si="578"/>
        <v>102.37838581159234</v>
      </c>
      <c r="J1522" s="281">
        <f t="shared" si="579"/>
        <v>116.10587713661484</v>
      </c>
      <c r="K1522" s="282">
        <f>IF(Notes!$B$9="Domestic",I1522, IF(Notes!$B$9="Commercial",J1522))*$K$1499</f>
        <v>116.10587713661484</v>
      </c>
      <c r="L1522" s="283">
        <f>(SUM(O1522:Q1522)+(K1522+SUM(M1522:Q1522))*(INDEX($U$1499:$AB$1499,MATCH(Notes!$C$16,$U$3:$AB$3,0))-100%))*$L$1499</f>
        <v>1073.3800000000001</v>
      </c>
      <c r="M1522" s="286"/>
      <c r="N1522" s="286"/>
      <c r="O1522" s="311">
        <f t="shared" ref="O1522" si="584">O1519+224</f>
        <v>1073.3800000000001</v>
      </c>
      <c r="P1522" s="285"/>
      <c r="Q1522" s="285"/>
      <c r="R1522" s="278"/>
      <c r="S1522" s="278"/>
      <c r="T1522" s="278"/>
    </row>
    <row r="1523" spans="1:28" s="305" customFormat="1" hidden="1" outlineLevel="2" x14ac:dyDescent="0.25">
      <c r="A1523" s="278"/>
      <c r="B1523" s="279" t="str">
        <f t="shared" si="577"/>
        <v>2400mm921mm to 1220mmSEDFprestige</v>
      </c>
      <c r="C1523" s="278" t="s">
        <v>558</v>
      </c>
      <c r="D1523" s="278" t="s">
        <v>722</v>
      </c>
      <c r="E1523" s="278" t="s">
        <v>2116</v>
      </c>
      <c r="F1523" s="278" t="s">
        <v>545</v>
      </c>
      <c r="G1523" s="278" t="s">
        <v>5</v>
      </c>
      <c r="H1523" s="310">
        <v>1.3698753373602364</v>
      </c>
      <c r="I1523" s="280">
        <f t="shared" si="578"/>
        <v>110.43934969798227</v>
      </c>
      <c r="J1523" s="281">
        <f t="shared" si="579"/>
        <v>125.24770209484642</v>
      </c>
      <c r="K1523" s="282">
        <f>IF(Notes!$B$9="Domestic",I1523, IF(Notes!$B$9="Commercial",J1523))*$K$1499</f>
        <v>125.24770209484642</v>
      </c>
      <c r="L1523" s="283">
        <f>(SUM(O1523:Q1523)+(K1523+SUM(M1523:Q1523))*(INDEX($U$1499:$AB$1499,MATCH(Notes!$C$16,$U$3:$AB$3,0))-100%))*$L$1499</f>
        <v>1112.3800000000001</v>
      </c>
      <c r="M1523" s="286"/>
      <c r="N1523" s="286"/>
      <c r="O1523" s="311">
        <f>O1520+224</f>
        <v>1112.3800000000001</v>
      </c>
      <c r="P1523" s="285"/>
      <c r="Q1523" s="285"/>
      <c r="R1523" s="278"/>
      <c r="S1523" s="278"/>
      <c r="T1523" s="278"/>
    </row>
    <row r="1524" spans="1:28" s="305" customFormat="1" hidden="1" outlineLevel="2" x14ac:dyDescent="0.25">
      <c r="A1524" s="278"/>
      <c r="B1524" s="279" t="str">
        <f t="shared" si="577"/>
        <v>2700mmup to 820mmSEDFprestige</v>
      </c>
      <c r="C1524" s="278" t="s">
        <v>779</v>
      </c>
      <c r="D1524" s="278" t="s">
        <v>724</v>
      </c>
      <c r="E1524" s="278" t="s">
        <v>2116</v>
      </c>
      <c r="F1524" s="278" t="s">
        <v>545</v>
      </c>
      <c r="G1524" s="278" t="s">
        <v>5</v>
      </c>
      <c r="H1524" s="310">
        <v>1.4198689114509704</v>
      </c>
      <c r="I1524" s="280">
        <f t="shared" si="578"/>
        <v>114.46983164117724</v>
      </c>
      <c r="J1524" s="281">
        <f t="shared" si="579"/>
        <v>129.81861457396224</v>
      </c>
      <c r="K1524" s="282">
        <f>IF(Notes!$B$9="Domestic",I1524, IF(Notes!$B$9="Commercial",J1524))*$K$1499</f>
        <v>129.81861457396224</v>
      </c>
      <c r="L1524" s="283">
        <f>(SUM(O1524:Q1524)+(K1524+SUM(M1524:Q1524))*(INDEX($U$1499:$AB$1499,MATCH(Notes!$C$16,$U$3:$AB$3,0))-100%))*$L$1499</f>
        <v>1142.3800000000001</v>
      </c>
      <c r="M1524" s="286"/>
      <c r="N1524" s="286"/>
      <c r="O1524" s="311">
        <f>O1521+224/2</f>
        <v>1142.3800000000001</v>
      </c>
      <c r="P1524" s="285"/>
      <c r="Q1524" s="285"/>
      <c r="R1524" s="278"/>
      <c r="S1524" s="278"/>
      <c r="T1524" s="278"/>
    </row>
    <row r="1525" spans="1:28" s="305" customFormat="1" hidden="1" outlineLevel="2" x14ac:dyDescent="0.25">
      <c r="A1525" s="278"/>
      <c r="B1525" s="279" t="str">
        <f t="shared" si="577"/>
        <v>2700mm821mm to 920mmSEDFprestige</v>
      </c>
      <c r="C1525" s="278" t="s">
        <v>779</v>
      </c>
      <c r="D1525" s="278" t="s">
        <v>721</v>
      </c>
      <c r="E1525" s="278" t="s">
        <v>2116</v>
      </c>
      <c r="F1525" s="278" t="s">
        <v>545</v>
      </c>
      <c r="G1525" s="278" t="s">
        <v>5</v>
      </c>
      <c r="H1525" s="310">
        <v>1.6198432078139058</v>
      </c>
      <c r="I1525" s="280">
        <f t="shared" si="578"/>
        <v>130.59175941395708</v>
      </c>
      <c r="J1525" s="281">
        <f t="shared" si="579"/>
        <v>148.10226449042543</v>
      </c>
      <c r="K1525" s="282">
        <f>IF(Notes!$B$9="Domestic",I1525, IF(Notes!$B$9="Commercial",J1525))*$K$1499</f>
        <v>148.10226449042543</v>
      </c>
      <c r="L1525" s="283">
        <f>(SUM(O1525:Q1525)+(K1525+SUM(M1525:Q1525))*(INDEX($U$1499:$AB$1499,MATCH(Notes!$C$16,$U$3:$AB$3,0))-100%))*$L$1499</f>
        <v>1185.3800000000001</v>
      </c>
      <c r="M1525" s="286"/>
      <c r="N1525" s="286"/>
      <c r="O1525" s="311">
        <f t="shared" ref="O1525:O1526" si="585">O1522+224/2</f>
        <v>1185.3800000000001</v>
      </c>
      <c r="P1525" s="285"/>
      <c r="Q1525" s="285"/>
      <c r="R1525" s="278"/>
      <c r="S1525" s="278"/>
      <c r="T1525" s="278"/>
    </row>
    <row r="1526" spans="1:28" s="305" customFormat="1" hidden="1" outlineLevel="2" x14ac:dyDescent="0.25">
      <c r="A1526" s="278"/>
      <c r="B1526" s="279" t="str">
        <f t="shared" si="577"/>
        <v>2700mm921mm to 1220mmSEDFprestige</v>
      </c>
      <c r="C1526" s="278" t="s">
        <v>779</v>
      </c>
      <c r="D1526" s="278" t="s">
        <v>722</v>
      </c>
      <c r="E1526" s="278" t="s">
        <v>2116</v>
      </c>
      <c r="F1526" s="278" t="s">
        <v>545</v>
      </c>
      <c r="G1526" s="278" t="s">
        <v>5</v>
      </c>
      <c r="H1526" s="310">
        <v>1.7198303559953732</v>
      </c>
      <c r="I1526" s="280">
        <f t="shared" si="578"/>
        <v>138.65272330034699</v>
      </c>
      <c r="J1526" s="281">
        <f t="shared" si="579"/>
        <v>157.24408944865698</v>
      </c>
      <c r="K1526" s="282">
        <f>IF(Notes!$B$9="Domestic",I1526, IF(Notes!$B$9="Commercial",J1526))*$K$1499</f>
        <v>157.24408944865698</v>
      </c>
      <c r="L1526" s="283">
        <f>(SUM(O1526:Q1526)+(K1526+SUM(M1526:Q1526))*(INDEX($U$1499:$AB$1499,MATCH(Notes!$C$16,$U$3:$AB$3,0))-100%))*$L$1499</f>
        <v>1224.3800000000001</v>
      </c>
      <c r="M1526" s="286"/>
      <c r="N1526" s="286"/>
      <c r="O1526" s="311">
        <f t="shared" si="585"/>
        <v>1224.3800000000001</v>
      </c>
      <c r="P1526" s="285"/>
      <c r="Q1526" s="285"/>
      <c r="R1526" s="278"/>
      <c r="S1526" s="278"/>
      <c r="T1526" s="278"/>
    </row>
    <row r="1527" spans="1:28" ht="21" hidden="1" outlineLevel="1" collapsed="1" x14ac:dyDescent="0.25">
      <c r="A1527" s="299" t="s">
        <v>2118</v>
      </c>
      <c r="B1527" s="299"/>
      <c r="C1527" s="299"/>
      <c r="D1527" s="299"/>
      <c r="E1527" s="299"/>
      <c r="F1527" s="299"/>
      <c r="G1527" s="299"/>
      <c r="H1527" s="348"/>
      <c r="I1527" s="299"/>
      <c r="J1527" s="299"/>
      <c r="K1527" s="299"/>
      <c r="L1527" s="299"/>
      <c r="M1527" s="299"/>
      <c r="N1527" s="299"/>
      <c r="O1527" s="299"/>
      <c r="P1527" s="299"/>
      <c r="Q1527" s="299"/>
      <c r="R1527" s="299"/>
      <c r="S1527" s="299"/>
      <c r="T1527" s="299"/>
      <c r="U1527" s="299"/>
      <c r="V1527" s="299"/>
      <c r="W1527" s="299"/>
      <c r="X1527" s="299"/>
      <c r="Y1527" s="299"/>
      <c r="Z1527" s="299"/>
      <c r="AA1527" s="299"/>
      <c r="AB1527" s="299"/>
    </row>
    <row r="1528" spans="1:28" ht="15.75" hidden="1" outlineLevel="1" x14ac:dyDescent="0.25">
      <c r="A1528" s="291"/>
      <c r="B1528" s="291"/>
      <c r="C1528" s="291"/>
      <c r="D1528" s="291"/>
      <c r="E1528" s="291"/>
      <c r="F1528" s="291"/>
      <c r="G1528" s="291"/>
      <c r="H1528" s="325"/>
      <c r="I1528" s="291"/>
      <c r="J1528" s="291"/>
      <c r="K1528" s="291">
        <f>K$2</f>
        <v>1</v>
      </c>
      <c r="L1528" s="291">
        <f>L$2</f>
        <v>1</v>
      </c>
      <c r="M1528" s="291"/>
      <c r="N1528" s="291"/>
      <c r="O1528" s="303"/>
      <c r="P1528" s="303"/>
      <c r="Q1528" s="303"/>
      <c r="R1528" s="291"/>
      <c r="S1528" s="291"/>
      <c r="T1528" s="291"/>
      <c r="U1528" s="381">
        <f t="shared" ref="U1528:AB1528" si="586">U$1093</f>
        <v>0.97101449275362317</v>
      </c>
      <c r="V1528" s="381">
        <f t="shared" si="586"/>
        <v>1</v>
      </c>
      <c r="W1528" s="381">
        <f t="shared" si="586"/>
        <v>1.1159420289855073</v>
      </c>
      <c r="X1528" s="381">
        <f t="shared" si="586"/>
        <v>1.0905797101449275</v>
      </c>
      <c r="Y1528" s="381">
        <f t="shared" si="586"/>
        <v>1.1956521739130435</v>
      </c>
      <c r="Z1528" s="381">
        <f t="shared" si="586"/>
        <v>0.89130434782608692</v>
      </c>
      <c r="AA1528" s="381">
        <f t="shared" si="586"/>
        <v>1.3586956521739131</v>
      </c>
      <c r="AB1528" s="381">
        <f t="shared" si="586"/>
        <v>1.0253623188405796</v>
      </c>
    </row>
    <row r="1529" spans="1:28" s="305" customFormat="1" hidden="1" outlineLevel="2" x14ac:dyDescent="0.25">
      <c r="A1529" s="278"/>
      <c r="B1529" s="279" t="str">
        <f>C1529&amp;D1529&amp;E1529&amp;F1529</f>
        <v>2100mm2 x up to 820mmDEDFaverage</v>
      </c>
      <c r="C1529" s="278" t="s">
        <v>557</v>
      </c>
      <c r="D1529" s="278" t="s">
        <v>787</v>
      </c>
      <c r="E1529" s="278" t="s">
        <v>2119</v>
      </c>
      <c r="F1529" s="278" t="s">
        <v>543</v>
      </c>
      <c r="G1529" s="278" t="s">
        <v>5</v>
      </c>
      <c r="H1529" s="310">
        <v>0.73499550186351359</v>
      </c>
      <c r="I1529" s="280">
        <f>$I$2*H1529</f>
        <v>59.255337360236467</v>
      </c>
      <c r="J1529" s="281">
        <f>$J$2*H1529</f>
        <v>67.200638735381048</v>
      </c>
      <c r="K1529" s="282">
        <f>IF(Notes!$B$9="Domestic",I1529, IF(Notes!$B$9="Commercial",J1529))*$K$1528</f>
        <v>67.200638735381048</v>
      </c>
      <c r="L1529" s="283">
        <f>(SUM(O1529:Q1529)+(K1529+SUM(M1529:Q1529))*(INDEX($U$1528:$AB$1528,MATCH(Notes!$C$16,$U$3:$AB$3,0))-100%))*$L$1528</f>
        <v>679.49</v>
      </c>
      <c r="M1529" s="286"/>
      <c r="N1529" s="286"/>
      <c r="O1529" s="285">
        <v>679.49</v>
      </c>
      <c r="P1529" s="285"/>
      <c r="Q1529" s="285"/>
      <c r="R1529" s="278"/>
      <c r="S1529" s="278"/>
      <c r="T1529" s="278"/>
    </row>
    <row r="1530" spans="1:28" s="305" customFormat="1" hidden="1" outlineLevel="2" x14ac:dyDescent="0.25">
      <c r="A1530" s="278"/>
      <c r="B1530" s="279" t="str">
        <f t="shared" ref="B1530:B1532" si="587">C1530&amp;D1530&amp;E1530&amp;F1530</f>
        <v>2100mm2 x 821mm to 920mmDEDFaverage</v>
      </c>
      <c r="C1530" s="278" t="s">
        <v>557</v>
      </c>
      <c r="D1530" s="278" t="s">
        <v>788</v>
      </c>
      <c r="E1530" s="278" t="s">
        <v>2119</v>
      </c>
      <c r="F1530" s="278" t="s">
        <v>543</v>
      </c>
      <c r="G1530" s="278" t="s">
        <v>5</v>
      </c>
      <c r="H1530" s="310">
        <v>0.93496979822644899</v>
      </c>
      <c r="I1530" s="280">
        <f t="shared" ref="I1530:I1532" si="588">$I$2*H1530</f>
        <v>75.377265133016323</v>
      </c>
      <c r="J1530" s="281">
        <f t="shared" ref="J1530:J1532" si="589">$J$2*H1530</f>
        <v>85.484288651844238</v>
      </c>
      <c r="K1530" s="282">
        <f>IF(Notes!$B$9="Domestic",I1530, IF(Notes!$B$9="Commercial",J1530))*$K$1528</f>
        <v>85.484288651844238</v>
      </c>
      <c r="L1530" s="283">
        <f>(SUM(O1530:Q1530)+(K1530+SUM(M1530:Q1530))*(INDEX($U$1528:$AB$1528,MATCH(Notes!$C$16,$U$3:$AB$3,0))-100%))*$L$1528</f>
        <v>722.49</v>
      </c>
      <c r="M1530" s="286"/>
      <c r="N1530" s="286"/>
      <c r="O1530" s="311">
        <f>O1529+43</f>
        <v>722.49</v>
      </c>
      <c r="P1530" s="285"/>
      <c r="Q1530" s="285"/>
      <c r="R1530" s="278"/>
      <c r="S1530" s="278"/>
      <c r="T1530" s="278"/>
    </row>
    <row r="1531" spans="1:28" s="305" customFormat="1" hidden="1" outlineLevel="2" x14ac:dyDescent="0.25">
      <c r="A1531" s="278"/>
      <c r="B1531" s="279" t="str">
        <f t="shared" si="587"/>
        <v>2100mm2 x 921mm to 1220mmDEDFaverage</v>
      </c>
      <c r="C1531" s="278" t="s">
        <v>557</v>
      </c>
      <c r="D1531" s="278" t="s">
        <v>789</v>
      </c>
      <c r="E1531" s="278" t="s">
        <v>2119</v>
      </c>
      <c r="F1531" s="278" t="s">
        <v>543</v>
      </c>
      <c r="G1531" s="278" t="s">
        <v>5</v>
      </c>
      <c r="H1531" s="310">
        <v>1.0349569464079167</v>
      </c>
      <c r="I1531" s="280">
        <f t="shared" si="588"/>
        <v>83.438229019406251</v>
      </c>
      <c r="J1531" s="281">
        <f t="shared" si="589"/>
        <v>94.626113610075834</v>
      </c>
      <c r="K1531" s="282">
        <f>IF(Notes!$B$9="Domestic",I1531, IF(Notes!$B$9="Commercial",J1531))*$K$1528</f>
        <v>94.626113610075834</v>
      </c>
      <c r="L1531" s="283">
        <f>(SUM(O1531:Q1531)+(K1531+SUM(M1531:Q1531))*(INDEX($U$1528:$AB$1528,MATCH(Notes!$C$16,$U$3:$AB$3,0))-100%))*$L$1528</f>
        <v>761.49</v>
      </c>
      <c r="M1531" s="286"/>
      <c r="N1531" s="286"/>
      <c r="O1531" s="311">
        <f>O1529+82</f>
        <v>761.49</v>
      </c>
      <c r="P1531" s="285"/>
      <c r="Q1531" s="285"/>
      <c r="R1531" s="278"/>
      <c r="S1531" s="278"/>
      <c r="T1531" s="278"/>
    </row>
    <row r="1532" spans="1:28" s="305" customFormat="1" hidden="1" outlineLevel="2" x14ac:dyDescent="0.25">
      <c r="A1532" s="278"/>
      <c r="B1532" s="279" t="str">
        <f t="shared" si="587"/>
        <v>2400mm2 x up to 820mmDEDFaverage</v>
      </c>
      <c r="C1532" s="278" t="s">
        <v>558</v>
      </c>
      <c r="D1532" s="278" t="s">
        <v>787</v>
      </c>
      <c r="E1532" s="278" t="s">
        <v>2119</v>
      </c>
      <c r="F1532" s="278" t="s">
        <v>543</v>
      </c>
      <c r="G1532" s="278" t="s">
        <v>5</v>
      </c>
      <c r="H1532" s="310">
        <v>1.0849505204986505</v>
      </c>
      <c r="I1532" s="280">
        <f t="shared" si="588"/>
        <v>87.468710962601207</v>
      </c>
      <c r="J1532" s="281">
        <f t="shared" si="589"/>
        <v>99.197026089191624</v>
      </c>
      <c r="K1532" s="282">
        <f>IF(Notes!$B$9="Domestic",I1532, IF(Notes!$B$9="Commercial",J1532))*$K$1528</f>
        <v>99.197026089191624</v>
      </c>
      <c r="L1532" s="283">
        <f>(SUM(O1532:Q1532)+(K1532+SUM(M1532:Q1532))*(INDEX($U$1528:$AB$1528,MATCH(Notes!$C$16,$U$3:$AB$3,0))-100%))*$L$1528</f>
        <v>903.49</v>
      </c>
      <c r="M1532" s="286"/>
      <c r="N1532" s="286"/>
      <c r="O1532" s="311">
        <f>O1529+224</f>
        <v>903.49</v>
      </c>
      <c r="P1532" s="285"/>
      <c r="Q1532" s="285"/>
      <c r="R1532" s="278"/>
      <c r="S1532" s="278"/>
      <c r="T1532" s="278"/>
    </row>
    <row r="1533" spans="1:28" s="305" customFormat="1" hidden="1" outlineLevel="2" x14ac:dyDescent="0.25">
      <c r="A1533" s="278"/>
      <c r="B1533" s="279" t="str">
        <f t="shared" ref="B1533:B1555" si="590">C1533&amp;D1533&amp;E1533&amp;F1533</f>
        <v>2400mm2 x 821mm to 920mmDEDFaverage</v>
      </c>
      <c r="C1533" s="278" t="s">
        <v>558</v>
      </c>
      <c r="D1533" s="278" t="s">
        <v>788</v>
      </c>
      <c r="E1533" s="278" t="s">
        <v>2119</v>
      </c>
      <c r="F1533" s="278" t="s">
        <v>543</v>
      </c>
      <c r="G1533" s="278" t="s">
        <v>5</v>
      </c>
      <c r="H1533" s="310">
        <v>1.2849248168615859</v>
      </c>
      <c r="I1533" s="280">
        <f t="shared" ref="I1533:I1555" si="591">$I$2*H1533</f>
        <v>103.59063873538106</v>
      </c>
      <c r="J1533" s="281">
        <f t="shared" ref="J1533:J1555" si="592">$J$2*H1533</f>
        <v>117.4806760056548</v>
      </c>
      <c r="K1533" s="282">
        <f>IF(Notes!$B$9="Domestic",I1533, IF(Notes!$B$9="Commercial",J1533))*$K$1528</f>
        <v>117.4806760056548</v>
      </c>
      <c r="L1533" s="283">
        <f>(SUM(O1533:Q1533)+(K1533+SUM(M1533:Q1533))*(INDEX($U$1528:$AB$1528,MATCH(Notes!$C$16,$U$3:$AB$3,0))-100%))*$L$1528</f>
        <v>946.49</v>
      </c>
      <c r="M1533" s="286"/>
      <c r="N1533" s="286"/>
      <c r="O1533" s="311">
        <f t="shared" ref="O1533" si="593">O1530+224</f>
        <v>946.49</v>
      </c>
      <c r="P1533" s="285"/>
      <c r="Q1533" s="285"/>
      <c r="R1533" s="278"/>
      <c r="S1533" s="278"/>
      <c r="T1533" s="278"/>
    </row>
    <row r="1534" spans="1:28" s="305" customFormat="1" hidden="1" outlineLevel="2" x14ac:dyDescent="0.25">
      <c r="A1534" s="278"/>
      <c r="B1534" s="279" t="str">
        <f t="shared" si="590"/>
        <v>2400mm2 x 921mm to 1220mmDEDFaverage</v>
      </c>
      <c r="C1534" s="278" t="s">
        <v>558</v>
      </c>
      <c r="D1534" s="278" t="s">
        <v>789</v>
      </c>
      <c r="E1534" s="278" t="s">
        <v>2119</v>
      </c>
      <c r="F1534" s="278" t="s">
        <v>543</v>
      </c>
      <c r="G1534" s="278" t="s">
        <v>5</v>
      </c>
      <c r="H1534" s="310">
        <v>1.3849119650430537</v>
      </c>
      <c r="I1534" s="280">
        <f t="shared" si="591"/>
        <v>111.65160262177099</v>
      </c>
      <c r="J1534" s="281">
        <f t="shared" si="592"/>
        <v>126.62250096388641</v>
      </c>
      <c r="K1534" s="282">
        <f>IF(Notes!$B$9="Domestic",I1534, IF(Notes!$B$9="Commercial",J1534))*$K$1528</f>
        <v>126.62250096388641</v>
      </c>
      <c r="L1534" s="283">
        <f>(SUM(O1534:Q1534)+(K1534+SUM(M1534:Q1534))*(INDEX($U$1528:$AB$1528,MATCH(Notes!$C$16,$U$3:$AB$3,0))-100%))*$L$1528</f>
        <v>985.49</v>
      </c>
      <c r="M1534" s="286"/>
      <c r="N1534" s="286"/>
      <c r="O1534" s="311">
        <f>O1531+224</f>
        <v>985.49</v>
      </c>
      <c r="P1534" s="285"/>
      <c r="Q1534" s="285"/>
      <c r="R1534" s="278"/>
      <c r="S1534" s="278"/>
      <c r="T1534" s="278"/>
    </row>
    <row r="1535" spans="1:28" s="305" customFormat="1" hidden="1" outlineLevel="2" x14ac:dyDescent="0.25">
      <c r="A1535" s="278"/>
      <c r="B1535" s="279" t="str">
        <f t="shared" si="590"/>
        <v>2700mm2 x up to 820mmDEDFaverage</v>
      </c>
      <c r="C1535" s="278" t="s">
        <v>779</v>
      </c>
      <c r="D1535" s="278" t="s">
        <v>787</v>
      </c>
      <c r="E1535" s="278" t="s">
        <v>2119</v>
      </c>
      <c r="F1535" s="278" t="s">
        <v>543</v>
      </c>
      <c r="G1535" s="278" t="s">
        <v>5</v>
      </c>
      <c r="H1535" s="310">
        <v>1.4349055391337875</v>
      </c>
      <c r="I1535" s="280">
        <f t="shared" si="591"/>
        <v>115.68208456496595</v>
      </c>
      <c r="J1535" s="281">
        <f t="shared" si="592"/>
        <v>131.19341344300221</v>
      </c>
      <c r="K1535" s="282">
        <f>IF(Notes!$B$9="Domestic",I1535, IF(Notes!$B$9="Commercial",J1535))*$K$1528</f>
        <v>131.19341344300221</v>
      </c>
      <c r="L1535" s="283">
        <f>(SUM(O1535:Q1535)+(K1535+SUM(M1535:Q1535))*(INDEX($U$1528:$AB$1528,MATCH(Notes!$C$16,$U$3:$AB$3,0))-100%))*$L$1528</f>
        <v>1015.49</v>
      </c>
      <c r="M1535" s="286"/>
      <c r="N1535" s="286"/>
      <c r="O1535" s="311">
        <f>O1532+224/2</f>
        <v>1015.49</v>
      </c>
      <c r="P1535" s="285"/>
      <c r="Q1535" s="285"/>
      <c r="R1535" s="278"/>
      <c r="S1535" s="278"/>
      <c r="T1535" s="278"/>
    </row>
    <row r="1536" spans="1:28" s="305" customFormat="1" hidden="1" outlineLevel="2" x14ac:dyDescent="0.25">
      <c r="A1536" s="278"/>
      <c r="B1536" s="279" t="str">
        <f t="shared" si="590"/>
        <v>2700mm2 x 821mm to 920mmDEDFaverage</v>
      </c>
      <c r="C1536" s="278" t="s">
        <v>779</v>
      </c>
      <c r="D1536" s="278" t="s">
        <v>788</v>
      </c>
      <c r="E1536" s="278" t="s">
        <v>2119</v>
      </c>
      <c r="F1536" s="278" t="s">
        <v>543</v>
      </c>
      <c r="G1536" s="278" t="s">
        <v>5</v>
      </c>
      <c r="H1536" s="310">
        <v>1.6348798354967229</v>
      </c>
      <c r="I1536" s="280">
        <f t="shared" si="591"/>
        <v>131.8040123377458</v>
      </c>
      <c r="J1536" s="281">
        <f t="shared" si="592"/>
        <v>149.47706335946538</v>
      </c>
      <c r="K1536" s="282">
        <f>IF(Notes!$B$9="Domestic",I1536, IF(Notes!$B$9="Commercial",J1536))*$K$1528</f>
        <v>149.47706335946538</v>
      </c>
      <c r="L1536" s="283">
        <f>(SUM(O1536:Q1536)+(K1536+SUM(M1536:Q1536))*(INDEX($U$1528:$AB$1528,MATCH(Notes!$C$16,$U$3:$AB$3,0))-100%))*$L$1528</f>
        <v>1058.49</v>
      </c>
      <c r="M1536" s="286"/>
      <c r="N1536" s="286"/>
      <c r="O1536" s="311">
        <f t="shared" ref="O1536:O1537" si="594">O1533+224/2</f>
        <v>1058.49</v>
      </c>
      <c r="P1536" s="285"/>
      <c r="Q1536" s="285"/>
      <c r="R1536" s="278"/>
      <c r="S1536" s="278"/>
      <c r="T1536" s="278"/>
    </row>
    <row r="1537" spans="1:20" s="305" customFormat="1" hidden="1" outlineLevel="2" x14ac:dyDescent="0.25">
      <c r="A1537" s="278"/>
      <c r="B1537" s="279" t="str">
        <f t="shared" si="590"/>
        <v>2700mm2 x 921mm to 1220mmDEDFaverage</v>
      </c>
      <c r="C1537" s="278" t="s">
        <v>779</v>
      </c>
      <c r="D1537" s="278" t="s">
        <v>789</v>
      </c>
      <c r="E1537" s="278" t="s">
        <v>2119</v>
      </c>
      <c r="F1537" s="278" t="s">
        <v>543</v>
      </c>
      <c r="G1537" s="278" t="s">
        <v>5</v>
      </c>
      <c r="H1537" s="310">
        <v>1.7348669836781905</v>
      </c>
      <c r="I1537" s="280">
        <f t="shared" si="591"/>
        <v>139.86497622413572</v>
      </c>
      <c r="J1537" s="281">
        <f t="shared" si="592"/>
        <v>158.61888831769696</v>
      </c>
      <c r="K1537" s="282">
        <f>IF(Notes!$B$9="Domestic",I1537, IF(Notes!$B$9="Commercial",J1537))*$K$1528</f>
        <v>158.61888831769696</v>
      </c>
      <c r="L1537" s="283">
        <f>(SUM(O1537:Q1537)+(K1537+SUM(M1537:Q1537))*(INDEX($U$1528:$AB$1528,MATCH(Notes!$C$16,$U$3:$AB$3,0))-100%))*$L$1528</f>
        <v>1097.49</v>
      </c>
      <c r="M1537" s="286"/>
      <c r="N1537" s="286"/>
      <c r="O1537" s="311">
        <f t="shared" si="594"/>
        <v>1097.49</v>
      </c>
      <c r="P1537" s="285"/>
      <c r="Q1537" s="285"/>
      <c r="R1537" s="278"/>
      <c r="S1537" s="278"/>
      <c r="T1537" s="278"/>
    </row>
    <row r="1538" spans="1:20" s="305" customFormat="1" hidden="1" outlineLevel="2" x14ac:dyDescent="0.25">
      <c r="A1538" s="278"/>
      <c r="B1538" s="279" t="str">
        <f t="shared" si="590"/>
        <v>2100mm2 x up to 820mmDEDFquality</v>
      </c>
      <c r="C1538" s="278" t="s">
        <v>557</v>
      </c>
      <c r="D1538" s="278" t="s">
        <v>787</v>
      </c>
      <c r="E1538" s="278" t="s">
        <v>2119</v>
      </c>
      <c r="F1538" s="278" t="s">
        <v>544</v>
      </c>
      <c r="G1538" s="278" t="s">
        <v>5</v>
      </c>
      <c r="H1538" s="310">
        <v>0.73499550186351359</v>
      </c>
      <c r="I1538" s="280">
        <f t="shared" si="591"/>
        <v>59.255337360236467</v>
      </c>
      <c r="J1538" s="281">
        <f t="shared" si="592"/>
        <v>67.200638735381048</v>
      </c>
      <c r="K1538" s="282">
        <f>IF(Notes!$B$9="Domestic",I1538, IF(Notes!$B$9="Commercial",J1538))*$K$1528</f>
        <v>67.200638735381048</v>
      </c>
      <c r="L1538" s="283">
        <f>(SUM(O1538:Q1538)+(K1538+SUM(M1538:Q1538))*(INDEX($U$1528:$AB$1528,MATCH(Notes!$C$16,$U$3:$AB$3,0))-100%))*$L$1528</f>
        <v>781.01</v>
      </c>
      <c r="M1538" s="286"/>
      <c r="N1538" s="286"/>
      <c r="O1538" s="285">
        <v>781.01</v>
      </c>
      <c r="P1538" s="285"/>
      <c r="Q1538" s="285"/>
      <c r="R1538" s="278"/>
      <c r="S1538" s="278"/>
      <c r="T1538" s="278"/>
    </row>
    <row r="1539" spans="1:20" s="305" customFormat="1" hidden="1" outlineLevel="2" x14ac:dyDescent="0.25">
      <c r="A1539" s="278"/>
      <c r="B1539" s="279" t="str">
        <f t="shared" si="590"/>
        <v>2100mm2 x 821mm to 920mmDEDFquality</v>
      </c>
      <c r="C1539" s="278" t="s">
        <v>557</v>
      </c>
      <c r="D1539" s="278" t="s">
        <v>788</v>
      </c>
      <c r="E1539" s="278" t="s">
        <v>2119</v>
      </c>
      <c r="F1539" s="278" t="s">
        <v>544</v>
      </c>
      <c r="G1539" s="278" t="s">
        <v>5</v>
      </c>
      <c r="H1539" s="310">
        <v>0.93496979822644899</v>
      </c>
      <c r="I1539" s="280">
        <f t="shared" si="591"/>
        <v>75.377265133016323</v>
      </c>
      <c r="J1539" s="281">
        <f t="shared" si="592"/>
        <v>85.484288651844238</v>
      </c>
      <c r="K1539" s="282">
        <f>IF(Notes!$B$9="Domestic",I1539, IF(Notes!$B$9="Commercial",J1539))*$K$1528</f>
        <v>85.484288651844238</v>
      </c>
      <c r="L1539" s="283">
        <f>(SUM(O1539:Q1539)+(K1539+SUM(M1539:Q1539))*(INDEX($U$1528:$AB$1528,MATCH(Notes!$C$16,$U$3:$AB$3,0))-100%))*$L$1528</f>
        <v>824.01</v>
      </c>
      <c r="M1539" s="286"/>
      <c r="N1539" s="286"/>
      <c r="O1539" s="311">
        <f>O1538+43</f>
        <v>824.01</v>
      </c>
      <c r="P1539" s="285"/>
      <c r="Q1539" s="285"/>
      <c r="R1539" s="278"/>
      <c r="S1539" s="278"/>
      <c r="T1539" s="278"/>
    </row>
    <row r="1540" spans="1:20" s="305" customFormat="1" hidden="1" outlineLevel="2" x14ac:dyDescent="0.25">
      <c r="A1540" s="278"/>
      <c r="B1540" s="279" t="str">
        <f t="shared" si="590"/>
        <v>2100mm2 x 921mm to 1220mmDEDFquality</v>
      </c>
      <c r="C1540" s="278" t="s">
        <v>557</v>
      </c>
      <c r="D1540" s="278" t="s">
        <v>789</v>
      </c>
      <c r="E1540" s="278" t="s">
        <v>2119</v>
      </c>
      <c r="F1540" s="278" t="s">
        <v>544</v>
      </c>
      <c r="G1540" s="278" t="s">
        <v>5</v>
      </c>
      <c r="H1540" s="310">
        <v>1.0349569464079167</v>
      </c>
      <c r="I1540" s="280">
        <f t="shared" si="591"/>
        <v>83.438229019406251</v>
      </c>
      <c r="J1540" s="281">
        <f t="shared" si="592"/>
        <v>94.626113610075834</v>
      </c>
      <c r="K1540" s="282">
        <f>IF(Notes!$B$9="Domestic",I1540, IF(Notes!$B$9="Commercial",J1540))*$K$1528</f>
        <v>94.626113610075834</v>
      </c>
      <c r="L1540" s="283">
        <f>(SUM(O1540:Q1540)+(K1540+SUM(M1540:Q1540))*(INDEX($U$1528:$AB$1528,MATCH(Notes!$C$16,$U$3:$AB$3,0))-100%))*$L$1528</f>
        <v>863.01</v>
      </c>
      <c r="M1540" s="286"/>
      <c r="N1540" s="286"/>
      <c r="O1540" s="311">
        <f>O1538+82</f>
        <v>863.01</v>
      </c>
      <c r="P1540" s="285"/>
      <c r="Q1540" s="285"/>
      <c r="R1540" s="278"/>
      <c r="S1540" s="278"/>
      <c r="T1540" s="278"/>
    </row>
    <row r="1541" spans="1:20" s="305" customFormat="1" hidden="1" outlineLevel="2" x14ac:dyDescent="0.25">
      <c r="A1541" s="278"/>
      <c r="B1541" s="279" t="str">
        <f t="shared" si="590"/>
        <v>2400mm2 x up to 820mmDEDFquality</v>
      </c>
      <c r="C1541" s="278" t="s">
        <v>558</v>
      </c>
      <c r="D1541" s="278" t="s">
        <v>787</v>
      </c>
      <c r="E1541" s="278" t="s">
        <v>2119</v>
      </c>
      <c r="F1541" s="278" t="s">
        <v>544</v>
      </c>
      <c r="G1541" s="278" t="s">
        <v>5</v>
      </c>
      <c r="H1541" s="310">
        <v>1.0849505204986505</v>
      </c>
      <c r="I1541" s="280">
        <f t="shared" si="591"/>
        <v>87.468710962601207</v>
      </c>
      <c r="J1541" s="281">
        <f t="shared" si="592"/>
        <v>99.197026089191624</v>
      </c>
      <c r="K1541" s="282">
        <f>IF(Notes!$B$9="Domestic",I1541, IF(Notes!$B$9="Commercial",J1541))*$K$1528</f>
        <v>99.197026089191624</v>
      </c>
      <c r="L1541" s="283">
        <f>(SUM(O1541:Q1541)+(K1541+SUM(M1541:Q1541))*(INDEX($U$1528:$AB$1528,MATCH(Notes!$C$16,$U$3:$AB$3,0))-100%))*$L$1528</f>
        <v>1005.01</v>
      </c>
      <c r="M1541" s="286"/>
      <c r="N1541" s="286"/>
      <c r="O1541" s="311">
        <f>O1538+224</f>
        <v>1005.01</v>
      </c>
      <c r="P1541" s="285"/>
      <c r="Q1541" s="285"/>
      <c r="R1541" s="278"/>
      <c r="S1541" s="278"/>
      <c r="T1541" s="278"/>
    </row>
    <row r="1542" spans="1:20" s="305" customFormat="1" hidden="1" outlineLevel="2" x14ac:dyDescent="0.25">
      <c r="A1542" s="278"/>
      <c r="B1542" s="279" t="str">
        <f t="shared" si="590"/>
        <v>2400mm2 x 821mm to 920mmDEDFquality</v>
      </c>
      <c r="C1542" s="278" t="s">
        <v>558</v>
      </c>
      <c r="D1542" s="278" t="s">
        <v>788</v>
      </c>
      <c r="E1542" s="278" t="s">
        <v>2119</v>
      </c>
      <c r="F1542" s="278" t="s">
        <v>544</v>
      </c>
      <c r="G1542" s="278" t="s">
        <v>5</v>
      </c>
      <c r="H1542" s="310">
        <v>1.2849248168615859</v>
      </c>
      <c r="I1542" s="280">
        <f t="shared" si="591"/>
        <v>103.59063873538106</v>
      </c>
      <c r="J1542" s="281">
        <f t="shared" si="592"/>
        <v>117.4806760056548</v>
      </c>
      <c r="K1542" s="282">
        <f>IF(Notes!$B$9="Domestic",I1542, IF(Notes!$B$9="Commercial",J1542))*$K$1528</f>
        <v>117.4806760056548</v>
      </c>
      <c r="L1542" s="283">
        <f>(SUM(O1542:Q1542)+(K1542+SUM(M1542:Q1542))*(INDEX($U$1528:$AB$1528,MATCH(Notes!$C$16,$U$3:$AB$3,0))-100%))*$L$1528</f>
        <v>1048.01</v>
      </c>
      <c r="M1542" s="286"/>
      <c r="N1542" s="286"/>
      <c r="O1542" s="311">
        <f t="shared" ref="O1542" si="595">O1539+224</f>
        <v>1048.01</v>
      </c>
      <c r="P1542" s="285"/>
      <c r="Q1542" s="285"/>
      <c r="R1542" s="278"/>
      <c r="S1542" s="278"/>
      <c r="T1542" s="278"/>
    </row>
    <row r="1543" spans="1:20" s="305" customFormat="1" hidden="1" outlineLevel="2" x14ac:dyDescent="0.25">
      <c r="A1543" s="278"/>
      <c r="B1543" s="279" t="str">
        <f t="shared" si="590"/>
        <v>2400mm2 x 921mm to 1220mmDEDFquality</v>
      </c>
      <c r="C1543" s="278" t="s">
        <v>558</v>
      </c>
      <c r="D1543" s="278" t="s">
        <v>789</v>
      </c>
      <c r="E1543" s="278" t="s">
        <v>2119</v>
      </c>
      <c r="F1543" s="278" t="s">
        <v>544</v>
      </c>
      <c r="G1543" s="278" t="s">
        <v>5</v>
      </c>
      <c r="H1543" s="310">
        <v>1.3849119650430537</v>
      </c>
      <c r="I1543" s="280">
        <f t="shared" si="591"/>
        <v>111.65160262177099</v>
      </c>
      <c r="J1543" s="281">
        <f t="shared" si="592"/>
        <v>126.62250096388641</v>
      </c>
      <c r="K1543" s="282">
        <f>IF(Notes!$B$9="Domestic",I1543, IF(Notes!$B$9="Commercial",J1543))*$K$1528</f>
        <v>126.62250096388641</v>
      </c>
      <c r="L1543" s="283">
        <f>(SUM(O1543:Q1543)+(K1543+SUM(M1543:Q1543))*(INDEX($U$1528:$AB$1528,MATCH(Notes!$C$16,$U$3:$AB$3,0))-100%))*$L$1528</f>
        <v>1087.01</v>
      </c>
      <c r="M1543" s="286"/>
      <c r="N1543" s="286"/>
      <c r="O1543" s="311">
        <f>O1540+224</f>
        <v>1087.01</v>
      </c>
      <c r="P1543" s="285"/>
      <c r="Q1543" s="285"/>
      <c r="R1543" s="278"/>
      <c r="S1543" s="278"/>
      <c r="T1543" s="278"/>
    </row>
    <row r="1544" spans="1:20" s="305" customFormat="1" hidden="1" outlineLevel="2" x14ac:dyDescent="0.25">
      <c r="A1544" s="278"/>
      <c r="B1544" s="279" t="str">
        <f t="shared" si="590"/>
        <v>2700mm2 x up to 820mmDEDFquality</v>
      </c>
      <c r="C1544" s="278" t="s">
        <v>779</v>
      </c>
      <c r="D1544" s="278" t="s">
        <v>787</v>
      </c>
      <c r="E1544" s="278" t="s">
        <v>2119</v>
      </c>
      <c r="F1544" s="278" t="s">
        <v>544</v>
      </c>
      <c r="G1544" s="278" t="s">
        <v>5</v>
      </c>
      <c r="H1544" s="310">
        <v>1.4349055391337875</v>
      </c>
      <c r="I1544" s="280">
        <f t="shared" si="591"/>
        <v>115.68208456496595</v>
      </c>
      <c r="J1544" s="281">
        <f t="shared" si="592"/>
        <v>131.19341344300221</v>
      </c>
      <c r="K1544" s="282">
        <f>IF(Notes!$B$9="Domestic",I1544, IF(Notes!$B$9="Commercial",J1544))*$K$1528</f>
        <v>131.19341344300221</v>
      </c>
      <c r="L1544" s="283">
        <f>(SUM(O1544:Q1544)+(K1544+SUM(M1544:Q1544))*(INDEX($U$1528:$AB$1528,MATCH(Notes!$C$16,$U$3:$AB$3,0))-100%))*$L$1528</f>
        <v>1117.01</v>
      </c>
      <c r="M1544" s="286"/>
      <c r="N1544" s="286"/>
      <c r="O1544" s="311">
        <f>O1541+224/2</f>
        <v>1117.01</v>
      </c>
      <c r="P1544" s="285"/>
      <c r="Q1544" s="285"/>
      <c r="R1544" s="278"/>
      <c r="S1544" s="278"/>
      <c r="T1544" s="278"/>
    </row>
    <row r="1545" spans="1:20" s="305" customFormat="1" hidden="1" outlineLevel="2" x14ac:dyDescent="0.25">
      <c r="A1545" s="278"/>
      <c r="B1545" s="279" t="str">
        <f t="shared" si="590"/>
        <v>2700mm2 x 821mm to 920mmDEDFquality</v>
      </c>
      <c r="C1545" s="278" t="s">
        <v>779</v>
      </c>
      <c r="D1545" s="278" t="s">
        <v>788</v>
      </c>
      <c r="E1545" s="278" t="s">
        <v>2119</v>
      </c>
      <c r="F1545" s="278" t="s">
        <v>544</v>
      </c>
      <c r="G1545" s="278" t="s">
        <v>5</v>
      </c>
      <c r="H1545" s="310">
        <v>1.6348798354967229</v>
      </c>
      <c r="I1545" s="280">
        <f t="shared" si="591"/>
        <v>131.8040123377458</v>
      </c>
      <c r="J1545" s="281">
        <f t="shared" si="592"/>
        <v>149.47706335946538</v>
      </c>
      <c r="K1545" s="282">
        <f>IF(Notes!$B$9="Domestic",I1545, IF(Notes!$B$9="Commercial",J1545))*$K$1528</f>
        <v>149.47706335946538</v>
      </c>
      <c r="L1545" s="283">
        <f>(SUM(O1545:Q1545)+(K1545+SUM(M1545:Q1545))*(INDEX($U$1528:$AB$1528,MATCH(Notes!$C$16,$U$3:$AB$3,0))-100%))*$L$1528</f>
        <v>1160.01</v>
      </c>
      <c r="M1545" s="286"/>
      <c r="N1545" s="286"/>
      <c r="O1545" s="311">
        <f t="shared" ref="O1545:O1546" si="596">O1542+224/2</f>
        <v>1160.01</v>
      </c>
      <c r="P1545" s="285"/>
      <c r="Q1545" s="285"/>
      <c r="R1545" s="278"/>
      <c r="S1545" s="278"/>
      <c r="T1545" s="278"/>
    </row>
    <row r="1546" spans="1:20" s="305" customFormat="1" hidden="1" outlineLevel="2" x14ac:dyDescent="0.25">
      <c r="A1546" s="278"/>
      <c r="B1546" s="279" t="str">
        <f t="shared" si="590"/>
        <v>2700mm2 x 921mm to 1220mmDEDFquality</v>
      </c>
      <c r="C1546" s="278" t="s">
        <v>779</v>
      </c>
      <c r="D1546" s="278" t="s">
        <v>789</v>
      </c>
      <c r="E1546" s="278" t="s">
        <v>2119</v>
      </c>
      <c r="F1546" s="278" t="s">
        <v>544</v>
      </c>
      <c r="G1546" s="278" t="s">
        <v>5</v>
      </c>
      <c r="H1546" s="310">
        <v>1.7348669836781905</v>
      </c>
      <c r="I1546" s="280">
        <f t="shared" si="591"/>
        <v>139.86497622413572</v>
      </c>
      <c r="J1546" s="281">
        <f t="shared" si="592"/>
        <v>158.61888831769696</v>
      </c>
      <c r="K1546" s="282">
        <f>IF(Notes!$B$9="Domestic",I1546, IF(Notes!$B$9="Commercial",J1546))*$K$1528</f>
        <v>158.61888831769696</v>
      </c>
      <c r="L1546" s="283">
        <f>(SUM(O1546:Q1546)+(K1546+SUM(M1546:Q1546))*(INDEX($U$1528:$AB$1528,MATCH(Notes!$C$16,$U$3:$AB$3,0))-100%))*$L$1528</f>
        <v>1199.01</v>
      </c>
      <c r="M1546" s="286"/>
      <c r="N1546" s="286"/>
      <c r="O1546" s="311">
        <f t="shared" si="596"/>
        <v>1199.01</v>
      </c>
      <c r="P1546" s="285"/>
      <c r="Q1546" s="285"/>
      <c r="R1546" s="278"/>
      <c r="S1546" s="278"/>
      <c r="T1546" s="278"/>
    </row>
    <row r="1547" spans="1:20" s="305" customFormat="1" hidden="1" outlineLevel="2" x14ac:dyDescent="0.25">
      <c r="A1547" s="278"/>
      <c r="B1547" s="279" t="str">
        <f t="shared" si="590"/>
        <v>2100mm2 x up to 820mmDEDFprestige</v>
      </c>
      <c r="C1547" s="278" t="s">
        <v>557</v>
      </c>
      <c r="D1547" s="278" t="s">
        <v>787</v>
      </c>
      <c r="E1547" s="278" t="s">
        <v>2119</v>
      </c>
      <c r="F1547" s="278" t="s">
        <v>545</v>
      </c>
      <c r="G1547" s="278" t="s">
        <v>5</v>
      </c>
      <c r="H1547" s="310">
        <v>0.7199588741806966</v>
      </c>
      <c r="I1547" s="280">
        <f t="shared" si="591"/>
        <v>58.043084436447764</v>
      </c>
      <c r="J1547" s="281">
        <f t="shared" si="592"/>
        <v>65.825839866341099</v>
      </c>
      <c r="K1547" s="282">
        <f>IF(Notes!$B$9="Domestic",I1547, IF(Notes!$B$9="Commercial",J1547))*$K$1528</f>
        <v>65.825839866341099</v>
      </c>
      <c r="L1547" s="283">
        <f>(SUM(O1547:Q1547)+(K1547+SUM(M1547:Q1547))*(INDEX($U$1528:$AB$1528,MATCH(Notes!$C$16,$U$3:$AB$3,0))-100%))*$L$1528</f>
        <v>1156.75</v>
      </c>
      <c r="M1547" s="286"/>
      <c r="N1547" s="286"/>
      <c r="O1547" s="285">
        <v>1156.75</v>
      </c>
      <c r="P1547" s="285"/>
      <c r="Q1547" s="285"/>
      <c r="R1547" s="278"/>
      <c r="S1547" s="278"/>
      <c r="T1547" s="278"/>
    </row>
    <row r="1548" spans="1:20" s="305" customFormat="1" hidden="1" outlineLevel="2" x14ac:dyDescent="0.25">
      <c r="A1548" s="278"/>
      <c r="B1548" s="279" t="str">
        <f t="shared" si="590"/>
        <v>2100mm2 x 821mm to 920mmDEDFprestige</v>
      </c>
      <c r="C1548" s="278" t="s">
        <v>557</v>
      </c>
      <c r="D1548" s="278" t="s">
        <v>788</v>
      </c>
      <c r="E1548" s="278" t="s">
        <v>2119</v>
      </c>
      <c r="F1548" s="278" t="s">
        <v>545</v>
      </c>
      <c r="G1548" s="278" t="s">
        <v>5</v>
      </c>
      <c r="H1548" s="310">
        <v>0.91993317054363188</v>
      </c>
      <c r="I1548" s="280">
        <f t="shared" si="591"/>
        <v>74.165012209227612</v>
      </c>
      <c r="J1548" s="281">
        <f t="shared" si="592"/>
        <v>84.109489782804275</v>
      </c>
      <c r="K1548" s="282">
        <f>IF(Notes!$B$9="Domestic",I1548, IF(Notes!$B$9="Commercial",J1548))*$K$1528</f>
        <v>84.109489782804275</v>
      </c>
      <c r="L1548" s="283">
        <f>(SUM(O1548:Q1548)+(K1548+SUM(M1548:Q1548))*(INDEX($U$1528:$AB$1528,MATCH(Notes!$C$16,$U$3:$AB$3,0))-100%))*$L$1528</f>
        <v>1199.75</v>
      </c>
      <c r="M1548" s="286"/>
      <c r="N1548" s="286"/>
      <c r="O1548" s="311">
        <f>O1547+43</f>
        <v>1199.75</v>
      </c>
      <c r="P1548" s="285"/>
      <c r="Q1548" s="285"/>
      <c r="R1548" s="278"/>
      <c r="S1548" s="278"/>
      <c r="T1548" s="278"/>
    </row>
    <row r="1549" spans="1:20" s="305" customFormat="1" hidden="1" outlineLevel="2" x14ac:dyDescent="0.25">
      <c r="A1549" s="278"/>
      <c r="B1549" s="279" t="str">
        <f t="shared" si="590"/>
        <v>2100mm2 x 921mm to 1220mmDEDFprestige</v>
      </c>
      <c r="C1549" s="278" t="s">
        <v>557</v>
      </c>
      <c r="D1549" s="278" t="s">
        <v>789</v>
      </c>
      <c r="E1549" s="278" t="s">
        <v>2119</v>
      </c>
      <c r="F1549" s="278" t="s">
        <v>545</v>
      </c>
      <c r="G1549" s="278" t="s">
        <v>5</v>
      </c>
      <c r="H1549" s="310">
        <v>1.0199203187250996</v>
      </c>
      <c r="I1549" s="280">
        <f t="shared" si="591"/>
        <v>82.22597609561754</v>
      </c>
      <c r="J1549" s="281">
        <f t="shared" si="592"/>
        <v>93.251314741035856</v>
      </c>
      <c r="K1549" s="282">
        <f>IF(Notes!$B$9="Domestic",I1549, IF(Notes!$B$9="Commercial",J1549))*$K$1528</f>
        <v>93.251314741035856</v>
      </c>
      <c r="L1549" s="283">
        <f>(SUM(O1549:Q1549)+(K1549+SUM(M1549:Q1549))*(INDEX($U$1528:$AB$1528,MATCH(Notes!$C$16,$U$3:$AB$3,0))-100%))*$L$1528</f>
        <v>1238.75</v>
      </c>
      <c r="M1549" s="286"/>
      <c r="N1549" s="286"/>
      <c r="O1549" s="311">
        <f>O1547+82</f>
        <v>1238.75</v>
      </c>
      <c r="P1549" s="285"/>
      <c r="Q1549" s="285"/>
      <c r="R1549" s="278"/>
      <c r="S1549" s="278"/>
      <c r="T1549" s="278"/>
    </row>
    <row r="1550" spans="1:20" s="305" customFormat="1" hidden="1" outlineLevel="2" x14ac:dyDescent="0.25">
      <c r="A1550" s="278"/>
      <c r="B1550" s="279" t="str">
        <f t="shared" si="590"/>
        <v>2400mm2 x up to 820mmDEDFprestige</v>
      </c>
      <c r="C1550" s="278" t="s">
        <v>558</v>
      </c>
      <c r="D1550" s="278" t="s">
        <v>787</v>
      </c>
      <c r="E1550" s="278" t="s">
        <v>2119</v>
      </c>
      <c r="F1550" s="278" t="s">
        <v>545</v>
      </c>
      <c r="G1550" s="278" t="s">
        <v>5</v>
      </c>
      <c r="H1550" s="310">
        <v>1.0699138928158334</v>
      </c>
      <c r="I1550" s="280">
        <f t="shared" si="591"/>
        <v>86.256458038812497</v>
      </c>
      <c r="J1550" s="281">
        <f t="shared" si="592"/>
        <v>97.822227220151646</v>
      </c>
      <c r="K1550" s="282">
        <f>IF(Notes!$B$9="Domestic",I1550, IF(Notes!$B$9="Commercial",J1550))*$K$1528</f>
        <v>97.822227220151646</v>
      </c>
      <c r="L1550" s="283">
        <f>(SUM(O1550:Q1550)+(K1550+SUM(M1550:Q1550))*(INDEX($U$1528:$AB$1528,MATCH(Notes!$C$16,$U$3:$AB$3,0))-100%))*$L$1528</f>
        <v>1380.75</v>
      </c>
      <c r="M1550" s="286"/>
      <c r="N1550" s="286"/>
      <c r="O1550" s="311">
        <f>O1547+224</f>
        <v>1380.75</v>
      </c>
      <c r="P1550" s="285"/>
      <c r="Q1550" s="285"/>
      <c r="R1550" s="278"/>
      <c r="S1550" s="278"/>
      <c r="T1550" s="278"/>
    </row>
    <row r="1551" spans="1:20" s="305" customFormat="1" hidden="1" outlineLevel="2" x14ac:dyDescent="0.25">
      <c r="A1551" s="278"/>
      <c r="B1551" s="279" t="str">
        <f t="shared" si="590"/>
        <v>2400mm2 x 821mm to 920mmDEDFprestige</v>
      </c>
      <c r="C1551" s="278" t="s">
        <v>558</v>
      </c>
      <c r="D1551" s="278" t="s">
        <v>788</v>
      </c>
      <c r="E1551" s="278" t="s">
        <v>2119</v>
      </c>
      <c r="F1551" s="278" t="s">
        <v>545</v>
      </c>
      <c r="G1551" s="278" t="s">
        <v>5</v>
      </c>
      <c r="H1551" s="310">
        <v>1.2698881891787688</v>
      </c>
      <c r="I1551" s="280">
        <f t="shared" si="591"/>
        <v>102.37838581159234</v>
      </c>
      <c r="J1551" s="281">
        <f t="shared" si="592"/>
        <v>116.10587713661484</v>
      </c>
      <c r="K1551" s="282">
        <f>IF(Notes!$B$9="Domestic",I1551, IF(Notes!$B$9="Commercial",J1551))*$K$1528</f>
        <v>116.10587713661484</v>
      </c>
      <c r="L1551" s="283">
        <f>(SUM(O1551:Q1551)+(K1551+SUM(M1551:Q1551))*(INDEX($U$1528:$AB$1528,MATCH(Notes!$C$16,$U$3:$AB$3,0))-100%))*$L$1528</f>
        <v>1423.75</v>
      </c>
      <c r="M1551" s="286"/>
      <c r="N1551" s="286"/>
      <c r="O1551" s="311">
        <f t="shared" ref="O1551" si="597">O1548+224</f>
        <v>1423.75</v>
      </c>
      <c r="P1551" s="285"/>
      <c r="Q1551" s="285"/>
      <c r="R1551" s="278"/>
      <c r="S1551" s="278"/>
      <c r="T1551" s="278"/>
    </row>
    <row r="1552" spans="1:20" s="305" customFormat="1" hidden="1" outlineLevel="2" x14ac:dyDescent="0.25">
      <c r="A1552" s="278"/>
      <c r="B1552" s="279" t="str">
        <f t="shared" si="590"/>
        <v>2400mm2 x 921mm to 1220mmDEDFprestige</v>
      </c>
      <c r="C1552" s="278" t="s">
        <v>558</v>
      </c>
      <c r="D1552" s="278" t="s">
        <v>789</v>
      </c>
      <c r="E1552" s="278" t="s">
        <v>2119</v>
      </c>
      <c r="F1552" s="278" t="s">
        <v>545</v>
      </c>
      <c r="G1552" s="278" t="s">
        <v>5</v>
      </c>
      <c r="H1552" s="310">
        <v>1.3698753373602364</v>
      </c>
      <c r="I1552" s="280">
        <f t="shared" si="591"/>
        <v>110.43934969798227</v>
      </c>
      <c r="J1552" s="281">
        <f t="shared" si="592"/>
        <v>125.24770209484642</v>
      </c>
      <c r="K1552" s="282">
        <f>IF(Notes!$B$9="Domestic",I1552, IF(Notes!$B$9="Commercial",J1552))*$K$1528</f>
        <v>125.24770209484642</v>
      </c>
      <c r="L1552" s="283">
        <f>(SUM(O1552:Q1552)+(K1552+SUM(M1552:Q1552))*(INDEX($U$1528:$AB$1528,MATCH(Notes!$C$16,$U$3:$AB$3,0))-100%))*$L$1528</f>
        <v>1462.75</v>
      </c>
      <c r="M1552" s="286"/>
      <c r="N1552" s="286"/>
      <c r="O1552" s="311">
        <f>O1549+224</f>
        <v>1462.75</v>
      </c>
      <c r="P1552" s="285"/>
      <c r="Q1552" s="285"/>
      <c r="R1552" s="278"/>
      <c r="S1552" s="278"/>
      <c r="T1552" s="278"/>
    </row>
    <row r="1553" spans="1:28" s="305" customFormat="1" hidden="1" outlineLevel="2" x14ac:dyDescent="0.25">
      <c r="A1553" s="278"/>
      <c r="B1553" s="279" t="str">
        <f t="shared" si="590"/>
        <v>2700mm2 x up to 820mmDEDFprestige</v>
      </c>
      <c r="C1553" s="278" t="s">
        <v>779</v>
      </c>
      <c r="D1553" s="278" t="s">
        <v>787</v>
      </c>
      <c r="E1553" s="278" t="s">
        <v>2119</v>
      </c>
      <c r="F1553" s="278" t="s">
        <v>545</v>
      </c>
      <c r="G1553" s="278" t="s">
        <v>5</v>
      </c>
      <c r="H1553" s="310">
        <v>1.4198689114509704</v>
      </c>
      <c r="I1553" s="280">
        <f t="shared" si="591"/>
        <v>114.46983164117724</v>
      </c>
      <c r="J1553" s="281">
        <f t="shared" si="592"/>
        <v>129.81861457396224</v>
      </c>
      <c r="K1553" s="282">
        <f>IF(Notes!$B$9="Domestic",I1553, IF(Notes!$B$9="Commercial",J1553))*$K$1528</f>
        <v>129.81861457396224</v>
      </c>
      <c r="L1553" s="283">
        <f>(SUM(O1553:Q1553)+(K1553+SUM(M1553:Q1553))*(INDEX($U$1528:$AB$1528,MATCH(Notes!$C$16,$U$3:$AB$3,0))-100%))*$L$1528</f>
        <v>1492.75</v>
      </c>
      <c r="M1553" s="286"/>
      <c r="N1553" s="286"/>
      <c r="O1553" s="311">
        <f>O1550+224/2</f>
        <v>1492.75</v>
      </c>
      <c r="P1553" s="285"/>
      <c r="Q1553" s="285"/>
      <c r="R1553" s="278"/>
      <c r="S1553" s="278"/>
      <c r="T1553" s="278"/>
    </row>
    <row r="1554" spans="1:28" s="305" customFormat="1" hidden="1" outlineLevel="2" x14ac:dyDescent="0.25">
      <c r="A1554" s="278"/>
      <c r="B1554" s="279" t="str">
        <f t="shared" si="590"/>
        <v>2700mm2 x 821mm to 920mmDEDFprestige</v>
      </c>
      <c r="C1554" s="278" t="s">
        <v>779</v>
      </c>
      <c r="D1554" s="278" t="s">
        <v>788</v>
      </c>
      <c r="E1554" s="278" t="s">
        <v>2119</v>
      </c>
      <c r="F1554" s="278" t="s">
        <v>545</v>
      </c>
      <c r="G1554" s="278" t="s">
        <v>5</v>
      </c>
      <c r="H1554" s="310">
        <v>1.6198432078139058</v>
      </c>
      <c r="I1554" s="280">
        <f t="shared" si="591"/>
        <v>130.59175941395708</v>
      </c>
      <c r="J1554" s="281">
        <f t="shared" si="592"/>
        <v>148.10226449042543</v>
      </c>
      <c r="K1554" s="282">
        <f>IF(Notes!$B$9="Domestic",I1554, IF(Notes!$B$9="Commercial",J1554))*$K$1528</f>
        <v>148.10226449042543</v>
      </c>
      <c r="L1554" s="283">
        <f>(SUM(O1554:Q1554)+(K1554+SUM(M1554:Q1554))*(INDEX($U$1528:$AB$1528,MATCH(Notes!$C$16,$U$3:$AB$3,0))-100%))*$L$1528</f>
        <v>1535.75</v>
      </c>
      <c r="M1554" s="286"/>
      <c r="N1554" s="286"/>
      <c r="O1554" s="311">
        <f t="shared" ref="O1554:O1555" si="598">O1551+224/2</f>
        <v>1535.75</v>
      </c>
      <c r="P1554" s="285"/>
      <c r="Q1554" s="285"/>
      <c r="R1554" s="278"/>
      <c r="S1554" s="278"/>
      <c r="T1554" s="278"/>
    </row>
    <row r="1555" spans="1:28" s="305" customFormat="1" hidden="1" outlineLevel="2" x14ac:dyDescent="0.25">
      <c r="A1555" s="278"/>
      <c r="B1555" s="279" t="str">
        <f t="shared" si="590"/>
        <v>2700mm2 x 921mm to 1220mmDEDFprestige</v>
      </c>
      <c r="C1555" s="278" t="s">
        <v>779</v>
      </c>
      <c r="D1555" s="278" t="s">
        <v>789</v>
      </c>
      <c r="E1555" s="278" t="s">
        <v>2119</v>
      </c>
      <c r="F1555" s="278" t="s">
        <v>545</v>
      </c>
      <c r="G1555" s="278" t="s">
        <v>5</v>
      </c>
      <c r="H1555" s="310">
        <v>1.7198303559953732</v>
      </c>
      <c r="I1555" s="280">
        <f t="shared" si="591"/>
        <v>138.65272330034699</v>
      </c>
      <c r="J1555" s="281">
        <f t="shared" si="592"/>
        <v>157.24408944865698</v>
      </c>
      <c r="K1555" s="282">
        <f>IF(Notes!$B$9="Domestic",I1555, IF(Notes!$B$9="Commercial",J1555))*$K$1528</f>
        <v>157.24408944865698</v>
      </c>
      <c r="L1555" s="283">
        <f>(SUM(O1555:Q1555)+(K1555+SUM(M1555:Q1555))*(INDEX($U$1528:$AB$1528,MATCH(Notes!$C$16,$U$3:$AB$3,0))-100%))*$L$1528</f>
        <v>1574.75</v>
      </c>
      <c r="M1555" s="286"/>
      <c r="N1555" s="286"/>
      <c r="O1555" s="311">
        <f t="shared" si="598"/>
        <v>1574.75</v>
      </c>
      <c r="P1555" s="285"/>
      <c r="Q1555" s="285"/>
      <c r="R1555" s="278"/>
      <c r="S1555" s="278"/>
      <c r="T1555" s="278"/>
    </row>
    <row r="1556" spans="1:28" ht="21" hidden="1" outlineLevel="1" collapsed="1" x14ac:dyDescent="0.25">
      <c r="A1556" s="299" t="s">
        <v>2120</v>
      </c>
      <c r="B1556" s="299"/>
      <c r="C1556" s="299"/>
      <c r="D1556" s="299"/>
      <c r="E1556" s="299"/>
      <c r="F1556" s="299"/>
      <c r="G1556" s="299"/>
      <c r="H1556" s="348"/>
      <c r="I1556" s="299"/>
      <c r="J1556" s="299"/>
      <c r="K1556" s="299"/>
      <c r="L1556" s="299"/>
      <c r="M1556" s="299"/>
      <c r="N1556" s="299"/>
      <c r="O1556" s="299"/>
      <c r="P1556" s="299"/>
      <c r="Q1556" s="299"/>
      <c r="R1556" s="299"/>
      <c r="S1556" s="299"/>
      <c r="T1556" s="299"/>
      <c r="U1556" s="299"/>
      <c r="V1556" s="299"/>
      <c r="W1556" s="299"/>
      <c r="X1556" s="299"/>
      <c r="Y1556" s="299"/>
      <c r="Z1556" s="299"/>
      <c r="AA1556" s="299"/>
      <c r="AB1556" s="299"/>
    </row>
    <row r="1557" spans="1:28" ht="15.75" hidden="1" outlineLevel="1" x14ac:dyDescent="0.25">
      <c r="A1557" s="291"/>
      <c r="B1557" s="291"/>
      <c r="C1557" s="291"/>
      <c r="D1557" s="291"/>
      <c r="E1557" s="291"/>
      <c r="F1557" s="291"/>
      <c r="G1557" s="291"/>
      <c r="H1557" s="325"/>
      <c r="I1557" s="291"/>
      <c r="J1557" s="291"/>
      <c r="K1557" s="291">
        <f>K$2</f>
        <v>1</v>
      </c>
      <c r="L1557" s="291">
        <f>L$2</f>
        <v>1</v>
      </c>
      <c r="M1557" s="291"/>
      <c r="N1557" s="291"/>
      <c r="O1557" s="303"/>
      <c r="P1557" s="303"/>
      <c r="Q1557" s="303"/>
      <c r="R1557" s="291"/>
      <c r="S1557" s="291"/>
      <c r="T1557" s="291"/>
      <c r="U1557" s="381">
        <f t="shared" ref="U1557:AB1557" si="599">U$1093</f>
        <v>0.97101449275362317</v>
      </c>
      <c r="V1557" s="381">
        <f t="shared" si="599"/>
        <v>1</v>
      </c>
      <c r="W1557" s="381">
        <f t="shared" si="599"/>
        <v>1.1159420289855073</v>
      </c>
      <c r="X1557" s="381">
        <f t="shared" si="599"/>
        <v>1.0905797101449275</v>
      </c>
      <c r="Y1557" s="381">
        <f t="shared" si="599"/>
        <v>1.1956521739130435</v>
      </c>
      <c r="Z1557" s="381">
        <f t="shared" si="599"/>
        <v>0.89130434782608692</v>
      </c>
      <c r="AA1557" s="381">
        <f t="shared" si="599"/>
        <v>1.3586956521739131</v>
      </c>
      <c r="AB1557" s="381">
        <f t="shared" si="599"/>
        <v>1.0253623188405796</v>
      </c>
    </row>
    <row r="1558" spans="1:28" s="305" customFormat="1" hidden="1" outlineLevel="2" x14ac:dyDescent="0.25">
      <c r="A1558" s="278"/>
      <c r="B1558" s="279" t="str">
        <f>C1558&amp;D1558&amp;E1558&amp;F1558</f>
        <v>passageleveraverage</v>
      </c>
      <c r="C1558" s="278" t="s">
        <v>785</v>
      </c>
      <c r="D1558" s="278" t="s">
        <v>780</v>
      </c>
      <c r="E1558" s="278"/>
      <c r="F1558" s="278" t="s">
        <v>543</v>
      </c>
      <c r="G1558" s="278" t="s">
        <v>5</v>
      </c>
      <c r="H1558" s="310">
        <v>0.59992288908880609</v>
      </c>
      <c r="I1558" s="280">
        <f>$I$2*H1558</f>
        <v>48.365783318339552</v>
      </c>
      <c r="J1558" s="281">
        <f>$J$2*H1558</f>
        <v>54.850949749389542</v>
      </c>
      <c r="K1558" s="282">
        <f>IF(Notes!$B$9="Domestic",I1558, IF(Notes!$B$9="Commercial",J1558))*$K$1557</f>
        <v>54.850949749389542</v>
      </c>
      <c r="L1558" s="283">
        <f>(SUM(O1558:Q1558)+(K1558+SUM(M1558:Q1558))*(INDEX($U$1557:$AB$1557,MATCH(Notes!$C$16,$U$3:$AB$3,0))-100%))*$L$1557</f>
        <v>63.75</v>
      </c>
      <c r="M1558" s="286"/>
      <c r="N1558" s="286"/>
      <c r="O1558" s="285">
        <v>44</v>
      </c>
      <c r="P1558" s="285">
        <v>19.75</v>
      </c>
      <c r="Q1558" s="285"/>
      <c r="R1558" s="278"/>
      <c r="S1558" s="278"/>
      <c r="T1558" s="278"/>
    </row>
    <row r="1559" spans="1:28" s="305" customFormat="1" hidden="1" outlineLevel="2" x14ac:dyDescent="0.25">
      <c r="A1559" s="278"/>
      <c r="B1559" s="279" t="str">
        <f t="shared" ref="B1559:B1566" si="600">C1559&amp;D1559&amp;E1559&amp;F1559</f>
        <v>passageleverquality</v>
      </c>
      <c r="C1559" s="278" t="s">
        <v>785</v>
      </c>
      <c r="D1559" s="278" t="s">
        <v>780</v>
      </c>
      <c r="E1559" s="278"/>
      <c r="F1559" s="278" t="s">
        <v>544</v>
      </c>
      <c r="G1559" s="278" t="s">
        <v>5</v>
      </c>
      <c r="H1559" s="310">
        <v>0.59992288908880609</v>
      </c>
      <c r="I1559" s="280">
        <f t="shared" ref="I1559:I1561" si="601">$I$2*H1559</f>
        <v>48.365783318339552</v>
      </c>
      <c r="J1559" s="281">
        <f t="shared" ref="J1559:J1566" si="602">$J$2*H1559</f>
        <v>54.850949749389542</v>
      </c>
      <c r="K1559" s="282">
        <f>IF(Notes!$B$9="Domestic",I1559, IF(Notes!$B$9="Commercial",J1559))*$K$1557</f>
        <v>54.850949749389542</v>
      </c>
      <c r="L1559" s="283">
        <f>(SUM(O1559:Q1559)+(K1559+SUM(M1559:Q1559))*(INDEX($U$1557:$AB$1557,MATCH(Notes!$C$16,$U$3:$AB$3,0))-100%))*$L$1557</f>
        <v>85.11</v>
      </c>
      <c r="M1559" s="286"/>
      <c r="N1559" s="286"/>
      <c r="O1559" s="285">
        <v>65.36</v>
      </c>
      <c r="P1559" s="311">
        <f t="shared" ref="P1559:P1563" si="603">$P$1558</f>
        <v>19.75</v>
      </c>
      <c r="Q1559" s="285"/>
      <c r="R1559" s="278"/>
      <c r="S1559" s="278"/>
      <c r="T1559" s="278"/>
    </row>
    <row r="1560" spans="1:28" s="305" customFormat="1" hidden="1" outlineLevel="2" x14ac:dyDescent="0.25">
      <c r="A1560" s="278"/>
      <c r="B1560" s="279" t="str">
        <f t="shared" si="600"/>
        <v>passageleverprestige</v>
      </c>
      <c r="C1560" s="278" t="s">
        <v>785</v>
      </c>
      <c r="D1560" s="278" t="s">
        <v>780</v>
      </c>
      <c r="E1560" s="278"/>
      <c r="F1560" s="278" t="s">
        <v>545</v>
      </c>
      <c r="G1560" s="278" t="s">
        <v>5</v>
      </c>
      <c r="H1560" s="310">
        <v>0.89988433363320908</v>
      </c>
      <c r="I1560" s="280">
        <f t="shared" si="601"/>
        <v>72.548674977509322</v>
      </c>
      <c r="J1560" s="281">
        <f t="shared" si="602"/>
        <v>82.276424624084314</v>
      </c>
      <c r="K1560" s="282">
        <f>IF(Notes!$B$9="Domestic",I1560, IF(Notes!$B$9="Commercial",J1560))*$K$1557</f>
        <v>82.276424624084314</v>
      </c>
      <c r="L1560" s="283">
        <f>(SUM(O1560:Q1560)+(K1560+SUM(M1560:Q1560))*(INDEX($U$1557:$AB$1557,MATCH(Notes!$C$16,$U$3:$AB$3,0))-100%))*$L$1557</f>
        <v>143.25</v>
      </c>
      <c r="M1560" s="286"/>
      <c r="N1560" s="286"/>
      <c r="O1560" s="285">
        <v>123.5</v>
      </c>
      <c r="P1560" s="311">
        <f t="shared" si="603"/>
        <v>19.75</v>
      </c>
      <c r="Q1560" s="285"/>
      <c r="R1560" s="278"/>
      <c r="S1560" s="278"/>
      <c r="T1560" s="278"/>
    </row>
    <row r="1561" spans="1:28" s="305" customFormat="1" hidden="1" outlineLevel="2" x14ac:dyDescent="0.25">
      <c r="A1561" s="278"/>
      <c r="B1561" s="279" t="str">
        <f t="shared" si="600"/>
        <v>passageknobaverage</v>
      </c>
      <c r="C1561" s="278" t="s">
        <v>785</v>
      </c>
      <c r="D1561" s="278" t="s">
        <v>778</v>
      </c>
      <c r="E1561" s="278"/>
      <c r="F1561" s="278" t="s">
        <v>543</v>
      </c>
      <c r="G1561" s="278" t="s">
        <v>5</v>
      </c>
      <c r="H1561" s="310">
        <v>0.59992288908880609</v>
      </c>
      <c r="I1561" s="280">
        <f t="shared" si="601"/>
        <v>48.365783318339552</v>
      </c>
      <c r="J1561" s="281">
        <f t="shared" si="602"/>
        <v>54.850949749389542</v>
      </c>
      <c r="K1561" s="282">
        <f>IF(Notes!$B$9="Domestic",I1561, IF(Notes!$B$9="Commercial",J1561))*$K$1557</f>
        <v>54.850949749389542</v>
      </c>
      <c r="L1561" s="283">
        <f>(SUM(O1561:Q1561)+(K1561+SUM(M1561:Q1561))*(INDEX($U$1557:$AB$1557,MATCH(Notes!$C$16,$U$3:$AB$3,0))-100%))*$L$1557</f>
        <v>58.84</v>
      </c>
      <c r="M1561" s="286"/>
      <c r="N1561" s="286"/>
      <c r="O1561" s="285">
        <v>39.090000000000003</v>
      </c>
      <c r="P1561" s="311">
        <f t="shared" si="603"/>
        <v>19.75</v>
      </c>
      <c r="Q1561" s="285"/>
      <c r="R1561" s="278"/>
      <c r="S1561" s="278"/>
      <c r="T1561" s="278"/>
    </row>
    <row r="1562" spans="1:28" s="305" customFormat="1" hidden="1" outlineLevel="2" x14ac:dyDescent="0.25">
      <c r="A1562" s="278"/>
      <c r="B1562" s="279" t="str">
        <f t="shared" si="600"/>
        <v>passageknobquality</v>
      </c>
      <c r="C1562" s="278" t="s">
        <v>785</v>
      </c>
      <c r="D1562" s="278" t="s">
        <v>778</v>
      </c>
      <c r="E1562" s="278"/>
      <c r="F1562" s="278" t="s">
        <v>544</v>
      </c>
      <c r="G1562" s="278" t="s">
        <v>5</v>
      </c>
      <c r="H1562" s="310">
        <v>0.59992288908880609</v>
      </c>
      <c r="I1562" s="280">
        <f>$I$2*H1562</f>
        <v>48.365783318339552</v>
      </c>
      <c r="J1562" s="281">
        <f t="shared" si="602"/>
        <v>54.850949749389542</v>
      </c>
      <c r="K1562" s="282">
        <f>IF(Notes!$B$9="Domestic",I1562, IF(Notes!$B$9="Commercial",J1562))*$K$1557</f>
        <v>54.850949749389542</v>
      </c>
      <c r="L1562" s="283">
        <f>(SUM(O1562:Q1562)+(K1562+SUM(M1562:Q1562))*(INDEX($U$1557:$AB$1557,MATCH(Notes!$C$16,$U$3:$AB$3,0))-100%))*$L$1557</f>
        <v>74.47999999999999</v>
      </c>
      <c r="M1562" s="286"/>
      <c r="N1562" s="286"/>
      <c r="O1562" s="285">
        <v>54.73</v>
      </c>
      <c r="P1562" s="311">
        <f t="shared" si="603"/>
        <v>19.75</v>
      </c>
      <c r="Q1562" s="285"/>
      <c r="R1562" s="278"/>
      <c r="S1562" s="278"/>
      <c r="T1562" s="278"/>
    </row>
    <row r="1563" spans="1:28" s="305" customFormat="1" hidden="1" outlineLevel="2" x14ac:dyDescent="0.25">
      <c r="A1563" s="278"/>
      <c r="B1563" s="279" t="str">
        <f t="shared" si="600"/>
        <v>passageknobprestige</v>
      </c>
      <c r="C1563" s="278" t="s">
        <v>785</v>
      </c>
      <c r="D1563" s="278" t="s">
        <v>778</v>
      </c>
      <c r="E1563" s="278"/>
      <c r="F1563" s="278" t="s">
        <v>545</v>
      </c>
      <c r="G1563" s="278" t="s">
        <v>5</v>
      </c>
      <c r="H1563" s="310">
        <v>0.89988433363320908</v>
      </c>
      <c r="I1563" s="280">
        <f t="shared" ref="I1563:I1566" si="604">$I$2*H1563</f>
        <v>72.548674977509322</v>
      </c>
      <c r="J1563" s="281">
        <f t="shared" si="602"/>
        <v>82.276424624084314</v>
      </c>
      <c r="K1563" s="282">
        <f>IF(Notes!$B$9="Domestic",I1563, IF(Notes!$B$9="Commercial",J1563))*$K$1557</f>
        <v>82.276424624084314</v>
      </c>
      <c r="L1563" s="283">
        <f>(SUM(O1563:Q1563)+(K1563+SUM(M1563:Q1563))*(INDEX($U$1557:$AB$1557,MATCH(Notes!$C$16,$U$3:$AB$3,0))-100%))*$L$1557</f>
        <v>129.19999999999999</v>
      </c>
      <c r="M1563" s="286"/>
      <c r="N1563" s="286"/>
      <c r="O1563" s="285">
        <v>109.45</v>
      </c>
      <c r="P1563" s="311">
        <f t="shared" si="603"/>
        <v>19.75</v>
      </c>
      <c r="Q1563" s="285"/>
      <c r="R1563" s="278"/>
      <c r="S1563" s="278"/>
      <c r="T1563" s="278"/>
    </row>
    <row r="1564" spans="1:28" s="305" customFormat="1" hidden="1" outlineLevel="2" x14ac:dyDescent="0.25">
      <c r="A1564" s="278"/>
      <c r="B1564" s="279" t="str">
        <f t="shared" si="600"/>
        <v>passageslidingaverage</v>
      </c>
      <c r="C1564" s="278" t="s">
        <v>785</v>
      </c>
      <c r="D1564" s="278" t="s">
        <v>782</v>
      </c>
      <c r="E1564" s="278"/>
      <c r="F1564" s="278" t="s">
        <v>543</v>
      </c>
      <c r="G1564" s="278" t="s">
        <v>5</v>
      </c>
      <c r="H1564" s="310">
        <v>1</v>
      </c>
      <c r="I1564" s="280">
        <f t="shared" si="604"/>
        <v>80.62</v>
      </c>
      <c r="J1564" s="281">
        <f t="shared" si="602"/>
        <v>91.43</v>
      </c>
      <c r="K1564" s="282">
        <f>IF(Notes!$B$9="Domestic",I1564, IF(Notes!$B$9="Commercial",J1564))*$K$1557</f>
        <v>91.43</v>
      </c>
      <c r="L1564" s="283">
        <f>(SUM(O1564:Q1564)+(K1564+SUM(M1564:Q1564))*(INDEX($U$1557:$AB$1557,MATCH(Notes!$C$16,$U$3:$AB$3,0))-100%))*$L$1557</f>
        <v>11.36</v>
      </c>
      <c r="M1564" s="286"/>
      <c r="N1564" s="286"/>
      <c r="O1564" s="285">
        <v>11.36</v>
      </c>
      <c r="P1564" s="285"/>
      <c r="Q1564" s="285"/>
      <c r="R1564" s="278"/>
      <c r="S1564" s="278"/>
      <c r="T1564" s="278"/>
    </row>
    <row r="1565" spans="1:28" s="305" customFormat="1" hidden="1" outlineLevel="2" x14ac:dyDescent="0.25">
      <c r="A1565" s="278"/>
      <c r="B1565" s="279" t="str">
        <f t="shared" si="600"/>
        <v>passageslidingquality</v>
      </c>
      <c r="C1565" s="278" t="s">
        <v>785</v>
      </c>
      <c r="D1565" s="278" t="s">
        <v>782</v>
      </c>
      <c r="E1565" s="278"/>
      <c r="F1565" s="278" t="s">
        <v>544</v>
      </c>
      <c r="G1565" s="278" t="s">
        <v>5</v>
      </c>
      <c r="H1565" s="310">
        <v>1</v>
      </c>
      <c r="I1565" s="280">
        <f t="shared" si="604"/>
        <v>80.62</v>
      </c>
      <c r="J1565" s="281">
        <f t="shared" si="602"/>
        <v>91.43</v>
      </c>
      <c r="K1565" s="282">
        <f>IF(Notes!$B$9="Domestic",I1565, IF(Notes!$B$9="Commercial",J1565))*$K$1557</f>
        <v>91.43</v>
      </c>
      <c r="L1565" s="283">
        <f>(SUM(O1565:Q1565)+(K1565+SUM(M1565:Q1565))*(INDEX($U$1557:$AB$1557,MATCH(Notes!$C$16,$U$3:$AB$3,0))-100%))*$L$1557</f>
        <v>28.18</v>
      </c>
      <c r="M1565" s="286"/>
      <c r="N1565" s="286"/>
      <c r="O1565" s="285">
        <v>28.18</v>
      </c>
      <c r="P1565" s="285"/>
      <c r="Q1565" s="285"/>
      <c r="R1565" s="278"/>
      <c r="S1565" s="278"/>
      <c r="T1565" s="278"/>
    </row>
    <row r="1566" spans="1:28" s="305" customFormat="1" hidden="1" outlineLevel="2" x14ac:dyDescent="0.25">
      <c r="A1566" s="278"/>
      <c r="B1566" s="279" t="str">
        <f t="shared" si="600"/>
        <v>passageslidingprestige</v>
      </c>
      <c r="C1566" s="278" t="s">
        <v>785</v>
      </c>
      <c r="D1566" s="278" t="s">
        <v>782</v>
      </c>
      <c r="E1566" s="278"/>
      <c r="F1566" s="278" t="s">
        <v>545</v>
      </c>
      <c r="G1566" s="278" t="s">
        <v>5</v>
      </c>
      <c r="H1566" s="310">
        <v>1</v>
      </c>
      <c r="I1566" s="280">
        <f t="shared" si="604"/>
        <v>80.62</v>
      </c>
      <c r="J1566" s="281">
        <f t="shared" si="602"/>
        <v>91.43</v>
      </c>
      <c r="K1566" s="282">
        <f>IF(Notes!$B$9="Domestic",I1566, IF(Notes!$B$9="Commercial",J1566))*$K$1557</f>
        <v>91.43</v>
      </c>
      <c r="L1566" s="283">
        <f>(SUM(O1566:Q1566)+(K1566+SUM(M1566:Q1566))*(INDEX($U$1557:$AB$1557,MATCH(Notes!$C$16,$U$3:$AB$3,0))-100%))*$L$1557</f>
        <v>42.64</v>
      </c>
      <c r="M1566" s="286"/>
      <c r="N1566" s="286"/>
      <c r="O1566" s="285">
        <v>42.64</v>
      </c>
      <c r="P1566" s="285"/>
      <c r="Q1566" s="285"/>
      <c r="R1566" s="278"/>
      <c r="S1566" s="278"/>
      <c r="T1566" s="278"/>
    </row>
    <row r="1567" spans="1:28" ht="21" hidden="1" outlineLevel="1" collapsed="1" x14ac:dyDescent="0.25">
      <c r="A1567" s="299" t="s">
        <v>2121</v>
      </c>
      <c r="B1567" s="299"/>
      <c r="C1567" s="299"/>
      <c r="D1567" s="299"/>
      <c r="E1567" s="299"/>
      <c r="F1567" s="299"/>
      <c r="G1567" s="299"/>
      <c r="H1567" s="348"/>
      <c r="I1567" s="299"/>
      <c r="J1567" s="299"/>
      <c r="K1567" s="299"/>
      <c r="L1567" s="299"/>
      <c r="M1567" s="299"/>
      <c r="N1567" s="299"/>
      <c r="O1567" s="299"/>
      <c r="P1567" s="299"/>
      <c r="Q1567" s="299"/>
      <c r="R1567" s="299"/>
      <c r="S1567" s="299"/>
      <c r="T1567" s="299"/>
      <c r="U1567" s="299"/>
      <c r="V1567" s="299"/>
      <c r="W1567" s="299"/>
      <c r="X1567" s="299"/>
      <c r="Y1567" s="299"/>
      <c r="Z1567" s="299"/>
      <c r="AA1567" s="299"/>
      <c r="AB1567" s="299"/>
    </row>
    <row r="1568" spans="1:28" ht="15.75" hidden="1" outlineLevel="1" x14ac:dyDescent="0.25">
      <c r="A1568" s="291"/>
      <c r="B1568" s="291"/>
      <c r="C1568" s="291"/>
      <c r="D1568" s="291"/>
      <c r="E1568" s="291"/>
      <c r="F1568" s="291"/>
      <c r="G1568" s="291"/>
      <c r="H1568" s="325"/>
      <c r="I1568" s="291"/>
      <c r="J1568" s="291"/>
      <c r="K1568" s="291">
        <f>K$2</f>
        <v>1</v>
      </c>
      <c r="L1568" s="291">
        <f>L$2</f>
        <v>1</v>
      </c>
      <c r="M1568" s="291"/>
      <c r="N1568" s="291"/>
      <c r="O1568" s="303"/>
      <c r="P1568" s="303"/>
      <c r="Q1568" s="303"/>
      <c r="R1568" s="291"/>
      <c r="S1568" s="291"/>
      <c r="T1568" s="291"/>
      <c r="U1568" s="381">
        <f t="shared" ref="U1568:AB1568" si="605">U$1093</f>
        <v>0.97101449275362317</v>
      </c>
      <c r="V1568" s="381">
        <f t="shared" si="605"/>
        <v>1</v>
      </c>
      <c r="W1568" s="381">
        <f t="shared" si="605"/>
        <v>1.1159420289855073</v>
      </c>
      <c r="X1568" s="381">
        <f t="shared" si="605"/>
        <v>1.0905797101449275</v>
      </c>
      <c r="Y1568" s="381">
        <f t="shared" si="605"/>
        <v>1.1956521739130435</v>
      </c>
      <c r="Z1568" s="381">
        <f t="shared" si="605"/>
        <v>0.89130434782608692</v>
      </c>
      <c r="AA1568" s="381">
        <f t="shared" si="605"/>
        <v>1.3586956521739131</v>
      </c>
      <c r="AB1568" s="381">
        <f t="shared" si="605"/>
        <v>1.0253623188405796</v>
      </c>
    </row>
    <row r="1569" spans="1:28" s="305" customFormat="1" hidden="1" outlineLevel="2" x14ac:dyDescent="0.25">
      <c r="A1569" s="278"/>
      <c r="B1569" s="279" t="str">
        <f>C1569&amp;D1569&amp;E1569&amp;F1569</f>
        <v>privacyleveraverage</v>
      </c>
      <c r="C1569" s="278" t="s">
        <v>786</v>
      </c>
      <c r="D1569" s="278" t="s">
        <v>780</v>
      </c>
      <c r="E1569" s="278"/>
      <c r="F1569" s="278" t="s">
        <v>543</v>
      </c>
      <c r="G1569" s="278" t="s">
        <v>5</v>
      </c>
      <c r="H1569" s="310">
        <v>0.74990361136100747</v>
      </c>
      <c r="I1569" s="280">
        <f>$I$2*H1569</f>
        <v>60.457229147924423</v>
      </c>
      <c r="J1569" s="281">
        <f>$J$2*H1569</f>
        <v>68.563687186736914</v>
      </c>
      <c r="K1569" s="282">
        <f>IF(Notes!$B$9="Domestic",I1569, IF(Notes!$B$9="Commercial",J1569))*$K$1568</f>
        <v>68.563687186736914</v>
      </c>
      <c r="L1569" s="283">
        <f>(SUM(O1569:Q1569)+(K1569+SUM(M1569:Q1569))*(INDEX($U$1568:$AB$1568,MATCH(Notes!$C$16,$U$3:$AB$3,0))-100%))*$L$1568</f>
        <v>68.84</v>
      </c>
      <c r="M1569" s="286"/>
      <c r="N1569" s="286"/>
      <c r="O1569" s="285">
        <v>49.09</v>
      </c>
      <c r="P1569" s="311">
        <f t="shared" ref="P1569:P1574" si="606">$P$1558</f>
        <v>19.75</v>
      </c>
      <c r="Q1569" s="285"/>
      <c r="R1569" s="278"/>
      <c r="S1569" s="278"/>
      <c r="T1569" s="278"/>
    </row>
    <row r="1570" spans="1:28" s="305" customFormat="1" hidden="1" outlineLevel="2" x14ac:dyDescent="0.25">
      <c r="A1570" s="278"/>
      <c r="B1570" s="279" t="str">
        <f t="shared" ref="B1570:B1577" si="607">C1570&amp;D1570&amp;E1570&amp;F1570</f>
        <v>privacyleverquality</v>
      </c>
      <c r="C1570" s="278" t="s">
        <v>786</v>
      </c>
      <c r="D1570" s="278" t="s">
        <v>780</v>
      </c>
      <c r="E1570" s="278"/>
      <c r="F1570" s="278" t="s">
        <v>544</v>
      </c>
      <c r="G1570" s="278" t="s">
        <v>5</v>
      </c>
      <c r="H1570" s="310">
        <v>0.74990361136100747</v>
      </c>
      <c r="I1570" s="280">
        <f t="shared" ref="I1570:I1572" si="608">$I$2*H1570</f>
        <v>60.457229147924423</v>
      </c>
      <c r="J1570" s="281">
        <f t="shared" ref="J1570:J1577" si="609">$J$2*H1570</f>
        <v>68.563687186736914</v>
      </c>
      <c r="K1570" s="282">
        <f>IF(Notes!$B$9="Domestic",I1570, IF(Notes!$B$9="Commercial",J1570))*$K$1568</f>
        <v>68.563687186736914</v>
      </c>
      <c r="L1570" s="283">
        <f>(SUM(O1570:Q1570)+(K1570+SUM(M1570:Q1570))*(INDEX($U$1568:$AB$1568,MATCH(Notes!$C$16,$U$3:$AB$3,0))-100%))*$L$1568</f>
        <v>89.3</v>
      </c>
      <c r="M1570" s="286"/>
      <c r="N1570" s="286"/>
      <c r="O1570" s="285">
        <v>69.55</v>
      </c>
      <c r="P1570" s="311">
        <f t="shared" si="606"/>
        <v>19.75</v>
      </c>
      <c r="Q1570" s="285"/>
      <c r="R1570" s="278"/>
      <c r="S1570" s="278"/>
      <c r="T1570" s="278"/>
    </row>
    <row r="1571" spans="1:28" s="305" customFormat="1" hidden="1" outlineLevel="2" x14ac:dyDescent="0.25">
      <c r="A1571" s="278"/>
      <c r="B1571" s="279" t="str">
        <f t="shared" si="607"/>
        <v>privacyleverprestige</v>
      </c>
      <c r="C1571" s="278" t="s">
        <v>786</v>
      </c>
      <c r="D1571" s="278" t="s">
        <v>780</v>
      </c>
      <c r="E1571" s="278"/>
      <c r="F1571" s="278" t="s">
        <v>545</v>
      </c>
      <c r="G1571" s="278" t="s">
        <v>5</v>
      </c>
      <c r="H1571" s="310">
        <v>0.99987148181467667</v>
      </c>
      <c r="I1571" s="280">
        <f t="shared" si="608"/>
        <v>80.609638863899235</v>
      </c>
      <c r="J1571" s="281">
        <f t="shared" si="609"/>
        <v>91.418249582315894</v>
      </c>
      <c r="K1571" s="282">
        <f>IF(Notes!$B$9="Domestic",I1571, IF(Notes!$B$9="Commercial",J1571))*$K$1568</f>
        <v>91.418249582315894</v>
      </c>
      <c r="L1571" s="283">
        <f>(SUM(O1571:Q1571)+(K1571+SUM(M1571:Q1571))*(INDEX($U$1568:$AB$1568,MATCH(Notes!$C$16,$U$3:$AB$3,0))-100%))*$L$1568</f>
        <v>205.25</v>
      </c>
      <c r="M1571" s="286"/>
      <c r="N1571" s="286"/>
      <c r="O1571" s="285">
        <v>185.5</v>
      </c>
      <c r="P1571" s="311">
        <f t="shared" si="606"/>
        <v>19.75</v>
      </c>
      <c r="Q1571" s="285"/>
      <c r="R1571" s="278"/>
      <c r="S1571" s="278"/>
      <c r="T1571" s="278"/>
    </row>
    <row r="1572" spans="1:28" s="305" customFormat="1" hidden="1" outlineLevel="2" x14ac:dyDescent="0.25">
      <c r="A1572" s="278"/>
      <c r="B1572" s="279" t="str">
        <f t="shared" si="607"/>
        <v>privacyknobaverage</v>
      </c>
      <c r="C1572" s="278" t="s">
        <v>786</v>
      </c>
      <c r="D1572" s="278" t="s">
        <v>778</v>
      </c>
      <c r="E1572" s="278"/>
      <c r="F1572" s="278" t="s">
        <v>543</v>
      </c>
      <c r="G1572" s="278" t="s">
        <v>5</v>
      </c>
      <c r="H1572" s="310">
        <v>0.74990361136100747</v>
      </c>
      <c r="I1572" s="280">
        <f t="shared" si="608"/>
        <v>60.457229147924423</v>
      </c>
      <c r="J1572" s="281">
        <f t="shared" si="609"/>
        <v>68.563687186736914</v>
      </c>
      <c r="K1572" s="282">
        <f>IF(Notes!$B$9="Domestic",I1572, IF(Notes!$B$9="Commercial",J1572))*$K$1568</f>
        <v>68.563687186736914</v>
      </c>
      <c r="L1572" s="283">
        <f>(SUM(O1572:Q1572)+(K1572+SUM(M1572:Q1572))*(INDEX($U$1568:$AB$1568,MATCH(Notes!$C$16,$U$3:$AB$3,0))-100%))*$L$1568</f>
        <v>64.3</v>
      </c>
      <c r="M1572" s="286"/>
      <c r="N1572" s="286"/>
      <c r="O1572" s="285">
        <v>44.55</v>
      </c>
      <c r="P1572" s="311">
        <f t="shared" si="606"/>
        <v>19.75</v>
      </c>
      <c r="Q1572" s="285"/>
      <c r="R1572" s="278"/>
      <c r="S1572" s="278"/>
      <c r="T1572" s="278"/>
    </row>
    <row r="1573" spans="1:28" s="305" customFormat="1" hidden="1" outlineLevel="2" x14ac:dyDescent="0.25">
      <c r="A1573" s="278"/>
      <c r="B1573" s="279" t="str">
        <f t="shared" si="607"/>
        <v>privacyknobquality</v>
      </c>
      <c r="C1573" s="278" t="s">
        <v>786</v>
      </c>
      <c r="D1573" s="278" t="s">
        <v>778</v>
      </c>
      <c r="E1573" s="278"/>
      <c r="F1573" s="278" t="s">
        <v>544</v>
      </c>
      <c r="G1573" s="278" t="s">
        <v>5</v>
      </c>
      <c r="H1573" s="310">
        <v>0.74990361136100747</v>
      </c>
      <c r="I1573" s="280">
        <f>$I$2*H1573</f>
        <v>60.457229147924423</v>
      </c>
      <c r="J1573" s="281">
        <f t="shared" si="609"/>
        <v>68.563687186736914</v>
      </c>
      <c r="K1573" s="282">
        <f>IF(Notes!$B$9="Domestic",I1573, IF(Notes!$B$9="Commercial",J1573))*$K$1568</f>
        <v>68.563687186736914</v>
      </c>
      <c r="L1573" s="283">
        <f>(SUM(O1573:Q1573)+(K1573+SUM(M1573:Q1573))*(INDEX($U$1568:$AB$1568,MATCH(Notes!$C$16,$U$3:$AB$3,0))-100%))*$L$1568</f>
        <v>82.12</v>
      </c>
      <c r="M1573" s="286"/>
      <c r="N1573" s="286"/>
      <c r="O1573" s="285">
        <v>62.37</v>
      </c>
      <c r="P1573" s="311">
        <f t="shared" si="606"/>
        <v>19.75</v>
      </c>
      <c r="Q1573" s="285"/>
      <c r="R1573" s="278"/>
      <c r="S1573" s="278"/>
      <c r="T1573" s="278"/>
    </row>
    <row r="1574" spans="1:28" s="305" customFormat="1" hidden="1" outlineLevel="2" x14ac:dyDescent="0.25">
      <c r="A1574" s="278"/>
      <c r="B1574" s="279" t="str">
        <f t="shared" si="607"/>
        <v>privacyknobprestige</v>
      </c>
      <c r="C1574" s="278" t="s">
        <v>786</v>
      </c>
      <c r="D1574" s="278" t="s">
        <v>778</v>
      </c>
      <c r="E1574" s="278"/>
      <c r="F1574" s="278" t="s">
        <v>545</v>
      </c>
      <c r="G1574" s="278" t="s">
        <v>5</v>
      </c>
      <c r="H1574" s="310">
        <v>0.99987148181467667</v>
      </c>
      <c r="I1574" s="280">
        <f t="shared" ref="I1574:I1577" si="610">$I$2*H1574</f>
        <v>80.609638863899235</v>
      </c>
      <c r="J1574" s="281">
        <f t="shared" si="609"/>
        <v>91.418249582315894</v>
      </c>
      <c r="K1574" s="282">
        <f>IF(Notes!$B$9="Domestic",I1574, IF(Notes!$B$9="Commercial",J1574))*$K$1568</f>
        <v>91.418249582315894</v>
      </c>
      <c r="L1574" s="283">
        <f>(SUM(O1574:Q1574)+(K1574+SUM(M1574:Q1574))*(INDEX($U$1568:$AB$1568,MATCH(Notes!$C$16,$U$3:$AB$3,0))-100%))*$L$1568</f>
        <v>144.49</v>
      </c>
      <c r="M1574" s="286"/>
      <c r="N1574" s="286"/>
      <c r="O1574" s="285">
        <v>124.74</v>
      </c>
      <c r="P1574" s="311">
        <f t="shared" si="606"/>
        <v>19.75</v>
      </c>
      <c r="Q1574" s="285"/>
      <c r="R1574" s="278"/>
      <c r="S1574" s="278"/>
      <c r="T1574" s="278"/>
    </row>
    <row r="1575" spans="1:28" s="305" customFormat="1" hidden="1" outlineLevel="2" x14ac:dyDescent="0.25">
      <c r="A1575" s="278"/>
      <c r="B1575" s="279" t="str">
        <f t="shared" si="607"/>
        <v>privacyslidingaverage</v>
      </c>
      <c r="C1575" s="278" t="s">
        <v>786</v>
      </c>
      <c r="D1575" s="278" t="s">
        <v>782</v>
      </c>
      <c r="E1575" s="278"/>
      <c r="F1575" s="278" t="s">
        <v>543</v>
      </c>
      <c r="G1575" s="278" t="s">
        <v>5</v>
      </c>
      <c r="H1575" s="310">
        <v>1.0998586299961444</v>
      </c>
      <c r="I1575" s="280">
        <f t="shared" si="610"/>
        <v>88.670602750289163</v>
      </c>
      <c r="J1575" s="281">
        <f t="shared" si="609"/>
        <v>100.56007454054749</v>
      </c>
      <c r="K1575" s="282">
        <f>IF(Notes!$B$9="Domestic",I1575, IF(Notes!$B$9="Commercial",J1575))*$K$1568</f>
        <v>100.56007454054749</v>
      </c>
      <c r="L1575" s="283">
        <f>(SUM(O1575:Q1575)+(K1575+SUM(M1575:Q1575))*(INDEX($U$1568:$AB$1568,MATCH(Notes!$C$16,$U$3:$AB$3,0))-100%))*$L$1568</f>
        <v>40.82</v>
      </c>
      <c r="M1575" s="286"/>
      <c r="N1575" s="286"/>
      <c r="O1575" s="285">
        <v>40.82</v>
      </c>
      <c r="P1575" s="285"/>
      <c r="Q1575" s="285"/>
      <c r="R1575" s="278"/>
      <c r="S1575" s="278"/>
      <c r="T1575" s="278"/>
    </row>
    <row r="1576" spans="1:28" s="305" customFormat="1" hidden="1" outlineLevel="2" x14ac:dyDescent="0.25">
      <c r="A1576" s="278"/>
      <c r="B1576" s="279" t="str">
        <f t="shared" si="607"/>
        <v>privacyslidingquality</v>
      </c>
      <c r="C1576" s="278" t="s">
        <v>786</v>
      </c>
      <c r="D1576" s="278" t="s">
        <v>782</v>
      </c>
      <c r="E1576" s="278"/>
      <c r="F1576" s="278" t="s">
        <v>544</v>
      </c>
      <c r="G1576" s="278" t="s">
        <v>5</v>
      </c>
      <c r="H1576" s="310">
        <v>1.2499678704536692</v>
      </c>
      <c r="I1576" s="280">
        <f t="shared" si="610"/>
        <v>100.77240971597482</v>
      </c>
      <c r="J1576" s="281">
        <f t="shared" si="609"/>
        <v>114.28456239557899</v>
      </c>
      <c r="K1576" s="282">
        <f>IF(Notes!$B$9="Domestic",I1576, IF(Notes!$B$9="Commercial",J1576))*$K$1568</f>
        <v>114.28456239557899</v>
      </c>
      <c r="L1576" s="283">
        <f>(SUM(O1576:Q1576)+(K1576+SUM(M1576:Q1576))*(INDEX($U$1568:$AB$1568,MATCH(Notes!$C$16,$U$3:$AB$3,0))-100%))*$L$1568</f>
        <v>49.09</v>
      </c>
      <c r="M1576" s="286"/>
      <c r="N1576" s="286"/>
      <c r="O1576" s="285">
        <v>49.09</v>
      </c>
      <c r="P1576" s="285"/>
      <c r="Q1576" s="285"/>
      <c r="R1576" s="278"/>
      <c r="S1576" s="278"/>
      <c r="T1576" s="278"/>
    </row>
    <row r="1577" spans="1:28" s="305" customFormat="1" hidden="1" outlineLevel="2" x14ac:dyDescent="0.25">
      <c r="A1577" s="278"/>
      <c r="B1577" s="279" t="str">
        <f t="shared" si="607"/>
        <v>privacyslidingprestige</v>
      </c>
      <c r="C1577" s="278" t="s">
        <v>786</v>
      </c>
      <c r="D1577" s="278" t="s">
        <v>782</v>
      </c>
      <c r="E1577" s="278"/>
      <c r="F1577" s="278" t="s">
        <v>545</v>
      </c>
      <c r="G1577" s="278" t="s">
        <v>5</v>
      </c>
      <c r="H1577" s="310">
        <v>1.4999357409073384</v>
      </c>
      <c r="I1577" s="280">
        <f t="shared" si="610"/>
        <v>120.92481943194963</v>
      </c>
      <c r="J1577" s="281">
        <f t="shared" si="609"/>
        <v>137.13912479115797</v>
      </c>
      <c r="K1577" s="282">
        <f>IF(Notes!$B$9="Domestic",I1577, IF(Notes!$B$9="Commercial",J1577))*$K$1568</f>
        <v>137.13912479115797</v>
      </c>
      <c r="L1577" s="283">
        <f>(SUM(O1577:Q1577)+(K1577+SUM(M1577:Q1577))*(INDEX($U$1568:$AB$1568,MATCH(Notes!$C$16,$U$3:$AB$3,0))-100%))*$L$1568</f>
        <v>68.09</v>
      </c>
      <c r="M1577" s="286"/>
      <c r="N1577" s="286"/>
      <c r="O1577" s="285">
        <v>68.09</v>
      </c>
      <c r="P1577" s="285"/>
      <c r="Q1577" s="285"/>
      <c r="R1577" s="278"/>
      <c r="S1577" s="278"/>
      <c r="T1577" s="278"/>
    </row>
    <row r="1578" spans="1:28" ht="21" hidden="1" outlineLevel="1" collapsed="1" x14ac:dyDescent="0.25">
      <c r="A1578" s="299" t="s">
        <v>2122</v>
      </c>
      <c r="B1578" s="299"/>
      <c r="C1578" s="299"/>
      <c r="D1578" s="299"/>
      <c r="E1578" s="299"/>
      <c r="F1578" s="299"/>
      <c r="G1578" s="299"/>
      <c r="H1578" s="348"/>
      <c r="I1578" s="299"/>
      <c r="J1578" s="299"/>
      <c r="K1578" s="299"/>
      <c r="L1578" s="299"/>
      <c r="M1578" s="299"/>
      <c r="N1578" s="299"/>
      <c r="O1578" s="299"/>
      <c r="P1578" s="299"/>
      <c r="Q1578" s="299"/>
      <c r="R1578" s="299"/>
      <c r="S1578" s="299"/>
      <c r="T1578" s="299"/>
      <c r="U1578" s="299"/>
      <c r="V1578" s="299"/>
      <c r="W1578" s="299"/>
      <c r="X1578" s="299"/>
      <c r="Y1578" s="299"/>
      <c r="Z1578" s="299"/>
      <c r="AA1578" s="299"/>
      <c r="AB1578" s="299"/>
    </row>
    <row r="1579" spans="1:28" ht="15.75" hidden="1" outlineLevel="1" x14ac:dyDescent="0.25">
      <c r="A1579" s="291"/>
      <c r="B1579" s="291"/>
      <c r="C1579" s="291"/>
      <c r="D1579" s="291"/>
      <c r="E1579" s="291"/>
      <c r="F1579" s="291"/>
      <c r="G1579" s="291"/>
      <c r="H1579" s="325"/>
      <c r="I1579" s="291"/>
      <c r="J1579" s="291"/>
      <c r="K1579" s="291">
        <f>K$2</f>
        <v>1</v>
      </c>
      <c r="L1579" s="291">
        <f>L$2</f>
        <v>1</v>
      </c>
      <c r="M1579" s="291"/>
      <c r="N1579" s="291"/>
      <c r="O1579" s="303"/>
      <c r="P1579" s="303"/>
      <c r="Q1579" s="303"/>
      <c r="R1579" s="291"/>
      <c r="S1579" s="291"/>
      <c r="T1579" s="291"/>
      <c r="U1579" s="381">
        <f t="shared" ref="U1579:AB1579" si="611">U$1093</f>
        <v>0.97101449275362317</v>
      </c>
      <c r="V1579" s="381">
        <f t="shared" si="611"/>
        <v>1</v>
      </c>
      <c r="W1579" s="381">
        <f t="shared" si="611"/>
        <v>1.1159420289855073</v>
      </c>
      <c r="X1579" s="381">
        <f t="shared" si="611"/>
        <v>1.0905797101449275</v>
      </c>
      <c r="Y1579" s="381">
        <f t="shared" si="611"/>
        <v>1.1956521739130435</v>
      </c>
      <c r="Z1579" s="381">
        <f t="shared" si="611"/>
        <v>0.89130434782608692</v>
      </c>
      <c r="AA1579" s="381">
        <f t="shared" si="611"/>
        <v>1.3586956521739131</v>
      </c>
      <c r="AB1579" s="381">
        <f t="shared" si="611"/>
        <v>1.0253623188405796</v>
      </c>
    </row>
    <row r="1580" spans="1:28" s="305" customFormat="1" hidden="1" outlineLevel="2" x14ac:dyDescent="0.25">
      <c r="A1580" s="278"/>
      <c r="B1580" s="279" t="str">
        <f>C1580&amp;D1580&amp;E1580&amp;F1580</f>
        <v>entryleveraverage</v>
      </c>
      <c r="C1580" s="278" t="s">
        <v>792</v>
      </c>
      <c r="D1580" s="278" t="s">
        <v>780</v>
      </c>
      <c r="E1580" s="278"/>
      <c r="F1580" s="278" t="s">
        <v>543</v>
      </c>
      <c r="G1580" s="278" t="s">
        <v>5</v>
      </c>
      <c r="H1580" s="310">
        <v>1.2499678704536692</v>
      </c>
      <c r="I1580" s="280">
        <f>$I$2*H1580</f>
        <v>100.77240971597482</v>
      </c>
      <c r="J1580" s="281">
        <f>$J$2*H1580</f>
        <v>114.28456239557899</v>
      </c>
      <c r="K1580" s="282">
        <f>IF(Notes!$B$9="Domestic",I1580, IF(Notes!$B$9="Commercial",J1580))*$K$1579</f>
        <v>114.28456239557899</v>
      </c>
      <c r="L1580" s="283">
        <f>(SUM(O1580:Q1580)+(K1580+SUM(M1580:Q1580))*(INDEX($U$1579:$AB$1579,MATCH(Notes!$C$16,$U$3:$AB$3,0))-100%))*$L$1579</f>
        <v>93.57</v>
      </c>
      <c r="M1580" s="286"/>
      <c r="N1580" s="286"/>
      <c r="O1580" s="285">
        <v>73.819999999999993</v>
      </c>
      <c r="P1580" s="311">
        <f>$P$1558</f>
        <v>19.75</v>
      </c>
      <c r="Q1580" s="285"/>
      <c r="R1580" s="278"/>
      <c r="S1580" s="278"/>
      <c r="T1580" s="278"/>
    </row>
    <row r="1581" spans="1:28" s="305" customFormat="1" hidden="1" outlineLevel="2" x14ac:dyDescent="0.25">
      <c r="A1581" s="278"/>
      <c r="B1581" s="279" t="str">
        <f t="shared" ref="B1581:B1583" si="612">C1581&amp;D1581&amp;E1581&amp;F1581</f>
        <v>entryleverquality</v>
      </c>
      <c r="C1581" s="278" t="s">
        <v>792</v>
      </c>
      <c r="D1581" s="278" t="s">
        <v>780</v>
      </c>
      <c r="E1581" s="278"/>
      <c r="F1581" s="278" t="s">
        <v>544</v>
      </c>
      <c r="G1581" s="278" t="s">
        <v>5</v>
      </c>
      <c r="H1581" s="310">
        <v>1.2499678704536692</v>
      </c>
      <c r="I1581" s="280">
        <f t="shared" ref="I1581:I1583" si="613">$I$2*H1581</f>
        <v>100.77240971597482</v>
      </c>
      <c r="J1581" s="281">
        <f t="shared" ref="J1581:J1583" si="614">$J$2*H1581</f>
        <v>114.28456239557899</v>
      </c>
      <c r="K1581" s="282">
        <f>IF(Notes!$B$9="Domestic",I1581, IF(Notes!$B$9="Commercial",J1581))*$K$1579</f>
        <v>114.28456239557899</v>
      </c>
      <c r="L1581" s="283">
        <f>(SUM(O1581:Q1581)+(K1581+SUM(M1581:Q1581))*(INDEX($U$1579:$AB$1579,MATCH(Notes!$C$16,$U$3:$AB$3,0))-100%))*$L$1579</f>
        <v>150.84</v>
      </c>
      <c r="M1581" s="286"/>
      <c r="N1581" s="286"/>
      <c r="O1581" s="285">
        <v>131.09</v>
      </c>
      <c r="P1581" s="311">
        <f t="shared" ref="P1581:P1585" si="615">$P$1558</f>
        <v>19.75</v>
      </c>
      <c r="Q1581" s="285"/>
      <c r="R1581" s="278"/>
      <c r="S1581" s="278"/>
      <c r="T1581" s="278"/>
    </row>
    <row r="1582" spans="1:28" s="305" customFormat="1" hidden="1" outlineLevel="2" x14ac:dyDescent="0.25">
      <c r="A1582" s="278"/>
      <c r="B1582" s="279" t="str">
        <f t="shared" si="612"/>
        <v>entryleverprestige</v>
      </c>
      <c r="C1582" s="278" t="s">
        <v>792</v>
      </c>
      <c r="D1582" s="278" t="s">
        <v>780</v>
      </c>
      <c r="E1582" s="278"/>
      <c r="F1582" s="278" t="s">
        <v>545</v>
      </c>
      <c r="G1582" s="278" t="s">
        <v>5</v>
      </c>
      <c r="H1582" s="310">
        <v>1.4499421668166046</v>
      </c>
      <c r="I1582" s="280">
        <f t="shared" si="613"/>
        <v>116.89433748875467</v>
      </c>
      <c r="J1582" s="281">
        <f t="shared" si="614"/>
        <v>132.56821231204216</v>
      </c>
      <c r="K1582" s="282">
        <f>IF(Notes!$B$9="Domestic",I1582, IF(Notes!$B$9="Commercial",J1582))*$K$1579</f>
        <v>132.56821231204216</v>
      </c>
      <c r="L1582" s="283">
        <f>(SUM(O1582:Q1582)+(K1582+SUM(M1582:Q1582))*(INDEX($U$1579:$AB$1579,MATCH(Notes!$C$16,$U$3:$AB$3,0))-100%))*$L$1579</f>
        <v>272.75</v>
      </c>
      <c r="M1582" s="286"/>
      <c r="N1582" s="286"/>
      <c r="O1582" s="285">
        <v>253</v>
      </c>
      <c r="P1582" s="311">
        <f t="shared" si="615"/>
        <v>19.75</v>
      </c>
      <c r="Q1582" s="285"/>
      <c r="R1582" s="278"/>
      <c r="S1582" s="278"/>
      <c r="T1582" s="278"/>
    </row>
    <row r="1583" spans="1:28" s="305" customFormat="1" hidden="1" outlineLevel="2" x14ac:dyDescent="0.25">
      <c r="A1583" s="278"/>
      <c r="B1583" s="279" t="str">
        <f t="shared" si="612"/>
        <v>entryknobaverage</v>
      </c>
      <c r="C1583" s="278" t="s">
        <v>792</v>
      </c>
      <c r="D1583" s="278" t="s">
        <v>778</v>
      </c>
      <c r="E1583" s="278"/>
      <c r="F1583" s="278" t="s">
        <v>543</v>
      </c>
      <c r="G1583" s="278" t="s">
        <v>5</v>
      </c>
      <c r="H1583" s="310">
        <v>1.2499678704536692</v>
      </c>
      <c r="I1583" s="280">
        <f t="shared" si="613"/>
        <v>100.77240971597482</v>
      </c>
      <c r="J1583" s="281">
        <f t="shared" si="614"/>
        <v>114.28456239557899</v>
      </c>
      <c r="K1583" s="282">
        <f>IF(Notes!$B$9="Domestic",I1583, IF(Notes!$B$9="Commercial",J1583))*$K$1579</f>
        <v>114.28456239557899</v>
      </c>
      <c r="L1583" s="283">
        <f>(SUM(O1583:Q1583)+(K1583+SUM(M1583:Q1583))*(INDEX($U$1579:$AB$1579,MATCH(Notes!$C$16,$U$3:$AB$3,0))-100%))*$L$1579</f>
        <v>73.11</v>
      </c>
      <c r="M1583" s="286"/>
      <c r="N1583" s="286"/>
      <c r="O1583" s="285">
        <v>53.36</v>
      </c>
      <c r="P1583" s="311">
        <f t="shared" si="615"/>
        <v>19.75</v>
      </c>
      <c r="Q1583" s="285"/>
      <c r="R1583" s="278"/>
      <c r="S1583" s="278"/>
      <c r="T1583" s="278"/>
    </row>
    <row r="1584" spans="1:28" s="305" customFormat="1" hidden="1" outlineLevel="2" x14ac:dyDescent="0.25">
      <c r="A1584" s="278"/>
      <c r="B1584" s="279" t="str">
        <f t="shared" ref="B1584:B1591" si="616">C1584&amp;D1584&amp;E1584&amp;F1584</f>
        <v>entryknobquality</v>
      </c>
      <c r="C1584" s="278" t="s">
        <v>792</v>
      </c>
      <c r="D1584" s="278" t="s">
        <v>778</v>
      </c>
      <c r="E1584" s="278"/>
      <c r="F1584" s="278" t="s">
        <v>544</v>
      </c>
      <c r="G1584" s="278" t="s">
        <v>5</v>
      </c>
      <c r="H1584" s="310">
        <v>1.2499678704536692</v>
      </c>
      <c r="I1584" s="280">
        <f t="shared" ref="I1584:I1591" si="617">$I$2*H1584</f>
        <v>100.77240971597482</v>
      </c>
      <c r="J1584" s="281">
        <f t="shared" ref="J1584:J1591" si="618">$J$2*H1584</f>
        <v>114.28456239557899</v>
      </c>
      <c r="K1584" s="282">
        <f>IF(Notes!$B$9="Domestic",I1584, IF(Notes!$B$9="Commercial",J1584))*$K$1579</f>
        <v>114.28456239557899</v>
      </c>
      <c r="L1584" s="283">
        <f>(SUM(O1584:Q1584)+(K1584+SUM(M1584:Q1584))*(INDEX($U$1579:$AB$1579,MATCH(Notes!$C$16,$U$3:$AB$3,0))-100%))*$L$1579</f>
        <v>102.11</v>
      </c>
      <c r="M1584" s="286"/>
      <c r="N1584" s="286"/>
      <c r="O1584" s="285">
        <v>82.36</v>
      </c>
      <c r="P1584" s="311">
        <f t="shared" si="615"/>
        <v>19.75</v>
      </c>
      <c r="Q1584" s="285"/>
      <c r="R1584" s="278"/>
      <c r="S1584" s="278"/>
      <c r="T1584" s="278"/>
    </row>
    <row r="1585" spans="1:28" s="305" customFormat="1" hidden="1" outlineLevel="2" x14ac:dyDescent="0.25">
      <c r="A1585" s="278"/>
      <c r="B1585" s="279" t="str">
        <f t="shared" si="616"/>
        <v>entryknobprestige</v>
      </c>
      <c r="C1585" s="278" t="s">
        <v>792</v>
      </c>
      <c r="D1585" s="278" t="s">
        <v>778</v>
      </c>
      <c r="E1585" s="278"/>
      <c r="F1585" s="278" t="s">
        <v>545</v>
      </c>
      <c r="G1585" s="278" t="s">
        <v>5</v>
      </c>
      <c r="H1585" s="310">
        <v>1.4499421668166046</v>
      </c>
      <c r="I1585" s="280">
        <f t="shared" si="617"/>
        <v>116.89433748875467</v>
      </c>
      <c r="J1585" s="281">
        <f t="shared" si="618"/>
        <v>132.56821231204216</v>
      </c>
      <c r="K1585" s="282">
        <f>IF(Notes!$B$9="Domestic",I1585, IF(Notes!$B$9="Commercial",J1585))*$K$1579</f>
        <v>132.56821231204216</v>
      </c>
      <c r="L1585" s="283">
        <f>(SUM(O1585:Q1585)+(K1585+SUM(M1585:Q1585))*(INDEX($U$1579:$AB$1579,MATCH(Notes!$C$16,$U$3:$AB$3,0))-100%))*$L$1579</f>
        <v>184.47</v>
      </c>
      <c r="M1585" s="286"/>
      <c r="N1585" s="286"/>
      <c r="O1585" s="285">
        <v>164.72</v>
      </c>
      <c r="P1585" s="311">
        <f t="shared" si="615"/>
        <v>19.75</v>
      </c>
      <c r="Q1585" s="285"/>
      <c r="R1585" s="278"/>
      <c r="S1585" s="278"/>
      <c r="T1585" s="278"/>
    </row>
    <row r="1586" spans="1:28" s="305" customFormat="1" hidden="1" outlineLevel="2" x14ac:dyDescent="0.25">
      <c r="A1586" s="278"/>
      <c r="B1586" s="279" t="str">
        <f t="shared" si="616"/>
        <v>entrytrilockaverage</v>
      </c>
      <c r="C1586" s="278" t="s">
        <v>792</v>
      </c>
      <c r="D1586" s="278" t="s">
        <v>784</v>
      </c>
      <c r="E1586" s="278"/>
      <c r="F1586" s="278" t="s">
        <v>543</v>
      </c>
      <c r="G1586" s="278" t="s">
        <v>5</v>
      </c>
      <c r="H1586" s="310">
        <v>1.6499164631795398</v>
      </c>
      <c r="I1586" s="280">
        <f t="shared" si="617"/>
        <v>133.0162652615345</v>
      </c>
      <c r="J1586" s="281">
        <f t="shared" si="618"/>
        <v>150.85186222850533</v>
      </c>
      <c r="K1586" s="282">
        <f>IF(Notes!$B$9="Domestic",I1586, IF(Notes!$B$9="Commercial",J1586))*$K$1579</f>
        <v>150.85186222850533</v>
      </c>
      <c r="L1586" s="283">
        <f>(SUM(O1586:Q1586)+(K1586+SUM(M1586:Q1586))*(INDEX($U$1579:$AB$1579,MATCH(Notes!$C$16,$U$3:$AB$3,0))-100%))*$L$1579</f>
        <v>181</v>
      </c>
      <c r="M1586" s="286"/>
      <c r="N1586" s="286"/>
      <c r="O1586" s="285">
        <v>181</v>
      </c>
      <c r="P1586" s="285"/>
      <c r="Q1586" s="285"/>
      <c r="R1586" s="278"/>
      <c r="S1586" s="278"/>
      <c r="T1586" s="278"/>
    </row>
    <row r="1587" spans="1:28" s="305" customFormat="1" hidden="1" outlineLevel="2" x14ac:dyDescent="0.25">
      <c r="A1587" s="278"/>
      <c r="B1587" s="279" t="str">
        <f t="shared" si="616"/>
        <v>entrytrilockquality</v>
      </c>
      <c r="C1587" s="278" t="s">
        <v>792</v>
      </c>
      <c r="D1587" s="278" t="s">
        <v>784</v>
      </c>
      <c r="E1587" s="278"/>
      <c r="F1587" s="278" t="s">
        <v>544</v>
      </c>
      <c r="G1587" s="278" t="s">
        <v>5</v>
      </c>
      <c r="H1587" s="310">
        <v>1.6499164631795398</v>
      </c>
      <c r="I1587" s="280">
        <f t="shared" si="617"/>
        <v>133.0162652615345</v>
      </c>
      <c r="J1587" s="281">
        <f t="shared" si="618"/>
        <v>150.85186222850533</v>
      </c>
      <c r="K1587" s="282">
        <f>IF(Notes!$B$9="Domestic",I1587, IF(Notes!$B$9="Commercial",J1587))*$K$1579</f>
        <v>150.85186222850533</v>
      </c>
      <c r="L1587" s="283">
        <f>(SUM(O1587:Q1587)+(K1587+SUM(M1587:Q1587))*(INDEX($U$1579:$AB$1579,MATCH(Notes!$C$16,$U$3:$AB$3,0))-100%))*$L$1579</f>
        <v>252.73</v>
      </c>
      <c r="M1587" s="286"/>
      <c r="N1587" s="286"/>
      <c r="O1587" s="285">
        <v>252.73</v>
      </c>
      <c r="P1587" s="285"/>
      <c r="Q1587" s="285"/>
      <c r="R1587" s="278"/>
      <c r="S1587" s="278"/>
      <c r="T1587" s="278"/>
    </row>
    <row r="1588" spans="1:28" s="305" customFormat="1" hidden="1" outlineLevel="2" x14ac:dyDescent="0.25">
      <c r="A1588" s="278"/>
      <c r="B1588" s="279" t="str">
        <f t="shared" si="616"/>
        <v>entrytrilockprestige</v>
      </c>
      <c r="C1588" s="278" t="s">
        <v>792</v>
      </c>
      <c r="D1588" s="278" t="s">
        <v>784</v>
      </c>
      <c r="E1588" s="278"/>
      <c r="F1588" s="278" t="s">
        <v>545</v>
      </c>
      <c r="G1588" s="278" t="s">
        <v>5</v>
      </c>
      <c r="H1588" s="310">
        <v>1.8998843336332087</v>
      </c>
      <c r="I1588" s="280">
        <f t="shared" si="617"/>
        <v>153.16867497750928</v>
      </c>
      <c r="J1588" s="281">
        <f t="shared" si="618"/>
        <v>173.70642462408429</v>
      </c>
      <c r="K1588" s="282">
        <f>IF(Notes!$B$9="Domestic",I1588, IF(Notes!$B$9="Commercial",J1588))*$K$1579</f>
        <v>173.70642462408429</v>
      </c>
      <c r="L1588" s="283">
        <f>(SUM(O1588:Q1588)+(K1588+SUM(M1588:Q1588))*(INDEX($U$1579:$AB$1579,MATCH(Notes!$C$16,$U$3:$AB$3,0))-100%))*$L$1579</f>
        <v>435.45</v>
      </c>
      <c r="M1588" s="286"/>
      <c r="N1588" s="286"/>
      <c r="O1588" s="285">
        <v>435.45</v>
      </c>
      <c r="P1588" s="285"/>
      <c r="Q1588" s="285"/>
      <c r="R1588" s="278"/>
      <c r="S1588" s="278"/>
      <c r="T1588" s="278"/>
    </row>
    <row r="1589" spans="1:28" s="305" customFormat="1" hidden="1" outlineLevel="2" x14ac:dyDescent="0.25">
      <c r="A1589" s="278"/>
      <c r="B1589" s="279" t="str">
        <f t="shared" si="616"/>
        <v>entrycombinedaverage</v>
      </c>
      <c r="C1589" s="278" t="s">
        <v>792</v>
      </c>
      <c r="D1589" s="278" t="s">
        <v>783</v>
      </c>
      <c r="E1589" s="278"/>
      <c r="F1589" s="278" t="s">
        <v>543</v>
      </c>
      <c r="G1589" s="278" t="s">
        <v>5</v>
      </c>
      <c r="H1589" s="310">
        <v>1.7499036113610076</v>
      </c>
      <c r="I1589" s="280">
        <f t="shared" si="617"/>
        <v>141.07722914792444</v>
      </c>
      <c r="J1589" s="281">
        <f t="shared" si="618"/>
        <v>159.99368718673693</v>
      </c>
      <c r="K1589" s="282">
        <f>IF(Notes!$B$9="Domestic",I1589, IF(Notes!$B$9="Commercial",J1589))*$K$1579</f>
        <v>159.99368718673693</v>
      </c>
      <c r="L1589" s="283">
        <f>(SUM(O1589:Q1589)+(K1589+SUM(M1589:Q1589))*(INDEX($U$1579:$AB$1579,MATCH(Notes!$C$16,$U$3:$AB$3,0))-100%))*$L$1579</f>
        <v>81.819999999999993</v>
      </c>
      <c r="M1589" s="286"/>
      <c r="N1589" s="286"/>
      <c r="O1589" s="285">
        <v>81.819999999999993</v>
      </c>
      <c r="P1589" s="285"/>
      <c r="Q1589" s="285"/>
      <c r="R1589" s="278"/>
      <c r="S1589" s="278"/>
      <c r="T1589" s="278"/>
    </row>
    <row r="1590" spans="1:28" s="305" customFormat="1" hidden="1" outlineLevel="2" x14ac:dyDescent="0.25">
      <c r="A1590" s="278"/>
      <c r="B1590" s="279" t="str">
        <f t="shared" si="616"/>
        <v>entrycombinedquality</v>
      </c>
      <c r="C1590" s="278" t="s">
        <v>792</v>
      </c>
      <c r="D1590" s="278" t="s">
        <v>783</v>
      </c>
      <c r="E1590" s="278"/>
      <c r="F1590" s="278" t="s">
        <v>544</v>
      </c>
      <c r="G1590" s="278" t="s">
        <v>5</v>
      </c>
      <c r="H1590" s="310">
        <v>1.7499036113610076</v>
      </c>
      <c r="I1590" s="280">
        <f t="shared" si="617"/>
        <v>141.07722914792444</v>
      </c>
      <c r="J1590" s="281">
        <f t="shared" si="618"/>
        <v>159.99368718673693</v>
      </c>
      <c r="K1590" s="282">
        <f>IF(Notes!$B$9="Domestic",I1590, IF(Notes!$B$9="Commercial",J1590))*$K$1579</f>
        <v>159.99368718673693</v>
      </c>
      <c r="L1590" s="283">
        <f>(SUM(O1590:Q1590)+(K1590+SUM(M1590:Q1590))*(INDEX($U$1579:$AB$1579,MATCH(Notes!$C$16,$U$3:$AB$3,0))-100%))*$L$1579</f>
        <v>176.64</v>
      </c>
      <c r="M1590" s="286"/>
      <c r="N1590" s="286"/>
      <c r="O1590" s="285">
        <v>176.64</v>
      </c>
      <c r="P1590" s="285"/>
      <c r="Q1590" s="285"/>
      <c r="R1590" s="278"/>
      <c r="S1590" s="278"/>
      <c r="T1590" s="278"/>
    </row>
    <row r="1591" spans="1:28" s="305" customFormat="1" hidden="1" outlineLevel="2" x14ac:dyDescent="0.25">
      <c r="A1591" s="278"/>
      <c r="B1591" s="279" t="str">
        <f t="shared" si="616"/>
        <v>entrycombinedprestige</v>
      </c>
      <c r="C1591" s="278" t="s">
        <v>792</v>
      </c>
      <c r="D1591" s="278" t="s">
        <v>783</v>
      </c>
      <c r="E1591" s="278"/>
      <c r="F1591" s="278" t="s">
        <v>545</v>
      </c>
      <c r="G1591" s="278" t="s">
        <v>5</v>
      </c>
      <c r="H1591" s="310">
        <v>1.9998714818146766</v>
      </c>
      <c r="I1591" s="280">
        <f t="shared" si="617"/>
        <v>161.22963886389923</v>
      </c>
      <c r="J1591" s="281">
        <f t="shared" si="618"/>
        <v>182.8482495823159</v>
      </c>
      <c r="K1591" s="282">
        <f>IF(Notes!$B$9="Domestic",I1591, IF(Notes!$B$9="Commercial",J1591))*$K$1579</f>
        <v>182.8482495823159</v>
      </c>
      <c r="L1591" s="283">
        <f>(SUM(O1591:Q1591)+(K1591+SUM(M1591:Q1591))*(INDEX($U$1579:$AB$1579,MATCH(Notes!$C$16,$U$3:$AB$3,0))-100%))*$L$1579</f>
        <v>399.09</v>
      </c>
      <c r="M1591" s="286"/>
      <c r="N1591" s="286"/>
      <c r="O1591" s="285">
        <v>399.09</v>
      </c>
      <c r="P1591" s="285"/>
      <c r="Q1591" s="285"/>
      <c r="R1591" s="278"/>
      <c r="S1591" s="278"/>
      <c r="T1591" s="278"/>
    </row>
    <row r="1592" spans="1:28" ht="21" hidden="1" outlineLevel="1" collapsed="1" x14ac:dyDescent="0.25">
      <c r="A1592" s="299" t="s">
        <v>2163</v>
      </c>
      <c r="B1592" s="299"/>
      <c r="C1592" s="299"/>
      <c r="D1592" s="299"/>
      <c r="E1592" s="299"/>
      <c r="F1592" s="299"/>
      <c r="G1592" s="299"/>
      <c r="H1592" s="348"/>
      <c r="I1592" s="299"/>
      <c r="J1592" s="299"/>
      <c r="K1592" s="299"/>
      <c r="L1592" s="299"/>
      <c r="M1592" s="299"/>
      <c r="N1592" s="299"/>
      <c r="O1592" s="299"/>
      <c r="P1592" s="299"/>
      <c r="Q1592" s="299"/>
      <c r="R1592" s="299"/>
      <c r="S1592" s="299"/>
      <c r="T1592" s="299"/>
      <c r="U1592" s="299"/>
      <c r="V1592" s="299"/>
      <c r="W1592" s="299"/>
      <c r="X1592" s="299"/>
      <c r="Y1592" s="299"/>
      <c r="Z1592" s="299"/>
      <c r="AA1592" s="299"/>
      <c r="AB1592" s="299"/>
    </row>
    <row r="1593" spans="1:28" ht="15.75" hidden="1" outlineLevel="1" x14ac:dyDescent="0.25">
      <c r="A1593" s="291"/>
      <c r="B1593" s="291"/>
      <c r="C1593" s="291"/>
      <c r="D1593" s="291"/>
      <c r="E1593" s="291"/>
      <c r="F1593" s="291"/>
      <c r="G1593" s="291"/>
      <c r="H1593" s="325"/>
      <c r="I1593" s="291"/>
      <c r="J1593" s="291"/>
      <c r="K1593" s="291">
        <f>K$2</f>
        <v>1</v>
      </c>
      <c r="L1593" s="291">
        <f>L$2</f>
        <v>1</v>
      </c>
      <c r="M1593" s="291"/>
      <c r="N1593" s="291"/>
      <c r="O1593" s="303"/>
      <c r="P1593" s="303"/>
      <c r="Q1593" s="303"/>
      <c r="R1593" s="291"/>
      <c r="S1593" s="291"/>
      <c r="T1593" s="291"/>
      <c r="U1593" s="381">
        <f t="shared" ref="U1593:AB1593" si="619">U$1093</f>
        <v>0.97101449275362317</v>
      </c>
      <c r="V1593" s="381">
        <f t="shared" si="619"/>
        <v>1</v>
      </c>
      <c r="W1593" s="381">
        <f t="shared" si="619"/>
        <v>1.1159420289855073</v>
      </c>
      <c r="X1593" s="381">
        <f t="shared" si="619"/>
        <v>1.0905797101449275</v>
      </c>
      <c r="Y1593" s="381">
        <f t="shared" si="619"/>
        <v>1.1956521739130435</v>
      </c>
      <c r="Z1593" s="381">
        <f t="shared" si="619"/>
        <v>0.89130434782608692</v>
      </c>
      <c r="AA1593" s="381">
        <f t="shared" si="619"/>
        <v>1.3586956521739131</v>
      </c>
      <c r="AB1593" s="381">
        <f t="shared" si="619"/>
        <v>1.0253623188405796</v>
      </c>
    </row>
    <row r="1594" spans="1:28" s="305" customFormat="1" hidden="1" outlineLevel="2" x14ac:dyDescent="0.25">
      <c r="A1594" s="278"/>
      <c r="B1594" s="279" t="str">
        <f>C1594&amp;D1594&amp;E1594&amp;F1594</f>
        <v>door stop &amp; catchaverage</v>
      </c>
      <c r="C1594" s="278" t="s">
        <v>2162</v>
      </c>
      <c r="D1594" s="278"/>
      <c r="E1594" s="278"/>
      <c r="F1594" s="278" t="s">
        <v>543</v>
      </c>
      <c r="G1594" s="278" t="s">
        <v>5</v>
      </c>
      <c r="H1594" s="310">
        <v>0.16990104099730113</v>
      </c>
      <c r="I1594" s="280">
        <f>$I$2*H1594</f>
        <v>13.697421925202418</v>
      </c>
      <c r="J1594" s="281">
        <f>$J$2*H1594</f>
        <v>15.534052178383243</v>
      </c>
      <c r="K1594" s="282">
        <f>IF(Notes!$B$9="Domestic",I1594, IF(Notes!$B$9="Commercial",J1594))*$K$1593</f>
        <v>15.534052178383243</v>
      </c>
      <c r="L1594" s="283">
        <f>(SUM(O1594:Q1594)+(K1594+SUM(M1594:Q1594))*(INDEX($U$1593:$AB$1593,MATCH(Notes!$C$16,$U$3:$AB$3,0))-100%))*$L$1593</f>
        <v>6.9</v>
      </c>
      <c r="M1594" s="286"/>
      <c r="N1594" s="286"/>
      <c r="O1594" s="285">
        <v>6.9</v>
      </c>
      <c r="P1594" s="285"/>
      <c r="Q1594" s="285"/>
      <c r="R1594" s="278"/>
      <c r="S1594" s="278"/>
      <c r="T1594" s="278"/>
    </row>
    <row r="1595" spans="1:28" s="305" customFormat="1" hidden="1" outlineLevel="2" x14ac:dyDescent="0.25">
      <c r="A1595" s="278"/>
      <c r="B1595" s="279" t="str">
        <f t="shared" ref="B1595:B1596" si="620">C1595&amp;D1595&amp;E1595&amp;F1595</f>
        <v>door stop &amp; catchquality</v>
      </c>
      <c r="C1595" s="278" t="s">
        <v>2162</v>
      </c>
      <c r="D1595" s="278"/>
      <c r="E1595" s="278"/>
      <c r="F1595" s="278" t="s">
        <v>544</v>
      </c>
      <c r="G1595" s="278" t="s">
        <v>5</v>
      </c>
      <c r="H1595" s="310">
        <v>0.16990104099730113</v>
      </c>
      <c r="I1595" s="280">
        <f t="shared" ref="I1595:I1596" si="621">$I$2*H1595</f>
        <v>13.697421925202418</v>
      </c>
      <c r="J1595" s="281">
        <f t="shared" ref="J1595:J1596" si="622">$J$2*H1595</f>
        <v>15.534052178383243</v>
      </c>
      <c r="K1595" s="282">
        <f>IF(Notes!$B$9="Domestic",I1595, IF(Notes!$B$9="Commercial",J1595))*$K$1593</f>
        <v>15.534052178383243</v>
      </c>
      <c r="L1595" s="283">
        <f>(SUM(O1595:Q1595)+(K1595+SUM(M1595:Q1595))*(INDEX($U$1593:$AB$1593,MATCH(Notes!$C$16,$U$3:$AB$3,0))-100%))*$L$1593</f>
        <v>11.15</v>
      </c>
      <c r="M1595" s="286"/>
      <c r="N1595" s="286"/>
      <c r="O1595" s="285">
        <v>11.15</v>
      </c>
      <c r="P1595" s="285"/>
      <c r="Q1595" s="285"/>
      <c r="R1595" s="278"/>
      <c r="S1595" s="278"/>
      <c r="T1595" s="278"/>
    </row>
    <row r="1596" spans="1:28" s="305" customFormat="1" hidden="1" outlineLevel="2" x14ac:dyDescent="0.25">
      <c r="A1596" s="278"/>
      <c r="B1596" s="279" t="str">
        <f t="shared" si="620"/>
        <v>door stop &amp; catchprestige</v>
      </c>
      <c r="C1596" s="278" t="s">
        <v>2162</v>
      </c>
      <c r="D1596" s="278"/>
      <c r="E1596" s="278"/>
      <c r="F1596" s="278" t="s">
        <v>545</v>
      </c>
      <c r="G1596" s="278" t="s">
        <v>5</v>
      </c>
      <c r="H1596" s="310">
        <v>0.16990104099730113</v>
      </c>
      <c r="I1596" s="280">
        <f t="shared" si="621"/>
        <v>13.697421925202418</v>
      </c>
      <c r="J1596" s="281">
        <f t="shared" si="622"/>
        <v>15.534052178383243</v>
      </c>
      <c r="K1596" s="282">
        <f>IF(Notes!$B$9="Domestic",I1596, IF(Notes!$B$9="Commercial",J1596))*$K$1593</f>
        <v>15.534052178383243</v>
      </c>
      <c r="L1596" s="283">
        <f>(SUM(O1596:Q1596)+(K1596+SUM(M1596:Q1596))*(INDEX($U$1593:$AB$1593,MATCH(Notes!$C$16,$U$3:$AB$3,0))-100%))*$L$1593</f>
        <v>28.06</v>
      </c>
      <c r="M1596" s="286"/>
      <c r="N1596" s="286"/>
      <c r="O1596" s="285">
        <v>28.06</v>
      </c>
      <c r="P1596" s="285"/>
      <c r="Q1596" s="285"/>
      <c r="R1596" s="278"/>
      <c r="S1596" s="278"/>
      <c r="T1596" s="278"/>
    </row>
    <row r="1597" spans="1:28" ht="21" hidden="1" outlineLevel="1" collapsed="1" x14ac:dyDescent="0.25">
      <c r="A1597" s="299" t="s">
        <v>2171</v>
      </c>
      <c r="B1597" s="299"/>
      <c r="C1597" s="299"/>
      <c r="D1597" s="299"/>
      <c r="E1597" s="299"/>
      <c r="F1597" s="299"/>
      <c r="G1597" s="299"/>
      <c r="H1597" s="348"/>
      <c r="I1597" s="299"/>
      <c r="J1597" s="299"/>
      <c r="K1597" s="299"/>
      <c r="L1597" s="299"/>
      <c r="M1597" s="299"/>
      <c r="N1597" s="299"/>
      <c r="O1597" s="299"/>
      <c r="P1597" s="299"/>
      <c r="Q1597" s="299"/>
      <c r="R1597" s="299"/>
      <c r="S1597" s="299"/>
      <c r="T1597" s="299"/>
      <c r="U1597" s="299"/>
      <c r="V1597" s="299"/>
      <c r="W1597" s="299"/>
      <c r="X1597" s="299"/>
      <c r="Y1597" s="299"/>
      <c r="Z1597" s="299"/>
      <c r="AA1597" s="299"/>
      <c r="AB1597" s="299"/>
    </row>
    <row r="1598" spans="1:28" ht="15.75" hidden="1" outlineLevel="1" x14ac:dyDescent="0.25">
      <c r="A1598" s="291"/>
      <c r="B1598" s="291"/>
      <c r="C1598" s="291"/>
      <c r="D1598" s="291"/>
      <c r="E1598" s="291"/>
      <c r="F1598" s="291"/>
      <c r="G1598" s="291"/>
      <c r="H1598" s="325"/>
      <c r="I1598" s="291"/>
      <c r="J1598" s="291"/>
      <c r="K1598" s="291">
        <f>K$2</f>
        <v>1</v>
      </c>
      <c r="L1598" s="291">
        <f>L$2</f>
        <v>1</v>
      </c>
      <c r="M1598" s="291"/>
      <c r="N1598" s="291"/>
      <c r="O1598" s="303"/>
      <c r="P1598" s="303"/>
      <c r="Q1598" s="303"/>
      <c r="R1598" s="291"/>
      <c r="S1598" s="291"/>
      <c r="T1598" s="291"/>
      <c r="U1598" s="291">
        <f>105/110.5</f>
        <v>0.95022624434389136</v>
      </c>
      <c r="V1598" s="291">
        <f>110.5/110.5</f>
        <v>1</v>
      </c>
      <c r="W1598" s="291">
        <f>108.5/110.5</f>
        <v>0.98190045248868774</v>
      </c>
      <c r="X1598" s="291">
        <f>113/110.5</f>
        <v>1.0226244343891402</v>
      </c>
      <c r="Y1598" s="291">
        <f>119.5/110.5</f>
        <v>1.0814479638009049</v>
      </c>
      <c r="Z1598" s="291">
        <f t="shared" ref="Z1598:AB1598" si="623">110.5/110.5</f>
        <v>1</v>
      </c>
      <c r="AA1598" s="291">
        <f t="shared" si="623"/>
        <v>1</v>
      </c>
      <c r="AB1598" s="291">
        <f t="shared" si="623"/>
        <v>1</v>
      </c>
    </row>
    <row r="1599" spans="1:28" s="305" customFormat="1" hidden="1" outlineLevel="2" x14ac:dyDescent="0.25">
      <c r="A1599" s="278"/>
      <c r="B1599" s="279" t="str">
        <f>C1599&amp;D1599&amp;E1599&amp;F1599</f>
        <v>toilet roll holdersingleaverage</v>
      </c>
      <c r="C1599" s="278" t="s">
        <v>2172</v>
      </c>
      <c r="D1599" s="278"/>
      <c r="E1599" s="278" t="s">
        <v>2174</v>
      </c>
      <c r="F1599" s="278" t="s">
        <v>543</v>
      </c>
      <c r="G1599" s="278" t="s">
        <v>5</v>
      </c>
      <c r="H1599" s="310">
        <v>0.22</v>
      </c>
      <c r="I1599" s="280">
        <f>$I$2*H1599</f>
        <v>17.7364</v>
      </c>
      <c r="J1599" s="281">
        <f>$J$2*H1599</f>
        <v>20.114600000000003</v>
      </c>
      <c r="K1599" s="282">
        <f>IF(Notes!$B$9="Domestic",I1599, IF(Notes!$B$9="Commercial",J1599))*$K$1598</f>
        <v>20.114600000000003</v>
      </c>
      <c r="L1599" s="283">
        <f>(SUM(O1599:Q1599)+(K1599+SUM(M1599:Q1599))*(INDEX($U$1598:$AB$1598,MATCH(Notes!$C$16,$U$3:$AB$3,0))-100%))*$L$1598</f>
        <v>62.95</v>
      </c>
      <c r="M1599" s="286"/>
      <c r="N1599" s="286"/>
      <c r="O1599" s="285">
        <v>62.95</v>
      </c>
      <c r="P1599" s="285"/>
      <c r="Q1599" s="285"/>
      <c r="R1599" s="278"/>
      <c r="S1599" s="278"/>
      <c r="T1599" s="278"/>
    </row>
    <row r="1600" spans="1:28" s="305" customFormat="1" hidden="1" outlineLevel="2" x14ac:dyDescent="0.25">
      <c r="A1600" s="278"/>
      <c r="B1600" s="279" t="str">
        <f t="shared" ref="B1600:B1649" si="624">C1600&amp;D1600&amp;E1600&amp;F1600</f>
        <v>toilet roll holdersinglequality</v>
      </c>
      <c r="C1600" s="278" t="s">
        <v>2172</v>
      </c>
      <c r="D1600" s="278"/>
      <c r="E1600" s="278" t="s">
        <v>2174</v>
      </c>
      <c r="F1600" s="278" t="s">
        <v>544</v>
      </c>
      <c r="G1600" s="278" t="s">
        <v>5</v>
      </c>
      <c r="H1600" s="310">
        <v>0.22</v>
      </c>
      <c r="I1600" s="280">
        <f t="shared" ref="I1600:I1602" si="625">$I$2*H1600</f>
        <v>17.7364</v>
      </c>
      <c r="J1600" s="281">
        <f t="shared" ref="J1600:J1649" si="626">$J$2*H1600</f>
        <v>20.114600000000003</v>
      </c>
      <c r="K1600" s="282">
        <f>IF(Notes!$B$9="Domestic",I1600, IF(Notes!$B$9="Commercial",J1600))*$K$1598</f>
        <v>20.114600000000003</v>
      </c>
      <c r="L1600" s="283">
        <f>(SUM(O1600:Q1600)+(K1600+SUM(M1600:Q1600))*(INDEX($U$1598:$AB$1598,MATCH(Notes!$C$16,$U$3:$AB$3,0))-100%))*$L$1598</f>
        <v>98.4</v>
      </c>
      <c r="M1600" s="286"/>
      <c r="N1600" s="286"/>
      <c r="O1600" s="285">
        <v>98.4</v>
      </c>
      <c r="P1600" s="285"/>
      <c r="Q1600" s="285"/>
      <c r="R1600" s="278"/>
      <c r="S1600" s="278"/>
      <c r="T1600" s="278"/>
    </row>
    <row r="1601" spans="1:20" s="305" customFormat="1" hidden="1" outlineLevel="2" x14ac:dyDescent="0.25">
      <c r="A1601" s="278"/>
      <c r="B1601" s="279" t="str">
        <f t="shared" si="624"/>
        <v>toilet roll holdersingleprestige</v>
      </c>
      <c r="C1601" s="278" t="s">
        <v>2172</v>
      </c>
      <c r="D1601" s="278"/>
      <c r="E1601" s="278" t="s">
        <v>2174</v>
      </c>
      <c r="F1601" s="278" t="s">
        <v>545</v>
      </c>
      <c r="G1601" s="278" t="s">
        <v>5</v>
      </c>
      <c r="H1601" s="310">
        <v>0.22</v>
      </c>
      <c r="I1601" s="280">
        <f t="shared" si="625"/>
        <v>17.7364</v>
      </c>
      <c r="J1601" s="281">
        <f t="shared" si="626"/>
        <v>20.114600000000003</v>
      </c>
      <c r="K1601" s="282">
        <f>IF(Notes!$B$9="Domestic",I1601, IF(Notes!$B$9="Commercial",J1601))*$K$1598</f>
        <v>20.114600000000003</v>
      </c>
      <c r="L1601" s="283">
        <f>(SUM(O1601:Q1601)+(K1601+SUM(M1601:Q1601))*(INDEX($U$1598:$AB$1598,MATCH(Notes!$C$16,$U$3:$AB$3,0))-100%))*$L$1598</f>
        <v>146.65</v>
      </c>
      <c r="M1601" s="286"/>
      <c r="N1601" s="286"/>
      <c r="O1601" s="285">
        <v>146.65</v>
      </c>
      <c r="P1601" s="285"/>
      <c r="Q1601" s="285"/>
      <c r="R1601" s="278"/>
      <c r="S1601" s="278"/>
      <c r="T1601" s="278"/>
    </row>
    <row r="1602" spans="1:20" s="305" customFormat="1" hidden="1" outlineLevel="2" x14ac:dyDescent="0.25">
      <c r="A1602" s="278"/>
      <c r="B1602" s="279" t="str">
        <f t="shared" si="624"/>
        <v>toilet roll holderdoubleaverage</v>
      </c>
      <c r="C1602" s="278" t="s">
        <v>2172</v>
      </c>
      <c r="D1602" s="278"/>
      <c r="E1602" s="278" t="s">
        <v>2175</v>
      </c>
      <c r="F1602" s="278" t="s">
        <v>543</v>
      </c>
      <c r="G1602" s="278" t="s">
        <v>5</v>
      </c>
      <c r="H1602" s="310">
        <v>0.25</v>
      </c>
      <c r="I1602" s="280">
        <f t="shared" si="625"/>
        <v>20.155000000000001</v>
      </c>
      <c r="J1602" s="281">
        <f t="shared" si="626"/>
        <v>22.857500000000002</v>
      </c>
      <c r="K1602" s="282">
        <f>IF(Notes!$B$9="Domestic",I1602, IF(Notes!$B$9="Commercial",J1602))*$K$1598</f>
        <v>22.857500000000002</v>
      </c>
      <c r="L1602" s="283">
        <f>(SUM(O1602:Q1602)+(K1602+SUM(M1602:Q1602))*(INDEX($U$1598:$AB$1598,MATCH(Notes!$C$16,$U$3:$AB$3,0))-100%))*$L$1598</f>
        <v>65.22</v>
      </c>
      <c r="M1602" s="286"/>
      <c r="N1602" s="286"/>
      <c r="O1602" s="285">
        <v>65.22</v>
      </c>
      <c r="P1602" s="285"/>
      <c r="Q1602" s="285"/>
      <c r="R1602" s="278"/>
      <c r="S1602" s="278"/>
      <c r="T1602" s="278"/>
    </row>
    <row r="1603" spans="1:20" s="305" customFormat="1" hidden="1" outlineLevel="2" x14ac:dyDescent="0.25">
      <c r="A1603" s="278"/>
      <c r="B1603" s="279" t="str">
        <f t="shared" si="624"/>
        <v>toilet roll holderdoublequality</v>
      </c>
      <c r="C1603" s="278" t="s">
        <v>2172</v>
      </c>
      <c r="D1603" s="278"/>
      <c r="E1603" s="278" t="s">
        <v>2175</v>
      </c>
      <c r="F1603" s="278" t="s">
        <v>544</v>
      </c>
      <c r="G1603" s="278" t="s">
        <v>5</v>
      </c>
      <c r="H1603" s="310">
        <v>0.25</v>
      </c>
      <c r="I1603" s="280">
        <f>$I$2*H1603</f>
        <v>20.155000000000001</v>
      </c>
      <c r="J1603" s="281">
        <f t="shared" si="626"/>
        <v>22.857500000000002</v>
      </c>
      <c r="K1603" s="282">
        <f>IF(Notes!$B$9="Domestic",I1603, IF(Notes!$B$9="Commercial",J1603))*$K$1598</f>
        <v>22.857500000000002</v>
      </c>
      <c r="L1603" s="283">
        <f>(SUM(O1603:Q1603)+(K1603+SUM(M1603:Q1603))*(INDEX($U$1598:$AB$1598,MATCH(Notes!$C$16,$U$3:$AB$3,0))-100%))*$L$1598</f>
        <v>122.04</v>
      </c>
      <c r="M1603" s="286"/>
      <c r="N1603" s="286"/>
      <c r="O1603" s="285">
        <v>122.04</v>
      </c>
      <c r="P1603" s="285"/>
      <c r="Q1603" s="285"/>
      <c r="R1603" s="278"/>
      <c r="S1603" s="278"/>
      <c r="T1603" s="278"/>
    </row>
    <row r="1604" spans="1:20" s="305" customFormat="1" hidden="1" outlineLevel="2" x14ac:dyDescent="0.25">
      <c r="A1604" s="278"/>
      <c r="B1604" s="279" t="str">
        <f t="shared" si="624"/>
        <v>toilet roll holderdoubleprestige</v>
      </c>
      <c r="C1604" s="278" t="s">
        <v>2172</v>
      </c>
      <c r="D1604" s="278"/>
      <c r="E1604" s="278" t="s">
        <v>2175</v>
      </c>
      <c r="F1604" s="278" t="s">
        <v>545</v>
      </c>
      <c r="G1604" s="278" t="s">
        <v>5</v>
      </c>
      <c r="H1604" s="310">
        <v>0.25</v>
      </c>
      <c r="I1604" s="280">
        <f t="shared" ref="I1604:I1649" si="627">$I$2*H1604</f>
        <v>20.155000000000001</v>
      </c>
      <c r="J1604" s="281">
        <f t="shared" si="626"/>
        <v>22.857500000000002</v>
      </c>
      <c r="K1604" s="282">
        <f>IF(Notes!$B$9="Domestic",I1604, IF(Notes!$B$9="Commercial",J1604))*$K$1598</f>
        <v>22.857500000000002</v>
      </c>
      <c r="L1604" s="283">
        <f>(SUM(O1604:Q1604)+(K1604+SUM(M1604:Q1604))*(INDEX($U$1598:$AB$1598,MATCH(Notes!$C$16,$U$3:$AB$3,0))-100%))*$L$1598</f>
        <v>212.1</v>
      </c>
      <c r="M1604" s="286"/>
      <c r="N1604" s="286"/>
      <c r="O1604" s="285">
        <v>212.1</v>
      </c>
      <c r="P1604" s="285"/>
      <c r="Q1604" s="285"/>
      <c r="R1604" s="278"/>
      <c r="S1604" s="278"/>
      <c r="T1604" s="278"/>
    </row>
    <row r="1605" spans="1:20" s="305" customFormat="1" hidden="1" outlineLevel="2" x14ac:dyDescent="0.25">
      <c r="A1605" s="278"/>
      <c r="B1605" s="279" t="str">
        <f>C1605&amp;D1605&amp;E1605&amp;F1605</f>
        <v>toilet roll dispenserplasticaverage</v>
      </c>
      <c r="C1605" s="278" t="s">
        <v>2178</v>
      </c>
      <c r="D1605" s="278"/>
      <c r="E1605" s="278" t="s">
        <v>2179</v>
      </c>
      <c r="F1605" s="278" t="s">
        <v>543</v>
      </c>
      <c r="G1605" s="278" t="s">
        <v>5</v>
      </c>
      <c r="H1605" s="310">
        <v>0.35</v>
      </c>
      <c r="I1605" s="280">
        <f>$I$2*H1605</f>
        <v>28.216999999999999</v>
      </c>
      <c r="J1605" s="281">
        <f>$J$2*H1605</f>
        <v>32.000500000000002</v>
      </c>
      <c r="K1605" s="282">
        <f>IF(Notes!$B$9="Domestic",I1605, IF(Notes!$B$9="Commercial",J1605))*$K$1598</f>
        <v>32.000500000000002</v>
      </c>
      <c r="L1605" s="283">
        <f>(SUM(O1605:Q1605)+(K1605+SUM(M1605:Q1605))*(INDEX($U$1598:$AB$1598,MATCH(Notes!$C$16,$U$3:$AB$3,0))-100%))*$L$1598</f>
        <v>44.36</v>
      </c>
      <c r="M1605" s="286"/>
      <c r="N1605" s="286"/>
      <c r="O1605" s="285">
        <v>44.36</v>
      </c>
      <c r="P1605" s="285"/>
      <c r="Q1605" s="285"/>
      <c r="R1605" s="278"/>
      <c r="S1605" s="278"/>
      <c r="T1605" s="278"/>
    </row>
    <row r="1606" spans="1:20" s="305" customFormat="1" hidden="1" outlineLevel="2" x14ac:dyDescent="0.25">
      <c r="A1606" s="278"/>
      <c r="B1606" s="279" t="str">
        <f t="shared" ref="B1606:B1610" si="628">C1606&amp;D1606&amp;E1606&amp;F1606</f>
        <v>toilet roll dispenserplasticquality</v>
      </c>
      <c r="C1606" s="278" t="s">
        <v>2178</v>
      </c>
      <c r="D1606" s="278"/>
      <c r="E1606" s="278" t="s">
        <v>2179</v>
      </c>
      <c r="F1606" s="278" t="s">
        <v>544</v>
      </c>
      <c r="G1606" s="278" t="s">
        <v>5</v>
      </c>
      <c r="H1606" s="310">
        <v>0.35</v>
      </c>
      <c r="I1606" s="280">
        <f t="shared" ref="I1606:I1608" si="629">$I$2*H1606</f>
        <v>28.216999999999999</v>
      </c>
      <c r="J1606" s="281">
        <f t="shared" ref="J1606:J1610" si="630">$J$2*H1606</f>
        <v>32.000500000000002</v>
      </c>
      <c r="K1606" s="282">
        <f>IF(Notes!$B$9="Domestic",I1606, IF(Notes!$B$9="Commercial",J1606))*$K$1598</f>
        <v>32.000500000000002</v>
      </c>
      <c r="L1606" s="283">
        <f>(SUM(O1606:Q1606)+(K1606+SUM(M1606:Q1606))*(INDEX($U$1598:$AB$1598,MATCH(Notes!$C$16,$U$3:$AB$3,0))-100%))*$L$1598</f>
        <v>64.209999999999994</v>
      </c>
      <c r="M1606" s="286"/>
      <c r="N1606" s="286"/>
      <c r="O1606" s="285">
        <v>64.209999999999994</v>
      </c>
      <c r="P1606" s="285"/>
      <c r="Q1606" s="285"/>
      <c r="R1606" s="278"/>
      <c r="S1606" s="278"/>
      <c r="T1606" s="278"/>
    </row>
    <row r="1607" spans="1:20" s="305" customFormat="1" hidden="1" outlineLevel="2" x14ac:dyDescent="0.25">
      <c r="A1607" s="278"/>
      <c r="B1607" s="279" t="str">
        <f t="shared" si="628"/>
        <v>toilet roll dispenserplasticprestige</v>
      </c>
      <c r="C1607" s="278" t="s">
        <v>2178</v>
      </c>
      <c r="D1607" s="278"/>
      <c r="E1607" s="278" t="s">
        <v>2179</v>
      </c>
      <c r="F1607" s="278" t="s">
        <v>545</v>
      </c>
      <c r="G1607" s="278" t="s">
        <v>5</v>
      </c>
      <c r="H1607" s="310">
        <v>0.35</v>
      </c>
      <c r="I1607" s="280">
        <f t="shared" si="629"/>
        <v>28.216999999999999</v>
      </c>
      <c r="J1607" s="281">
        <f t="shared" si="630"/>
        <v>32.000500000000002</v>
      </c>
      <c r="K1607" s="282">
        <f>IF(Notes!$B$9="Domestic",I1607, IF(Notes!$B$9="Commercial",J1607))*$K$1598</f>
        <v>32.000500000000002</v>
      </c>
      <c r="L1607" s="283">
        <f>(SUM(O1607:Q1607)+(K1607+SUM(M1607:Q1607))*(INDEX($U$1598:$AB$1598,MATCH(Notes!$C$16,$U$3:$AB$3,0))-100%))*$L$1598</f>
        <v>103.68</v>
      </c>
      <c r="M1607" s="286"/>
      <c r="N1607" s="286"/>
      <c r="O1607" s="285">
        <v>103.68</v>
      </c>
      <c r="P1607" s="285"/>
      <c r="Q1607" s="285"/>
      <c r="R1607" s="278"/>
      <c r="S1607" s="278"/>
      <c r="T1607" s="278"/>
    </row>
    <row r="1608" spans="1:20" s="305" customFormat="1" hidden="1" outlineLevel="2" x14ac:dyDescent="0.25">
      <c r="A1608" s="278"/>
      <c r="B1608" s="279" t="str">
        <f t="shared" si="628"/>
        <v>toilet roll dispenserstainless steelaverage</v>
      </c>
      <c r="C1608" s="278" t="s">
        <v>2178</v>
      </c>
      <c r="D1608" s="278"/>
      <c r="E1608" s="278" t="s">
        <v>1011</v>
      </c>
      <c r="F1608" s="278" t="s">
        <v>543</v>
      </c>
      <c r="G1608" s="278" t="s">
        <v>5</v>
      </c>
      <c r="H1608" s="310">
        <v>0.35</v>
      </c>
      <c r="I1608" s="280">
        <f t="shared" si="629"/>
        <v>28.216999999999999</v>
      </c>
      <c r="J1608" s="281">
        <f t="shared" si="630"/>
        <v>32.000500000000002</v>
      </c>
      <c r="K1608" s="282">
        <f>IF(Notes!$B$9="Domestic",I1608, IF(Notes!$B$9="Commercial",J1608))*$K$1598</f>
        <v>32.000500000000002</v>
      </c>
      <c r="L1608" s="283">
        <f>(SUM(O1608:Q1608)+(K1608+SUM(M1608:Q1608))*(INDEX($U$1598:$AB$1598,MATCH(Notes!$C$16,$U$3:$AB$3,0))-100%))*$L$1598</f>
        <v>182.95</v>
      </c>
      <c r="M1608" s="286"/>
      <c r="N1608" s="286"/>
      <c r="O1608" s="285">
        <v>182.95</v>
      </c>
      <c r="P1608" s="285"/>
      <c r="Q1608" s="285"/>
      <c r="R1608" s="278"/>
      <c r="S1608" s="278"/>
      <c r="T1608" s="278"/>
    </row>
    <row r="1609" spans="1:20" s="305" customFormat="1" hidden="1" outlineLevel="2" x14ac:dyDescent="0.25">
      <c r="A1609" s="278"/>
      <c r="B1609" s="279" t="str">
        <f t="shared" si="628"/>
        <v>toilet roll dispenserstainless steelquality</v>
      </c>
      <c r="C1609" s="278" t="s">
        <v>2178</v>
      </c>
      <c r="D1609" s="278"/>
      <c r="E1609" s="278" t="s">
        <v>1011</v>
      </c>
      <c r="F1609" s="278" t="s">
        <v>544</v>
      </c>
      <c r="G1609" s="278" t="s">
        <v>5</v>
      </c>
      <c r="H1609" s="310">
        <v>0.35</v>
      </c>
      <c r="I1609" s="280">
        <f>$I$2*H1609</f>
        <v>28.216999999999999</v>
      </c>
      <c r="J1609" s="281">
        <f t="shared" si="630"/>
        <v>32.000500000000002</v>
      </c>
      <c r="K1609" s="282">
        <f>IF(Notes!$B$9="Domestic",I1609, IF(Notes!$B$9="Commercial",J1609))*$K$1598</f>
        <v>32.000500000000002</v>
      </c>
      <c r="L1609" s="283">
        <f>(SUM(O1609:Q1609)+(K1609+SUM(M1609:Q1609))*(INDEX($U$1598:$AB$1598,MATCH(Notes!$C$16,$U$3:$AB$3,0))-100%))*$L$1598</f>
        <v>290.22000000000003</v>
      </c>
      <c r="M1609" s="286"/>
      <c r="N1609" s="286"/>
      <c r="O1609" s="285">
        <v>290.22000000000003</v>
      </c>
      <c r="P1609" s="285"/>
      <c r="Q1609" s="285"/>
      <c r="R1609" s="278"/>
      <c r="S1609" s="278"/>
      <c r="T1609" s="278"/>
    </row>
    <row r="1610" spans="1:20" s="305" customFormat="1" hidden="1" outlineLevel="2" x14ac:dyDescent="0.25">
      <c r="A1610" s="278"/>
      <c r="B1610" s="279" t="str">
        <f t="shared" si="628"/>
        <v>toilet roll dispenserstainless steelprestige</v>
      </c>
      <c r="C1610" s="278" t="s">
        <v>2178</v>
      </c>
      <c r="D1610" s="278"/>
      <c r="E1610" s="278" t="s">
        <v>1011</v>
      </c>
      <c r="F1610" s="278" t="s">
        <v>545</v>
      </c>
      <c r="G1610" s="278" t="s">
        <v>5</v>
      </c>
      <c r="H1610" s="310">
        <v>0.35</v>
      </c>
      <c r="I1610" s="280">
        <f t="shared" ref="I1610" si="631">$I$2*H1610</f>
        <v>28.216999999999999</v>
      </c>
      <c r="J1610" s="281">
        <f t="shared" si="630"/>
        <v>32.000500000000002</v>
      </c>
      <c r="K1610" s="282">
        <f>IF(Notes!$B$9="Domestic",I1610, IF(Notes!$B$9="Commercial",J1610))*$K$1598</f>
        <v>32.000500000000002</v>
      </c>
      <c r="L1610" s="283">
        <f>(SUM(O1610:Q1610)+(K1610+SUM(M1610:Q1610))*(INDEX($U$1598:$AB$1598,MATCH(Notes!$C$16,$U$3:$AB$3,0))-100%))*$L$1598</f>
        <v>431.13</v>
      </c>
      <c r="M1610" s="286"/>
      <c r="N1610" s="286"/>
      <c r="O1610" s="285">
        <v>431.13</v>
      </c>
      <c r="P1610" s="285"/>
      <c r="Q1610" s="285"/>
      <c r="R1610" s="278"/>
      <c r="S1610" s="278"/>
      <c r="T1610" s="278"/>
    </row>
    <row r="1611" spans="1:20" s="305" customFormat="1" hidden="1" outlineLevel="2" x14ac:dyDescent="0.25">
      <c r="A1611" s="278"/>
      <c r="B1611" s="279" t="str">
        <f t="shared" si="624"/>
        <v>towel rail holder600mmsingleaverage</v>
      </c>
      <c r="C1611" s="278" t="s">
        <v>2173</v>
      </c>
      <c r="D1611" s="278" t="s">
        <v>770</v>
      </c>
      <c r="E1611" s="278" t="s">
        <v>2174</v>
      </c>
      <c r="F1611" s="278" t="s">
        <v>543</v>
      </c>
      <c r="G1611" s="278" t="s">
        <v>5</v>
      </c>
      <c r="H1611" s="310">
        <v>0.3</v>
      </c>
      <c r="I1611" s="280">
        <f t="shared" si="627"/>
        <v>24.186</v>
      </c>
      <c r="J1611" s="281">
        <f t="shared" si="626"/>
        <v>27.429000000000002</v>
      </c>
      <c r="K1611" s="282">
        <f>IF(Notes!$B$9="Domestic",I1611, IF(Notes!$B$9="Commercial",J1611))*$K$1598</f>
        <v>27.429000000000002</v>
      </c>
      <c r="L1611" s="283">
        <f>(SUM(O1611:Q1611)+(K1611+SUM(M1611:Q1611))*(INDEX($U$1598:$AB$1598,MATCH(Notes!$C$16,$U$3:$AB$3,0))-100%))*$L$1598</f>
        <v>67.489999999999995</v>
      </c>
      <c r="M1611" s="286"/>
      <c r="N1611" s="286"/>
      <c r="O1611" s="285">
        <v>67.489999999999995</v>
      </c>
      <c r="P1611" s="285"/>
      <c r="Q1611" s="285"/>
      <c r="R1611" s="278"/>
      <c r="S1611" s="278"/>
      <c r="T1611" s="278"/>
    </row>
    <row r="1612" spans="1:20" s="305" customFormat="1" hidden="1" outlineLevel="2" x14ac:dyDescent="0.25">
      <c r="A1612" s="278"/>
      <c r="B1612" s="279" t="str">
        <f t="shared" ref="B1612:B1647" si="632">C1612&amp;D1612&amp;E1612&amp;F1612</f>
        <v>towel rail holder600mmsinglequality</v>
      </c>
      <c r="C1612" s="278" t="s">
        <v>2173</v>
      </c>
      <c r="D1612" s="278" t="s">
        <v>770</v>
      </c>
      <c r="E1612" s="278" t="s">
        <v>2174</v>
      </c>
      <c r="F1612" s="278" t="s">
        <v>544</v>
      </c>
      <c r="G1612" s="278" t="s">
        <v>5</v>
      </c>
      <c r="H1612" s="310">
        <v>0.3</v>
      </c>
      <c r="I1612" s="280">
        <f t="shared" ref="I1612:I1647" si="633">$I$2*H1612</f>
        <v>24.186</v>
      </c>
      <c r="J1612" s="281">
        <f t="shared" ref="J1612:J1647" si="634">$J$2*H1612</f>
        <v>27.429000000000002</v>
      </c>
      <c r="K1612" s="282">
        <f>IF(Notes!$B$9="Domestic",I1612, IF(Notes!$B$9="Commercial",J1612))*$K$1598</f>
        <v>27.429000000000002</v>
      </c>
      <c r="L1612" s="283">
        <f>(SUM(O1612:Q1612)+(K1612+SUM(M1612:Q1612))*(INDEX($U$1598:$AB$1598,MATCH(Notes!$C$16,$U$3:$AB$3,0))-100%))*$L$1598</f>
        <v>132.04</v>
      </c>
      <c r="M1612" s="286"/>
      <c r="N1612" s="286"/>
      <c r="O1612" s="285">
        <v>132.04</v>
      </c>
      <c r="P1612" s="285"/>
      <c r="Q1612" s="285"/>
      <c r="R1612" s="278"/>
      <c r="S1612" s="278"/>
      <c r="T1612" s="278"/>
    </row>
    <row r="1613" spans="1:20" s="305" customFormat="1" hidden="1" outlineLevel="2" x14ac:dyDescent="0.25">
      <c r="A1613" s="278"/>
      <c r="B1613" s="279" t="str">
        <f t="shared" si="632"/>
        <v>towel rail holder600mmsingleprestige</v>
      </c>
      <c r="C1613" s="278" t="s">
        <v>2173</v>
      </c>
      <c r="D1613" s="278" t="s">
        <v>770</v>
      </c>
      <c r="E1613" s="278" t="s">
        <v>2174</v>
      </c>
      <c r="F1613" s="278" t="s">
        <v>545</v>
      </c>
      <c r="G1613" s="278" t="s">
        <v>5</v>
      </c>
      <c r="H1613" s="310">
        <v>0.3</v>
      </c>
      <c r="I1613" s="280">
        <f t="shared" si="633"/>
        <v>24.186</v>
      </c>
      <c r="J1613" s="281">
        <f t="shared" si="634"/>
        <v>27.429000000000002</v>
      </c>
      <c r="K1613" s="282">
        <f>IF(Notes!$B$9="Domestic",I1613, IF(Notes!$B$9="Commercial",J1613))*$K$1598</f>
        <v>27.429000000000002</v>
      </c>
      <c r="L1613" s="283">
        <f>(SUM(O1613:Q1613)+(K1613+SUM(M1613:Q1613))*(INDEX($U$1598:$AB$1598,MATCH(Notes!$C$16,$U$3:$AB$3,0))-100%))*$L$1598</f>
        <v>170.22</v>
      </c>
      <c r="M1613" s="286"/>
      <c r="N1613" s="286"/>
      <c r="O1613" s="285">
        <v>170.22</v>
      </c>
      <c r="P1613" s="285"/>
      <c r="Q1613" s="285"/>
      <c r="R1613" s="278"/>
      <c r="S1613" s="278"/>
      <c r="T1613" s="278"/>
    </row>
    <row r="1614" spans="1:20" s="305" customFormat="1" hidden="1" outlineLevel="2" x14ac:dyDescent="0.25">
      <c r="A1614" s="278"/>
      <c r="B1614" s="279" t="str">
        <f t="shared" si="632"/>
        <v>towel rail holder600mmdoubleaverage</v>
      </c>
      <c r="C1614" s="278" t="s">
        <v>2173</v>
      </c>
      <c r="D1614" s="278" t="s">
        <v>770</v>
      </c>
      <c r="E1614" s="278" t="s">
        <v>2175</v>
      </c>
      <c r="F1614" s="278" t="s">
        <v>543</v>
      </c>
      <c r="G1614" s="278" t="s">
        <v>5</v>
      </c>
      <c r="H1614" s="310">
        <v>0.33</v>
      </c>
      <c r="I1614" s="280">
        <f t="shared" si="633"/>
        <v>26.604600000000001</v>
      </c>
      <c r="J1614" s="281">
        <f t="shared" si="634"/>
        <v>30.171900000000004</v>
      </c>
      <c r="K1614" s="282">
        <f>IF(Notes!$B$9="Domestic",I1614, IF(Notes!$B$9="Commercial",J1614))*$K$1598</f>
        <v>30.171900000000004</v>
      </c>
      <c r="L1614" s="283">
        <f>(SUM(O1614:Q1614)+(K1614+SUM(M1614:Q1614))*(INDEX($U$1598:$AB$1598,MATCH(Notes!$C$16,$U$3:$AB$3,0))-100%))*$L$1598</f>
        <v>85.67</v>
      </c>
      <c r="M1614" s="286"/>
      <c r="N1614" s="286"/>
      <c r="O1614" s="285">
        <v>85.67</v>
      </c>
      <c r="P1614" s="285"/>
      <c r="Q1614" s="285"/>
      <c r="R1614" s="278"/>
      <c r="S1614" s="278"/>
      <c r="T1614" s="278"/>
    </row>
    <row r="1615" spans="1:20" s="305" customFormat="1" hidden="1" outlineLevel="2" x14ac:dyDescent="0.25">
      <c r="A1615" s="278"/>
      <c r="B1615" s="279" t="str">
        <f t="shared" si="632"/>
        <v>towel rail holder600mmdoublequality</v>
      </c>
      <c r="C1615" s="278" t="s">
        <v>2173</v>
      </c>
      <c r="D1615" s="278" t="s">
        <v>770</v>
      </c>
      <c r="E1615" s="278" t="s">
        <v>2175</v>
      </c>
      <c r="F1615" s="278" t="s">
        <v>544</v>
      </c>
      <c r="G1615" s="278" t="s">
        <v>5</v>
      </c>
      <c r="H1615" s="310">
        <v>0.33</v>
      </c>
      <c r="I1615" s="280">
        <f t="shared" si="633"/>
        <v>26.604600000000001</v>
      </c>
      <c r="J1615" s="281">
        <f t="shared" si="634"/>
        <v>30.171900000000004</v>
      </c>
      <c r="K1615" s="282">
        <f>IF(Notes!$B$9="Domestic",I1615, IF(Notes!$B$9="Commercial",J1615))*$K$1598</f>
        <v>30.171900000000004</v>
      </c>
      <c r="L1615" s="283">
        <f>(SUM(O1615:Q1615)+(K1615+SUM(M1615:Q1615))*(INDEX($U$1598:$AB$1598,MATCH(Notes!$C$16,$U$3:$AB$3,0))-100%))*$L$1598</f>
        <v>165.67</v>
      </c>
      <c r="M1615" s="286"/>
      <c r="N1615" s="286"/>
      <c r="O1615" s="285">
        <v>165.67</v>
      </c>
      <c r="P1615" s="285"/>
      <c r="Q1615" s="285"/>
      <c r="R1615" s="278"/>
      <c r="S1615" s="278"/>
      <c r="T1615" s="278"/>
    </row>
    <row r="1616" spans="1:20" s="305" customFormat="1" hidden="1" outlineLevel="2" x14ac:dyDescent="0.25">
      <c r="A1616" s="278"/>
      <c r="B1616" s="279" t="str">
        <f t="shared" si="632"/>
        <v>towel rail holder600mmdoubleprestige</v>
      </c>
      <c r="C1616" s="278" t="s">
        <v>2173</v>
      </c>
      <c r="D1616" s="278" t="s">
        <v>770</v>
      </c>
      <c r="E1616" s="278" t="s">
        <v>2175</v>
      </c>
      <c r="F1616" s="278" t="s">
        <v>545</v>
      </c>
      <c r="G1616" s="278" t="s">
        <v>5</v>
      </c>
      <c r="H1616" s="310">
        <v>0.33</v>
      </c>
      <c r="I1616" s="280">
        <f t="shared" si="633"/>
        <v>26.604600000000001</v>
      </c>
      <c r="J1616" s="281">
        <f t="shared" si="634"/>
        <v>30.171900000000004</v>
      </c>
      <c r="K1616" s="282">
        <f>IF(Notes!$B$9="Domestic",I1616, IF(Notes!$B$9="Commercial",J1616))*$K$1598</f>
        <v>30.171900000000004</v>
      </c>
      <c r="L1616" s="283">
        <f>(SUM(O1616:Q1616)+(K1616+SUM(M1616:Q1616))*(INDEX($U$1598:$AB$1598,MATCH(Notes!$C$16,$U$3:$AB$3,0))-100%))*$L$1598</f>
        <v>204.77</v>
      </c>
      <c r="M1616" s="286"/>
      <c r="N1616" s="286"/>
      <c r="O1616" s="285">
        <v>204.77</v>
      </c>
      <c r="P1616" s="285"/>
      <c r="Q1616" s="285"/>
      <c r="R1616" s="278"/>
      <c r="S1616" s="278"/>
      <c r="T1616" s="278"/>
    </row>
    <row r="1617" spans="1:20" s="305" customFormat="1" hidden="1" outlineLevel="2" x14ac:dyDescent="0.25">
      <c r="A1617" s="278"/>
      <c r="B1617" s="279" t="str">
        <f t="shared" si="632"/>
        <v>towel rail holder900mmsingleaverage</v>
      </c>
      <c r="C1617" s="278" t="s">
        <v>2173</v>
      </c>
      <c r="D1617" s="278" t="s">
        <v>772</v>
      </c>
      <c r="E1617" s="278" t="s">
        <v>2174</v>
      </c>
      <c r="F1617" s="278" t="s">
        <v>543</v>
      </c>
      <c r="G1617" s="278" t="s">
        <v>5</v>
      </c>
      <c r="H1617" s="310">
        <v>0.36</v>
      </c>
      <c r="I1617" s="280">
        <f t="shared" si="633"/>
        <v>29.023199999999999</v>
      </c>
      <c r="J1617" s="281">
        <f t="shared" si="634"/>
        <v>32.9148</v>
      </c>
      <c r="K1617" s="282">
        <f>IF(Notes!$B$9="Domestic",I1617, IF(Notes!$B$9="Commercial",J1617))*$K$1598</f>
        <v>32.9148</v>
      </c>
      <c r="L1617" s="283">
        <f>(SUM(O1617:Q1617)+(K1617+SUM(M1617:Q1617))*(INDEX($U$1598:$AB$1598,MATCH(Notes!$C$16,$U$3:$AB$3,0))-100%))*$L$1598</f>
        <v>101.13</v>
      </c>
      <c r="M1617" s="286"/>
      <c r="N1617" s="286"/>
      <c r="O1617" s="285">
        <v>101.13</v>
      </c>
      <c r="P1617" s="285"/>
      <c r="Q1617" s="285"/>
      <c r="R1617" s="278"/>
      <c r="S1617" s="278"/>
      <c r="T1617" s="278"/>
    </row>
    <row r="1618" spans="1:20" s="305" customFormat="1" hidden="1" outlineLevel="2" x14ac:dyDescent="0.25">
      <c r="A1618" s="278"/>
      <c r="B1618" s="279" t="str">
        <f t="shared" si="632"/>
        <v>towel rail holder900mmsinglequality</v>
      </c>
      <c r="C1618" s="278" t="s">
        <v>2173</v>
      </c>
      <c r="D1618" s="278" t="s">
        <v>772</v>
      </c>
      <c r="E1618" s="278" t="s">
        <v>2174</v>
      </c>
      <c r="F1618" s="278" t="s">
        <v>544</v>
      </c>
      <c r="G1618" s="278" t="s">
        <v>5</v>
      </c>
      <c r="H1618" s="310">
        <v>0.36</v>
      </c>
      <c r="I1618" s="280">
        <f t="shared" si="633"/>
        <v>29.023199999999999</v>
      </c>
      <c r="J1618" s="281">
        <f t="shared" si="634"/>
        <v>32.9148</v>
      </c>
      <c r="K1618" s="282">
        <f>IF(Notes!$B$9="Domestic",I1618, IF(Notes!$B$9="Commercial",J1618))*$K$1598</f>
        <v>32.9148</v>
      </c>
      <c r="L1618" s="283">
        <f>(SUM(O1618:Q1618)+(K1618+SUM(M1618:Q1618))*(INDEX($U$1598:$AB$1598,MATCH(Notes!$C$16,$U$3:$AB$3,0))-100%))*$L$1598</f>
        <v>153.97999999999999</v>
      </c>
      <c r="M1618" s="286"/>
      <c r="N1618" s="286"/>
      <c r="O1618" s="285">
        <v>153.97999999999999</v>
      </c>
      <c r="P1618" s="285"/>
      <c r="Q1618" s="285"/>
      <c r="R1618" s="278"/>
      <c r="S1618" s="278"/>
      <c r="T1618" s="278"/>
    </row>
    <row r="1619" spans="1:20" s="305" customFormat="1" hidden="1" outlineLevel="2" x14ac:dyDescent="0.25">
      <c r="A1619" s="278"/>
      <c r="B1619" s="279" t="str">
        <f t="shared" si="632"/>
        <v>towel rail holder900mmsingleprestige</v>
      </c>
      <c r="C1619" s="278" t="s">
        <v>2173</v>
      </c>
      <c r="D1619" s="278" t="s">
        <v>772</v>
      </c>
      <c r="E1619" s="278" t="s">
        <v>2174</v>
      </c>
      <c r="F1619" s="278" t="s">
        <v>545</v>
      </c>
      <c r="G1619" s="278" t="s">
        <v>5</v>
      </c>
      <c r="H1619" s="310">
        <v>0.36</v>
      </c>
      <c r="I1619" s="280">
        <f t="shared" si="633"/>
        <v>29.023199999999999</v>
      </c>
      <c r="J1619" s="281">
        <f t="shared" si="634"/>
        <v>32.9148</v>
      </c>
      <c r="K1619" s="282">
        <f>IF(Notes!$B$9="Domestic",I1619, IF(Notes!$B$9="Commercial",J1619))*$K$1598</f>
        <v>32.9148</v>
      </c>
      <c r="L1619" s="283">
        <f>(SUM(O1619:Q1619)+(K1619+SUM(M1619:Q1619))*(INDEX($U$1598:$AB$1598,MATCH(Notes!$C$16,$U$3:$AB$3,0))-100%))*$L$1598</f>
        <v>208.81</v>
      </c>
      <c r="M1619" s="286"/>
      <c r="N1619" s="286"/>
      <c r="O1619" s="285">
        <v>208.81</v>
      </c>
      <c r="P1619" s="285"/>
      <c r="Q1619" s="285"/>
      <c r="R1619" s="278"/>
      <c r="S1619" s="278"/>
      <c r="T1619" s="278"/>
    </row>
    <row r="1620" spans="1:20" s="305" customFormat="1" hidden="1" outlineLevel="2" x14ac:dyDescent="0.25">
      <c r="A1620" s="278"/>
      <c r="B1620" s="279" t="str">
        <f t="shared" si="632"/>
        <v>towel rail holder900mmdoubleaverage</v>
      </c>
      <c r="C1620" s="278" t="s">
        <v>2173</v>
      </c>
      <c r="D1620" s="278" t="s">
        <v>772</v>
      </c>
      <c r="E1620" s="278" t="s">
        <v>2175</v>
      </c>
      <c r="F1620" s="278" t="s">
        <v>543</v>
      </c>
      <c r="G1620" s="278" t="s">
        <v>5</v>
      </c>
      <c r="H1620" s="310">
        <v>0.42</v>
      </c>
      <c r="I1620" s="280">
        <f t="shared" si="633"/>
        <v>33.860399999999998</v>
      </c>
      <c r="J1620" s="281">
        <f t="shared" si="634"/>
        <v>38.400600000000004</v>
      </c>
      <c r="K1620" s="282">
        <f>IF(Notes!$B$9="Domestic",I1620, IF(Notes!$B$9="Commercial",J1620))*$K$1598</f>
        <v>38.400600000000004</v>
      </c>
      <c r="L1620" s="283">
        <f>(SUM(O1620:Q1620)+(K1620+SUM(M1620:Q1620))*(INDEX($U$1598:$AB$1598,MATCH(Notes!$C$16,$U$3:$AB$3,0))-100%))*$L$1598</f>
        <v>132.94999999999999</v>
      </c>
      <c r="M1620" s="286"/>
      <c r="N1620" s="286"/>
      <c r="O1620" s="285">
        <v>132.94999999999999</v>
      </c>
      <c r="P1620" s="285"/>
      <c r="Q1620" s="285"/>
      <c r="R1620" s="278"/>
      <c r="S1620" s="278"/>
      <c r="T1620" s="278"/>
    </row>
    <row r="1621" spans="1:20" s="305" customFormat="1" hidden="1" outlineLevel="2" x14ac:dyDescent="0.25">
      <c r="A1621" s="278"/>
      <c r="B1621" s="279" t="str">
        <f t="shared" si="632"/>
        <v>towel rail holder900mmdoublequality</v>
      </c>
      <c r="C1621" s="278" t="s">
        <v>2173</v>
      </c>
      <c r="D1621" s="278" t="s">
        <v>772</v>
      </c>
      <c r="E1621" s="278" t="s">
        <v>2175</v>
      </c>
      <c r="F1621" s="278" t="s">
        <v>544</v>
      </c>
      <c r="G1621" s="278" t="s">
        <v>5</v>
      </c>
      <c r="H1621" s="310">
        <v>0.42</v>
      </c>
      <c r="I1621" s="280">
        <f t="shared" si="633"/>
        <v>33.860399999999998</v>
      </c>
      <c r="J1621" s="281">
        <f t="shared" si="634"/>
        <v>38.400600000000004</v>
      </c>
      <c r="K1621" s="282">
        <f>IF(Notes!$B$9="Domestic",I1621, IF(Notes!$B$9="Commercial",J1621))*$K$1598</f>
        <v>38.400600000000004</v>
      </c>
      <c r="L1621" s="283">
        <f>(SUM(O1621:Q1621)+(K1621+SUM(M1621:Q1621))*(INDEX($U$1598:$AB$1598,MATCH(Notes!$C$16,$U$3:$AB$3,0))-100%))*$L$1598</f>
        <v>202.04</v>
      </c>
      <c r="M1621" s="286"/>
      <c r="N1621" s="286"/>
      <c r="O1621" s="285">
        <v>202.04</v>
      </c>
      <c r="P1621" s="285"/>
      <c r="Q1621" s="285"/>
      <c r="R1621" s="278"/>
      <c r="S1621" s="278"/>
      <c r="T1621" s="278"/>
    </row>
    <row r="1622" spans="1:20" s="305" customFormat="1" hidden="1" outlineLevel="2" x14ac:dyDescent="0.25">
      <c r="A1622" s="278"/>
      <c r="B1622" s="279" t="str">
        <f t="shared" si="632"/>
        <v>towel rail holder900mmdoubleprestige</v>
      </c>
      <c r="C1622" s="278" t="s">
        <v>2173</v>
      </c>
      <c r="D1622" s="278" t="s">
        <v>772</v>
      </c>
      <c r="E1622" s="278" t="s">
        <v>2175</v>
      </c>
      <c r="F1622" s="278" t="s">
        <v>545</v>
      </c>
      <c r="G1622" s="278" t="s">
        <v>5</v>
      </c>
      <c r="H1622" s="310">
        <v>0.42</v>
      </c>
      <c r="I1622" s="280">
        <f t="shared" si="633"/>
        <v>33.860399999999998</v>
      </c>
      <c r="J1622" s="281">
        <f t="shared" si="634"/>
        <v>38.400600000000004</v>
      </c>
      <c r="K1622" s="282">
        <f>IF(Notes!$B$9="Domestic",I1622, IF(Notes!$B$9="Commercial",J1622))*$K$1598</f>
        <v>38.400600000000004</v>
      </c>
      <c r="L1622" s="283">
        <f>(SUM(O1622:Q1622)+(K1622+SUM(M1622:Q1622))*(INDEX($U$1598:$AB$1598,MATCH(Notes!$C$16,$U$3:$AB$3,0))-100%))*$L$1598</f>
        <v>288.60000000000002</v>
      </c>
      <c r="M1622" s="286"/>
      <c r="N1622" s="286"/>
      <c r="O1622" s="285">
        <v>288.60000000000002</v>
      </c>
      <c r="P1622" s="285"/>
      <c r="Q1622" s="285"/>
      <c r="R1622" s="278"/>
      <c r="S1622" s="278"/>
      <c r="T1622" s="278"/>
    </row>
    <row r="1623" spans="1:20" s="305" customFormat="1" hidden="1" outlineLevel="2" x14ac:dyDescent="0.25">
      <c r="A1623" s="278"/>
      <c r="B1623" s="279" t="str">
        <f t="shared" si="632"/>
        <v>towel rail heatedsingleaverage</v>
      </c>
      <c r="C1623" s="278" t="s">
        <v>2176</v>
      </c>
      <c r="D1623" s="278"/>
      <c r="E1623" s="278" t="s">
        <v>2174</v>
      </c>
      <c r="F1623" s="278" t="s">
        <v>543</v>
      </c>
      <c r="G1623" s="278" t="s">
        <v>5</v>
      </c>
      <c r="H1623" s="310">
        <v>0.78</v>
      </c>
      <c r="I1623" s="280">
        <f t="shared" si="633"/>
        <v>62.883600000000008</v>
      </c>
      <c r="J1623" s="281">
        <f t="shared" si="634"/>
        <v>71.315400000000011</v>
      </c>
      <c r="K1623" s="282">
        <f>IF(Notes!$B$9="Domestic",I1623, IF(Notes!$B$9="Commercial",J1623))*$K$1598</f>
        <v>71.315400000000011</v>
      </c>
      <c r="L1623" s="283">
        <f>(SUM(O1623:Q1623)+(K1623+SUM(M1623:Q1623))*(INDEX($U$1598:$AB$1598,MATCH(Notes!$C$16,$U$3:$AB$3,0))-100%))*$L$1598</f>
        <v>205</v>
      </c>
      <c r="M1623" s="286"/>
      <c r="N1623" s="286"/>
      <c r="O1623" s="285">
        <v>205</v>
      </c>
      <c r="P1623" s="285"/>
      <c r="Q1623" s="285"/>
      <c r="R1623" s="278"/>
      <c r="S1623" s="278"/>
      <c r="T1623" s="278"/>
    </row>
    <row r="1624" spans="1:20" s="305" customFormat="1" hidden="1" outlineLevel="2" x14ac:dyDescent="0.25">
      <c r="A1624" s="278"/>
      <c r="B1624" s="279" t="str">
        <f t="shared" ref="B1624:B1632" si="635">C1624&amp;D1624&amp;E1624&amp;F1624</f>
        <v>towel rail heatedsinglequality</v>
      </c>
      <c r="C1624" s="278" t="s">
        <v>2176</v>
      </c>
      <c r="D1624" s="278"/>
      <c r="E1624" s="278" t="s">
        <v>2174</v>
      </c>
      <c r="F1624" s="278" t="s">
        <v>544</v>
      </c>
      <c r="G1624" s="278" t="s">
        <v>5</v>
      </c>
      <c r="H1624" s="310">
        <v>0.78</v>
      </c>
      <c r="I1624" s="280">
        <f t="shared" ref="I1624:I1632" si="636">$I$2*H1624</f>
        <v>62.883600000000008</v>
      </c>
      <c r="J1624" s="281">
        <f t="shared" ref="J1624:J1632" si="637">$J$2*H1624</f>
        <v>71.315400000000011</v>
      </c>
      <c r="K1624" s="282">
        <f>IF(Notes!$B$9="Domestic",I1624, IF(Notes!$B$9="Commercial",J1624))*$K$1598</f>
        <v>71.315400000000011</v>
      </c>
      <c r="L1624" s="283">
        <f>(SUM(O1624:Q1624)+(K1624+SUM(M1624:Q1624))*(INDEX($U$1598:$AB$1598,MATCH(Notes!$C$16,$U$3:$AB$3,0))-100%))*$L$1598</f>
        <v>254.9</v>
      </c>
      <c r="M1624" s="286"/>
      <c r="N1624" s="286"/>
      <c r="O1624" s="285">
        <v>254.9</v>
      </c>
      <c r="P1624" s="285"/>
      <c r="Q1624" s="285"/>
      <c r="R1624" s="278"/>
      <c r="S1624" s="278"/>
      <c r="T1624" s="278"/>
    </row>
    <row r="1625" spans="1:20" s="305" customFormat="1" hidden="1" outlineLevel="2" x14ac:dyDescent="0.25">
      <c r="A1625" s="278"/>
      <c r="B1625" s="279" t="str">
        <f t="shared" si="635"/>
        <v>towel rail heatedsingleprestige</v>
      </c>
      <c r="C1625" s="278" t="s">
        <v>2176</v>
      </c>
      <c r="D1625" s="278"/>
      <c r="E1625" s="278" t="s">
        <v>2174</v>
      </c>
      <c r="F1625" s="278" t="s">
        <v>545</v>
      </c>
      <c r="G1625" s="278" t="s">
        <v>5</v>
      </c>
      <c r="H1625" s="310">
        <v>0.78</v>
      </c>
      <c r="I1625" s="280">
        <f t="shared" si="636"/>
        <v>62.883600000000008</v>
      </c>
      <c r="J1625" s="281">
        <f t="shared" si="637"/>
        <v>71.315400000000011</v>
      </c>
      <c r="K1625" s="282">
        <f>IF(Notes!$B$9="Domestic",I1625, IF(Notes!$B$9="Commercial",J1625))*$K$1598</f>
        <v>71.315400000000011</v>
      </c>
      <c r="L1625" s="283">
        <f>(SUM(O1625:Q1625)+(K1625+SUM(M1625:Q1625))*(INDEX($U$1598:$AB$1598,MATCH(Notes!$C$16,$U$3:$AB$3,0))-100%))*$L$1598</f>
        <v>345</v>
      </c>
      <c r="M1625" s="286"/>
      <c r="N1625" s="286"/>
      <c r="O1625" s="285">
        <v>345</v>
      </c>
      <c r="P1625" s="285"/>
      <c r="Q1625" s="285"/>
      <c r="R1625" s="278"/>
      <c r="S1625" s="278"/>
      <c r="T1625" s="278"/>
    </row>
    <row r="1626" spans="1:20" s="305" customFormat="1" hidden="1" outlineLevel="2" x14ac:dyDescent="0.25">
      <c r="A1626" s="278"/>
      <c r="B1626" s="279" t="str">
        <f t="shared" si="635"/>
        <v>towel rail heatedrackaverage</v>
      </c>
      <c r="C1626" s="278" t="s">
        <v>2176</v>
      </c>
      <c r="D1626" s="278"/>
      <c r="E1626" s="278" t="s">
        <v>2177</v>
      </c>
      <c r="F1626" s="278" t="s">
        <v>543</v>
      </c>
      <c r="G1626" s="278" t="s">
        <v>5</v>
      </c>
      <c r="H1626" s="310">
        <v>0.78</v>
      </c>
      <c r="I1626" s="280">
        <f t="shared" si="636"/>
        <v>62.883600000000008</v>
      </c>
      <c r="J1626" s="281">
        <f t="shared" si="637"/>
        <v>71.315400000000011</v>
      </c>
      <c r="K1626" s="282">
        <f>IF(Notes!$B$9="Domestic",I1626, IF(Notes!$B$9="Commercial",J1626))*$K$1598</f>
        <v>71.315400000000011</v>
      </c>
      <c r="L1626" s="283">
        <f>(SUM(O1626:Q1626)+(K1626+SUM(M1626:Q1626))*(INDEX($U$1598:$AB$1598,MATCH(Notes!$C$16,$U$3:$AB$3,0))-100%))*$L$1598</f>
        <v>572.27</v>
      </c>
      <c r="M1626" s="286"/>
      <c r="N1626" s="286"/>
      <c r="O1626" s="285">
        <v>572.27</v>
      </c>
      <c r="P1626" s="285"/>
      <c r="Q1626" s="285"/>
      <c r="R1626" s="278"/>
      <c r="S1626" s="278"/>
      <c r="T1626" s="278"/>
    </row>
    <row r="1627" spans="1:20" s="305" customFormat="1" hidden="1" outlineLevel="2" x14ac:dyDescent="0.25">
      <c r="A1627" s="278"/>
      <c r="B1627" s="279" t="str">
        <f t="shared" si="635"/>
        <v>towel rail heatedrackquality</v>
      </c>
      <c r="C1627" s="278" t="s">
        <v>2176</v>
      </c>
      <c r="D1627" s="278"/>
      <c r="E1627" s="278" t="s">
        <v>2177</v>
      </c>
      <c r="F1627" s="278" t="s">
        <v>544</v>
      </c>
      <c r="G1627" s="278" t="s">
        <v>5</v>
      </c>
      <c r="H1627" s="310">
        <v>0.78</v>
      </c>
      <c r="I1627" s="280">
        <f t="shared" si="636"/>
        <v>62.883600000000008</v>
      </c>
      <c r="J1627" s="281">
        <f t="shared" si="637"/>
        <v>71.315400000000011</v>
      </c>
      <c r="K1627" s="282">
        <f>IF(Notes!$B$9="Domestic",I1627, IF(Notes!$B$9="Commercial",J1627))*$K$1598</f>
        <v>71.315400000000011</v>
      </c>
      <c r="L1627" s="283">
        <f>(SUM(O1627:Q1627)+(K1627+SUM(M1627:Q1627))*(INDEX($U$1598:$AB$1598,MATCH(Notes!$C$16,$U$3:$AB$3,0))-100%))*$L$1598</f>
        <v>808.63</v>
      </c>
      <c r="M1627" s="286"/>
      <c r="N1627" s="286"/>
      <c r="O1627" s="285">
        <v>808.63</v>
      </c>
      <c r="P1627" s="285"/>
      <c r="Q1627" s="285"/>
      <c r="R1627" s="278"/>
      <c r="S1627" s="278"/>
      <c r="T1627" s="278"/>
    </row>
    <row r="1628" spans="1:20" s="305" customFormat="1" hidden="1" outlineLevel="2" x14ac:dyDescent="0.25">
      <c r="A1628" s="278"/>
      <c r="B1628" s="279" t="str">
        <f t="shared" si="635"/>
        <v>towel rail heatedrackprestige</v>
      </c>
      <c r="C1628" s="278" t="s">
        <v>2176</v>
      </c>
      <c r="D1628" s="278"/>
      <c r="E1628" s="278" t="s">
        <v>2177</v>
      </c>
      <c r="F1628" s="278" t="s">
        <v>545</v>
      </c>
      <c r="G1628" s="278" t="s">
        <v>5</v>
      </c>
      <c r="H1628" s="310">
        <v>0.78</v>
      </c>
      <c r="I1628" s="280">
        <f t="shared" si="636"/>
        <v>62.883600000000008</v>
      </c>
      <c r="J1628" s="281">
        <f t="shared" si="637"/>
        <v>71.315400000000011</v>
      </c>
      <c r="K1628" s="282">
        <f>IF(Notes!$B$9="Domestic",I1628, IF(Notes!$B$9="Commercial",J1628))*$K$1598</f>
        <v>71.315400000000011</v>
      </c>
      <c r="L1628" s="283">
        <f>(SUM(O1628:Q1628)+(K1628+SUM(M1628:Q1628))*(INDEX($U$1598:$AB$1598,MATCH(Notes!$C$16,$U$3:$AB$3,0))-100%))*$L$1598</f>
        <v>1300.45</v>
      </c>
      <c r="M1628" s="286"/>
      <c r="N1628" s="286"/>
      <c r="O1628" s="285">
        <v>1300.45</v>
      </c>
      <c r="P1628" s="285"/>
      <c r="Q1628" s="285"/>
      <c r="R1628" s="278"/>
      <c r="S1628" s="278"/>
      <c r="T1628" s="278"/>
    </row>
    <row r="1629" spans="1:20" s="305" customFormat="1" hidden="1" outlineLevel="2" x14ac:dyDescent="0.25">
      <c r="A1629" s="278"/>
      <c r="B1629" s="279" t="str">
        <f t="shared" si="635"/>
        <v>towel ringaverage</v>
      </c>
      <c r="C1629" s="278" t="s">
        <v>2180</v>
      </c>
      <c r="D1629" s="278"/>
      <c r="E1629" s="278"/>
      <c r="F1629" s="278" t="s">
        <v>543</v>
      </c>
      <c r="G1629" s="278" t="s">
        <v>5</v>
      </c>
      <c r="H1629" s="310">
        <v>0.22</v>
      </c>
      <c r="I1629" s="280">
        <f t="shared" si="636"/>
        <v>17.7364</v>
      </c>
      <c r="J1629" s="281">
        <f t="shared" si="637"/>
        <v>20.114600000000003</v>
      </c>
      <c r="K1629" s="282">
        <f>IF(Notes!$B$9="Domestic",I1629, IF(Notes!$B$9="Commercial",J1629))*$K$1598</f>
        <v>20.114600000000003</v>
      </c>
      <c r="L1629" s="283">
        <f>(SUM(O1629:Q1629)+(K1629+SUM(M1629:Q1629))*(INDEX($U$1598:$AB$1598,MATCH(Notes!$C$16,$U$3:$AB$3,0))-100%))*$L$1598</f>
        <v>31.43</v>
      </c>
      <c r="M1629" s="286"/>
      <c r="N1629" s="286"/>
      <c r="O1629" s="285">
        <v>31.43</v>
      </c>
      <c r="P1629" s="285"/>
      <c r="Q1629" s="285"/>
      <c r="R1629" s="278"/>
      <c r="S1629" s="278"/>
      <c r="T1629" s="278"/>
    </row>
    <row r="1630" spans="1:20" s="305" customFormat="1" hidden="1" outlineLevel="2" x14ac:dyDescent="0.25">
      <c r="A1630" s="278"/>
      <c r="B1630" s="279" t="str">
        <f t="shared" si="635"/>
        <v>towel ringquality</v>
      </c>
      <c r="C1630" s="278" t="s">
        <v>2180</v>
      </c>
      <c r="D1630" s="278"/>
      <c r="E1630" s="278"/>
      <c r="F1630" s="278" t="s">
        <v>544</v>
      </c>
      <c r="G1630" s="278" t="s">
        <v>5</v>
      </c>
      <c r="H1630" s="310">
        <v>0.22</v>
      </c>
      <c r="I1630" s="280">
        <f t="shared" si="636"/>
        <v>17.7364</v>
      </c>
      <c r="J1630" s="281">
        <f t="shared" si="637"/>
        <v>20.114600000000003</v>
      </c>
      <c r="K1630" s="282">
        <f>IF(Notes!$B$9="Domestic",I1630, IF(Notes!$B$9="Commercial",J1630))*$K$1598</f>
        <v>20.114600000000003</v>
      </c>
      <c r="L1630" s="283">
        <f>(SUM(O1630:Q1630)+(K1630+SUM(M1630:Q1630))*(INDEX($U$1598:$AB$1598,MATCH(Notes!$C$16,$U$3:$AB$3,0))-100%))*$L$1598</f>
        <v>86.36</v>
      </c>
      <c r="M1630" s="286"/>
      <c r="N1630" s="286"/>
      <c r="O1630" s="285">
        <v>86.36</v>
      </c>
      <c r="P1630" s="285"/>
      <c r="Q1630" s="285"/>
      <c r="R1630" s="278"/>
      <c r="S1630" s="278"/>
      <c r="T1630" s="278"/>
    </row>
    <row r="1631" spans="1:20" s="305" customFormat="1" hidden="1" outlineLevel="2" x14ac:dyDescent="0.25">
      <c r="A1631" s="278"/>
      <c r="B1631" s="279" t="str">
        <f t="shared" si="635"/>
        <v>towel ringprestige</v>
      </c>
      <c r="C1631" s="278" t="s">
        <v>2180</v>
      </c>
      <c r="D1631" s="278"/>
      <c r="E1631" s="278"/>
      <c r="F1631" s="278" t="s">
        <v>545</v>
      </c>
      <c r="G1631" s="278" t="s">
        <v>5</v>
      </c>
      <c r="H1631" s="310">
        <v>0.22</v>
      </c>
      <c r="I1631" s="280">
        <f t="shared" si="636"/>
        <v>17.7364</v>
      </c>
      <c r="J1631" s="281">
        <f t="shared" si="637"/>
        <v>20.114600000000003</v>
      </c>
      <c r="K1631" s="282">
        <f>IF(Notes!$B$9="Domestic",I1631, IF(Notes!$B$9="Commercial",J1631))*$K$1598</f>
        <v>20.114600000000003</v>
      </c>
      <c r="L1631" s="283">
        <f>(SUM(O1631:Q1631)+(K1631+SUM(M1631:Q1631))*(INDEX($U$1598:$AB$1598,MATCH(Notes!$C$16,$U$3:$AB$3,0))-100%))*$L$1598</f>
        <v>145.18</v>
      </c>
      <c r="M1631" s="286"/>
      <c r="N1631" s="286"/>
      <c r="O1631" s="285">
        <v>145.18</v>
      </c>
      <c r="P1631" s="285"/>
      <c r="Q1631" s="285"/>
      <c r="R1631" s="278"/>
      <c r="S1631" s="278"/>
      <c r="T1631" s="278"/>
    </row>
    <row r="1632" spans="1:20" s="305" customFormat="1" hidden="1" outlineLevel="2" x14ac:dyDescent="0.25">
      <c r="A1632" s="278"/>
      <c r="B1632" s="279" t="str">
        <f t="shared" si="635"/>
        <v>soap holderaverage</v>
      </c>
      <c r="C1632" s="278" t="s">
        <v>2181</v>
      </c>
      <c r="D1632" s="278"/>
      <c r="E1632" s="278"/>
      <c r="F1632" s="278" t="s">
        <v>543</v>
      </c>
      <c r="G1632" s="278" t="s">
        <v>5</v>
      </c>
      <c r="H1632" s="310">
        <v>0.22</v>
      </c>
      <c r="I1632" s="280">
        <f t="shared" si="636"/>
        <v>17.7364</v>
      </c>
      <c r="J1632" s="281">
        <f t="shared" si="637"/>
        <v>20.114600000000003</v>
      </c>
      <c r="K1632" s="282">
        <f>IF(Notes!$B$9="Domestic",I1632, IF(Notes!$B$9="Commercial",J1632))*$K$1598</f>
        <v>20.114600000000003</v>
      </c>
      <c r="L1632" s="283">
        <f>(SUM(O1632:Q1632)+(K1632+SUM(M1632:Q1632))*(INDEX($U$1598:$AB$1598,MATCH(Notes!$C$16,$U$3:$AB$3,0))-100%))*$L$1598</f>
        <v>41.82</v>
      </c>
      <c r="M1632" s="286"/>
      <c r="N1632" s="286"/>
      <c r="O1632" s="285">
        <v>41.82</v>
      </c>
      <c r="P1632" s="285"/>
      <c r="Q1632" s="285"/>
      <c r="R1632" s="278"/>
      <c r="S1632" s="278"/>
      <c r="T1632" s="278"/>
    </row>
    <row r="1633" spans="1:20" s="305" customFormat="1" hidden="1" outlineLevel="2" x14ac:dyDescent="0.25">
      <c r="A1633" s="278"/>
      <c r="B1633" s="279" t="str">
        <f t="shared" ref="B1633:B1646" si="638">C1633&amp;D1633&amp;E1633&amp;F1633</f>
        <v>soap holderquality</v>
      </c>
      <c r="C1633" s="278" t="s">
        <v>2181</v>
      </c>
      <c r="D1633" s="278"/>
      <c r="E1633" s="278"/>
      <c r="F1633" s="278" t="s">
        <v>544</v>
      </c>
      <c r="G1633" s="278" t="s">
        <v>5</v>
      </c>
      <c r="H1633" s="310">
        <v>0.22</v>
      </c>
      <c r="I1633" s="280">
        <f t="shared" ref="I1633:I1646" si="639">$I$2*H1633</f>
        <v>17.7364</v>
      </c>
      <c r="J1633" s="281">
        <f t="shared" ref="J1633:J1646" si="640">$J$2*H1633</f>
        <v>20.114600000000003</v>
      </c>
      <c r="K1633" s="282">
        <f>IF(Notes!$B$9="Domestic",I1633, IF(Notes!$B$9="Commercial",J1633))*$K$1598</f>
        <v>20.114600000000003</v>
      </c>
      <c r="L1633" s="283">
        <f>(SUM(O1633:Q1633)+(K1633+SUM(M1633:Q1633))*(INDEX($U$1598:$AB$1598,MATCH(Notes!$C$16,$U$3:$AB$3,0))-100%))*$L$1598</f>
        <v>74.73</v>
      </c>
      <c r="M1633" s="286"/>
      <c r="N1633" s="286"/>
      <c r="O1633" s="285">
        <v>74.73</v>
      </c>
      <c r="P1633" s="285"/>
      <c r="Q1633" s="285"/>
      <c r="R1633" s="278"/>
      <c r="S1633" s="278"/>
      <c r="T1633" s="278"/>
    </row>
    <row r="1634" spans="1:20" s="305" customFormat="1" hidden="1" outlineLevel="2" x14ac:dyDescent="0.25">
      <c r="A1634" s="278"/>
      <c r="B1634" s="279" t="str">
        <f t="shared" si="638"/>
        <v>soap holderprestige</v>
      </c>
      <c r="C1634" s="278" t="s">
        <v>2181</v>
      </c>
      <c r="D1634" s="278"/>
      <c r="E1634" s="278"/>
      <c r="F1634" s="278" t="s">
        <v>545</v>
      </c>
      <c r="G1634" s="278" t="s">
        <v>5</v>
      </c>
      <c r="H1634" s="310">
        <v>0.22</v>
      </c>
      <c r="I1634" s="280">
        <f t="shared" si="639"/>
        <v>17.7364</v>
      </c>
      <c r="J1634" s="281">
        <f t="shared" si="640"/>
        <v>20.114600000000003</v>
      </c>
      <c r="K1634" s="282">
        <f>IF(Notes!$B$9="Domestic",I1634, IF(Notes!$B$9="Commercial",J1634))*$K$1598</f>
        <v>20.114600000000003</v>
      </c>
      <c r="L1634" s="283">
        <f>(SUM(O1634:Q1634)+(K1634+SUM(M1634:Q1634))*(INDEX($U$1598:$AB$1598,MATCH(Notes!$C$16,$U$3:$AB$3,0))-100%))*$L$1598</f>
        <v>163.63999999999999</v>
      </c>
      <c r="M1634" s="286"/>
      <c r="N1634" s="286"/>
      <c r="O1634" s="285">
        <v>163.63999999999999</v>
      </c>
      <c r="P1634" s="285"/>
      <c r="Q1634" s="285"/>
      <c r="R1634" s="278"/>
      <c r="S1634" s="278"/>
      <c r="T1634" s="278"/>
    </row>
    <row r="1635" spans="1:20" s="305" customFormat="1" hidden="1" outlineLevel="2" x14ac:dyDescent="0.25">
      <c r="A1635" s="278"/>
      <c r="B1635" s="279" t="str">
        <f t="shared" ref="B1635:B1637" si="641">C1635&amp;D1635&amp;E1635&amp;F1635</f>
        <v>shelfglassaverage</v>
      </c>
      <c r="C1635" s="278" t="s">
        <v>2190</v>
      </c>
      <c r="D1635" s="278"/>
      <c r="E1635" s="278" t="s">
        <v>539</v>
      </c>
      <c r="F1635" s="278" t="s">
        <v>543</v>
      </c>
      <c r="G1635" s="278" t="s">
        <v>5</v>
      </c>
      <c r="H1635" s="310">
        <v>0.33</v>
      </c>
      <c r="I1635" s="280">
        <f t="shared" ref="I1635:I1637" si="642">$I$2*H1635</f>
        <v>26.604600000000001</v>
      </c>
      <c r="J1635" s="281">
        <f t="shared" ref="J1635:J1637" si="643">$J$2*H1635</f>
        <v>30.171900000000004</v>
      </c>
      <c r="K1635" s="282">
        <f>IF(Notes!$B$9="Domestic",I1635, IF(Notes!$B$9="Commercial",J1635))*$K$1598</f>
        <v>30.171900000000004</v>
      </c>
      <c r="L1635" s="283">
        <f>(SUM(O1635:Q1635)+(K1635+SUM(M1635:Q1635))*(INDEX($U$1598:$AB$1598,MATCH(Notes!$C$16,$U$3:$AB$3,0))-100%))*$L$1598</f>
        <v>66.36</v>
      </c>
      <c r="M1635" s="286"/>
      <c r="N1635" s="286"/>
      <c r="O1635" s="285">
        <v>66.36</v>
      </c>
      <c r="P1635" s="285"/>
      <c r="Q1635" s="285"/>
      <c r="R1635" s="278"/>
      <c r="S1635" s="278"/>
      <c r="T1635" s="278"/>
    </row>
    <row r="1636" spans="1:20" s="305" customFormat="1" hidden="1" outlineLevel="2" x14ac:dyDescent="0.25">
      <c r="A1636" s="278"/>
      <c r="B1636" s="279" t="str">
        <f t="shared" si="641"/>
        <v>shelfglassquality</v>
      </c>
      <c r="C1636" s="278" t="s">
        <v>2190</v>
      </c>
      <c r="D1636" s="278"/>
      <c r="E1636" s="278" t="s">
        <v>539</v>
      </c>
      <c r="F1636" s="278" t="s">
        <v>544</v>
      </c>
      <c r="G1636" s="278" t="s">
        <v>5</v>
      </c>
      <c r="H1636" s="310">
        <v>0.33</v>
      </c>
      <c r="I1636" s="280">
        <f t="shared" si="642"/>
        <v>26.604600000000001</v>
      </c>
      <c r="J1636" s="281">
        <f t="shared" si="643"/>
        <v>30.171900000000004</v>
      </c>
      <c r="K1636" s="282">
        <f>IF(Notes!$B$9="Domestic",I1636, IF(Notes!$B$9="Commercial",J1636))*$K$1598</f>
        <v>30.171900000000004</v>
      </c>
      <c r="L1636" s="283">
        <f>(SUM(O1636:Q1636)+(K1636+SUM(M1636:Q1636))*(INDEX($U$1598:$AB$1598,MATCH(Notes!$C$16,$U$3:$AB$3,0))-100%))*$L$1598</f>
        <v>116.36</v>
      </c>
      <c r="M1636" s="286"/>
      <c r="N1636" s="286"/>
      <c r="O1636" s="285">
        <v>116.36</v>
      </c>
      <c r="P1636" s="285"/>
      <c r="Q1636" s="285"/>
      <c r="R1636" s="278"/>
      <c r="S1636" s="278"/>
      <c r="T1636" s="278"/>
    </row>
    <row r="1637" spans="1:20" s="305" customFormat="1" hidden="1" outlineLevel="2" x14ac:dyDescent="0.25">
      <c r="A1637" s="278"/>
      <c r="B1637" s="279" t="str">
        <f t="shared" si="641"/>
        <v>shelfglassprestige</v>
      </c>
      <c r="C1637" s="278" t="s">
        <v>2190</v>
      </c>
      <c r="D1637" s="278"/>
      <c r="E1637" s="278" t="s">
        <v>539</v>
      </c>
      <c r="F1637" s="278" t="s">
        <v>545</v>
      </c>
      <c r="G1637" s="278" t="s">
        <v>5</v>
      </c>
      <c r="H1637" s="310">
        <v>0.33</v>
      </c>
      <c r="I1637" s="280">
        <f t="shared" si="642"/>
        <v>26.604600000000001</v>
      </c>
      <c r="J1637" s="281">
        <f t="shared" si="643"/>
        <v>30.171900000000004</v>
      </c>
      <c r="K1637" s="282">
        <f>IF(Notes!$B$9="Domestic",I1637, IF(Notes!$B$9="Commercial",J1637))*$K$1598</f>
        <v>30.171900000000004</v>
      </c>
      <c r="L1637" s="283">
        <f>(SUM(O1637:Q1637)+(K1637+SUM(M1637:Q1637))*(INDEX($U$1598:$AB$1598,MATCH(Notes!$C$16,$U$3:$AB$3,0))-100%))*$L$1598</f>
        <v>193.51</v>
      </c>
      <c r="M1637" s="286"/>
      <c r="N1637" s="286"/>
      <c r="O1637" s="285">
        <v>193.51</v>
      </c>
      <c r="P1637" s="285"/>
      <c r="Q1637" s="285"/>
      <c r="R1637" s="278"/>
      <c r="S1637" s="278"/>
      <c r="T1637" s="278"/>
    </row>
    <row r="1638" spans="1:20" s="305" customFormat="1" hidden="1" outlineLevel="2" x14ac:dyDescent="0.25">
      <c r="A1638" s="278"/>
      <c r="B1638" s="279" t="str">
        <f t="shared" si="638"/>
        <v>shelfstainless steelaverage</v>
      </c>
      <c r="C1638" s="278" t="s">
        <v>2190</v>
      </c>
      <c r="D1638" s="278"/>
      <c r="E1638" s="278" t="s">
        <v>1011</v>
      </c>
      <c r="F1638" s="278" t="s">
        <v>543</v>
      </c>
      <c r="G1638" s="278" t="s">
        <v>5</v>
      </c>
      <c r="H1638" s="310">
        <v>0.33</v>
      </c>
      <c r="I1638" s="280">
        <f t="shared" si="639"/>
        <v>26.604600000000001</v>
      </c>
      <c r="J1638" s="281">
        <f t="shared" si="640"/>
        <v>30.171900000000004</v>
      </c>
      <c r="K1638" s="282">
        <f>IF(Notes!$B$9="Domestic",I1638, IF(Notes!$B$9="Commercial",J1638))*$K$1598</f>
        <v>30.171900000000004</v>
      </c>
      <c r="L1638" s="283">
        <f>(SUM(O1638:Q1638)+(K1638+SUM(M1638:Q1638))*(INDEX($U$1598:$AB$1598,MATCH(Notes!$C$16,$U$3:$AB$3,0))-100%))*$L$1598</f>
        <v>54.65</v>
      </c>
      <c r="M1638" s="286"/>
      <c r="N1638" s="286"/>
      <c r="O1638" s="285">
        <v>54.65</v>
      </c>
      <c r="P1638" s="285"/>
      <c r="Q1638" s="285"/>
      <c r="R1638" s="278"/>
      <c r="S1638" s="278"/>
      <c r="T1638" s="278"/>
    </row>
    <row r="1639" spans="1:20" s="305" customFormat="1" hidden="1" outlineLevel="2" x14ac:dyDescent="0.25">
      <c r="A1639" s="278"/>
      <c r="B1639" s="279" t="str">
        <f t="shared" si="638"/>
        <v>shelfstainless steelquality</v>
      </c>
      <c r="C1639" s="278" t="s">
        <v>2190</v>
      </c>
      <c r="D1639" s="278"/>
      <c r="E1639" s="278" t="s">
        <v>1011</v>
      </c>
      <c r="F1639" s="278" t="s">
        <v>544</v>
      </c>
      <c r="G1639" s="278" t="s">
        <v>5</v>
      </c>
      <c r="H1639" s="310">
        <v>0.33</v>
      </c>
      <c r="I1639" s="280">
        <f t="shared" si="639"/>
        <v>26.604600000000001</v>
      </c>
      <c r="J1639" s="281">
        <f t="shared" si="640"/>
        <v>30.171900000000004</v>
      </c>
      <c r="K1639" s="282">
        <f>IF(Notes!$B$9="Domestic",I1639, IF(Notes!$B$9="Commercial",J1639))*$K$1598</f>
        <v>30.171900000000004</v>
      </c>
      <c r="L1639" s="283">
        <f>(SUM(O1639:Q1639)+(K1639+SUM(M1639:Q1639))*(INDEX($U$1598:$AB$1598,MATCH(Notes!$C$16,$U$3:$AB$3,0))-100%))*$L$1598</f>
        <v>106.55</v>
      </c>
      <c r="M1639" s="286"/>
      <c r="N1639" s="286"/>
      <c r="O1639" s="285">
        <v>106.55</v>
      </c>
      <c r="P1639" s="285"/>
      <c r="Q1639" s="285"/>
      <c r="R1639" s="278"/>
      <c r="S1639" s="278"/>
      <c r="T1639" s="278"/>
    </row>
    <row r="1640" spans="1:20" s="305" customFormat="1" hidden="1" outlineLevel="2" x14ac:dyDescent="0.25">
      <c r="A1640" s="278"/>
      <c r="B1640" s="279" t="str">
        <f t="shared" si="638"/>
        <v>shelfstainless steelprestige</v>
      </c>
      <c r="C1640" s="278" t="s">
        <v>2190</v>
      </c>
      <c r="D1640" s="278"/>
      <c r="E1640" s="278" t="s">
        <v>1011</v>
      </c>
      <c r="F1640" s="278" t="s">
        <v>545</v>
      </c>
      <c r="G1640" s="278" t="s">
        <v>5</v>
      </c>
      <c r="H1640" s="310">
        <v>0.33</v>
      </c>
      <c r="I1640" s="280">
        <f t="shared" si="639"/>
        <v>26.604600000000001</v>
      </c>
      <c r="J1640" s="281">
        <f t="shared" si="640"/>
        <v>30.171900000000004</v>
      </c>
      <c r="K1640" s="282">
        <f>IF(Notes!$B$9="Domestic",I1640, IF(Notes!$B$9="Commercial",J1640))*$K$1598</f>
        <v>30.171900000000004</v>
      </c>
      <c r="L1640" s="283">
        <f>(SUM(O1640:Q1640)+(K1640+SUM(M1640:Q1640))*(INDEX($U$1598:$AB$1598,MATCH(Notes!$C$16,$U$3:$AB$3,0))-100%))*$L$1598</f>
        <v>185.45</v>
      </c>
      <c r="M1640" s="286"/>
      <c r="N1640" s="286"/>
      <c r="O1640" s="285">
        <v>185.45</v>
      </c>
      <c r="P1640" s="285"/>
      <c r="Q1640" s="285"/>
      <c r="R1640" s="278"/>
      <c r="S1640" s="278"/>
      <c r="T1640" s="278"/>
    </row>
    <row r="1641" spans="1:20" s="305" customFormat="1" hidden="1" outlineLevel="2" x14ac:dyDescent="0.25">
      <c r="A1641" s="278"/>
      <c r="B1641" s="279" t="str">
        <f t="shared" si="638"/>
        <v>shower curtainaverage</v>
      </c>
      <c r="C1641" s="278" t="s">
        <v>2182</v>
      </c>
      <c r="D1641" s="278"/>
      <c r="E1641" s="278"/>
      <c r="F1641" s="278" t="s">
        <v>543</v>
      </c>
      <c r="G1641" s="278" t="s">
        <v>5</v>
      </c>
      <c r="H1641" s="310">
        <v>0.6</v>
      </c>
      <c r="I1641" s="280">
        <f t="shared" si="639"/>
        <v>48.372</v>
      </c>
      <c r="J1641" s="281">
        <f t="shared" si="640"/>
        <v>54.858000000000004</v>
      </c>
      <c r="K1641" s="282">
        <f>IF(Notes!$B$9="Domestic",I1641, IF(Notes!$B$9="Commercial",J1641))*$K$1598</f>
        <v>54.858000000000004</v>
      </c>
      <c r="L1641" s="283">
        <f>(SUM(O1641:Q1641)+(K1641+SUM(M1641:Q1641))*(INDEX($U$1598:$AB$1598,MATCH(Notes!$C$16,$U$3:$AB$3,0))-100%))*$L$1598</f>
        <v>84.26</v>
      </c>
      <c r="M1641" s="286"/>
      <c r="N1641" s="286"/>
      <c r="O1641" s="285">
        <v>84.26</v>
      </c>
      <c r="P1641" s="285"/>
      <c r="Q1641" s="285"/>
      <c r="R1641" s="278"/>
      <c r="S1641" s="278"/>
      <c r="T1641" s="278"/>
    </row>
    <row r="1642" spans="1:20" s="305" customFormat="1" hidden="1" outlineLevel="2" x14ac:dyDescent="0.25">
      <c r="A1642" s="278"/>
      <c r="B1642" s="279" t="str">
        <f t="shared" si="638"/>
        <v>shower curtainquality</v>
      </c>
      <c r="C1642" s="278" t="s">
        <v>2182</v>
      </c>
      <c r="D1642" s="278"/>
      <c r="E1642" s="278"/>
      <c r="F1642" s="278" t="s">
        <v>544</v>
      </c>
      <c r="G1642" s="278" t="s">
        <v>5</v>
      </c>
      <c r="H1642" s="310">
        <v>0.6</v>
      </c>
      <c r="I1642" s="280">
        <f t="shared" si="639"/>
        <v>48.372</v>
      </c>
      <c r="J1642" s="281">
        <f t="shared" si="640"/>
        <v>54.858000000000004</v>
      </c>
      <c r="K1642" s="282">
        <f>IF(Notes!$B$9="Domestic",I1642, IF(Notes!$B$9="Commercial",J1642))*$K$1598</f>
        <v>54.858000000000004</v>
      </c>
      <c r="L1642" s="283">
        <f>(SUM(O1642:Q1642)+(K1642+SUM(M1642:Q1642))*(INDEX($U$1598:$AB$1598,MATCH(Notes!$C$16,$U$3:$AB$3,0))-100%))*$L$1598</f>
        <v>167.57</v>
      </c>
      <c r="M1642" s="286"/>
      <c r="N1642" s="286"/>
      <c r="O1642" s="285">
        <v>167.57</v>
      </c>
      <c r="P1642" s="285"/>
      <c r="Q1642" s="285"/>
      <c r="R1642" s="278"/>
      <c r="S1642" s="278"/>
      <c r="T1642" s="278"/>
    </row>
    <row r="1643" spans="1:20" s="305" customFormat="1" hidden="1" outlineLevel="2" x14ac:dyDescent="0.25">
      <c r="A1643" s="278"/>
      <c r="B1643" s="279" t="str">
        <f t="shared" si="638"/>
        <v>shower curtainprestige</v>
      </c>
      <c r="C1643" s="278" t="s">
        <v>2182</v>
      </c>
      <c r="D1643" s="278"/>
      <c r="E1643" s="278"/>
      <c r="F1643" s="278" t="s">
        <v>545</v>
      </c>
      <c r="G1643" s="278" t="s">
        <v>5</v>
      </c>
      <c r="H1643" s="310">
        <v>0.6</v>
      </c>
      <c r="I1643" s="280">
        <f t="shared" si="639"/>
        <v>48.372</v>
      </c>
      <c r="J1643" s="281">
        <f t="shared" si="640"/>
        <v>54.858000000000004</v>
      </c>
      <c r="K1643" s="282">
        <f>IF(Notes!$B$9="Domestic",I1643, IF(Notes!$B$9="Commercial",J1643))*$K$1598</f>
        <v>54.858000000000004</v>
      </c>
      <c r="L1643" s="283">
        <f>(SUM(O1643:Q1643)+(K1643+SUM(M1643:Q1643))*(INDEX($U$1598:$AB$1598,MATCH(Notes!$C$16,$U$3:$AB$3,0))-100%))*$L$1598</f>
        <v>377.81</v>
      </c>
      <c r="M1643" s="286"/>
      <c r="N1643" s="286"/>
      <c r="O1643" s="285">
        <v>377.81</v>
      </c>
      <c r="P1643" s="285"/>
      <c r="Q1643" s="285"/>
      <c r="R1643" s="278"/>
      <c r="S1643" s="278"/>
      <c r="T1643" s="278"/>
    </row>
    <row r="1644" spans="1:20" s="305" customFormat="1" hidden="1" outlineLevel="2" x14ac:dyDescent="0.25">
      <c r="A1644" s="278"/>
      <c r="B1644" s="279" t="str">
        <f t="shared" si="638"/>
        <v>paper towel dispenseraverage</v>
      </c>
      <c r="C1644" s="278" t="s">
        <v>2183</v>
      </c>
      <c r="D1644" s="278"/>
      <c r="E1644" s="278"/>
      <c r="F1644" s="278" t="s">
        <v>543</v>
      </c>
      <c r="G1644" s="278" t="s">
        <v>5</v>
      </c>
      <c r="H1644" s="310">
        <v>0.25</v>
      </c>
      <c r="I1644" s="280">
        <f t="shared" si="639"/>
        <v>20.155000000000001</v>
      </c>
      <c r="J1644" s="281">
        <f t="shared" si="640"/>
        <v>22.857500000000002</v>
      </c>
      <c r="K1644" s="282">
        <f>IF(Notes!$B$9="Domestic",I1644, IF(Notes!$B$9="Commercial",J1644))*$K$1598</f>
        <v>22.857500000000002</v>
      </c>
      <c r="L1644" s="283">
        <f>(SUM(O1644:Q1644)+(K1644+SUM(M1644:Q1644))*(INDEX($U$1598:$AB$1598,MATCH(Notes!$C$16,$U$3:$AB$3,0))-100%))*$L$1598</f>
        <v>100.22</v>
      </c>
      <c r="M1644" s="286"/>
      <c r="N1644" s="286"/>
      <c r="O1644" s="285">
        <v>100.22</v>
      </c>
      <c r="P1644" s="285"/>
      <c r="Q1644" s="285"/>
      <c r="R1644" s="278"/>
      <c r="S1644" s="278"/>
      <c r="T1644" s="278"/>
    </row>
    <row r="1645" spans="1:20" s="305" customFormat="1" hidden="1" outlineLevel="2" x14ac:dyDescent="0.25">
      <c r="A1645" s="278"/>
      <c r="B1645" s="279" t="str">
        <f t="shared" si="638"/>
        <v>paper towel dispenserquality</v>
      </c>
      <c r="C1645" s="278" t="s">
        <v>2183</v>
      </c>
      <c r="D1645" s="278"/>
      <c r="E1645" s="278"/>
      <c r="F1645" s="278" t="s">
        <v>544</v>
      </c>
      <c r="G1645" s="278" t="s">
        <v>5</v>
      </c>
      <c r="H1645" s="310">
        <v>0.25</v>
      </c>
      <c r="I1645" s="280">
        <f t="shared" si="639"/>
        <v>20.155000000000001</v>
      </c>
      <c r="J1645" s="281">
        <f t="shared" si="640"/>
        <v>22.857500000000002</v>
      </c>
      <c r="K1645" s="282">
        <f>IF(Notes!$B$9="Domestic",I1645, IF(Notes!$B$9="Commercial",J1645))*$K$1598</f>
        <v>22.857500000000002</v>
      </c>
      <c r="L1645" s="283">
        <f>(SUM(O1645:Q1645)+(K1645+SUM(M1645:Q1645))*(INDEX($U$1598:$AB$1598,MATCH(Notes!$C$16,$U$3:$AB$3,0))-100%))*$L$1598</f>
        <v>182.12</v>
      </c>
      <c r="M1645" s="286"/>
      <c r="N1645" s="286"/>
      <c r="O1645" s="285">
        <v>182.12</v>
      </c>
      <c r="P1645" s="285"/>
      <c r="Q1645" s="285"/>
      <c r="R1645" s="278"/>
      <c r="S1645" s="278"/>
      <c r="T1645" s="278"/>
    </row>
    <row r="1646" spans="1:20" s="305" customFormat="1" hidden="1" outlineLevel="2" x14ac:dyDescent="0.25">
      <c r="A1646" s="278"/>
      <c r="B1646" s="279" t="str">
        <f t="shared" si="638"/>
        <v>paper towel dispenserprestige</v>
      </c>
      <c r="C1646" s="278" t="s">
        <v>2183</v>
      </c>
      <c r="D1646" s="278"/>
      <c r="E1646" s="278"/>
      <c r="F1646" s="278" t="s">
        <v>545</v>
      </c>
      <c r="G1646" s="278" t="s">
        <v>5</v>
      </c>
      <c r="H1646" s="310">
        <v>0.25</v>
      </c>
      <c r="I1646" s="280">
        <f t="shared" si="639"/>
        <v>20.155000000000001</v>
      </c>
      <c r="J1646" s="281">
        <f t="shared" si="640"/>
        <v>22.857500000000002</v>
      </c>
      <c r="K1646" s="282">
        <f>IF(Notes!$B$9="Domestic",I1646, IF(Notes!$B$9="Commercial",J1646))*$K$1598</f>
        <v>22.857500000000002</v>
      </c>
      <c r="L1646" s="283">
        <f>(SUM(O1646:Q1646)+(K1646+SUM(M1646:Q1646))*(INDEX($U$1598:$AB$1598,MATCH(Notes!$C$16,$U$3:$AB$3,0))-100%))*$L$1598</f>
        <v>321.32</v>
      </c>
      <c r="M1646" s="286"/>
      <c r="N1646" s="286"/>
      <c r="O1646" s="285">
        <v>321.32</v>
      </c>
      <c r="P1646" s="285"/>
      <c r="Q1646" s="285"/>
      <c r="R1646" s="278"/>
      <c r="S1646" s="278"/>
      <c r="T1646" s="278"/>
    </row>
    <row r="1647" spans="1:20" s="305" customFormat="1" hidden="1" outlineLevel="2" x14ac:dyDescent="0.25">
      <c r="A1647" s="278"/>
      <c r="B1647" s="279" t="str">
        <f t="shared" si="632"/>
        <v>liquid hand cleaner dispenseraverage</v>
      </c>
      <c r="C1647" s="278" t="s">
        <v>2184</v>
      </c>
      <c r="D1647" s="278"/>
      <c r="E1647" s="278"/>
      <c r="F1647" s="278" t="s">
        <v>543</v>
      </c>
      <c r="G1647" s="278" t="s">
        <v>5</v>
      </c>
      <c r="H1647" s="310">
        <v>0.25</v>
      </c>
      <c r="I1647" s="280">
        <f t="shared" si="633"/>
        <v>20.155000000000001</v>
      </c>
      <c r="J1647" s="281">
        <f t="shared" si="634"/>
        <v>22.857500000000002</v>
      </c>
      <c r="K1647" s="282">
        <f>IF(Notes!$B$9="Domestic",I1647, IF(Notes!$B$9="Commercial",J1647))*$K$1598</f>
        <v>22.857500000000002</v>
      </c>
      <c r="L1647" s="283">
        <f>(SUM(O1647:Q1647)+(K1647+SUM(M1647:Q1647))*(INDEX($U$1598:$AB$1598,MATCH(Notes!$C$16,$U$3:$AB$3,0))-100%))*$L$1598</f>
        <v>61.41</v>
      </c>
      <c r="M1647" s="286"/>
      <c r="N1647" s="286"/>
      <c r="O1647" s="285">
        <v>61.41</v>
      </c>
      <c r="P1647" s="285"/>
      <c r="Q1647" s="285"/>
      <c r="R1647" s="278"/>
      <c r="S1647" s="278"/>
      <c r="T1647" s="278"/>
    </row>
    <row r="1648" spans="1:20" s="305" customFormat="1" hidden="1" outlineLevel="2" x14ac:dyDescent="0.25">
      <c r="A1648" s="278"/>
      <c r="B1648" s="279" t="str">
        <f t="shared" si="624"/>
        <v>liquid hand cleaner dispenserquality</v>
      </c>
      <c r="C1648" s="278" t="s">
        <v>2184</v>
      </c>
      <c r="D1648" s="278"/>
      <c r="E1648" s="278"/>
      <c r="F1648" s="278" t="s">
        <v>544</v>
      </c>
      <c r="G1648" s="278" t="s">
        <v>5</v>
      </c>
      <c r="H1648" s="310">
        <v>0.25</v>
      </c>
      <c r="I1648" s="280">
        <f t="shared" si="627"/>
        <v>20.155000000000001</v>
      </c>
      <c r="J1648" s="281">
        <f t="shared" si="626"/>
        <v>22.857500000000002</v>
      </c>
      <c r="K1648" s="282">
        <f>IF(Notes!$B$9="Domestic",I1648, IF(Notes!$B$9="Commercial",J1648))*$K$1598</f>
        <v>22.857500000000002</v>
      </c>
      <c r="L1648" s="283">
        <f>(SUM(O1648:Q1648)+(K1648+SUM(M1648:Q1648))*(INDEX($U$1598:$AB$1598,MATCH(Notes!$C$16,$U$3:$AB$3,0))-100%))*$L$1598</f>
        <v>122.82</v>
      </c>
      <c r="M1648" s="286"/>
      <c r="N1648" s="286"/>
      <c r="O1648" s="311">
        <f>O1647*2</f>
        <v>122.82</v>
      </c>
      <c r="P1648" s="285"/>
      <c r="Q1648" s="285"/>
      <c r="R1648" s="278"/>
      <c r="S1648" s="278"/>
      <c r="T1648" s="278"/>
    </row>
    <row r="1649" spans="1:20" s="305" customFormat="1" hidden="1" outlineLevel="2" x14ac:dyDescent="0.25">
      <c r="A1649" s="278"/>
      <c r="B1649" s="279" t="str">
        <f t="shared" si="624"/>
        <v>liquid hand cleaner dispenserprestige</v>
      </c>
      <c r="C1649" s="278" t="s">
        <v>2184</v>
      </c>
      <c r="D1649" s="278"/>
      <c r="E1649" s="278"/>
      <c r="F1649" s="278" t="s">
        <v>545</v>
      </c>
      <c r="G1649" s="278" t="s">
        <v>5</v>
      </c>
      <c r="H1649" s="310">
        <v>0.25</v>
      </c>
      <c r="I1649" s="280">
        <f t="shared" si="627"/>
        <v>20.155000000000001</v>
      </c>
      <c r="J1649" s="281">
        <f t="shared" si="626"/>
        <v>22.857500000000002</v>
      </c>
      <c r="K1649" s="282">
        <f>IF(Notes!$B$9="Domestic",I1649, IF(Notes!$B$9="Commercial",J1649))*$K$1598</f>
        <v>22.857500000000002</v>
      </c>
      <c r="L1649" s="283">
        <f>(SUM(O1649:Q1649)+(K1649+SUM(M1649:Q1649))*(INDEX($U$1598:$AB$1598,MATCH(Notes!$C$16,$U$3:$AB$3,0))-100%))*$L$1598</f>
        <v>245.64</v>
      </c>
      <c r="M1649" s="286"/>
      <c r="N1649" s="286"/>
      <c r="O1649" s="311">
        <f>O1648*2</f>
        <v>245.64</v>
      </c>
      <c r="P1649" s="285"/>
      <c r="Q1649" s="285"/>
      <c r="R1649" s="278"/>
      <c r="S1649" s="278"/>
      <c r="T1649" s="278"/>
    </row>
    <row r="1650" spans="1:20" s="305" customFormat="1" hidden="1" outlineLevel="2" x14ac:dyDescent="0.25">
      <c r="A1650" s="278"/>
      <c r="B1650" s="279" t="str">
        <f t="shared" ref="B1650:B1658" si="644">C1650&amp;D1650&amp;E1650&amp;F1650</f>
        <v>robe hookaverage</v>
      </c>
      <c r="C1650" s="278" t="s">
        <v>2185</v>
      </c>
      <c r="D1650" s="278"/>
      <c r="E1650" s="278"/>
      <c r="F1650" s="278" t="s">
        <v>543</v>
      </c>
      <c r="G1650" s="278" t="s">
        <v>5</v>
      </c>
      <c r="H1650" s="310">
        <v>0.18</v>
      </c>
      <c r="I1650" s="280">
        <f t="shared" ref="I1650:I1658" si="645">$I$2*H1650</f>
        <v>14.5116</v>
      </c>
      <c r="J1650" s="281">
        <f t="shared" ref="J1650:J1658" si="646">$J$2*H1650</f>
        <v>16.4574</v>
      </c>
      <c r="K1650" s="282">
        <f>IF(Notes!$B$9="Domestic",I1650, IF(Notes!$B$9="Commercial",J1650))*$K$1598</f>
        <v>16.4574</v>
      </c>
      <c r="L1650" s="283">
        <f>(SUM(O1650:Q1650)+(K1650+SUM(M1650:Q1650))*(INDEX($U$1598:$AB$1598,MATCH(Notes!$C$16,$U$3:$AB$3,0))-100%))*$L$1598</f>
        <v>15.3</v>
      </c>
      <c r="M1650" s="286"/>
      <c r="N1650" s="286"/>
      <c r="O1650" s="285">
        <v>15.3</v>
      </c>
      <c r="P1650" s="285"/>
      <c r="Q1650" s="285"/>
      <c r="R1650" s="278"/>
      <c r="S1650" s="278"/>
      <c r="T1650" s="278"/>
    </row>
    <row r="1651" spans="1:20" s="305" customFormat="1" hidden="1" outlineLevel="2" x14ac:dyDescent="0.25">
      <c r="A1651" s="278"/>
      <c r="B1651" s="279" t="str">
        <f t="shared" si="644"/>
        <v>robe hookquality</v>
      </c>
      <c r="C1651" s="278" t="s">
        <v>2185</v>
      </c>
      <c r="D1651" s="278"/>
      <c r="E1651" s="278"/>
      <c r="F1651" s="278" t="s">
        <v>544</v>
      </c>
      <c r="G1651" s="278" t="s">
        <v>5</v>
      </c>
      <c r="H1651" s="310">
        <v>0.18</v>
      </c>
      <c r="I1651" s="280">
        <f t="shared" si="645"/>
        <v>14.5116</v>
      </c>
      <c r="J1651" s="281">
        <f t="shared" si="646"/>
        <v>16.4574</v>
      </c>
      <c r="K1651" s="282">
        <f>IF(Notes!$B$9="Domestic",I1651, IF(Notes!$B$9="Commercial",J1651))*$K$1598</f>
        <v>16.4574</v>
      </c>
      <c r="L1651" s="283">
        <f>(SUM(O1651:Q1651)+(K1651+SUM(M1651:Q1651))*(INDEX($U$1598:$AB$1598,MATCH(Notes!$C$16,$U$3:$AB$3,0))-100%))*$L$1598</f>
        <v>30.6</v>
      </c>
      <c r="M1651" s="286"/>
      <c r="N1651" s="286"/>
      <c r="O1651" s="311">
        <f>O1650*2</f>
        <v>30.6</v>
      </c>
      <c r="P1651" s="285"/>
      <c r="Q1651" s="285"/>
      <c r="R1651" s="278"/>
      <c r="S1651" s="278"/>
      <c r="T1651" s="278"/>
    </row>
    <row r="1652" spans="1:20" s="305" customFormat="1" hidden="1" outlineLevel="2" x14ac:dyDescent="0.25">
      <c r="A1652" s="278"/>
      <c r="B1652" s="279" t="str">
        <f t="shared" si="644"/>
        <v>robe hookprestige</v>
      </c>
      <c r="C1652" s="278" t="s">
        <v>2185</v>
      </c>
      <c r="D1652" s="278"/>
      <c r="E1652" s="278"/>
      <c r="F1652" s="278" t="s">
        <v>545</v>
      </c>
      <c r="G1652" s="278" t="s">
        <v>5</v>
      </c>
      <c r="H1652" s="310">
        <v>0.18</v>
      </c>
      <c r="I1652" s="280">
        <f t="shared" si="645"/>
        <v>14.5116</v>
      </c>
      <c r="J1652" s="281">
        <f t="shared" si="646"/>
        <v>16.4574</v>
      </c>
      <c r="K1652" s="282">
        <f>IF(Notes!$B$9="Domestic",I1652, IF(Notes!$B$9="Commercial",J1652))*$K$1598</f>
        <v>16.4574</v>
      </c>
      <c r="L1652" s="283">
        <f>(SUM(O1652:Q1652)+(K1652+SUM(M1652:Q1652))*(INDEX($U$1598:$AB$1598,MATCH(Notes!$C$16,$U$3:$AB$3,0))-100%))*$L$1598</f>
        <v>61.2</v>
      </c>
      <c r="M1652" s="286"/>
      <c r="N1652" s="286"/>
      <c r="O1652" s="311">
        <f>O1651*2</f>
        <v>61.2</v>
      </c>
      <c r="P1652" s="285"/>
      <c r="Q1652" s="285"/>
      <c r="R1652" s="278"/>
      <c r="S1652" s="278"/>
      <c r="T1652" s="278"/>
    </row>
    <row r="1653" spans="1:20" s="305" customFormat="1" hidden="1" outlineLevel="2" x14ac:dyDescent="0.25">
      <c r="A1653" s="278"/>
      <c r="B1653" s="279" t="str">
        <f t="shared" si="644"/>
        <v>hand dryeraverage</v>
      </c>
      <c r="C1653" s="278" t="s">
        <v>2186</v>
      </c>
      <c r="D1653" s="278"/>
      <c r="E1653" s="278"/>
      <c r="F1653" s="278" t="s">
        <v>543</v>
      </c>
      <c r="G1653" s="278" t="s">
        <v>5</v>
      </c>
      <c r="H1653" s="310">
        <v>0.75</v>
      </c>
      <c r="I1653" s="280">
        <f t="shared" si="645"/>
        <v>60.465000000000003</v>
      </c>
      <c r="J1653" s="281">
        <f t="shared" si="646"/>
        <v>68.572500000000005</v>
      </c>
      <c r="K1653" s="282">
        <f>IF(Notes!$B$9="Domestic",I1653, IF(Notes!$B$9="Commercial",J1653))*$K$1598</f>
        <v>68.572500000000005</v>
      </c>
      <c r="L1653" s="283">
        <f>(SUM(O1653:Q1653)+(K1653+SUM(M1653:Q1653))*(INDEX($U$1598:$AB$1598,MATCH(Notes!$C$16,$U$3:$AB$3,0))-100%))*$L$1598</f>
        <v>798.73</v>
      </c>
      <c r="M1653" s="286"/>
      <c r="N1653" s="286"/>
      <c r="O1653" s="285">
        <v>798.73</v>
      </c>
      <c r="P1653" s="285"/>
      <c r="Q1653" s="285"/>
      <c r="R1653" s="278"/>
      <c r="S1653" s="278"/>
      <c r="T1653" s="278"/>
    </row>
    <row r="1654" spans="1:20" s="305" customFormat="1" hidden="1" outlineLevel="2" x14ac:dyDescent="0.25">
      <c r="A1654" s="278"/>
      <c r="B1654" s="279" t="str">
        <f t="shared" si="644"/>
        <v>hand dryerquality</v>
      </c>
      <c r="C1654" s="278" t="s">
        <v>2186</v>
      </c>
      <c r="D1654" s="278"/>
      <c r="E1654" s="278"/>
      <c r="F1654" s="278" t="s">
        <v>544</v>
      </c>
      <c r="G1654" s="278" t="s">
        <v>5</v>
      </c>
      <c r="H1654" s="310">
        <v>0.75</v>
      </c>
      <c r="I1654" s="280">
        <f t="shared" si="645"/>
        <v>60.465000000000003</v>
      </c>
      <c r="J1654" s="281">
        <f t="shared" si="646"/>
        <v>68.572500000000005</v>
      </c>
      <c r="K1654" s="282">
        <f>IF(Notes!$B$9="Domestic",I1654, IF(Notes!$B$9="Commercial",J1654))*$K$1598</f>
        <v>68.572500000000005</v>
      </c>
      <c r="L1654" s="283">
        <f>(SUM(O1654:Q1654)+(K1654+SUM(M1654:Q1654))*(INDEX($U$1598:$AB$1598,MATCH(Notes!$C$16,$U$3:$AB$3,0))-100%))*$L$1598</f>
        <v>828.96</v>
      </c>
      <c r="M1654" s="286"/>
      <c r="N1654" s="286"/>
      <c r="O1654" s="285">
        <v>828.96</v>
      </c>
      <c r="P1654" s="285"/>
      <c r="Q1654" s="285"/>
      <c r="R1654" s="278"/>
      <c r="S1654" s="278"/>
      <c r="T1654" s="278"/>
    </row>
    <row r="1655" spans="1:20" s="305" customFormat="1" hidden="1" outlineLevel="2" x14ac:dyDescent="0.25">
      <c r="A1655" s="278"/>
      <c r="B1655" s="279" t="str">
        <f t="shared" si="644"/>
        <v>hand dryerprestige</v>
      </c>
      <c r="C1655" s="278" t="s">
        <v>2186</v>
      </c>
      <c r="D1655" s="278"/>
      <c r="E1655" s="278"/>
      <c r="F1655" s="278" t="s">
        <v>545</v>
      </c>
      <c r="G1655" s="278" t="s">
        <v>5</v>
      </c>
      <c r="H1655" s="310">
        <v>0.75</v>
      </c>
      <c r="I1655" s="280">
        <f t="shared" si="645"/>
        <v>60.465000000000003</v>
      </c>
      <c r="J1655" s="281">
        <f t="shared" si="646"/>
        <v>68.572500000000005</v>
      </c>
      <c r="K1655" s="282">
        <f>IF(Notes!$B$9="Domestic",I1655, IF(Notes!$B$9="Commercial",J1655))*$K$1598</f>
        <v>68.572500000000005</v>
      </c>
      <c r="L1655" s="283">
        <f>(SUM(O1655:Q1655)+(K1655+SUM(M1655:Q1655))*(INDEX($U$1598:$AB$1598,MATCH(Notes!$C$16,$U$3:$AB$3,0))-100%))*$L$1598</f>
        <v>1340</v>
      </c>
      <c r="M1655" s="286"/>
      <c r="N1655" s="286"/>
      <c r="O1655" s="285">
        <v>1340</v>
      </c>
      <c r="P1655" s="285"/>
      <c r="Q1655" s="285"/>
      <c r="R1655" s="278"/>
      <c r="S1655" s="278"/>
      <c r="T1655" s="278"/>
    </row>
    <row r="1656" spans="1:20" s="305" customFormat="1" hidden="1" outlineLevel="2" x14ac:dyDescent="0.25">
      <c r="A1656" s="278"/>
      <c r="B1656" s="279" t="str">
        <f t="shared" si="644"/>
        <v>disabled grab railaverage</v>
      </c>
      <c r="C1656" s="278" t="s">
        <v>2187</v>
      </c>
      <c r="D1656" s="278"/>
      <c r="E1656" s="278"/>
      <c r="F1656" s="278" t="s">
        <v>543</v>
      </c>
      <c r="G1656" s="278" t="s">
        <v>5</v>
      </c>
      <c r="H1656" s="310">
        <v>1</v>
      </c>
      <c r="I1656" s="280">
        <f t="shared" si="645"/>
        <v>80.62</v>
      </c>
      <c r="J1656" s="281">
        <f t="shared" si="646"/>
        <v>91.43</v>
      </c>
      <c r="K1656" s="282">
        <f>IF(Notes!$B$9="Domestic",I1656, IF(Notes!$B$9="Commercial",J1656))*$K$1598</f>
        <v>91.43</v>
      </c>
      <c r="L1656" s="283">
        <f>(SUM(O1656:Q1656)+(K1656+SUM(M1656:Q1656))*(INDEX($U$1598:$AB$1598,MATCH(Notes!$C$16,$U$3:$AB$3,0))-100%))*$L$1598</f>
        <v>223.48</v>
      </c>
      <c r="M1656" s="286"/>
      <c r="N1656" s="286"/>
      <c r="O1656" s="285">
        <v>223.48</v>
      </c>
      <c r="P1656" s="285"/>
      <c r="Q1656" s="285"/>
      <c r="R1656" s="278"/>
      <c r="S1656" s="278"/>
      <c r="T1656" s="278"/>
    </row>
    <row r="1657" spans="1:20" s="305" customFormat="1" hidden="1" outlineLevel="2" x14ac:dyDescent="0.25">
      <c r="A1657" s="278"/>
      <c r="B1657" s="279" t="str">
        <f t="shared" si="644"/>
        <v>disabled grab railquality</v>
      </c>
      <c r="C1657" s="278" t="s">
        <v>2187</v>
      </c>
      <c r="D1657" s="278"/>
      <c r="E1657" s="278"/>
      <c r="F1657" s="278" t="s">
        <v>544</v>
      </c>
      <c r="G1657" s="278" t="s">
        <v>5</v>
      </c>
      <c r="H1657" s="310">
        <v>1</v>
      </c>
      <c r="I1657" s="280">
        <f t="shared" si="645"/>
        <v>80.62</v>
      </c>
      <c r="J1657" s="281">
        <f t="shared" si="646"/>
        <v>91.43</v>
      </c>
      <c r="K1657" s="282">
        <f>IF(Notes!$B$9="Domestic",I1657, IF(Notes!$B$9="Commercial",J1657))*$K$1598</f>
        <v>91.43</v>
      </c>
      <c r="L1657" s="283">
        <f>(SUM(O1657:Q1657)+(K1657+SUM(M1657:Q1657))*(INDEX($U$1598:$AB$1598,MATCH(Notes!$C$16,$U$3:$AB$3,0))-100%))*$L$1598</f>
        <v>359.06</v>
      </c>
      <c r="M1657" s="286"/>
      <c r="N1657" s="286"/>
      <c r="O1657" s="311">
        <f>(O1656+O1658)/2</f>
        <v>359.06</v>
      </c>
      <c r="P1657" s="285"/>
      <c r="Q1657" s="285"/>
      <c r="R1657" s="278"/>
      <c r="S1657" s="278"/>
      <c r="T1657" s="278"/>
    </row>
    <row r="1658" spans="1:20" s="305" customFormat="1" hidden="1" outlineLevel="2" x14ac:dyDescent="0.25">
      <c r="A1658" s="278"/>
      <c r="B1658" s="279" t="str">
        <f t="shared" si="644"/>
        <v>disabled grab railprestige</v>
      </c>
      <c r="C1658" s="278" t="s">
        <v>2187</v>
      </c>
      <c r="D1658" s="278"/>
      <c r="E1658" s="278"/>
      <c r="F1658" s="278" t="s">
        <v>545</v>
      </c>
      <c r="G1658" s="278" t="s">
        <v>5</v>
      </c>
      <c r="H1658" s="310">
        <v>1</v>
      </c>
      <c r="I1658" s="280">
        <f t="shared" si="645"/>
        <v>80.62</v>
      </c>
      <c r="J1658" s="281">
        <f t="shared" si="646"/>
        <v>91.43</v>
      </c>
      <c r="K1658" s="282">
        <f>IF(Notes!$B$9="Domestic",I1658, IF(Notes!$B$9="Commercial",J1658))*$K$1598</f>
        <v>91.43</v>
      </c>
      <c r="L1658" s="283">
        <f>(SUM(O1658:Q1658)+(K1658+SUM(M1658:Q1658))*(INDEX($U$1598:$AB$1598,MATCH(Notes!$C$16,$U$3:$AB$3,0))-100%))*$L$1598</f>
        <v>494.64</v>
      </c>
      <c r="M1658" s="286"/>
      <c r="N1658" s="286"/>
      <c r="O1658" s="285">
        <v>494.64</v>
      </c>
      <c r="P1658" s="285"/>
      <c r="Q1658" s="285"/>
      <c r="R1658" s="278"/>
      <c r="S1658" s="278"/>
      <c r="T1658" s="278"/>
    </row>
    <row r="1659" spans="1:20" s="305" customFormat="1" hidden="1" outlineLevel="2" x14ac:dyDescent="0.25">
      <c r="A1659" s="278"/>
      <c r="B1659" s="279" t="str">
        <f t="shared" ref="B1659:B1661" si="647">C1659&amp;D1659&amp;E1659&amp;F1659</f>
        <v>disabled toilet back restaverage</v>
      </c>
      <c r="C1659" s="278" t="s">
        <v>2188</v>
      </c>
      <c r="D1659" s="278"/>
      <c r="E1659" s="278"/>
      <c r="F1659" s="278" t="s">
        <v>543</v>
      </c>
      <c r="G1659" s="278" t="s">
        <v>5</v>
      </c>
      <c r="H1659" s="310">
        <v>1</v>
      </c>
      <c r="I1659" s="280">
        <f t="shared" ref="I1659:I1661" si="648">$I$2*H1659</f>
        <v>80.62</v>
      </c>
      <c r="J1659" s="281">
        <f t="shared" ref="J1659:J1661" si="649">$J$2*H1659</f>
        <v>91.43</v>
      </c>
      <c r="K1659" s="282">
        <f>IF(Notes!$B$9="Domestic",I1659, IF(Notes!$B$9="Commercial",J1659))*$K$1598</f>
        <v>91.43</v>
      </c>
      <c r="L1659" s="283">
        <f>(SUM(O1659:Q1659)+(K1659+SUM(M1659:Q1659))*(INDEX($U$1598:$AB$1598,MATCH(Notes!$C$16,$U$3:$AB$3,0))-100%))*$L$1598</f>
        <v>250</v>
      </c>
      <c r="M1659" s="286"/>
      <c r="N1659" s="286"/>
      <c r="O1659" s="285">
        <v>250</v>
      </c>
      <c r="P1659" s="285"/>
      <c r="Q1659" s="285"/>
      <c r="R1659" s="278"/>
      <c r="S1659" s="278"/>
      <c r="T1659" s="278"/>
    </row>
    <row r="1660" spans="1:20" s="305" customFormat="1" hidden="1" outlineLevel="2" x14ac:dyDescent="0.25">
      <c r="A1660" s="278"/>
      <c r="B1660" s="279" t="str">
        <f t="shared" si="647"/>
        <v>disabled toilet back restquality</v>
      </c>
      <c r="C1660" s="278" t="s">
        <v>2188</v>
      </c>
      <c r="D1660" s="278"/>
      <c r="E1660" s="278"/>
      <c r="F1660" s="278" t="s">
        <v>544</v>
      </c>
      <c r="G1660" s="278" t="s">
        <v>5</v>
      </c>
      <c r="H1660" s="310">
        <v>1</v>
      </c>
      <c r="I1660" s="280">
        <f t="shared" si="648"/>
        <v>80.62</v>
      </c>
      <c r="J1660" s="281">
        <f t="shared" si="649"/>
        <v>91.43</v>
      </c>
      <c r="K1660" s="282">
        <f>IF(Notes!$B$9="Domestic",I1660, IF(Notes!$B$9="Commercial",J1660))*$K$1598</f>
        <v>91.43</v>
      </c>
      <c r="L1660" s="283">
        <f>(SUM(O1660:Q1660)+(K1660+SUM(M1660:Q1660))*(INDEX($U$1598:$AB$1598,MATCH(Notes!$C$16,$U$3:$AB$3,0))-100%))*$L$1598</f>
        <v>375</v>
      </c>
      <c r="M1660" s="286"/>
      <c r="N1660" s="286"/>
      <c r="O1660" s="311">
        <f>(O1659+O1661)/2</f>
        <v>375</v>
      </c>
      <c r="P1660" s="285"/>
      <c r="Q1660" s="285"/>
      <c r="R1660" s="278"/>
      <c r="S1660" s="278"/>
      <c r="T1660" s="278"/>
    </row>
    <row r="1661" spans="1:20" s="305" customFormat="1" hidden="1" outlineLevel="2" x14ac:dyDescent="0.25">
      <c r="A1661" s="278"/>
      <c r="B1661" s="279" t="str">
        <f t="shared" si="647"/>
        <v>disabled toilet back restprestige</v>
      </c>
      <c r="C1661" s="278" t="s">
        <v>2188</v>
      </c>
      <c r="D1661" s="278"/>
      <c r="E1661" s="278"/>
      <c r="F1661" s="278" t="s">
        <v>545</v>
      </c>
      <c r="G1661" s="278" t="s">
        <v>5</v>
      </c>
      <c r="H1661" s="310">
        <v>1</v>
      </c>
      <c r="I1661" s="280">
        <f t="shared" si="648"/>
        <v>80.62</v>
      </c>
      <c r="J1661" s="281">
        <f t="shared" si="649"/>
        <v>91.43</v>
      </c>
      <c r="K1661" s="282">
        <f>IF(Notes!$B$9="Domestic",I1661, IF(Notes!$B$9="Commercial",J1661))*$K$1598</f>
        <v>91.43</v>
      </c>
      <c r="L1661" s="283">
        <f>(SUM(O1661:Q1661)+(K1661+SUM(M1661:Q1661))*(INDEX($U$1598:$AB$1598,MATCH(Notes!$C$16,$U$3:$AB$3,0))-100%))*$L$1598</f>
        <v>500</v>
      </c>
      <c r="M1661" s="286"/>
      <c r="N1661" s="286"/>
      <c r="O1661" s="285">
        <v>500</v>
      </c>
      <c r="P1661" s="285"/>
      <c r="Q1661" s="285"/>
      <c r="R1661" s="278"/>
      <c r="S1661" s="278"/>
      <c r="T1661" s="278"/>
    </row>
    <row r="1662" spans="1:20" s="305" customFormat="1" hidden="1" outlineLevel="2" x14ac:dyDescent="0.25">
      <c r="A1662" s="278"/>
      <c r="B1662" s="279" t="str">
        <f t="shared" ref="B1662:B1664" si="650">C1662&amp;D1662&amp;E1662&amp;F1662</f>
        <v>shower seataverage</v>
      </c>
      <c r="C1662" s="278" t="s">
        <v>2189</v>
      </c>
      <c r="D1662" s="278"/>
      <c r="E1662" s="278"/>
      <c r="F1662" s="278" t="s">
        <v>543</v>
      </c>
      <c r="G1662" s="278" t="s">
        <v>5</v>
      </c>
      <c r="H1662" s="310">
        <v>1</v>
      </c>
      <c r="I1662" s="280">
        <f t="shared" ref="I1662:I1664" si="651">$I$2*H1662</f>
        <v>80.62</v>
      </c>
      <c r="J1662" s="281">
        <f t="shared" ref="J1662:J1664" si="652">$J$2*H1662</f>
        <v>91.43</v>
      </c>
      <c r="K1662" s="282">
        <f>IF(Notes!$B$9="Domestic",I1662, IF(Notes!$B$9="Commercial",J1662))*$K$1598</f>
        <v>91.43</v>
      </c>
      <c r="L1662" s="283">
        <f>(SUM(O1662:Q1662)+(K1662+SUM(M1662:Q1662))*(INDEX($U$1598:$AB$1598,MATCH(Notes!$C$16,$U$3:$AB$3,0))-100%))*$L$1598</f>
        <v>487.37700000000001</v>
      </c>
      <c r="M1662" s="286"/>
      <c r="N1662" s="286"/>
      <c r="O1662" s="311">
        <f>O1663*0.9</f>
        <v>487.37700000000001</v>
      </c>
      <c r="P1662" s="285"/>
      <c r="Q1662" s="285"/>
      <c r="R1662" s="278"/>
      <c r="S1662" s="278"/>
      <c r="T1662" s="278"/>
    </row>
    <row r="1663" spans="1:20" s="305" customFormat="1" hidden="1" outlineLevel="2" x14ac:dyDescent="0.25">
      <c r="A1663" s="278"/>
      <c r="B1663" s="279" t="str">
        <f t="shared" si="650"/>
        <v>shower seatquality</v>
      </c>
      <c r="C1663" s="278" t="s">
        <v>2189</v>
      </c>
      <c r="D1663" s="278"/>
      <c r="E1663" s="278"/>
      <c r="F1663" s="278" t="s">
        <v>544</v>
      </c>
      <c r="G1663" s="278" t="s">
        <v>5</v>
      </c>
      <c r="H1663" s="310">
        <v>1</v>
      </c>
      <c r="I1663" s="280">
        <f t="shared" si="651"/>
        <v>80.62</v>
      </c>
      <c r="J1663" s="281">
        <f t="shared" si="652"/>
        <v>91.43</v>
      </c>
      <c r="K1663" s="282">
        <f>IF(Notes!$B$9="Domestic",I1663, IF(Notes!$B$9="Commercial",J1663))*$K$1598</f>
        <v>91.43</v>
      </c>
      <c r="L1663" s="283">
        <f>(SUM(O1663:Q1663)+(K1663+SUM(M1663:Q1663))*(INDEX($U$1598:$AB$1598,MATCH(Notes!$C$16,$U$3:$AB$3,0))-100%))*$L$1598</f>
        <v>541.53</v>
      </c>
      <c r="M1663" s="286"/>
      <c r="N1663" s="286"/>
      <c r="O1663" s="285">
        <v>541.53</v>
      </c>
      <c r="P1663" s="285"/>
      <c r="Q1663" s="285"/>
      <c r="R1663" s="278"/>
      <c r="S1663" s="278"/>
      <c r="T1663" s="278"/>
    </row>
    <row r="1664" spans="1:20" s="305" customFormat="1" hidden="1" outlineLevel="2" x14ac:dyDescent="0.25">
      <c r="A1664" s="278"/>
      <c r="B1664" s="279" t="str">
        <f t="shared" si="650"/>
        <v>shower seatprestige</v>
      </c>
      <c r="C1664" s="278" t="s">
        <v>2189</v>
      </c>
      <c r="D1664" s="278"/>
      <c r="E1664" s="278"/>
      <c r="F1664" s="278" t="s">
        <v>545</v>
      </c>
      <c r="G1664" s="278" t="s">
        <v>5</v>
      </c>
      <c r="H1664" s="310">
        <v>1</v>
      </c>
      <c r="I1664" s="280">
        <f t="shared" si="651"/>
        <v>80.62</v>
      </c>
      <c r="J1664" s="281">
        <f t="shared" si="652"/>
        <v>91.43</v>
      </c>
      <c r="K1664" s="282">
        <f>IF(Notes!$B$9="Domestic",I1664, IF(Notes!$B$9="Commercial",J1664))*$K$1598</f>
        <v>91.43</v>
      </c>
      <c r="L1664" s="283">
        <f>(SUM(O1664:Q1664)+(K1664+SUM(M1664:Q1664))*(INDEX($U$1598:$AB$1598,MATCH(Notes!$C$16,$U$3:$AB$3,0))-100%))*$L$1598</f>
        <v>703.98900000000003</v>
      </c>
      <c r="M1664" s="286"/>
      <c r="N1664" s="286"/>
      <c r="O1664" s="311">
        <f>O1663*1.3</f>
        <v>703.98900000000003</v>
      </c>
      <c r="P1664" s="285"/>
      <c r="Q1664" s="285"/>
      <c r="R1664" s="278"/>
      <c r="S1664" s="278"/>
      <c r="T1664" s="278"/>
    </row>
    <row r="1665" spans="1:28" ht="21" hidden="1" outlineLevel="1" collapsed="1" x14ac:dyDescent="0.25">
      <c r="A1665" s="299"/>
      <c r="B1665" s="299"/>
      <c r="C1665" s="299"/>
      <c r="D1665" s="299"/>
      <c r="E1665" s="299"/>
      <c r="F1665" s="299"/>
      <c r="G1665" s="299"/>
      <c r="H1665" s="348"/>
      <c r="I1665" s="299"/>
      <c r="J1665" s="299"/>
      <c r="K1665" s="299"/>
      <c r="L1665" s="299"/>
      <c r="M1665" s="299"/>
      <c r="N1665" s="299"/>
      <c r="O1665" s="299"/>
      <c r="P1665" s="299"/>
      <c r="Q1665" s="299"/>
      <c r="R1665" s="299"/>
      <c r="S1665" s="299"/>
      <c r="T1665" s="299"/>
      <c r="U1665" s="299"/>
      <c r="V1665" s="299"/>
      <c r="W1665" s="299"/>
      <c r="X1665" s="299"/>
      <c r="Y1665" s="299"/>
      <c r="Z1665" s="299"/>
      <c r="AA1665" s="299"/>
      <c r="AB1665" s="299"/>
    </row>
    <row r="1666" spans="1:28" ht="15.75" hidden="1" outlineLevel="1" x14ac:dyDescent="0.25">
      <c r="A1666" s="291"/>
      <c r="B1666" s="291"/>
      <c r="C1666" s="291"/>
      <c r="D1666" s="291"/>
      <c r="E1666" s="291"/>
      <c r="F1666" s="291"/>
      <c r="G1666" s="291"/>
      <c r="H1666" s="325"/>
      <c r="I1666" s="291"/>
      <c r="J1666" s="291"/>
      <c r="K1666" s="291">
        <f>K$2</f>
        <v>1</v>
      </c>
      <c r="L1666" s="291">
        <f>L$2</f>
        <v>1</v>
      </c>
      <c r="M1666" s="291"/>
      <c r="N1666" s="291"/>
      <c r="O1666" s="303"/>
      <c r="P1666" s="303"/>
      <c r="Q1666" s="303"/>
      <c r="R1666" s="291"/>
      <c r="S1666" s="291"/>
      <c r="T1666" s="291"/>
      <c r="U1666" s="291">
        <f>U$2</f>
        <v>1.0309523809523808</v>
      </c>
      <c r="V1666" s="291">
        <f>V$2</f>
        <v>1</v>
      </c>
      <c r="W1666" s="291">
        <f t="shared" ref="W1666:AB1666" si="653">W$2</f>
        <v>1.0705952380952379</v>
      </c>
      <c r="X1666" s="291">
        <f t="shared" si="653"/>
        <v>1.1199999999999999</v>
      </c>
      <c r="Y1666" s="291">
        <f t="shared" si="653"/>
        <v>1.0571428571428572</v>
      </c>
      <c r="Z1666" s="291">
        <f t="shared" si="653"/>
        <v>1.1299999999999999</v>
      </c>
      <c r="AA1666" s="291">
        <f t="shared" si="653"/>
        <v>1.0776942355889725</v>
      </c>
      <c r="AB1666" s="291">
        <f t="shared" si="653"/>
        <v>1.0325814536340854</v>
      </c>
    </row>
    <row r="1667" spans="1:28" s="305" customFormat="1" hidden="1" outlineLevel="1" x14ac:dyDescent="0.25">
      <c r="A1667" s="278"/>
      <c r="B1667" s="279" t="str">
        <f>C1667&amp;D1667&amp;E1667&amp;F1667</f>
        <v/>
      </c>
      <c r="C1667" s="278"/>
      <c r="D1667" s="278"/>
      <c r="E1667" s="278"/>
      <c r="F1667" s="278"/>
      <c r="G1667" s="278"/>
      <c r="H1667" s="310"/>
      <c r="I1667" s="280">
        <f>$I$2*H1667</f>
        <v>0</v>
      </c>
      <c r="J1667" s="281">
        <f>$J$2*H1667</f>
        <v>0</v>
      </c>
      <c r="K1667" s="282">
        <f>IF(Notes!$B$9="Domestic",I1667, IF(Notes!$B$9="Commercial",J1667))*$K$1666</f>
        <v>0</v>
      </c>
      <c r="L1667" s="283">
        <f>(SUM(O1667:Q1667)+(K1667+SUM(M1667:Q1667))*(INDEX($U$1666:$AB$1666,MATCH(Notes!$C$16,$U$3:$AB$3,0))-100%))*$L$1666</f>
        <v>0</v>
      </c>
      <c r="M1667" s="286"/>
      <c r="N1667" s="286"/>
      <c r="O1667" s="285"/>
      <c r="P1667" s="285"/>
      <c r="Q1667" s="285"/>
      <c r="R1667" s="278"/>
      <c r="S1667" s="278"/>
      <c r="T1667" s="278"/>
    </row>
    <row r="1668" spans="1:28" s="305" customFormat="1" hidden="1" outlineLevel="1" x14ac:dyDescent="0.25">
      <c r="A1668" s="278"/>
      <c r="B1668" s="279" t="str">
        <f t="shared" ref="B1668:B1676" si="654">C1668&amp;D1668&amp;E1668&amp;F1668</f>
        <v/>
      </c>
      <c r="C1668" s="278"/>
      <c r="D1668" s="278"/>
      <c r="E1668" s="278"/>
      <c r="F1668" s="278"/>
      <c r="G1668" s="278"/>
      <c r="H1668" s="310"/>
      <c r="I1668" s="280">
        <f t="shared" ref="I1668:I1670" si="655">$I$2*H1668</f>
        <v>0</v>
      </c>
      <c r="J1668" s="281">
        <f t="shared" ref="J1668:J1676" si="656">$J$2*H1668</f>
        <v>0</v>
      </c>
      <c r="K1668" s="282">
        <f>IF(Notes!$B$9="Domestic",I1668, IF(Notes!$B$9="Commercial",J1668))*$K$1666</f>
        <v>0</v>
      </c>
      <c r="L1668" s="283">
        <f>(SUM(O1668:Q1668)+(K1668+SUM(M1668:Q1668))*(INDEX($U$1666:$AB$1666,MATCH(Notes!$C$16,$U$3:$AB$3,0))-100%))*$L$1666</f>
        <v>0</v>
      </c>
      <c r="M1668" s="286"/>
      <c r="N1668" s="286"/>
      <c r="O1668" s="285"/>
      <c r="P1668" s="285"/>
      <c r="Q1668" s="285"/>
      <c r="R1668" s="278"/>
      <c r="S1668" s="278"/>
      <c r="T1668" s="278"/>
    </row>
    <row r="1669" spans="1:28" s="305" customFormat="1" hidden="1" outlineLevel="1" x14ac:dyDescent="0.25">
      <c r="A1669" s="278"/>
      <c r="B1669" s="279" t="str">
        <f t="shared" si="654"/>
        <v/>
      </c>
      <c r="C1669" s="278"/>
      <c r="D1669" s="278"/>
      <c r="E1669" s="278"/>
      <c r="F1669" s="278"/>
      <c r="G1669" s="278"/>
      <c r="H1669" s="310"/>
      <c r="I1669" s="280">
        <f t="shared" si="655"/>
        <v>0</v>
      </c>
      <c r="J1669" s="281">
        <f t="shared" si="656"/>
        <v>0</v>
      </c>
      <c r="K1669" s="282">
        <f>IF(Notes!$B$9="Domestic",I1669, IF(Notes!$B$9="Commercial",J1669))*$K$1666</f>
        <v>0</v>
      </c>
      <c r="L1669" s="283">
        <f>(SUM(O1669:Q1669)+(K1669+SUM(M1669:Q1669))*(INDEX($U$1666:$AB$1666,MATCH(Notes!$C$16,$U$3:$AB$3,0))-100%))*$L$1666</f>
        <v>0</v>
      </c>
      <c r="M1669" s="286"/>
      <c r="N1669" s="286"/>
      <c r="O1669" s="285"/>
      <c r="P1669" s="285"/>
      <c r="Q1669" s="285"/>
      <c r="R1669" s="278"/>
      <c r="S1669" s="278"/>
      <c r="T1669" s="278"/>
    </row>
    <row r="1670" spans="1:28" s="305" customFormat="1" hidden="1" outlineLevel="1" x14ac:dyDescent="0.25">
      <c r="A1670" s="278"/>
      <c r="B1670" s="279" t="str">
        <f t="shared" si="654"/>
        <v/>
      </c>
      <c r="C1670" s="278"/>
      <c r="D1670" s="278"/>
      <c r="E1670" s="278"/>
      <c r="F1670" s="278"/>
      <c r="G1670" s="278"/>
      <c r="H1670" s="310"/>
      <c r="I1670" s="280">
        <f t="shared" si="655"/>
        <v>0</v>
      </c>
      <c r="J1670" s="281">
        <f t="shared" si="656"/>
        <v>0</v>
      </c>
      <c r="K1670" s="282">
        <f>IF(Notes!$B$9="Domestic",I1670, IF(Notes!$B$9="Commercial",J1670))*$K$1666</f>
        <v>0</v>
      </c>
      <c r="L1670" s="283">
        <f>(SUM(O1670:Q1670)+(K1670+SUM(M1670:Q1670))*(INDEX($U$1666:$AB$1666,MATCH(Notes!$C$16,$U$3:$AB$3,0))-100%))*$L$1666</f>
        <v>0</v>
      </c>
      <c r="M1670" s="286"/>
      <c r="N1670" s="286"/>
      <c r="O1670" s="285"/>
      <c r="P1670" s="285"/>
      <c r="Q1670" s="285"/>
      <c r="R1670" s="278"/>
      <c r="S1670" s="278"/>
      <c r="T1670" s="278"/>
    </row>
    <row r="1671" spans="1:28" s="305" customFormat="1" hidden="1" outlineLevel="1" x14ac:dyDescent="0.25">
      <c r="A1671" s="278"/>
      <c r="B1671" s="279" t="str">
        <f t="shared" si="654"/>
        <v/>
      </c>
      <c r="C1671" s="278"/>
      <c r="D1671" s="278"/>
      <c r="E1671" s="278"/>
      <c r="F1671" s="278"/>
      <c r="G1671" s="278"/>
      <c r="H1671" s="310"/>
      <c r="I1671" s="280">
        <f>$I$2*H1671</f>
        <v>0</v>
      </c>
      <c r="J1671" s="281">
        <f t="shared" si="656"/>
        <v>0</v>
      </c>
      <c r="K1671" s="282">
        <f>IF(Notes!$B$9="Domestic",I1671, IF(Notes!$B$9="Commercial",J1671))*$K$1666</f>
        <v>0</v>
      </c>
      <c r="L1671" s="283">
        <f>(SUM(O1671:Q1671)+(K1671+SUM(M1671:Q1671))*(INDEX($U$1666:$AB$1666,MATCH(Notes!$C$16,$U$3:$AB$3,0))-100%))*$L$1666</f>
        <v>0</v>
      </c>
      <c r="M1671" s="286"/>
      <c r="N1671" s="286"/>
      <c r="O1671" s="285"/>
      <c r="P1671" s="285"/>
      <c r="Q1671" s="285"/>
      <c r="R1671" s="278"/>
      <c r="S1671" s="278"/>
      <c r="T1671" s="278"/>
    </row>
    <row r="1672" spans="1:28" s="305" customFormat="1" hidden="1" outlineLevel="1" x14ac:dyDescent="0.25">
      <c r="A1672" s="278"/>
      <c r="B1672" s="279" t="str">
        <f t="shared" si="654"/>
        <v/>
      </c>
      <c r="C1672" s="278"/>
      <c r="D1672" s="278"/>
      <c r="E1672" s="278"/>
      <c r="F1672" s="278"/>
      <c r="G1672" s="278"/>
      <c r="H1672" s="310"/>
      <c r="I1672" s="280">
        <f t="shared" ref="I1672:I1676" si="657">$I$2*H1672</f>
        <v>0</v>
      </c>
      <c r="J1672" s="281">
        <f t="shared" si="656"/>
        <v>0</v>
      </c>
      <c r="K1672" s="282">
        <f>IF(Notes!$B$9="Domestic",I1672, IF(Notes!$B$9="Commercial",J1672))*$K$1666</f>
        <v>0</v>
      </c>
      <c r="L1672" s="283">
        <f>(SUM(O1672:Q1672)+(K1672+SUM(M1672:Q1672))*(INDEX($U$1666:$AB$1666,MATCH(Notes!$C$16,$U$3:$AB$3,0))-100%))*$L$1666</f>
        <v>0</v>
      </c>
      <c r="M1672" s="286"/>
      <c r="N1672" s="286"/>
      <c r="O1672" s="285"/>
      <c r="P1672" s="285"/>
      <c r="Q1672" s="285"/>
      <c r="R1672" s="278"/>
      <c r="S1672" s="278"/>
      <c r="T1672" s="278"/>
    </row>
    <row r="1673" spans="1:28" s="305" customFormat="1" hidden="1" outlineLevel="1" x14ac:dyDescent="0.25">
      <c r="A1673" s="278"/>
      <c r="B1673" s="279" t="str">
        <f t="shared" si="654"/>
        <v/>
      </c>
      <c r="C1673" s="278"/>
      <c r="D1673" s="278"/>
      <c r="E1673" s="278"/>
      <c r="F1673" s="278"/>
      <c r="G1673" s="278"/>
      <c r="H1673" s="310"/>
      <c r="I1673" s="280">
        <f t="shared" si="657"/>
        <v>0</v>
      </c>
      <c r="J1673" s="281">
        <f t="shared" si="656"/>
        <v>0</v>
      </c>
      <c r="K1673" s="282">
        <f>IF(Notes!$B$9="Domestic",I1673, IF(Notes!$B$9="Commercial",J1673))*$K$1666</f>
        <v>0</v>
      </c>
      <c r="L1673" s="283">
        <f>(SUM(O1673:Q1673)+(K1673+SUM(M1673:Q1673))*(INDEX($U$1666:$AB$1666,MATCH(Notes!$C$16,$U$3:$AB$3,0))-100%))*$L$1666</f>
        <v>0</v>
      </c>
      <c r="M1673" s="286"/>
      <c r="N1673" s="286"/>
      <c r="O1673" s="285"/>
      <c r="P1673" s="285"/>
      <c r="Q1673" s="285"/>
      <c r="R1673" s="278"/>
      <c r="S1673" s="278"/>
      <c r="T1673" s="278"/>
    </row>
    <row r="1674" spans="1:28" s="305" customFormat="1" hidden="1" outlineLevel="1" x14ac:dyDescent="0.25">
      <c r="A1674" s="278"/>
      <c r="B1674" s="279" t="str">
        <f t="shared" si="654"/>
        <v/>
      </c>
      <c r="C1674" s="278"/>
      <c r="D1674" s="278"/>
      <c r="E1674" s="278"/>
      <c r="F1674" s="278"/>
      <c r="G1674" s="278"/>
      <c r="H1674" s="310"/>
      <c r="I1674" s="280">
        <f t="shared" si="657"/>
        <v>0</v>
      </c>
      <c r="J1674" s="281">
        <f t="shared" si="656"/>
        <v>0</v>
      </c>
      <c r="K1674" s="282">
        <f>IF(Notes!$B$9="Domestic",I1674, IF(Notes!$B$9="Commercial",J1674))*$K$1666</f>
        <v>0</v>
      </c>
      <c r="L1674" s="283">
        <f>(SUM(O1674:Q1674)+(K1674+SUM(M1674:Q1674))*(INDEX($U$1666:$AB$1666,MATCH(Notes!$C$16,$U$3:$AB$3,0))-100%))*$L$1666</f>
        <v>0</v>
      </c>
      <c r="M1674" s="286"/>
      <c r="N1674" s="286"/>
      <c r="O1674" s="285"/>
      <c r="P1674" s="285"/>
      <c r="Q1674" s="285"/>
      <c r="R1674" s="278"/>
      <c r="S1674" s="278"/>
      <c r="T1674" s="278"/>
    </row>
    <row r="1675" spans="1:28" s="305" customFormat="1" hidden="1" outlineLevel="1" x14ac:dyDescent="0.25">
      <c r="A1675" s="278"/>
      <c r="B1675" s="279" t="str">
        <f t="shared" si="654"/>
        <v/>
      </c>
      <c r="C1675" s="278"/>
      <c r="D1675" s="278"/>
      <c r="E1675" s="278"/>
      <c r="F1675" s="278"/>
      <c r="G1675" s="278"/>
      <c r="H1675" s="310"/>
      <c r="I1675" s="280">
        <f t="shared" si="657"/>
        <v>0</v>
      </c>
      <c r="J1675" s="281">
        <f t="shared" si="656"/>
        <v>0</v>
      </c>
      <c r="K1675" s="282">
        <f>IF(Notes!$B$9="Domestic",I1675, IF(Notes!$B$9="Commercial",J1675))*$K$1666</f>
        <v>0</v>
      </c>
      <c r="L1675" s="283">
        <f>(SUM(O1675:Q1675)+(K1675+SUM(M1675:Q1675))*(INDEX($U$1666:$AB$1666,MATCH(Notes!$C$16,$U$3:$AB$3,0))-100%))*$L$1666</f>
        <v>0</v>
      </c>
      <c r="M1675" s="286"/>
      <c r="N1675" s="286"/>
      <c r="O1675" s="285"/>
      <c r="P1675" s="285"/>
      <c r="Q1675" s="285"/>
      <c r="R1675" s="278"/>
      <c r="S1675" s="278"/>
      <c r="T1675" s="278"/>
    </row>
    <row r="1676" spans="1:28" s="305" customFormat="1" hidden="1" outlineLevel="1" x14ac:dyDescent="0.25">
      <c r="A1676" s="278"/>
      <c r="B1676" s="279" t="str">
        <f t="shared" si="654"/>
        <v/>
      </c>
      <c r="C1676" s="278"/>
      <c r="D1676" s="278"/>
      <c r="E1676" s="278"/>
      <c r="F1676" s="278"/>
      <c r="G1676" s="278"/>
      <c r="H1676" s="310"/>
      <c r="I1676" s="280">
        <f t="shared" si="657"/>
        <v>0</v>
      </c>
      <c r="J1676" s="281">
        <f t="shared" si="656"/>
        <v>0</v>
      </c>
      <c r="K1676" s="282">
        <f>IF(Notes!$B$9="Domestic",I1676, IF(Notes!$B$9="Commercial",J1676))*$K$1666</f>
        <v>0</v>
      </c>
      <c r="L1676" s="283">
        <f>(SUM(O1676:Q1676)+(K1676+SUM(M1676:Q1676))*(INDEX($U$1666:$AB$1666,MATCH(Notes!$C$16,$U$3:$AB$3,0))-100%))*$L$1666</f>
        <v>0</v>
      </c>
      <c r="M1676" s="286"/>
      <c r="N1676" s="286"/>
      <c r="O1676" s="285"/>
      <c r="P1676" s="285"/>
      <c r="Q1676" s="285"/>
      <c r="R1676" s="278"/>
      <c r="S1676" s="278"/>
      <c r="T1676" s="278"/>
    </row>
    <row r="1677" spans="1:28" ht="21" hidden="1" outlineLevel="1" x14ac:dyDescent="0.25">
      <c r="A1677" s="299"/>
      <c r="B1677" s="299"/>
      <c r="C1677" s="299"/>
      <c r="D1677" s="299"/>
      <c r="E1677" s="299"/>
      <c r="F1677" s="299"/>
      <c r="G1677" s="299"/>
      <c r="H1677" s="348"/>
      <c r="I1677" s="299"/>
      <c r="J1677" s="299"/>
      <c r="K1677" s="299"/>
      <c r="L1677" s="299"/>
      <c r="M1677" s="299"/>
      <c r="N1677" s="299"/>
      <c r="O1677" s="299"/>
      <c r="P1677" s="299"/>
      <c r="Q1677" s="299"/>
      <c r="R1677" s="299"/>
      <c r="S1677" s="299"/>
      <c r="T1677" s="299"/>
      <c r="U1677" s="299"/>
      <c r="V1677" s="299"/>
      <c r="W1677" s="299"/>
      <c r="X1677" s="299"/>
      <c r="Y1677" s="299"/>
      <c r="Z1677" s="299"/>
      <c r="AA1677" s="299"/>
      <c r="AB1677" s="299"/>
    </row>
    <row r="1678" spans="1:28" ht="15.75" hidden="1" outlineLevel="1" x14ac:dyDescent="0.25">
      <c r="A1678" s="291"/>
      <c r="B1678" s="291"/>
      <c r="C1678" s="291"/>
      <c r="D1678" s="291"/>
      <c r="E1678" s="291"/>
      <c r="F1678" s="291"/>
      <c r="G1678" s="291"/>
      <c r="H1678" s="325"/>
      <c r="I1678" s="291"/>
      <c r="J1678" s="291"/>
      <c r="K1678" s="291">
        <f>K$2</f>
        <v>1</v>
      </c>
      <c r="L1678" s="291">
        <f>L$2</f>
        <v>1</v>
      </c>
      <c r="M1678" s="291"/>
      <c r="N1678" s="291"/>
      <c r="O1678" s="303"/>
      <c r="P1678" s="303"/>
      <c r="Q1678" s="303"/>
      <c r="R1678" s="291"/>
      <c r="S1678" s="291"/>
      <c r="T1678" s="291"/>
      <c r="U1678" s="291">
        <f>U$2</f>
        <v>1.0309523809523808</v>
      </c>
      <c r="V1678" s="291">
        <f>V$2</f>
        <v>1</v>
      </c>
      <c r="W1678" s="291">
        <f t="shared" ref="W1678:AB1678" si="658">W$2</f>
        <v>1.0705952380952379</v>
      </c>
      <c r="X1678" s="291">
        <f t="shared" si="658"/>
        <v>1.1199999999999999</v>
      </c>
      <c r="Y1678" s="291">
        <f t="shared" si="658"/>
        <v>1.0571428571428572</v>
      </c>
      <c r="Z1678" s="291">
        <f t="shared" si="658"/>
        <v>1.1299999999999999</v>
      </c>
      <c r="AA1678" s="291">
        <f t="shared" si="658"/>
        <v>1.0776942355889725</v>
      </c>
      <c r="AB1678" s="291">
        <f t="shared" si="658"/>
        <v>1.0325814536340854</v>
      </c>
    </row>
    <row r="1679" spans="1:28" s="305" customFormat="1" hidden="1" outlineLevel="1" x14ac:dyDescent="0.25">
      <c r="A1679" s="278"/>
      <c r="B1679" s="279" t="str">
        <f>C1679&amp;D1679&amp;E1679&amp;F1679</f>
        <v/>
      </c>
      <c r="C1679" s="278"/>
      <c r="D1679" s="278"/>
      <c r="E1679" s="278"/>
      <c r="F1679" s="278"/>
      <c r="G1679" s="278"/>
      <c r="H1679" s="310"/>
      <c r="I1679" s="280">
        <f>$I$2*H1679</f>
        <v>0</v>
      </c>
      <c r="J1679" s="281">
        <f>$J$2*H1679</f>
        <v>0</v>
      </c>
      <c r="K1679" s="282">
        <f>IF(Notes!$B$9="Domestic",I1679, IF(Notes!$B$9="Commercial",J1679))*$K$1678</f>
        <v>0</v>
      </c>
      <c r="L1679" s="283">
        <f>(SUM(O1679:Q1679)+(K1679+SUM(M1679:Q1679))*(INDEX($U$1678:$AB$1678,MATCH(Notes!$C$16,$U$3:$AB$3,0))-100%))*$L$1678</f>
        <v>0</v>
      </c>
      <c r="M1679" s="286"/>
      <c r="N1679" s="286"/>
      <c r="O1679" s="285"/>
      <c r="P1679" s="285"/>
      <c r="Q1679" s="285"/>
      <c r="R1679" s="278"/>
      <c r="S1679" s="278"/>
      <c r="T1679" s="278"/>
    </row>
    <row r="1680" spans="1:28" s="305" customFormat="1" hidden="1" outlineLevel="1" x14ac:dyDescent="0.25">
      <c r="A1680" s="278"/>
      <c r="B1680" s="279" t="str">
        <f t="shared" ref="B1680:B1688" si="659">C1680&amp;D1680&amp;E1680&amp;F1680</f>
        <v/>
      </c>
      <c r="C1680" s="278"/>
      <c r="D1680" s="278"/>
      <c r="E1680" s="278"/>
      <c r="F1680" s="278"/>
      <c r="G1680" s="278"/>
      <c r="H1680" s="310"/>
      <c r="I1680" s="280">
        <f t="shared" ref="I1680:I1682" si="660">$I$2*H1680</f>
        <v>0</v>
      </c>
      <c r="J1680" s="281">
        <f t="shared" ref="J1680:J1688" si="661">$J$2*H1680</f>
        <v>0</v>
      </c>
      <c r="K1680" s="282">
        <f>IF(Notes!$B$9="Domestic",I1680, IF(Notes!$B$9="Commercial",J1680))*$K$1678</f>
        <v>0</v>
      </c>
      <c r="L1680" s="283">
        <f>(SUM(O1680:Q1680)+(K1680+SUM(M1680:Q1680))*(INDEX($U$1678:$AB$1678,MATCH(Notes!$C$16,$U$3:$AB$3,0))-100%))*$L$1678</f>
        <v>0</v>
      </c>
      <c r="M1680" s="286"/>
      <c r="N1680" s="286"/>
      <c r="O1680" s="285"/>
      <c r="P1680" s="285"/>
      <c r="Q1680" s="285"/>
      <c r="R1680" s="278"/>
      <c r="S1680" s="278"/>
      <c r="T1680" s="278"/>
    </row>
    <row r="1681" spans="1:28" s="305" customFormat="1" hidden="1" outlineLevel="1" x14ac:dyDescent="0.25">
      <c r="A1681" s="278"/>
      <c r="B1681" s="279" t="str">
        <f t="shared" si="659"/>
        <v/>
      </c>
      <c r="C1681" s="278"/>
      <c r="D1681" s="278"/>
      <c r="E1681" s="278"/>
      <c r="F1681" s="278"/>
      <c r="G1681" s="278"/>
      <c r="H1681" s="310"/>
      <c r="I1681" s="280">
        <f t="shared" si="660"/>
        <v>0</v>
      </c>
      <c r="J1681" s="281">
        <f t="shared" si="661"/>
        <v>0</v>
      </c>
      <c r="K1681" s="282">
        <f>IF(Notes!$B$9="Domestic",I1681, IF(Notes!$B$9="Commercial",J1681))*$K$1678</f>
        <v>0</v>
      </c>
      <c r="L1681" s="283">
        <f>(SUM(O1681:Q1681)+(K1681+SUM(M1681:Q1681))*(INDEX($U$1678:$AB$1678,MATCH(Notes!$C$16,$U$3:$AB$3,0))-100%))*$L$1678</f>
        <v>0</v>
      </c>
      <c r="M1681" s="286"/>
      <c r="N1681" s="286"/>
      <c r="O1681" s="285"/>
      <c r="P1681" s="285"/>
      <c r="Q1681" s="285"/>
      <c r="R1681" s="278"/>
      <c r="S1681" s="278"/>
      <c r="T1681" s="278"/>
    </row>
    <row r="1682" spans="1:28" s="305" customFormat="1" hidden="1" outlineLevel="1" x14ac:dyDescent="0.25">
      <c r="A1682" s="278"/>
      <c r="B1682" s="279" t="str">
        <f t="shared" si="659"/>
        <v/>
      </c>
      <c r="C1682" s="278"/>
      <c r="D1682" s="278"/>
      <c r="E1682" s="278"/>
      <c r="F1682" s="278"/>
      <c r="G1682" s="278"/>
      <c r="H1682" s="310"/>
      <c r="I1682" s="280">
        <f t="shared" si="660"/>
        <v>0</v>
      </c>
      <c r="J1682" s="281">
        <f t="shared" si="661"/>
        <v>0</v>
      </c>
      <c r="K1682" s="282">
        <f>IF(Notes!$B$9="Domestic",I1682, IF(Notes!$B$9="Commercial",J1682))*$K$1678</f>
        <v>0</v>
      </c>
      <c r="L1682" s="283">
        <f>(SUM(O1682:Q1682)+(K1682+SUM(M1682:Q1682))*(INDEX($U$1678:$AB$1678,MATCH(Notes!$C$16,$U$3:$AB$3,0))-100%))*$L$1678</f>
        <v>0</v>
      </c>
      <c r="M1682" s="286"/>
      <c r="N1682" s="286"/>
      <c r="O1682" s="285"/>
      <c r="P1682" s="285"/>
      <c r="Q1682" s="285"/>
      <c r="R1682" s="278"/>
      <c r="S1682" s="278"/>
      <c r="T1682" s="278"/>
    </row>
    <row r="1683" spans="1:28" s="305" customFormat="1" hidden="1" outlineLevel="1" x14ac:dyDescent="0.25">
      <c r="A1683" s="278"/>
      <c r="B1683" s="279" t="str">
        <f t="shared" si="659"/>
        <v/>
      </c>
      <c r="C1683" s="278"/>
      <c r="D1683" s="278"/>
      <c r="E1683" s="278"/>
      <c r="F1683" s="278"/>
      <c r="G1683" s="278"/>
      <c r="H1683" s="310"/>
      <c r="I1683" s="280">
        <f>$I$2*H1683</f>
        <v>0</v>
      </c>
      <c r="J1683" s="281">
        <f t="shared" si="661"/>
        <v>0</v>
      </c>
      <c r="K1683" s="282">
        <f>IF(Notes!$B$9="Domestic",I1683, IF(Notes!$B$9="Commercial",J1683))*$K$1678</f>
        <v>0</v>
      </c>
      <c r="L1683" s="283">
        <f>(SUM(O1683:Q1683)+(K1683+SUM(M1683:Q1683))*(INDEX($U$1678:$AB$1678,MATCH(Notes!$C$16,$U$3:$AB$3,0))-100%))*$L$1678</f>
        <v>0</v>
      </c>
      <c r="M1683" s="286"/>
      <c r="N1683" s="286"/>
      <c r="O1683" s="285"/>
      <c r="P1683" s="285"/>
      <c r="Q1683" s="285"/>
      <c r="R1683" s="278"/>
      <c r="S1683" s="278"/>
      <c r="T1683" s="278"/>
    </row>
    <row r="1684" spans="1:28" s="305" customFormat="1" hidden="1" outlineLevel="1" x14ac:dyDescent="0.25">
      <c r="A1684" s="278"/>
      <c r="B1684" s="279" t="str">
        <f t="shared" si="659"/>
        <v/>
      </c>
      <c r="C1684" s="278"/>
      <c r="D1684" s="278"/>
      <c r="E1684" s="278"/>
      <c r="F1684" s="278"/>
      <c r="G1684" s="278"/>
      <c r="H1684" s="310"/>
      <c r="I1684" s="280">
        <f t="shared" ref="I1684:I1688" si="662">$I$2*H1684</f>
        <v>0</v>
      </c>
      <c r="J1684" s="281">
        <f t="shared" si="661"/>
        <v>0</v>
      </c>
      <c r="K1684" s="282">
        <f>IF(Notes!$B$9="Domestic",I1684, IF(Notes!$B$9="Commercial",J1684))*$K$1678</f>
        <v>0</v>
      </c>
      <c r="L1684" s="283">
        <f>(SUM(O1684:Q1684)+(K1684+SUM(M1684:Q1684))*(INDEX($U$1678:$AB$1678,MATCH(Notes!$C$16,$U$3:$AB$3,0))-100%))*$L$1678</f>
        <v>0</v>
      </c>
      <c r="M1684" s="286"/>
      <c r="N1684" s="286"/>
      <c r="O1684" s="285"/>
      <c r="P1684" s="285"/>
      <c r="Q1684" s="285"/>
      <c r="R1684" s="278"/>
      <c r="S1684" s="278"/>
      <c r="T1684" s="278"/>
    </row>
    <row r="1685" spans="1:28" s="305" customFormat="1" hidden="1" outlineLevel="1" x14ac:dyDescent="0.25">
      <c r="A1685" s="278"/>
      <c r="B1685" s="279" t="str">
        <f t="shared" si="659"/>
        <v/>
      </c>
      <c r="C1685" s="278"/>
      <c r="D1685" s="278"/>
      <c r="E1685" s="278"/>
      <c r="F1685" s="278"/>
      <c r="G1685" s="278"/>
      <c r="H1685" s="310"/>
      <c r="I1685" s="280">
        <f t="shared" si="662"/>
        <v>0</v>
      </c>
      <c r="J1685" s="281">
        <f t="shared" si="661"/>
        <v>0</v>
      </c>
      <c r="K1685" s="282">
        <f>IF(Notes!$B$9="Domestic",I1685, IF(Notes!$B$9="Commercial",J1685))*$K$1678</f>
        <v>0</v>
      </c>
      <c r="L1685" s="283">
        <f>(SUM(O1685:Q1685)+(K1685+SUM(M1685:Q1685))*(INDEX($U$1678:$AB$1678,MATCH(Notes!$C$16,$U$3:$AB$3,0))-100%))*$L$1678</f>
        <v>0</v>
      </c>
      <c r="M1685" s="286"/>
      <c r="N1685" s="286"/>
      <c r="O1685" s="285"/>
      <c r="P1685" s="285"/>
      <c r="Q1685" s="285"/>
      <c r="R1685" s="278"/>
      <c r="S1685" s="278"/>
      <c r="T1685" s="278"/>
    </row>
    <row r="1686" spans="1:28" s="305" customFormat="1" hidden="1" outlineLevel="1" x14ac:dyDescent="0.25">
      <c r="A1686" s="278"/>
      <c r="B1686" s="279" t="str">
        <f t="shared" si="659"/>
        <v/>
      </c>
      <c r="C1686" s="278"/>
      <c r="D1686" s="278"/>
      <c r="E1686" s="278"/>
      <c r="F1686" s="278"/>
      <c r="G1686" s="278"/>
      <c r="H1686" s="310"/>
      <c r="I1686" s="280">
        <f t="shared" si="662"/>
        <v>0</v>
      </c>
      <c r="J1686" s="281">
        <f t="shared" si="661"/>
        <v>0</v>
      </c>
      <c r="K1686" s="282">
        <f>IF(Notes!$B$9="Domestic",I1686, IF(Notes!$B$9="Commercial",J1686))*$K$1678</f>
        <v>0</v>
      </c>
      <c r="L1686" s="283">
        <f>(SUM(O1686:Q1686)+(K1686+SUM(M1686:Q1686))*(INDEX($U$1678:$AB$1678,MATCH(Notes!$C$16,$U$3:$AB$3,0))-100%))*$L$1678</f>
        <v>0</v>
      </c>
      <c r="M1686" s="286"/>
      <c r="N1686" s="286"/>
      <c r="O1686" s="285"/>
      <c r="P1686" s="285"/>
      <c r="Q1686" s="285"/>
      <c r="R1686" s="278"/>
      <c r="S1686" s="278"/>
      <c r="T1686" s="278"/>
    </row>
    <row r="1687" spans="1:28" s="305" customFormat="1" hidden="1" outlineLevel="1" x14ac:dyDescent="0.25">
      <c r="A1687" s="278"/>
      <c r="B1687" s="279" t="str">
        <f t="shared" si="659"/>
        <v/>
      </c>
      <c r="C1687" s="278"/>
      <c r="D1687" s="278"/>
      <c r="E1687" s="278"/>
      <c r="F1687" s="278"/>
      <c r="G1687" s="278"/>
      <c r="H1687" s="310"/>
      <c r="I1687" s="280">
        <f t="shared" si="662"/>
        <v>0</v>
      </c>
      <c r="J1687" s="281">
        <f t="shared" si="661"/>
        <v>0</v>
      </c>
      <c r="K1687" s="282">
        <f>IF(Notes!$B$9="Domestic",I1687, IF(Notes!$B$9="Commercial",J1687))*$K$1678</f>
        <v>0</v>
      </c>
      <c r="L1687" s="283">
        <f>(SUM(O1687:Q1687)+(K1687+SUM(M1687:Q1687))*(INDEX($U$1678:$AB$1678,MATCH(Notes!$C$16,$U$3:$AB$3,0))-100%))*$L$1678</f>
        <v>0</v>
      </c>
      <c r="M1687" s="286"/>
      <c r="N1687" s="286"/>
      <c r="O1687" s="285"/>
      <c r="P1687" s="285"/>
      <c r="Q1687" s="285"/>
      <c r="R1687" s="278"/>
      <c r="S1687" s="278"/>
      <c r="T1687" s="278"/>
    </row>
    <row r="1688" spans="1:28" s="305" customFormat="1" hidden="1" outlineLevel="1" x14ac:dyDescent="0.25">
      <c r="A1688" s="278"/>
      <c r="B1688" s="279" t="str">
        <f t="shared" si="659"/>
        <v/>
      </c>
      <c r="C1688" s="278"/>
      <c r="D1688" s="278"/>
      <c r="E1688" s="278"/>
      <c r="F1688" s="278"/>
      <c r="G1688" s="278"/>
      <c r="H1688" s="310"/>
      <c r="I1688" s="280">
        <f t="shared" si="662"/>
        <v>0</v>
      </c>
      <c r="J1688" s="281">
        <f t="shared" si="661"/>
        <v>0</v>
      </c>
      <c r="K1688" s="282">
        <f>IF(Notes!$B$9="Domestic",I1688, IF(Notes!$B$9="Commercial",J1688))*$K$1678</f>
        <v>0</v>
      </c>
      <c r="L1688" s="283">
        <f>(SUM(O1688:Q1688)+(K1688+SUM(M1688:Q1688))*(INDEX($U$1678:$AB$1678,MATCH(Notes!$C$16,$U$3:$AB$3,0))-100%))*$L$1678</f>
        <v>0</v>
      </c>
      <c r="M1688" s="286"/>
      <c r="N1688" s="286"/>
      <c r="O1688" s="285"/>
      <c r="P1688" s="285"/>
      <c r="Q1688" s="285"/>
      <c r="R1688" s="278"/>
      <c r="S1688" s="278"/>
      <c r="T1688" s="278"/>
    </row>
    <row r="1689" spans="1:28" ht="21" hidden="1" outlineLevel="1" x14ac:dyDescent="0.25">
      <c r="A1689" s="299"/>
      <c r="B1689" s="299"/>
      <c r="C1689" s="299"/>
      <c r="D1689" s="299"/>
      <c r="E1689" s="299"/>
      <c r="F1689" s="299"/>
      <c r="G1689" s="299"/>
      <c r="H1689" s="348"/>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row>
    <row r="1690" spans="1:28" ht="15.75" hidden="1" outlineLevel="1" x14ac:dyDescent="0.25">
      <c r="A1690" s="291"/>
      <c r="B1690" s="291"/>
      <c r="C1690" s="291"/>
      <c r="D1690" s="291"/>
      <c r="E1690" s="291"/>
      <c r="F1690" s="291"/>
      <c r="G1690" s="291"/>
      <c r="H1690" s="325"/>
      <c r="I1690" s="291"/>
      <c r="J1690" s="291"/>
      <c r="K1690" s="291">
        <f>K$2</f>
        <v>1</v>
      </c>
      <c r="L1690" s="291">
        <f>L$2</f>
        <v>1</v>
      </c>
      <c r="M1690" s="291"/>
      <c r="N1690" s="291"/>
      <c r="O1690" s="303"/>
      <c r="P1690" s="303"/>
      <c r="Q1690" s="303"/>
      <c r="R1690" s="291"/>
      <c r="S1690" s="291"/>
      <c r="T1690" s="291"/>
      <c r="U1690" s="291">
        <f>U$2</f>
        <v>1.0309523809523808</v>
      </c>
      <c r="V1690" s="291">
        <f>V$2</f>
        <v>1</v>
      </c>
      <c r="W1690" s="291">
        <f t="shared" ref="W1690:AB1690" si="663">W$2</f>
        <v>1.0705952380952379</v>
      </c>
      <c r="X1690" s="291">
        <f t="shared" si="663"/>
        <v>1.1199999999999999</v>
      </c>
      <c r="Y1690" s="291">
        <f t="shared" si="663"/>
        <v>1.0571428571428572</v>
      </c>
      <c r="Z1690" s="291">
        <f t="shared" si="663"/>
        <v>1.1299999999999999</v>
      </c>
      <c r="AA1690" s="291">
        <f t="shared" si="663"/>
        <v>1.0776942355889725</v>
      </c>
      <c r="AB1690" s="291">
        <f t="shared" si="663"/>
        <v>1.0325814536340854</v>
      </c>
    </row>
    <row r="1691" spans="1:28" s="305" customFormat="1" hidden="1" outlineLevel="1" x14ac:dyDescent="0.25">
      <c r="A1691" s="278"/>
      <c r="B1691" s="279" t="str">
        <f>C1691&amp;D1691&amp;E1691&amp;F1691</f>
        <v/>
      </c>
      <c r="C1691" s="278"/>
      <c r="D1691" s="278"/>
      <c r="E1691" s="278"/>
      <c r="F1691" s="278"/>
      <c r="G1691" s="278"/>
      <c r="H1691" s="310"/>
      <c r="I1691" s="280">
        <f>$I$2*H1691</f>
        <v>0</v>
      </c>
      <c r="J1691" s="281">
        <f>$J$2*H1691</f>
        <v>0</v>
      </c>
      <c r="K1691" s="282">
        <f>IF(Notes!$B$9="Domestic",I1691, IF(Notes!$B$9="Commercial",J1691))*$K$1690</f>
        <v>0</v>
      </c>
      <c r="L1691" s="283">
        <f>(SUM(O1691:Q1691)+(K1691+SUM(M1691:Q1691))*(INDEX($U$1690:$AB$1690,MATCH(Notes!$C$16,$U$3:$AB$3,0))-100%))*$L$1690</f>
        <v>0</v>
      </c>
      <c r="M1691" s="286"/>
      <c r="N1691" s="286"/>
      <c r="O1691" s="285"/>
      <c r="P1691" s="285"/>
      <c r="Q1691" s="285"/>
      <c r="R1691" s="278"/>
      <c r="S1691" s="278"/>
      <c r="T1691" s="278"/>
    </row>
    <row r="1692" spans="1:28" s="305" customFormat="1" hidden="1" outlineLevel="1" x14ac:dyDescent="0.25">
      <c r="A1692" s="278"/>
      <c r="B1692" s="279" t="str">
        <f t="shared" ref="B1692:B1700" si="664">C1692&amp;D1692&amp;E1692&amp;F1692</f>
        <v/>
      </c>
      <c r="C1692" s="278"/>
      <c r="D1692" s="278"/>
      <c r="E1692" s="278"/>
      <c r="F1692" s="278"/>
      <c r="G1692" s="278"/>
      <c r="H1692" s="310"/>
      <c r="I1692" s="280">
        <f t="shared" ref="I1692:I1694" si="665">$I$2*H1692</f>
        <v>0</v>
      </c>
      <c r="J1692" s="281">
        <f t="shared" ref="J1692:J1700" si="666">$J$2*H1692</f>
        <v>0</v>
      </c>
      <c r="K1692" s="282">
        <f>IF(Notes!$B$9="Domestic",I1692, IF(Notes!$B$9="Commercial",J1692))*$K$1690</f>
        <v>0</v>
      </c>
      <c r="L1692" s="283">
        <f>(SUM(O1692:Q1692)+(K1692+SUM(M1692:Q1692))*(INDEX($U$1690:$AB$1690,MATCH(Notes!$C$16,$U$3:$AB$3,0))-100%))*$L$1690</f>
        <v>0</v>
      </c>
      <c r="M1692" s="286"/>
      <c r="N1692" s="286"/>
      <c r="O1692" s="285"/>
      <c r="P1692" s="285"/>
      <c r="Q1692" s="285"/>
      <c r="R1692" s="278"/>
      <c r="S1692" s="278"/>
      <c r="T1692" s="278"/>
    </row>
    <row r="1693" spans="1:28" s="305" customFormat="1" hidden="1" outlineLevel="1" x14ac:dyDescent="0.25">
      <c r="A1693" s="278"/>
      <c r="B1693" s="279" t="str">
        <f t="shared" si="664"/>
        <v/>
      </c>
      <c r="C1693" s="278"/>
      <c r="D1693" s="278"/>
      <c r="E1693" s="278"/>
      <c r="F1693" s="278"/>
      <c r="G1693" s="278"/>
      <c r="H1693" s="310"/>
      <c r="I1693" s="280">
        <f t="shared" si="665"/>
        <v>0</v>
      </c>
      <c r="J1693" s="281">
        <f t="shared" si="666"/>
        <v>0</v>
      </c>
      <c r="K1693" s="282">
        <f>IF(Notes!$B$9="Domestic",I1693, IF(Notes!$B$9="Commercial",J1693))*$K$1690</f>
        <v>0</v>
      </c>
      <c r="L1693" s="283">
        <f>(SUM(O1693:Q1693)+(K1693+SUM(M1693:Q1693))*(INDEX($U$1690:$AB$1690,MATCH(Notes!$C$16,$U$3:$AB$3,0))-100%))*$L$1690</f>
        <v>0</v>
      </c>
      <c r="M1693" s="286"/>
      <c r="N1693" s="286"/>
      <c r="O1693" s="285"/>
      <c r="P1693" s="285"/>
      <c r="Q1693" s="285"/>
      <c r="R1693" s="278"/>
      <c r="S1693" s="278"/>
      <c r="T1693" s="278"/>
    </row>
    <row r="1694" spans="1:28" s="305" customFormat="1" hidden="1" outlineLevel="1" x14ac:dyDescent="0.25">
      <c r="A1694" s="278"/>
      <c r="B1694" s="279" t="str">
        <f t="shared" si="664"/>
        <v/>
      </c>
      <c r="C1694" s="278"/>
      <c r="D1694" s="278"/>
      <c r="E1694" s="278"/>
      <c r="F1694" s="278"/>
      <c r="G1694" s="278"/>
      <c r="H1694" s="310"/>
      <c r="I1694" s="280">
        <f t="shared" si="665"/>
        <v>0</v>
      </c>
      <c r="J1694" s="281">
        <f t="shared" si="666"/>
        <v>0</v>
      </c>
      <c r="K1694" s="282">
        <f>IF(Notes!$B$9="Domestic",I1694, IF(Notes!$B$9="Commercial",J1694))*$K$1690</f>
        <v>0</v>
      </c>
      <c r="L1694" s="283">
        <f>(SUM(O1694:Q1694)+(K1694+SUM(M1694:Q1694))*(INDEX($U$1690:$AB$1690,MATCH(Notes!$C$16,$U$3:$AB$3,0))-100%))*$L$1690</f>
        <v>0</v>
      </c>
      <c r="M1694" s="286"/>
      <c r="N1694" s="286"/>
      <c r="O1694" s="285"/>
      <c r="P1694" s="285"/>
      <c r="Q1694" s="285"/>
      <c r="R1694" s="278"/>
      <c r="S1694" s="278"/>
      <c r="T1694" s="278"/>
    </row>
    <row r="1695" spans="1:28" s="305" customFormat="1" hidden="1" outlineLevel="1" x14ac:dyDescent="0.25">
      <c r="A1695" s="278"/>
      <c r="B1695" s="279" t="str">
        <f t="shared" si="664"/>
        <v/>
      </c>
      <c r="C1695" s="278"/>
      <c r="D1695" s="278"/>
      <c r="E1695" s="278"/>
      <c r="F1695" s="278"/>
      <c r="G1695" s="278"/>
      <c r="H1695" s="310"/>
      <c r="I1695" s="280">
        <f>$I$2*H1695</f>
        <v>0</v>
      </c>
      <c r="J1695" s="281">
        <f t="shared" si="666"/>
        <v>0</v>
      </c>
      <c r="K1695" s="282">
        <f>IF(Notes!$B$9="Domestic",I1695, IF(Notes!$B$9="Commercial",J1695))*$K$1690</f>
        <v>0</v>
      </c>
      <c r="L1695" s="283">
        <f>(SUM(O1695:Q1695)+(K1695+SUM(M1695:Q1695))*(INDEX($U$1690:$AB$1690,MATCH(Notes!$C$16,$U$3:$AB$3,0))-100%))*$L$1690</f>
        <v>0</v>
      </c>
      <c r="M1695" s="286"/>
      <c r="N1695" s="286"/>
      <c r="O1695" s="285"/>
      <c r="P1695" s="285"/>
      <c r="Q1695" s="285"/>
      <c r="R1695" s="278"/>
      <c r="S1695" s="278"/>
      <c r="T1695" s="278"/>
    </row>
    <row r="1696" spans="1:28" s="305" customFormat="1" hidden="1" outlineLevel="1" x14ac:dyDescent="0.25">
      <c r="A1696" s="278"/>
      <c r="B1696" s="279" t="str">
        <f t="shared" si="664"/>
        <v/>
      </c>
      <c r="C1696" s="278"/>
      <c r="D1696" s="278"/>
      <c r="E1696" s="278"/>
      <c r="F1696" s="278"/>
      <c r="G1696" s="278"/>
      <c r="H1696" s="310"/>
      <c r="I1696" s="280">
        <f t="shared" ref="I1696:I1700" si="667">$I$2*H1696</f>
        <v>0</v>
      </c>
      <c r="J1696" s="281">
        <f t="shared" si="666"/>
        <v>0</v>
      </c>
      <c r="K1696" s="282">
        <f>IF(Notes!$B$9="Domestic",I1696, IF(Notes!$B$9="Commercial",J1696))*$K$1690</f>
        <v>0</v>
      </c>
      <c r="L1696" s="283">
        <f>(SUM(O1696:Q1696)+(K1696+SUM(M1696:Q1696))*(INDEX($U$1690:$AB$1690,MATCH(Notes!$C$16,$U$3:$AB$3,0))-100%))*$L$1690</f>
        <v>0</v>
      </c>
      <c r="M1696" s="286"/>
      <c r="N1696" s="286"/>
      <c r="O1696" s="285"/>
      <c r="P1696" s="285"/>
      <c r="Q1696" s="285"/>
      <c r="R1696" s="278"/>
      <c r="S1696" s="278"/>
      <c r="T1696" s="278"/>
    </row>
    <row r="1697" spans="1:28" s="305" customFormat="1" hidden="1" outlineLevel="1" x14ac:dyDescent="0.25">
      <c r="A1697" s="278"/>
      <c r="B1697" s="279" t="str">
        <f t="shared" si="664"/>
        <v/>
      </c>
      <c r="C1697" s="278"/>
      <c r="D1697" s="278"/>
      <c r="E1697" s="278"/>
      <c r="F1697" s="278"/>
      <c r="G1697" s="278"/>
      <c r="H1697" s="310"/>
      <c r="I1697" s="280">
        <f t="shared" si="667"/>
        <v>0</v>
      </c>
      <c r="J1697" s="281">
        <f t="shared" si="666"/>
        <v>0</v>
      </c>
      <c r="K1697" s="282">
        <f>IF(Notes!$B$9="Domestic",I1697, IF(Notes!$B$9="Commercial",J1697))*$K$1690</f>
        <v>0</v>
      </c>
      <c r="L1697" s="283">
        <f>(SUM(O1697:Q1697)+(K1697+SUM(M1697:Q1697))*(INDEX($U$1690:$AB$1690,MATCH(Notes!$C$16,$U$3:$AB$3,0))-100%))*$L$1690</f>
        <v>0</v>
      </c>
      <c r="M1697" s="286"/>
      <c r="N1697" s="286"/>
      <c r="O1697" s="285"/>
      <c r="P1697" s="285"/>
      <c r="Q1697" s="285"/>
      <c r="R1697" s="278"/>
      <c r="S1697" s="278"/>
      <c r="T1697" s="278"/>
    </row>
    <row r="1698" spans="1:28" s="305" customFormat="1" hidden="1" outlineLevel="1" x14ac:dyDescent="0.25">
      <c r="A1698" s="278"/>
      <c r="B1698" s="279" t="str">
        <f t="shared" si="664"/>
        <v/>
      </c>
      <c r="C1698" s="278"/>
      <c r="D1698" s="278"/>
      <c r="E1698" s="278"/>
      <c r="F1698" s="278"/>
      <c r="G1698" s="278"/>
      <c r="H1698" s="310"/>
      <c r="I1698" s="280">
        <f t="shared" si="667"/>
        <v>0</v>
      </c>
      <c r="J1698" s="281">
        <f t="shared" si="666"/>
        <v>0</v>
      </c>
      <c r="K1698" s="282">
        <f>IF(Notes!$B$9="Domestic",I1698, IF(Notes!$B$9="Commercial",J1698))*$K$1690</f>
        <v>0</v>
      </c>
      <c r="L1698" s="283">
        <f>(SUM(O1698:Q1698)+(K1698+SUM(M1698:Q1698))*(INDEX($U$1690:$AB$1690,MATCH(Notes!$C$16,$U$3:$AB$3,0))-100%))*$L$1690</f>
        <v>0</v>
      </c>
      <c r="M1698" s="286"/>
      <c r="N1698" s="286"/>
      <c r="O1698" s="285"/>
      <c r="P1698" s="285"/>
      <c r="Q1698" s="285"/>
      <c r="R1698" s="278"/>
      <c r="S1698" s="278"/>
      <c r="T1698" s="278"/>
    </row>
    <row r="1699" spans="1:28" s="305" customFormat="1" hidden="1" outlineLevel="1" x14ac:dyDescent="0.25">
      <c r="A1699" s="278"/>
      <c r="B1699" s="279" t="str">
        <f t="shared" si="664"/>
        <v/>
      </c>
      <c r="C1699" s="278"/>
      <c r="D1699" s="278"/>
      <c r="E1699" s="278"/>
      <c r="F1699" s="278"/>
      <c r="G1699" s="278"/>
      <c r="H1699" s="310"/>
      <c r="I1699" s="280">
        <f t="shared" si="667"/>
        <v>0</v>
      </c>
      <c r="J1699" s="281">
        <f t="shared" si="666"/>
        <v>0</v>
      </c>
      <c r="K1699" s="282">
        <f>IF(Notes!$B$9="Domestic",I1699, IF(Notes!$B$9="Commercial",J1699))*$K$1690</f>
        <v>0</v>
      </c>
      <c r="L1699" s="283">
        <f>(SUM(O1699:Q1699)+(K1699+SUM(M1699:Q1699))*(INDEX($U$1690:$AB$1690,MATCH(Notes!$C$16,$U$3:$AB$3,0))-100%))*$L$1690</f>
        <v>0</v>
      </c>
      <c r="M1699" s="286"/>
      <c r="N1699" s="286"/>
      <c r="O1699" s="285"/>
      <c r="P1699" s="285"/>
      <c r="Q1699" s="285"/>
      <c r="R1699" s="278"/>
      <c r="S1699" s="278"/>
      <c r="T1699" s="278"/>
    </row>
    <row r="1700" spans="1:28" s="305" customFormat="1" hidden="1" outlineLevel="1" x14ac:dyDescent="0.25">
      <c r="A1700" s="278"/>
      <c r="B1700" s="279" t="str">
        <f t="shared" si="664"/>
        <v/>
      </c>
      <c r="C1700" s="278"/>
      <c r="D1700" s="278"/>
      <c r="E1700" s="278"/>
      <c r="F1700" s="278"/>
      <c r="G1700" s="278"/>
      <c r="H1700" s="310"/>
      <c r="I1700" s="280">
        <f t="shared" si="667"/>
        <v>0</v>
      </c>
      <c r="J1700" s="281">
        <f t="shared" si="666"/>
        <v>0</v>
      </c>
      <c r="K1700" s="282">
        <f>IF(Notes!$B$9="Domestic",I1700, IF(Notes!$B$9="Commercial",J1700))*$K$1690</f>
        <v>0</v>
      </c>
      <c r="L1700" s="283">
        <f>(SUM(O1700:Q1700)+(K1700+SUM(M1700:Q1700))*(INDEX($U$1690:$AB$1690,MATCH(Notes!$C$16,$U$3:$AB$3,0))-100%))*$L$1690</f>
        <v>0</v>
      </c>
      <c r="M1700" s="286"/>
      <c r="N1700" s="286"/>
      <c r="O1700" s="285"/>
      <c r="P1700" s="285"/>
      <c r="Q1700" s="285"/>
      <c r="R1700" s="278"/>
      <c r="S1700" s="278"/>
      <c r="T1700" s="278"/>
    </row>
    <row r="1701" spans="1:28" ht="21" hidden="1" outlineLevel="1" x14ac:dyDescent="0.25">
      <c r="A1701" s="299"/>
      <c r="B1701" s="299"/>
      <c r="C1701" s="299"/>
      <c r="D1701" s="299"/>
      <c r="E1701" s="299"/>
      <c r="F1701" s="299"/>
      <c r="G1701" s="299"/>
      <c r="H1701" s="348"/>
      <c r="I1701" s="299"/>
      <c r="J1701" s="299"/>
      <c r="K1701" s="299"/>
      <c r="L1701" s="299"/>
      <c r="M1701" s="299"/>
      <c r="N1701" s="299"/>
      <c r="O1701" s="299"/>
      <c r="P1701" s="299"/>
      <c r="Q1701" s="299"/>
      <c r="R1701" s="299"/>
      <c r="S1701" s="299"/>
      <c r="T1701" s="299"/>
      <c r="U1701" s="299"/>
      <c r="V1701" s="299"/>
      <c r="W1701" s="299"/>
      <c r="X1701" s="299"/>
      <c r="Y1701" s="299"/>
      <c r="Z1701" s="299"/>
      <c r="AA1701" s="299"/>
      <c r="AB1701" s="299"/>
    </row>
    <row r="1702" spans="1:28" ht="15.75" hidden="1" outlineLevel="1" x14ac:dyDescent="0.25">
      <c r="A1702" s="291"/>
      <c r="B1702" s="291"/>
      <c r="C1702" s="291"/>
      <c r="D1702" s="291"/>
      <c r="E1702" s="291"/>
      <c r="F1702" s="291"/>
      <c r="G1702" s="291"/>
      <c r="H1702" s="325"/>
      <c r="I1702" s="291"/>
      <c r="J1702" s="291"/>
      <c r="K1702" s="291">
        <f>K$2</f>
        <v>1</v>
      </c>
      <c r="L1702" s="291">
        <f>L$2</f>
        <v>1</v>
      </c>
      <c r="M1702" s="291"/>
      <c r="N1702" s="291"/>
      <c r="O1702" s="303"/>
      <c r="P1702" s="303"/>
      <c r="Q1702" s="303"/>
      <c r="R1702" s="291"/>
      <c r="S1702" s="291"/>
      <c r="T1702" s="291"/>
      <c r="U1702" s="291">
        <f>U$2</f>
        <v>1.0309523809523808</v>
      </c>
      <c r="V1702" s="291">
        <f>V$2</f>
        <v>1</v>
      </c>
      <c r="W1702" s="291">
        <f t="shared" ref="W1702:AB1702" si="668">W$2</f>
        <v>1.0705952380952379</v>
      </c>
      <c r="X1702" s="291">
        <f t="shared" si="668"/>
        <v>1.1199999999999999</v>
      </c>
      <c r="Y1702" s="291">
        <f t="shared" si="668"/>
        <v>1.0571428571428572</v>
      </c>
      <c r="Z1702" s="291">
        <f t="shared" si="668"/>
        <v>1.1299999999999999</v>
      </c>
      <c r="AA1702" s="291">
        <f t="shared" si="668"/>
        <v>1.0776942355889725</v>
      </c>
      <c r="AB1702" s="291">
        <f t="shared" si="668"/>
        <v>1.0325814536340854</v>
      </c>
    </row>
    <row r="1703" spans="1:28" s="305" customFormat="1" hidden="1" outlineLevel="1" x14ac:dyDescent="0.25">
      <c r="A1703" s="278"/>
      <c r="B1703" s="279" t="str">
        <f>C1703&amp;D1703&amp;E1703&amp;F1703</f>
        <v/>
      </c>
      <c r="C1703" s="278"/>
      <c r="D1703" s="278"/>
      <c r="E1703" s="278"/>
      <c r="F1703" s="278"/>
      <c r="G1703" s="278"/>
      <c r="H1703" s="310"/>
      <c r="I1703" s="280">
        <f>$I$2*H1703</f>
        <v>0</v>
      </c>
      <c r="J1703" s="281">
        <f>$J$2*H1703</f>
        <v>0</v>
      </c>
      <c r="K1703" s="282">
        <f>IF(Notes!$B$9="Domestic",I1703, IF(Notes!$B$9="Commercial",J1703))*$K$1702</f>
        <v>0</v>
      </c>
      <c r="L1703" s="283">
        <f>(SUM(O1703:Q1703)+(K1703+SUM(M1703:Q1703))*(INDEX($U$1702:$AB$1702,MATCH(Notes!$C$16,$U$3:$AB$3,0))-100%))*$L$1702</f>
        <v>0</v>
      </c>
      <c r="M1703" s="286"/>
      <c r="N1703" s="286"/>
      <c r="O1703" s="285"/>
      <c r="P1703" s="285"/>
      <c r="Q1703" s="285"/>
      <c r="R1703" s="278"/>
      <c r="S1703" s="278"/>
      <c r="T1703" s="278"/>
    </row>
    <row r="1704" spans="1:28" s="305" customFormat="1" hidden="1" outlineLevel="1" x14ac:dyDescent="0.25">
      <c r="A1704" s="278"/>
      <c r="B1704" s="279" t="str">
        <f t="shared" ref="B1704:B1712" si="669">C1704&amp;D1704&amp;E1704&amp;F1704</f>
        <v/>
      </c>
      <c r="C1704" s="278"/>
      <c r="D1704" s="278"/>
      <c r="E1704" s="278"/>
      <c r="F1704" s="278"/>
      <c r="G1704" s="278"/>
      <c r="H1704" s="310"/>
      <c r="I1704" s="280">
        <f t="shared" ref="I1704:I1712" si="670">$I$2*H1704</f>
        <v>0</v>
      </c>
      <c r="J1704" s="281">
        <f t="shared" ref="J1704:J1712" si="671">$J$2*H1704</f>
        <v>0</v>
      </c>
      <c r="K1704" s="282">
        <f>IF(Notes!$B$9="Domestic",I1704, IF(Notes!$B$9="Commercial",J1704))*$K$1702</f>
        <v>0</v>
      </c>
      <c r="L1704" s="283">
        <f>(SUM(O1704:Q1704)+(K1704+SUM(M1704:Q1704))*(INDEX($U$1702:$AB$1702,MATCH(Notes!$C$16,$U$3:$AB$3,0))-100%))*$L$1702</f>
        <v>0</v>
      </c>
      <c r="M1704" s="286"/>
      <c r="N1704" s="286"/>
      <c r="O1704" s="285"/>
      <c r="P1704" s="285"/>
      <c r="Q1704" s="285"/>
      <c r="R1704" s="278"/>
      <c r="S1704" s="278"/>
      <c r="T1704" s="278"/>
    </row>
    <row r="1705" spans="1:28" s="305" customFormat="1" hidden="1" outlineLevel="1" x14ac:dyDescent="0.25">
      <c r="A1705" s="278"/>
      <c r="B1705" s="279" t="str">
        <f t="shared" si="669"/>
        <v/>
      </c>
      <c r="C1705" s="278"/>
      <c r="D1705" s="278"/>
      <c r="E1705" s="278"/>
      <c r="F1705" s="278"/>
      <c r="G1705" s="278"/>
      <c r="H1705" s="310"/>
      <c r="I1705" s="280">
        <f t="shared" si="670"/>
        <v>0</v>
      </c>
      <c r="J1705" s="281">
        <f t="shared" si="671"/>
        <v>0</v>
      </c>
      <c r="K1705" s="282">
        <f>IF(Notes!$B$9="Domestic",I1705, IF(Notes!$B$9="Commercial",J1705))*$K$1702</f>
        <v>0</v>
      </c>
      <c r="L1705" s="283">
        <f>(SUM(O1705:Q1705)+(K1705+SUM(M1705:Q1705))*(INDEX($U$1702:$AB$1702,MATCH(Notes!$C$16,$U$3:$AB$3,0))-100%))*$L$1702</f>
        <v>0</v>
      </c>
      <c r="M1705" s="286"/>
      <c r="N1705" s="286"/>
      <c r="O1705" s="285"/>
      <c r="P1705" s="285"/>
      <c r="Q1705" s="285"/>
      <c r="R1705" s="278"/>
      <c r="S1705" s="278"/>
      <c r="T1705" s="278"/>
    </row>
    <row r="1706" spans="1:28" s="305" customFormat="1" hidden="1" outlineLevel="1" x14ac:dyDescent="0.25">
      <c r="A1706" s="278"/>
      <c r="B1706" s="279" t="str">
        <f t="shared" si="669"/>
        <v/>
      </c>
      <c r="C1706" s="278"/>
      <c r="D1706" s="278"/>
      <c r="E1706" s="278"/>
      <c r="F1706" s="278"/>
      <c r="G1706" s="278"/>
      <c r="H1706" s="310"/>
      <c r="I1706" s="280">
        <f t="shared" si="670"/>
        <v>0</v>
      </c>
      <c r="J1706" s="281">
        <f t="shared" si="671"/>
        <v>0</v>
      </c>
      <c r="K1706" s="282">
        <f>IF(Notes!$B$9="Domestic",I1706, IF(Notes!$B$9="Commercial",J1706))*$K$1702</f>
        <v>0</v>
      </c>
      <c r="L1706" s="283">
        <f>(SUM(O1706:Q1706)+(K1706+SUM(M1706:Q1706))*(INDEX($U$1702:$AB$1702,MATCH(Notes!$C$16,$U$3:$AB$3,0))-100%))*$L$1702</f>
        <v>0</v>
      </c>
      <c r="M1706" s="286"/>
      <c r="N1706" s="286"/>
      <c r="O1706" s="285"/>
      <c r="P1706" s="285"/>
      <c r="Q1706" s="285"/>
      <c r="R1706" s="278"/>
      <c r="S1706" s="278"/>
      <c r="T1706" s="278"/>
    </row>
    <row r="1707" spans="1:28" s="305" customFormat="1" hidden="1" outlineLevel="1" x14ac:dyDescent="0.25">
      <c r="A1707" s="278"/>
      <c r="B1707" s="279" t="str">
        <f t="shared" si="669"/>
        <v/>
      </c>
      <c r="C1707" s="278"/>
      <c r="D1707" s="278"/>
      <c r="E1707" s="278"/>
      <c r="F1707" s="278"/>
      <c r="G1707" s="278"/>
      <c r="H1707" s="310"/>
      <c r="I1707" s="280">
        <f>$I$2*H1707</f>
        <v>0</v>
      </c>
      <c r="J1707" s="281">
        <f t="shared" si="671"/>
        <v>0</v>
      </c>
      <c r="K1707" s="282">
        <f>IF(Notes!$B$9="Domestic",I1707, IF(Notes!$B$9="Commercial",J1707))*$K$1702</f>
        <v>0</v>
      </c>
      <c r="L1707" s="283">
        <f>(SUM(O1707:Q1707)+(K1707+SUM(M1707:Q1707))*(INDEX($U$1702:$AB$1702,MATCH(Notes!$C$16,$U$3:$AB$3,0))-100%))*$L$1702</f>
        <v>0</v>
      </c>
      <c r="M1707" s="286"/>
      <c r="N1707" s="286"/>
      <c r="O1707" s="285"/>
      <c r="P1707" s="285"/>
      <c r="Q1707" s="285"/>
      <c r="R1707" s="278"/>
      <c r="S1707" s="278"/>
      <c r="T1707" s="278"/>
    </row>
    <row r="1708" spans="1:28" s="305" customFormat="1" hidden="1" outlineLevel="1" x14ac:dyDescent="0.25">
      <c r="A1708" s="278"/>
      <c r="B1708" s="279" t="str">
        <f t="shared" si="669"/>
        <v/>
      </c>
      <c r="C1708" s="278"/>
      <c r="D1708" s="278"/>
      <c r="E1708" s="278"/>
      <c r="F1708" s="278"/>
      <c r="G1708" s="278"/>
      <c r="H1708" s="310"/>
      <c r="I1708" s="280">
        <f t="shared" si="670"/>
        <v>0</v>
      </c>
      <c r="J1708" s="281">
        <f t="shared" si="671"/>
        <v>0</v>
      </c>
      <c r="K1708" s="282">
        <f>IF(Notes!$B$9="Domestic",I1708, IF(Notes!$B$9="Commercial",J1708))*$K$1702</f>
        <v>0</v>
      </c>
      <c r="L1708" s="283">
        <f>(SUM(O1708:Q1708)+(K1708+SUM(M1708:Q1708))*(INDEX($U$1702:$AB$1702,MATCH(Notes!$C$16,$U$3:$AB$3,0))-100%))*$L$1702</f>
        <v>0</v>
      </c>
      <c r="M1708" s="286"/>
      <c r="N1708" s="286"/>
      <c r="O1708" s="285"/>
      <c r="P1708" s="285"/>
      <c r="Q1708" s="285"/>
      <c r="R1708" s="278"/>
      <c r="S1708" s="278"/>
      <c r="T1708" s="278"/>
    </row>
    <row r="1709" spans="1:28" s="305" customFormat="1" hidden="1" outlineLevel="1" x14ac:dyDescent="0.25">
      <c r="A1709" s="278"/>
      <c r="B1709" s="279" t="str">
        <f t="shared" si="669"/>
        <v/>
      </c>
      <c r="C1709" s="278"/>
      <c r="D1709" s="278"/>
      <c r="E1709" s="278"/>
      <c r="F1709" s="278"/>
      <c r="G1709" s="278"/>
      <c r="H1709" s="310"/>
      <c r="I1709" s="280">
        <f t="shared" si="670"/>
        <v>0</v>
      </c>
      <c r="J1709" s="281">
        <f t="shared" si="671"/>
        <v>0</v>
      </c>
      <c r="K1709" s="282">
        <f>IF(Notes!$B$9="Domestic",I1709, IF(Notes!$B$9="Commercial",J1709))*$K$1702</f>
        <v>0</v>
      </c>
      <c r="L1709" s="283">
        <f>(SUM(O1709:Q1709)+(K1709+SUM(M1709:Q1709))*(INDEX($U$1702:$AB$1702,MATCH(Notes!$C$16,$U$3:$AB$3,0))-100%))*$L$1702</f>
        <v>0</v>
      </c>
      <c r="M1709" s="286"/>
      <c r="N1709" s="286"/>
      <c r="O1709" s="285"/>
      <c r="P1709" s="285"/>
      <c r="Q1709" s="285"/>
      <c r="R1709" s="278"/>
      <c r="S1709" s="278"/>
      <c r="T1709" s="278"/>
    </row>
    <row r="1710" spans="1:28" s="305" customFormat="1" hidden="1" outlineLevel="1" x14ac:dyDescent="0.25">
      <c r="A1710" s="278"/>
      <c r="B1710" s="279" t="str">
        <f t="shared" si="669"/>
        <v/>
      </c>
      <c r="C1710" s="278"/>
      <c r="D1710" s="278"/>
      <c r="E1710" s="278"/>
      <c r="F1710" s="278"/>
      <c r="G1710" s="278"/>
      <c r="H1710" s="310"/>
      <c r="I1710" s="280">
        <f t="shared" si="670"/>
        <v>0</v>
      </c>
      <c r="J1710" s="281">
        <f t="shared" si="671"/>
        <v>0</v>
      </c>
      <c r="K1710" s="282">
        <f>IF(Notes!$B$9="Domestic",I1710, IF(Notes!$B$9="Commercial",J1710))*$K$1702</f>
        <v>0</v>
      </c>
      <c r="L1710" s="283">
        <f>(SUM(O1710:Q1710)+(K1710+SUM(M1710:Q1710))*(INDEX($U$1702:$AB$1702,MATCH(Notes!$C$16,$U$3:$AB$3,0))-100%))*$L$1702</f>
        <v>0</v>
      </c>
      <c r="M1710" s="286"/>
      <c r="N1710" s="286"/>
      <c r="O1710" s="285"/>
      <c r="P1710" s="285"/>
      <c r="Q1710" s="285"/>
      <c r="R1710" s="278"/>
      <c r="S1710" s="278"/>
      <c r="T1710" s="278"/>
    </row>
    <row r="1711" spans="1:28" s="305" customFormat="1" hidden="1" outlineLevel="1" x14ac:dyDescent="0.25">
      <c r="A1711" s="278"/>
      <c r="B1711" s="279" t="str">
        <f t="shared" si="669"/>
        <v/>
      </c>
      <c r="C1711" s="278"/>
      <c r="D1711" s="278"/>
      <c r="E1711" s="278"/>
      <c r="F1711" s="278"/>
      <c r="G1711" s="278"/>
      <c r="H1711" s="310"/>
      <c r="I1711" s="280">
        <f t="shared" si="670"/>
        <v>0</v>
      </c>
      <c r="J1711" s="281">
        <f t="shared" si="671"/>
        <v>0</v>
      </c>
      <c r="K1711" s="282">
        <f>IF(Notes!$B$9="Domestic",I1711, IF(Notes!$B$9="Commercial",J1711))*$K$1702</f>
        <v>0</v>
      </c>
      <c r="L1711" s="283">
        <f>(SUM(O1711:Q1711)+(K1711+SUM(M1711:Q1711))*(INDEX($U$1702:$AB$1702,MATCH(Notes!$C$16,$U$3:$AB$3,0))-100%))*$L$1702</f>
        <v>0</v>
      </c>
      <c r="M1711" s="286"/>
      <c r="N1711" s="286"/>
      <c r="O1711" s="285"/>
      <c r="P1711" s="285"/>
      <c r="Q1711" s="285"/>
      <c r="R1711" s="278"/>
      <c r="S1711" s="278"/>
      <c r="T1711" s="278"/>
    </row>
    <row r="1712" spans="1:28" s="305" customFormat="1" hidden="1" outlineLevel="1" x14ac:dyDescent="0.25">
      <c r="A1712" s="278"/>
      <c r="B1712" s="279" t="str">
        <f t="shared" si="669"/>
        <v/>
      </c>
      <c r="C1712" s="278"/>
      <c r="D1712" s="278"/>
      <c r="E1712" s="278"/>
      <c r="F1712" s="278"/>
      <c r="G1712" s="278"/>
      <c r="H1712" s="310"/>
      <c r="I1712" s="280">
        <f t="shared" si="670"/>
        <v>0</v>
      </c>
      <c r="J1712" s="281">
        <f t="shared" si="671"/>
        <v>0</v>
      </c>
      <c r="K1712" s="282">
        <f>IF(Notes!$B$9="Domestic",I1712, IF(Notes!$B$9="Commercial",J1712))*$K$1702</f>
        <v>0</v>
      </c>
      <c r="L1712" s="283">
        <f>(SUM(O1712:Q1712)+(K1712+SUM(M1712:Q1712))*(INDEX($U$1702:$AB$1702,MATCH(Notes!$C$16,$U$3:$AB$3,0))-100%))*$L$1702</f>
        <v>0</v>
      </c>
      <c r="M1712" s="286"/>
      <c r="N1712" s="286"/>
      <c r="O1712" s="285"/>
      <c r="P1712" s="285"/>
      <c r="Q1712" s="285"/>
      <c r="R1712" s="278"/>
      <c r="S1712" s="278"/>
      <c r="T1712" s="278"/>
    </row>
    <row r="1713" spans="1:20" hidden="1" outlineLevel="1" x14ac:dyDescent="0.25">
      <c r="A1713" s="284" t="str">
        <f>C1713&amp;D1713&amp;E1713</f>
        <v/>
      </c>
      <c r="B1713" s="284"/>
      <c r="C1713" s="284"/>
      <c r="D1713" s="284"/>
      <c r="E1713" s="284"/>
      <c r="F1713" s="284"/>
      <c r="G1713" s="284"/>
      <c r="H1713" s="349"/>
      <c r="I1713" s="284"/>
      <c r="J1713" s="284"/>
      <c r="K1713" s="284"/>
      <c r="L1713" s="284"/>
      <c r="M1713" s="284"/>
      <c r="N1713" s="284"/>
      <c r="O1713" s="284"/>
      <c r="P1713" s="284"/>
      <c r="Q1713" s="284"/>
      <c r="R1713" s="284"/>
      <c r="S1713" s="284"/>
      <c r="T1713" s="284"/>
    </row>
    <row r="1714" spans="1:20" hidden="1" outlineLevel="1" x14ac:dyDescent="0.25"/>
    <row r="1715" spans="1:20" hidden="1" outlineLevel="1" x14ac:dyDescent="0.25"/>
    <row r="1716" spans="1:20" collapsed="1" x14ac:dyDescent="0.25"/>
  </sheetData>
  <sheetProtection algorithmName="SHA-512" hashValue="YHt0dVH7cISEZygjf6MZCHVMdOjBjTggPCq/HjvWkTipW/4qokATmhrE/DeIcsJJ303MWFKTJClo1DK4u7xOmg==" saltValue="GB/2S4NU8zuIeAGnkc1nkg==" spinCount="100000" sheet="1" objects="1" scenarios="1"/>
  <mergeCells count="1">
    <mergeCell ref="I1:J1"/>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AC189-D5D0-46A4-9D9C-3F5ABE135CE2}">
  <sheetPr codeName="Sheet56">
    <tabColor rgb="FFFF0000"/>
  </sheetPr>
  <dimension ref="A1:AB247"/>
  <sheetViews>
    <sheetView zoomScale="85" zoomScaleNormal="85" workbookViewId="0">
      <pane ySplit="3" topLeftCell="A247" activePane="bottomLeft" state="frozen"/>
      <selection pane="bottomLeft" sqref="A1:XFD1048576"/>
    </sheetView>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840</v>
      </c>
      <c r="B1" s="295"/>
      <c r="C1" s="295"/>
      <c r="D1" s="295"/>
      <c r="E1" s="295"/>
      <c r="F1" s="295"/>
      <c r="G1" s="295"/>
      <c r="H1" s="295"/>
      <c r="I1" s="295"/>
      <c r="J1" s="295"/>
      <c r="K1" s="295"/>
      <c r="L1" s="295"/>
      <c r="M1" s="295"/>
      <c r="N1" s="295"/>
      <c r="O1" s="295"/>
      <c r="P1" s="295"/>
      <c r="Q1" s="295"/>
      <c r="R1" s="295"/>
      <c r="S1" s="296" t="s">
        <v>888</v>
      </c>
      <c r="T1" s="297" t="s">
        <v>889</v>
      </c>
      <c r="U1" s="301"/>
      <c r="V1" s="301"/>
      <c r="W1" s="301"/>
      <c r="X1" s="301"/>
      <c r="Y1" s="301"/>
      <c r="Z1" s="301"/>
      <c r="AA1" s="301"/>
      <c r="AB1" s="301"/>
    </row>
    <row r="2" spans="1:28" ht="15.75" x14ac:dyDescent="0.25">
      <c r="I2" s="292">
        <v>0</v>
      </c>
      <c r="J2" s="293">
        <v>0</v>
      </c>
      <c r="K2" s="291">
        <v>1</v>
      </c>
      <c r="L2" s="291">
        <v>1</v>
      </c>
      <c r="U2" s="291">
        <v>1</v>
      </c>
      <c r="V2" s="291">
        <v>1</v>
      </c>
      <c r="W2" s="291">
        <v>1</v>
      </c>
      <c r="X2" s="291">
        <v>1</v>
      </c>
      <c r="Y2" s="291">
        <v>1</v>
      </c>
      <c r="Z2" s="291">
        <v>1</v>
      </c>
      <c r="AA2" s="291">
        <v>1</v>
      </c>
      <c r="AB2" s="291">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U$2</f>
        <v>1</v>
      </c>
      <c r="V5" s="291">
        <f>V$2</f>
        <v>1</v>
      </c>
      <c r="W5" s="291">
        <f t="shared" ref="W5:AB5" si="0">W$2</f>
        <v>1</v>
      </c>
      <c r="X5" s="291">
        <f t="shared" si="0"/>
        <v>1</v>
      </c>
      <c r="Y5" s="291">
        <f t="shared" si="0"/>
        <v>1</v>
      </c>
      <c r="Z5" s="291">
        <f t="shared" si="0"/>
        <v>1</v>
      </c>
      <c r="AA5" s="291">
        <f t="shared" si="0"/>
        <v>1</v>
      </c>
      <c r="AB5" s="291">
        <f t="shared" si="0"/>
        <v>1</v>
      </c>
    </row>
    <row r="6" spans="1:28" s="305" customFormat="1" ht="14.45" hidden="1" customHeight="1" outlineLevel="1" x14ac:dyDescent="0.25">
      <c r="A6" s="278"/>
      <c r="B6" s="279" t="str">
        <f>C6&amp;D6&amp;E6&amp;F6</f>
        <v/>
      </c>
      <c r="C6" s="278"/>
      <c r="D6" s="278"/>
      <c r="E6" s="278"/>
      <c r="F6" s="278"/>
      <c r="G6" s="278"/>
      <c r="H6" s="290"/>
      <c r="I6" s="280">
        <f t="shared" ref="I6:I15" si="1">$I$2*H6</f>
        <v>0</v>
      </c>
      <c r="J6" s="281">
        <f>$J$2*H6</f>
        <v>0</v>
      </c>
      <c r="K6" s="282">
        <f>IF(Notes!$B$9="Domestic",I6, IF(Notes!$B$9="Commercial",J6))*$K$5</f>
        <v>0</v>
      </c>
      <c r="L6" s="283">
        <f>IF(SUM(O6:Q6)=0,0,(SUM(O6:Q6)+(K6+SUM(M6:Q6))*(INDEX($U$5:$AB$5,MATCH(Notes!$C$16,$U$3:$AB$3,0))-100%))*$L$5)</f>
        <v>0</v>
      </c>
      <c r="M6" s="286"/>
      <c r="N6" s="286"/>
      <c r="O6" s="285"/>
      <c r="P6" s="285"/>
      <c r="Q6" s="285"/>
      <c r="R6" s="278"/>
      <c r="S6" s="278"/>
      <c r="T6" s="278"/>
      <c r="U6" s="304"/>
    </row>
    <row r="7" spans="1:28" s="305" customFormat="1" ht="14.45" hidden="1" customHeight="1" outlineLevel="1" x14ac:dyDescent="0.25">
      <c r="A7" s="278"/>
      <c r="B7" s="279" t="str">
        <f t="shared" ref="B7:B15" si="2">C7&amp;D7&amp;E7&amp;F7</f>
        <v/>
      </c>
      <c r="C7" s="278"/>
      <c r="D7" s="278"/>
      <c r="E7" s="278"/>
      <c r="F7" s="278"/>
      <c r="G7" s="278"/>
      <c r="H7" s="290"/>
      <c r="I7" s="280">
        <f t="shared" si="1"/>
        <v>0</v>
      </c>
      <c r="J7" s="281">
        <f t="shared" ref="J7:J15" si="3">$J$2*H7</f>
        <v>0</v>
      </c>
      <c r="K7" s="282">
        <f>IF(Notes!$B$9="Domestic",I7, IF(Notes!$B$9="Commercial",J7))*$K$5</f>
        <v>0</v>
      </c>
      <c r="L7" s="283">
        <f>IF(SUM(O7:Q7)=0,0,(SUM(O7:Q7)+(K7+SUM(M7:Q7))*(INDEX($U$5:$AB$5,MATCH(Notes!$C$16,$U$3:$AB$3,0))-100%))*$L$5)</f>
        <v>0</v>
      </c>
      <c r="M7" s="286"/>
      <c r="N7" s="286"/>
      <c r="O7" s="285"/>
      <c r="P7" s="285"/>
      <c r="Q7" s="285"/>
      <c r="R7" s="278"/>
      <c r="S7" s="278"/>
      <c r="T7" s="278"/>
      <c r="U7" s="304"/>
    </row>
    <row r="8" spans="1:28" s="305" customFormat="1" ht="14.45" hidden="1" customHeight="1" outlineLevel="1" x14ac:dyDescent="0.25">
      <c r="A8" s="278"/>
      <c r="B8" s="279" t="str">
        <f t="shared" si="2"/>
        <v/>
      </c>
      <c r="C8" s="278"/>
      <c r="D8" s="278"/>
      <c r="E8" s="278"/>
      <c r="F8" s="278"/>
      <c r="G8" s="278"/>
      <c r="H8" s="290"/>
      <c r="I8" s="280">
        <f t="shared" si="1"/>
        <v>0</v>
      </c>
      <c r="J8" s="281">
        <f t="shared" si="3"/>
        <v>0</v>
      </c>
      <c r="K8" s="282">
        <f>IF(Notes!$B$9="Domestic",I8, IF(Notes!$B$9="Commercial",J8))*$K$5</f>
        <v>0</v>
      </c>
      <c r="L8" s="283">
        <f>IF(SUM(O8:Q8)=0,0,(SUM(O8:Q8)+(K8+SUM(M8:Q8))*(INDEX($U$5:$AB$5,MATCH(Notes!$C$16,$U$3:$AB$3,0))-100%))*$L$5)</f>
        <v>0</v>
      </c>
      <c r="M8" s="286"/>
      <c r="N8" s="286"/>
      <c r="O8" s="285"/>
      <c r="P8" s="285"/>
      <c r="Q8" s="285"/>
      <c r="R8" s="278"/>
      <c r="S8" s="278"/>
      <c r="T8" s="278"/>
      <c r="U8" s="304"/>
    </row>
    <row r="9" spans="1:28" s="305" customFormat="1" ht="14.45" hidden="1" customHeight="1" outlineLevel="1" x14ac:dyDescent="0.25">
      <c r="A9" s="278"/>
      <c r="B9" s="279" t="str">
        <f t="shared" si="2"/>
        <v/>
      </c>
      <c r="C9" s="278"/>
      <c r="D9" s="278"/>
      <c r="E9" s="278"/>
      <c r="F9" s="278"/>
      <c r="G9" s="278"/>
      <c r="H9" s="290"/>
      <c r="I9" s="280">
        <f t="shared" si="1"/>
        <v>0</v>
      </c>
      <c r="J9" s="281">
        <f t="shared" si="3"/>
        <v>0</v>
      </c>
      <c r="K9" s="282">
        <f>IF(Notes!$B$9="Domestic",I9, IF(Notes!$B$9="Commercial",J9))*$K$5</f>
        <v>0</v>
      </c>
      <c r="L9" s="283">
        <f>IF(SUM(O9:Q9)=0,0,(SUM(O9:Q9)+(K9+SUM(M9:Q9))*(INDEX($U$5:$AB$5,MATCH(Notes!$C$16,$U$3:$AB$3,0))-100%))*$L$5)</f>
        <v>0</v>
      </c>
      <c r="M9" s="286"/>
      <c r="N9" s="286"/>
      <c r="O9" s="285"/>
      <c r="P9" s="285"/>
      <c r="Q9" s="285"/>
      <c r="R9" s="278"/>
      <c r="S9" s="278"/>
      <c r="T9" s="278"/>
    </row>
    <row r="10" spans="1:28" s="305" customFormat="1" ht="14.45" hidden="1" customHeight="1" outlineLevel="1" x14ac:dyDescent="0.25">
      <c r="A10" s="278"/>
      <c r="B10" s="279" t="str">
        <f t="shared" si="2"/>
        <v/>
      </c>
      <c r="C10" s="278"/>
      <c r="D10" s="278"/>
      <c r="E10" s="278"/>
      <c r="F10" s="278"/>
      <c r="G10" s="278"/>
      <c r="H10" s="290"/>
      <c r="I10" s="280">
        <f t="shared" si="1"/>
        <v>0</v>
      </c>
      <c r="J10" s="281">
        <f t="shared" si="3"/>
        <v>0</v>
      </c>
      <c r="K10" s="282">
        <f>IF(Notes!$B$9="Domestic",I10, IF(Notes!$B$9="Commercial",J10))*$K$5</f>
        <v>0</v>
      </c>
      <c r="L10" s="283">
        <f>IF(SUM(O10:Q10)=0,0,(SUM(O10:Q10)+(K10+SUM(M10:Q10))*(INDEX($U$5:$AB$5,MATCH(Notes!$C$16,$U$3:$AB$3,0))-100%))*$L$5)</f>
        <v>0</v>
      </c>
      <c r="M10" s="286"/>
      <c r="N10" s="286"/>
      <c r="O10" s="285"/>
      <c r="P10" s="285"/>
      <c r="Q10" s="285"/>
      <c r="R10" s="278"/>
      <c r="S10" s="278"/>
      <c r="T10" s="278"/>
    </row>
    <row r="11" spans="1:28" s="305" customFormat="1" hidden="1" outlineLevel="1" x14ac:dyDescent="0.25">
      <c r="A11" s="278"/>
      <c r="B11" s="279" t="str">
        <f t="shared" si="2"/>
        <v/>
      </c>
      <c r="C11" s="278"/>
      <c r="D11" s="278"/>
      <c r="E11" s="278"/>
      <c r="F11" s="278"/>
      <c r="G11" s="278"/>
      <c r="H11" s="290"/>
      <c r="I11" s="280">
        <f t="shared" si="1"/>
        <v>0</v>
      </c>
      <c r="J11" s="281">
        <f t="shared" si="3"/>
        <v>0</v>
      </c>
      <c r="K11" s="282">
        <f>IF(Notes!$B$9="Domestic",I11, IF(Notes!$B$9="Commercial",J11))*$K$5</f>
        <v>0</v>
      </c>
      <c r="L11" s="283">
        <f>IF(SUM(O11:Q11)=0,0,(SUM(O11:Q11)+(K11+SUM(M11:Q11))*(INDEX($U$5:$AB$5,MATCH(Notes!$C$16,$U$3:$AB$3,0))-100%))*$L$5)</f>
        <v>0</v>
      </c>
      <c r="M11" s="286"/>
      <c r="N11" s="286"/>
      <c r="O11" s="285"/>
      <c r="P11" s="285"/>
      <c r="Q11" s="285"/>
      <c r="R11" s="278"/>
      <c r="S11" s="278"/>
      <c r="T11" s="278"/>
    </row>
    <row r="12" spans="1:28" s="305" customFormat="1" hidden="1" outlineLevel="1" x14ac:dyDescent="0.25">
      <c r="A12" s="278"/>
      <c r="B12" s="279" t="str">
        <f t="shared" si="2"/>
        <v/>
      </c>
      <c r="C12" s="278"/>
      <c r="D12" s="278"/>
      <c r="E12" s="278"/>
      <c r="F12" s="278"/>
      <c r="G12" s="278"/>
      <c r="H12" s="290"/>
      <c r="I12" s="280">
        <f t="shared" si="1"/>
        <v>0</v>
      </c>
      <c r="J12" s="281">
        <f t="shared" si="3"/>
        <v>0</v>
      </c>
      <c r="K12" s="282">
        <f>IF(Notes!$B$9="Domestic",I12, IF(Notes!$B$9="Commercial",J12))*$K$5</f>
        <v>0</v>
      </c>
      <c r="L12" s="283">
        <f>IF(SUM(O12:Q12)=0,0,(SUM(O12:Q12)+(K12+SUM(M12:Q12))*(INDEX($U$5:$AB$5,MATCH(Notes!$C$16,$U$3:$AB$3,0))-100%))*$L$5)</f>
        <v>0</v>
      </c>
      <c r="M12" s="286"/>
      <c r="N12" s="286"/>
      <c r="O12" s="285"/>
      <c r="P12" s="285"/>
      <c r="Q12" s="285"/>
      <c r="R12" s="278"/>
      <c r="S12" s="278"/>
      <c r="T12" s="278"/>
    </row>
    <row r="13" spans="1:28" s="305" customFormat="1" hidden="1" outlineLevel="1" x14ac:dyDescent="0.25">
      <c r="A13" s="278"/>
      <c r="B13" s="279" t="str">
        <f t="shared" si="2"/>
        <v/>
      </c>
      <c r="C13" s="278"/>
      <c r="D13" s="278"/>
      <c r="E13" s="278"/>
      <c r="F13" s="278"/>
      <c r="G13" s="278"/>
      <c r="H13" s="290"/>
      <c r="I13" s="280">
        <f t="shared" si="1"/>
        <v>0</v>
      </c>
      <c r="J13" s="281">
        <f t="shared" si="3"/>
        <v>0</v>
      </c>
      <c r="K13" s="282">
        <f>IF(Notes!$B$9="Domestic",I13, IF(Notes!$B$9="Commercial",J13))*$K$5</f>
        <v>0</v>
      </c>
      <c r="L13" s="283">
        <f>IF(SUM(O13:Q13)=0,0,(SUM(O13:Q13)+(K13+SUM(M13:Q13))*(INDEX($U$5:$AB$5,MATCH(Notes!$C$16,$U$3:$AB$3,0))-100%))*$L$5)</f>
        <v>0</v>
      </c>
      <c r="M13" s="286"/>
      <c r="N13" s="286"/>
      <c r="O13" s="285"/>
      <c r="P13" s="285"/>
      <c r="Q13" s="285"/>
      <c r="R13" s="278"/>
      <c r="S13" s="278"/>
      <c r="T13" s="278"/>
    </row>
    <row r="14" spans="1:28" s="305" customFormat="1" hidden="1" outlineLevel="1" x14ac:dyDescent="0.25">
      <c r="A14" s="278"/>
      <c r="B14" s="279" t="str">
        <f t="shared" si="2"/>
        <v/>
      </c>
      <c r="C14" s="278"/>
      <c r="D14" s="278"/>
      <c r="E14" s="278"/>
      <c r="F14" s="278"/>
      <c r="G14" s="278"/>
      <c r="H14" s="290"/>
      <c r="I14" s="280">
        <f t="shared" si="1"/>
        <v>0</v>
      </c>
      <c r="J14" s="281">
        <f t="shared" si="3"/>
        <v>0</v>
      </c>
      <c r="K14" s="282">
        <f>IF(Notes!$B$9="Domestic",I14, IF(Notes!$B$9="Commercial",J14))*$K$5</f>
        <v>0</v>
      </c>
      <c r="L14" s="283">
        <f>IF(SUM(O14:Q14)=0,0,(SUM(O14:Q14)+(K14+SUM(M14:Q14))*(INDEX($U$5:$AB$5,MATCH(Notes!$C$16,$U$3:$AB$3,0))-100%))*$L$5)</f>
        <v>0</v>
      </c>
      <c r="M14" s="286"/>
      <c r="N14" s="286"/>
      <c r="O14" s="285"/>
      <c r="P14" s="285"/>
      <c r="Q14" s="285"/>
      <c r="R14" s="278"/>
      <c r="S14" s="278"/>
      <c r="T14" s="278"/>
    </row>
    <row r="15" spans="1:28" s="305" customFormat="1" hidden="1" outlineLevel="1" x14ac:dyDescent="0.25">
      <c r="A15" s="278"/>
      <c r="B15" s="279" t="str">
        <f t="shared" si="2"/>
        <v/>
      </c>
      <c r="C15" s="278"/>
      <c r="D15" s="278"/>
      <c r="E15" s="278"/>
      <c r="F15" s="278"/>
      <c r="G15" s="278"/>
      <c r="H15" s="290"/>
      <c r="I15" s="280">
        <f t="shared" si="1"/>
        <v>0</v>
      </c>
      <c r="J15" s="281">
        <f t="shared" si="3"/>
        <v>0</v>
      </c>
      <c r="K15" s="282">
        <f>IF(Notes!$B$9="Domestic",I15, IF(Notes!$B$9="Commercial",J15))*$K$5</f>
        <v>0</v>
      </c>
      <c r="L15" s="283">
        <f>IF(SUM(O15:Q15)=0,0,(SUM(O15:Q15)+(K15+SUM(M15:Q15))*(INDEX($U$5:$AB$5,MATCH(Notes!$C$16,$U$3:$AB$3,0))-100%))*$L$5)</f>
        <v>0</v>
      </c>
      <c r="M15" s="286"/>
      <c r="N15" s="286"/>
      <c r="O15" s="285"/>
      <c r="P15" s="285"/>
      <c r="Q15" s="285"/>
      <c r="R15" s="278"/>
      <c r="S15" s="278"/>
      <c r="T15" s="278"/>
    </row>
    <row r="16" spans="1:28" ht="21" hidden="1" outlineLevel="1" x14ac:dyDescent="0.25">
      <c r="A16" s="299"/>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row>
    <row r="17" spans="1:28" ht="15.75" hidden="1" outlineLevel="1" x14ac:dyDescent="0.25">
      <c r="A17" s="291"/>
      <c r="B17" s="291"/>
      <c r="C17" s="291"/>
      <c r="D17" s="291"/>
      <c r="E17" s="291"/>
      <c r="F17" s="291"/>
      <c r="G17" s="291"/>
      <c r="H17" s="291"/>
      <c r="I17" s="291"/>
      <c r="J17" s="291"/>
      <c r="K17" s="291">
        <f>K$2</f>
        <v>1</v>
      </c>
      <c r="L17" s="291">
        <f>L$2</f>
        <v>1</v>
      </c>
      <c r="M17" s="291"/>
      <c r="N17" s="291"/>
      <c r="O17" s="303"/>
      <c r="P17" s="303"/>
      <c r="Q17" s="303"/>
      <c r="R17" s="291"/>
      <c r="S17" s="291"/>
      <c r="T17" s="291"/>
      <c r="U17" s="291">
        <f>U$2</f>
        <v>1</v>
      </c>
      <c r="V17" s="291">
        <f>V$2</f>
        <v>1</v>
      </c>
      <c r="W17" s="291">
        <f t="shared" ref="W17:AB17" si="4">W$2</f>
        <v>1</v>
      </c>
      <c r="X17" s="291">
        <f t="shared" si="4"/>
        <v>1</v>
      </c>
      <c r="Y17" s="291">
        <f t="shared" si="4"/>
        <v>1</v>
      </c>
      <c r="Z17" s="291">
        <f t="shared" si="4"/>
        <v>1</v>
      </c>
      <c r="AA17" s="291">
        <f t="shared" si="4"/>
        <v>1</v>
      </c>
      <c r="AB17" s="291">
        <f t="shared" si="4"/>
        <v>1</v>
      </c>
    </row>
    <row r="18" spans="1:28" s="305" customFormat="1" ht="14.45" hidden="1" customHeight="1" outlineLevel="1" x14ac:dyDescent="0.25">
      <c r="A18" s="278"/>
      <c r="B18" s="279" t="str">
        <f>C18&amp;D18&amp;E18&amp;F18</f>
        <v/>
      </c>
      <c r="C18" s="278"/>
      <c r="D18" s="278"/>
      <c r="E18" s="278"/>
      <c r="F18" s="278"/>
      <c r="G18" s="278"/>
      <c r="H18" s="290"/>
      <c r="I18" s="280">
        <f>$I$2*H18</f>
        <v>0</v>
      </c>
      <c r="J18" s="281">
        <f>$J$2*H18</f>
        <v>0</v>
      </c>
      <c r="K18" s="282">
        <f>IF(Notes!$B$9="Domestic",I18, IF(Notes!$B$9="Commercial",J18))*$K$17</f>
        <v>0</v>
      </c>
      <c r="L18" s="283">
        <f>IF(SUM(O18:Q18)=0,0,(SUM(O18:Q18)+(K18+SUM(M18:Q18))*(INDEX($U$17:$AB$17,MATCH(Notes!$C$16,$U$3:$AB$3,0))-100%))*$L$17)</f>
        <v>0</v>
      </c>
      <c r="M18" s="286"/>
      <c r="N18" s="286"/>
      <c r="O18" s="285"/>
      <c r="P18" s="285"/>
      <c r="Q18" s="285"/>
      <c r="R18" s="278"/>
      <c r="S18" s="278"/>
      <c r="T18" s="278"/>
      <c r="U18" s="304"/>
    </row>
    <row r="19" spans="1:28" s="305" customFormat="1" ht="14.45" hidden="1" customHeight="1" outlineLevel="1" x14ac:dyDescent="0.25">
      <c r="A19" s="278"/>
      <c r="B19" s="279" t="str">
        <f t="shared" ref="B19:B27" si="5">C19&amp;D19&amp;E19&amp;F19</f>
        <v/>
      </c>
      <c r="C19" s="278"/>
      <c r="D19" s="278"/>
      <c r="E19" s="278"/>
      <c r="F19" s="278"/>
      <c r="G19" s="278"/>
      <c r="H19" s="290"/>
      <c r="I19" s="280">
        <f>$I$2*H19</f>
        <v>0</v>
      </c>
      <c r="J19" s="281">
        <f t="shared" ref="J19:J27" si="6">$J$2*H19</f>
        <v>0</v>
      </c>
      <c r="K19" s="282">
        <f>IF(Notes!$B$9="Domestic",I19, IF(Notes!$B$9="Commercial",J19))*$K$17</f>
        <v>0</v>
      </c>
      <c r="L19" s="283">
        <f>IF(SUM(O19:Q19)=0,0,(SUM(O19:Q19)+(K19+SUM(M19:Q19))*(INDEX($U$17:$AB$17,MATCH(Notes!$C$16,$U$3:$AB$3,0))-100%))*$L$17)</f>
        <v>0</v>
      </c>
      <c r="M19" s="286"/>
      <c r="N19" s="286"/>
      <c r="O19" s="285"/>
      <c r="P19" s="285"/>
      <c r="Q19" s="285"/>
      <c r="R19" s="278"/>
      <c r="S19" s="278"/>
      <c r="T19" s="278"/>
      <c r="U19" s="304"/>
    </row>
    <row r="20" spans="1:28" s="305" customFormat="1" ht="14.45" hidden="1" customHeight="1" outlineLevel="1" x14ac:dyDescent="0.25">
      <c r="A20" s="278"/>
      <c r="B20" s="279" t="str">
        <f t="shared" si="5"/>
        <v/>
      </c>
      <c r="C20" s="278"/>
      <c r="D20" s="278"/>
      <c r="E20" s="278"/>
      <c r="F20" s="278"/>
      <c r="G20" s="278"/>
      <c r="H20" s="290"/>
      <c r="I20" s="280">
        <f t="shared" ref="I20:I27" si="7">$I$2*H20</f>
        <v>0</v>
      </c>
      <c r="J20" s="281">
        <f t="shared" si="6"/>
        <v>0</v>
      </c>
      <c r="K20" s="282">
        <f>IF(Notes!$B$9="Domestic",I20, IF(Notes!$B$9="Commercial",J20))*$K$17</f>
        <v>0</v>
      </c>
      <c r="L20" s="283">
        <f>IF(SUM(O20:Q20)=0,0,(SUM(O20:Q20)+(K20+SUM(M20:Q20))*(INDEX($U$17:$AB$17,MATCH(Notes!$C$16,$U$3:$AB$3,0))-100%))*$L$17)</f>
        <v>0</v>
      </c>
      <c r="M20" s="286"/>
      <c r="N20" s="286"/>
      <c r="O20" s="285"/>
      <c r="P20" s="285"/>
      <c r="Q20" s="285"/>
      <c r="R20" s="278"/>
      <c r="S20" s="278"/>
      <c r="T20" s="278"/>
      <c r="U20" s="304"/>
    </row>
    <row r="21" spans="1:28" s="305" customFormat="1" hidden="1" outlineLevel="1" x14ac:dyDescent="0.25">
      <c r="A21" s="278"/>
      <c r="B21" s="279" t="str">
        <f t="shared" si="5"/>
        <v/>
      </c>
      <c r="C21" s="278"/>
      <c r="D21" s="278"/>
      <c r="E21" s="278"/>
      <c r="F21" s="278"/>
      <c r="G21" s="278"/>
      <c r="H21" s="290"/>
      <c r="I21" s="280">
        <f t="shared" si="7"/>
        <v>0</v>
      </c>
      <c r="J21" s="281">
        <f t="shared" si="6"/>
        <v>0</v>
      </c>
      <c r="K21" s="282">
        <f>IF(Notes!$B$9="Domestic",I21, IF(Notes!$B$9="Commercial",J21))*$K$17</f>
        <v>0</v>
      </c>
      <c r="L21" s="283">
        <f>IF(SUM(O21:Q21)=0,0,(SUM(O21:Q21)+(K21+SUM(M21:Q21))*(INDEX($U$17:$AB$17,MATCH(Notes!$C$16,$U$3:$AB$3,0))-100%))*$L$17)</f>
        <v>0</v>
      </c>
      <c r="M21" s="286"/>
      <c r="N21" s="286"/>
      <c r="O21" s="285"/>
      <c r="P21" s="285"/>
      <c r="Q21" s="285"/>
      <c r="R21" s="278"/>
      <c r="S21" s="278"/>
      <c r="T21" s="278"/>
    </row>
    <row r="22" spans="1:28" s="305" customFormat="1" hidden="1" outlineLevel="1" x14ac:dyDescent="0.25">
      <c r="A22" s="278"/>
      <c r="B22" s="279" t="str">
        <f t="shared" si="5"/>
        <v/>
      </c>
      <c r="C22" s="278"/>
      <c r="D22" s="278"/>
      <c r="E22" s="278"/>
      <c r="F22" s="278"/>
      <c r="G22" s="278"/>
      <c r="H22" s="290"/>
      <c r="I22" s="280">
        <f>$I$2*H22</f>
        <v>0</v>
      </c>
      <c r="J22" s="281">
        <f t="shared" si="6"/>
        <v>0</v>
      </c>
      <c r="K22" s="282">
        <f>IF(Notes!$B$9="Domestic",I22, IF(Notes!$B$9="Commercial",J22))*$K$17</f>
        <v>0</v>
      </c>
      <c r="L22" s="283">
        <f>IF(SUM(O22:Q22)=0,0,(SUM(O22:Q22)+(K22+SUM(M22:Q22))*(INDEX($U$17:$AB$17,MATCH(Notes!$C$16,$U$3:$AB$3,0))-100%))*$L$17)</f>
        <v>0</v>
      </c>
      <c r="M22" s="286"/>
      <c r="N22" s="286"/>
      <c r="O22" s="285"/>
      <c r="P22" s="285"/>
      <c r="Q22" s="285"/>
      <c r="R22" s="278"/>
      <c r="S22" s="278"/>
      <c r="T22" s="278"/>
    </row>
    <row r="23" spans="1:28" s="305" customFormat="1" hidden="1" outlineLevel="1" x14ac:dyDescent="0.25">
      <c r="A23" s="278"/>
      <c r="B23" s="279" t="str">
        <f t="shared" si="5"/>
        <v/>
      </c>
      <c r="C23" s="278"/>
      <c r="D23" s="278"/>
      <c r="E23" s="278"/>
      <c r="F23" s="278"/>
      <c r="G23" s="278"/>
      <c r="H23" s="290"/>
      <c r="I23" s="280">
        <f t="shared" si="7"/>
        <v>0</v>
      </c>
      <c r="J23" s="281">
        <f t="shared" si="6"/>
        <v>0</v>
      </c>
      <c r="K23" s="282">
        <f>IF(Notes!$B$9="Domestic",I23, IF(Notes!$B$9="Commercial",J23))*$K$17</f>
        <v>0</v>
      </c>
      <c r="L23" s="283">
        <f>IF(SUM(O23:Q23)=0,0,(SUM(O23:Q23)+(K23+SUM(M23:Q23))*(INDEX($U$17:$AB$17,MATCH(Notes!$C$16,$U$3:$AB$3,0))-100%))*$L$17)</f>
        <v>0</v>
      </c>
      <c r="M23" s="286"/>
      <c r="N23" s="286"/>
      <c r="O23" s="285"/>
      <c r="P23" s="285"/>
      <c r="Q23" s="285"/>
      <c r="R23" s="278"/>
      <c r="S23" s="278"/>
      <c r="T23" s="278"/>
    </row>
    <row r="24" spans="1:28" s="305" customFormat="1" hidden="1" outlineLevel="1" x14ac:dyDescent="0.25">
      <c r="A24" s="278"/>
      <c r="B24" s="279" t="str">
        <f t="shared" si="5"/>
        <v/>
      </c>
      <c r="C24" s="278"/>
      <c r="D24" s="278"/>
      <c r="E24" s="278"/>
      <c r="F24" s="278"/>
      <c r="G24" s="278"/>
      <c r="H24" s="290"/>
      <c r="I24" s="280">
        <f t="shared" si="7"/>
        <v>0</v>
      </c>
      <c r="J24" s="281">
        <f t="shared" si="6"/>
        <v>0</v>
      </c>
      <c r="K24" s="282">
        <f>IF(Notes!$B$9="Domestic",I24, IF(Notes!$B$9="Commercial",J24))*$K$17</f>
        <v>0</v>
      </c>
      <c r="L24" s="283">
        <f>IF(SUM(O24:Q24)=0,0,(SUM(O24:Q24)+(K24+SUM(M24:Q24))*(INDEX($U$17:$AB$17,MATCH(Notes!$C$16,$U$3:$AB$3,0))-100%))*$L$17)</f>
        <v>0</v>
      </c>
      <c r="M24" s="286"/>
      <c r="N24" s="286"/>
      <c r="O24" s="285"/>
      <c r="P24" s="285"/>
      <c r="Q24" s="285"/>
      <c r="R24" s="278"/>
      <c r="S24" s="278"/>
      <c r="T24" s="278"/>
    </row>
    <row r="25" spans="1:28" s="305" customFormat="1" hidden="1" outlineLevel="1" x14ac:dyDescent="0.25">
      <c r="A25" s="278"/>
      <c r="B25" s="279" t="str">
        <f t="shared" si="5"/>
        <v/>
      </c>
      <c r="C25" s="278"/>
      <c r="D25" s="278"/>
      <c r="E25" s="278"/>
      <c r="F25" s="278"/>
      <c r="G25" s="278"/>
      <c r="H25" s="290"/>
      <c r="I25" s="280">
        <f t="shared" si="7"/>
        <v>0</v>
      </c>
      <c r="J25" s="281">
        <f t="shared" si="6"/>
        <v>0</v>
      </c>
      <c r="K25" s="282">
        <f>IF(Notes!$B$9="Domestic",I25, IF(Notes!$B$9="Commercial",J25))*$K$17</f>
        <v>0</v>
      </c>
      <c r="L25" s="283">
        <f>IF(SUM(O25:Q25)=0,0,(SUM(O25:Q25)+(K25+SUM(M25:Q25))*(INDEX($U$17:$AB$17,MATCH(Notes!$C$16,$U$3:$AB$3,0))-100%))*$L$17)</f>
        <v>0</v>
      </c>
      <c r="M25" s="286"/>
      <c r="N25" s="286"/>
      <c r="O25" s="285"/>
      <c r="P25" s="285"/>
      <c r="Q25" s="285"/>
      <c r="R25" s="278"/>
      <c r="S25" s="278"/>
      <c r="T25" s="278"/>
    </row>
    <row r="26" spans="1:28" s="305" customFormat="1" hidden="1" outlineLevel="1" x14ac:dyDescent="0.25">
      <c r="A26" s="278"/>
      <c r="B26" s="279" t="str">
        <f t="shared" si="5"/>
        <v/>
      </c>
      <c r="C26" s="278"/>
      <c r="D26" s="278"/>
      <c r="E26" s="278"/>
      <c r="F26" s="278"/>
      <c r="G26" s="278"/>
      <c r="H26" s="290"/>
      <c r="I26" s="280">
        <f>$I$2*H26</f>
        <v>0</v>
      </c>
      <c r="J26" s="281">
        <f t="shared" si="6"/>
        <v>0</v>
      </c>
      <c r="K26" s="282">
        <f>IF(Notes!$B$9="Domestic",I26, IF(Notes!$B$9="Commercial",J26))*$K$17</f>
        <v>0</v>
      </c>
      <c r="L26" s="283">
        <f>IF(SUM(O26:Q26)=0,0,(SUM(O26:Q26)+(K26+SUM(M26:Q26))*(INDEX($U$17:$AB$17,MATCH(Notes!$C$16,$U$3:$AB$3,0))-100%))*$L$17)</f>
        <v>0</v>
      </c>
      <c r="M26" s="286"/>
      <c r="N26" s="286"/>
      <c r="O26" s="285"/>
      <c r="P26" s="285"/>
      <c r="Q26" s="285"/>
      <c r="R26" s="278"/>
      <c r="S26" s="278"/>
      <c r="T26" s="278"/>
    </row>
    <row r="27" spans="1:28" s="305" customFormat="1" hidden="1" outlineLevel="1" x14ac:dyDescent="0.25">
      <c r="A27" s="278"/>
      <c r="B27" s="279" t="str">
        <f t="shared" si="5"/>
        <v/>
      </c>
      <c r="C27" s="278"/>
      <c r="D27" s="278"/>
      <c r="E27" s="278"/>
      <c r="F27" s="278"/>
      <c r="G27" s="278"/>
      <c r="H27" s="290"/>
      <c r="I27" s="280">
        <f t="shared" si="7"/>
        <v>0</v>
      </c>
      <c r="J27" s="281">
        <f t="shared" si="6"/>
        <v>0</v>
      </c>
      <c r="K27" s="282">
        <f>IF(Notes!$B$9="Domestic",I27, IF(Notes!$B$9="Commercial",J27))*$K$17</f>
        <v>0</v>
      </c>
      <c r="L27" s="283">
        <f>IF(SUM(O27:Q27)=0,0,(SUM(O27:Q27)+(K27+SUM(M27:Q27))*(INDEX($U$17:$AB$17,MATCH(Notes!$C$16,$U$3:$AB$3,0))-100%))*$L$17)</f>
        <v>0</v>
      </c>
      <c r="M27" s="286"/>
      <c r="N27" s="286"/>
      <c r="O27" s="285"/>
      <c r="P27" s="285"/>
      <c r="Q27" s="285"/>
      <c r="R27" s="278"/>
      <c r="S27" s="278"/>
      <c r="T27" s="278"/>
    </row>
    <row r="28" spans="1:28" ht="21" hidden="1" outlineLevel="1" x14ac:dyDescent="0.25">
      <c r="A28" s="299"/>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row>
    <row r="29" spans="1:28" ht="15.75" hidden="1" outlineLevel="1" x14ac:dyDescent="0.25">
      <c r="A29" s="291"/>
      <c r="B29" s="291"/>
      <c r="C29" s="291"/>
      <c r="D29" s="291"/>
      <c r="E29" s="291"/>
      <c r="F29" s="291"/>
      <c r="G29" s="291"/>
      <c r="H29" s="291"/>
      <c r="I29" s="291"/>
      <c r="J29" s="291"/>
      <c r="K29" s="291">
        <f>K$2</f>
        <v>1</v>
      </c>
      <c r="L29" s="291">
        <f>L$2</f>
        <v>1</v>
      </c>
      <c r="M29" s="291"/>
      <c r="N29" s="291"/>
      <c r="O29" s="303"/>
      <c r="P29" s="303"/>
      <c r="Q29" s="303"/>
      <c r="R29" s="291"/>
      <c r="S29" s="291"/>
      <c r="T29" s="291"/>
      <c r="U29" s="291">
        <f>U$2</f>
        <v>1</v>
      </c>
      <c r="V29" s="291">
        <f>V$2</f>
        <v>1</v>
      </c>
      <c r="W29" s="291">
        <f t="shared" ref="W29:AB29" si="8">W$2</f>
        <v>1</v>
      </c>
      <c r="X29" s="291">
        <f t="shared" si="8"/>
        <v>1</v>
      </c>
      <c r="Y29" s="291">
        <f t="shared" si="8"/>
        <v>1</v>
      </c>
      <c r="Z29" s="291">
        <f t="shared" si="8"/>
        <v>1</v>
      </c>
      <c r="AA29" s="291">
        <f t="shared" si="8"/>
        <v>1</v>
      </c>
      <c r="AB29" s="291">
        <f t="shared" si="8"/>
        <v>1</v>
      </c>
    </row>
    <row r="30" spans="1:28" s="305" customFormat="1" ht="14.45" hidden="1" customHeight="1" outlineLevel="1" x14ac:dyDescent="0.25">
      <c r="A30" s="278"/>
      <c r="B30" s="279" t="str">
        <f>C30&amp;D30&amp;E30&amp;F30</f>
        <v/>
      </c>
      <c r="C30" s="278"/>
      <c r="D30" s="278"/>
      <c r="E30" s="278"/>
      <c r="F30" s="278"/>
      <c r="G30" s="278"/>
      <c r="H30" s="290"/>
      <c r="I30" s="280">
        <f>$I$2*H30</f>
        <v>0</v>
      </c>
      <c r="J30" s="281">
        <f>$J$2*H30</f>
        <v>0</v>
      </c>
      <c r="K30" s="282">
        <f>IF(Notes!$B$9="Domestic",I30, IF(Notes!$B$9="Commercial",J30))*$K$29</f>
        <v>0</v>
      </c>
      <c r="L30" s="283">
        <f>IF(SUM(O30:Q30)=0,0,(SUM(O30:Q30)+(K30+SUM(M30:Q30))*(INDEX($U$29:$AB$29,MATCH(Notes!$C$16,$U$3:$AB$3,0))-100%))*$L$29)</f>
        <v>0</v>
      </c>
      <c r="M30" s="286"/>
      <c r="N30" s="286"/>
      <c r="O30" s="285"/>
      <c r="P30" s="285"/>
      <c r="Q30" s="285"/>
      <c r="R30" s="278"/>
      <c r="S30" s="278"/>
      <c r="T30" s="278"/>
      <c r="U30" s="304"/>
    </row>
    <row r="31" spans="1:28" s="305" customFormat="1" ht="14.45" hidden="1" customHeight="1" outlineLevel="1" x14ac:dyDescent="0.25">
      <c r="A31" s="278"/>
      <c r="B31" s="279" t="str">
        <f t="shared" ref="B31:B39" si="9">C31&amp;D31&amp;E31&amp;F31</f>
        <v/>
      </c>
      <c r="C31" s="278"/>
      <c r="D31" s="278"/>
      <c r="E31" s="278"/>
      <c r="F31" s="278"/>
      <c r="G31" s="278"/>
      <c r="H31" s="290"/>
      <c r="I31" s="280">
        <f t="shared" ref="I31:I39" si="10">$I$2*H31</f>
        <v>0</v>
      </c>
      <c r="J31" s="281">
        <f t="shared" ref="J31:J39" si="11">$J$2*H31</f>
        <v>0</v>
      </c>
      <c r="K31" s="282">
        <f>IF(Notes!$B$9="Domestic",I31, IF(Notes!$B$9="Commercial",J31))*$K$29</f>
        <v>0</v>
      </c>
      <c r="L31" s="283">
        <f>IF(SUM(O31:Q31)=0,0,(SUM(O31:Q31)+(K31+SUM(M31:Q31))*(INDEX($U$29:$AB$29,MATCH(Notes!$C$16,$U$3:$AB$3,0))-100%))*$L$29)</f>
        <v>0</v>
      </c>
      <c r="M31" s="286"/>
      <c r="N31" s="286"/>
      <c r="O31" s="285"/>
      <c r="P31" s="285"/>
      <c r="Q31" s="285"/>
      <c r="R31" s="278"/>
      <c r="S31" s="278"/>
      <c r="T31" s="278"/>
      <c r="U31" s="304"/>
    </row>
    <row r="32" spans="1:28" s="305" customFormat="1" ht="14.45" hidden="1" customHeight="1" outlineLevel="1" x14ac:dyDescent="0.25">
      <c r="A32" s="278"/>
      <c r="B32" s="279" t="str">
        <f t="shared" si="9"/>
        <v/>
      </c>
      <c r="C32" s="278"/>
      <c r="D32" s="278"/>
      <c r="E32" s="278"/>
      <c r="F32" s="278"/>
      <c r="G32" s="278"/>
      <c r="H32" s="290"/>
      <c r="I32" s="280">
        <f>$I$2*H32</f>
        <v>0</v>
      </c>
      <c r="J32" s="281">
        <f t="shared" si="11"/>
        <v>0</v>
      </c>
      <c r="K32" s="282">
        <f>IF(Notes!$B$9="Domestic",I32, IF(Notes!$B$9="Commercial",J32))*$K$29</f>
        <v>0</v>
      </c>
      <c r="L32" s="283">
        <f>IF(SUM(O32:Q32)=0,0,(SUM(O32:Q32)+(K32+SUM(M32:Q32))*(INDEX($U$29:$AB$29,MATCH(Notes!$C$16,$U$3:$AB$3,0))-100%))*$L$29)</f>
        <v>0</v>
      </c>
      <c r="M32" s="286"/>
      <c r="N32" s="286"/>
      <c r="O32" s="285"/>
      <c r="P32" s="285"/>
      <c r="Q32" s="285"/>
      <c r="R32" s="278"/>
      <c r="S32" s="278"/>
      <c r="T32" s="278"/>
      <c r="U32" s="304"/>
    </row>
    <row r="33" spans="1:28" s="305" customFormat="1" ht="14.45" hidden="1" customHeight="1" outlineLevel="1" x14ac:dyDescent="0.25">
      <c r="A33" s="278"/>
      <c r="B33" s="279" t="str">
        <f t="shared" si="9"/>
        <v/>
      </c>
      <c r="C33" s="278"/>
      <c r="D33" s="278"/>
      <c r="E33" s="278"/>
      <c r="F33" s="278"/>
      <c r="G33" s="278"/>
      <c r="H33" s="290"/>
      <c r="I33" s="280">
        <f t="shared" si="10"/>
        <v>0</v>
      </c>
      <c r="J33" s="281">
        <f t="shared" si="11"/>
        <v>0</v>
      </c>
      <c r="K33" s="282">
        <f>IF(Notes!$B$9="Domestic",I33, IF(Notes!$B$9="Commercial",J33))*$K$29</f>
        <v>0</v>
      </c>
      <c r="L33" s="283">
        <f>IF(SUM(O33:Q33)=0,0,(SUM(O33:Q33)+(K33+SUM(M33:Q33))*(INDEX($U$29:$AB$29,MATCH(Notes!$C$16,$U$3:$AB$3,0))-100%))*$L$29)</f>
        <v>0</v>
      </c>
      <c r="M33" s="286"/>
      <c r="N33" s="286"/>
      <c r="O33" s="285"/>
      <c r="P33" s="285"/>
      <c r="Q33" s="285"/>
      <c r="R33" s="278"/>
      <c r="S33" s="278"/>
      <c r="T33" s="278"/>
    </row>
    <row r="34" spans="1:28" s="305" customFormat="1" ht="14.45" hidden="1" customHeight="1" outlineLevel="1" x14ac:dyDescent="0.25">
      <c r="A34" s="278"/>
      <c r="B34" s="279" t="str">
        <f t="shared" si="9"/>
        <v/>
      </c>
      <c r="C34" s="278"/>
      <c r="D34" s="278"/>
      <c r="E34" s="278"/>
      <c r="F34" s="278"/>
      <c r="G34" s="278"/>
      <c r="H34" s="290"/>
      <c r="I34" s="280">
        <f>$I$2*H34</f>
        <v>0</v>
      </c>
      <c r="J34" s="281">
        <f t="shared" si="11"/>
        <v>0</v>
      </c>
      <c r="K34" s="282">
        <f>IF(Notes!$B$9="Domestic",I34, IF(Notes!$B$9="Commercial",J34))*$K$29</f>
        <v>0</v>
      </c>
      <c r="L34" s="283">
        <f>IF(SUM(O34:Q34)=0,0,(SUM(O34:Q34)+(K34+SUM(M34:Q34))*(INDEX($U$29:$AB$29,MATCH(Notes!$C$16,$U$3:$AB$3,0))-100%))*$L$29)</f>
        <v>0</v>
      </c>
      <c r="M34" s="286"/>
      <c r="N34" s="286"/>
      <c r="O34" s="285"/>
      <c r="P34" s="285"/>
      <c r="Q34" s="285"/>
      <c r="R34" s="278"/>
      <c r="S34" s="278"/>
      <c r="T34" s="278"/>
    </row>
    <row r="35" spans="1:28" s="305" customFormat="1" ht="14.45" hidden="1" customHeight="1" outlineLevel="1" x14ac:dyDescent="0.25">
      <c r="A35" s="278"/>
      <c r="B35" s="279" t="str">
        <f t="shared" si="9"/>
        <v/>
      </c>
      <c r="C35" s="278"/>
      <c r="D35" s="278"/>
      <c r="E35" s="278"/>
      <c r="F35" s="278"/>
      <c r="G35" s="278"/>
      <c r="H35" s="290"/>
      <c r="I35" s="280">
        <f t="shared" si="10"/>
        <v>0</v>
      </c>
      <c r="J35" s="281">
        <f t="shared" si="11"/>
        <v>0</v>
      </c>
      <c r="K35" s="282">
        <f>IF(Notes!$B$9="Domestic",I35, IF(Notes!$B$9="Commercial",J35))*$K$29</f>
        <v>0</v>
      </c>
      <c r="L35" s="283">
        <f>IF(SUM(O35:Q35)=0,0,(SUM(O35:Q35)+(K35+SUM(M35:Q35))*(INDEX($U$29:$AB$29,MATCH(Notes!$C$16,$U$3:$AB$3,0))-100%))*$L$29)</f>
        <v>0</v>
      </c>
      <c r="M35" s="286"/>
      <c r="N35" s="286"/>
      <c r="O35" s="285"/>
      <c r="P35" s="285"/>
      <c r="Q35" s="285"/>
      <c r="R35" s="278"/>
      <c r="S35" s="278"/>
      <c r="T35" s="278"/>
    </row>
    <row r="36" spans="1:28" s="305" customFormat="1" ht="14.45" hidden="1" customHeight="1" outlineLevel="1" x14ac:dyDescent="0.25">
      <c r="A36" s="278"/>
      <c r="B36" s="279" t="str">
        <f t="shared" si="9"/>
        <v/>
      </c>
      <c r="C36" s="278"/>
      <c r="D36" s="278"/>
      <c r="E36" s="278"/>
      <c r="F36" s="278"/>
      <c r="G36" s="278"/>
      <c r="H36" s="290"/>
      <c r="I36" s="280">
        <f t="shared" si="10"/>
        <v>0</v>
      </c>
      <c r="J36" s="281">
        <f t="shared" si="11"/>
        <v>0</v>
      </c>
      <c r="K36" s="282">
        <f>IF(Notes!$B$9="Domestic",I36, IF(Notes!$B$9="Commercial",J36))*$K$29</f>
        <v>0</v>
      </c>
      <c r="L36" s="283">
        <f>IF(SUM(O36:Q36)=0,0,(SUM(O36:Q36)+(K36+SUM(M36:Q36))*(INDEX($U$29:$AB$29,MATCH(Notes!$C$16,$U$3:$AB$3,0))-100%))*$L$29)</f>
        <v>0</v>
      </c>
      <c r="M36" s="286"/>
      <c r="N36" s="286"/>
      <c r="O36" s="285"/>
      <c r="P36" s="285"/>
      <c r="Q36" s="285"/>
      <c r="R36" s="278"/>
      <c r="S36" s="278"/>
      <c r="T36" s="278"/>
    </row>
    <row r="37" spans="1:28" s="305" customFormat="1" ht="14.45" hidden="1" customHeight="1" outlineLevel="1" x14ac:dyDescent="0.25">
      <c r="A37" s="278"/>
      <c r="B37" s="279" t="str">
        <f t="shared" si="9"/>
        <v/>
      </c>
      <c r="C37" s="278"/>
      <c r="D37" s="278"/>
      <c r="E37" s="278"/>
      <c r="F37" s="278"/>
      <c r="G37" s="278"/>
      <c r="H37" s="290"/>
      <c r="I37" s="280">
        <f t="shared" si="10"/>
        <v>0</v>
      </c>
      <c r="J37" s="281">
        <f t="shared" si="11"/>
        <v>0</v>
      </c>
      <c r="K37" s="282">
        <f>IF(Notes!$B$9="Domestic",I37, IF(Notes!$B$9="Commercial",J37))*$K$29</f>
        <v>0</v>
      </c>
      <c r="L37" s="283">
        <f>IF(SUM(O37:Q37)=0,0,(SUM(O37:Q37)+(K37+SUM(M37:Q37))*(INDEX($U$29:$AB$29,MATCH(Notes!$C$16,$U$3:$AB$3,0))-100%))*$L$29)</f>
        <v>0</v>
      </c>
      <c r="M37" s="286"/>
      <c r="N37" s="286"/>
      <c r="O37" s="285"/>
      <c r="P37" s="285"/>
      <c r="Q37" s="285"/>
      <c r="R37" s="278"/>
      <c r="S37" s="278"/>
      <c r="T37" s="278"/>
    </row>
    <row r="38" spans="1:28" s="305" customFormat="1" ht="14.45" hidden="1" customHeight="1" outlineLevel="1" x14ac:dyDescent="0.25">
      <c r="A38" s="278"/>
      <c r="B38" s="279" t="str">
        <f t="shared" si="9"/>
        <v/>
      </c>
      <c r="C38" s="278"/>
      <c r="D38" s="278"/>
      <c r="E38" s="278"/>
      <c r="F38" s="278"/>
      <c r="G38" s="278"/>
      <c r="H38" s="290"/>
      <c r="I38" s="280">
        <f t="shared" si="10"/>
        <v>0</v>
      </c>
      <c r="J38" s="281">
        <f t="shared" si="11"/>
        <v>0</v>
      </c>
      <c r="K38" s="282">
        <f>IF(Notes!$B$9="Domestic",I38, IF(Notes!$B$9="Commercial",J38))*$K$29</f>
        <v>0</v>
      </c>
      <c r="L38" s="283">
        <f>IF(SUM(O38:Q38)=0,0,(SUM(O38:Q38)+(K38+SUM(M38:Q38))*(INDEX($U$29:$AB$29,MATCH(Notes!$C$16,$U$3:$AB$3,0))-100%))*$L$29)</f>
        <v>0</v>
      </c>
      <c r="M38" s="286"/>
      <c r="N38" s="286"/>
      <c r="O38" s="285"/>
      <c r="P38" s="285"/>
      <c r="Q38" s="285"/>
      <c r="R38" s="278"/>
      <c r="S38" s="278"/>
      <c r="T38" s="278"/>
    </row>
    <row r="39" spans="1:28" s="305" customFormat="1" ht="14.45" hidden="1" customHeight="1" outlineLevel="1" x14ac:dyDescent="0.25">
      <c r="A39" s="278"/>
      <c r="B39" s="279" t="str">
        <f t="shared" si="9"/>
        <v/>
      </c>
      <c r="C39" s="278"/>
      <c r="D39" s="278"/>
      <c r="E39" s="278"/>
      <c r="F39" s="278"/>
      <c r="G39" s="278"/>
      <c r="H39" s="290"/>
      <c r="I39" s="280">
        <f t="shared" si="10"/>
        <v>0</v>
      </c>
      <c r="J39" s="281">
        <f t="shared" si="11"/>
        <v>0</v>
      </c>
      <c r="K39" s="282">
        <f>IF(Notes!$B$9="Domestic",I39, IF(Notes!$B$9="Commercial",J39))*$K$29</f>
        <v>0</v>
      </c>
      <c r="L39" s="283">
        <f>IF(SUM(O39:Q39)=0,0,(SUM(O39:Q39)+(K39+SUM(M39:Q39))*(INDEX($U$29:$AB$29,MATCH(Notes!$C$16,$U$3:$AB$3,0))-100%))*$L$29)</f>
        <v>0</v>
      </c>
      <c r="M39" s="286"/>
      <c r="N39" s="286"/>
      <c r="O39" s="285"/>
      <c r="P39" s="285"/>
      <c r="Q39" s="285"/>
      <c r="R39" s="278"/>
      <c r="S39" s="278"/>
      <c r="T39" s="278"/>
    </row>
    <row r="40" spans="1:28" ht="21" hidden="1" outlineLevel="1" x14ac:dyDescent="0.25">
      <c r="A40" s="299"/>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row>
    <row r="41" spans="1:28" ht="15.75" hidden="1" outlineLevel="1" x14ac:dyDescent="0.25">
      <c r="A41" s="291"/>
      <c r="B41" s="291"/>
      <c r="C41" s="291"/>
      <c r="D41" s="291"/>
      <c r="E41" s="291"/>
      <c r="F41" s="291"/>
      <c r="G41" s="291"/>
      <c r="H41" s="291"/>
      <c r="I41" s="291"/>
      <c r="J41" s="291"/>
      <c r="K41" s="291">
        <f>K$2</f>
        <v>1</v>
      </c>
      <c r="L41" s="291">
        <f>L$2</f>
        <v>1</v>
      </c>
      <c r="M41" s="291"/>
      <c r="N41" s="291"/>
      <c r="O41" s="303"/>
      <c r="P41" s="303"/>
      <c r="Q41" s="303"/>
      <c r="R41" s="291"/>
      <c r="S41" s="291"/>
      <c r="T41" s="291"/>
      <c r="U41" s="291">
        <f>U$2</f>
        <v>1</v>
      </c>
      <c r="V41" s="291">
        <f>V$2</f>
        <v>1</v>
      </c>
      <c r="W41" s="291">
        <f t="shared" ref="W41:AB41" si="12">W$2</f>
        <v>1</v>
      </c>
      <c r="X41" s="291">
        <f t="shared" si="12"/>
        <v>1</v>
      </c>
      <c r="Y41" s="291">
        <f t="shared" si="12"/>
        <v>1</v>
      </c>
      <c r="Z41" s="291">
        <f t="shared" si="12"/>
        <v>1</v>
      </c>
      <c r="AA41" s="291">
        <f t="shared" si="12"/>
        <v>1</v>
      </c>
      <c r="AB41" s="291">
        <f t="shared" si="12"/>
        <v>1</v>
      </c>
    </row>
    <row r="42" spans="1:28" s="305" customFormat="1" ht="14.45" hidden="1" customHeight="1" outlineLevel="1" x14ac:dyDescent="0.25">
      <c r="A42" s="278"/>
      <c r="B42" s="279" t="str">
        <f>C42&amp;D42&amp;E42&amp;F42</f>
        <v/>
      </c>
      <c r="C42" s="278"/>
      <c r="D42" s="278"/>
      <c r="E42" s="278"/>
      <c r="F42" s="278"/>
      <c r="G42" s="278"/>
      <c r="H42" s="290"/>
      <c r="I42" s="280">
        <f>$I$2*H42</f>
        <v>0</v>
      </c>
      <c r="J42" s="281">
        <f>$J$2*H42</f>
        <v>0</v>
      </c>
      <c r="K42" s="282">
        <f>IF(Notes!$B$9="Domestic",I42, IF(Notes!$B$9="Commercial",J42))*$K$41</f>
        <v>0</v>
      </c>
      <c r="L42" s="283">
        <f>IF(SUM(O42:Q42)=0,0,(SUM(O42:Q42)+(K42+SUM(M42:Q42))*(INDEX($U$41:$AB$41,MATCH(Notes!$C$16,$U$3:$AB$3,0))-100%))*$L$41)</f>
        <v>0</v>
      </c>
      <c r="M42" s="286"/>
      <c r="N42" s="286"/>
      <c r="O42" s="285"/>
      <c r="P42" s="285"/>
      <c r="Q42" s="285"/>
      <c r="R42" s="278"/>
      <c r="S42" s="278"/>
      <c r="T42" s="278"/>
      <c r="U42" s="304"/>
    </row>
    <row r="43" spans="1:28" s="305" customFormat="1" ht="14.45" hidden="1" customHeight="1" outlineLevel="1" x14ac:dyDescent="0.25">
      <c r="A43" s="278"/>
      <c r="B43" s="279" t="str">
        <f t="shared" ref="B43:B51" si="13">C43&amp;D43&amp;E43&amp;F43</f>
        <v/>
      </c>
      <c r="C43" s="278"/>
      <c r="D43" s="278"/>
      <c r="E43" s="278"/>
      <c r="F43" s="278"/>
      <c r="G43" s="278"/>
      <c r="H43" s="290"/>
      <c r="I43" s="280">
        <f t="shared" ref="I43:I51" si="14">$I$2*H43</f>
        <v>0</v>
      </c>
      <c r="J43" s="281">
        <f t="shared" ref="J43:J51" si="15">$J$2*H43</f>
        <v>0</v>
      </c>
      <c r="K43" s="282">
        <f>IF(Notes!$B$9="Domestic",I43, IF(Notes!$B$9="Commercial",J43))*$K$41</f>
        <v>0</v>
      </c>
      <c r="L43" s="283">
        <f>IF(SUM(O43:Q43)=0,0,(SUM(O43:Q43)+(K43+SUM(M43:Q43))*(INDEX($U$41:$AB$41,MATCH(Notes!$C$16,$U$3:$AB$3,0))-100%))*$L$41)</f>
        <v>0</v>
      </c>
      <c r="M43" s="286"/>
      <c r="N43" s="286"/>
      <c r="O43" s="285"/>
      <c r="P43" s="285"/>
      <c r="Q43" s="285"/>
      <c r="R43" s="278"/>
      <c r="S43" s="278"/>
      <c r="T43" s="278"/>
      <c r="U43" s="304"/>
    </row>
    <row r="44" spans="1:28" s="305" customFormat="1" ht="14.45" hidden="1" customHeight="1" outlineLevel="1" x14ac:dyDescent="0.25">
      <c r="A44" s="278"/>
      <c r="B44" s="279" t="str">
        <f t="shared" si="13"/>
        <v/>
      </c>
      <c r="C44" s="278"/>
      <c r="D44" s="278"/>
      <c r="E44" s="278"/>
      <c r="F44" s="278"/>
      <c r="G44" s="278"/>
      <c r="H44" s="290"/>
      <c r="I44" s="280">
        <f t="shared" si="14"/>
        <v>0</v>
      </c>
      <c r="J44" s="281">
        <f t="shared" si="15"/>
        <v>0</v>
      </c>
      <c r="K44" s="282">
        <f>IF(Notes!$B$9="Domestic",I44, IF(Notes!$B$9="Commercial",J44))*$K$41</f>
        <v>0</v>
      </c>
      <c r="L44" s="283">
        <f>IF(SUM(O44:Q44)=0,0,(SUM(O44:Q44)+(K44+SUM(M44:Q44))*(INDEX($U$41:$AB$41,MATCH(Notes!$C$16,$U$3:$AB$3,0))-100%))*$L$41)</f>
        <v>0</v>
      </c>
      <c r="M44" s="286"/>
      <c r="N44" s="286"/>
      <c r="O44" s="285"/>
      <c r="P44" s="285"/>
      <c r="Q44" s="285"/>
      <c r="R44" s="278"/>
      <c r="S44" s="278"/>
      <c r="T44" s="278"/>
      <c r="U44" s="304"/>
    </row>
    <row r="45" spans="1:28" s="305" customFormat="1" hidden="1" outlineLevel="1" x14ac:dyDescent="0.25">
      <c r="A45" s="278"/>
      <c r="B45" s="279" t="str">
        <f t="shared" si="13"/>
        <v/>
      </c>
      <c r="C45" s="278"/>
      <c r="D45" s="278"/>
      <c r="E45" s="278"/>
      <c r="F45" s="278"/>
      <c r="G45" s="278"/>
      <c r="H45" s="290"/>
      <c r="I45" s="280">
        <f t="shared" si="14"/>
        <v>0</v>
      </c>
      <c r="J45" s="281">
        <f t="shared" si="15"/>
        <v>0</v>
      </c>
      <c r="K45" s="282">
        <f>IF(Notes!$B$9="Domestic",I45, IF(Notes!$B$9="Commercial",J45))*$K$41</f>
        <v>0</v>
      </c>
      <c r="L45" s="283">
        <f>IF(SUM(O45:Q45)=0,0,(SUM(O45:Q45)+(K45+SUM(M45:Q45))*(INDEX($U$41:$AB$41,MATCH(Notes!$C$16,$U$3:$AB$3,0))-100%))*$L$41)</f>
        <v>0</v>
      </c>
      <c r="M45" s="286"/>
      <c r="N45" s="286"/>
      <c r="O45" s="285"/>
      <c r="P45" s="285"/>
      <c r="Q45" s="285"/>
      <c r="R45" s="278"/>
      <c r="S45" s="278"/>
      <c r="T45" s="278"/>
    </row>
    <row r="46" spans="1:28" s="305" customFormat="1" hidden="1" outlineLevel="1" x14ac:dyDescent="0.25">
      <c r="A46" s="278"/>
      <c r="B46" s="279" t="str">
        <f t="shared" si="13"/>
        <v/>
      </c>
      <c r="C46" s="278"/>
      <c r="D46" s="278"/>
      <c r="E46" s="278"/>
      <c r="F46" s="278"/>
      <c r="G46" s="278"/>
      <c r="H46" s="290"/>
      <c r="I46" s="280">
        <f>$I$2*H46</f>
        <v>0</v>
      </c>
      <c r="J46" s="281">
        <f t="shared" si="15"/>
        <v>0</v>
      </c>
      <c r="K46" s="282">
        <f>IF(Notes!$B$9="Domestic",I46, IF(Notes!$B$9="Commercial",J46))*$K$41</f>
        <v>0</v>
      </c>
      <c r="L46" s="283">
        <f>IF(SUM(O46:Q46)=0,0,(SUM(O46:Q46)+(K46+SUM(M46:Q46))*(INDEX($U$41:$AB$41,MATCH(Notes!$C$16,$U$3:$AB$3,0))-100%))*$L$41)</f>
        <v>0</v>
      </c>
      <c r="M46" s="286"/>
      <c r="N46" s="286"/>
      <c r="O46" s="285"/>
      <c r="P46" s="285"/>
      <c r="Q46" s="285"/>
      <c r="R46" s="278"/>
      <c r="S46" s="278"/>
      <c r="T46" s="278"/>
    </row>
    <row r="47" spans="1:28" s="305" customFormat="1" hidden="1" outlineLevel="1" x14ac:dyDescent="0.25">
      <c r="A47" s="278"/>
      <c r="B47" s="279" t="str">
        <f t="shared" si="13"/>
        <v/>
      </c>
      <c r="C47" s="278"/>
      <c r="D47" s="278"/>
      <c r="E47" s="278"/>
      <c r="F47" s="278"/>
      <c r="G47" s="278"/>
      <c r="H47" s="290"/>
      <c r="I47" s="280">
        <f t="shared" si="14"/>
        <v>0</v>
      </c>
      <c r="J47" s="281">
        <f t="shared" si="15"/>
        <v>0</v>
      </c>
      <c r="K47" s="282">
        <f>IF(Notes!$B$9="Domestic",I47, IF(Notes!$B$9="Commercial",J47))*$K$41</f>
        <v>0</v>
      </c>
      <c r="L47" s="283">
        <f>IF(SUM(O47:Q47)=0,0,(SUM(O47:Q47)+(K47+SUM(M47:Q47))*(INDEX($U$41:$AB$41,MATCH(Notes!$C$16,$U$3:$AB$3,0))-100%))*$L$41)</f>
        <v>0</v>
      </c>
      <c r="M47" s="286"/>
      <c r="N47" s="286"/>
      <c r="O47" s="285"/>
      <c r="P47" s="285"/>
      <c r="Q47" s="285"/>
      <c r="R47" s="278"/>
      <c r="S47" s="278"/>
      <c r="T47" s="278"/>
    </row>
    <row r="48" spans="1:28" s="305" customFormat="1" hidden="1" outlineLevel="1" x14ac:dyDescent="0.25">
      <c r="A48" s="278"/>
      <c r="B48" s="279" t="str">
        <f t="shared" si="13"/>
        <v/>
      </c>
      <c r="C48" s="278"/>
      <c r="D48" s="278"/>
      <c r="E48" s="278"/>
      <c r="F48" s="278"/>
      <c r="G48" s="278"/>
      <c r="H48" s="290"/>
      <c r="I48" s="280">
        <f t="shared" si="14"/>
        <v>0</v>
      </c>
      <c r="J48" s="281">
        <f t="shared" si="15"/>
        <v>0</v>
      </c>
      <c r="K48" s="282">
        <f>IF(Notes!$B$9="Domestic",I48, IF(Notes!$B$9="Commercial",J48))*$K$41</f>
        <v>0</v>
      </c>
      <c r="L48" s="283">
        <f>IF(SUM(O48:Q48)=0,0,(SUM(O48:Q48)+(K48+SUM(M48:Q48))*(INDEX($U$41:$AB$41,MATCH(Notes!$C$16,$U$3:$AB$3,0))-100%))*$L$41)</f>
        <v>0</v>
      </c>
      <c r="M48" s="286"/>
      <c r="N48" s="286"/>
      <c r="O48" s="285"/>
      <c r="P48" s="285"/>
      <c r="Q48" s="285"/>
      <c r="R48" s="278"/>
      <c r="S48" s="278"/>
      <c r="T48" s="278"/>
    </row>
    <row r="49" spans="1:28" s="305" customFormat="1" hidden="1" outlineLevel="1" x14ac:dyDescent="0.25">
      <c r="A49" s="278"/>
      <c r="B49" s="279" t="str">
        <f t="shared" si="13"/>
        <v/>
      </c>
      <c r="C49" s="278"/>
      <c r="D49" s="278"/>
      <c r="E49" s="278"/>
      <c r="F49" s="278"/>
      <c r="G49" s="278"/>
      <c r="H49" s="290"/>
      <c r="I49" s="280">
        <f t="shared" si="14"/>
        <v>0</v>
      </c>
      <c r="J49" s="281">
        <f t="shared" si="15"/>
        <v>0</v>
      </c>
      <c r="K49" s="282">
        <f>IF(Notes!$B$9="Domestic",I49, IF(Notes!$B$9="Commercial",J49))*$K$41</f>
        <v>0</v>
      </c>
      <c r="L49" s="283">
        <f>IF(SUM(O49:Q49)=0,0,(SUM(O49:Q49)+(K49+SUM(M49:Q49))*(INDEX($U$41:$AB$41,MATCH(Notes!$C$16,$U$3:$AB$3,0))-100%))*$L$41)</f>
        <v>0</v>
      </c>
      <c r="M49" s="286"/>
      <c r="N49" s="286"/>
      <c r="O49" s="285"/>
      <c r="P49" s="285"/>
      <c r="Q49" s="285"/>
      <c r="R49" s="278"/>
      <c r="S49" s="278"/>
      <c r="T49" s="278"/>
    </row>
    <row r="50" spans="1:28" s="305" customFormat="1" hidden="1" outlineLevel="1" x14ac:dyDescent="0.25">
      <c r="A50" s="278"/>
      <c r="B50" s="279" t="str">
        <f t="shared" si="13"/>
        <v/>
      </c>
      <c r="C50" s="278"/>
      <c r="D50" s="278"/>
      <c r="E50" s="278"/>
      <c r="F50" s="278"/>
      <c r="G50" s="278"/>
      <c r="H50" s="290"/>
      <c r="I50" s="280">
        <f t="shared" si="14"/>
        <v>0</v>
      </c>
      <c r="J50" s="281">
        <f t="shared" si="15"/>
        <v>0</v>
      </c>
      <c r="K50" s="282">
        <f>IF(Notes!$B$9="Domestic",I50, IF(Notes!$B$9="Commercial",J50))*$K$41</f>
        <v>0</v>
      </c>
      <c r="L50" s="283">
        <f>IF(SUM(O50:Q50)=0,0,(SUM(O50:Q50)+(K50+SUM(M50:Q50))*(INDEX($U$41:$AB$41,MATCH(Notes!$C$16,$U$3:$AB$3,0))-100%))*$L$41)</f>
        <v>0</v>
      </c>
      <c r="M50" s="286"/>
      <c r="N50" s="286"/>
      <c r="O50" s="285"/>
      <c r="P50" s="285"/>
      <c r="Q50" s="285"/>
      <c r="R50" s="278"/>
      <c r="S50" s="278"/>
      <c r="T50" s="278"/>
    </row>
    <row r="51" spans="1:28" s="305" customFormat="1" hidden="1" outlineLevel="1" x14ac:dyDescent="0.25">
      <c r="A51" s="278"/>
      <c r="B51" s="279" t="str">
        <f t="shared" si="13"/>
        <v/>
      </c>
      <c r="C51" s="278"/>
      <c r="D51" s="278"/>
      <c r="E51" s="278"/>
      <c r="F51" s="278"/>
      <c r="G51" s="278"/>
      <c r="H51" s="290"/>
      <c r="I51" s="280">
        <f t="shared" si="14"/>
        <v>0</v>
      </c>
      <c r="J51" s="281">
        <f t="shared" si="15"/>
        <v>0</v>
      </c>
      <c r="K51" s="282">
        <f>IF(Notes!$B$9="Domestic",I51, IF(Notes!$B$9="Commercial",J51))*$K$41</f>
        <v>0</v>
      </c>
      <c r="L51" s="283">
        <f>IF(SUM(O51:Q51)=0,0,(SUM(O51:Q51)+(K51+SUM(M51:Q51))*(INDEX($U$41:$AB$41,MATCH(Notes!$C$16,$U$3:$AB$3,0))-100%))*$L$41)</f>
        <v>0</v>
      </c>
      <c r="M51" s="286"/>
      <c r="N51" s="286"/>
      <c r="O51" s="285"/>
      <c r="P51" s="285"/>
      <c r="Q51" s="285"/>
      <c r="R51" s="278"/>
      <c r="S51" s="278"/>
      <c r="T51" s="278"/>
    </row>
    <row r="52" spans="1:28" ht="21" hidden="1" outlineLevel="1" x14ac:dyDescent="0.25">
      <c r="A52" s="299"/>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row>
    <row r="53" spans="1:28" ht="15.75" hidden="1" outlineLevel="1" x14ac:dyDescent="0.25">
      <c r="A53" s="291"/>
      <c r="B53" s="291"/>
      <c r="C53" s="291"/>
      <c r="D53" s="291"/>
      <c r="E53" s="291"/>
      <c r="F53" s="291"/>
      <c r="G53" s="291"/>
      <c r="H53" s="291"/>
      <c r="I53" s="291"/>
      <c r="J53" s="291"/>
      <c r="K53" s="291">
        <f>K$2</f>
        <v>1</v>
      </c>
      <c r="L53" s="291">
        <f>L$2</f>
        <v>1</v>
      </c>
      <c r="M53" s="291"/>
      <c r="N53" s="291"/>
      <c r="O53" s="303"/>
      <c r="P53" s="303"/>
      <c r="Q53" s="303"/>
      <c r="R53" s="291"/>
      <c r="S53" s="291"/>
      <c r="T53" s="291"/>
      <c r="U53" s="291">
        <f>U$2</f>
        <v>1</v>
      </c>
      <c r="V53" s="291">
        <f>V$2</f>
        <v>1</v>
      </c>
      <c r="W53" s="291">
        <f t="shared" ref="W53:AB53" si="16">W$2</f>
        <v>1</v>
      </c>
      <c r="X53" s="291">
        <f t="shared" si="16"/>
        <v>1</v>
      </c>
      <c r="Y53" s="291">
        <f t="shared" si="16"/>
        <v>1</v>
      </c>
      <c r="Z53" s="291">
        <f t="shared" si="16"/>
        <v>1</v>
      </c>
      <c r="AA53" s="291">
        <f t="shared" si="16"/>
        <v>1</v>
      </c>
      <c r="AB53" s="291">
        <f t="shared" si="16"/>
        <v>1</v>
      </c>
    </row>
    <row r="54" spans="1:28" s="305" customFormat="1" ht="14.45" hidden="1" customHeight="1" outlineLevel="1" x14ac:dyDescent="0.25">
      <c r="A54" s="278"/>
      <c r="B54" s="279" t="str">
        <f>C54&amp;D54&amp;E54&amp;F54</f>
        <v/>
      </c>
      <c r="C54" s="278"/>
      <c r="D54" s="278"/>
      <c r="E54" s="278"/>
      <c r="F54" s="278"/>
      <c r="G54" s="278"/>
      <c r="H54" s="290"/>
      <c r="I54" s="280">
        <f>$I$2*H54</f>
        <v>0</v>
      </c>
      <c r="J54" s="281">
        <f>$J$2*H54</f>
        <v>0</v>
      </c>
      <c r="K54" s="282">
        <f>IF(Notes!$B$9="Domestic",I54, IF(Notes!$B$9="Commercial",J54))*$K$53</f>
        <v>0</v>
      </c>
      <c r="L54" s="283">
        <f>IF(SUM(O54:Q54)=0,0,(SUM(O54:Q54)+(K54+SUM(M54:Q54))*(INDEX($U$53:$AB$53,MATCH(Notes!$C$16,$U$3:$AB$3,0))-100%))*$L$53)</f>
        <v>0</v>
      </c>
      <c r="M54" s="286"/>
      <c r="N54" s="286"/>
      <c r="O54" s="285"/>
      <c r="P54" s="285"/>
      <c r="Q54" s="285"/>
      <c r="R54" s="278"/>
      <c r="S54" s="278"/>
      <c r="T54" s="278"/>
      <c r="U54" s="304"/>
    </row>
    <row r="55" spans="1:28" s="305" customFormat="1" ht="14.45" hidden="1" customHeight="1" outlineLevel="1" x14ac:dyDescent="0.25">
      <c r="A55" s="278"/>
      <c r="B55" s="279" t="str">
        <f t="shared" ref="B55:B63" si="17">C55&amp;D55&amp;E55&amp;F55</f>
        <v/>
      </c>
      <c r="C55" s="278"/>
      <c r="D55" s="278"/>
      <c r="E55" s="278"/>
      <c r="F55" s="278"/>
      <c r="G55" s="278"/>
      <c r="H55" s="290"/>
      <c r="I55" s="280">
        <f t="shared" ref="I55:I63" si="18">$I$2*H55</f>
        <v>0</v>
      </c>
      <c r="J55" s="281">
        <f t="shared" ref="J55:J63" si="19">$J$2*H55</f>
        <v>0</v>
      </c>
      <c r="K55" s="282">
        <f>IF(Notes!$B$9="Domestic",I55, IF(Notes!$B$9="Commercial",J55))*$K$53</f>
        <v>0</v>
      </c>
      <c r="L55" s="283">
        <f>IF(SUM(O55:Q55)=0,0,(SUM(O55:Q55)+(K55+SUM(M55:Q55))*(INDEX($U$53:$AB$53,MATCH(Notes!$C$16,$U$3:$AB$3,0))-100%))*$L$53)</f>
        <v>0</v>
      </c>
      <c r="M55" s="286"/>
      <c r="N55" s="286"/>
      <c r="O55" s="285"/>
      <c r="P55" s="285"/>
      <c r="Q55" s="285"/>
      <c r="R55" s="278"/>
      <c r="S55" s="278"/>
      <c r="T55" s="278"/>
      <c r="U55" s="304"/>
    </row>
    <row r="56" spans="1:28" s="305" customFormat="1" ht="14.45" hidden="1" customHeight="1" outlineLevel="1" x14ac:dyDescent="0.25">
      <c r="A56" s="278"/>
      <c r="B56" s="279" t="str">
        <f t="shared" si="17"/>
        <v/>
      </c>
      <c r="C56" s="278"/>
      <c r="D56" s="278"/>
      <c r="E56" s="278"/>
      <c r="F56" s="278"/>
      <c r="G56" s="278"/>
      <c r="H56" s="290"/>
      <c r="I56" s="280">
        <f t="shared" si="18"/>
        <v>0</v>
      </c>
      <c r="J56" s="281">
        <f t="shared" si="19"/>
        <v>0</v>
      </c>
      <c r="K56" s="282">
        <f>IF(Notes!$B$9="Domestic",I56, IF(Notes!$B$9="Commercial",J56))*$K$53</f>
        <v>0</v>
      </c>
      <c r="L56" s="283">
        <f>IF(SUM(O56:Q56)=0,0,(SUM(O56:Q56)+(K56+SUM(M56:Q56))*(INDEX($U$53:$AB$53,MATCH(Notes!$C$16,$U$3:$AB$3,0))-100%))*$L$53)</f>
        <v>0</v>
      </c>
      <c r="M56" s="286"/>
      <c r="N56" s="286"/>
      <c r="O56" s="285"/>
      <c r="P56" s="285"/>
      <c r="Q56" s="285"/>
      <c r="R56" s="278"/>
      <c r="S56" s="278"/>
      <c r="T56" s="278"/>
      <c r="U56" s="304"/>
    </row>
    <row r="57" spans="1:28" s="305" customFormat="1" ht="14.45" hidden="1" customHeight="1" outlineLevel="1" x14ac:dyDescent="0.25">
      <c r="A57" s="278"/>
      <c r="B57" s="279" t="str">
        <f t="shared" si="17"/>
        <v/>
      </c>
      <c r="C57" s="278"/>
      <c r="D57" s="278"/>
      <c r="E57" s="278"/>
      <c r="F57" s="278"/>
      <c r="G57" s="278"/>
      <c r="H57" s="290"/>
      <c r="I57" s="280">
        <f t="shared" si="18"/>
        <v>0</v>
      </c>
      <c r="J57" s="281">
        <f t="shared" si="19"/>
        <v>0</v>
      </c>
      <c r="K57" s="282">
        <f>IF(Notes!$B$9="Domestic",I57, IF(Notes!$B$9="Commercial",J57))*$K$53</f>
        <v>0</v>
      </c>
      <c r="L57" s="283">
        <f>IF(SUM(O57:Q57)=0,0,(SUM(O57:Q57)+(K57+SUM(M57:Q57))*(INDEX($U$53:$AB$53,MATCH(Notes!$C$16,$U$3:$AB$3,0))-100%))*$L$53)</f>
        <v>0</v>
      </c>
      <c r="M57" s="286"/>
      <c r="N57" s="286"/>
      <c r="O57" s="285"/>
      <c r="P57" s="285"/>
      <c r="Q57" s="285"/>
      <c r="R57" s="278"/>
      <c r="S57" s="278"/>
      <c r="T57" s="278"/>
    </row>
    <row r="58" spans="1:28" s="305" customFormat="1" hidden="1" outlineLevel="1" x14ac:dyDescent="0.25">
      <c r="A58" s="278"/>
      <c r="B58" s="279" t="str">
        <f t="shared" si="17"/>
        <v/>
      </c>
      <c r="C58" s="278"/>
      <c r="D58" s="278"/>
      <c r="E58" s="278"/>
      <c r="F58" s="278"/>
      <c r="G58" s="278"/>
      <c r="H58" s="290"/>
      <c r="I58" s="280">
        <f>$I$2*H58</f>
        <v>0</v>
      </c>
      <c r="J58" s="281">
        <f t="shared" si="19"/>
        <v>0</v>
      </c>
      <c r="K58" s="282">
        <f>IF(Notes!$B$9="Domestic",I58, IF(Notes!$B$9="Commercial",J58))*$K$53</f>
        <v>0</v>
      </c>
      <c r="L58" s="283">
        <f>IF(SUM(O58:Q58)=0,0,(SUM(O58:Q58)+(K58+SUM(M58:Q58))*(INDEX($U$53:$AB$53,MATCH(Notes!$C$16,$U$3:$AB$3,0))-100%))*$L$53)</f>
        <v>0</v>
      </c>
      <c r="M58" s="286"/>
      <c r="N58" s="286"/>
      <c r="O58" s="285"/>
      <c r="P58" s="285"/>
      <c r="Q58" s="285"/>
      <c r="R58" s="278"/>
      <c r="S58" s="278"/>
      <c r="T58" s="278"/>
    </row>
    <row r="59" spans="1:28" s="305" customFormat="1" hidden="1" outlineLevel="1" x14ac:dyDescent="0.25">
      <c r="A59" s="278"/>
      <c r="B59" s="279" t="str">
        <f t="shared" si="17"/>
        <v/>
      </c>
      <c r="C59" s="278"/>
      <c r="D59" s="278"/>
      <c r="E59" s="278"/>
      <c r="F59" s="278"/>
      <c r="G59" s="278"/>
      <c r="H59" s="290"/>
      <c r="I59" s="280">
        <f t="shared" si="18"/>
        <v>0</v>
      </c>
      <c r="J59" s="281">
        <f t="shared" si="19"/>
        <v>0</v>
      </c>
      <c r="K59" s="282">
        <f>IF(Notes!$B$9="Domestic",I59, IF(Notes!$B$9="Commercial",J59))*$K$53</f>
        <v>0</v>
      </c>
      <c r="L59" s="283">
        <f>IF(SUM(O59:Q59)=0,0,(SUM(O59:Q59)+(K59+SUM(M59:Q59))*(INDEX($U$53:$AB$53,MATCH(Notes!$C$16,$U$3:$AB$3,0))-100%))*$L$53)</f>
        <v>0</v>
      </c>
      <c r="M59" s="286"/>
      <c r="N59" s="286"/>
      <c r="O59" s="285"/>
      <c r="P59" s="285"/>
      <c r="Q59" s="285"/>
      <c r="R59" s="278"/>
      <c r="S59" s="278"/>
      <c r="T59" s="278"/>
    </row>
    <row r="60" spans="1:28" s="305" customFormat="1" hidden="1" outlineLevel="1" x14ac:dyDescent="0.25">
      <c r="A60" s="278"/>
      <c r="B60" s="279" t="str">
        <f t="shared" si="17"/>
        <v/>
      </c>
      <c r="C60" s="278"/>
      <c r="D60" s="278"/>
      <c r="E60" s="278"/>
      <c r="F60" s="278"/>
      <c r="G60" s="278"/>
      <c r="H60" s="290"/>
      <c r="I60" s="280">
        <f t="shared" si="18"/>
        <v>0</v>
      </c>
      <c r="J60" s="281">
        <f t="shared" si="19"/>
        <v>0</v>
      </c>
      <c r="K60" s="282">
        <f>IF(Notes!$B$9="Domestic",I60, IF(Notes!$B$9="Commercial",J60))*$K$53</f>
        <v>0</v>
      </c>
      <c r="L60" s="283">
        <f>IF(SUM(O60:Q60)=0,0,(SUM(O60:Q60)+(K60+SUM(M60:Q60))*(INDEX($U$53:$AB$53,MATCH(Notes!$C$16,$U$3:$AB$3,0))-100%))*$L$53)</f>
        <v>0</v>
      </c>
      <c r="M60" s="286"/>
      <c r="N60" s="286"/>
      <c r="O60" s="285"/>
      <c r="P60" s="285"/>
      <c r="Q60" s="285"/>
      <c r="R60" s="278"/>
      <c r="S60" s="278"/>
      <c r="T60" s="278"/>
    </row>
    <row r="61" spans="1:28" s="305" customFormat="1" hidden="1" outlineLevel="1" x14ac:dyDescent="0.25">
      <c r="A61" s="278"/>
      <c r="B61" s="279" t="str">
        <f t="shared" si="17"/>
        <v/>
      </c>
      <c r="C61" s="278"/>
      <c r="D61" s="278"/>
      <c r="E61" s="278"/>
      <c r="F61" s="278"/>
      <c r="G61" s="278"/>
      <c r="H61" s="290"/>
      <c r="I61" s="280">
        <f t="shared" si="18"/>
        <v>0</v>
      </c>
      <c r="J61" s="281">
        <f t="shared" si="19"/>
        <v>0</v>
      </c>
      <c r="K61" s="282">
        <f>IF(Notes!$B$9="Domestic",I61, IF(Notes!$B$9="Commercial",J61))*$K$53</f>
        <v>0</v>
      </c>
      <c r="L61" s="283">
        <f>IF(SUM(O61:Q61)=0,0,(SUM(O61:Q61)+(K61+SUM(M61:Q61))*(INDEX($U$53:$AB$53,MATCH(Notes!$C$16,$U$3:$AB$3,0))-100%))*$L$53)</f>
        <v>0</v>
      </c>
      <c r="M61" s="286"/>
      <c r="N61" s="286"/>
      <c r="O61" s="285"/>
      <c r="P61" s="285"/>
      <c r="Q61" s="285"/>
      <c r="R61" s="278"/>
      <c r="S61" s="278"/>
      <c r="T61" s="278"/>
    </row>
    <row r="62" spans="1:28" s="305" customFormat="1" hidden="1" outlineLevel="1" x14ac:dyDescent="0.25">
      <c r="A62" s="278"/>
      <c r="B62" s="279" t="str">
        <f t="shared" si="17"/>
        <v/>
      </c>
      <c r="C62" s="278"/>
      <c r="D62" s="278"/>
      <c r="E62" s="278"/>
      <c r="F62" s="278"/>
      <c r="G62" s="278"/>
      <c r="H62" s="290"/>
      <c r="I62" s="280">
        <f t="shared" si="18"/>
        <v>0</v>
      </c>
      <c r="J62" s="281">
        <f t="shared" si="19"/>
        <v>0</v>
      </c>
      <c r="K62" s="282">
        <f>IF(Notes!$B$9="Domestic",I62, IF(Notes!$B$9="Commercial",J62))*$K$53</f>
        <v>0</v>
      </c>
      <c r="L62" s="283">
        <f>IF(SUM(O62:Q62)=0,0,(SUM(O62:Q62)+(K62+SUM(M62:Q62))*(INDEX($U$53:$AB$53,MATCH(Notes!$C$16,$U$3:$AB$3,0))-100%))*$L$53)</f>
        <v>0</v>
      </c>
      <c r="M62" s="286"/>
      <c r="N62" s="286"/>
      <c r="O62" s="285"/>
      <c r="P62" s="285"/>
      <c r="Q62" s="285"/>
      <c r="R62" s="278"/>
      <c r="S62" s="278"/>
      <c r="T62" s="278"/>
    </row>
    <row r="63" spans="1:28" s="305" customFormat="1" hidden="1" outlineLevel="1" x14ac:dyDescent="0.25">
      <c r="A63" s="278"/>
      <c r="B63" s="279" t="str">
        <f t="shared" si="17"/>
        <v/>
      </c>
      <c r="C63" s="278"/>
      <c r="D63" s="278"/>
      <c r="E63" s="278"/>
      <c r="F63" s="278"/>
      <c r="G63" s="278"/>
      <c r="H63" s="290"/>
      <c r="I63" s="280">
        <f t="shared" si="18"/>
        <v>0</v>
      </c>
      <c r="J63" s="281">
        <f t="shared" si="19"/>
        <v>0</v>
      </c>
      <c r="K63" s="282">
        <f>IF(Notes!$B$9="Domestic",I63, IF(Notes!$B$9="Commercial",J63))*$K$53</f>
        <v>0</v>
      </c>
      <c r="L63" s="283">
        <f>IF(SUM(O63:Q63)=0,0,(SUM(O63:Q63)+(K63+SUM(M63:Q63))*(INDEX($U$53:$AB$53,MATCH(Notes!$C$16,$U$3:$AB$3,0))-100%))*$L$53)</f>
        <v>0</v>
      </c>
      <c r="M63" s="286"/>
      <c r="N63" s="286"/>
      <c r="O63" s="285"/>
      <c r="P63" s="285"/>
      <c r="Q63" s="285"/>
      <c r="R63" s="278"/>
      <c r="S63" s="278"/>
      <c r="T63" s="278"/>
    </row>
    <row r="64" spans="1:28" ht="21" hidden="1" outlineLevel="1" x14ac:dyDescent="0.25">
      <c r="A64" s="299"/>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row>
    <row r="65" spans="1:28" ht="15.75" hidden="1" outlineLevel="1" x14ac:dyDescent="0.25">
      <c r="A65" s="291"/>
      <c r="B65" s="291"/>
      <c r="C65" s="291"/>
      <c r="D65" s="291"/>
      <c r="E65" s="291"/>
      <c r="F65" s="291"/>
      <c r="G65" s="291"/>
      <c r="H65" s="291"/>
      <c r="I65" s="291"/>
      <c r="J65" s="291"/>
      <c r="K65" s="291">
        <f>K$2</f>
        <v>1</v>
      </c>
      <c r="L65" s="291">
        <f>L$2</f>
        <v>1</v>
      </c>
      <c r="M65" s="291"/>
      <c r="N65" s="291"/>
      <c r="O65" s="303"/>
      <c r="P65" s="303"/>
      <c r="Q65" s="303"/>
      <c r="R65" s="291"/>
      <c r="S65" s="291"/>
      <c r="T65" s="291"/>
      <c r="U65" s="291">
        <f>U$2</f>
        <v>1</v>
      </c>
      <c r="V65" s="291">
        <f>V$2</f>
        <v>1</v>
      </c>
      <c r="W65" s="291">
        <f t="shared" ref="W65:AB65" si="20">W$2</f>
        <v>1</v>
      </c>
      <c r="X65" s="291">
        <f t="shared" si="20"/>
        <v>1</v>
      </c>
      <c r="Y65" s="291">
        <f t="shared" si="20"/>
        <v>1</v>
      </c>
      <c r="Z65" s="291">
        <f t="shared" si="20"/>
        <v>1</v>
      </c>
      <c r="AA65" s="291">
        <f t="shared" si="20"/>
        <v>1</v>
      </c>
      <c r="AB65" s="291">
        <f t="shared" si="20"/>
        <v>1</v>
      </c>
    </row>
    <row r="66" spans="1:28" s="305" customFormat="1" ht="14.45" hidden="1" customHeight="1" outlineLevel="1" x14ac:dyDescent="0.25">
      <c r="A66" s="278"/>
      <c r="B66" s="279" t="str">
        <f>C66&amp;D66&amp;E66&amp;F66</f>
        <v/>
      </c>
      <c r="C66" s="278"/>
      <c r="D66" s="278"/>
      <c r="E66" s="278"/>
      <c r="F66" s="278"/>
      <c r="G66" s="278"/>
      <c r="H66" s="290"/>
      <c r="I66" s="280">
        <f>$I$2*H66</f>
        <v>0</v>
      </c>
      <c r="J66" s="281">
        <f>$J$2*H66</f>
        <v>0</v>
      </c>
      <c r="K66" s="282">
        <f>IF(Notes!$B$9="Domestic",I66, IF(Notes!$B$9="Commercial",J66))*$K$65</f>
        <v>0</v>
      </c>
      <c r="L66" s="283">
        <f>IF(SUM(O66:Q66)=0,0,(SUM(O66:Q66)+(K66+SUM(M66:Q66))*(INDEX($U$65:$AB$65,MATCH(Notes!$C$16,$U$3:$AB$3,0))-100%))*$L$65)</f>
        <v>0</v>
      </c>
      <c r="M66" s="286"/>
      <c r="N66" s="286"/>
      <c r="O66" s="285"/>
      <c r="P66" s="285"/>
      <c r="Q66" s="285"/>
      <c r="R66" s="278"/>
      <c r="S66" s="278"/>
      <c r="T66" s="278"/>
      <c r="U66" s="304"/>
    </row>
    <row r="67" spans="1:28" s="305" customFormat="1" ht="14.45" hidden="1" customHeight="1" outlineLevel="1" x14ac:dyDescent="0.25">
      <c r="A67" s="278"/>
      <c r="B67" s="279" t="str">
        <f t="shared" ref="B67:B75" si="21">C67&amp;D67&amp;E67&amp;F67</f>
        <v/>
      </c>
      <c r="C67" s="278"/>
      <c r="D67" s="278"/>
      <c r="E67" s="278"/>
      <c r="F67" s="278"/>
      <c r="G67" s="278"/>
      <c r="H67" s="290"/>
      <c r="I67" s="280">
        <f t="shared" ref="I67:I75" si="22">$I$2*H67</f>
        <v>0</v>
      </c>
      <c r="J67" s="281">
        <f t="shared" ref="J67:J75" si="23">$J$2*H67</f>
        <v>0</v>
      </c>
      <c r="K67" s="282">
        <f>IF(Notes!$B$9="Domestic",I67, IF(Notes!$B$9="Commercial",J67))*$K$65</f>
        <v>0</v>
      </c>
      <c r="L67" s="283">
        <f>IF(SUM(O67:Q67)=0,0,(SUM(O67:Q67)+(K67+SUM(M67:Q67))*(INDEX($U$65:$AB$65,MATCH(Notes!$C$16,$U$3:$AB$3,0))-100%))*$L$65)</f>
        <v>0</v>
      </c>
      <c r="M67" s="286"/>
      <c r="N67" s="286"/>
      <c r="O67" s="285"/>
      <c r="P67" s="285"/>
      <c r="Q67" s="285"/>
      <c r="R67" s="278"/>
      <c r="S67" s="278"/>
      <c r="T67" s="278"/>
      <c r="U67" s="304"/>
    </row>
    <row r="68" spans="1:28" s="305" customFormat="1" ht="14.45" hidden="1" customHeight="1" outlineLevel="1" x14ac:dyDescent="0.25">
      <c r="A68" s="278"/>
      <c r="B68" s="279" t="str">
        <f t="shared" si="21"/>
        <v/>
      </c>
      <c r="C68" s="278"/>
      <c r="D68" s="278"/>
      <c r="E68" s="278"/>
      <c r="F68" s="278"/>
      <c r="G68" s="278"/>
      <c r="H68" s="290"/>
      <c r="I68" s="280">
        <f t="shared" si="22"/>
        <v>0</v>
      </c>
      <c r="J68" s="281">
        <f t="shared" si="23"/>
        <v>0</v>
      </c>
      <c r="K68" s="282">
        <f>IF(Notes!$B$9="Domestic",I68, IF(Notes!$B$9="Commercial",J68))*$K$65</f>
        <v>0</v>
      </c>
      <c r="L68" s="283">
        <f>IF(SUM(O68:Q68)=0,0,(SUM(O68:Q68)+(K68+SUM(M68:Q68))*(INDEX($U$65:$AB$65,MATCH(Notes!$C$16,$U$3:$AB$3,0))-100%))*$L$65)</f>
        <v>0</v>
      </c>
      <c r="M68" s="286"/>
      <c r="N68" s="286"/>
      <c r="O68" s="285"/>
      <c r="P68" s="285"/>
      <c r="Q68" s="285"/>
      <c r="R68" s="278"/>
      <c r="S68" s="278"/>
      <c r="T68" s="278"/>
      <c r="U68" s="304"/>
    </row>
    <row r="69" spans="1:28" s="305" customFormat="1" ht="14.45" hidden="1" customHeight="1" outlineLevel="1" x14ac:dyDescent="0.25">
      <c r="A69" s="278"/>
      <c r="B69" s="279" t="str">
        <f t="shared" si="21"/>
        <v/>
      </c>
      <c r="C69" s="278"/>
      <c r="D69" s="278"/>
      <c r="E69" s="278"/>
      <c r="F69" s="278"/>
      <c r="G69" s="278"/>
      <c r="H69" s="290"/>
      <c r="I69" s="280">
        <f t="shared" si="22"/>
        <v>0</v>
      </c>
      <c r="J69" s="281">
        <f t="shared" si="23"/>
        <v>0</v>
      </c>
      <c r="K69" s="282">
        <f>IF(Notes!$B$9="Domestic",I69, IF(Notes!$B$9="Commercial",J69))*$K$65</f>
        <v>0</v>
      </c>
      <c r="L69" s="283">
        <f>IF(SUM(O69:Q69)=0,0,(SUM(O69:Q69)+(K69+SUM(M69:Q69))*(INDEX($U$65:$AB$65,MATCH(Notes!$C$16,$U$3:$AB$3,0))-100%))*$L$65)</f>
        <v>0</v>
      </c>
      <c r="M69" s="286"/>
      <c r="N69" s="286"/>
      <c r="O69" s="285"/>
      <c r="P69" s="285"/>
      <c r="Q69" s="285"/>
      <c r="R69" s="278"/>
      <c r="S69" s="278"/>
      <c r="T69" s="278"/>
    </row>
    <row r="70" spans="1:28" s="305" customFormat="1" ht="14.45" hidden="1" customHeight="1" outlineLevel="1" x14ac:dyDescent="0.25">
      <c r="A70" s="278"/>
      <c r="B70" s="279" t="str">
        <f t="shared" si="21"/>
        <v/>
      </c>
      <c r="C70" s="278"/>
      <c r="D70" s="278"/>
      <c r="E70" s="278"/>
      <c r="F70" s="278"/>
      <c r="G70" s="278"/>
      <c r="H70" s="290"/>
      <c r="I70" s="280">
        <f>$I$2*H70</f>
        <v>0</v>
      </c>
      <c r="J70" s="281">
        <f t="shared" si="23"/>
        <v>0</v>
      </c>
      <c r="K70" s="282">
        <f>IF(Notes!$B$9="Domestic",I70, IF(Notes!$B$9="Commercial",J70))*$K$65</f>
        <v>0</v>
      </c>
      <c r="L70" s="283">
        <f>IF(SUM(O70:Q70)=0,0,(SUM(O70:Q70)+(K70+SUM(M70:Q70))*(INDEX($U$65:$AB$65,MATCH(Notes!$C$16,$U$3:$AB$3,0))-100%))*$L$65)</f>
        <v>0</v>
      </c>
      <c r="M70" s="286"/>
      <c r="N70" s="286"/>
      <c r="O70" s="285"/>
      <c r="P70" s="285"/>
      <c r="Q70" s="285"/>
      <c r="R70" s="278"/>
      <c r="S70" s="278"/>
      <c r="T70" s="278"/>
    </row>
    <row r="71" spans="1:28" s="305" customFormat="1" ht="14.45" hidden="1" customHeight="1" outlineLevel="1" x14ac:dyDescent="0.25">
      <c r="A71" s="278"/>
      <c r="B71" s="279" t="str">
        <f t="shared" si="21"/>
        <v/>
      </c>
      <c r="C71" s="278"/>
      <c r="D71" s="278"/>
      <c r="E71" s="278"/>
      <c r="F71" s="278"/>
      <c r="G71" s="278"/>
      <c r="H71" s="290"/>
      <c r="I71" s="280">
        <f t="shared" si="22"/>
        <v>0</v>
      </c>
      <c r="J71" s="281">
        <f t="shared" si="23"/>
        <v>0</v>
      </c>
      <c r="K71" s="282">
        <f>IF(Notes!$B$9="Domestic",I71, IF(Notes!$B$9="Commercial",J71))*$K$65</f>
        <v>0</v>
      </c>
      <c r="L71" s="283">
        <f>IF(SUM(O71:Q71)=0,0,(SUM(O71:Q71)+(K71+SUM(M71:Q71))*(INDEX($U$65:$AB$65,MATCH(Notes!$C$16,$U$3:$AB$3,0))-100%))*$L$65)</f>
        <v>0</v>
      </c>
      <c r="M71" s="286"/>
      <c r="N71" s="286"/>
      <c r="O71" s="285"/>
      <c r="P71" s="285"/>
      <c r="Q71" s="285"/>
      <c r="R71" s="278"/>
      <c r="S71" s="278"/>
      <c r="T71" s="278"/>
    </row>
    <row r="72" spans="1:28" s="305" customFormat="1" hidden="1" outlineLevel="1" x14ac:dyDescent="0.25">
      <c r="A72" s="278"/>
      <c r="B72" s="279" t="str">
        <f t="shared" si="21"/>
        <v/>
      </c>
      <c r="C72" s="278"/>
      <c r="D72" s="278"/>
      <c r="E72" s="278"/>
      <c r="F72" s="278"/>
      <c r="G72" s="278"/>
      <c r="H72" s="290"/>
      <c r="I72" s="280">
        <f t="shared" si="22"/>
        <v>0</v>
      </c>
      <c r="J72" s="281">
        <f t="shared" si="23"/>
        <v>0</v>
      </c>
      <c r="K72" s="282">
        <f>IF(Notes!$B$9="Domestic",I72, IF(Notes!$B$9="Commercial",J72))*$K$65</f>
        <v>0</v>
      </c>
      <c r="L72" s="283">
        <f>IF(SUM(O72:Q72)=0,0,(SUM(O72:Q72)+(K72+SUM(M72:Q72))*(INDEX($U$65:$AB$65,MATCH(Notes!$C$16,$U$3:$AB$3,0))-100%))*$L$65)</f>
        <v>0</v>
      </c>
      <c r="M72" s="286"/>
      <c r="N72" s="286"/>
      <c r="O72" s="285"/>
      <c r="P72" s="285"/>
      <c r="Q72" s="285"/>
      <c r="R72" s="278"/>
      <c r="S72" s="278"/>
      <c r="T72" s="278"/>
    </row>
    <row r="73" spans="1:28" s="305" customFormat="1" hidden="1" outlineLevel="1" x14ac:dyDescent="0.25">
      <c r="A73" s="278"/>
      <c r="B73" s="279" t="str">
        <f t="shared" si="21"/>
        <v/>
      </c>
      <c r="C73" s="278"/>
      <c r="D73" s="278"/>
      <c r="E73" s="278"/>
      <c r="F73" s="278"/>
      <c r="G73" s="278"/>
      <c r="H73" s="290"/>
      <c r="I73" s="280">
        <f t="shared" si="22"/>
        <v>0</v>
      </c>
      <c r="J73" s="281">
        <f t="shared" si="23"/>
        <v>0</v>
      </c>
      <c r="K73" s="282">
        <f>IF(Notes!$B$9="Domestic",I73, IF(Notes!$B$9="Commercial",J73))*$K$65</f>
        <v>0</v>
      </c>
      <c r="L73" s="283">
        <f>IF(SUM(O73:Q73)=0,0,(SUM(O73:Q73)+(K73+SUM(M73:Q73))*(INDEX($U$65:$AB$65,MATCH(Notes!$C$16,$U$3:$AB$3,0))-100%))*$L$65)</f>
        <v>0</v>
      </c>
      <c r="M73" s="286"/>
      <c r="N73" s="286"/>
      <c r="O73" s="285"/>
      <c r="P73" s="285"/>
      <c r="Q73" s="285"/>
      <c r="R73" s="278"/>
      <c r="S73" s="278"/>
      <c r="T73" s="278"/>
    </row>
    <row r="74" spans="1:28" s="305" customFormat="1" hidden="1" outlineLevel="1" x14ac:dyDescent="0.25">
      <c r="A74" s="278"/>
      <c r="B74" s="279" t="str">
        <f t="shared" si="21"/>
        <v/>
      </c>
      <c r="C74" s="278"/>
      <c r="D74" s="278"/>
      <c r="E74" s="278"/>
      <c r="F74" s="278"/>
      <c r="G74" s="278"/>
      <c r="H74" s="290"/>
      <c r="I74" s="280">
        <f t="shared" si="22"/>
        <v>0</v>
      </c>
      <c r="J74" s="281">
        <f t="shared" si="23"/>
        <v>0</v>
      </c>
      <c r="K74" s="282">
        <f>IF(Notes!$B$9="Domestic",I74, IF(Notes!$B$9="Commercial",J74))*$K$65</f>
        <v>0</v>
      </c>
      <c r="L74" s="283">
        <f>IF(SUM(O74:Q74)=0,0,(SUM(O74:Q74)+(K74+SUM(M74:Q74))*(INDEX($U$65:$AB$65,MATCH(Notes!$C$16,$U$3:$AB$3,0))-100%))*$L$65)</f>
        <v>0</v>
      </c>
      <c r="M74" s="286"/>
      <c r="N74" s="286"/>
      <c r="O74" s="285"/>
      <c r="P74" s="285"/>
      <c r="Q74" s="285"/>
      <c r="R74" s="278"/>
      <c r="S74" s="278"/>
      <c r="T74" s="278"/>
    </row>
    <row r="75" spans="1:28" s="305" customFormat="1" hidden="1" outlineLevel="1" x14ac:dyDescent="0.25">
      <c r="A75" s="278"/>
      <c r="B75" s="279" t="str">
        <f t="shared" si="21"/>
        <v/>
      </c>
      <c r="C75" s="278"/>
      <c r="D75" s="278"/>
      <c r="E75" s="278"/>
      <c r="F75" s="278"/>
      <c r="G75" s="278"/>
      <c r="H75" s="290"/>
      <c r="I75" s="280">
        <f t="shared" si="22"/>
        <v>0</v>
      </c>
      <c r="J75" s="281">
        <f t="shared" si="23"/>
        <v>0</v>
      </c>
      <c r="K75" s="282">
        <f>IF(Notes!$B$9="Domestic",I75, IF(Notes!$B$9="Commercial",J75))*$K$65</f>
        <v>0</v>
      </c>
      <c r="L75" s="283">
        <f>IF(SUM(O75:Q75)=0,0,(SUM(O75:Q75)+(K75+SUM(M75:Q75))*(INDEX($U$65:$AB$65,MATCH(Notes!$C$16,$U$3:$AB$3,0))-100%))*$L$65)</f>
        <v>0</v>
      </c>
      <c r="M75" s="286"/>
      <c r="N75" s="286"/>
      <c r="O75" s="285"/>
      <c r="P75" s="285"/>
      <c r="Q75" s="285"/>
      <c r="R75" s="278"/>
      <c r="S75" s="278"/>
      <c r="T75" s="278"/>
    </row>
    <row r="76" spans="1:28" ht="21" hidden="1" outlineLevel="1" x14ac:dyDescent="0.25">
      <c r="A76" s="299"/>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row>
    <row r="77" spans="1:28" ht="15.75" hidden="1" outlineLevel="1" x14ac:dyDescent="0.25">
      <c r="A77" s="291"/>
      <c r="B77" s="291"/>
      <c r="C77" s="291"/>
      <c r="D77" s="291"/>
      <c r="E77" s="291"/>
      <c r="F77" s="291"/>
      <c r="G77" s="291"/>
      <c r="H77" s="291"/>
      <c r="I77" s="291"/>
      <c r="J77" s="291"/>
      <c r="K77" s="291">
        <f>K$2</f>
        <v>1</v>
      </c>
      <c r="L77" s="291">
        <f>L$2</f>
        <v>1</v>
      </c>
      <c r="M77" s="291"/>
      <c r="N77" s="291"/>
      <c r="O77" s="303"/>
      <c r="P77" s="303"/>
      <c r="Q77" s="303"/>
      <c r="R77" s="291"/>
      <c r="S77" s="291"/>
      <c r="T77" s="291"/>
      <c r="U77" s="291">
        <f>U$2</f>
        <v>1</v>
      </c>
      <c r="V77" s="291">
        <f>V$2</f>
        <v>1</v>
      </c>
      <c r="W77" s="291">
        <f t="shared" ref="W77:AB77" si="24">W$2</f>
        <v>1</v>
      </c>
      <c r="X77" s="291">
        <f t="shared" si="24"/>
        <v>1</v>
      </c>
      <c r="Y77" s="291">
        <f t="shared" si="24"/>
        <v>1</v>
      </c>
      <c r="Z77" s="291">
        <f t="shared" si="24"/>
        <v>1</v>
      </c>
      <c r="AA77" s="291">
        <f t="shared" si="24"/>
        <v>1</v>
      </c>
      <c r="AB77" s="291">
        <f t="shared" si="24"/>
        <v>1</v>
      </c>
    </row>
    <row r="78" spans="1:28" s="305" customFormat="1" hidden="1" outlineLevel="1" x14ac:dyDescent="0.25">
      <c r="A78" s="278"/>
      <c r="B78" s="279" t="str">
        <f>C78&amp;D78&amp;E78&amp;F78</f>
        <v/>
      </c>
      <c r="C78" s="278"/>
      <c r="D78" s="278"/>
      <c r="E78" s="278"/>
      <c r="F78" s="278"/>
      <c r="G78" s="278"/>
      <c r="H78" s="290"/>
      <c r="I78" s="280">
        <f>$I$2*H78</f>
        <v>0</v>
      </c>
      <c r="J78" s="281">
        <f>$J$2*H78</f>
        <v>0</v>
      </c>
      <c r="K78" s="282">
        <f>IF(Notes!$B$9="Domestic",I78, IF(Notes!$B$9="Commercial",J78))*$K$77</f>
        <v>0</v>
      </c>
      <c r="L78" s="283">
        <f>IF(SUM(O78:Q78)=0,0,(SUM(O78:Q78)+(K78+SUM(M78:Q78))*(INDEX($U$77:$AB$77,MATCH(Notes!$C$16,$U$3:$AB$3,0))-100%))*$L$77)</f>
        <v>0</v>
      </c>
      <c r="M78" s="286"/>
      <c r="N78" s="286"/>
      <c r="O78" s="285"/>
      <c r="P78" s="285"/>
      <c r="Q78" s="285"/>
      <c r="R78" s="278"/>
      <c r="S78" s="278"/>
      <c r="T78" s="278"/>
    </row>
    <row r="79" spans="1:28" s="305" customFormat="1" hidden="1" outlineLevel="1" x14ac:dyDescent="0.25">
      <c r="A79" s="278"/>
      <c r="B79" s="279" t="str">
        <f t="shared" ref="B79:B87" si="25">C79&amp;D79&amp;E79&amp;F79</f>
        <v/>
      </c>
      <c r="C79" s="278"/>
      <c r="D79" s="278"/>
      <c r="E79" s="278"/>
      <c r="F79" s="278"/>
      <c r="G79" s="278"/>
      <c r="H79" s="290"/>
      <c r="I79" s="280">
        <f t="shared" ref="I79:I87" si="26">$I$2*H79</f>
        <v>0</v>
      </c>
      <c r="J79" s="281">
        <f t="shared" ref="J79:J87" si="27">$J$2*H79</f>
        <v>0</v>
      </c>
      <c r="K79" s="282">
        <f>IF(Notes!$B$9="Domestic",I79, IF(Notes!$B$9="Commercial",J79))*$K$77</f>
        <v>0</v>
      </c>
      <c r="L79" s="283">
        <f>IF(SUM(O79:Q79)=0,0,(SUM(O79:Q79)+(K79+SUM(M79:Q79))*(INDEX($U$77:$AB$77,MATCH(Notes!$C$16,$U$3:$AB$3,0))-100%))*$L$77)</f>
        <v>0</v>
      </c>
      <c r="M79" s="286"/>
      <c r="N79" s="286"/>
      <c r="O79" s="285"/>
      <c r="P79" s="285"/>
      <c r="Q79" s="285"/>
      <c r="R79" s="278"/>
      <c r="S79" s="278"/>
      <c r="T79" s="278"/>
    </row>
    <row r="80" spans="1:28" s="305" customFormat="1" hidden="1" outlineLevel="1" x14ac:dyDescent="0.25">
      <c r="A80" s="278"/>
      <c r="B80" s="279" t="str">
        <f t="shared" si="25"/>
        <v/>
      </c>
      <c r="C80" s="278"/>
      <c r="D80" s="278"/>
      <c r="E80" s="278"/>
      <c r="F80" s="278"/>
      <c r="G80" s="278"/>
      <c r="H80" s="290"/>
      <c r="I80" s="280">
        <f t="shared" si="26"/>
        <v>0</v>
      </c>
      <c r="J80" s="281">
        <f t="shared" si="27"/>
        <v>0</v>
      </c>
      <c r="K80" s="282">
        <f>IF(Notes!$B$9="Domestic",I80, IF(Notes!$B$9="Commercial",J80))*$K$77</f>
        <v>0</v>
      </c>
      <c r="L80" s="283">
        <f>IF(SUM(O80:Q80)=0,0,(SUM(O80:Q80)+(K80+SUM(M80:Q80))*(INDEX($U$77:$AB$77,MATCH(Notes!$C$16,$U$3:$AB$3,0))-100%))*$L$77)</f>
        <v>0</v>
      </c>
      <c r="M80" s="286"/>
      <c r="N80" s="286"/>
      <c r="O80" s="285"/>
      <c r="P80" s="285"/>
      <c r="Q80" s="285"/>
      <c r="R80" s="278"/>
      <c r="S80" s="278"/>
      <c r="T80" s="278"/>
    </row>
    <row r="81" spans="1:28" s="305" customFormat="1" hidden="1" outlineLevel="1" x14ac:dyDescent="0.25">
      <c r="A81" s="278"/>
      <c r="B81" s="279" t="str">
        <f t="shared" si="25"/>
        <v/>
      </c>
      <c r="C81" s="278"/>
      <c r="D81" s="278"/>
      <c r="E81" s="278"/>
      <c r="F81" s="278"/>
      <c r="G81" s="278"/>
      <c r="H81" s="290"/>
      <c r="I81" s="280">
        <f t="shared" si="26"/>
        <v>0</v>
      </c>
      <c r="J81" s="281">
        <f t="shared" si="27"/>
        <v>0</v>
      </c>
      <c r="K81" s="282">
        <f>IF(Notes!$B$9="Domestic",I81, IF(Notes!$B$9="Commercial",J81))*$K$77</f>
        <v>0</v>
      </c>
      <c r="L81" s="283">
        <f>IF(SUM(O81:Q81)=0,0,(SUM(O81:Q81)+(K81+SUM(M81:Q81))*(INDEX($U$77:$AB$77,MATCH(Notes!$C$16,$U$3:$AB$3,0))-100%))*$L$77)</f>
        <v>0</v>
      </c>
      <c r="M81" s="286"/>
      <c r="N81" s="286"/>
      <c r="O81" s="285"/>
      <c r="P81" s="285"/>
      <c r="Q81" s="285"/>
      <c r="R81" s="278"/>
      <c r="S81" s="278"/>
      <c r="T81" s="278"/>
    </row>
    <row r="82" spans="1:28" s="305" customFormat="1" hidden="1" outlineLevel="1" x14ac:dyDescent="0.25">
      <c r="A82" s="278"/>
      <c r="B82" s="279" t="str">
        <f t="shared" si="25"/>
        <v/>
      </c>
      <c r="C82" s="278"/>
      <c r="D82" s="278"/>
      <c r="E82" s="278"/>
      <c r="F82" s="278"/>
      <c r="G82" s="278"/>
      <c r="H82" s="290"/>
      <c r="I82" s="280">
        <f>$I$2*H82</f>
        <v>0</v>
      </c>
      <c r="J82" s="281">
        <f t="shared" si="27"/>
        <v>0</v>
      </c>
      <c r="K82" s="282">
        <f>IF(Notes!$B$9="Domestic",I82, IF(Notes!$B$9="Commercial",J82))*$K$77</f>
        <v>0</v>
      </c>
      <c r="L82" s="283">
        <f>IF(SUM(O82:Q82)=0,0,(SUM(O82:Q82)+(K82+SUM(M82:Q82))*(INDEX($U$77:$AB$77,MATCH(Notes!$C$16,$U$3:$AB$3,0))-100%))*$L$77)</f>
        <v>0</v>
      </c>
      <c r="M82" s="286"/>
      <c r="N82" s="286"/>
      <c r="O82" s="285"/>
      <c r="P82" s="285"/>
      <c r="Q82" s="285"/>
      <c r="R82" s="278"/>
      <c r="S82" s="278"/>
      <c r="T82" s="278"/>
    </row>
    <row r="83" spans="1:28" s="305" customFormat="1" hidden="1" outlineLevel="1" x14ac:dyDescent="0.25">
      <c r="A83" s="278"/>
      <c r="B83" s="279" t="str">
        <f t="shared" si="25"/>
        <v/>
      </c>
      <c r="C83" s="278"/>
      <c r="D83" s="278"/>
      <c r="E83" s="278"/>
      <c r="F83" s="278"/>
      <c r="G83" s="278"/>
      <c r="H83" s="290"/>
      <c r="I83" s="280">
        <f t="shared" si="26"/>
        <v>0</v>
      </c>
      <c r="J83" s="281">
        <f t="shared" si="27"/>
        <v>0</v>
      </c>
      <c r="K83" s="282">
        <f>IF(Notes!$B$9="Domestic",I83, IF(Notes!$B$9="Commercial",J83))*$K$77</f>
        <v>0</v>
      </c>
      <c r="L83" s="283">
        <f>IF(SUM(O83:Q83)=0,0,(SUM(O83:Q83)+(K83+SUM(M83:Q83))*(INDEX($U$77:$AB$77,MATCH(Notes!$C$16,$U$3:$AB$3,0))-100%))*$L$77)</f>
        <v>0</v>
      </c>
      <c r="M83" s="286"/>
      <c r="N83" s="286"/>
      <c r="O83" s="285"/>
      <c r="P83" s="285"/>
      <c r="Q83" s="285"/>
      <c r="R83" s="278"/>
      <c r="S83" s="278"/>
      <c r="T83" s="278"/>
    </row>
    <row r="84" spans="1:28" s="305" customFormat="1" hidden="1" outlineLevel="1" x14ac:dyDescent="0.25">
      <c r="A84" s="278"/>
      <c r="B84" s="279" t="str">
        <f t="shared" si="25"/>
        <v/>
      </c>
      <c r="C84" s="278"/>
      <c r="D84" s="278"/>
      <c r="E84" s="278"/>
      <c r="F84" s="278"/>
      <c r="G84" s="278"/>
      <c r="H84" s="290"/>
      <c r="I84" s="280">
        <f t="shared" si="26"/>
        <v>0</v>
      </c>
      <c r="J84" s="281">
        <f t="shared" si="27"/>
        <v>0</v>
      </c>
      <c r="K84" s="282">
        <f>IF(Notes!$B$9="Domestic",I84, IF(Notes!$B$9="Commercial",J84))*$K$77</f>
        <v>0</v>
      </c>
      <c r="L84" s="283">
        <f>IF(SUM(O84:Q84)=0,0,(SUM(O84:Q84)+(K84+SUM(M84:Q84))*(INDEX($U$77:$AB$77,MATCH(Notes!$C$16,$U$3:$AB$3,0))-100%))*$L$77)</f>
        <v>0</v>
      </c>
      <c r="M84" s="286"/>
      <c r="N84" s="286"/>
      <c r="O84" s="285"/>
      <c r="P84" s="285"/>
      <c r="Q84" s="285"/>
      <c r="R84" s="278"/>
      <c r="S84" s="278"/>
      <c r="T84" s="278"/>
    </row>
    <row r="85" spans="1:28" s="305" customFormat="1" hidden="1" outlineLevel="1" x14ac:dyDescent="0.25">
      <c r="A85" s="278"/>
      <c r="B85" s="279" t="str">
        <f t="shared" si="25"/>
        <v/>
      </c>
      <c r="C85" s="278"/>
      <c r="D85" s="278"/>
      <c r="E85" s="278"/>
      <c r="F85" s="278"/>
      <c r="G85" s="278"/>
      <c r="H85" s="290"/>
      <c r="I85" s="280">
        <f t="shared" si="26"/>
        <v>0</v>
      </c>
      <c r="J85" s="281">
        <f t="shared" si="27"/>
        <v>0</v>
      </c>
      <c r="K85" s="282">
        <f>IF(Notes!$B$9="Domestic",I85, IF(Notes!$B$9="Commercial",J85))*$K$77</f>
        <v>0</v>
      </c>
      <c r="L85" s="283">
        <f>IF(SUM(O85:Q85)=0,0,(SUM(O85:Q85)+(K85+SUM(M85:Q85))*(INDEX($U$77:$AB$77,MATCH(Notes!$C$16,$U$3:$AB$3,0))-100%))*$L$77)</f>
        <v>0</v>
      </c>
      <c r="M85" s="286"/>
      <c r="N85" s="286"/>
      <c r="O85" s="285"/>
      <c r="P85" s="285"/>
      <c r="Q85" s="285"/>
      <c r="R85" s="278"/>
      <c r="S85" s="278"/>
      <c r="T85" s="278"/>
    </row>
    <row r="86" spans="1:28" s="305" customFormat="1" hidden="1" outlineLevel="1" x14ac:dyDescent="0.25">
      <c r="A86" s="278"/>
      <c r="B86" s="279" t="str">
        <f t="shared" si="25"/>
        <v/>
      </c>
      <c r="C86" s="278"/>
      <c r="D86" s="278"/>
      <c r="E86" s="278"/>
      <c r="F86" s="278"/>
      <c r="G86" s="278"/>
      <c r="H86" s="290"/>
      <c r="I86" s="280">
        <f t="shared" si="26"/>
        <v>0</v>
      </c>
      <c r="J86" s="281">
        <f t="shared" si="27"/>
        <v>0</v>
      </c>
      <c r="K86" s="282">
        <f>IF(Notes!$B$9="Domestic",I86, IF(Notes!$B$9="Commercial",J86))*$K$77</f>
        <v>0</v>
      </c>
      <c r="L86" s="283">
        <f>IF(SUM(O86:Q86)=0,0,(SUM(O86:Q86)+(K86+SUM(M86:Q86))*(INDEX($U$77:$AB$77,MATCH(Notes!$C$16,$U$3:$AB$3,0))-100%))*$L$77)</f>
        <v>0</v>
      </c>
      <c r="M86" s="286"/>
      <c r="N86" s="286"/>
      <c r="O86" s="285"/>
      <c r="P86" s="285"/>
      <c r="Q86" s="285"/>
      <c r="R86" s="278"/>
      <c r="S86" s="278"/>
      <c r="T86" s="278"/>
    </row>
    <row r="87" spans="1:28" s="305" customFormat="1" hidden="1" outlineLevel="1" x14ac:dyDescent="0.25">
      <c r="A87" s="278"/>
      <c r="B87" s="279" t="str">
        <f t="shared" si="25"/>
        <v/>
      </c>
      <c r="C87" s="278"/>
      <c r="D87" s="278"/>
      <c r="E87" s="278"/>
      <c r="F87" s="278"/>
      <c r="G87" s="278"/>
      <c r="H87" s="290"/>
      <c r="I87" s="280">
        <f t="shared" si="26"/>
        <v>0</v>
      </c>
      <c r="J87" s="281">
        <f t="shared" si="27"/>
        <v>0</v>
      </c>
      <c r="K87" s="282">
        <f>IF(Notes!$B$9="Domestic",I87, IF(Notes!$B$9="Commercial",J87))*$K$77</f>
        <v>0</v>
      </c>
      <c r="L87" s="283">
        <f>IF(SUM(O87:Q87)=0,0,(SUM(O87:Q87)+(K87+SUM(M87:Q87))*(INDEX($U$77:$AB$77,MATCH(Notes!$C$16,$U$3:$AB$3,0))-100%))*$L$77)</f>
        <v>0</v>
      </c>
      <c r="M87" s="286"/>
      <c r="N87" s="286"/>
      <c r="O87" s="285"/>
      <c r="P87" s="285"/>
      <c r="Q87" s="285"/>
      <c r="R87" s="278"/>
      <c r="S87" s="278"/>
      <c r="T87" s="278"/>
    </row>
    <row r="88" spans="1:28" ht="21" hidden="1" outlineLevel="1" x14ac:dyDescent="0.25">
      <c r="A88" s="299"/>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row>
    <row r="89" spans="1:28" ht="15.75" hidden="1" outlineLevel="1" x14ac:dyDescent="0.25">
      <c r="A89" s="291"/>
      <c r="B89" s="291"/>
      <c r="C89" s="291"/>
      <c r="D89" s="291"/>
      <c r="E89" s="291"/>
      <c r="F89" s="291"/>
      <c r="G89" s="291"/>
      <c r="H89" s="291"/>
      <c r="I89" s="291"/>
      <c r="J89" s="291"/>
      <c r="K89" s="291">
        <f>K$2</f>
        <v>1</v>
      </c>
      <c r="L89" s="291">
        <f>L$2</f>
        <v>1</v>
      </c>
      <c r="M89" s="291"/>
      <c r="N89" s="291"/>
      <c r="O89" s="303"/>
      <c r="P89" s="303"/>
      <c r="Q89" s="303"/>
      <c r="R89" s="291"/>
      <c r="S89" s="291"/>
      <c r="T89" s="291"/>
      <c r="U89" s="291">
        <f>U$2</f>
        <v>1</v>
      </c>
      <c r="V89" s="291">
        <f>V$2</f>
        <v>1</v>
      </c>
      <c r="W89" s="291">
        <f t="shared" ref="W89:AB89" si="28">W$2</f>
        <v>1</v>
      </c>
      <c r="X89" s="291">
        <f t="shared" si="28"/>
        <v>1</v>
      </c>
      <c r="Y89" s="291">
        <f t="shared" si="28"/>
        <v>1</v>
      </c>
      <c r="Z89" s="291">
        <f t="shared" si="28"/>
        <v>1</v>
      </c>
      <c r="AA89" s="291">
        <f t="shared" si="28"/>
        <v>1</v>
      </c>
      <c r="AB89" s="291">
        <f t="shared" si="28"/>
        <v>1</v>
      </c>
    </row>
    <row r="90" spans="1:28" s="305" customFormat="1" hidden="1" outlineLevel="1" x14ac:dyDescent="0.25">
      <c r="A90" s="278"/>
      <c r="B90" s="279" t="str">
        <f>C90&amp;D90&amp;E90&amp;F90</f>
        <v/>
      </c>
      <c r="C90" s="278"/>
      <c r="D90" s="278"/>
      <c r="E90" s="278"/>
      <c r="F90" s="278"/>
      <c r="G90" s="278"/>
      <c r="H90" s="290"/>
      <c r="I90" s="280">
        <f>$I$2*H90</f>
        <v>0</v>
      </c>
      <c r="J90" s="281">
        <f>$J$2*H90</f>
        <v>0</v>
      </c>
      <c r="K90" s="282">
        <f>IF(Notes!$B$9="Domestic",I90, IF(Notes!$B$9="Commercial",J90))*$K$89</f>
        <v>0</v>
      </c>
      <c r="L90" s="283">
        <f>IF(SUM(O90:Q90)=0,0,(SUM(O90:Q90)+(K90+SUM(M90:Q90))*(INDEX($U$89:$AB$89,MATCH(Notes!$C$16,$U$3:$AB$3,0))-100%))*$L$89)</f>
        <v>0</v>
      </c>
      <c r="M90" s="286"/>
      <c r="N90" s="286"/>
      <c r="O90" s="285"/>
      <c r="P90" s="285"/>
      <c r="Q90" s="285"/>
      <c r="R90" s="278"/>
      <c r="S90" s="278"/>
      <c r="T90" s="278"/>
    </row>
    <row r="91" spans="1:28" s="305" customFormat="1" hidden="1" outlineLevel="1" x14ac:dyDescent="0.25">
      <c r="A91" s="278"/>
      <c r="B91" s="279" t="str">
        <f t="shared" ref="B91:B99" si="29">C91&amp;D91&amp;E91&amp;F91</f>
        <v/>
      </c>
      <c r="C91" s="278"/>
      <c r="D91" s="278"/>
      <c r="E91" s="278"/>
      <c r="F91" s="278"/>
      <c r="G91" s="278"/>
      <c r="H91" s="290"/>
      <c r="I91" s="280">
        <f t="shared" ref="I91:I99" si="30">$I$2*H91</f>
        <v>0</v>
      </c>
      <c r="J91" s="281">
        <f t="shared" ref="J91:J99" si="31">$J$2*H91</f>
        <v>0</v>
      </c>
      <c r="K91" s="282">
        <f>IF(Notes!$B$9="Domestic",I91, IF(Notes!$B$9="Commercial",J91))*$K$89</f>
        <v>0</v>
      </c>
      <c r="L91" s="283">
        <f>IF(SUM(O91:Q91)=0,0,(SUM(O91:Q91)+(K91+SUM(M91:Q91))*(INDEX($U$89:$AB$89,MATCH(Notes!$C$16,$U$3:$AB$3,0))-100%))*$L$89)</f>
        <v>0</v>
      </c>
      <c r="M91" s="286"/>
      <c r="N91" s="286"/>
      <c r="O91" s="285"/>
      <c r="P91" s="285"/>
      <c r="Q91" s="285"/>
      <c r="R91" s="278"/>
      <c r="S91" s="278"/>
      <c r="T91" s="278"/>
    </row>
    <row r="92" spans="1:28" s="305" customFormat="1" hidden="1" outlineLevel="1" x14ac:dyDescent="0.25">
      <c r="A92" s="278"/>
      <c r="B92" s="279" t="str">
        <f t="shared" si="29"/>
        <v/>
      </c>
      <c r="C92" s="278"/>
      <c r="D92" s="278"/>
      <c r="E92" s="278"/>
      <c r="F92" s="278"/>
      <c r="G92" s="278"/>
      <c r="H92" s="290"/>
      <c r="I92" s="280">
        <f t="shared" si="30"/>
        <v>0</v>
      </c>
      <c r="J92" s="281">
        <f t="shared" si="31"/>
        <v>0</v>
      </c>
      <c r="K92" s="282">
        <f>IF(Notes!$B$9="Domestic",I92, IF(Notes!$B$9="Commercial",J92))*$K$89</f>
        <v>0</v>
      </c>
      <c r="L92" s="283">
        <f>IF(SUM(O92:Q92)=0,0,(SUM(O92:Q92)+(K92+SUM(M92:Q92))*(INDEX($U$89:$AB$89,MATCH(Notes!$C$16,$U$3:$AB$3,0))-100%))*$L$89)</f>
        <v>0</v>
      </c>
      <c r="M92" s="286"/>
      <c r="N92" s="286"/>
      <c r="O92" s="285"/>
      <c r="P92" s="285"/>
      <c r="Q92" s="285"/>
      <c r="R92" s="278"/>
      <c r="S92" s="278"/>
      <c r="T92" s="278"/>
    </row>
    <row r="93" spans="1:28" s="305" customFormat="1" hidden="1" outlineLevel="1" x14ac:dyDescent="0.25">
      <c r="A93" s="278"/>
      <c r="B93" s="279" t="str">
        <f t="shared" si="29"/>
        <v/>
      </c>
      <c r="C93" s="278"/>
      <c r="D93" s="278"/>
      <c r="E93" s="278"/>
      <c r="F93" s="278"/>
      <c r="G93" s="278"/>
      <c r="H93" s="290"/>
      <c r="I93" s="280">
        <f t="shared" si="30"/>
        <v>0</v>
      </c>
      <c r="J93" s="281">
        <f t="shared" si="31"/>
        <v>0</v>
      </c>
      <c r="K93" s="282">
        <f>IF(Notes!$B$9="Domestic",I93, IF(Notes!$B$9="Commercial",J93))*$K$89</f>
        <v>0</v>
      </c>
      <c r="L93" s="283">
        <f>IF(SUM(O93:Q93)=0,0,(SUM(O93:Q93)+(K93+SUM(M93:Q93))*(INDEX($U$89:$AB$89,MATCH(Notes!$C$16,$U$3:$AB$3,0))-100%))*$L$89)</f>
        <v>0</v>
      </c>
      <c r="M93" s="286"/>
      <c r="N93" s="286"/>
      <c r="O93" s="285"/>
      <c r="P93" s="285"/>
      <c r="Q93" s="285"/>
      <c r="R93" s="278"/>
      <c r="S93" s="278"/>
      <c r="T93" s="278"/>
    </row>
    <row r="94" spans="1:28" s="305" customFormat="1" hidden="1" outlineLevel="1" x14ac:dyDescent="0.25">
      <c r="A94" s="278"/>
      <c r="B94" s="279" t="str">
        <f t="shared" si="29"/>
        <v/>
      </c>
      <c r="C94" s="278"/>
      <c r="D94" s="278"/>
      <c r="E94" s="278"/>
      <c r="F94" s="278"/>
      <c r="G94" s="278"/>
      <c r="H94" s="290"/>
      <c r="I94" s="280">
        <f>$I$2*H94</f>
        <v>0</v>
      </c>
      <c r="J94" s="281">
        <f t="shared" si="31"/>
        <v>0</v>
      </c>
      <c r="K94" s="282">
        <f>IF(Notes!$B$9="Domestic",I94, IF(Notes!$B$9="Commercial",J94))*$K$89</f>
        <v>0</v>
      </c>
      <c r="L94" s="283">
        <f>IF(SUM(O94:Q94)=0,0,(SUM(O94:Q94)+(K94+SUM(M94:Q94))*(INDEX($U$89:$AB$89,MATCH(Notes!$C$16,$U$3:$AB$3,0))-100%))*$L$89)</f>
        <v>0</v>
      </c>
      <c r="M94" s="286"/>
      <c r="N94" s="286"/>
      <c r="O94" s="285"/>
      <c r="P94" s="285"/>
      <c r="Q94" s="285"/>
      <c r="R94" s="278"/>
      <c r="S94" s="278"/>
      <c r="T94" s="278"/>
    </row>
    <row r="95" spans="1:28" s="305" customFormat="1" hidden="1" outlineLevel="1" x14ac:dyDescent="0.25">
      <c r="A95" s="278"/>
      <c r="B95" s="279" t="str">
        <f t="shared" si="29"/>
        <v/>
      </c>
      <c r="C95" s="278"/>
      <c r="D95" s="278"/>
      <c r="E95" s="278"/>
      <c r="F95" s="278"/>
      <c r="G95" s="278"/>
      <c r="H95" s="290"/>
      <c r="I95" s="280">
        <f t="shared" si="30"/>
        <v>0</v>
      </c>
      <c r="J95" s="281">
        <f t="shared" si="31"/>
        <v>0</v>
      </c>
      <c r="K95" s="282">
        <f>IF(Notes!$B$9="Domestic",I95, IF(Notes!$B$9="Commercial",J95))*$K$89</f>
        <v>0</v>
      </c>
      <c r="L95" s="283">
        <f>IF(SUM(O95:Q95)=0,0,(SUM(O95:Q95)+(K95+SUM(M95:Q95))*(INDEX($U$89:$AB$89,MATCH(Notes!$C$16,$U$3:$AB$3,0))-100%))*$L$89)</f>
        <v>0</v>
      </c>
      <c r="M95" s="286"/>
      <c r="N95" s="286"/>
      <c r="O95" s="285"/>
      <c r="P95" s="285"/>
      <c r="Q95" s="285"/>
      <c r="R95" s="278"/>
      <c r="S95" s="278"/>
      <c r="T95" s="278"/>
    </row>
    <row r="96" spans="1:28" s="305" customFormat="1" hidden="1" outlineLevel="1" x14ac:dyDescent="0.25">
      <c r="A96" s="278"/>
      <c r="B96" s="279" t="str">
        <f t="shared" si="29"/>
        <v/>
      </c>
      <c r="C96" s="278"/>
      <c r="D96" s="278"/>
      <c r="E96" s="278"/>
      <c r="F96" s="278"/>
      <c r="G96" s="278"/>
      <c r="H96" s="290"/>
      <c r="I96" s="280">
        <f t="shared" si="30"/>
        <v>0</v>
      </c>
      <c r="J96" s="281">
        <f t="shared" si="31"/>
        <v>0</v>
      </c>
      <c r="K96" s="282">
        <f>IF(Notes!$B$9="Domestic",I96, IF(Notes!$B$9="Commercial",J96))*$K$89</f>
        <v>0</v>
      </c>
      <c r="L96" s="283">
        <f>IF(SUM(O96:Q96)=0,0,(SUM(O96:Q96)+(K96+SUM(M96:Q96))*(INDEX($U$89:$AB$89,MATCH(Notes!$C$16,$U$3:$AB$3,0))-100%))*$L$89)</f>
        <v>0</v>
      </c>
      <c r="M96" s="286"/>
      <c r="N96" s="286"/>
      <c r="O96" s="285"/>
      <c r="P96" s="285"/>
      <c r="Q96" s="285"/>
      <c r="R96" s="278"/>
      <c r="S96" s="278"/>
      <c r="T96" s="278"/>
    </row>
    <row r="97" spans="1:28" s="305" customFormat="1" hidden="1" outlineLevel="1" x14ac:dyDescent="0.25">
      <c r="A97" s="278"/>
      <c r="B97" s="279" t="str">
        <f t="shared" si="29"/>
        <v/>
      </c>
      <c r="C97" s="278"/>
      <c r="D97" s="278"/>
      <c r="E97" s="278"/>
      <c r="F97" s="278"/>
      <c r="G97" s="278"/>
      <c r="H97" s="290"/>
      <c r="I97" s="280">
        <f t="shared" si="30"/>
        <v>0</v>
      </c>
      <c r="J97" s="281">
        <f t="shared" si="31"/>
        <v>0</v>
      </c>
      <c r="K97" s="282">
        <f>IF(Notes!$B$9="Domestic",I97, IF(Notes!$B$9="Commercial",J97))*$K$89</f>
        <v>0</v>
      </c>
      <c r="L97" s="283">
        <f>IF(SUM(O97:Q97)=0,0,(SUM(O97:Q97)+(K97+SUM(M97:Q97))*(INDEX($U$89:$AB$89,MATCH(Notes!$C$16,$U$3:$AB$3,0))-100%))*$L$89)</f>
        <v>0</v>
      </c>
      <c r="M97" s="286"/>
      <c r="N97" s="286"/>
      <c r="O97" s="285"/>
      <c r="P97" s="285"/>
      <c r="Q97" s="285"/>
      <c r="R97" s="278"/>
      <c r="S97" s="278"/>
      <c r="T97" s="278"/>
    </row>
    <row r="98" spans="1:28" s="305" customFormat="1" hidden="1" outlineLevel="1" x14ac:dyDescent="0.25">
      <c r="A98" s="278"/>
      <c r="B98" s="279" t="str">
        <f t="shared" si="29"/>
        <v/>
      </c>
      <c r="C98" s="278"/>
      <c r="D98" s="278"/>
      <c r="E98" s="278"/>
      <c r="F98" s="278"/>
      <c r="G98" s="278"/>
      <c r="H98" s="290"/>
      <c r="I98" s="280">
        <f t="shared" si="30"/>
        <v>0</v>
      </c>
      <c r="J98" s="281">
        <f t="shared" si="31"/>
        <v>0</v>
      </c>
      <c r="K98" s="282">
        <f>IF(Notes!$B$9="Domestic",I98, IF(Notes!$B$9="Commercial",J98))*$K$89</f>
        <v>0</v>
      </c>
      <c r="L98" s="283">
        <f>IF(SUM(O98:Q98)=0,0,(SUM(O98:Q98)+(K98+SUM(M98:Q98))*(INDEX($U$89:$AB$89,MATCH(Notes!$C$16,$U$3:$AB$3,0))-100%))*$L$89)</f>
        <v>0</v>
      </c>
      <c r="M98" s="286"/>
      <c r="N98" s="286"/>
      <c r="O98" s="285"/>
      <c r="P98" s="285"/>
      <c r="Q98" s="285"/>
      <c r="R98" s="278"/>
      <c r="S98" s="278"/>
      <c r="T98" s="278"/>
    </row>
    <row r="99" spans="1:28" s="305" customFormat="1" hidden="1" outlineLevel="1" x14ac:dyDescent="0.25">
      <c r="A99" s="278"/>
      <c r="B99" s="279" t="str">
        <f t="shared" si="29"/>
        <v/>
      </c>
      <c r="C99" s="278"/>
      <c r="D99" s="278"/>
      <c r="E99" s="278"/>
      <c r="F99" s="278"/>
      <c r="G99" s="278"/>
      <c r="H99" s="290"/>
      <c r="I99" s="280">
        <f t="shared" si="30"/>
        <v>0</v>
      </c>
      <c r="J99" s="281">
        <f t="shared" si="31"/>
        <v>0</v>
      </c>
      <c r="K99" s="282">
        <f>IF(Notes!$B$9="Domestic",I99, IF(Notes!$B$9="Commercial",J99))*$K$89</f>
        <v>0</v>
      </c>
      <c r="L99" s="283">
        <f>IF(SUM(O99:Q99)=0,0,(SUM(O99:Q99)+(K99+SUM(M99:Q99))*(INDEX($U$89:$AB$89,MATCH(Notes!$C$16,$U$3:$AB$3,0))-100%))*$L$89)</f>
        <v>0</v>
      </c>
      <c r="M99" s="286"/>
      <c r="N99" s="286"/>
      <c r="O99" s="285"/>
      <c r="P99" s="285"/>
      <c r="Q99" s="285"/>
      <c r="R99" s="278"/>
      <c r="S99" s="278"/>
      <c r="T99" s="278"/>
    </row>
    <row r="100" spans="1:28" ht="21" hidden="1" outlineLevel="1" x14ac:dyDescent="0.25">
      <c r="A100" s="299"/>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row>
    <row r="101" spans="1:28" ht="15.75" hidden="1" outlineLevel="1" x14ac:dyDescent="0.25">
      <c r="A101" s="291"/>
      <c r="B101" s="291"/>
      <c r="C101" s="291"/>
      <c r="D101" s="291"/>
      <c r="E101" s="291"/>
      <c r="F101" s="291"/>
      <c r="G101" s="291"/>
      <c r="H101" s="291"/>
      <c r="I101" s="291"/>
      <c r="J101" s="291"/>
      <c r="K101" s="291">
        <f>K$2</f>
        <v>1</v>
      </c>
      <c r="L101" s="291">
        <f>L$2</f>
        <v>1</v>
      </c>
      <c r="M101" s="291"/>
      <c r="N101" s="291"/>
      <c r="O101" s="303"/>
      <c r="P101" s="303"/>
      <c r="Q101" s="303"/>
      <c r="R101" s="291"/>
      <c r="S101" s="291"/>
      <c r="T101" s="291"/>
      <c r="U101" s="291">
        <f>U$2</f>
        <v>1</v>
      </c>
      <c r="V101" s="291">
        <f>V$2</f>
        <v>1</v>
      </c>
      <c r="W101" s="291">
        <f t="shared" ref="W101:AB101" si="32">W$2</f>
        <v>1</v>
      </c>
      <c r="X101" s="291">
        <f t="shared" si="32"/>
        <v>1</v>
      </c>
      <c r="Y101" s="291">
        <f t="shared" si="32"/>
        <v>1</v>
      </c>
      <c r="Z101" s="291">
        <f t="shared" si="32"/>
        <v>1</v>
      </c>
      <c r="AA101" s="291">
        <f t="shared" si="32"/>
        <v>1</v>
      </c>
      <c r="AB101" s="291">
        <f t="shared" si="32"/>
        <v>1</v>
      </c>
    </row>
    <row r="102" spans="1:28" s="305" customFormat="1" hidden="1" outlineLevel="1" x14ac:dyDescent="0.25">
      <c r="A102" s="278"/>
      <c r="B102" s="279" t="str">
        <f>C102&amp;D102&amp;E102&amp;F102</f>
        <v/>
      </c>
      <c r="C102" s="278"/>
      <c r="D102" s="278"/>
      <c r="E102" s="278"/>
      <c r="F102" s="278"/>
      <c r="G102" s="278"/>
      <c r="H102" s="290"/>
      <c r="I102" s="280">
        <f>$I$2*H102</f>
        <v>0</v>
      </c>
      <c r="J102" s="281">
        <f>$J$2*H102</f>
        <v>0</v>
      </c>
      <c r="K102" s="282">
        <f>IF(Notes!$B$9="Domestic",I102, IF(Notes!$B$9="Commercial",J102))*$K$101</f>
        <v>0</v>
      </c>
      <c r="L102" s="283">
        <f>IF(SUM(O102:Q102)=0,0,(SUM(O102:Q102)+(K102+SUM(M102:Q102))*(INDEX($U$101:$AB$101,MATCH(Notes!$C$16,$U$3:$AB$3,0))-100%))*$L$101)</f>
        <v>0</v>
      </c>
      <c r="M102" s="286"/>
      <c r="N102" s="286"/>
      <c r="O102" s="285"/>
      <c r="P102" s="285"/>
      <c r="Q102" s="285"/>
      <c r="R102" s="278"/>
      <c r="S102" s="278"/>
      <c r="T102" s="278"/>
    </row>
    <row r="103" spans="1:28" s="305" customFormat="1" hidden="1" outlineLevel="1" x14ac:dyDescent="0.25">
      <c r="A103" s="278"/>
      <c r="B103" s="279" t="str">
        <f t="shared" ref="B103:B111" si="33">C103&amp;D103&amp;E103&amp;F103</f>
        <v/>
      </c>
      <c r="C103" s="278"/>
      <c r="D103" s="278"/>
      <c r="E103" s="278"/>
      <c r="F103" s="278"/>
      <c r="G103" s="278"/>
      <c r="H103" s="290"/>
      <c r="I103" s="280">
        <f t="shared" ref="I103:I111" si="34">$I$2*H103</f>
        <v>0</v>
      </c>
      <c r="J103" s="281">
        <f t="shared" ref="J103:J111" si="35">$J$2*H103</f>
        <v>0</v>
      </c>
      <c r="K103" s="282">
        <f>IF(Notes!$B$9="Domestic",I103, IF(Notes!$B$9="Commercial",J103))*$K$101</f>
        <v>0</v>
      </c>
      <c r="L103" s="283">
        <f>IF(SUM(O103:Q103)=0,0,(SUM(O103:Q103)+(K103+SUM(M103:Q103))*(INDEX($U$101:$AB$101,MATCH(Notes!$C$16,$U$3:$AB$3,0))-100%))*$L$101)</f>
        <v>0</v>
      </c>
      <c r="M103" s="286"/>
      <c r="N103" s="286"/>
      <c r="O103" s="285"/>
      <c r="P103" s="285"/>
      <c r="Q103" s="285"/>
      <c r="R103" s="278"/>
      <c r="S103" s="278"/>
      <c r="T103" s="278"/>
    </row>
    <row r="104" spans="1:28" s="305" customFormat="1" hidden="1" outlineLevel="1" x14ac:dyDescent="0.25">
      <c r="A104" s="278"/>
      <c r="B104" s="279" t="str">
        <f t="shared" si="33"/>
        <v/>
      </c>
      <c r="C104" s="278"/>
      <c r="D104" s="278"/>
      <c r="E104" s="278"/>
      <c r="F104" s="278"/>
      <c r="G104" s="278"/>
      <c r="H104" s="290"/>
      <c r="I104" s="280">
        <f t="shared" si="34"/>
        <v>0</v>
      </c>
      <c r="J104" s="281">
        <f t="shared" si="35"/>
        <v>0</v>
      </c>
      <c r="K104" s="282">
        <f>IF(Notes!$B$9="Domestic",I104, IF(Notes!$B$9="Commercial",J104))*$K$101</f>
        <v>0</v>
      </c>
      <c r="L104" s="283">
        <f>IF(SUM(O104:Q104)=0,0,(SUM(O104:Q104)+(K104+SUM(M104:Q104))*(INDEX($U$101:$AB$101,MATCH(Notes!$C$16,$U$3:$AB$3,0))-100%))*$L$101)</f>
        <v>0</v>
      </c>
      <c r="M104" s="286"/>
      <c r="N104" s="286"/>
      <c r="O104" s="285"/>
      <c r="P104" s="285"/>
      <c r="Q104" s="285"/>
      <c r="R104" s="278"/>
      <c r="S104" s="278"/>
      <c r="T104" s="278"/>
    </row>
    <row r="105" spans="1:28" s="305" customFormat="1" hidden="1" outlineLevel="1" x14ac:dyDescent="0.25">
      <c r="A105" s="278"/>
      <c r="B105" s="279" t="str">
        <f t="shared" si="33"/>
        <v/>
      </c>
      <c r="C105" s="278"/>
      <c r="D105" s="278"/>
      <c r="E105" s="278"/>
      <c r="F105" s="278"/>
      <c r="G105" s="278"/>
      <c r="H105" s="290"/>
      <c r="I105" s="280">
        <f t="shared" si="34"/>
        <v>0</v>
      </c>
      <c r="J105" s="281">
        <f t="shared" si="35"/>
        <v>0</v>
      </c>
      <c r="K105" s="282">
        <f>IF(Notes!$B$9="Domestic",I105, IF(Notes!$B$9="Commercial",J105))*$K$101</f>
        <v>0</v>
      </c>
      <c r="L105" s="283">
        <f>IF(SUM(O105:Q105)=0,0,(SUM(O105:Q105)+(K105+SUM(M105:Q105))*(INDEX($U$101:$AB$101,MATCH(Notes!$C$16,$U$3:$AB$3,0))-100%))*$L$101)</f>
        <v>0</v>
      </c>
      <c r="M105" s="286"/>
      <c r="N105" s="286"/>
      <c r="O105" s="285"/>
      <c r="P105" s="285"/>
      <c r="Q105" s="285"/>
      <c r="R105" s="278"/>
      <c r="S105" s="278"/>
      <c r="T105" s="278"/>
    </row>
    <row r="106" spans="1:28" s="305" customFormat="1" hidden="1" outlineLevel="1" x14ac:dyDescent="0.25">
      <c r="A106" s="278"/>
      <c r="B106" s="279" t="str">
        <f t="shared" si="33"/>
        <v/>
      </c>
      <c r="C106" s="278"/>
      <c r="D106" s="278"/>
      <c r="E106" s="278"/>
      <c r="F106" s="278"/>
      <c r="G106" s="278"/>
      <c r="H106" s="290"/>
      <c r="I106" s="280">
        <f>$I$2*H106</f>
        <v>0</v>
      </c>
      <c r="J106" s="281">
        <f t="shared" si="35"/>
        <v>0</v>
      </c>
      <c r="K106" s="282">
        <f>IF(Notes!$B$9="Domestic",I106, IF(Notes!$B$9="Commercial",J106))*$K$101</f>
        <v>0</v>
      </c>
      <c r="L106" s="283">
        <f>IF(SUM(O106:Q106)=0,0,(SUM(O106:Q106)+(K106+SUM(M106:Q106))*(INDEX($U$101:$AB$101,MATCH(Notes!$C$16,$U$3:$AB$3,0))-100%))*$L$101)</f>
        <v>0</v>
      </c>
      <c r="M106" s="286"/>
      <c r="N106" s="286"/>
      <c r="O106" s="285"/>
      <c r="P106" s="285"/>
      <c r="Q106" s="285"/>
      <c r="R106" s="278"/>
      <c r="S106" s="278"/>
      <c r="T106" s="278"/>
    </row>
    <row r="107" spans="1:28" s="305" customFormat="1" hidden="1" outlineLevel="1" x14ac:dyDescent="0.25">
      <c r="A107" s="278"/>
      <c r="B107" s="279" t="str">
        <f t="shared" si="33"/>
        <v/>
      </c>
      <c r="C107" s="278"/>
      <c r="D107" s="278"/>
      <c r="E107" s="278"/>
      <c r="F107" s="278"/>
      <c r="G107" s="278"/>
      <c r="H107" s="290"/>
      <c r="I107" s="280">
        <f t="shared" si="34"/>
        <v>0</v>
      </c>
      <c r="J107" s="281">
        <f t="shared" si="35"/>
        <v>0</v>
      </c>
      <c r="K107" s="282">
        <f>IF(Notes!$B$9="Domestic",I107, IF(Notes!$B$9="Commercial",J107))*$K$101</f>
        <v>0</v>
      </c>
      <c r="L107" s="283">
        <f>IF(SUM(O107:Q107)=0,0,(SUM(O107:Q107)+(K107+SUM(M107:Q107))*(INDEX($U$101:$AB$101,MATCH(Notes!$C$16,$U$3:$AB$3,0))-100%))*$L$101)</f>
        <v>0</v>
      </c>
      <c r="M107" s="286"/>
      <c r="N107" s="286"/>
      <c r="O107" s="285"/>
      <c r="P107" s="285"/>
      <c r="Q107" s="285"/>
      <c r="R107" s="278"/>
      <c r="S107" s="278"/>
      <c r="T107" s="278"/>
    </row>
    <row r="108" spans="1:28" s="305" customFormat="1" hidden="1" outlineLevel="1" x14ac:dyDescent="0.25">
      <c r="A108" s="278"/>
      <c r="B108" s="279" t="str">
        <f t="shared" si="33"/>
        <v/>
      </c>
      <c r="C108" s="278"/>
      <c r="D108" s="278"/>
      <c r="E108" s="278"/>
      <c r="F108" s="278"/>
      <c r="G108" s="278"/>
      <c r="H108" s="290"/>
      <c r="I108" s="280">
        <f t="shared" si="34"/>
        <v>0</v>
      </c>
      <c r="J108" s="281">
        <f t="shared" si="35"/>
        <v>0</v>
      </c>
      <c r="K108" s="282">
        <f>IF(Notes!$B$9="Domestic",I108, IF(Notes!$B$9="Commercial",J108))*$K$101</f>
        <v>0</v>
      </c>
      <c r="L108" s="283">
        <f>IF(SUM(O108:Q108)=0,0,(SUM(O108:Q108)+(K108+SUM(M108:Q108))*(INDEX($U$101:$AB$101,MATCH(Notes!$C$16,$U$3:$AB$3,0))-100%))*$L$101)</f>
        <v>0</v>
      </c>
      <c r="M108" s="286"/>
      <c r="N108" s="286"/>
      <c r="O108" s="285"/>
      <c r="P108" s="285"/>
      <c r="Q108" s="285"/>
      <c r="R108" s="278"/>
      <c r="S108" s="278"/>
      <c r="T108" s="278"/>
    </row>
    <row r="109" spans="1:28" s="305" customFormat="1" hidden="1" outlineLevel="1" x14ac:dyDescent="0.25">
      <c r="A109" s="278"/>
      <c r="B109" s="279" t="str">
        <f t="shared" si="33"/>
        <v/>
      </c>
      <c r="C109" s="278"/>
      <c r="D109" s="278"/>
      <c r="E109" s="278"/>
      <c r="F109" s="278"/>
      <c r="G109" s="278"/>
      <c r="H109" s="290"/>
      <c r="I109" s="280">
        <f t="shared" si="34"/>
        <v>0</v>
      </c>
      <c r="J109" s="281">
        <f t="shared" si="35"/>
        <v>0</v>
      </c>
      <c r="K109" s="282">
        <f>IF(Notes!$B$9="Domestic",I109, IF(Notes!$B$9="Commercial",J109))*$K$101</f>
        <v>0</v>
      </c>
      <c r="L109" s="283">
        <f>IF(SUM(O109:Q109)=0,0,(SUM(O109:Q109)+(K109+SUM(M109:Q109))*(INDEX($U$101:$AB$101,MATCH(Notes!$C$16,$U$3:$AB$3,0))-100%))*$L$101)</f>
        <v>0</v>
      </c>
      <c r="M109" s="286"/>
      <c r="N109" s="286"/>
      <c r="O109" s="285"/>
      <c r="P109" s="285"/>
      <c r="Q109" s="285"/>
      <c r="R109" s="278"/>
      <c r="S109" s="278"/>
      <c r="T109" s="278"/>
    </row>
    <row r="110" spans="1:28" s="305" customFormat="1" hidden="1" outlineLevel="1" x14ac:dyDescent="0.25">
      <c r="A110" s="278"/>
      <c r="B110" s="279" t="str">
        <f t="shared" si="33"/>
        <v/>
      </c>
      <c r="C110" s="278"/>
      <c r="D110" s="278"/>
      <c r="E110" s="278"/>
      <c r="F110" s="278"/>
      <c r="G110" s="278"/>
      <c r="H110" s="290"/>
      <c r="I110" s="280">
        <f t="shared" si="34"/>
        <v>0</v>
      </c>
      <c r="J110" s="281">
        <f t="shared" si="35"/>
        <v>0</v>
      </c>
      <c r="K110" s="282">
        <f>IF(Notes!$B$9="Domestic",I110, IF(Notes!$B$9="Commercial",J110))*$K$101</f>
        <v>0</v>
      </c>
      <c r="L110" s="283">
        <f>IF(SUM(O110:Q110)=0,0,(SUM(O110:Q110)+(K110+SUM(M110:Q110))*(INDEX($U$101:$AB$101,MATCH(Notes!$C$16,$U$3:$AB$3,0))-100%))*$L$101)</f>
        <v>0</v>
      </c>
      <c r="M110" s="286"/>
      <c r="N110" s="286"/>
      <c r="O110" s="285"/>
      <c r="P110" s="285"/>
      <c r="Q110" s="285"/>
      <c r="R110" s="278"/>
      <c r="S110" s="278"/>
      <c r="T110" s="278"/>
    </row>
    <row r="111" spans="1:28" s="305" customFormat="1" hidden="1" outlineLevel="1" x14ac:dyDescent="0.25">
      <c r="A111" s="278"/>
      <c r="B111" s="279" t="str">
        <f t="shared" si="33"/>
        <v/>
      </c>
      <c r="C111" s="278"/>
      <c r="D111" s="278"/>
      <c r="E111" s="278"/>
      <c r="F111" s="278"/>
      <c r="G111" s="278"/>
      <c r="H111" s="290"/>
      <c r="I111" s="280">
        <f t="shared" si="34"/>
        <v>0</v>
      </c>
      <c r="J111" s="281">
        <f t="shared" si="35"/>
        <v>0</v>
      </c>
      <c r="K111" s="282">
        <f>IF(Notes!$B$9="Domestic",I111, IF(Notes!$B$9="Commercial",J111))*$K$101</f>
        <v>0</v>
      </c>
      <c r="L111" s="283">
        <f>IF(SUM(O111:Q111)=0,0,(SUM(O111:Q111)+(K111+SUM(M111:Q111))*(INDEX($U$101:$AB$101,MATCH(Notes!$C$16,$U$3:$AB$3,0))-100%))*$L$101)</f>
        <v>0</v>
      </c>
      <c r="M111" s="286"/>
      <c r="N111" s="286"/>
      <c r="O111" s="285"/>
      <c r="P111" s="285"/>
      <c r="Q111" s="285"/>
      <c r="R111" s="278"/>
      <c r="S111" s="278"/>
      <c r="T111" s="278"/>
    </row>
    <row r="112" spans="1:28" ht="21" hidden="1" outlineLevel="1" x14ac:dyDescent="0.25">
      <c r="A112" s="299"/>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row>
    <row r="113" spans="1:28" ht="15.75" hidden="1" outlineLevel="1" x14ac:dyDescent="0.25">
      <c r="A113" s="291"/>
      <c r="B113" s="291"/>
      <c r="C113" s="291"/>
      <c r="D113" s="291"/>
      <c r="E113" s="291"/>
      <c r="F113" s="291"/>
      <c r="G113" s="291"/>
      <c r="H113" s="291"/>
      <c r="I113" s="291"/>
      <c r="J113" s="291"/>
      <c r="K113" s="291">
        <f>K$2</f>
        <v>1</v>
      </c>
      <c r="L113" s="291">
        <f>L$2</f>
        <v>1</v>
      </c>
      <c r="M113" s="291"/>
      <c r="N113" s="291"/>
      <c r="O113" s="303"/>
      <c r="P113" s="303"/>
      <c r="Q113" s="303"/>
      <c r="R113" s="291"/>
      <c r="S113" s="291"/>
      <c r="T113" s="291"/>
      <c r="U113" s="291">
        <f>U$2</f>
        <v>1</v>
      </c>
      <c r="V113" s="291">
        <f>V$2</f>
        <v>1</v>
      </c>
      <c r="W113" s="291">
        <f t="shared" ref="W113:AB113" si="36">W$2</f>
        <v>1</v>
      </c>
      <c r="X113" s="291">
        <f t="shared" si="36"/>
        <v>1</v>
      </c>
      <c r="Y113" s="291">
        <f t="shared" si="36"/>
        <v>1</v>
      </c>
      <c r="Z113" s="291">
        <f t="shared" si="36"/>
        <v>1</v>
      </c>
      <c r="AA113" s="291">
        <f t="shared" si="36"/>
        <v>1</v>
      </c>
      <c r="AB113" s="291">
        <f t="shared" si="36"/>
        <v>1</v>
      </c>
    </row>
    <row r="114" spans="1:28" s="305" customFormat="1" hidden="1" outlineLevel="1" x14ac:dyDescent="0.25">
      <c r="A114" s="278"/>
      <c r="B114" s="279" t="str">
        <f>C114&amp;D114&amp;E114&amp;F114</f>
        <v/>
      </c>
      <c r="C114" s="278"/>
      <c r="D114" s="278"/>
      <c r="E114" s="278"/>
      <c r="F114" s="278"/>
      <c r="G114" s="278"/>
      <c r="H114" s="290"/>
      <c r="I114" s="280">
        <f>$I$2*H114</f>
        <v>0</v>
      </c>
      <c r="J114" s="281">
        <f>$J$2*H114</f>
        <v>0</v>
      </c>
      <c r="K114" s="282">
        <f>IF(Notes!$B$9="Domestic",I114, IF(Notes!$B$9="Commercial",J114))*$K$113</f>
        <v>0</v>
      </c>
      <c r="L114" s="283">
        <f>IF(SUM(O114:Q114)=0,0,(SUM(O114:Q114)+(K114+SUM(M114:Q114))*(INDEX($U$113:$AB$113,MATCH(Notes!$C$16,$U$3:$AB$3,0))-100%))*$L$113)</f>
        <v>0</v>
      </c>
      <c r="M114" s="286"/>
      <c r="N114" s="286"/>
      <c r="O114" s="285"/>
      <c r="P114" s="285"/>
      <c r="Q114" s="285"/>
      <c r="R114" s="278"/>
      <c r="S114" s="278"/>
      <c r="T114" s="278"/>
    </row>
    <row r="115" spans="1:28" s="305" customFormat="1" hidden="1" outlineLevel="1" x14ac:dyDescent="0.25">
      <c r="A115" s="278"/>
      <c r="B115" s="279" t="str">
        <f t="shared" ref="B115:B123" si="37">C115&amp;D115&amp;E115&amp;F115</f>
        <v/>
      </c>
      <c r="C115" s="278"/>
      <c r="D115" s="278"/>
      <c r="E115" s="278"/>
      <c r="F115" s="278"/>
      <c r="G115" s="278"/>
      <c r="H115" s="290"/>
      <c r="I115" s="280">
        <f t="shared" ref="I115:I117" si="38">$I$2*H115</f>
        <v>0</v>
      </c>
      <c r="J115" s="281">
        <f t="shared" ref="J115:J123" si="39">$J$2*H115</f>
        <v>0</v>
      </c>
      <c r="K115" s="282">
        <f>IF(Notes!$B$9="Domestic",I115, IF(Notes!$B$9="Commercial",J115))*$K$113</f>
        <v>0</v>
      </c>
      <c r="L115" s="283">
        <f>IF(SUM(O115:Q115)=0,0,(SUM(O115:Q115)+(K115+SUM(M115:Q115))*(INDEX($U$113:$AB$113,MATCH(Notes!$C$16,$U$3:$AB$3,0))-100%))*$L$113)</f>
        <v>0</v>
      </c>
      <c r="M115" s="286"/>
      <c r="N115" s="286"/>
      <c r="O115" s="285"/>
      <c r="P115" s="285"/>
      <c r="Q115" s="285"/>
      <c r="R115" s="278"/>
      <c r="S115" s="278"/>
      <c r="T115" s="278"/>
    </row>
    <row r="116" spans="1:28" s="305" customFormat="1" hidden="1" outlineLevel="1" x14ac:dyDescent="0.25">
      <c r="A116" s="278"/>
      <c r="B116" s="279" t="str">
        <f t="shared" si="37"/>
        <v/>
      </c>
      <c r="C116" s="278"/>
      <c r="D116" s="278"/>
      <c r="E116" s="278"/>
      <c r="F116" s="278"/>
      <c r="G116" s="278"/>
      <c r="H116" s="290"/>
      <c r="I116" s="280">
        <f t="shared" si="38"/>
        <v>0</v>
      </c>
      <c r="J116" s="281">
        <f t="shared" si="39"/>
        <v>0</v>
      </c>
      <c r="K116" s="282">
        <f>IF(Notes!$B$9="Domestic",I116, IF(Notes!$B$9="Commercial",J116))*$K$113</f>
        <v>0</v>
      </c>
      <c r="L116" s="283">
        <f>IF(SUM(O116:Q116)=0,0,(SUM(O116:Q116)+(K116+SUM(M116:Q116))*(INDEX($U$113:$AB$113,MATCH(Notes!$C$16,$U$3:$AB$3,0))-100%))*$L$113)</f>
        <v>0</v>
      </c>
      <c r="M116" s="286"/>
      <c r="N116" s="286"/>
      <c r="O116" s="285"/>
      <c r="P116" s="285"/>
      <c r="Q116" s="285"/>
      <c r="R116" s="278"/>
      <c r="S116" s="278"/>
      <c r="T116" s="278"/>
    </row>
    <row r="117" spans="1:28" s="305" customFormat="1" hidden="1" outlineLevel="1" x14ac:dyDescent="0.25">
      <c r="A117" s="278"/>
      <c r="B117" s="279" t="str">
        <f t="shared" si="37"/>
        <v/>
      </c>
      <c r="C117" s="278"/>
      <c r="D117" s="278"/>
      <c r="E117" s="278"/>
      <c r="F117" s="278"/>
      <c r="G117" s="278"/>
      <c r="H117" s="290"/>
      <c r="I117" s="280">
        <f t="shared" si="38"/>
        <v>0</v>
      </c>
      <c r="J117" s="281">
        <f t="shared" si="39"/>
        <v>0</v>
      </c>
      <c r="K117" s="282">
        <f>IF(Notes!$B$9="Domestic",I117, IF(Notes!$B$9="Commercial",J117))*$K$113</f>
        <v>0</v>
      </c>
      <c r="L117" s="283">
        <f>IF(SUM(O117:Q117)=0,0,(SUM(O117:Q117)+(K117+SUM(M117:Q117))*(INDEX($U$113:$AB$113,MATCH(Notes!$C$16,$U$3:$AB$3,0))-100%))*$L$113)</f>
        <v>0</v>
      </c>
      <c r="M117" s="286"/>
      <c r="N117" s="286"/>
      <c r="O117" s="285"/>
      <c r="P117" s="285"/>
      <c r="Q117" s="285"/>
      <c r="R117" s="278"/>
      <c r="S117" s="278"/>
      <c r="T117" s="278"/>
    </row>
    <row r="118" spans="1:28" s="305" customFormat="1" hidden="1" outlineLevel="1" x14ac:dyDescent="0.25">
      <c r="A118" s="278"/>
      <c r="B118" s="279" t="str">
        <f t="shared" si="37"/>
        <v/>
      </c>
      <c r="C118" s="278"/>
      <c r="D118" s="278"/>
      <c r="E118" s="278"/>
      <c r="F118" s="278"/>
      <c r="G118" s="278"/>
      <c r="H118" s="290"/>
      <c r="I118" s="280">
        <f>$I$2*H118</f>
        <v>0</v>
      </c>
      <c r="J118" s="281">
        <f t="shared" si="39"/>
        <v>0</v>
      </c>
      <c r="K118" s="282">
        <f>IF(Notes!$B$9="Domestic",I118, IF(Notes!$B$9="Commercial",J118))*$K$113</f>
        <v>0</v>
      </c>
      <c r="L118" s="283">
        <f>IF(SUM(O118:Q118)=0,0,(SUM(O118:Q118)+(K118+SUM(M118:Q118))*(INDEX($U$113:$AB$113,MATCH(Notes!$C$16,$U$3:$AB$3,0))-100%))*$L$113)</f>
        <v>0</v>
      </c>
      <c r="M118" s="286"/>
      <c r="N118" s="286"/>
      <c r="O118" s="285"/>
      <c r="P118" s="285"/>
      <c r="Q118" s="285"/>
      <c r="R118" s="278"/>
      <c r="S118" s="278"/>
      <c r="T118" s="278"/>
    </row>
    <row r="119" spans="1:28" s="305" customFormat="1" hidden="1" outlineLevel="1" x14ac:dyDescent="0.25">
      <c r="A119" s="278"/>
      <c r="B119" s="279" t="str">
        <f t="shared" si="37"/>
        <v/>
      </c>
      <c r="C119" s="278"/>
      <c r="D119" s="278"/>
      <c r="E119" s="278"/>
      <c r="F119" s="278"/>
      <c r="G119" s="278"/>
      <c r="H119" s="290"/>
      <c r="I119" s="280">
        <f t="shared" ref="I119:I123" si="40">$I$2*H119</f>
        <v>0</v>
      </c>
      <c r="J119" s="281">
        <f t="shared" si="39"/>
        <v>0</v>
      </c>
      <c r="K119" s="282">
        <f>IF(Notes!$B$9="Domestic",I119, IF(Notes!$B$9="Commercial",J119))*$K$113</f>
        <v>0</v>
      </c>
      <c r="L119" s="283">
        <f>IF(SUM(O119:Q119)=0,0,(SUM(O119:Q119)+(K119+SUM(M119:Q119))*(INDEX($U$113:$AB$113,MATCH(Notes!$C$16,$U$3:$AB$3,0))-100%))*$L$113)</f>
        <v>0</v>
      </c>
      <c r="M119" s="286"/>
      <c r="N119" s="286"/>
      <c r="O119" s="285"/>
      <c r="P119" s="285"/>
      <c r="Q119" s="285"/>
      <c r="R119" s="278"/>
      <c r="S119" s="278"/>
      <c r="T119" s="278"/>
    </row>
    <row r="120" spans="1:28" s="305" customFormat="1" hidden="1" outlineLevel="1" x14ac:dyDescent="0.25">
      <c r="A120" s="278"/>
      <c r="B120" s="279" t="str">
        <f t="shared" si="37"/>
        <v/>
      </c>
      <c r="C120" s="278"/>
      <c r="D120" s="278"/>
      <c r="E120" s="278"/>
      <c r="F120" s="278"/>
      <c r="G120" s="278"/>
      <c r="H120" s="290"/>
      <c r="I120" s="280">
        <f t="shared" si="40"/>
        <v>0</v>
      </c>
      <c r="J120" s="281">
        <f t="shared" si="39"/>
        <v>0</v>
      </c>
      <c r="K120" s="282">
        <f>IF(Notes!$B$9="Domestic",I120, IF(Notes!$B$9="Commercial",J120))*$K$113</f>
        <v>0</v>
      </c>
      <c r="L120" s="283">
        <f>IF(SUM(O120:Q120)=0,0,(SUM(O120:Q120)+(K120+SUM(M120:Q120))*(INDEX($U$113:$AB$113,MATCH(Notes!$C$16,$U$3:$AB$3,0))-100%))*$L$113)</f>
        <v>0</v>
      </c>
      <c r="M120" s="286"/>
      <c r="N120" s="286"/>
      <c r="O120" s="285"/>
      <c r="P120" s="285"/>
      <c r="Q120" s="285"/>
      <c r="R120" s="278"/>
      <c r="S120" s="278"/>
      <c r="T120" s="278"/>
    </row>
    <row r="121" spans="1:28" s="305" customFormat="1" hidden="1" outlineLevel="1" x14ac:dyDescent="0.25">
      <c r="A121" s="278"/>
      <c r="B121" s="279" t="str">
        <f t="shared" si="37"/>
        <v/>
      </c>
      <c r="C121" s="278"/>
      <c r="D121" s="278"/>
      <c r="E121" s="278"/>
      <c r="F121" s="278"/>
      <c r="G121" s="278"/>
      <c r="H121" s="290"/>
      <c r="I121" s="280">
        <f t="shared" si="40"/>
        <v>0</v>
      </c>
      <c r="J121" s="281">
        <f t="shared" si="39"/>
        <v>0</v>
      </c>
      <c r="K121" s="282">
        <f>IF(Notes!$B$9="Domestic",I121, IF(Notes!$B$9="Commercial",J121))*$K$113</f>
        <v>0</v>
      </c>
      <c r="L121" s="283">
        <f>IF(SUM(O121:Q121)=0,0,(SUM(O121:Q121)+(K121+SUM(M121:Q121))*(INDEX($U$113:$AB$113,MATCH(Notes!$C$16,$U$3:$AB$3,0))-100%))*$L$113)</f>
        <v>0</v>
      </c>
      <c r="M121" s="286"/>
      <c r="N121" s="286"/>
      <c r="O121" s="285"/>
      <c r="P121" s="285"/>
      <c r="Q121" s="285"/>
      <c r="R121" s="278"/>
      <c r="S121" s="278"/>
      <c r="T121" s="278"/>
    </row>
    <row r="122" spans="1:28" s="305" customFormat="1" hidden="1" outlineLevel="1" x14ac:dyDescent="0.25">
      <c r="A122" s="278"/>
      <c r="B122" s="279" t="str">
        <f t="shared" si="37"/>
        <v/>
      </c>
      <c r="C122" s="278"/>
      <c r="D122" s="278"/>
      <c r="E122" s="278"/>
      <c r="F122" s="278"/>
      <c r="G122" s="278"/>
      <c r="H122" s="290"/>
      <c r="I122" s="280">
        <f t="shared" si="40"/>
        <v>0</v>
      </c>
      <c r="J122" s="281">
        <f t="shared" si="39"/>
        <v>0</v>
      </c>
      <c r="K122" s="282">
        <f>IF(Notes!$B$9="Domestic",I122, IF(Notes!$B$9="Commercial",J122))*$K$113</f>
        <v>0</v>
      </c>
      <c r="L122" s="283">
        <f>IF(SUM(O122:Q122)=0,0,(SUM(O122:Q122)+(K122+SUM(M122:Q122))*(INDEX($U$113:$AB$113,MATCH(Notes!$C$16,$U$3:$AB$3,0))-100%))*$L$113)</f>
        <v>0</v>
      </c>
      <c r="M122" s="286"/>
      <c r="N122" s="286"/>
      <c r="O122" s="285"/>
      <c r="P122" s="285"/>
      <c r="Q122" s="285"/>
      <c r="R122" s="278"/>
      <c r="S122" s="278"/>
      <c r="T122" s="278"/>
    </row>
    <row r="123" spans="1:28" s="305" customFormat="1" hidden="1" outlineLevel="1" x14ac:dyDescent="0.25">
      <c r="A123" s="278"/>
      <c r="B123" s="279" t="str">
        <f t="shared" si="37"/>
        <v/>
      </c>
      <c r="C123" s="278"/>
      <c r="D123" s="278"/>
      <c r="E123" s="278"/>
      <c r="F123" s="278"/>
      <c r="G123" s="278"/>
      <c r="H123" s="290"/>
      <c r="I123" s="280">
        <f t="shared" si="40"/>
        <v>0</v>
      </c>
      <c r="J123" s="281">
        <f t="shared" si="39"/>
        <v>0</v>
      </c>
      <c r="K123" s="282">
        <f>IF(Notes!$B$9="Domestic",I123, IF(Notes!$B$9="Commercial",J123))*$K$113</f>
        <v>0</v>
      </c>
      <c r="L123" s="283">
        <f>IF(SUM(O123:Q123)=0,0,(SUM(O123:Q123)+(K123+SUM(M123:Q123))*(INDEX($U$113:$AB$113,MATCH(Notes!$C$16,$U$3:$AB$3,0))-100%))*$L$113)</f>
        <v>0</v>
      </c>
      <c r="M123" s="286"/>
      <c r="N123" s="286"/>
      <c r="O123" s="285"/>
      <c r="P123" s="285"/>
      <c r="Q123" s="285"/>
      <c r="R123" s="278"/>
      <c r="S123" s="278"/>
      <c r="T123" s="278"/>
    </row>
    <row r="124" spans="1:28" ht="21" hidden="1" outlineLevel="1" x14ac:dyDescent="0.25">
      <c r="A124" s="299"/>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row>
    <row r="125" spans="1:28" ht="15.75" hidden="1" outlineLevel="1" x14ac:dyDescent="0.25">
      <c r="A125" s="291"/>
      <c r="B125" s="291"/>
      <c r="C125" s="291"/>
      <c r="D125" s="291"/>
      <c r="E125" s="291"/>
      <c r="F125" s="291"/>
      <c r="G125" s="291"/>
      <c r="H125" s="291"/>
      <c r="I125" s="291"/>
      <c r="J125" s="291"/>
      <c r="K125" s="291">
        <f>K$2</f>
        <v>1</v>
      </c>
      <c r="L125" s="291">
        <f>L$2</f>
        <v>1</v>
      </c>
      <c r="M125" s="291"/>
      <c r="N125" s="291"/>
      <c r="O125" s="303"/>
      <c r="P125" s="303"/>
      <c r="Q125" s="303"/>
      <c r="R125" s="291"/>
      <c r="S125" s="291"/>
      <c r="T125" s="291"/>
      <c r="U125" s="291">
        <f>U$2</f>
        <v>1</v>
      </c>
      <c r="V125" s="291">
        <f>V$2</f>
        <v>1</v>
      </c>
      <c r="W125" s="291">
        <f t="shared" ref="W125:AB125" si="41">W$2</f>
        <v>1</v>
      </c>
      <c r="X125" s="291">
        <f t="shared" si="41"/>
        <v>1</v>
      </c>
      <c r="Y125" s="291">
        <f t="shared" si="41"/>
        <v>1</v>
      </c>
      <c r="Z125" s="291">
        <f t="shared" si="41"/>
        <v>1</v>
      </c>
      <c r="AA125" s="291">
        <f t="shared" si="41"/>
        <v>1</v>
      </c>
      <c r="AB125" s="291">
        <f t="shared" si="41"/>
        <v>1</v>
      </c>
    </row>
    <row r="126" spans="1:28" s="305" customFormat="1" hidden="1" outlineLevel="1" x14ac:dyDescent="0.25">
      <c r="A126" s="278"/>
      <c r="B126" s="279" t="str">
        <f>C126&amp;D126&amp;E126&amp;F126</f>
        <v/>
      </c>
      <c r="C126" s="278"/>
      <c r="D126" s="278"/>
      <c r="E126" s="278"/>
      <c r="F126" s="278"/>
      <c r="G126" s="278"/>
      <c r="H126" s="290"/>
      <c r="I126" s="280">
        <f>$I$2*H126</f>
        <v>0</v>
      </c>
      <c r="J126" s="281">
        <f>$J$2*H126</f>
        <v>0</v>
      </c>
      <c r="K126" s="282">
        <f>IF(Notes!$B$9="Domestic",I126, IF(Notes!$B$9="Commercial",J126))*$K$125</f>
        <v>0</v>
      </c>
      <c r="L126" s="283">
        <f>IF(SUM(O126:Q126)=0,0,(SUM(O126:Q126)+(K126+SUM(M126:Q126))*(INDEX($U$125:$AB$125,MATCH(Notes!$C$16,$U$3:$AB$3,0))-100%))*$L$125)</f>
        <v>0</v>
      </c>
      <c r="M126" s="286"/>
      <c r="N126" s="286"/>
      <c r="O126" s="285"/>
      <c r="P126" s="285"/>
      <c r="Q126" s="285"/>
      <c r="R126" s="278"/>
      <c r="S126" s="278"/>
      <c r="T126" s="278"/>
    </row>
    <row r="127" spans="1:28" s="305" customFormat="1" hidden="1" outlineLevel="1" x14ac:dyDescent="0.25">
      <c r="A127" s="278"/>
      <c r="B127" s="279" t="str">
        <f t="shared" ref="B127:B135" si="42">C127&amp;D127&amp;E127&amp;F127</f>
        <v/>
      </c>
      <c r="C127" s="278"/>
      <c r="D127" s="278"/>
      <c r="E127" s="278"/>
      <c r="F127" s="278"/>
      <c r="G127" s="278"/>
      <c r="H127" s="290"/>
      <c r="I127" s="280">
        <f t="shared" ref="I127:I129" si="43">$I$2*H127</f>
        <v>0</v>
      </c>
      <c r="J127" s="281">
        <f t="shared" ref="J127:J135" si="44">$J$2*H127</f>
        <v>0</v>
      </c>
      <c r="K127" s="282">
        <f>IF(Notes!$B$9="Domestic",I127, IF(Notes!$B$9="Commercial",J127))*$K$125</f>
        <v>0</v>
      </c>
      <c r="L127" s="283">
        <f>IF(SUM(O127:Q127)=0,0,(SUM(O127:Q127)+(K127+SUM(M127:Q127))*(INDEX($U$125:$AB$125,MATCH(Notes!$C$16,$U$3:$AB$3,0))-100%))*$L$125)</f>
        <v>0</v>
      </c>
      <c r="M127" s="286"/>
      <c r="N127" s="286"/>
      <c r="O127" s="285"/>
      <c r="P127" s="285"/>
      <c r="Q127" s="285"/>
      <c r="R127" s="278"/>
      <c r="S127" s="278"/>
      <c r="T127" s="278"/>
    </row>
    <row r="128" spans="1:28" s="305" customFormat="1" hidden="1" outlineLevel="1" x14ac:dyDescent="0.25">
      <c r="A128" s="278"/>
      <c r="B128" s="279" t="str">
        <f t="shared" si="42"/>
        <v/>
      </c>
      <c r="C128" s="278"/>
      <c r="D128" s="278"/>
      <c r="E128" s="278"/>
      <c r="F128" s="278"/>
      <c r="G128" s="278"/>
      <c r="H128" s="290"/>
      <c r="I128" s="280">
        <f t="shared" si="43"/>
        <v>0</v>
      </c>
      <c r="J128" s="281">
        <f t="shared" si="44"/>
        <v>0</v>
      </c>
      <c r="K128" s="282">
        <f>IF(Notes!$B$9="Domestic",I128, IF(Notes!$B$9="Commercial",J128))*$K$125</f>
        <v>0</v>
      </c>
      <c r="L128" s="283">
        <f>IF(SUM(O128:Q128)=0,0,(SUM(O128:Q128)+(K128+SUM(M128:Q128))*(INDEX($U$125:$AB$125,MATCH(Notes!$C$16,$U$3:$AB$3,0))-100%))*$L$125)</f>
        <v>0</v>
      </c>
      <c r="M128" s="286"/>
      <c r="N128" s="286"/>
      <c r="O128" s="285"/>
      <c r="P128" s="285"/>
      <c r="Q128" s="285"/>
      <c r="R128" s="278"/>
      <c r="S128" s="278"/>
      <c r="T128" s="278"/>
    </row>
    <row r="129" spans="1:28" s="305" customFormat="1" hidden="1" outlineLevel="1" x14ac:dyDescent="0.25">
      <c r="A129" s="278"/>
      <c r="B129" s="279" t="str">
        <f t="shared" si="42"/>
        <v/>
      </c>
      <c r="C129" s="278"/>
      <c r="D129" s="278"/>
      <c r="E129" s="278"/>
      <c r="F129" s="278"/>
      <c r="G129" s="278"/>
      <c r="H129" s="290"/>
      <c r="I129" s="280">
        <f t="shared" si="43"/>
        <v>0</v>
      </c>
      <c r="J129" s="281">
        <f t="shared" si="44"/>
        <v>0</v>
      </c>
      <c r="K129" s="282">
        <f>IF(Notes!$B$9="Domestic",I129, IF(Notes!$B$9="Commercial",J129))*$K$125</f>
        <v>0</v>
      </c>
      <c r="L129" s="283">
        <f>IF(SUM(O129:Q129)=0,0,(SUM(O129:Q129)+(K129+SUM(M129:Q129))*(INDEX($U$125:$AB$125,MATCH(Notes!$C$16,$U$3:$AB$3,0))-100%))*$L$125)</f>
        <v>0</v>
      </c>
      <c r="M129" s="286"/>
      <c r="N129" s="286"/>
      <c r="O129" s="285"/>
      <c r="P129" s="285"/>
      <c r="Q129" s="285"/>
      <c r="R129" s="278"/>
      <c r="S129" s="278"/>
      <c r="T129" s="278"/>
    </row>
    <row r="130" spans="1:28" s="305" customFormat="1" hidden="1" outlineLevel="1" x14ac:dyDescent="0.25">
      <c r="A130" s="278"/>
      <c r="B130" s="279" t="str">
        <f t="shared" si="42"/>
        <v/>
      </c>
      <c r="C130" s="278"/>
      <c r="D130" s="278"/>
      <c r="E130" s="278"/>
      <c r="F130" s="278"/>
      <c r="G130" s="278"/>
      <c r="H130" s="290"/>
      <c r="I130" s="280">
        <f>$I$2*H130</f>
        <v>0</v>
      </c>
      <c r="J130" s="281">
        <f t="shared" si="44"/>
        <v>0</v>
      </c>
      <c r="K130" s="282">
        <f>IF(Notes!$B$9="Domestic",I130, IF(Notes!$B$9="Commercial",J130))*$K$125</f>
        <v>0</v>
      </c>
      <c r="L130" s="283">
        <f>IF(SUM(O130:Q130)=0,0,(SUM(O130:Q130)+(K130+SUM(M130:Q130))*(INDEX($U$125:$AB$125,MATCH(Notes!$C$16,$U$3:$AB$3,0))-100%))*$L$125)</f>
        <v>0</v>
      </c>
      <c r="M130" s="286"/>
      <c r="N130" s="286"/>
      <c r="O130" s="285"/>
      <c r="P130" s="285"/>
      <c r="Q130" s="285"/>
      <c r="R130" s="278"/>
      <c r="S130" s="278"/>
      <c r="T130" s="278"/>
    </row>
    <row r="131" spans="1:28" s="305" customFormat="1" hidden="1" outlineLevel="1" x14ac:dyDescent="0.25">
      <c r="A131" s="278"/>
      <c r="B131" s="279" t="str">
        <f t="shared" si="42"/>
        <v/>
      </c>
      <c r="C131" s="278"/>
      <c r="D131" s="278"/>
      <c r="E131" s="278"/>
      <c r="F131" s="278"/>
      <c r="G131" s="278"/>
      <c r="H131" s="290"/>
      <c r="I131" s="280">
        <f t="shared" ref="I131:I135" si="45">$I$2*H131</f>
        <v>0</v>
      </c>
      <c r="J131" s="281">
        <f t="shared" si="44"/>
        <v>0</v>
      </c>
      <c r="K131" s="282">
        <f>IF(Notes!$B$9="Domestic",I131, IF(Notes!$B$9="Commercial",J131))*$K$125</f>
        <v>0</v>
      </c>
      <c r="L131" s="283">
        <f>IF(SUM(O131:Q131)=0,0,(SUM(O131:Q131)+(K131+SUM(M131:Q131))*(INDEX($U$125:$AB$125,MATCH(Notes!$C$16,$U$3:$AB$3,0))-100%))*$L$125)</f>
        <v>0</v>
      </c>
      <c r="M131" s="286"/>
      <c r="N131" s="286"/>
      <c r="O131" s="285"/>
      <c r="P131" s="285"/>
      <c r="Q131" s="285"/>
      <c r="R131" s="278"/>
      <c r="S131" s="278"/>
      <c r="T131" s="278"/>
    </row>
    <row r="132" spans="1:28" s="305" customFormat="1" hidden="1" outlineLevel="1" x14ac:dyDescent="0.25">
      <c r="A132" s="278"/>
      <c r="B132" s="279" t="str">
        <f t="shared" si="42"/>
        <v/>
      </c>
      <c r="C132" s="278"/>
      <c r="D132" s="278"/>
      <c r="E132" s="278"/>
      <c r="F132" s="278"/>
      <c r="G132" s="278"/>
      <c r="H132" s="290"/>
      <c r="I132" s="280">
        <f t="shared" si="45"/>
        <v>0</v>
      </c>
      <c r="J132" s="281">
        <f t="shared" si="44"/>
        <v>0</v>
      </c>
      <c r="K132" s="282">
        <f>IF(Notes!$B$9="Domestic",I132, IF(Notes!$B$9="Commercial",J132))*$K$125</f>
        <v>0</v>
      </c>
      <c r="L132" s="283">
        <f>IF(SUM(O132:Q132)=0,0,(SUM(O132:Q132)+(K132+SUM(M132:Q132))*(INDEX($U$125:$AB$125,MATCH(Notes!$C$16,$U$3:$AB$3,0))-100%))*$L$125)</f>
        <v>0</v>
      </c>
      <c r="M132" s="286"/>
      <c r="N132" s="286"/>
      <c r="O132" s="285"/>
      <c r="P132" s="285"/>
      <c r="Q132" s="285"/>
      <c r="R132" s="278"/>
      <c r="S132" s="278"/>
      <c r="T132" s="278"/>
    </row>
    <row r="133" spans="1:28" s="305" customFormat="1" hidden="1" outlineLevel="1" x14ac:dyDescent="0.25">
      <c r="A133" s="278"/>
      <c r="B133" s="279" t="str">
        <f t="shared" si="42"/>
        <v/>
      </c>
      <c r="C133" s="278"/>
      <c r="D133" s="278"/>
      <c r="E133" s="278"/>
      <c r="F133" s="278"/>
      <c r="G133" s="278"/>
      <c r="H133" s="290"/>
      <c r="I133" s="280">
        <f t="shared" si="45"/>
        <v>0</v>
      </c>
      <c r="J133" s="281">
        <f t="shared" si="44"/>
        <v>0</v>
      </c>
      <c r="K133" s="282">
        <f>IF(Notes!$B$9="Domestic",I133, IF(Notes!$B$9="Commercial",J133))*$K$125</f>
        <v>0</v>
      </c>
      <c r="L133" s="283">
        <f>IF(SUM(O133:Q133)=0,0,(SUM(O133:Q133)+(K133+SUM(M133:Q133))*(INDEX($U$125:$AB$125,MATCH(Notes!$C$16,$U$3:$AB$3,0))-100%))*$L$125)</f>
        <v>0</v>
      </c>
      <c r="M133" s="286"/>
      <c r="N133" s="286"/>
      <c r="O133" s="285"/>
      <c r="P133" s="285"/>
      <c r="Q133" s="285"/>
      <c r="R133" s="278"/>
      <c r="S133" s="278"/>
      <c r="T133" s="278"/>
    </row>
    <row r="134" spans="1:28" s="305" customFormat="1" hidden="1" outlineLevel="1" x14ac:dyDescent="0.25">
      <c r="A134" s="278"/>
      <c r="B134" s="279" t="str">
        <f t="shared" si="42"/>
        <v/>
      </c>
      <c r="C134" s="278"/>
      <c r="D134" s="278"/>
      <c r="E134" s="278"/>
      <c r="F134" s="278"/>
      <c r="G134" s="278"/>
      <c r="H134" s="290"/>
      <c r="I134" s="280">
        <f t="shared" si="45"/>
        <v>0</v>
      </c>
      <c r="J134" s="281">
        <f t="shared" si="44"/>
        <v>0</v>
      </c>
      <c r="K134" s="282">
        <f>IF(Notes!$B$9="Domestic",I134, IF(Notes!$B$9="Commercial",J134))*$K$125</f>
        <v>0</v>
      </c>
      <c r="L134" s="283">
        <f>IF(SUM(O134:Q134)=0,0,(SUM(O134:Q134)+(K134+SUM(M134:Q134))*(INDEX($U$125:$AB$125,MATCH(Notes!$C$16,$U$3:$AB$3,0))-100%))*$L$125)</f>
        <v>0</v>
      </c>
      <c r="M134" s="286"/>
      <c r="N134" s="286"/>
      <c r="O134" s="285"/>
      <c r="P134" s="285"/>
      <c r="Q134" s="285"/>
      <c r="R134" s="278"/>
      <c r="S134" s="278"/>
      <c r="T134" s="278"/>
    </row>
    <row r="135" spans="1:28" s="305" customFormat="1" hidden="1" outlineLevel="1" x14ac:dyDescent="0.25">
      <c r="A135" s="278"/>
      <c r="B135" s="279" t="str">
        <f t="shared" si="42"/>
        <v/>
      </c>
      <c r="C135" s="278"/>
      <c r="D135" s="278"/>
      <c r="E135" s="278"/>
      <c r="F135" s="278"/>
      <c r="G135" s="278"/>
      <c r="H135" s="290"/>
      <c r="I135" s="280">
        <f t="shared" si="45"/>
        <v>0</v>
      </c>
      <c r="J135" s="281">
        <f t="shared" si="44"/>
        <v>0</v>
      </c>
      <c r="K135" s="282">
        <f>IF(Notes!$B$9="Domestic",I135, IF(Notes!$B$9="Commercial",J135))*$K$125</f>
        <v>0</v>
      </c>
      <c r="L135" s="283">
        <f>IF(SUM(O135:Q135)=0,0,(SUM(O135:Q135)+(K135+SUM(M135:Q135))*(INDEX($U$125:$AB$125,MATCH(Notes!$C$16,$U$3:$AB$3,0))-100%))*$L$125)</f>
        <v>0</v>
      </c>
      <c r="M135" s="286"/>
      <c r="N135" s="286"/>
      <c r="O135" s="285"/>
      <c r="P135" s="285"/>
      <c r="Q135" s="285"/>
      <c r="R135" s="278"/>
      <c r="S135" s="278"/>
      <c r="T135" s="278"/>
    </row>
    <row r="136" spans="1:28" ht="21" hidden="1" outlineLevel="1" x14ac:dyDescent="0.25">
      <c r="A136" s="299"/>
      <c r="B136" s="299"/>
      <c r="C136" s="299"/>
      <c r="D136" s="299"/>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c r="AA136" s="299"/>
      <c r="AB136" s="299"/>
    </row>
    <row r="137" spans="1:28" ht="15.75" hidden="1" outlineLevel="1" x14ac:dyDescent="0.25">
      <c r="A137" s="291"/>
      <c r="B137" s="291"/>
      <c r="C137" s="291"/>
      <c r="D137" s="291"/>
      <c r="E137" s="291"/>
      <c r="F137" s="291"/>
      <c r="G137" s="291"/>
      <c r="H137" s="291"/>
      <c r="I137" s="291"/>
      <c r="J137" s="291"/>
      <c r="K137" s="291">
        <f>K$2</f>
        <v>1</v>
      </c>
      <c r="L137" s="291">
        <f>L$2</f>
        <v>1</v>
      </c>
      <c r="M137" s="291"/>
      <c r="N137" s="291"/>
      <c r="O137" s="303"/>
      <c r="P137" s="303"/>
      <c r="Q137" s="303"/>
      <c r="R137" s="291"/>
      <c r="S137" s="291"/>
      <c r="T137" s="291"/>
      <c r="U137" s="291">
        <f>U$2</f>
        <v>1</v>
      </c>
      <c r="V137" s="291">
        <f>V$2</f>
        <v>1</v>
      </c>
      <c r="W137" s="291">
        <f t="shared" ref="W137:AB137" si="46">W$2</f>
        <v>1</v>
      </c>
      <c r="X137" s="291">
        <f t="shared" si="46"/>
        <v>1</v>
      </c>
      <c r="Y137" s="291">
        <f t="shared" si="46"/>
        <v>1</v>
      </c>
      <c r="Z137" s="291">
        <f t="shared" si="46"/>
        <v>1</v>
      </c>
      <c r="AA137" s="291">
        <f t="shared" si="46"/>
        <v>1</v>
      </c>
      <c r="AB137" s="291">
        <f t="shared" si="46"/>
        <v>1</v>
      </c>
    </row>
    <row r="138" spans="1:28" s="305" customFormat="1" hidden="1" outlineLevel="1" x14ac:dyDescent="0.25">
      <c r="A138" s="278"/>
      <c r="B138" s="279" t="str">
        <f>C138&amp;D138&amp;E138&amp;F138</f>
        <v/>
      </c>
      <c r="C138" s="278"/>
      <c r="D138" s="278"/>
      <c r="E138" s="278"/>
      <c r="F138" s="278"/>
      <c r="G138" s="278"/>
      <c r="H138" s="290"/>
      <c r="I138" s="280">
        <f>$I$2*H138</f>
        <v>0</v>
      </c>
      <c r="J138" s="281">
        <f>$J$2*H138</f>
        <v>0</v>
      </c>
      <c r="K138" s="282">
        <f>IF(Notes!$B$9="Domestic",I138, IF(Notes!$B$9="Commercial",J138))*$K$137</f>
        <v>0</v>
      </c>
      <c r="L138" s="283">
        <f>IF(SUM(O138:Q138)=0,0,(SUM(O138:Q138)+(K138+SUM(M138:Q138))*(INDEX($U$137:$AB$137,MATCH(Notes!$C$16,$U$3:$AB$3,0))-100%))*$L$137)</f>
        <v>0</v>
      </c>
      <c r="M138" s="286"/>
      <c r="N138" s="286"/>
      <c r="O138" s="285"/>
      <c r="P138" s="285"/>
      <c r="Q138" s="285"/>
      <c r="R138" s="278"/>
      <c r="S138" s="278"/>
      <c r="T138" s="278"/>
    </row>
    <row r="139" spans="1:28" s="305" customFormat="1" hidden="1" outlineLevel="1" x14ac:dyDescent="0.25">
      <c r="A139" s="278"/>
      <c r="B139" s="279" t="str">
        <f t="shared" ref="B139:B147" si="47">C139&amp;D139&amp;E139&amp;F139</f>
        <v/>
      </c>
      <c r="C139" s="278"/>
      <c r="D139" s="278"/>
      <c r="E139" s="278"/>
      <c r="F139" s="278"/>
      <c r="G139" s="278"/>
      <c r="H139" s="290"/>
      <c r="I139" s="280">
        <f t="shared" ref="I139:I141" si="48">$I$2*H139</f>
        <v>0</v>
      </c>
      <c r="J139" s="281">
        <f t="shared" ref="J139:J147" si="49">$J$2*H139</f>
        <v>0</v>
      </c>
      <c r="K139" s="282">
        <f>IF(Notes!$B$9="Domestic",I139, IF(Notes!$B$9="Commercial",J139))*$K$137</f>
        <v>0</v>
      </c>
      <c r="L139" s="283">
        <f>IF(SUM(O139:Q139)=0,0,(SUM(O139:Q139)+(K139+SUM(M139:Q139))*(INDEX($U$137:$AB$137,MATCH(Notes!$C$16,$U$3:$AB$3,0))-100%))*$L$137)</f>
        <v>0</v>
      </c>
      <c r="M139" s="286"/>
      <c r="N139" s="286"/>
      <c r="O139" s="285"/>
      <c r="P139" s="285"/>
      <c r="Q139" s="285"/>
      <c r="R139" s="278"/>
      <c r="S139" s="278"/>
      <c r="T139" s="278"/>
    </row>
    <row r="140" spans="1:28" s="305" customFormat="1" hidden="1" outlineLevel="1" x14ac:dyDescent="0.25">
      <c r="A140" s="278"/>
      <c r="B140" s="279" t="str">
        <f t="shared" si="47"/>
        <v/>
      </c>
      <c r="C140" s="278"/>
      <c r="D140" s="278"/>
      <c r="E140" s="278"/>
      <c r="F140" s="278"/>
      <c r="G140" s="278"/>
      <c r="H140" s="290"/>
      <c r="I140" s="280">
        <f t="shared" si="48"/>
        <v>0</v>
      </c>
      <c r="J140" s="281">
        <f t="shared" si="49"/>
        <v>0</v>
      </c>
      <c r="K140" s="282">
        <f>IF(Notes!$B$9="Domestic",I140, IF(Notes!$B$9="Commercial",J140))*$K$137</f>
        <v>0</v>
      </c>
      <c r="L140" s="283">
        <f>IF(SUM(O140:Q140)=0,0,(SUM(O140:Q140)+(K140+SUM(M140:Q140))*(INDEX($U$137:$AB$137,MATCH(Notes!$C$16,$U$3:$AB$3,0))-100%))*$L$137)</f>
        <v>0</v>
      </c>
      <c r="M140" s="286"/>
      <c r="N140" s="286"/>
      <c r="O140" s="285"/>
      <c r="P140" s="285"/>
      <c r="Q140" s="285"/>
      <c r="R140" s="278"/>
      <c r="S140" s="278"/>
      <c r="T140" s="278"/>
    </row>
    <row r="141" spans="1:28" s="305" customFormat="1" hidden="1" outlineLevel="1" x14ac:dyDescent="0.25">
      <c r="A141" s="278"/>
      <c r="B141" s="279" t="str">
        <f t="shared" si="47"/>
        <v/>
      </c>
      <c r="C141" s="278"/>
      <c r="D141" s="278"/>
      <c r="E141" s="278"/>
      <c r="F141" s="278"/>
      <c r="G141" s="278"/>
      <c r="H141" s="290"/>
      <c r="I141" s="280">
        <f t="shared" si="48"/>
        <v>0</v>
      </c>
      <c r="J141" s="281">
        <f t="shared" si="49"/>
        <v>0</v>
      </c>
      <c r="K141" s="282">
        <f>IF(Notes!$B$9="Domestic",I141, IF(Notes!$B$9="Commercial",J141))*$K$137</f>
        <v>0</v>
      </c>
      <c r="L141" s="283">
        <f>IF(SUM(O141:Q141)=0,0,(SUM(O141:Q141)+(K141+SUM(M141:Q141))*(INDEX($U$137:$AB$137,MATCH(Notes!$C$16,$U$3:$AB$3,0))-100%))*$L$137)</f>
        <v>0</v>
      </c>
      <c r="M141" s="286"/>
      <c r="N141" s="286"/>
      <c r="O141" s="285"/>
      <c r="P141" s="285"/>
      <c r="Q141" s="285"/>
      <c r="R141" s="278"/>
      <c r="S141" s="278"/>
      <c r="T141" s="278"/>
    </row>
    <row r="142" spans="1:28" s="305" customFormat="1" hidden="1" outlineLevel="1" x14ac:dyDescent="0.25">
      <c r="A142" s="278"/>
      <c r="B142" s="279" t="str">
        <f t="shared" si="47"/>
        <v/>
      </c>
      <c r="C142" s="278"/>
      <c r="D142" s="278"/>
      <c r="E142" s="278"/>
      <c r="F142" s="278"/>
      <c r="G142" s="278"/>
      <c r="H142" s="290"/>
      <c r="I142" s="280">
        <f>$I$2*H142</f>
        <v>0</v>
      </c>
      <c r="J142" s="281">
        <f t="shared" si="49"/>
        <v>0</v>
      </c>
      <c r="K142" s="282">
        <f>IF(Notes!$B$9="Domestic",I142, IF(Notes!$B$9="Commercial",J142))*$K$137</f>
        <v>0</v>
      </c>
      <c r="L142" s="283">
        <f>IF(SUM(O142:Q142)=0,0,(SUM(O142:Q142)+(K142+SUM(M142:Q142))*(INDEX($U$137:$AB$137,MATCH(Notes!$C$16,$U$3:$AB$3,0))-100%))*$L$137)</f>
        <v>0</v>
      </c>
      <c r="M142" s="286"/>
      <c r="N142" s="286"/>
      <c r="O142" s="285"/>
      <c r="P142" s="285"/>
      <c r="Q142" s="285"/>
      <c r="R142" s="278"/>
      <c r="S142" s="278"/>
      <c r="T142" s="278"/>
    </row>
    <row r="143" spans="1:28" s="305" customFormat="1" hidden="1" outlineLevel="1" x14ac:dyDescent="0.25">
      <c r="A143" s="278"/>
      <c r="B143" s="279" t="str">
        <f t="shared" si="47"/>
        <v/>
      </c>
      <c r="C143" s="278"/>
      <c r="D143" s="278"/>
      <c r="E143" s="278"/>
      <c r="F143" s="278"/>
      <c r="G143" s="278"/>
      <c r="H143" s="290"/>
      <c r="I143" s="280">
        <f t="shared" ref="I143:I147" si="50">$I$2*H143</f>
        <v>0</v>
      </c>
      <c r="J143" s="281">
        <f t="shared" si="49"/>
        <v>0</v>
      </c>
      <c r="K143" s="282">
        <f>IF(Notes!$B$9="Domestic",I143, IF(Notes!$B$9="Commercial",J143))*$K$137</f>
        <v>0</v>
      </c>
      <c r="L143" s="283">
        <f>IF(SUM(O143:Q143)=0,0,(SUM(O143:Q143)+(K143+SUM(M143:Q143))*(INDEX($U$137:$AB$137,MATCH(Notes!$C$16,$U$3:$AB$3,0))-100%))*$L$137)</f>
        <v>0</v>
      </c>
      <c r="M143" s="286"/>
      <c r="N143" s="286"/>
      <c r="O143" s="285"/>
      <c r="P143" s="285"/>
      <c r="Q143" s="285"/>
      <c r="R143" s="278"/>
      <c r="S143" s="278"/>
      <c r="T143" s="278"/>
    </row>
    <row r="144" spans="1:28" s="305" customFormat="1" hidden="1" outlineLevel="1" x14ac:dyDescent="0.25">
      <c r="A144" s="278"/>
      <c r="B144" s="279" t="str">
        <f t="shared" si="47"/>
        <v/>
      </c>
      <c r="C144" s="278"/>
      <c r="D144" s="278"/>
      <c r="E144" s="278"/>
      <c r="F144" s="278"/>
      <c r="G144" s="278"/>
      <c r="H144" s="290"/>
      <c r="I144" s="280">
        <f t="shared" si="50"/>
        <v>0</v>
      </c>
      <c r="J144" s="281">
        <f t="shared" si="49"/>
        <v>0</v>
      </c>
      <c r="K144" s="282">
        <f>IF(Notes!$B$9="Domestic",I144, IF(Notes!$B$9="Commercial",J144))*$K$137</f>
        <v>0</v>
      </c>
      <c r="L144" s="283">
        <f>IF(SUM(O144:Q144)=0,0,(SUM(O144:Q144)+(K144+SUM(M144:Q144))*(INDEX($U$137:$AB$137,MATCH(Notes!$C$16,$U$3:$AB$3,0))-100%))*$L$137)</f>
        <v>0</v>
      </c>
      <c r="M144" s="286"/>
      <c r="N144" s="286"/>
      <c r="O144" s="285"/>
      <c r="P144" s="285"/>
      <c r="Q144" s="285"/>
      <c r="R144" s="278"/>
      <c r="S144" s="278"/>
      <c r="T144" s="278"/>
    </row>
    <row r="145" spans="1:28" s="305" customFormat="1" hidden="1" outlineLevel="1" x14ac:dyDescent="0.25">
      <c r="A145" s="278"/>
      <c r="B145" s="279" t="str">
        <f t="shared" si="47"/>
        <v/>
      </c>
      <c r="C145" s="278"/>
      <c r="D145" s="278"/>
      <c r="E145" s="278"/>
      <c r="F145" s="278"/>
      <c r="G145" s="278"/>
      <c r="H145" s="290"/>
      <c r="I145" s="280">
        <f t="shared" si="50"/>
        <v>0</v>
      </c>
      <c r="J145" s="281">
        <f t="shared" si="49"/>
        <v>0</v>
      </c>
      <c r="K145" s="282">
        <f>IF(Notes!$B$9="Domestic",I145, IF(Notes!$B$9="Commercial",J145))*$K$137</f>
        <v>0</v>
      </c>
      <c r="L145" s="283">
        <f>IF(SUM(O145:Q145)=0,0,(SUM(O145:Q145)+(K145+SUM(M145:Q145))*(INDEX($U$137:$AB$137,MATCH(Notes!$C$16,$U$3:$AB$3,0))-100%))*$L$137)</f>
        <v>0</v>
      </c>
      <c r="M145" s="286"/>
      <c r="N145" s="286"/>
      <c r="O145" s="285"/>
      <c r="P145" s="285"/>
      <c r="Q145" s="285"/>
      <c r="R145" s="278"/>
      <c r="S145" s="278"/>
      <c r="T145" s="278"/>
    </row>
    <row r="146" spans="1:28" s="305" customFormat="1" hidden="1" outlineLevel="1" x14ac:dyDescent="0.25">
      <c r="A146" s="278"/>
      <c r="B146" s="279" t="str">
        <f t="shared" si="47"/>
        <v/>
      </c>
      <c r="C146" s="278"/>
      <c r="D146" s="278"/>
      <c r="E146" s="278"/>
      <c r="F146" s="278"/>
      <c r="G146" s="278"/>
      <c r="H146" s="290"/>
      <c r="I146" s="280">
        <f t="shared" si="50"/>
        <v>0</v>
      </c>
      <c r="J146" s="281">
        <f t="shared" si="49"/>
        <v>0</v>
      </c>
      <c r="K146" s="282">
        <f>IF(Notes!$B$9="Domestic",I146, IF(Notes!$B$9="Commercial",J146))*$K$137</f>
        <v>0</v>
      </c>
      <c r="L146" s="283">
        <f>IF(SUM(O146:Q146)=0,0,(SUM(O146:Q146)+(K146+SUM(M146:Q146))*(INDEX($U$137:$AB$137,MATCH(Notes!$C$16,$U$3:$AB$3,0))-100%))*$L$137)</f>
        <v>0</v>
      </c>
      <c r="M146" s="286"/>
      <c r="N146" s="286"/>
      <c r="O146" s="285"/>
      <c r="P146" s="285"/>
      <c r="Q146" s="285"/>
      <c r="R146" s="278"/>
      <c r="S146" s="278"/>
      <c r="T146" s="278"/>
    </row>
    <row r="147" spans="1:28" s="305" customFormat="1" hidden="1" outlineLevel="1" x14ac:dyDescent="0.25">
      <c r="A147" s="278"/>
      <c r="B147" s="279" t="str">
        <f t="shared" si="47"/>
        <v/>
      </c>
      <c r="C147" s="278"/>
      <c r="D147" s="278"/>
      <c r="E147" s="278"/>
      <c r="F147" s="278"/>
      <c r="G147" s="278"/>
      <c r="H147" s="290"/>
      <c r="I147" s="280">
        <f t="shared" si="50"/>
        <v>0</v>
      </c>
      <c r="J147" s="281">
        <f t="shared" si="49"/>
        <v>0</v>
      </c>
      <c r="K147" s="282">
        <f>IF(Notes!$B$9="Domestic",I147, IF(Notes!$B$9="Commercial",J147))*$K$137</f>
        <v>0</v>
      </c>
      <c r="L147" s="283">
        <f>IF(SUM(O147:Q147)=0,0,(SUM(O147:Q147)+(K147+SUM(M147:Q147))*(INDEX($U$137:$AB$137,MATCH(Notes!$C$16,$U$3:$AB$3,0))-100%))*$L$137)</f>
        <v>0</v>
      </c>
      <c r="M147" s="286"/>
      <c r="N147" s="286"/>
      <c r="O147" s="285"/>
      <c r="P147" s="285"/>
      <c r="Q147" s="285"/>
      <c r="R147" s="278"/>
      <c r="S147" s="278"/>
      <c r="T147" s="278"/>
    </row>
    <row r="148" spans="1:28" ht="21" hidden="1" outlineLevel="1" x14ac:dyDescent="0.25">
      <c r="A148" s="299"/>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row>
    <row r="149" spans="1:28" ht="15.75" hidden="1" outlineLevel="1" x14ac:dyDescent="0.25">
      <c r="A149" s="291"/>
      <c r="B149" s="291"/>
      <c r="C149" s="291"/>
      <c r="D149" s="291"/>
      <c r="E149" s="291"/>
      <c r="F149" s="291"/>
      <c r="G149" s="291"/>
      <c r="H149" s="291"/>
      <c r="I149" s="291"/>
      <c r="J149" s="291"/>
      <c r="K149" s="291">
        <f>K$2</f>
        <v>1</v>
      </c>
      <c r="L149" s="291">
        <f>L$2</f>
        <v>1</v>
      </c>
      <c r="M149" s="291"/>
      <c r="N149" s="291"/>
      <c r="O149" s="303"/>
      <c r="P149" s="303"/>
      <c r="Q149" s="303"/>
      <c r="R149" s="291"/>
      <c r="S149" s="291"/>
      <c r="T149" s="291"/>
      <c r="U149" s="291">
        <f>U$2</f>
        <v>1</v>
      </c>
      <c r="V149" s="291">
        <f>V$2</f>
        <v>1</v>
      </c>
      <c r="W149" s="291">
        <f t="shared" ref="W149:AB149" si="51">W$2</f>
        <v>1</v>
      </c>
      <c r="X149" s="291">
        <f t="shared" si="51"/>
        <v>1</v>
      </c>
      <c r="Y149" s="291">
        <f t="shared" si="51"/>
        <v>1</v>
      </c>
      <c r="Z149" s="291">
        <f t="shared" si="51"/>
        <v>1</v>
      </c>
      <c r="AA149" s="291">
        <f t="shared" si="51"/>
        <v>1</v>
      </c>
      <c r="AB149" s="291">
        <f t="shared" si="51"/>
        <v>1</v>
      </c>
    </row>
    <row r="150" spans="1:28" s="305" customFormat="1" hidden="1" outlineLevel="1" x14ac:dyDescent="0.25">
      <c r="A150" s="278"/>
      <c r="B150" s="279" t="str">
        <f>C150&amp;D150&amp;E150&amp;F150</f>
        <v/>
      </c>
      <c r="C150" s="278"/>
      <c r="D150" s="278"/>
      <c r="E150" s="278"/>
      <c r="F150" s="278"/>
      <c r="G150" s="278"/>
      <c r="H150" s="290"/>
      <c r="I150" s="280">
        <f>$I$2*H150</f>
        <v>0</v>
      </c>
      <c r="J150" s="281">
        <f>$J$2*H150</f>
        <v>0</v>
      </c>
      <c r="K150" s="282">
        <f>IF(Notes!$B$9="Domestic",I150, IF(Notes!$B$9="Commercial",J150))*$K$149</f>
        <v>0</v>
      </c>
      <c r="L150" s="283">
        <f>IF(SUM(O150:Q150)=0,0,(SUM(O150:Q150)+(K150+SUM(M150:Q150))*(INDEX($U$149:$AB$149,MATCH(Notes!$C$16,$U$3:$AB$3,0))-100%))*$L$149)</f>
        <v>0</v>
      </c>
      <c r="M150" s="286"/>
      <c r="N150" s="286"/>
      <c r="O150" s="285"/>
      <c r="P150" s="285"/>
      <c r="Q150" s="285"/>
      <c r="R150" s="278"/>
      <c r="S150" s="278"/>
      <c r="T150" s="278"/>
    </row>
    <row r="151" spans="1:28" s="305" customFormat="1" hidden="1" outlineLevel="1" x14ac:dyDescent="0.25">
      <c r="A151" s="278"/>
      <c r="B151" s="279" t="str">
        <f t="shared" ref="B151:B159" si="52">C151&amp;D151&amp;E151&amp;F151</f>
        <v/>
      </c>
      <c r="C151" s="278"/>
      <c r="D151" s="278"/>
      <c r="E151" s="278"/>
      <c r="F151" s="278"/>
      <c r="G151" s="278"/>
      <c r="H151" s="290"/>
      <c r="I151" s="280">
        <f t="shared" ref="I151:I153" si="53">$I$2*H151</f>
        <v>0</v>
      </c>
      <c r="J151" s="281">
        <f t="shared" ref="J151:J159" si="54">$J$2*H151</f>
        <v>0</v>
      </c>
      <c r="K151" s="282">
        <f>IF(Notes!$B$9="Domestic",I151, IF(Notes!$B$9="Commercial",J151))*$K$149</f>
        <v>0</v>
      </c>
      <c r="L151" s="283">
        <f>IF(SUM(O151:Q151)=0,0,(SUM(O151:Q151)+(K151+SUM(M151:Q151))*(INDEX($U$149:$AB$149,MATCH(Notes!$C$16,$U$3:$AB$3,0))-100%))*$L$149)</f>
        <v>0</v>
      </c>
      <c r="M151" s="286"/>
      <c r="N151" s="286"/>
      <c r="O151" s="285"/>
      <c r="P151" s="285"/>
      <c r="Q151" s="285"/>
      <c r="R151" s="278"/>
      <c r="S151" s="278"/>
      <c r="T151" s="278"/>
    </row>
    <row r="152" spans="1:28" s="305" customFormat="1" hidden="1" outlineLevel="1" x14ac:dyDescent="0.25">
      <c r="A152" s="278"/>
      <c r="B152" s="279" t="str">
        <f t="shared" si="52"/>
        <v/>
      </c>
      <c r="C152" s="278"/>
      <c r="D152" s="278"/>
      <c r="E152" s="278"/>
      <c r="F152" s="278"/>
      <c r="G152" s="278"/>
      <c r="H152" s="290"/>
      <c r="I152" s="280">
        <f t="shared" si="53"/>
        <v>0</v>
      </c>
      <c r="J152" s="281">
        <f t="shared" si="54"/>
        <v>0</v>
      </c>
      <c r="K152" s="282">
        <f>IF(Notes!$B$9="Domestic",I152, IF(Notes!$B$9="Commercial",J152))*$K$149</f>
        <v>0</v>
      </c>
      <c r="L152" s="283">
        <f>IF(SUM(O152:Q152)=0,0,(SUM(O152:Q152)+(K152+SUM(M152:Q152))*(INDEX($U$149:$AB$149,MATCH(Notes!$C$16,$U$3:$AB$3,0))-100%))*$L$149)</f>
        <v>0</v>
      </c>
      <c r="M152" s="286"/>
      <c r="N152" s="286"/>
      <c r="O152" s="285"/>
      <c r="P152" s="285"/>
      <c r="Q152" s="285"/>
      <c r="R152" s="278"/>
      <c r="S152" s="278"/>
      <c r="T152" s="278"/>
    </row>
    <row r="153" spans="1:28" s="305" customFormat="1" hidden="1" outlineLevel="1" x14ac:dyDescent="0.25">
      <c r="A153" s="278"/>
      <c r="B153" s="279" t="str">
        <f t="shared" si="52"/>
        <v/>
      </c>
      <c r="C153" s="278"/>
      <c r="D153" s="278"/>
      <c r="E153" s="278"/>
      <c r="F153" s="278"/>
      <c r="G153" s="278"/>
      <c r="H153" s="290"/>
      <c r="I153" s="280">
        <f t="shared" si="53"/>
        <v>0</v>
      </c>
      <c r="J153" s="281">
        <f t="shared" si="54"/>
        <v>0</v>
      </c>
      <c r="K153" s="282">
        <f>IF(Notes!$B$9="Domestic",I153, IF(Notes!$B$9="Commercial",J153))*$K$149</f>
        <v>0</v>
      </c>
      <c r="L153" s="283">
        <f>IF(SUM(O153:Q153)=0,0,(SUM(O153:Q153)+(K153+SUM(M153:Q153))*(INDEX($U$149:$AB$149,MATCH(Notes!$C$16,$U$3:$AB$3,0))-100%))*$L$149)</f>
        <v>0</v>
      </c>
      <c r="M153" s="286"/>
      <c r="N153" s="286"/>
      <c r="O153" s="285"/>
      <c r="P153" s="285"/>
      <c r="Q153" s="285"/>
      <c r="R153" s="278"/>
      <c r="S153" s="278"/>
      <c r="T153" s="278"/>
    </row>
    <row r="154" spans="1:28" s="305" customFormat="1" hidden="1" outlineLevel="1" x14ac:dyDescent="0.25">
      <c r="A154" s="278"/>
      <c r="B154" s="279" t="str">
        <f t="shared" si="52"/>
        <v/>
      </c>
      <c r="C154" s="278"/>
      <c r="D154" s="278"/>
      <c r="E154" s="278"/>
      <c r="F154" s="278"/>
      <c r="G154" s="278"/>
      <c r="H154" s="290"/>
      <c r="I154" s="280">
        <f>$I$2*H154</f>
        <v>0</v>
      </c>
      <c r="J154" s="281">
        <f t="shared" si="54"/>
        <v>0</v>
      </c>
      <c r="K154" s="282">
        <f>IF(Notes!$B$9="Domestic",I154, IF(Notes!$B$9="Commercial",J154))*$K$149</f>
        <v>0</v>
      </c>
      <c r="L154" s="283">
        <f>IF(SUM(O154:Q154)=0,0,(SUM(O154:Q154)+(K154+SUM(M154:Q154))*(INDEX($U$149:$AB$149,MATCH(Notes!$C$16,$U$3:$AB$3,0))-100%))*$L$149)</f>
        <v>0</v>
      </c>
      <c r="M154" s="286"/>
      <c r="N154" s="286"/>
      <c r="O154" s="285"/>
      <c r="P154" s="285"/>
      <c r="Q154" s="285"/>
      <c r="R154" s="278"/>
      <c r="S154" s="278"/>
      <c r="T154" s="278"/>
    </row>
    <row r="155" spans="1:28" s="305" customFormat="1" hidden="1" outlineLevel="1" x14ac:dyDescent="0.25">
      <c r="A155" s="278"/>
      <c r="B155" s="279" t="str">
        <f t="shared" si="52"/>
        <v/>
      </c>
      <c r="C155" s="278"/>
      <c r="D155" s="278"/>
      <c r="E155" s="278"/>
      <c r="F155" s="278"/>
      <c r="G155" s="278"/>
      <c r="H155" s="290"/>
      <c r="I155" s="280">
        <f t="shared" ref="I155:I159" si="55">$I$2*H155</f>
        <v>0</v>
      </c>
      <c r="J155" s="281">
        <f t="shared" si="54"/>
        <v>0</v>
      </c>
      <c r="K155" s="282">
        <f>IF(Notes!$B$9="Domestic",I155, IF(Notes!$B$9="Commercial",J155))*$K$149</f>
        <v>0</v>
      </c>
      <c r="L155" s="283">
        <f>IF(SUM(O155:Q155)=0,0,(SUM(O155:Q155)+(K155+SUM(M155:Q155))*(INDEX($U$149:$AB$149,MATCH(Notes!$C$16,$U$3:$AB$3,0))-100%))*$L$149)</f>
        <v>0</v>
      </c>
      <c r="M155" s="286"/>
      <c r="N155" s="286"/>
      <c r="O155" s="285"/>
      <c r="P155" s="285"/>
      <c r="Q155" s="285"/>
      <c r="R155" s="278"/>
      <c r="S155" s="278"/>
      <c r="T155" s="278"/>
    </row>
    <row r="156" spans="1:28" s="305" customFormat="1" hidden="1" outlineLevel="1" x14ac:dyDescent="0.25">
      <c r="A156" s="278"/>
      <c r="B156" s="279" t="str">
        <f t="shared" si="52"/>
        <v/>
      </c>
      <c r="C156" s="278"/>
      <c r="D156" s="278"/>
      <c r="E156" s="278"/>
      <c r="F156" s="278"/>
      <c r="G156" s="278"/>
      <c r="H156" s="290"/>
      <c r="I156" s="280">
        <f t="shared" si="55"/>
        <v>0</v>
      </c>
      <c r="J156" s="281">
        <f t="shared" si="54"/>
        <v>0</v>
      </c>
      <c r="K156" s="282">
        <f>IF(Notes!$B$9="Domestic",I156, IF(Notes!$B$9="Commercial",J156))*$K$149</f>
        <v>0</v>
      </c>
      <c r="L156" s="283">
        <f>IF(SUM(O156:Q156)=0,0,(SUM(O156:Q156)+(K156+SUM(M156:Q156))*(INDEX($U$149:$AB$149,MATCH(Notes!$C$16,$U$3:$AB$3,0))-100%))*$L$149)</f>
        <v>0</v>
      </c>
      <c r="M156" s="286"/>
      <c r="N156" s="286"/>
      <c r="O156" s="285"/>
      <c r="P156" s="285"/>
      <c r="Q156" s="285"/>
      <c r="R156" s="278"/>
      <c r="S156" s="278"/>
      <c r="T156" s="278"/>
    </row>
    <row r="157" spans="1:28" s="305" customFormat="1" hidden="1" outlineLevel="1" x14ac:dyDescent="0.25">
      <c r="A157" s="278"/>
      <c r="B157" s="279" t="str">
        <f t="shared" si="52"/>
        <v/>
      </c>
      <c r="C157" s="278"/>
      <c r="D157" s="278"/>
      <c r="E157" s="278"/>
      <c r="F157" s="278"/>
      <c r="G157" s="278"/>
      <c r="H157" s="290"/>
      <c r="I157" s="280">
        <f t="shared" si="55"/>
        <v>0</v>
      </c>
      <c r="J157" s="281">
        <f t="shared" si="54"/>
        <v>0</v>
      </c>
      <c r="K157" s="282">
        <f>IF(Notes!$B$9="Domestic",I157, IF(Notes!$B$9="Commercial",J157))*$K$149</f>
        <v>0</v>
      </c>
      <c r="L157" s="283">
        <f>IF(SUM(O157:Q157)=0,0,(SUM(O157:Q157)+(K157+SUM(M157:Q157))*(INDEX($U$149:$AB$149,MATCH(Notes!$C$16,$U$3:$AB$3,0))-100%))*$L$149)</f>
        <v>0</v>
      </c>
      <c r="M157" s="286"/>
      <c r="N157" s="286"/>
      <c r="O157" s="285"/>
      <c r="P157" s="285"/>
      <c r="Q157" s="285"/>
      <c r="R157" s="278"/>
      <c r="S157" s="278"/>
      <c r="T157" s="278"/>
    </row>
    <row r="158" spans="1:28" s="305" customFormat="1" hidden="1" outlineLevel="1" x14ac:dyDescent="0.25">
      <c r="A158" s="278"/>
      <c r="B158" s="279" t="str">
        <f t="shared" si="52"/>
        <v/>
      </c>
      <c r="C158" s="278"/>
      <c r="D158" s="278"/>
      <c r="E158" s="278"/>
      <c r="F158" s="278"/>
      <c r="G158" s="278"/>
      <c r="H158" s="290"/>
      <c r="I158" s="280">
        <f t="shared" si="55"/>
        <v>0</v>
      </c>
      <c r="J158" s="281">
        <f t="shared" si="54"/>
        <v>0</v>
      </c>
      <c r="K158" s="282">
        <f>IF(Notes!$B$9="Domestic",I158, IF(Notes!$B$9="Commercial",J158))*$K$149</f>
        <v>0</v>
      </c>
      <c r="L158" s="283">
        <f>IF(SUM(O158:Q158)=0,0,(SUM(O158:Q158)+(K158+SUM(M158:Q158))*(INDEX($U$149:$AB$149,MATCH(Notes!$C$16,$U$3:$AB$3,0))-100%))*$L$149)</f>
        <v>0</v>
      </c>
      <c r="M158" s="286"/>
      <c r="N158" s="286"/>
      <c r="O158" s="285"/>
      <c r="P158" s="285"/>
      <c r="Q158" s="285"/>
      <c r="R158" s="278"/>
      <c r="S158" s="278"/>
      <c r="T158" s="278"/>
    </row>
    <row r="159" spans="1:28" s="305" customFormat="1" hidden="1" outlineLevel="1" x14ac:dyDescent="0.25">
      <c r="A159" s="278"/>
      <c r="B159" s="279" t="str">
        <f t="shared" si="52"/>
        <v/>
      </c>
      <c r="C159" s="278"/>
      <c r="D159" s="278"/>
      <c r="E159" s="278"/>
      <c r="F159" s="278"/>
      <c r="G159" s="278"/>
      <c r="H159" s="290"/>
      <c r="I159" s="280">
        <f t="shared" si="55"/>
        <v>0</v>
      </c>
      <c r="J159" s="281">
        <f t="shared" si="54"/>
        <v>0</v>
      </c>
      <c r="K159" s="282">
        <f>IF(Notes!$B$9="Domestic",I159, IF(Notes!$B$9="Commercial",J159))*$K$149</f>
        <v>0</v>
      </c>
      <c r="L159" s="283">
        <f>IF(SUM(O159:Q159)=0,0,(SUM(O159:Q159)+(K159+SUM(M159:Q159))*(INDEX($U$149:$AB$149,MATCH(Notes!$C$16,$U$3:$AB$3,0))-100%))*$L$149)</f>
        <v>0</v>
      </c>
      <c r="M159" s="286"/>
      <c r="N159" s="286"/>
      <c r="O159" s="285"/>
      <c r="P159" s="285"/>
      <c r="Q159" s="285"/>
      <c r="R159" s="278"/>
      <c r="S159" s="278"/>
      <c r="T159" s="278"/>
    </row>
    <row r="160" spans="1:28" ht="21" hidden="1" outlineLevel="1" x14ac:dyDescent="0.25">
      <c r="A160" s="299"/>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row>
    <row r="161" spans="1:28" ht="15.75" hidden="1" outlineLevel="1" x14ac:dyDescent="0.25">
      <c r="A161" s="291"/>
      <c r="B161" s="291"/>
      <c r="C161" s="291"/>
      <c r="D161" s="291"/>
      <c r="E161" s="291"/>
      <c r="F161" s="291"/>
      <c r="G161" s="291"/>
      <c r="H161" s="291"/>
      <c r="I161" s="291"/>
      <c r="J161" s="291"/>
      <c r="K161" s="291">
        <f>K$2</f>
        <v>1</v>
      </c>
      <c r="L161" s="291">
        <f>L$2</f>
        <v>1</v>
      </c>
      <c r="M161" s="291"/>
      <c r="N161" s="291"/>
      <c r="O161" s="303"/>
      <c r="P161" s="303"/>
      <c r="Q161" s="303"/>
      <c r="R161" s="291"/>
      <c r="S161" s="291"/>
      <c r="T161" s="291"/>
      <c r="U161" s="291">
        <f>U$2</f>
        <v>1</v>
      </c>
      <c r="V161" s="291">
        <f>V$2</f>
        <v>1</v>
      </c>
      <c r="W161" s="291">
        <f t="shared" ref="W161:AB161" si="56">W$2</f>
        <v>1</v>
      </c>
      <c r="X161" s="291">
        <f t="shared" si="56"/>
        <v>1</v>
      </c>
      <c r="Y161" s="291">
        <f t="shared" si="56"/>
        <v>1</v>
      </c>
      <c r="Z161" s="291">
        <f t="shared" si="56"/>
        <v>1</v>
      </c>
      <c r="AA161" s="291">
        <f t="shared" si="56"/>
        <v>1</v>
      </c>
      <c r="AB161" s="291">
        <f t="shared" si="56"/>
        <v>1</v>
      </c>
    </row>
    <row r="162" spans="1:28" s="305" customFormat="1" hidden="1" outlineLevel="1" x14ac:dyDescent="0.25">
      <c r="A162" s="278"/>
      <c r="B162" s="279" t="str">
        <f>C162&amp;D162&amp;E162&amp;F162</f>
        <v/>
      </c>
      <c r="C162" s="278"/>
      <c r="D162" s="278"/>
      <c r="E162" s="278"/>
      <c r="F162" s="278"/>
      <c r="G162" s="278"/>
      <c r="H162" s="290"/>
      <c r="I162" s="280">
        <f>$I$2*H162</f>
        <v>0</v>
      </c>
      <c r="J162" s="281">
        <f>$J$2*H162</f>
        <v>0</v>
      </c>
      <c r="K162" s="282">
        <f>IF(Notes!$B$9="Domestic",I162, IF(Notes!$B$9="Commercial",J162))*$K$161</f>
        <v>0</v>
      </c>
      <c r="L162" s="283">
        <f>IF(SUM(O162:Q162)=0,0,(SUM(O162:Q162)+(K162+SUM(M162:Q162))*(INDEX($U$161:$AB$161,MATCH(Notes!$C$16,$U$3:$AB$3,0))-100%))*$L$161)</f>
        <v>0</v>
      </c>
      <c r="M162" s="286"/>
      <c r="N162" s="286"/>
      <c r="O162" s="285"/>
      <c r="P162" s="285"/>
      <c r="Q162" s="285"/>
      <c r="R162" s="278"/>
      <c r="S162" s="278"/>
      <c r="T162" s="278"/>
    </row>
    <row r="163" spans="1:28" s="305" customFormat="1" hidden="1" outlineLevel="1" x14ac:dyDescent="0.25">
      <c r="A163" s="278"/>
      <c r="B163" s="279" t="str">
        <f t="shared" ref="B163:B171" si="57">C163&amp;D163&amp;E163&amp;F163</f>
        <v/>
      </c>
      <c r="C163" s="278"/>
      <c r="D163" s="278"/>
      <c r="E163" s="278"/>
      <c r="F163" s="278"/>
      <c r="G163" s="278"/>
      <c r="H163" s="290"/>
      <c r="I163" s="280">
        <f t="shared" ref="I163:I165" si="58">$I$2*H163</f>
        <v>0</v>
      </c>
      <c r="J163" s="281">
        <f t="shared" ref="J163:J171" si="59">$J$2*H163</f>
        <v>0</v>
      </c>
      <c r="K163" s="282">
        <f>IF(Notes!$B$9="Domestic",I163, IF(Notes!$B$9="Commercial",J163))*$K$161</f>
        <v>0</v>
      </c>
      <c r="L163" s="283">
        <f>IF(SUM(O163:Q163)=0,0,(SUM(O163:Q163)+(K163+SUM(M163:Q163))*(INDEX($U$161:$AB$161,MATCH(Notes!$C$16,$U$3:$AB$3,0))-100%))*$L$161)</f>
        <v>0</v>
      </c>
      <c r="M163" s="286"/>
      <c r="N163" s="286"/>
      <c r="O163" s="285"/>
      <c r="P163" s="285"/>
      <c r="Q163" s="285"/>
      <c r="R163" s="278"/>
      <c r="S163" s="278"/>
      <c r="T163" s="278"/>
    </row>
    <row r="164" spans="1:28" s="305" customFormat="1" hidden="1" outlineLevel="1" x14ac:dyDescent="0.25">
      <c r="A164" s="278"/>
      <c r="B164" s="279" t="str">
        <f t="shared" si="57"/>
        <v/>
      </c>
      <c r="C164" s="278"/>
      <c r="D164" s="278"/>
      <c r="E164" s="278"/>
      <c r="F164" s="278"/>
      <c r="G164" s="278"/>
      <c r="H164" s="290"/>
      <c r="I164" s="280">
        <f t="shared" si="58"/>
        <v>0</v>
      </c>
      <c r="J164" s="281">
        <f t="shared" si="59"/>
        <v>0</v>
      </c>
      <c r="K164" s="282">
        <f>IF(Notes!$B$9="Domestic",I164, IF(Notes!$B$9="Commercial",J164))*$K$161</f>
        <v>0</v>
      </c>
      <c r="L164" s="283">
        <f>IF(SUM(O164:Q164)=0,0,(SUM(O164:Q164)+(K164+SUM(M164:Q164))*(INDEX($U$161:$AB$161,MATCH(Notes!$C$16,$U$3:$AB$3,0))-100%))*$L$161)</f>
        <v>0</v>
      </c>
      <c r="M164" s="286"/>
      <c r="N164" s="286"/>
      <c r="O164" s="285"/>
      <c r="P164" s="285"/>
      <c r="Q164" s="285"/>
      <c r="R164" s="278"/>
      <c r="S164" s="278"/>
      <c r="T164" s="278"/>
    </row>
    <row r="165" spans="1:28" s="305" customFormat="1" hidden="1" outlineLevel="1" x14ac:dyDescent="0.25">
      <c r="A165" s="278"/>
      <c r="B165" s="279" t="str">
        <f t="shared" si="57"/>
        <v/>
      </c>
      <c r="C165" s="278"/>
      <c r="D165" s="278"/>
      <c r="E165" s="278"/>
      <c r="F165" s="278"/>
      <c r="G165" s="278"/>
      <c r="H165" s="290"/>
      <c r="I165" s="280">
        <f t="shared" si="58"/>
        <v>0</v>
      </c>
      <c r="J165" s="281">
        <f t="shared" si="59"/>
        <v>0</v>
      </c>
      <c r="K165" s="282">
        <f>IF(Notes!$B$9="Domestic",I165, IF(Notes!$B$9="Commercial",J165))*$K$161</f>
        <v>0</v>
      </c>
      <c r="L165" s="283">
        <f>IF(SUM(O165:Q165)=0,0,(SUM(O165:Q165)+(K165+SUM(M165:Q165))*(INDEX($U$161:$AB$161,MATCH(Notes!$C$16,$U$3:$AB$3,0))-100%))*$L$161)</f>
        <v>0</v>
      </c>
      <c r="M165" s="286"/>
      <c r="N165" s="286"/>
      <c r="O165" s="285"/>
      <c r="P165" s="285"/>
      <c r="Q165" s="285"/>
      <c r="R165" s="278"/>
      <c r="S165" s="278"/>
      <c r="T165" s="278"/>
    </row>
    <row r="166" spans="1:28" s="305" customFormat="1" hidden="1" outlineLevel="1" x14ac:dyDescent="0.25">
      <c r="A166" s="278"/>
      <c r="B166" s="279" t="str">
        <f t="shared" si="57"/>
        <v/>
      </c>
      <c r="C166" s="278"/>
      <c r="D166" s="278"/>
      <c r="E166" s="278"/>
      <c r="F166" s="278"/>
      <c r="G166" s="278"/>
      <c r="H166" s="290"/>
      <c r="I166" s="280">
        <f>$I$2*H166</f>
        <v>0</v>
      </c>
      <c r="J166" s="281">
        <f t="shared" si="59"/>
        <v>0</v>
      </c>
      <c r="K166" s="282">
        <f>IF(Notes!$B$9="Domestic",I166, IF(Notes!$B$9="Commercial",J166))*$K$161</f>
        <v>0</v>
      </c>
      <c r="L166" s="283">
        <f>IF(SUM(O166:Q166)=0,0,(SUM(O166:Q166)+(K166+SUM(M166:Q166))*(INDEX($U$161:$AB$161,MATCH(Notes!$C$16,$U$3:$AB$3,0))-100%))*$L$161)</f>
        <v>0</v>
      </c>
      <c r="M166" s="286"/>
      <c r="N166" s="286"/>
      <c r="O166" s="285"/>
      <c r="P166" s="285"/>
      <c r="Q166" s="285"/>
      <c r="R166" s="278"/>
      <c r="S166" s="278"/>
      <c r="T166" s="278"/>
    </row>
    <row r="167" spans="1:28" s="305" customFormat="1" hidden="1" outlineLevel="1" x14ac:dyDescent="0.25">
      <c r="A167" s="278"/>
      <c r="B167" s="279" t="str">
        <f t="shared" si="57"/>
        <v/>
      </c>
      <c r="C167" s="278"/>
      <c r="D167" s="278"/>
      <c r="E167" s="278"/>
      <c r="F167" s="278"/>
      <c r="G167" s="278"/>
      <c r="H167" s="290"/>
      <c r="I167" s="280">
        <f t="shared" ref="I167:I171" si="60">$I$2*H167</f>
        <v>0</v>
      </c>
      <c r="J167" s="281">
        <f t="shared" si="59"/>
        <v>0</v>
      </c>
      <c r="K167" s="282">
        <f>IF(Notes!$B$9="Domestic",I167, IF(Notes!$B$9="Commercial",J167))*$K$161</f>
        <v>0</v>
      </c>
      <c r="L167" s="283">
        <f>IF(SUM(O167:Q167)=0,0,(SUM(O167:Q167)+(K167+SUM(M167:Q167))*(INDEX($U$161:$AB$161,MATCH(Notes!$C$16,$U$3:$AB$3,0))-100%))*$L$161)</f>
        <v>0</v>
      </c>
      <c r="M167" s="286"/>
      <c r="N167" s="286"/>
      <c r="O167" s="285"/>
      <c r="P167" s="285"/>
      <c r="Q167" s="285"/>
      <c r="R167" s="278"/>
      <c r="S167" s="278"/>
      <c r="T167" s="278"/>
    </row>
    <row r="168" spans="1:28" s="305" customFormat="1" hidden="1" outlineLevel="1" x14ac:dyDescent="0.25">
      <c r="A168" s="278"/>
      <c r="B168" s="279" t="str">
        <f t="shared" si="57"/>
        <v/>
      </c>
      <c r="C168" s="278"/>
      <c r="D168" s="278"/>
      <c r="E168" s="278"/>
      <c r="F168" s="278"/>
      <c r="G168" s="278"/>
      <c r="H168" s="290"/>
      <c r="I168" s="280">
        <f t="shared" si="60"/>
        <v>0</v>
      </c>
      <c r="J168" s="281">
        <f t="shared" si="59"/>
        <v>0</v>
      </c>
      <c r="K168" s="282">
        <f>IF(Notes!$B$9="Domestic",I168, IF(Notes!$B$9="Commercial",J168))*$K$161</f>
        <v>0</v>
      </c>
      <c r="L168" s="283">
        <f>IF(SUM(O168:Q168)=0,0,(SUM(O168:Q168)+(K168+SUM(M168:Q168))*(INDEX($U$161:$AB$161,MATCH(Notes!$C$16,$U$3:$AB$3,0))-100%))*$L$161)</f>
        <v>0</v>
      </c>
      <c r="M168" s="286"/>
      <c r="N168" s="286"/>
      <c r="O168" s="285"/>
      <c r="P168" s="285"/>
      <c r="Q168" s="285"/>
      <c r="R168" s="278"/>
      <c r="S168" s="278"/>
      <c r="T168" s="278"/>
    </row>
    <row r="169" spans="1:28" s="305" customFormat="1" hidden="1" outlineLevel="1" x14ac:dyDescent="0.25">
      <c r="A169" s="278"/>
      <c r="B169" s="279" t="str">
        <f t="shared" si="57"/>
        <v/>
      </c>
      <c r="C169" s="278"/>
      <c r="D169" s="278"/>
      <c r="E169" s="278"/>
      <c r="F169" s="278"/>
      <c r="G169" s="278"/>
      <c r="H169" s="290"/>
      <c r="I169" s="280">
        <f t="shared" si="60"/>
        <v>0</v>
      </c>
      <c r="J169" s="281">
        <f t="shared" si="59"/>
        <v>0</v>
      </c>
      <c r="K169" s="282">
        <f>IF(Notes!$B$9="Domestic",I169, IF(Notes!$B$9="Commercial",J169))*$K$161</f>
        <v>0</v>
      </c>
      <c r="L169" s="283">
        <f>IF(SUM(O169:Q169)=0,0,(SUM(O169:Q169)+(K169+SUM(M169:Q169))*(INDEX($U$161:$AB$161,MATCH(Notes!$C$16,$U$3:$AB$3,0))-100%))*$L$161)</f>
        <v>0</v>
      </c>
      <c r="M169" s="286"/>
      <c r="N169" s="286"/>
      <c r="O169" s="285"/>
      <c r="P169" s="285"/>
      <c r="Q169" s="285"/>
      <c r="R169" s="278"/>
      <c r="S169" s="278"/>
      <c r="T169" s="278"/>
    </row>
    <row r="170" spans="1:28" s="305" customFormat="1" hidden="1" outlineLevel="1" x14ac:dyDescent="0.25">
      <c r="A170" s="278"/>
      <c r="B170" s="279" t="str">
        <f t="shared" si="57"/>
        <v/>
      </c>
      <c r="C170" s="278"/>
      <c r="D170" s="278"/>
      <c r="E170" s="278"/>
      <c r="F170" s="278"/>
      <c r="G170" s="278"/>
      <c r="H170" s="290"/>
      <c r="I170" s="280">
        <f t="shared" si="60"/>
        <v>0</v>
      </c>
      <c r="J170" s="281">
        <f t="shared" si="59"/>
        <v>0</v>
      </c>
      <c r="K170" s="282">
        <f>IF(Notes!$B$9="Domestic",I170, IF(Notes!$B$9="Commercial",J170))*$K$161</f>
        <v>0</v>
      </c>
      <c r="L170" s="283">
        <f>IF(SUM(O170:Q170)=0,0,(SUM(O170:Q170)+(K170+SUM(M170:Q170))*(INDEX($U$161:$AB$161,MATCH(Notes!$C$16,$U$3:$AB$3,0))-100%))*$L$161)</f>
        <v>0</v>
      </c>
      <c r="M170" s="286"/>
      <c r="N170" s="286"/>
      <c r="O170" s="285"/>
      <c r="P170" s="285"/>
      <c r="Q170" s="285"/>
      <c r="R170" s="278"/>
      <c r="S170" s="278"/>
      <c r="T170" s="278"/>
    </row>
    <row r="171" spans="1:28" s="305" customFormat="1" hidden="1" outlineLevel="1" x14ac:dyDescent="0.25">
      <c r="A171" s="278"/>
      <c r="B171" s="279" t="str">
        <f t="shared" si="57"/>
        <v/>
      </c>
      <c r="C171" s="278"/>
      <c r="D171" s="278"/>
      <c r="E171" s="278"/>
      <c r="F171" s="278"/>
      <c r="G171" s="278"/>
      <c r="H171" s="290"/>
      <c r="I171" s="280">
        <f t="shared" si="60"/>
        <v>0</v>
      </c>
      <c r="J171" s="281">
        <f t="shared" si="59"/>
        <v>0</v>
      </c>
      <c r="K171" s="282">
        <f>IF(Notes!$B$9="Domestic",I171, IF(Notes!$B$9="Commercial",J171))*$K$161</f>
        <v>0</v>
      </c>
      <c r="L171" s="283">
        <f>IF(SUM(O171:Q171)=0,0,(SUM(O171:Q171)+(K171+SUM(M171:Q171))*(INDEX($U$161:$AB$161,MATCH(Notes!$C$16,$U$3:$AB$3,0))-100%))*$L$161)</f>
        <v>0</v>
      </c>
      <c r="M171" s="286"/>
      <c r="N171" s="286"/>
      <c r="O171" s="285"/>
      <c r="P171" s="285"/>
      <c r="Q171" s="285"/>
      <c r="R171" s="278"/>
      <c r="S171" s="278"/>
      <c r="T171" s="278"/>
    </row>
    <row r="172" spans="1:28" ht="21" hidden="1" outlineLevel="1" x14ac:dyDescent="0.25">
      <c r="A172" s="299"/>
      <c r="B172" s="299"/>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row>
    <row r="173" spans="1:28" ht="15.75" hidden="1" outlineLevel="1" x14ac:dyDescent="0.25">
      <c r="A173" s="291"/>
      <c r="B173" s="291"/>
      <c r="C173" s="291"/>
      <c r="D173" s="291"/>
      <c r="E173" s="291"/>
      <c r="F173" s="291"/>
      <c r="G173" s="291"/>
      <c r="H173" s="291"/>
      <c r="I173" s="291"/>
      <c r="J173" s="291"/>
      <c r="K173" s="291">
        <f>K$2</f>
        <v>1</v>
      </c>
      <c r="L173" s="291">
        <f>L$2</f>
        <v>1</v>
      </c>
      <c r="M173" s="291"/>
      <c r="N173" s="291"/>
      <c r="O173" s="303"/>
      <c r="P173" s="303"/>
      <c r="Q173" s="303"/>
      <c r="R173" s="291"/>
      <c r="S173" s="291"/>
      <c r="T173" s="291"/>
      <c r="U173" s="291">
        <f>U$2</f>
        <v>1</v>
      </c>
      <c r="V173" s="291">
        <f>V$2</f>
        <v>1</v>
      </c>
      <c r="W173" s="291">
        <f t="shared" ref="W173:AB173" si="61">W$2</f>
        <v>1</v>
      </c>
      <c r="X173" s="291">
        <f t="shared" si="61"/>
        <v>1</v>
      </c>
      <c r="Y173" s="291">
        <f t="shared" si="61"/>
        <v>1</v>
      </c>
      <c r="Z173" s="291">
        <f t="shared" si="61"/>
        <v>1</v>
      </c>
      <c r="AA173" s="291">
        <f t="shared" si="61"/>
        <v>1</v>
      </c>
      <c r="AB173" s="291">
        <f t="shared" si="61"/>
        <v>1</v>
      </c>
    </row>
    <row r="174" spans="1:28" s="305" customFormat="1" hidden="1" outlineLevel="1" x14ac:dyDescent="0.25">
      <c r="A174" s="278"/>
      <c r="B174" s="279" t="str">
        <f>C174&amp;D174&amp;E174&amp;F174</f>
        <v/>
      </c>
      <c r="C174" s="278"/>
      <c r="D174" s="278"/>
      <c r="E174" s="278"/>
      <c r="F174" s="278"/>
      <c r="G174" s="278"/>
      <c r="H174" s="290"/>
      <c r="I174" s="280">
        <f>$I$2*H174</f>
        <v>0</v>
      </c>
      <c r="J174" s="281">
        <f>$J$2*H174</f>
        <v>0</v>
      </c>
      <c r="K174" s="282">
        <f>IF(Notes!$B$9="Domestic",I174, IF(Notes!$B$9="Commercial",J174))*$K$173</f>
        <v>0</v>
      </c>
      <c r="L174" s="283">
        <f>IF(SUM(O174:Q174)=0,0,(SUM(O174:Q174)+(K174+SUM(M174:Q174))*(INDEX($U$173:$AB$173,MATCH(Notes!$C$16,$U$3:$AB$3,0))-100%))*$L$173)</f>
        <v>0</v>
      </c>
      <c r="M174" s="286"/>
      <c r="N174" s="286"/>
      <c r="O174" s="285"/>
      <c r="P174" s="285"/>
      <c r="Q174" s="285"/>
      <c r="R174" s="278"/>
      <c r="S174" s="278"/>
      <c r="T174" s="278"/>
    </row>
    <row r="175" spans="1:28" s="305" customFormat="1" hidden="1" outlineLevel="1" x14ac:dyDescent="0.25">
      <c r="A175" s="278"/>
      <c r="B175" s="279" t="str">
        <f t="shared" ref="B175:B183" si="62">C175&amp;D175&amp;E175&amp;F175</f>
        <v/>
      </c>
      <c r="C175" s="278"/>
      <c r="D175" s="278"/>
      <c r="E175" s="278"/>
      <c r="F175" s="278"/>
      <c r="G175" s="278"/>
      <c r="H175" s="290"/>
      <c r="I175" s="280">
        <f t="shared" ref="I175:I177" si="63">$I$2*H175</f>
        <v>0</v>
      </c>
      <c r="J175" s="281">
        <f t="shared" ref="J175:J183" si="64">$J$2*H175</f>
        <v>0</v>
      </c>
      <c r="K175" s="282">
        <f>IF(Notes!$B$9="Domestic",I175, IF(Notes!$B$9="Commercial",J175))*$K$173</f>
        <v>0</v>
      </c>
      <c r="L175" s="283">
        <f>IF(SUM(O175:Q175)=0,0,(SUM(O175:Q175)+(K175+SUM(M175:Q175))*(INDEX($U$173:$AB$173,MATCH(Notes!$C$16,$U$3:$AB$3,0))-100%))*$L$173)</f>
        <v>0</v>
      </c>
      <c r="M175" s="286"/>
      <c r="N175" s="286"/>
      <c r="O175" s="285"/>
      <c r="P175" s="285"/>
      <c r="Q175" s="285"/>
      <c r="R175" s="278"/>
      <c r="S175" s="278"/>
      <c r="T175" s="278"/>
    </row>
    <row r="176" spans="1:28" s="305" customFormat="1" hidden="1" outlineLevel="1" x14ac:dyDescent="0.25">
      <c r="A176" s="278"/>
      <c r="B176" s="279" t="str">
        <f t="shared" si="62"/>
        <v/>
      </c>
      <c r="C176" s="278"/>
      <c r="D176" s="278"/>
      <c r="E176" s="278"/>
      <c r="F176" s="278"/>
      <c r="G176" s="278"/>
      <c r="H176" s="290"/>
      <c r="I176" s="280">
        <f t="shared" si="63"/>
        <v>0</v>
      </c>
      <c r="J176" s="281">
        <f t="shared" si="64"/>
        <v>0</v>
      </c>
      <c r="K176" s="282">
        <f>IF(Notes!$B$9="Domestic",I176, IF(Notes!$B$9="Commercial",J176))*$K$173</f>
        <v>0</v>
      </c>
      <c r="L176" s="283">
        <f>IF(SUM(O176:Q176)=0,0,(SUM(O176:Q176)+(K176+SUM(M176:Q176))*(INDEX($U$173:$AB$173,MATCH(Notes!$C$16,$U$3:$AB$3,0))-100%))*$L$173)</f>
        <v>0</v>
      </c>
      <c r="M176" s="286"/>
      <c r="N176" s="286"/>
      <c r="O176" s="285"/>
      <c r="P176" s="285"/>
      <c r="Q176" s="285"/>
      <c r="R176" s="278"/>
      <c r="S176" s="278"/>
      <c r="T176" s="278"/>
    </row>
    <row r="177" spans="1:28" s="305" customFormat="1" hidden="1" outlineLevel="1" x14ac:dyDescent="0.25">
      <c r="A177" s="278"/>
      <c r="B177" s="279" t="str">
        <f t="shared" si="62"/>
        <v/>
      </c>
      <c r="C177" s="278"/>
      <c r="D177" s="278"/>
      <c r="E177" s="278"/>
      <c r="F177" s="278"/>
      <c r="G177" s="278"/>
      <c r="H177" s="290"/>
      <c r="I177" s="280">
        <f t="shared" si="63"/>
        <v>0</v>
      </c>
      <c r="J177" s="281">
        <f t="shared" si="64"/>
        <v>0</v>
      </c>
      <c r="K177" s="282">
        <f>IF(Notes!$B$9="Domestic",I177, IF(Notes!$B$9="Commercial",J177))*$K$173</f>
        <v>0</v>
      </c>
      <c r="L177" s="283">
        <f>IF(SUM(O177:Q177)=0,0,(SUM(O177:Q177)+(K177+SUM(M177:Q177))*(INDEX($U$173:$AB$173,MATCH(Notes!$C$16,$U$3:$AB$3,0))-100%))*$L$173)</f>
        <v>0</v>
      </c>
      <c r="M177" s="286"/>
      <c r="N177" s="286"/>
      <c r="O177" s="285"/>
      <c r="P177" s="285"/>
      <c r="Q177" s="285"/>
      <c r="R177" s="278"/>
      <c r="S177" s="278"/>
      <c r="T177" s="278"/>
    </row>
    <row r="178" spans="1:28" s="305" customFormat="1" hidden="1" outlineLevel="1" x14ac:dyDescent="0.25">
      <c r="A178" s="278"/>
      <c r="B178" s="279" t="str">
        <f t="shared" si="62"/>
        <v/>
      </c>
      <c r="C178" s="278"/>
      <c r="D178" s="278"/>
      <c r="E178" s="278"/>
      <c r="F178" s="278"/>
      <c r="G178" s="278"/>
      <c r="H178" s="290"/>
      <c r="I178" s="280">
        <f>$I$2*H178</f>
        <v>0</v>
      </c>
      <c r="J178" s="281">
        <f t="shared" si="64"/>
        <v>0</v>
      </c>
      <c r="K178" s="282">
        <f>IF(Notes!$B$9="Domestic",I178, IF(Notes!$B$9="Commercial",J178))*$K$173</f>
        <v>0</v>
      </c>
      <c r="L178" s="283">
        <f>IF(SUM(O178:Q178)=0,0,(SUM(O178:Q178)+(K178+SUM(M178:Q178))*(INDEX($U$173:$AB$173,MATCH(Notes!$C$16,$U$3:$AB$3,0))-100%))*$L$173)</f>
        <v>0</v>
      </c>
      <c r="M178" s="286"/>
      <c r="N178" s="286"/>
      <c r="O178" s="285"/>
      <c r="P178" s="285"/>
      <c r="Q178" s="285"/>
      <c r="R178" s="278"/>
      <c r="S178" s="278"/>
      <c r="T178" s="278"/>
    </row>
    <row r="179" spans="1:28" s="305" customFormat="1" hidden="1" outlineLevel="1" x14ac:dyDescent="0.25">
      <c r="A179" s="278"/>
      <c r="B179" s="279" t="str">
        <f t="shared" si="62"/>
        <v/>
      </c>
      <c r="C179" s="278"/>
      <c r="D179" s="278"/>
      <c r="E179" s="278"/>
      <c r="F179" s="278"/>
      <c r="G179" s="278"/>
      <c r="H179" s="290"/>
      <c r="I179" s="280">
        <f t="shared" ref="I179:I183" si="65">$I$2*H179</f>
        <v>0</v>
      </c>
      <c r="J179" s="281">
        <f t="shared" si="64"/>
        <v>0</v>
      </c>
      <c r="K179" s="282">
        <f>IF(Notes!$B$9="Domestic",I179, IF(Notes!$B$9="Commercial",J179))*$K$173</f>
        <v>0</v>
      </c>
      <c r="L179" s="283">
        <f>IF(SUM(O179:Q179)=0,0,(SUM(O179:Q179)+(K179+SUM(M179:Q179))*(INDEX($U$173:$AB$173,MATCH(Notes!$C$16,$U$3:$AB$3,0))-100%))*$L$173)</f>
        <v>0</v>
      </c>
      <c r="M179" s="286"/>
      <c r="N179" s="286"/>
      <c r="O179" s="285"/>
      <c r="P179" s="285"/>
      <c r="Q179" s="285"/>
      <c r="R179" s="278"/>
      <c r="S179" s="278"/>
      <c r="T179" s="278"/>
    </row>
    <row r="180" spans="1:28" s="305" customFormat="1" hidden="1" outlineLevel="1" x14ac:dyDescent="0.25">
      <c r="A180" s="278"/>
      <c r="B180" s="279" t="str">
        <f t="shared" si="62"/>
        <v/>
      </c>
      <c r="C180" s="278"/>
      <c r="D180" s="278"/>
      <c r="E180" s="278"/>
      <c r="F180" s="278"/>
      <c r="G180" s="278"/>
      <c r="H180" s="290"/>
      <c r="I180" s="280">
        <f t="shared" si="65"/>
        <v>0</v>
      </c>
      <c r="J180" s="281">
        <f t="shared" si="64"/>
        <v>0</v>
      </c>
      <c r="K180" s="282">
        <f>IF(Notes!$B$9="Domestic",I180, IF(Notes!$B$9="Commercial",J180))*$K$173</f>
        <v>0</v>
      </c>
      <c r="L180" s="283">
        <f>IF(SUM(O180:Q180)=0,0,(SUM(O180:Q180)+(K180+SUM(M180:Q180))*(INDEX($U$173:$AB$173,MATCH(Notes!$C$16,$U$3:$AB$3,0))-100%))*$L$173)</f>
        <v>0</v>
      </c>
      <c r="M180" s="286"/>
      <c r="N180" s="286"/>
      <c r="O180" s="285"/>
      <c r="P180" s="285"/>
      <c r="Q180" s="285"/>
      <c r="R180" s="278"/>
      <c r="S180" s="278"/>
      <c r="T180" s="278"/>
    </row>
    <row r="181" spans="1:28" s="305" customFormat="1" hidden="1" outlineLevel="1" x14ac:dyDescent="0.25">
      <c r="A181" s="278"/>
      <c r="B181" s="279" t="str">
        <f t="shared" si="62"/>
        <v/>
      </c>
      <c r="C181" s="278"/>
      <c r="D181" s="278"/>
      <c r="E181" s="278"/>
      <c r="F181" s="278"/>
      <c r="G181" s="278"/>
      <c r="H181" s="290"/>
      <c r="I181" s="280">
        <f t="shared" si="65"/>
        <v>0</v>
      </c>
      <c r="J181" s="281">
        <f t="shared" si="64"/>
        <v>0</v>
      </c>
      <c r="K181" s="282">
        <f>IF(Notes!$B$9="Domestic",I181, IF(Notes!$B$9="Commercial",J181))*$K$173</f>
        <v>0</v>
      </c>
      <c r="L181" s="283">
        <f>IF(SUM(O181:Q181)=0,0,(SUM(O181:Q181)+(K181+SUM(M181:Q181))*(INDEX($U$173:$AB$173,MATCH(Notes!$C$16,$U$3:$AB$3,0))-100%))*$L$173)</f>
        <v>0</v>
      </c>
      <c r="M181" s="286"/>
      <c r="N181" s="286"/>
      <c r="O181" s="285"/>
      <c r="P181" s="285"/>
      <c r="Q181" s="285"/>
      <c r="R181" s="278"/>
      <c r="S181" s="278"/>
      <c r="T181" s="278"/>
    </row>
    <row r="182" spans="1:28" s="305" customFormat="1" hidden="1" outlineLevel="1" x14ac:dyDescent="0.25">
      <c r="A182" s="278"/>
      <c r="B182" s="279" t="str">
        <f t="shared" si="62"/>
        <v/>
      </c>
      <c r="C182" s="278"/>
      <c r="D182" s="278"/>
      <c r="E182" s="278"/>
      <c r="F182" s="278"/>
      <c r="G182" s="278"/>
      <c r="H182" s="290"/>
      <c r="I182" s="280">
        <f t="shared" si="65"/>
        <v>0</v>
      </c>
      <c r="J182" s="281">
        <f t="shared" si="64"/>
        <v>0</v>
      </c>
      <c r="K182" s="282">
        <f>IF(Notes!$B$9="Domestic",I182, IF(Notes!$B$9="Commercial",J182))*$K$173</f>
        <v>0</v>
      </c>
      <c r="L182" s="283">
        <f>IF(SUM(O182:Q182)=0,0,(SUM(O182:Q182)+(K182+SUM(M182:Q182))*(INDEX($U$173:$AB$173,MATCH(Notes!$C$16,$U$3:$AB$3,0))-100%))*$L$173)</f>
        <v>0</v>
      </c>
      <c r="M182" s="286"/>
      <c r="N182" s="286"/>
      <c r="O182" s="285"/>
      <c r="P182" s="285"/>
      <c r="Q182" s="285"/>
      <c r="R182" s="278"/>
      <c r="S182" s="278"/>
      <c r="T182" s="278"/>
    </row>
    <row r="183" spans="1:28" s="305" customFormat="1" hidden="1" outlineLevel="1" x14ac:dyDescent="0.25">
      <c r="A183" s="278"/>
      <c r="B183" s="279" t="str">
        <f t="shared" si="62"/>
        <v/>
      </c>
      <c r="C183" s="278"/>
      <c r="D183" s="278"/>
      <c r="E183" s="278"/>
      <c r="F183" s="278"/>
      <c r="G183" s="278"/>
      <c r="H183" s="290"/>
      <c r="I183" s="280">
        <f t="shared" si="65"/>
        <v>0</v>
      </c>
      <c r="J183" s="281">
        <f t="shared" si="64"/>
        <v>0</v>
      </c>
      <c r="K183" s="282">
        <f>IF(Notes!$B$9="Domestic",I183, IF(Notes!$B$9="Commercial",J183))*$K$173</f>
        <v>0</v>
      </c>
      <c r="L183" s="283">
        <f>IF(SUM(O183:Q183)=0,0,(SUM(O183:Q183)+(K183+SUM(M183:Q183))*(INDEX($U$173:$AB$173,MATCH(Notes!$C$16,$U$3:$AB$3,0))-100%))*$L$173)</f>
        <v>0</v>
      </c>
      <c r="M183" s="286"/>
      <c r="N183" s="286"/>
      <c r="O183" s="285"/>
      <c r="P183" s="285"/>
      <c r="Q183" s="285"/>
      <c r="R183" s="278"/>
      <c r="S183" s="278"/>
      <c r="T183" s="278"/>
    </row>
    <row r="184" spans="1:28" ht="21" hidden="1" outlineLevel="1" x14ac:dyDescent="0.25">
      <c r="A184" s="299"/>
      <c r="B184" s="299"/>
      <c r="C184" s="299"/>
      <c r="D184" s="299"/>
      <c r="E184" s="299"/>
      <c r="F184" s="299"/>
      <c r="G184" s="299"/>
      <c r="H184" s="299"/>
      <c r="I184" s="299"/>
      <c r="J184" s="299"/>
      <c r="K184" s="299"/>
      <c r="L184" s="299"/>
      <c r="M184" s="299"/>
      <c r="N184" s="299"/>
      <c r="O184" s="299"/>
      <c r="P184" s="299"/>
      <c r="Q184" s="299"/>
      <c r="R184" s="299"/>
      <c r="S184" s="299"/>
      <c r="T184" s="299"/>
      <c r="U184" s="299"/>
      <c r="V184" s="299"/>
      <c r="W184" s="299"/>
      <c r="X184" s="299"/>
      <c r="Y184" s="299"/>
      <c r="Z184" s="299"/>
      <c r="AA184" s="299"/>
      <c r="AB184" s="299"/>
    </row>
    <row r="185" spans="1:28" ht="15.75" hidden="1" outlineLevel="1" x14ac:dyDescent="0.25">
      <c r="A185" s="291"/>
      <c r="B185" s="291"/>
      <c r="C185" s="291"/>
      <c r="D185" s="291"/>
      <c r="E185" s="291"/>
      <c r="F185" s="291"/>
      <c r="G185" s="291"/>
      <c r="H185" s="291"/>
      <c r="I185" s="291"/>
      <c r="J185" s="291"/>
      <c r="K185" s="291">
        <f>K$2</f>
        <v>1</v>
      </c>
      <c r="L185" s="291">
        <f>L$2</f>
        <v>1</v>
      </c>
      <c r="M185" s="291"/>
      <c r="N185" s="291"/>
      <c r="O185" s="303"/>
      <c r="P185" s="303"/>
      <c r="Q185" s="303"/>
      <c r="R185" s="291"/>
      <c r="S185" s="291"/>
      <c r="T185" s="291"/>
      <c r="U185" s="291">
        <f>U$2</f>
        <v>1</v>
      </c>
      <c r="V185" s="291">
        <f>V$2</f>
        <v>1</v>
      </c>
      <c r="W185" s="291">
        <f t="shared" ref="W185:AB185" si="66">W$2</f>
        <v>1</v>
      </c>
      <c r="X185" s="291">
        <f t="shared" si="66"/>
        <v>1</v>
      </c>
      <c r="Y185" s="291">
        <f t="shared" si="66"/>
        <v>1</v>
      </c>
      <c r="Z185" s="291">
        <f t="shared" si="66"/>
        <v>1</v>
      </c>
      <c r="AA185" s="291">
        <f t="shared" si="66"/>
        <v>1</v>
      </c>
      <c r="AB185" s="291">
        <f t="shared" si="66"/>
        <v>1</v>
      </c>
    </row>
    <row r="186" spans="1:28" s="305" customFormat="1" hidden="1" outlineLevel="1" x14ac:dyDescent="0.25">
      <c r="A186" s="278"/>
      <c r="B186" s="279" t="str">
        <f>C186&amp;D186&amp;E186&amp;F186</f>
        <v/>
      </c>
      <c r="C186" s="278"/>
      <c r="D186" s="278"/>
      <c r="E186" s="278"/>
      <c r="F186" s="278"/>
      <c r="G186" s="278"/>
      <c r="H186" s="290"/>
      <c r="I186" s="280">
        <f>$I$2*H186</f>
        <v>0</v>
      </c>
      <c r="J186" s="281">
        <f>$J$2*H186</f>
        <v>0</v>
      </c>
      <c r="K186" s="282">
        <f>IF(Notes!$B$9="Domestic",I186, IF(Notes!$B$9="Commercial",J186))*$K$185</f>
        <v>0</v>
      </c>
      <c r="L186" s="283">
        <f>IF(SUM(O186:Q186)=0,0,(SUM(O186:Q186)+(K186+SUM(M186:Q186))*(INDEX($U$185:$AB$185,MATCH(Notes!$C$16,$U$3:$AB$3,0))-100%))*$L$185)</f>
        <v>0</v>
      </c>
      <c r="M186" s="286"/>
      <c r="N186" s="286"/>
      <c r="O186" s="285"/>
      <c r="P186" s="285"/>
      <c r="Q186" s="285"/>
      <c r="R186" s="278"/>
      <c r="S186" s="278"/>
      <c r="T186" s="278"/>
    </row>
    <row r="187" spans="1:28" s="305" customFormat="1" hidden="1" outlineLevel="1" x14ac:dyDescent="0.25">
      <c r="A187" s="278"/>
      <c r="B187" s="279" t="str">
        <f t="shared" ref="B187:B195" si="67">C187&amp;D187&amp;E187&amp;F187</f>
        <v/>
      </c>
      <c r="C187" s="278"/>
      <c r="D187" s="278"/>
      <c r="E187" s="278"/>
      <c r="F187" s="278"/>
      <c r="G187" s="278"/>
      <c r="H187" s="290"/>
      <c r="I187" s="280">
        <f t="shared" ref="I187:I189" si="68">$I$2*H187</f>
        <v>0</v>
      </c>
      <c r="J187" s="281">
        <f t="shared" ref="J187:J195" si="69">$J$2*H187</f>
        <v>0</v>
      </c>
      <c r="K187" s="282">
        <f>IF(Notes!$B$9="Domestic",I187, IF(Notes!$B$9="Commercial",J187))*$K$185</f>
        <v>0</v>
      </c>
      <c r="L187" s="283">
        <f>IF(SUM(O187:Q187)=0,0,(SUM(O187:Q187)+(K187+SUM(M187:Q187))*(INDEX($U$185:$AB$185,MATCH(Notes!$C$16,$U$3:$AB$3,0))-100%))*$L$185)</f>
        <v>0</v>
      </c>
      <c r="M187" s="286"/>
      <c r="N187" s="286"/>
      <c r="O187" s="285"/>
      <c r="P187" s="285"/>
      <c r="Q187" s="285"/>
      <c r="R187" s="278"/>
      <c r="S187" s="278"/>
      <c r="T187" s="278"/>
    </row>
    <row r="188" spans="1:28" s="305" customFormat="1" hidden="1" outlineLevel="1" x14ac:dyDescent="0.25">
      <c r="A188" s="278"/>
      <c r="B188" s="279" t="str">
        <f t="shared" si="67"/>
        <v/>
      </c>
      <c r="C188" s="278"/>
      <c r="D188" s="278"/>
      <c r="E188" s="278"/>
      <c r="F188" s="278"/>
      <c r="G188" s="278"/>
      <c r="H188" s="290"/>
      <c r="I188" s="280">
        <f t="shared" si="68"/>
        <v>0</v>
      </c>
      <c r="J188" s="281">
        <f t="shared" si="69"/>
        <v>0</v>
      </c>
      <c r="K188" s="282">
        <f>IF(Notes!$B$9="Domestic",I188, IF(Notes!$B$9="Commercial",J188))*$K$185</f>
        <v>0</v>
      </c>
      <c r="L188" s="283">
        <f>IF(SUM(O188:Q188)=0,0,(SUM(O188:Q188)+(K188+SUM(M188:Q188))*(INDEX($U$185:$AB$185,MATCH(Notes!$C$16,$U$3:$AB$3,0))-100%))*$L$185)</f>
        <v>0</v>
      </c>
      <c r="M188" s="286"/>
      <c r="N188" s="286"/>
      <c r="O188" s="285"/>
      <c r="P188" s="285"/>
      <c r="Q188" s="285"/>
      <c r="R188" s="278"/>
      <c r="S188" s="278"/>
      <c r="T188" s="278"/>
    </row>
    <row r="189" spans="1:28" s="305" customFormat="1" hidden="1" outlineLevel="1" x14ac:dyDescent="0.25">
      <c r="A189" s="278"/>
      <c r="B189" s="279" t="str">
        <f t="shared" si="67"/>
        <v/>
      </c>
      <c r="C189" s="278"/>
      <c r="D189" s="278"/>
      <c r="E189" s="278"/>
      <c r="F189" s="278"/>
      <c r="G189" s="278"/>
      <c r="H189" s="290"/>
      <c r="I189" s="280">
        <f t="shared" si="68"/>
        <v>0</v>
      </c>
      <c r="J189" s="281">
        <f t="shared" si="69"/>
        <v>0</v>
      </c>
      <c r="K189" s="282">
        <f>IF(Notes!$B$9="Domestic",I189, IF(Notes!$B$9="Commercial",J189))*$K$185</f>
        <v>0</v>
      </c>
      <c r="L189" s="283">
        <f>IF(SUM(O189:Q189)=0,0,(SUM(O189:Q189)+(K189+SUM(M189:Q189))*(INDEX($U$185:$AB$185,MATCH(Notes!$C$16,$U$3:$AB$3,0))-100%))*$L$185)</f>
        <v>0</v>
      </c>
      <c r="M189" s="286"/>
      <c r="N189" s="286"/>
      <c r="O189" s="285"/>
      <c r="P189" s="285"/>
      <c r="Q189" s="285"/>
      <c r="R189" s="278"/>
      <c r="S189" s="278"/>
      <c r="T189" s="278"/>
    </row>
    <row r="190" spans="1:28" s="305" customFormat="1" hidden="1" outlineLevel="1" x14ac:dyDescent="0.25">
      <c r="A190" s="278"/>
      <c r="B190" s="279" t="str">
        <f t="shared" si="67"/>
        <v/>
      </c>
      <c r="C190" s="278"/>
      <c r="D190" s="278"/>
      <c r="E190" s="278"/>
      <c r="F190" s="278"/>
      <c r="G190" s="278"/>
      <c r="H190" s="290"/>
      <c r="I190" s="280">
        <f>$I$2*H190</f>
        <v>0</v>
      </c>
      <c r="J190" s="281">
        <f t="shared" si="69"/>
        <v>0</v>
      </c>
      <c r="K190" s="282">
        <f>IF(Notes!$B$9="Domestic",I190, IF(Notes!$B$9="Commercial",J190))*$K$185</f>
        <v>0</v>
      </c>
      <c r="L190" s="283">
        <f>IF(SUM(O190:Q190)=0,0,(SUM(O190:Q190)+(K190+SUM(M190:Q190))*(INDEX($U$185:$AB$185,MATCH(Notes!$C$16,$U$3:$AB$3,0))-100%))*$L$185)</f>
        <v>0</v>
      </c>
      <c r="M190" s="286"/>
      <c r="N190" s="286"/>
      <c r="O190" s="285"/>
      <c r="P190" s="285"/>
      <c r="Q190" s="285"/>
      <c r="R190" s="278"/>
      <c r="S190" s="278"/>
      <c r="T190" s="278"/>
    </row>
    <row r="191" spans="1:28" s="305" customFormat="1" hidden="1" outlineLevel="1" x14ac:dyDescent="0.25">
      <c r="A191" s="278"/>
      <c r="B191" s="279" t="str">
        <f t="shared" si="67"/>
        <v/>
      </c>
      <c r="C191" s="278"/>
      <c r="D191" s="278"/>
      <c r="E191" s="278"/>
      <c r="F191" s="278"/>
      <c r="G191" s="278"/>
      <c r="H191" s="290"/>
      <c r="I191" s="280">
        <f t="shared" ref="I191:I195" si="70">$I$2*H191</f>
        <v>0</v>
      </c>
      <c r="J191" s="281">
        <f t="shared" si="69"/>
        <v>0</v>
      </c>
      <c r="K191" s="282">
        <f>IF(Notes!$B$9="Domestic",I191, IF(Notes!$B$9="Commercial",J191))*$K$185</f>
        <v>0</v>
      </c>
      <c r="L191" s="283">
        <f>IF(SUM(O191:Q191)=0,0,(SUM(O191:Q191)+(K191+SUM(M191:Q191))*(INDEX($U$185:$AB$185,MATCH(Notes!$C$16,$U$3:$AB$3,0))-100%))*$L$185)</f>
        <v>0</v>
      </c>
      <c r="M191" s="286"/>
      <c r="N191" s="286"/>
      <c r="O191" s="285"/>
      <c r="P191" s="285"/>
      <c r="Q191" s="285"/>
      <c r="R191" s="278"/>
      <c r="S191" s="278"/>
      <c r="T191" s="278"/>
    </row>
    <row r="192" spans="1:28" s="305" customFormat="1" hidden="1" outlineLevel="1" x14ac:dyDescent="0.25">
      <c r="A192" s="278"/>
      <c r="B192" s="279" t="str">
        <f t="shared" si="67"/>
        <v/>
      </c>
      <c r="C192" s="278"/>
      <c r="D192" s="278"/>
      <c r="E192" s="278"/>
      <c r="F192" s="278"/>
      <c r="G192" s="278"/>
      <c r="H192" s="290"/>
      <c r="I192" s="280">
        <f t="shared" si="70"/>
        <v>0</v>
      </c>
      <c r="J192" s="281">
        <f t="shared" si="69"/>
        <v>0</v>
      </c>
      <c r="K192" s="282">
        <f>IF(Notes!$B$9="Domestic",I192, IF(Notes!$B$9="Commercial",J192))*$K$185</f>
        <v>0</v>
      </c>
      <c r="L192" s="283">
        <f>IF(SUM(O192:Q192)=0,0,(SUM(O192:Q192)+(K192+SUM(M192:Q192))*(INDEX($U$185:$AB$185,MATCH(Notes!$C$16,$U$3:$AB$3,0))-100%))*$L$185)</f>
        <v>0</v>
      </c>
      <c r="M192" s="286"/>
      <c r="N192" s="286"/>
      <c r="O192" s="285"/>
      <c r="P192" s="285"/>
      <c r="Q192" s="285"/>
      <c r="R192" s="278"/>
      <c r="S192" s="278"/>
      <c r="T192" s="278"/>
    </row>
    <row r="193" spans="1:28" s="305" customFormat="1" hidden="1" outlineLevel="1" x14ac:dyDescent="0.25">
      <c r="A193" s="278"/>
      <c r="B193" s="279" t="str">
        <f t="shared" si="67"/>
        <v/>
      </c>
      <c r="C193" s="278"/>
      <c r="D193" s="278"/>
      <c r="E193" s="278"/>
      <c r="F193" s="278"/>
      <c r="G193" s="278"/>
      <c r="H193" s="290"/>
      <c r="I193" s="280">
        <f t="shared" si="70"/>
        <v>0</v>
      </c>
      <c r="J193" s="281">
        <f t="shared" si="69"/>
        <v>0</v>
      </c>
      <c r="K193" s="282">
        <f>IF(Notes!$B$9="Domestic",I193, IF(Notes!$B$9="Commercial",J193))*$K$185</f>
        <v>0</v>
      </c>
      <c r="L193" s="283">
        <f>IF(SUM(O193:Q193)=0,0,(SUM(O193:Q193)+(K193+SUM(M193:Q193))*(INDEX($U$185:$AB$185,MATCH(Notes!$C$16,$U$3:$AB$3,0))-100%))*$L$185)</f>
        <v>0</v>
      </c>
      <c r="M193" s="286"/>
      <c r="N193" s="286"/>
      <c r="O193" s="285"/>
      <c r="P193" s="285"/>
      <c r="Q193" s="285"/>
      <c r="R193" s="278"/>
      <c r="S193" s="278"/>
      <c r="T193" s="278"/>
    </row>
    <row r="194" spans="1:28" s="305" customFormat="1" hidden="1" outlineLevel="1" x14ac:dyDescent="0.25">
      <c r="A194" s="278"/>
      <c r="B194" s="279" t="str">
        <f t="shared" si="67"/>
        <v/>
      </c>
      <c r="C194" s="278"/>
      <c r="D194" s="278"/>
      <c r="E194" s="278"/>
      <c r="F194" s="278"/>
      <c r="G194" s="278"/>
      <c r="H194" s="290"/>
      <c r="I194" s="280">
        <f t="shared" si="70"/>
        <v>0</v>
      </c>
      <c r="J194" s="281">
        <f t="shared" si="69"/>
        <v>0</v>
      </c>
      <c r="K194" s="282">
        <f>IF(Notes!$B$9="Domestic",I194, IF(Notes!$B$9="Commercial",J194))*$K$185</f>
        <v>0</v>
      </c>
      <c r="L194" s="283">
        <f>IF(SUM(O194:Q194)=0,0,(SUM(O194:Q194)+(K194+SUM(M194:Q194))*(INDEX($U$185:$AB$185,MATCH(Notes!$C$16,$U$3:$AB$3,0))-100%))*$L$185)</f>
        <v>0</v>
      </c>
      <c r="M194" s="286"/>
      <c r="N194" s="286"/>
      <c r="O194" s="285"/>
      <c r="P194" s="285"/>
      <c r="Q194" s="285"/>
      <c r="R194" s="278"/>
      <c r="S194" s="278"/>
      <c r="T194" s="278"/>
    </row>
    <row r="195" spans="1:28" s="305" customFormat="1" hidden="1" outlineLevel="1" x14ac:dyDescent="0.25">
      <c r="A195" s="278"/>
      <c r="B195" s="279" t="str">
        <f t="shared" si="67"/>
        <v/>
      </c>
      <c r="C195" s="278"/>
      <c r="D195" s="278"/>
      <c r="E195" s="278"/>
      <c r="F195" s="278"/>
      <c r="G195" s="278"/>
      <c r="H195" s="290"/>
      <c r="I195" s="280">
        <f t="shared" si="70"/>
        <v>0</v>
      </c>
      <c r="J195" s="281">
        <f t="shared" si="69"/>
        <v>0</v>
      </c>
      <c r="K195" s="282">
        <f>IF(Notes!$B$9="Domestic",I195, IF(Notes!$B$9="Commercial",J195))*$K$185</f>
        <v>0</v>
      </c>
      <c r="L195" s="283">
        <f>IF(SUM(O195:Q195)=0,0,(SUM(O195:Q195)+(K195+SUM(M195:Q195))*(INDEX($U$185:$AB$185,MATCH(Notes!$C$16,$U$3:$AB$3,0))-100%))*$L$185)</f>
        <v>0</v>
      </c>
      <c r="M195" s="286"/>
      <c r="N195" s="286"/>
      <c r="O195" s="285"/>
      <c r="P195" s="285"/>
      <c r="Q195" s="285"/>
      <c r="R195" s="278"/>
      <c r="S195" s="278"/>
      <c r="T195" s="278"/>
    </row>
    <row r="196" spans="1:28" ht="21" hidden="1" outlineLevel="1" x14ac:dyDescent="0.25">
      <c r="A196" s="299"/>
      <c r="B196" s="299"/>
      <c r="C196" s="299"/>
      <c r="D196" s="299"/>
      <c r="E196" s="299"/>
      <c r="F196" s="299"/>
      <c r="G196" s="299"/>
      <c r="H196" s="299"/>
      <c r="I196" s="299"/>
      <c r="J196" s="299"/>
      <c r="K196" s="299"/>
      <c r="L196" s="299"/>
      <c r="M196" s="299"/>
      <c r="N196" s="299"/>
      <c r="O196" s="299"/>
      <c r="P196" s="299"/>
      <c r="Q196" s="299"/>
      <c r="R196" s="299"/>
      <c r="S196" s="299"/>
      <c r="T196" s="299"/>
      <c r="U196" s="299"/>
      <c r="V196" s="299"/>
      <c r="W196" s="299"/>
      <c r="X196" s="299"/>
      <c r="Y196" s="299"/>
      <c r="Z196" s="299"/>
      <c r="AA196" s="299"/>
      <c r="AB196" s="299"/>
    </row>
    <row r="197" spans="1:28" ht="15.75" hidden="1" outlineLevel="1" x14ac:dyDescent="0.25">
      <c r="A197" s="291"/>
      <c r="B197" s="291"/>
      <c r="C197" s="291"/>
      <c r="D197" s="291"/>
      <c r="E197" s="291"/>
      <c r="F197" s="291"/>
      <c r="G197" s="291"/>
      <c r="H197" s="291"/>
      <c r="I197" s="291"/>
      <c r="J197" s="291"/>
      <c r="K197" s="291">
        <f>K$2</f>
        <v>1</v>
      </c>
      <c r="L197" s="291">
        <f>L$2</f>
        <v>1</v>
      </c>
      <c r="M197" s="291"/>
      <c r="N197" s="291"/>
      <c r="O197" s="303"/>
      <c r="P197" s="303"/>
      <c r="Q197" s="303"/>
      <c r="R197" s="291"/>
      <c r="S197" s="291"/>
      <c r="T197" s="291"/>
      <c r="U197" s="291">
        <f>U$2</f>
        <v>1</v>
      </c>
      <c r="V197" s="291">
        <f>V$2</f>
        <v>1</v>
      </c>
      <c r="W197" s="291">
        <f t="shared" ref="W197:AB197" si="71">W$2</f>
        <v>1</v>
      </c>
      <c r="X197" s="291">
        <f t="shared" si="71"/>
        <v>1</v>
      </c>
      <c r="Y197" s="291">
        <f t="shared" si="71"/>
        <v>1</v>
      </c>
      <c r="Z197" s="291">
        <f t="shared" si="71"/>
        <v>1</v>
      </c>
      <c r="AA197" s="291">
        <f t="shared" si="71"/>
        <v>1</v>
      </c>
      <c r="AB197" s="291">
        <f t="shared" si="71"/>
        <v>1</v>
      </c>
    </row>
    <row r="198" spans="1:28" s="305" customFormat="1" hidden="1" outlineLevel="1" x14ac:dyDescent="0.25">
      <c r="A198" s="278"/>
      <c r="B198" s="279" t="str">
        <f>C198&amp;D198&amp;E198&amp;F198</f>
        <v/>
      </c>
      <c r="C198" s="278"/>
      <c r="D198" s="278"/>
      <c r="E198" s="278"/>
      <c r="F198" s="278"/>
      <c r="G198" s="278"/>
      <c r="H198" s="290"/>
      <c r="I198" s="280">
        <f>$I$2*H198</f>
        <v>0</v>
      </c>
      <c r="J198" s="281">
        <f>$J$2*H198</f>
        <v>0</v>
      </c>
      <c r="K198" s="282">
        <f>IF(Notes!$B$9="Domestic",I198, IF(Notes!$B$9="Commercial",J198))*$K$197</f>
        <v>0</v>
      </c>
      <c r="L198" s="283">
        <f>IF(SUM(O198:Q198)=0,0,(SUM(O198:Q198)+(K198+SUM(M198:Q198))*(INDEX($U$197:$AB$197,MATCH(Notes!$C$16,$U$3:$AB$3,0))-100%))*$L$197)</f>
        <v>0</v>
      </c>
      <c r="M198" s="286"/>
      <c r="N198" s="286"/>
      <c r="O198" s="285"/>
      <c r="P198" s="285"/>
      <c r="Q198" s="285"/>
      <c r="R198" s="278"/>
      <c r="S198" s="278"/>
      <c r="T198" s="278"/>
    </row>
    <row r="199" spans="1:28" s="305" customFormat="1" hidden="1" outlineLevel="1" x14ac:dyDescent="0.25">
      <c r="A199" s="278"/>
      <c r="B199" s="279" t="str">
        <f t="shared" ref="B199:B207" si="72">C199&amp;D199&amp;E199&amp;F199</f>
        <v/>
      </c>
      <c r="C199" s="278"/>
      <c r="D199" s="278"/>
      <c r="E199" s="278"/>
      <c r="F199" s="278"/>
      <c r="G199" s="278"/>
      <c r="H199" s="290"/>
      <c r="I199" s="280">
        <f t="shared" ref="I199:I201" si="73">$I$2*H199</f>
        <v>0</v>
      </c>
      <c r="J199" s="281">
        <f t="shared" ref="J199:J207" si="74">$J$2*H199</f>
        <v>0</v>
      </c>
      <c r="K199" s="282">
        <f>IF(Notes!$B$9="Domestic",I199, IF(Notes!$B$9="Commercial",J199))*$K$197</f>
        <v>0</v>
      </c>
      <c r="L199" s="283">
        <f>IF(SUM(O199:Q199)=0,0,(SUM(O199:Q199)+(K199+SUM(M199:Q199))*(INDEX($U$197:$AB$197,MATCH(Notes!$C$16,$U$3:$AB$3,0))-100%))*$L$197)</f>
        <v>0</v>
      </c>
      <c r="M199" s="286"/>
      <c r="N199" s="286"/>
      <c r="O199" s="285"/>
      <c r="P199" s="285"/>
      <c r="Q199" s="285"/>
      <c r="R199" s="278"/>
      <c r="S199" s="278"/>
      <c r="T199" s="278"/>
    </row>
    <row r="200" spans="1:28" s="305" customFormat="1" hidden="1" outlineLevel="1" x14ac:dyDescent="0.25">
      <c r="A200" s="278"/>
      <c r="B200" s="279" t="str">
        <f t="shared" si="72"/>
        <v/>
      </c>
      <c r="C200" s="278"/>
      <c r="D200" s="278"/>
      <c r="E200" s="278"/>
      <c r="F200" s="278"/>
      <c r="G200" s="278"/>
      <c r="H200" s="290"/>
      <c r="I200" s="280">
        <f t="shared" si="73"/>
        <v>0</v>
      </c>
      <c r="J200" s="281">
        <f t="shared" si="74"/>
        <v>0</v>
      </c>
      <c r="K200" s="282">
        <f>IF(Notes!$B$9="Domestic",I200, IF(Notes!$B$9="Commercial",J200))*$K$197</f>
        <v>0</v>
      </c>
      <c r="L200" s="283">
        <f>IF(SUM(O200:Q200)=0,0,(SUM(O200:Q200)+(K200+SUM(M200:Q200))*(INDEX($U$197:$AB$197,MATCH(Notes!$C$16,$U$3:$AB$3,0))-100%))*$L$197)</f>
        <v>0</v>
      </c>
      <c r="M200" s="286"/>
      <c r="N200" s="286"/>
      <c r="O200" s="285"/>
      <c r="P200" s="285"/>
      <c r="Q200" s="285"/>
      <c r="R200" s="278"/>
      <c r="S200" s="278"/>
      <c r="T200" s="278"/>
    </row>
    <row r="201" spans="1:28" s="305" customFormat="1" hidden="1" outlineLevel="1" x14ac:dyDescent="0.25">
      <c r="A201" s="278"/>
      <c r="B201" s="279" t="str">
        <f t="shared" si="72"/>
        <v/>
      </c>
      <c r="C201" s="278"/>
      <c r="D201" s="278"/>
      <c r="E201" s="278"/>
      <c r="F201" s="278"/>
      <c r="G201" s="278"/>
      <c r="H201" s="290"/>
      <c r="I201" s="280">
        <f t="shared" si="73"/>
        <v>0</v>
      </c>
      <c r="J201" s="281">
        <f t="shared" si="74"/>
        <v>0</v>
      </c>
      <c r="K201" s="282">
        <f>IF(Notes!$B$9="Domestic",I201, IF(Notes!$B$9="Commercial",J201))*$K$197</f>
        <v>0</v>
      </c>
      <c r="L201" s="283">
        <f>IF(SUM(O201:Q201)=0,0,(SUM(O201:Q201)+(K201+SUM(M201:Q201))*(INDEX($U$197:$AB$197,MATCH(Notes!$C$16,$U$3:$AB$3,0))-100%))*$L$197)</f>
        <v>0</v>
      </c>
      <c r="M201" s="286"/>
      <c r="N201" s="286"/>
      <c r="O201" s="285"/>
      <c r="P201" s="285"/>
      <c r="Q201" s="285"/>
      <c r="R201" s="278"/>
      <c r="S201" s="278"/>
      <c r="T201" s="278"/>
    </row>
    <row r="202" spans="1:28" s="305" customFormat="1" hidden="1" outlineLevel="1" x14ac:dyDescent="0.25">
      <c r="A202" s="278"/>
      <c r="B202" s="279" t="str">
        <f t="shared" si="72"/>
        <v/>
      </c>
      <c r="C202" s="278"/>
      <c r="D202" s="278"/>
      <c r="E202" s="278"/>
      <c r="F202" s="278"/>
      <c r="G202" s="278"/>
      <c r="H202" s="290"/>
      <c r="I202" s="280">
        <f>$I$2*H202</f>
        <v>0</v>
      </c>
      <c r="J202" s="281">
        <f t="shared" si="74"/>
        <v>0</v>
      </c>
      <c r="K202" s="282">
        <f>IF(Notes!$B$9="Domestic",I202, IF(Notes!$B$9="Commercial",J202))*$K$197</f>
        <v>0</v>
      </c>
      <c r="L202" s="283">
        <f>IF(SUM(O202:Q202)=0,0,(SUM(O202:Q202)+(K202+SUM(M202:Q202))*(INDEX($U$197:$AB$197,MATCH(Notes!$C$16,$U$3:$AB$3,0))-100%))*$L$197)</f>
        <v>0</v>
      </c>
      <c r="M202" s="286"/>
      <c r="N202" s="286"/>
      <c r="O202" s="285"/>
      <c r="P202" s="285"/>
      <c r="Q202" s="285"/>
      <c r="R202" s="278"/>
      <c r="S202" s="278"/>
      <c r="T202" s="278"/>
    </row>
    <row r="203" spans="1:28" s="305" customFormat="1" hidden="1" outlineLevel="1" x14ac:dyDescent="0.25">
      <c r="A203" s="278"/>
      <c r="B203" s="279" t="str">
        <f t="shared" si="72"/>
        <v/>
      </c>
      <c r="C203" s="278"/>
      <c r="D203" s="278"/>
      <c r="E203" s="278"/>
      <c r="F203" s="278"/>
      <c r="G203" s="278"/>
      <c r="H203" s="290"/>
      <c r="I203" s="280">
        <f t="shared" ref="I203:I207" si="75">$I$2*H203</f>
        <v>0</v>
      </c>
      <c r="J203" s="281">
        <f t="shared" si="74"/>
        <v>0</v>
      </c>
      <c r="K203" s="282">
        <f>IF(Notes!$B$9="Domestic",I203, IF(Notes!$B$9="Commercial",J203))*$K$197</f>
        <v>0</v>
      </c>
      <c r="L203" s="283">
        <f>IF(SUM(O203:Q203)=0,0,(SUM(O203:Q203)+(K203+SUM(M203:Q203))*(INDEX($U$197:$AB$197,MATCH(Notes!$C$16,$U$3:$AB$3,0))-100%))*$L$197)</f>
        <v>0</v>
      </c>
      <c r="M203" s="286"/>
      <c r="N203" s="286"/>
      <c r="O203" s="285"/>
      <c r="P203" s="285"/>
      <c r="Q203" s="285"/>
      <c r="R203" s="278"/>
      <c r="S203" s="278"/>
      <c r="T203" s="278"/>
    </row>
    <row r="204" spans="1:28" s="305" customFormat="1" hidden="1" outlineLevel="1" x14ac:dyDescent="0.25">
      <c r="A204" s="278"/>
      <c r="B204" s="279" t="str">
        <f t="shared" si="72"/>
        <v/>
      </c>
      <c r="C204" s="278"/>
      <c r="D204" s="278"/>
      <c r="E204" s="278"/>
      <c r="F204" s="278"/>
      <c r="G204" s="278"/>
      <c r="H204" s="290"/>
      <c r="I204" s="280">
        <f t="shared" si="75"/>
        <v>0</v>
      </c>
      <c r="J204" s="281">
        <f t="shared" si="74"/>
        <v>0</v>
      </c>
      <c r="K204" s="282">
        <f>IF(Notes!$B$9="Domestic",I204, IF(Notes!$B$9="Commercial",J204))*$K$197</f>
        <v>0</v>
      </c>
      <c r="L204" s="283">
        <f>IF(SUM(O204:Q204)=0,0,(SUM(O204:Q204)+(K204+SUM(M204:Q204))*(INDEX($U$197:$AB$197,MATCH(Notes!$C$16,$U$3:$AB$3,0))-100%))*$L$197)</f>
        <v>0</v>
      </c>
      <c r="M204" s="286"/>
      <c r="N204" s="286"/>
      <c r="O204" s="285"/>
      <c r="P204" s="285"/>
      <c r="Q204" s="285"/>
      <c r="R204" s="278"/>
      <c r="S204" s="278"/>
      <c r="T204" s="278"/>
    </row>
    <row r="205" spans="1:28" s="305" customFormat="1" hidden="1" outlineLevel="1" x14ac:dyDescent="0.25">
      <c r="A205" s="278"/>
      <c r="B205" s="279" t="str">
        <f t="shared" si="72"/>
        <v/>
      </c>
      <c r="C205" s="278"/>
      <c r="D205" s="278"/>
      <c r="E205" s="278"/>
      <c r="F205" s="278"/>
      <c r="G205" s="278"/>
      <c r="H205" s="290"/>
      <c r="I205" s="280">
        <f t="shared" si="75"/>
        <v>0</v>
      </c>
      <c r="J205" s="281">
        <f t="shared" si="74"/>
        <v>0</v>
      </c>
      <c r="K205" s="282">
        <f>IF(Notes!$B$9="Domestic",I205, IF(Notes!$B$9="Commercial",J205))*$K$197</f>
        <v>0</v>
      </c>
      <c r="L205" s="283">
        <f>IF(SUM(O205:Q205)=0,0,(SUM(O205:Q205)+(K205+SUM(M205:Q205))*(INDEX($U$197:$AB$197,MATCH(Notes!$C$16,$U$3:$AB$3,0))-100%))*$L$197)</f>
        <v>0</v>
      </c>
      <c r="M205" s="286"/>
      <c r="N205" s="286"/>
      <c r="O205" s="285"/>
      <c r="P205" s="285"/>
      <c r="Q205" s="285"/>
      <c r="R205" s="278"/>
      <c r="S205" s="278"/>
      <c r="T205" s="278"/>
    </row>
    <row r="206" spans="1:28" s="305" customFormat="1" hidden="1" outlineLevel="1" x14ac:dyDescent="0.25">
      <c r="A206" s="278"/>
      <c r="B206" s="279" t="str">
        <f t="shared" si="72"/>
        <v/>
      </c>
      <c r="C206" s="278"/>
      <c r="D206" s="278"/>
      <c r="E206" s="278"/>
      <c r="F206" s="278"/>
      <c r="G206" s="278"/>
      <c r="H206" s="290"/>
      <c r="I206" s="280">
        <f t="shared" si="75"/>
        <v>0</v>
      </c>
      <c r="J206" s="281">
        <f t="shared" si="74"/>
        <v>0</v>
      </c>
      <c r="K206" s="282">
        <f>IF(Notes!$B$9="Domestic",I206, IF(Notes!$B$9="Commercial",J206))*$K$197</f>
        <v>0</v>
      </c>
      <c r="L206" s="283">
        <f>IF(SUM(O206:Q206)=0,0,(SUM(O206:Q206)+(K206+SUM(M206:Q206))*(INDEX($U$197:$AB$197,MATCH(Notes!$C$16,$U$3:$AB$3,0))-100%))*$L$197)</f>
        <v>0</v>
      </c>
      <c r="M206" s="286"/>
      <c r="N206" s="286"/>
      <c r="O206" s="285"/>
      <c r="P206" s="285"/>
      <c r="Q206" s="285"/>
      <c r="R206" s="278"/>
      <c r="S206" s="278"/>
      <c r="T206" s="278"/>
    </row>
    <row r="207" spans="1:28" s="305" customFormat="1" hidden="1" outlineLevel="1" x14ac:dyDescent="0.25">
      <c r="A207" s="278"/>
      <c r="B207" s="279" t="str">
        <f t="shared" si="72"/>
        <v/>
      </c>
      <c r="C207" s="278"/>
      <c r="D207" s="278"/>
      <c r="E207" s="278"/>
      <c r="F207" s="278"/>
      <c r="G207" s="278"/>
      <c r="H207" s="290"/>
      <c r="I207" s="280">
        <f t="shared" si="75"/>
        <v>0</v>
      </c>
      <c r="J207" s="281">
        <f t="shared" si="74"/>
        <v>0</v>
      </c>
      <c r="K207" s="282">
        <f>IF(Notes!$B$9="Domestic",I207, IF(Notes!$B$9="Commercial",J207))*$K$197</f>
        <v>0</v>
      </c>
      <c r="L207" s="283">
        <f>IF(SUM(O207:Q207)=0,0,(SUM(O207:Q207)+(K207+SUM(M207:Q207))*(INDEX($U$197:$AB$197,MATCH(Notes!$C$16,$U$3:$AB$3,0))-100%))*$L$197)</f>
        <v>0</v>
      </c>
      <c r="M207" s="286"/>
      <c r="N207" s="286"/>
      <c r="O207" s="285"/>
      <c r="P207" s="285"/>
      <c r="Q207" s="285"/>
      <c r="R207" s="278"/>
      <c r="S207" s="278"/>
      <c r="T207" s="278"/>
    </row>
    <row r="208" spans="1:28" ht="21" hidden="1" outlineLevel="1" x14ac:dyDescent="0.25">
      <c r="A208" s="299"/>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row>
    <row r="209" spans="1:28" ht="15.75" hidden="1" outlineLevel="1" x14ac:dyDescent="0.25">
      <c r="A209" s="291"/>
      <c r="B209" s="291"/>
      <c r="C209" s="291"/>
      <c r="D209" s="291"/>
      <c r="E209" s="291"/>
      <c r="F209" s="291"/>
      <c r="G209" s="291"/>
      <c r="H209" s="291"/>
      <c r="I209" s="291"/>
      <c r="J209" s="291"/>
      <c r="K209" s="291">
        <f>K$2</f>
        <v>1</v>
      </c>
      <c r="L209" s="291">
        <f>L$2</f>
        <v>1</v>
      </c>
      <c r="M209" s="291"/>
      <c r="N209" s="291"/>
      <c r="O209" s="303"/>
      <c r="P209" s="303"/>
      <c r="Q209" s="303"/>
      <c r="R209" s="291"/>
      <c r="S209" s="291"/>
      <c r="T209" s="291"/>
      <c r="U209" s="291">
        <f>U$2</f>
        <v>1</v>
      </c>
      <c r="V209" s="291">
        <f>V$2</f>
        <v>1</v>
      </c>
      <c r="W209" s="291">
        <f t="shared" ref="W209:AB209" si="76">W$2</f>
        <v>1</v>
      </c>
      <c r="X209" s="291">
        <f t="shared" si="76"/>
        <v>1</v>
      </c>
      <c r="Y209" s="291">
        <f t="shared" si="76"/>
        <v>1</v>
      </c>
      <c r="Z209" s="291">
        <f t="shared" si="76"/>
        <v>1</v>
      </c>
      <c r="AA209" s="291">
        <f t="shared" si="76"/>
        <v>1</v>
      </c>
      <c r="AB209" s="291">
        <f t="shared" si="76"/>
        <v>1</v>
      </c>
    </row>
    <row r="210" spans="1:28" s="305" customFormat="1" hidden="1" outlineLevel="1" x14ac:dyDescent="0.25">
      <c r="A210" s="278"/>
      <c r="B210" s="279" t="str">
        <f>C210&amp;D210&amp;E210&amp;F210</f>
        <v/>
      </c>
      <c r="C210" s="278"/>
      <c r="D210" s="278"/>
      <c r="E210" s="278"/>
      <c r="F210" s="278"/>
      <c r="G210" s="278"/>
      <c r="H210" s="290"/>
      <c r="I210" s="280">
        <f>$I$2*H210</f>
        <v>0</v>
      </c>
      <c r="J210" s="281">
        <f>$J$2*H210</f>
        <v>0</v>
      </c>
      <c r="K210" s="282">
        <f>IF(Notes!$B$9="Domestic",I210, IF(Notes!$B$9="Commercial",J210))*$K$209</f>
        <v>0</v>
      </c>
      <c r="L210" s="283">
        <f>IF(SUM(O210:Q210)=0,0,(SUM(O210:Q210)+(K210+SUM(M210:Q210))*(INDEX($U$209:$AB$209,MATCH(Notes!$C$16,$U$3:$AB$3,0))-100%))*$L$209)</f>
        <v>0</v>
      </c>
      <c r="M210" s="286"/>
      <c r="N210" s="286"/>
      <c r="O210" s="285"/>
      <c r="P210" s="285"/>
      <c r="Q210" s="285"/>
      <c r="R210" s="278"/>
      <c r="S210" s="278"/>
      <c r="T210" s="278"/>
    </row>
    <row r="211" spans="1:28" s="305" customFormat="1" hidden="1" outlineLevel="1" x14ac:dyDescent="0.25">
      <c r="A211" s="278"/>
      <c r="B211" s="279" t="str">
        <f t="shared" ref="B211:B219" si="77">C211&amp;D211&amp;E211&amp;F211</f>
        <v/>
      </c>
      <c r="C211" s="278"/>
      <c r="D211" s="278"/>
      <c r="E211" s="278"/>
      <c r="F211" s="278"/>
      <c r="G211" s="278"/>
      <c r="H211" s="290"/>
      <c r="I211" s="280">
        <f t="shared" ref="I211:I213" si="78">$I$2*H211</f>
        <v>0</v>
      </c>
      <c r="J211" s="281">
        <f t="shared" ref="J211:J219" si="79">$J$2*H211</f>
        <v>0</v>
      </c>
      <c r="K211" s="282">
        <f>IF(Notes!$B$9="Domestic",I211, IF(Notes!$B$9="Commercial",J211))*$K$209</f>
        <v>0</v>
      </c>
      <c r="L211" s="283">
        <f>IF(SUM(O211:Q211)=0,0,(SUM(O211:Q211)+(K211+SUM(M211:Q211))*(INDEX($U$209:$AB$209,MATCH(Notes!$C$16,$U$3:$AB$3,0))-100%))*$L$209)</f>
        <v>0</v>
      </c>
      <c r="M211" s="286"/>
      <c r="N211" s="286"/>
      <c r="O211" s="285"/>
      <c r="P211" s="285"/>
      <c r="Q211" s="285"/>
      <c r="R211" s="278"/>
      <c r="S211" s="278"/>
      <c r="T211" s="278"/>
    </row>
    <row r="212" spans="1:28" s="305" customFormat="1" hidden="1" outlineLevel="1" x14ac:dyDescent="0.25">
      <c r="A212" s="278"/>
      <c r="B212" s="279" t="str">
        <f t="shared" si="77"/>
        <v/>
      </c>
      <c r="C212" s="278"/>
      <c r="D212" s="278"/>
      <c r="E212" s="278"/>
      <c r="F212" s="278"/>
      <c r="G212" s="278"/>
      <c r="H212" s="290"/>
      <c r="I212" s="280">
        <f t="shared" si="78"/>
        <v>0</v>
      </c>
      <c r="J212" s="281">
        <f t="shared" si="79"/>
        <v>0</v>
      </c>
      <c r="K212" s="282">
        <f>IF(Notes!$B$9="Domestic",I212, IF(Notes!$B$9="Commercial",J212))*$K$209</f>
        <v>0</v>
      </c>
      <c r="L212" s="283">
        <f>IF(SUM(O212:Q212)=0,0,(SUM(O212:Q212)+(K212+SUM(M212:Q212))*(INDEX($U$209:$AB$209,MATCH(Notes!$C$16,$U$3:$AB$3,0))-100%))*$L$209)</f>
        <v>0</v>
      </c>
      <c r="M212" s="286"/>
      <c r="N212" s="286"/>
      <c r="O212" s="285"/>
      <c r="P212" s="285"/>
      <c r="Q212" s="285"/>
      <c r="R212" s="278"/>
      <c r="S212" s="278"/>
      <c r="T212" s="278"/>
    </row>
    <row r="213" spans="1:28" s="305" customFormat="1" hidden="1" outlineLevel="1" x14ac:dyDescent="0.25">
      <c r="A213" s="278"/>
      <c r="B213" s="279" t="str">
        <f t="shared" si="77"/>
        <v/>
      </c>
      <c r="C213" s="278"/>
      <c r="D213" s="278"/>
      <c r="E213" s="278"/>
      <c r="F213" s="278"/>
      <c r="G213" s="278"/>
      <c r="H213" s="290"/>
      <c r="I213" s="280">
        <f t="shared" si="78"/>
        <v>0</v>
      </c>
      <c r="J213" s="281">
        <f t="shared" si="79"/>
        <v>0</v>
      </c>
      <c r="K213" s="282">
        <f>IF(Notes!$B$9="Domestic",I213, IF(Notes!$B$9="Commercial",J213))*$K$209</f>
        <v>0</v>
      </c>
      <c r="L213" s="283">
        <f>IF(SUM(O213:Q213)=0,0,(SUM(O213:Q213)+(K213+SUM(M213:Q213))*(INDEX($U$209:$AB$209,MATCH(Notes!$C$16,$U$3:$AB$3,0))-100%))*$L$209)</f>
        <v>0</v>
      </c>
      <c r="M213" s="286"/>
      <c r="N213" s="286"/>
      <c r="O213" s="285"/>
      <c r="P213" s="285"/>
      <c r="Q213" s="285"/>
      <c r="R213" s="278"/>
      <c r="S213" s="278"/>
      <c r="T213" s="278"/>
    </row>
    <row r="214" spans="1:28" s="305" customFormat="1" hidden="1" outlineLevel="1" x14ac:dyDescent="0.25">
      <c r="A214" s="278"/>
      <c r="B214" s="279" t="str">
        <f t="shared" si="77"/>
        <v/>
      </c>
      <c r="C214" s="278"/>
      <c r="D214" s="278"/>
      <c r="E214" s="278"/>
      <c r="F214" s="278"/>
      <c r="G214" s="278"/>
      <c r="H214" s="290"/>
      <c r="I214" s="280">
        <f>$I$2*H214</f>
        <v>0</v>
      </c>
      <c r="J214" s="281">
        <f t="shared" si="79"/>
        <v>0</v>
      </c>
      <c r="K214" s="282">
        <f>IF(Notes!$B$9="Domestic",I214, IF(Notes!$B$9="Commercial",J214))*$K$209</f>
        <v>0</v>
      </c>
      <c r="L214" s="283">
        <f>IF(SUM(O214:Q214)=0,0,(SUM(O214:Q214)+(K214+SUM(M214:Q214))*(INDEX($U$209:$AB$209,MATCH(Notes!$C$16,$U$3:$AB$3,0))-100%))*$L$209)</f>
        <v>0</v>
      </c>
      <c r="M214" s="286"/>
      <c r="N214" s="286"/>
      <c r="O214" s="285"/>
      <c r="P214" s="285"/>
      <c r="Q214" s="285"/>
      <c r="R214" s="278"/>
      <c r="S214" s="278"/>
      <c r="T214" s="278"/>
    </row>
    <row r="215" spans="1:28" s="305" customFormat="1" hidden="1" outlineLevel="1" x14ac:dyDescent="0.25">
      <c r="A215" s="278"/>
      <c r="B215" s="279" t="str">
        <f t="shared" si="77"/>
        <v/>
      </c>
      <c r="C215" s="278"/>
      <c r="D215" s="278"/>
      <c r="E215" s="278"/>
      <c r="F215" s="278"/>
      <c r="G215" s="278"/>
      <c r="H215" s="290"/>
      <c r="I215" s="280">
        <f t="shared" ref="I215:I219" si="80">$I$2*H215</f>
        <v>0</v>
      </c>
      <c r="J215" s="281">
        <f t="shared" si="79"/>
        <v>0</v>
      </c>
      <c r="K215" s="282">
        <f>IF(Notes!$B$9="Domestic",I215, IF(Notes!$B$9="Commercial",J215))*$K$209</f>
        <v>0</v>
      </c>
      <c r="L215" s="283">
        <f>IF(SUM(O215:Q215)=0,0,(SUM(O215:Q215)+(K215+SUM(M215:Q215))*(INDEX($U$209:$AB$209,MATCH(Notes!$C$16,$U$3:$AB$3,0))-100%))*$L$209)</f>
        <v>0</v>
      </c>
      <c r="M215" s="286"/>
      <c r="N215" s="286"/>
      <c r="O215" s="285"/>
      <c r="P215" s="285"/>
      <c r="Q215" s="285"/>
      <c r="R215" s="278"/>
      <c r="S215" s="278"/>
      <c r="T215" s="278"/>
    </row>
    <row r="216" spans="1:28" s="305" customFormat="1" hidden="1" outlineLevel="1" x14ac:dyDescent="0.25">
      <c r="A216" s="278"/>
      <c r="B216" s="279" t="str">
        <f t="shared" si="77"/>
        <v/>
      </c>
      <c r="C216" s="278"/>
      <c r="D216" s="278"/>
      <c r="E216" s="278"/>
      <c r="F216" s="278"/>
      <c r="G216" s="278"/>
      <c r="H216" s="290"/>
      <c r="I216" s="280">
        <f t="shared" si="80"/>
        <v>0</v>
      </c>
      <c r="J216" s="281">
        <f t="shared" si="79"/>
        <v>0</v>
      </c>
      <c r="K216" s="282">
        <f>IF(Notes!$B$9="Domestic",I216, IF(Notes!$B$9="Commercial",J216))*$K$209</f>
        <v>0</v>
      </c>
      <c r="L216" s="283">
        <f>IF(SUM(O216:Q216)=0,0,(SUM(O216:Q216)+(K216+SUM(M216:Q216))*(INDEX($U$209:$AB$209,MATCH(Notes!$C$16,$U$3:$AB$3,0))-100%))*$L$209)</f>
        <v>0</v>
      </c>
      <c r="M216" s="286"/>
      <c r="N216" s="286"/>
      <c r="O216" s="285"/>
      <c r="P216" s="285"/>
      <c r="Q216" s="285"/>
      <c r="R216" s="278"/>
      <c r="S216" s="278"/>
      <c r="T216" s="278"/>
    </row>
    <row r="217" spans="1:28" s="305" customFormat="1" hidden="1" outlineLevel="1" x14ac:dyDescent="0.25">
      <c r="A217" s="278"/>
      <c r="B217" s="279" t="str">
        <f t="shared" si="77"/>
        <v/>
      </c>
      <c r="C217" s="278"/>
      <c r="D217" s="278"/>
      <c r="E217" s="278"/>
      <c r="F217" s="278"/>
      <c r="G217" s="278"/>
      <c r="H217" s="290"/>
      <c r="I217" s="280">
        <f t="shared" si="80"/>
        <v>0</v>
      </c>
      <c r="J217" s="281">
        <f t="shared" si="79"/>
        <v>0</v>
      </c>
      <c r="K217" s="282">
        <f>IF(Notes!$B$9="Domestic",I217, IF(Notes!$B$9="Commercial",J217))*$K$209</f>
        <v>0</v>
      </c>
      <c r="L217" s="283">
        <f>IF(SUM(O217:Q217)=0,0,(SUM(O217:Q217)+(K217+SUM(M217:Q217))*(INDEX($U$209:$AB$209,MATCH(Notes!$C$16,$U$3:$AB$3,0))-100%))*$L$209)</f>
        <v>0</v>
      </c>
      <c r="M217" s="286"/>
      <c r="N217" s="286"/>
      <c r="O217" s="285"/>
      <c r="P217" s="285"/>
      <c r="Q217" s="285"/>
      <c r="R217" s="278"/>
      <c r="S217" s="278"/>
      <c r="T217" s="278"/>
    </row>
    <row r="218" spans="1:28" s="305" customFormat="1" hidden="1" outlineLevel="1" x14ac:dyDescent="0.25">
      <c r="A218" s="278"/>
      <c r="B218" s="279" t="str">
        <f t="shared" si="77"/>
        <v/>
      </c>
      <c r="C218" s="278"/>
      <c r="D218" s="278"/>
      <c r="E218" s="278"/>
      <c r="F218" s="278"/>
      <c r="G218" s="278"/>
      <c r="H218" s="290"/>
      <c r="I218" s="280">
        <f t="shared" si="80"/>
        <v>0</v>
      </c>
      <c r="J218" s="281">
        <f t="shared" si="79"/>
        <v>0</v>
      </c>
      <c r="K218" s="282">
        <f>IF(Notes!$B$9="Domestic",I218, IF(Notes!$B$9="Commercial",J218))*$K$209</f>
        <v>0</v>
      </c>
      <c r="L218" s="283">
        <f>IF(SUM(O218:Q218)=0,0,(SUM(O218:Q218)+(K218+SUM(M218:Q218))*(INDEX($U$209:$AB$209,MATCH(Notes!$C$16,$U$3:$AB$3,0))-100%))*$L$209)</f>
        <v>0</v>
      </c>
      <c r="M218" s="286"/>
      <c r="N218" s="286"/>
      <c r="O218" s="285"/>
      <c r="P218" s="285"/>
      <c r="Q218" s="285"/>
      <c r="R218" s="278"/>
      <c r="S218" s="278"/>
      <c r="T218" s="278"/>
    </row>
    <row r="219" spans="1:28" s="305" customFormat="1" hidden="1" outlineLevel="1" x14ac:dyDescent="0.25">
      <c r="A219" s="278"/>
      <c r="B219" s="279" t="str">
        <f t="shared" si="77"/>
        <v/>
      </c>
      <c r="C219" s="278"/>
      <c r="D219" s="278"/>
      <c r="E219" s="278"/>
      <c r="F219" s="278"/>
      <c r="G219" s="278"/>
      <c r="H219" s="290"/>
      <c r="I219" s="280">
        <f t="shared" si="80"/>
        <v>0</v>
      </c>
      <c r="J219" s="281">
        <f t="shared" si="79"/>
        <v>0</v>
      </c>
      <c r="K219" s="282">
        <f>IF(Notes!$B$9="Domestic",I219, IF(Notes!$B$9="Commercial",J219))*$K$209</f>
        <v>0</v>
      </c>
      <c r="L219" s="283">
        <f>IF(SUM(O219:Q219)=0,0,(SUM(O219:Q219)+(K219+SUM(M219:Q219))*(INDEX($U$209:$AB$209,MATCH(Notes!$C$16,$U$3:$AB$3,0))-100%))*$L$209)</f>
        <v>0</v>
      </c>
      <c r="M219" s="286"/>
      <c r="N219" s="286"/>
      <c r="O219" s="285"/>
      <c r="P219" s="285"/>
      <c r="Q219" s="285"/>
      <c r="R219" s="278"/>
      <c r="S219" s="278"/>
      <c r="T219" s="278"/>
    </row>
    <row r="220" spans="1:28" ht="21" hidden="1" outlineLevel="1" x14ac:dyDescent="0.25">
      <c r="A220" s="299"/>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row>
    <row r="221" spans="1:28" ht="15.75" hidden="1" outlineLevel="1" x14ac:dyDescent="0.25">
      <c r="A221" s="291"/>
      <c r="B221" s="291"/>
      <c r="C221" s="291"/>
      <c r="D221" s="291"/>
      <c r="E221" s="291"/>
      <c r="F221" s="291"/>
      <c r="G221" s="291"/>
      <c r="H221" s="291"/>
      <c r="I221" s="291"/>
      <c r="J221" s="291"/>
      <c r="K221" s="291">
        <f>K$2</f>
        <v>1</v>
      </c>
      <c r="L221" s="291">
        <f>L$2</f>
        <v>1</v>
      </c>
      <c r="M221" s="291"/>
      <c r="N221" s="291"/>
      <c r="O221" s="303"/>
      <c r="P221" s="303"/>
      <c r="Q221" s="303"/>
      <c r="R221" s="291"/>
      <c r="S221" s="291"/>
      <c r="T221" s="291"/>
      <c r="U221" s="291">
        <f>U$2</f>
        <v>1</v>
      </c>
      <c r="V221" s="291">
        <f>V$2</f>
        <v>1</v>
      </c>
      <c r="W221" s="291">
        <f t="shared" ref="W221:AB221" si="81">W$2</f>
        <v>1</v>
      </c>
      <c r="X221" s="291">
        <f t="shared" si="81"/>
        <v>1</v>
      </c>
      <c r="Y221" s="291">
        <f t="shared" si="81"/>
        <v>1</v>
      </c>
      <c r="Z221" s="291">
        <f t="shared" si="81"/>
        <v>1</v>
      </c>
      <c r="AA221" s="291">
        <f t="shared" si="81"/>
        <v>1</v>
      </c>
      <c r="AB221" s="291">
        <f t="shared" si="81"/>
        <v>1</v>
      </c>
    </row>
    <row r="222" spans="1:28" s="305" customFormat="1" hidden="1" outlineLevel="1" x14ac:dyDescent="0.25">
      <c r="A222" s="278"/>
      <c r="B222" s="279" t="str">
        <f>C222&amp;D222&amp;E222&amp;F222</f>
        <v/>
      </c>
      <c r="C222" s="278"/>
      <c r="D222" s="278"/>
      <c r="E222" s="278"/>
      <c r="F222" s="278"/>
      <c r="G222" s="278"/>
      <c r="H222" s="290"/>
      <c r="I222" s="280">
        <f>$I$2*H222</f>
        <v>0</v>
      </c>
      <c r="J222" s="281">
        <f>$J$2*H222</f>
        <v>0</v>
      </c>
      <c r="K222" s="282">
        <f>IF(Notes!$B$9="Domestic",I222, IF(Notes!$B$9="Commercial",J222))*$K$221</f>
        <v>0</v>
      </c>
      <c r="L222" s="283">
        <f>IF(SUM(O222:Q222)=0,0,(SUM(O222:Q222)+(K222+SUM(M222:Q222))*(INDEX($U$221:$AB$221,MATCH(Notes!$C$16,$U$3:$AB$3,0))-100%))*$L$221)</f>
        <v>0</v>
      </c>
      <c r="M222" s="286"/>
      <c r="N222" s="286"/>
      <c r="O222" s="285"/>
      <c r="P222" s="285"/>
      <c r="Q222" s="285"/>
      <c r="R222" s="278"/>
      <c r="S222" s="278"/>
      <c r="T222" s="278"/>
    </row>
    <row r="223" spans="1:28" s="305" customFormat="1" hidden="1" outlineLevel="1" x14ac:dyDescent="0.25">
      <c r="A223" s="278"/>
      <c r="B223" s="279" t="str">
        <f t="shared" ref="B223:B231" si="82">C223&amp;D223&amp;E223&amp;F223</f>
        <v/>
      </c>
      <c r="C223" s="278"/>
      <c r="D223" s="278"/>
      <c r="E223" s="278"/>
      <c r="F223" s="278"/>
      <c r="G223" s="278"/>
      <c r="H223" s="290"/>
      <c r="I223" s="280">
        <f t="shared" ref="I223:I225" si="83">$I$2*H223</f>
        <v>0</v>
      </c>
      <c r="J223" s="281">
        <f t="shared" ref="J223:J231" si="84">$J$2*H223</f>
        <v>0</v>
      </c>
      <c r="K223" s="282">
        <f>IF(Notes!$B$9="Domestic",I223, IF(Notes!$B$9="Commercial",J223))*$K$221</f>
        <v>0</v>
      </c>
      <c r="L223" s="283">
        <f>IF(SUM(O223:Q223)=0,0,(SUM(O223:Q223)+(K223+SUM(M223:Q223))*(INDEX($U$221:$AB$221,MATCH(Notes!$C$16,$U$3:$AB$3,0))-100%))*$L$221)</f>
        <v>0</v>
      </c>
      <c r="M223" s="286"/>
      <c r="N223" s="286"/>
      <c r="O223" s="285"/>
      <c r="P223" s="285"/>
      <c r="Q223" s="285"/>
      <c r="R223" s="278"/>
      <c r="S223" s="278"/>
      <c r="T223" s="278"/>
    </row>
    <row r="224" spans="1:28" s="305" customFormat="1" hidden="1" outlineLevel="1" x14ac:dyDescent="0.25">
      <c r="A224" s="278"/>
      <c r="B224" s="279" t="str">
        <f t="shared" si="82"/>
        <v/>
      </c>
      <c r="C224" s="278"/>
      <c r="D224" s="278"/>
      <c r="E224" s="278"/>
      <c r="F224" s="278"/>
      <c r="G224" s="278"/>
      <c r="H224" s="290"/>
      <c r="I224" s="280">
        <f t="shared" si="83"/>
        <v>0</v>
      </c>
      <c r="J224" s="281">
        <f t="shared" si="84"/>
        <v>0</v>
      </c>
      <c r="K224" s="282">
        <f>IF(Notes!$B$9="Domestic",I224, IF(Notes!$B$9="Commercial",J224))*$K$221</f>
        <v>0</v>
      </c>
      <c r="L224" s="283">
        <f>IF(SUM(O224:Q224)=0,0,(SUM(O224:Q224)+(K224+SUM(M224:Q224))*(INDEX($U$221:$AB$221,MATCH(Notes!$C$16,$U$3:$AB$3,0))-100%))*$L$221)</f>
        <v>0</v>
      </c>
      <c r="M224" s="286"/>
      <c r="N224" s="286"/>
      <c r="O224" s="285"/>
      <c r="P224" s="285"/>
      <c r="Q224" s="285"/>
      <c r="R224" s="278"/>
      <c r="S224" s="278"/>
      <c r="T224" s="278"/>
    </row>
    <row r="225" spans="1:28" s="305" customFormat="1" hidden="1" outlineLevel="1" x14ac:dyDescent="0.25">
      <c r="A225" s="278"/>
      <c r="B225" s="279" t="str">
        <f t="shared" si="82"/>
        <v/>
      </c>
      <c r="C225" s="278"/>
      <c r="D225" s="278"/>
      <c r="E225" s="278"/>
      <c r="F225" s="278"/>
      <c r="G225" s="278"/>
      <c r="H225" s="290"/>
      <c r="I225" s="280">
        <f t="shared" si="83"/>
        <v>0</v>
      </c>
      <c r="J225" s="281">
        <f t="shared" si="84"/>
        <v>0</v>
      </c>
      <c r="K225" s="282">
        <f>IF(Notes!$B$9="Domestic",I225, IF(Notes!$B$9="Commercial",J225))*$K$221</f>
        <v>0</v>
      </c>
      <c r="L225" s="283">
        <f>IF(SUM(O225:Q225)=0,0,(SUM(O225:Q225)+(K225+SUM(M225:Q225))*(INDEX($U$221:$AB$221,MATCH(Notes!$C$16,$U$3:$AB$3,0))-100%))*$L$221)</f>
        <v>0</v>
      </c>
      <c r="M225" s="286"/>
      <c r="N225" s="286"/>
      <c r="O225" s="285"/>
      <c r="P225" s="285"/>
      <c r="Q225" s="285"/>
      <c r="R225" s="278"/>
      <c r="S225" s="278"/>
      <c r="T225" s="278"/>
    </row>
    <row r="226" spans="1:28" s="305" customFormat="1" hidden="1" outlineLevel="1" x14ac:dyDescent="0.25">
      <c r="A226" s="278"/>
      <c r="B226" s="279" t="str">
        <f t="shared" si="82"/>
        <v/>
      </c>
      <c r="C226" s="278"/>
      <c r="D226" s="278"/>
      <c r="E226" s="278"/>
      <c r="F226" s="278"/>
      <c r="G226" s="278"/>
      <c r="H226" s="290"/>
      <c r="I226" s="280">
        <f>$I$2*H226</f>
        <v>0</v>
      </c>
      <c r="J226" s="281">
        <f t="shared" si="84"/>
        <v>0</v>
      </c>
      <c r="K226" s="282">
        <f>IF(Notes!$B$9="Domestic",I226, IF(Notes!$B$9="Commercial",J226))*$K$221</f>
        <v>0</v>
      </c>
      <c r="L226" s="283">
        <f>IF(SUM(O226:Q226)=0,0,(SUM(O226:Q226)+(K226+SUM(M226:Q226))*(INDEX($U$221:$AB$221,MATCH(Notes!$C$16,$U$3:$AB$3,0))-100%))*$L$221)</f>
        <v>0</v>
      </c>
      <c r="M226" s="286"/>
      <c r="N226" s="286"/>
      <c r="O226" s="285"/>
      <c r="P226" s="285"/>
      <c r="Q226" s="285"/>
      <c r="R226" s="278"/>
      <c r="S226" s="278"/>
      <c r="T226" s="278"/>
    </row>
    <row r="227" spans="1:28" s="305" customFormat="1" hidden="1" outlineLevel="1" x14ac:dyDescent="0.25">
      <c r="A227" s="278"/>
      <c r="B227" s="279" t="str">
        <f t="shared" si="82"/>
        <v/>
      </c>
      <c r="C227" s="278"/>
      <c r="D227" s="278"/>
      <c r="E227" s="278"/>
      <c r="F227" s="278"/>
      <c r="G227" s="278"/>
      <c r="H227" s="290"/>
      <c r="I227" s="280">
        <f t="shared" ref="I227:I231" si="85">$I$2*H227</f>
        <v>0</v>
      </c>
      <c r="J227" s="281">
        <f t="shared" si="84"/>
        <v>0</v>
      </c>
      <c r="K227" s="282">
        <f>IF(Notes!$B$9="Domestic",I227, IF(Notes!$B$9="Commercial",J227))*$K$221</f>
        <v>0</v>
      </c>
      <c r="L227" s="283">
        <f>IF(SUM(O227:Q227)=0,0,(SUM(O227:Q227)+(K227+SUM(M227:Q227))*(INDEX($U$221:$AB$221,MATCH(Notes!$C$16,$U$3:$AB$3,0))-100%))*$L$221)</f>
        <v>0</v>
      </c>
      <c r="M227" s="286"/>
      <c r="N227" s="286"/>
      <c r="O227" s="285"/>
      <c r="P227" s="285"/>
      <c r="Q227" s="285"/>
      <c r="R227" s="278"/>
      <c r="S227" s="278"/>
      <c r="T227" s="278"/>
    </row>
    <row r="228" spans="1:28" s="305" customFormat="1" hidden="1" outlineLevel="1" x14ac:dyDescent="0.25">
      <c r="A228" s="278"/>
      <c r="B228" s="279" t="str">
        <f t="shared" si="82"/>
        <v/>
      </c>
      <c r="C228" s="278"/>
      <c r="D228" s="278"/>
      <c r="E228" s="278"/>
      <c r="F228" s="278"/>
      <c r="G228" s="278"/>
      <c r="H228" s="290"/>
      <c r="I228" s="280">
        <f t="shared" si="85"/>
        <v>0</v>
      </c>
      <c r="J228" s="281">
        <f t="shared" si="84"/>
        <v>0</v>
      </c>
      <c r="K228" s="282">
        <f>IF(Notes!$B$9="Domestic",I228, IF(Notes!$B$9="Commercial",J228))*$K$221</f>
        <v>0</v>
      </c>
      <c r="L228" s="283">
        <f>IF(SUM(O228:Q228)=0,0,(SUM(O228:Q228)+(K228+SUM(M228:Q228))*(INDEX($U$221:$AB$221,MATCH(Notes!$C$16,$U$3:$AB$3,0))-100%))*$L$221)</f>
        <v>0</v>
      </c>
      <c r="M228" s="286"/>
      <c r="N228" s="286"/>
      <c r="O228" s="285"/>
      <c r="P228" s="285"/>
      <c r="Q228" s="285"/>
      <c r="R228" s="278"/>
      <c r="S228" s="278"/>
      <c r="T228" s="278"/>
    </row>
    <row r="229" spans="1:28" s="305" customFormat="1" hidden="1" outlineLevel="1" x14ac:dyDescent="0.25">
      <c r="A229" s="278"/>
      <c r="B229" s="279" t="str">
        <f t="shared" si="82"/>
        <v/>
      </c>
      <c r="C229" s="278"/>
      <c r="D229" s="278"/>
      <c r="E229" s="278"/>
      <c r="F229" s="278"/>
      <c r="G229" s="278"/>
      <c r="H229" s="290"/>
      <c r="I229" s="280">
        <f t="shared" si="85"/>
        <v>0</v>
      </c>
      <c r="J229" s="281">
        <f t="shared" si="84"/>
        <v>0</v>
      </c>
      <c r="K229" s="282">
        <f>IF(Notes!$B$9="Domestic",I229, IF(Notes!$B$9="Commercial",J229))*$K$221</f>
        <v>0</v>
      </c>
      <c r="L229" s="283">
        <f>IF(SUM(O229:Q229)=0,0,(SUM(O229:Q229)+(K229+SUM(M229:Q229))*(INDEX($U$221:$AB$221,MATCH(Notes!$C$16,$U$3:$AB$3,0))-100%))*$L$221)</f>
        <v>0</v>
      </c>
      <c r="M229" s="286"/>
      <c r="N229" s="286"/>
      <c r="O229" s="285"/>
      <c r="P229" s="285"/>
      <c r="Q229" s="285"/>
      <c r="R229" s="278"/>
      <c r="S229" s="278"/>
      <c r="T229" s="278"/>
    </row>
    <row r="230" spans="1:28" s="305" customFormat="1" hidden="1" outlineLevel="1" x14ac:dyDescent="0.25">
      <c r="A230" s="278"/>
      <c r="B230" s="279" t="str">
        <f t="shared" si="82"/>
        <v/>
      </c>
      <c r="C230" s="278"/>
      <c r="D230" s="278"/>
      <c r="E230" s="278"/>
      <c r="F230" s="278"/>
      <c r="G230" s="278"/>
      <c r="H230" s="290"/>
      <c r="I230" s="280">
        <f t="shared" si="85"/>
        <v>0</v>
      </c>
      <c r="J230" s="281">
        <f t="shared" si="84"/>
        <v>0</v>
      </c>
      <c r="K230" s="282">
        <f>IF(Notes!$B$9="Domestic",I230, IF(Notes!$B$9="Commercial",J230))*$K$221</f>
        <v>0</v>
      </c>
      <c r="L230" s="283">
        <f>IF(SUM(O230:Q230)=0,0,(SUM(O230:Q230)+(K230+SUM(M230:Q230))*(INDEX($U$221:$AB$221,MATCH(Notes!$C$16,$U$3:$AB$3,0))-100%))*$L$221)</f>
        <v>0</v>
      </c>
      <c r="M230" s="286"/>
      <c r="N230" s="286"/>
      <c r="O230" s="285"/>
      <c r="P230" s="285"/>
      <c r="Q230" s="285"/>
      <c r="R230" s="278"/>
      <c r="S230" s="278"/>
      <c r="T230" s="278"/>
    </row>
    <row r="231" spans="1:28" s="305" customFormat="1" hidden="1" outlineLevel="1" x14ac:dyDescent="0.25">
      <c r="A231" s="278"/>
      <c r="B231" s="279" t="str">
        <f t="shared" si="82"/>
        <v/>
      </c>
      <c r="C231" s="278"/>
      <c r="D231" s="278"/>
      <c r="E231" s="278"/>
      <c r="F231" s="278"/>
      <c r="G231" s="278"/>
      <c r="H231" s="290"/>
      <c r="I231" s="280">
        <f t="shared" si="85"/>
        <v>0</v>
      </c>
      <c r="J231" s="281">
        <f t="shared" si="84"/>
        <v>0</v>
      </c>
      <c r="K231" s="282">
        <f>IF(Notes!$B$9="Domestic",I231, IF(Notes!$B$9="Commercial",J231))*$K$221</f>
        <v>0</v>
      </c>
      <c r="L231" s="283">
        <f>IF(SUM(O231:Q231)=0,0,(SUM(O231:Q231)+(K231+SUM(M231:Q231))*(INDEX($U$221:$AB$221,MATCH(Notes!$C$16,$U$3:$AB$3,0))-100%))*$L$221)</f>
        <v>0</v>
      </c>
      <c r="M231" s="286"/>
      <c r="N231" s="286"/>
      <c r="O231" s="285"/>
      <c r="P231" s="285"/>
      <c r="Q231" s="285"/>
      <c r="R231" s="278"/>
      <c r="S231" s="278"/>
      <c r="T231" s="278"/>
    </row>
    <row r="232" spans="1:28" ht="21" hidden="1" outlineLevel="1" x14ac:dyDescent="0.25">
      <c r="A232" s="299"/>
      <c r="B232" s="299"/>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row>
    <row r="233" spans="1:28" ht="15.75" hidden="1" outlineLevel="1" x14ac:dyDescent="0.25">
      <c r="A233" s="291"/>
      <c r="B233" s="291"/>
      <c r="C233" s="291"/>
      <c r="D233" s="291"/>
      <c r="E233" s="291"/>
      <c r="F233" s="291"/>
      <c r="G233" s="291"/>
      <c r="H233" s="291"/>
      <c r="I233" s="291"/>
      <c r="J233" s="291"/>
      <c r="K233" s="291">
        <f>K$2</f>
        <v>1</v>
      </c>
      <c r="L233" s="291">
        <f>L$2</f>
        <v>1</v>
      </c>
      <c r="M233" s="291"/>
      <c r="N233" s="291"/>
      <c r="O233" s="303"/>
      <c r="P233" s="303"/>
      <c r="Q233" s="303"/>
      <c r="R233" s="291"/>
      <c r="S233" s="291"/>
      <c r="T233" s="291"/>
      <c r="U233" s="291">
        <f>U$2</f>
        <v>1</v>
      </c>
      <c r="V233" s="291">
        <f>V$2</f>
        <v>1</v>
      </c>
      <c r="W233" s="291">
        <f t="shared" ref="W233:AB233" si="86">W$2</f>
        <v>1</v>
      </c>
      <c r="X233" s="291">
        <f t="shared" si="86"/>
        <v>1</v>
      </c>
      <c r="Y233" s="291">
        <f t="shared" si="86"/>
        <v>1</v>
      </c>
      <c r="Z233" s="291">
        <f t="shared" si="86"/>
        <v>1</v>
      </c>
      <c r="AA233" s="291">
        <f t="shared" si="86"/>
        <v>1</v>
      </c>
      <c r="AB233" s="291">
        <f t="shared" si="86"/>
        <v>1</v>
      </c>
    </row>
    <row r="234" spans="1:28" s="305" customFormat="1" hidden="1" outlineLevel="1" x14ac:dyDescent="0.25">
      <c r="A234" s="278"/>
      <c r="B234" s="279" t="str">
        <f>C234&amp;D234&amp;E234&amp;F234</f>
        <v/>
      </c>
      <c r="C234" s="278"/>
      <c r="D234" s="278"/>
      <c r="E234" s="278"/>
      <c r="F234" s="278"/>
      <c r="G234" s="278"/>
      <c r="H234" s="290"/>
      <c r="I234" s="280">
        <f>$I$2*H234</f>
        <v>0</v>
      </c>
      <c r="J234" s="281">
        <f>$J$2*H234</f>
        <v>0</v>
      </c>
      <c r="K234" s="282">
        <f>IF(Notes!$B$9="Domestic",I234, IF(Notes!$B$9="Commercial",J234))*$K$233</f>
        <v>0</v>
      </c>
      <c r="L234" s="283">
        <f>IF(SUM(O234:Q234)=0,0,(SUM(O234:Q234)+(K234+SUM(M234:Q234))*(INDEX($U$233:$AB$233,MATCH(Notes!$C$16,$U$3:$AB$3,0))-100%))*$L$233)</f>
        <v>0</v>
      </c>
      <c r="M234" s="286"/>
      <c r="N234" s="286"/>
      <c r="O234" s="285"/>
      <c r="P234" s="285"/>
      <c r="Q234" s="285"/>
      <c r="R234" s="278"/>
      <c r="S234" s="278"/>
      <c r="T234" s="278"/>
    </row>
    <row r="235" spans="1:28" s="305" customFormat="1" hidden="1" outlineLevel="1" x14ac:dyDescent="0.25">
      <c r="A235" s="278"/>
      <c r="B235" s="279" t="str">
        <f t="shared" ref="B235:B243" si="87">C235&amp;D235&amp;E235&amp;F235</f>
        <v/>
      </c>
      <c r="C235" s="278"/>
      <c r="D235" s="278"/>
      <c r="E235" s="278"/>
      <c r="F235" s="278"/>
      <c r="G235" s="278"/>
      <c r="H235" s="290"/>
      <c r="I235" s="280">
        <f t="shared" ref="I235:I243" si="88">$I$2*H235</f>
        <v>0</v>
      </c>
      <c r="J235" s="281">
        <f t="shared" ref="J235:J243" si="89">$J$2*H235</f>
        <v>0</v>
      </c>
      <c r="K235" s="282">
        <f>IF(Notes!$B$9="Domestic",I235, IF(Notes!$B$9="Commercial",J235))*$K$233</f>
        <v>0</v>
      </c>
      <c r="L235" s="283">
        <f>IF(SUM(O235:Q235)=0,0,(SUM(O235:Q235)+(K235+SUM(M235:Q235))*(INDEX($U$233:$AB$233,MATCH(Notes!$C$16,$U$3:$AB$3,0))-100%))*$L$233)</f>
        <v>0</v>
      </c>
      <c r="M235" s="286"/>
      <c r="N235" s="286"/>
      <c r="O235" s="285"/>
      <c r="P235" s="285"/>
      <c r="Q235" s="285"/>
      <c r="R235" s="278"/>
      <c r="S235" s="278"/>
      <c r="T235" s="278"/>
    </row>
    <row r="236" spans="1:28" s="305" customFormat="1" hidden="1" outlineLevel="1" x14ac:dyDescent="0.25">
      <c r="A236" s="278"/>
      <c r="B236" s="279" t="str">
        <f t="shared" si="87"/>
        <v/>
      </c>
      <c r="C236" s="278"/>
      <c r="D236" s="278"/>
      <c r="E236" s="278"/>
      <c r="F236" s="278"/>
      <c r="G236" s="278"/>
      <c r="H236" s="290"/>
      <c r="I236" s="280">
        <f t="shared" si="88"/>
        <v>0</v>
      </c>
      <c r="J236" s="281">
        <f t="shared" si="89"/>
        <v>0</v>
      </c>
      <c r="K236" s="282">
        <f>IF(Notes!$B$9="Domestic",I236, IF(Notes!$B$9="Commercial",J236))*$K$233</f>
        <v>0</v>
      </c>
      <c r="L236" s="283">
        <f>IF(SUM(O236:Q236)=0,0,(SUM(O236:Q236)+(K236+SUM(M236:Q236))*(INDEX($U$233:$AB$233,MATCH(Notes!$C$16,$U$3:$AB$3,0))-100%))*$L$233)</f>
        <v>0</v>
      </c>
      <c r="M236" s="286"/>
      <c r="N236" s="286"/>
      <c r="O236" s="285"/>
      <c r="P236" s="285"/>
      <c r="Q236" s="285"/>
      <c r="R236" s="278"/>
      <c r="S236" s="278"/>
      <c r="T236" s="278"/>
    </row>
    <row r="237" spans="1:28" s="305" customFormat="1" hidden="1" outlineLevel="1" x14ac:dyDescent="0.25">
      <c r="A237" s="278"/>
      <c r="B237" s="279" t="str">
        <f t="shared" si="87"/>
        <v/>
      </c>
      <c r="C237" s="278"/>
      <c r="D237" s="278"/>
      <c r="E237" s="278"/>
      <c r="F237" s="278"/>
      <c r="G237" s="278"/>
      <c r="H237" s="290"/>
      <c r="I237" s="280">
        <f t="shared" si="88"/>
        <v>0</v>
      </c>
      <c r="J237" s="281">
        <f t="shared" si="89"/>
        <v>0</v>
      </c>
      <c r="K237" s="282">
        <f>IF(Notes!$B$9="Domestic",I237, IF(Notes!$B$9="Commercial",J237))*$K$233</f>
        <v>0</v>
      </c>
      <c r="L237" s="283">
        <f>IF(SUM(O237:Q237)=0,0,(SUM(O237:Q237)+(K237+SUM(M237:Q237))*(INDEX($U$233:$AB$233,MATCH(Notes!$C$16,$U$3:$AB$3,0))-100%))*$L$233)</f>
        <v>0</v>
      </c>
      <c r="M237" s="286"/>
      <c r="N237" s="286"/>
      <c r="O237" s="285"/>
      <c r="P237" s="285"/>
      <c r="Q237" s="285"/>
      <c r="R237" s="278"/>
      <c r="S237" s="278"/>
      <c r="T237" s="278"/>
    </row>
    <row r="238" spans="1:28" s="305" customFormat="1" hidden="1" outlineLevel="1" x14ac:dyDescent="0.25">
      <c r="A238" s="278"/>
      <c r="B238" s="279" t="str">
        <f t="shared" si="87"/>
        <v/>
      </c>
      <c r="C238" s="278"/>
      <c r="D238" s="278"/>
      <c r="E238" s="278"/>
      <c r="F238" s="278"/>
      <c r="G238" s="278"/>
      <c r="H238" s="290"/>
      <c r="I238" s="280">
        <f>$I$2*H238</f>
        <v>0</v>
      </c>
      <c r="J238" s="281">
        <f t="shared" si="89"/>
        <v>0</v>
      </c>
      <c r="K238" s="282">
        <f>IF(Notes!$B$9="Domestic",I238, IF(Notes!$B$9="Commercial",J238))*$K$233</f>
        <v>0</v>
      </c>
      <c r="L238" s="283">
        <f>IF(SUM(O238:Q238)=0,0,(SUM(O238:Q238)+(K238+SUM(M238:Q238))*(INDEX($U$233:$AB$233,MATCH(Notes!$C$16,$U$3:$AB$3,0))-100%))*$L$233)</f>
        <v>0</v>
      </c>
      <c r="M238" s="286"/>
      <c r="N238" s="286"/>
      <c r="O238" s="285"/>
      <c r="P238" s="285"/>
      <c r="Q238" s="285"/>
      <c r="R238" s="278"/>
      <c r="S238" s="278"/>
      <c r="T238" s="278"/>
    </row>
    <row r="239" spans="1:28" s="305" customFormat="1" hidden="1" outlineLevel="1" x14ac:dyDescent="0.25">
      <c r="A239" s="278"/>
      <c r="B239" s="279" t="str">
        <f t="shared" si="87"/>
        <v/>
      </c>
      <c r="C239" s="278"/>
      <c r="D239" s="278"/>
      <c r="E239" s="278"/>
      <c r="F239" s="278"/>
      <c r="G239" s="278"/>
      <c r="H239" s="290"/>
      <c r="I239" s="280">
        <f t="shared" si="88"/>
        <v>0</v>
      </c>
      <c r="J239" s="281">
        <f t="shared" si="89"/>
        <v>0</v>
      </c>
      <c r="K239" s="282">
        <f>IF(Notes!$B$9="Domestic",I239, IF(Notes!$B$9="Commercial",J239))*$K$233</f>
        <v>0</v>
      </c>
      <c r="L239" s="283">
        <f>IF(SUM(O239:Q239)=0,0,(SUM(O239:Q239)+(K239+SUM(M239:Q239))*(INDEX($U$233:$AB$233,MATCH(Notes!$C$16,$U$3:$AB$3,0))-100%))*$L$233)</f>
        <v>0</v>
      </c>
      <c r="M239" s="286"/>
      <c r="N239" s="286"/>
      <c r="O239" s="285"/>
      <c r="P239" s="285"/>
      <c r="Q239" s="285"/>
      <c r="R239" s="278"/>
      <c r="S239" s="278"/>
      <c r="T239" s="278"/>
    </row>
    <row r="240" spans="1:28" s="305" customFormat="1" hidden="1" outlineLevel="1" x14ac:dyDescent="0.25">
      <c r="A240" s="278"/>
      <c r="B240" s="279" t="str">
        <f t="shared" si="87"/>
        <v/>
      </c>
      <c r="C240" s="278"/>
      <c r="D240" s="278"/>
      <c r="E240" s="278"/>
      <c r="F240" s="278"/>
      <c r="G240" s="278"/>
      <c r="H240" s="290"/>
      <c r="I240" s="280">
        <f t="shared" si="88"/>
        <v>0</v>
      </c>
      <c r="J240" s="281">
        <f t="shared" si="89"/>
        <v>0</v>
      </c>
      <c r="K240" s="282">
        <f>IF(Notes!$B$9="Domestic",I240, IF(Notes!$B$9="Commercial",J240))*$K$233</f>
        <v>0</v>
      </c>
      <c r="L240" s="283">
        <f>IF(SUM(O240:Q240)=0,0,(SUM(O240:Q240)+(K240+SUM(M240:Q240))*(INDEX($U$233:$AB$233,MATCH(Notes!$C$16,$U$3:$AB$3,0))-100%))*$L$233)</f>
        <v>0</v>
      </c>
      <c r="M240" s="286"/>
      <c r="N240" s="286"/>
      <c r="O240" s="285"/>
      <c r="P240" s="285"/>
      <c r="Q240" s="285"/>
      <c r="R240" s="278"/>
      <c r="S240" s="278"/>
      <c r="T240" s="278"/>
    </row>
    <row r="241" spans="1:20" s="305" customFormat="1" hidden="1" outlineLevel="1" x14ac:dyDescent="0.25">
      <c r="A241" s="278"/>
      <c r="B241" s="279" t="str">
        <f t="shared" si="87"/>
        <v/>
      </c>
      <c r="C241" s="278"/>
      <c r="D241" s="278"/>
      <c r="E241" s="278"/>
      <c r="F241" s="278"/>
      <c r="G241" s="278"/>
      <c r="H241" s="290"/>
      <c r="I241" s="280">
        <f t="shared" si="88"/>
        <v>0</v>
      </c>
      <c r="J241" s="281">
        <f t="shared" si="89"/>
        <v>0</v>
      </c>
      <c r="K241" s="282">
        <f>IF(Notes!$B$9="Domestic",I241, IF(Notes!$B$9="Commercial",J241))*$K$233</f>
        <v>0</v>
      </c>
      <c r="L241" s="283">
        <f>IF(SUM(O241:Q241)=0,0,(SUM(O241:Q241)+(K241+SUM(M241:Q241))*(INDEX($U$233:$AB$233,MATCH(Notes!$C$16,$U$3:$AB$3,0))-100%))*$L$233)</f>
        <v>0</v>
      </c>
      <c r="M241" s="286"/>
      <c r="N241" s="286"/>
      <c r="O241" s="285"/>
      <c r="P241" s="285"/>
      <c r="Q241" s="285"/>
      <c r="R241" s="278"/>
      <c r="S241" s="278"/>
      <c r="T241" s="278"/>
    </row>
    <row r="242" spans="1:20" s="305" customFormat="1" hidden="1" outlineLevel="1" x14ac:dyDescent="0.25">
      <c r="A242" s="278"/>
      <c r="B242" s="279" t="str">
        <f t="shared" si="87"/>
        <v/>
      </c>
      <c r="C242" s="278"/>
      <c r="D242" s="278"/>
      <c r="E242" s="278"/>
      <c r="F242" s="278"/>
      <c r="G242" s="278"/>
      <c r="H242" s="290"/>
      <c r="I242" s="280">
        <f t="shared" si="88"/>
        <v>0</v>
      </c>
      <c r="J242" s="281">
        <f t="shared" si="89"/>
        <v>0</v>
      </c>
      <c r="K242" s="282">
        <f>IF(Notes!$B$9="Domestic",I242, IF(Notes!$B$9="Commercial",J242))*$K$233</f>
        <v>0</v>
      </c>
      <c r="L242" s="283">
        <f>IF(SUM(O242:Q242)=0,0,(SUM(O242:Q242)+(K242+SUM(M242:Q242))*(INDEX($U$233:$AB$233,MATCH(Notes!$C$16,$U$3:$AB$3,0))-100%))*$L$233)</f>
        <v>0</v>
      </c>
      <c r="M242" s="286"/>
      <c r="N242" s="286"/>
      <c r="O242" s="285"/>
      <c r="P242" s="285"/>
      <c r="Q242" s="285"/>
      <c r="R242" s="278"/>
      <c r="S242" s="278"/>
      <c r="T242" s="278"/>
    </row>
    <row r="243" spans="1:20" s="305" customFormat="1" hidden="1" outlineLevel="1" x14ac:dyDescent="0.25">
      <c r="A243" s="278"/>
      <c r="B243" s="279" t="str">
        <f t="shared" si="87"/>
        <v/>
      </c>
      <c r="C243" s="278"/>
      <c r="D243" s="278"/>
      <c r="E243" s="278"/>
      <c r="F243" s="278"/>
      <c r="G243" s="278"/>
      <c r="H243" s="290"/>
      <c r="I243" s="280">
        <f t="shared" si="88"/>
        <v>0</v>
      </c>
      <c r="J243" s="281">
        <f t="shared" si="89"/>
        <v>0</v>
      </c>
      <c r="K243" s="282">
        <f>IF(Notes!$B$9="Domestic",I243, IF(Notes!$B$9="Commercial",J243))*$K$233</f>
        <v>0</v>
      </c>
      <c r="L243" s="283">
        <f>IF(SUM(O243:Q243)=0,0,(SUM(O243:Q243)+(K243+SUM(M243:Q243))*(INDEX($U$233:$AB$233,MATCH(Notes!$C$16,$U$3:$AB$3,0))-100%))*$L$233)</f>
        <v>0</v>
      </c>
      <c r="M243" s="286"/>
      <c r="N243" s="286"/>
      <c r="O243" s="285"/>
      <c r="P243" s="285"/>
      <c r="Q243" s="285"/>
      <c r="R243" s="278"/>
      <c r="S243" s="278"/>
      <c r="T243" s="278"/>
    </row>
    <row r="244" spans="1:20" hidden="1" outlineLevel="1" x14ac:dyDescent="0.25">
      <c r="A244" s="284" t="str">
        <f>C244&amp;D244&amp;E244</f>
        <v/>
      </c>
      <c r="B244" s="284"/>
      <c r="C244" s="284"/>
      <c r="D244" s="284"/>
      <c r="E244" s="284"/>
      <c r="F244" s="284"/>
      <c r="G244" s="284"/>
      <c r="H244" s="284"/>
      <c r="I244" s="284"/>
      <c r="J244" s="284"/>
      <c r="K244" s="284"/>
      <c r="L244" s="284"/>
      <c r="M244" s="284"/>
      <c r="N244" s="284"/>
      <c r="O244" s="284"/>
      <c r="P244" s="284"/>
      <c r="Q244" s="284"/>
      <c r="R244" s="284"/>
      <c r="S244" s="284"/>
      <c r="T244" s="284"/>
    </row>
    <row r="245" spans="1:20" hidden="1" outlineLevel="1" x14ac:dyDescent="0.25"/>
    <row r="246" spans="1:20" hidden="1" outlineLevel="1" x14ac:dyDescent="0.25"/>
    <row r="247" spans="1:20" collapsed="1" x14ac:dyDescent="0.25"/>
  </sheetData>
  <sheetProtection algorithmName="SHA-512" hashValue="CvTQHL8epEku/X/X2gjiHbEtDo0Vs6Ps0GADchPPciSw3XoNMtnhSdM8m6X0/Q6Em1Gbl49C9cLHfy/yPb7PXw==" saltValue="zBg0bIZ1pwmYZbIvMQp8gw==" spinCount="100000" sheet="1" objects="1" scenarios="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00B050"/>
  </sheetPr>
  <dimension ref="A1:S204"/>
  <sheetViews>
    <sheetView view="pageBreakPreview" zoomScale="70" zoomScaleNormal="85" zoomScaleSheetLayoutView="70" zoomScalePageLayoutView="85" workbookViewId="0">
      <pane ySplit="2" topLeftCell="A15" activePane="bottomLeft" state="frozen"/>
      <selection activeCell="F51" sqref="F51"/>
      <selection pane="bottomLeft"/>
    </sheetView>
  </sheetViews>
  <sheetFormatPr defaultColWidth="8.85546875" defaultRowHeight="15.7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3" width="18.5703125" style="62" customWidth="1" outlineLevel="1"/>
    <col min="14" max="14" width="18.5703125" style="343"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70" t="s">
        <v>22</v>
      </c>
      <c r="N1" s="339" t="s">
        <v>1458</v>
      </c>
    </row>
    <row r="2" spans="1:19" s="79" customFormat="1" ht="20.100000000000001" customHeight="1" thickBot="1" x14ac:dyDescent="0.4">
      <c r="A2" s="72">
        <f>Carpentry!A2+1</f>
        <v>14</v>
      </c>
      <c r="B2" s="73" t="s" cm="1">
        <v>2451</v>
      </c>
      <c r="C2" s="75"/>
      <c r="D2" s="76"/>
      <c r="E2" s="77"/>
      <c r="F2" s="78"/>
      <c r="G2" s="207"/>
      <c r="H2" s="221" t="s">
        <v>26</v>
      </c>
      <c r="I2" s="222" t="s">
        <v>27</v>
      </c>
      <c r="J2" s="222" t="s">
        <v>28</v>
      </c>
      <c r="K2" s="222" t="s">
        <v>34</v>
      </c>
      <c r="L2" s="222" t="s">
        <v>615</v>
      </c>
      <c r="M2" s="337"/>
      <c r="N2" s="342"/>
    </row>
    <row r="3" spans="1:19" s="90" customFormat="1" ht="37.5" x14ac:dyDescent="0.25">
      <c r="A3" s="82">
        <f ca="1">IF(C3&gt;0,MAX($A$1:OFFSET(A3,-1,0))+0.01,"")</f>
        <v>14.01</v>
      </c>
      <c r="B3" s="27" t="s">
        <v>575</v>
      </c>
      <c r="C3" s="98">
        <v>1</v>
      </c>
      <c r="D3" s="29" t="s">
        <v>24</v>
      </c>
      <c r="E3" s="85"/>
      <c r="F3" s="86">
        <f>IF(E3="inc",0,IF(C3="",0,C3*E3))</f>
        <v>0</v>
      </c>
      <c r="G3" s="208"/>
      <c r="H3" s="30"/>
      <c r="I3" s="30"/>
      <c r="J3" s="30"/>
      <c r="K3" s="30"/>
      <c r="L3" s="30"/>
      <c r="M3" s="338"/>
      <c r="N3" s="342"/>
      <c r="O3" s="25"/>
      <c r="P3" s="25"/>
      <c r="Q3" s="25"/>
      <c r="R3" s="25"/>
      <c r="S3" s="25"/>
    </row>
    <row r="4" spans="1:19" s="94" customFormat="1" x14ac:dyDescent="0.25">
      <c r="A4" s="24"/>
      <c r="B4" s="24"/>
      <c r="C4" s="32">
        <v>1</v>
      </c>
      <c r="D4" s="32" t="s">
        <v>5</v>
      </c>
      <c r="E4" s="26"/>
      <c r="F4" s="33"/>
      <c r="G4" s="209"/>
      <c r="H4" s="26"/>
      <c r="I4" s="26"/>
      <c r="J4" s="26"/>
      <c r="K4" s="26"/>
      <c r="L4" s="26"/>
      <c r="M4" s="336"/>
      <c r="N4" s="340"/>
      <c r="O4" s="44"/>
    </row>
    <row r="5" spans="1:19" s="94" customFormat="1" x14ac:dyDescent="0.25">
      <c r="A5" s="24"/>
      <c r="B5" s="24"/>
      <c r="C5" s="32" t="s">
        <v>2346</v>
      </c>
      <c r="D5" s="32">
        <v>0</v>
      </c>
      <c r="E5" s="26"/>
      <c r="F5" s="33"/>
      <c r="G5" s="210"/>
      <c r="H5" s="26"/>
      <c r="I5" s="26"/>
      <c r="J5" s="26"/>
      <c r="K5" s="26"/>
      <c r="L5" s="26"/>
      <c r="M5" s="336"/>
      <c r="N5" s="340"/>
      <c r="O5" s="44"/>
    </row>
    <row r="6" spans="1:19" s="79" customFormat="1" ht="21.75" thickBot="1" x14ac:dyDescent="0.4">
      <c r="A6" s="99"/>
      <c r="B6" s="394" t="s">
        <v>4</v>
      </c>
      <c r="C6" s="395"/>
      <c r="D6" s="396"/>
      <c r="E6" s="100"/>
      <c r="F6" s="101">
        <f ca="1">SUM(F$2:OFFSET(F6,-1,0))</f>
        <v>0</v>
      </c>
      <c r="G6" s="208"/>
      <c r="H6" s="100"/>
      <c r="I6" s="100"/>
      <c r="J6" s="100"/>
      <c r="K6" s="100"/>
      <c r="L6" s="100"/>
      <c r="M6" s="102"/>
      <c r="N6" s="341">
        <f>SUM(N2:N5)/2</f>
        <v>0</v>
      </c>
    </row>
    <row r="7" spans="1:19" s="94" customFormat="1" x14ac:dyDescent="0.25">
      <c r="A7" s="105"/>
      <c r="B7" s="25"/>
      <c r="C7" s="106"/>
      <c r="D7" s="32"/>
      <c r="E7" s="92"/>
      <c r="F7" s="26"/>
      <c r="G7" s="26"/>
      <c r="H7" s="26"/>
      <c r="I7" s="26"/>
      <c r="J7" s="26"/>
      <c r="K7" s="26"/>
      <c r="L7" s="26"/>
      <c r="M7" s="62"/>
      <c r="N7" s="343"/>
    </row>
    <row r="8" spans="1:19" x14ac:dyDescent="0.25">
      <c r="C8" s="106"/>
      <c r="G8" s="26"/>
      <c r="H8" s="26"/>
      <c r="I8" s="26"/>
      <c r="J8" s="26"/>
      <c r="K8" s="26"/>
      <c r="L8" s="26"/>
    </row>
    <row r="9" spans="1:19" x14ac:dyDescent="0.25">
      <c r="G9" s="26"/>
      <c r="H9" s="26"/>
      <c r="I9" s="26"/>
      <c r="J9" s="26"/>
      <c r="K9" s="26"/>
      <c r="L9" s="26"/>
    </row>
    <row r="10" spans="1:19" x14ac:dyDescent="0.25">
      <c r="G10" s="26"/>
      <c r="H10" s="26"/>
      <c r="I10" s="26"/>
      <c r="J10" s="26"/>
      <c r="K10" s="26"/>
      <c r="L10" s="26"/>
    </row>
    <row r="11" spans="1:19" x14ac:dyDescent="0.25">
      <c r="F11" s="108" t="e">
        <f ca="1">F6-#REF!</f>
        <v>#REF!</v>
      </c>
      <c r="G11" s="26"/>
      <c r="H11" s="26"/>
      <c r="I11" s="26"/>
      <c r="J11" s="26"/>
      <c r="K11" s="26"/>
      <c r="L11" s="26"/>
    </row>
    <row r="12" spans="1:19" x14ac:dyDescent="0.25">
      <c r="G12" s="26"/>
      <c r="H12" s="26"/>
      <c r="I12" s="26"/>
      <c r="J12" s="26"/>
      <c r="K12" s="26"/>
      <c r="L12" s="26"/>
    </row>
    <row r="13" spans="1:19" x14ac:dyDescent="0.25">
      <c r="G13" s="26"/>
      <c r="H13" s="26"/>
      <c r="I13" s="26"/>
      <c r="J13" s="26"/>
      <c r="K13" s="26"/>
      <c r="L13" s="26"/>
    </row>
    <row r="14" spans="1:19" x14ac:dyDescent="0.25">
      <c r="G14" s="26"/>
      <c r="H14" s="26"/>
      <c r="I14" s="26"/>
      <c r="J14" s="26"/>
      <c r="K14" s="26"/>
      <c r="L14" s="26"/>
    </row>
    <row r="15" spans="1:19" x14ac:dyDescent="0.25">
      <c r="G15" s="26"/>
      <c r="H15" s="26"/>
      <c r="I15" s="26"/>
      <c r="J15" s="26"/>
      <c r="K15" s="26"/>
      <c r="L15" s="26"/>
    </row>
    <row r="16" spans="1:19" x14ac:dyDescent="0.25">
      <c r="G16" s="26"/>
      <c r="H16" s="26"/>
      <c r="I16" s="26"/>
      <c r="J16" s="26"/>
      <c r="K16" s="26"/>
      <c r="L16" s="26"/>
    </row>
    <row r="17" spans="1:19" x14ac:dyDescent="0.25">
      <c r="G17" s="26"/>
      <c r="H17" s="26"/>
      <c r="I17" s="26"/>
      <c r="J17" s="26"/>
      <c r="K17" s="26"/>
      <c r="L17" s="26"/>
    </row>
    <row r="18" spans="1:19" x14ac:dyDescent="0.25">
      <c r="G18" s="26"/>
      <c r="H18" s="26"/>
      <c r="I18" s="26"/>
      <c r="J18" s="26"/>
      <c r="K18" s="26"/>
      <c r="L18" s="26"/>
    </row>
    <row r="19" spans="1:19" x14ac:dyDescent="0.25">
      <c r="G19" s="26"/>
      <c r="H19" s="26"/>
      <c r="I19" s="26"/>
      <c r="J19" s="26"/>
      <c r="K19" s="26"/>
      <c r="L19" s="26"/>
    </row>
    <row r="20" spans="1:19" x14ac:dyDescent="0.25">
      <c r="G20" s="26"/>
      <c r="H20" s="26"/>
      <c r="I20" s="26"/>
      <c r="J20" s="26"/>
      <c r="K20" s="26"/>
      <c r="L20" s="26"/>
    </row>
    <row r="21" spans="1:19" s="110" customFormat="1" x14ac:dyDescent="0.25">
      <c r="A21" s="25"/>
      <c r="B21" s="25"/>
      <c r="D21" s="36"/>
      <c r="E21" s="25"/>
      <c r="F21" s="108"/>
      <c r="G21" s="26"/>
      <c r="H21" s="26"/>
      <c r="I21" s="26"/>
      <c r="J21" s="26"/>
      <c r="K21" s="26"/>
      <c r="L21" s="26"/>
      <c r="M21" s="62"/>
      <c r="N21" s="343"/>
      <c r="O21" s="25"/>
      <c r="P21" s="25"/>
      <c r="Q21" s="25"/>
      <c r="R21" s="25"/>
      <c r="S21" s="25"/>
    </row>
    <row r="22" spans="1:19" s="110" customFormat="1" x14ac:dyDescent="0.25">
      <c r="A22" s="25"/>
      <c r="B22" s="25"/>
      <c r="D22" s="36"/>
      <c r="E22" s="25"/>
      <c r="F22" s="108"/>
      <c r="G22" s="26"/>
      <c r="H22" s="26"/>
      <c r="I22" s="26"/>
      <c r="J22" s="26"/>
      <c r="K22" s="26"/>
      <c r="L22" s="26"/>
      <c r="M22" s="62"/>
      <c r="N22" s="343"/>
      <c r="O22" s="25"/>
      <c r="P22" s="25"/>
      <c r="Q22" s="25"/>
      <c r="R22" s="25"/>
      <c r="S22" s="25"/>
    </row>
    <row r="23" spans="1:19" s="110" customFormat="1" x14ac:dyDescent="0.25">
      <c r="A23" s="25"/>
      <c r="B23" s="25"/>
      <c r="D23" s="36"/>
      <c r="E23" s="25"/>
      <c r="F23" s="108"/>
      <c r="G23" s="26"/>
      <c r="H23" s="26"/>
      <c r="I23" s="26"/>
      <c r="J23" s="26"/>
      <c r="K23" s="26"/>
      <c r="L23" s="26"/>
      <c r="M23" s="62"/>
      <c r="N23" s="343"/>
      <c r="O23" s="25"/>
      <c r="P23" s="25"/>
      <c r="Q23" s="25"/>
      <c r="R23" s="25"/>
      <c r="S23" s="25"/>
    </row>
    <row r="24" spans="1:19" s="110" customFormat="1" x14ac:dyDescent="0.25">
      <c r="A24" s="25"/>
      <c r="B24" s="25"/>
      <c r="D24" s="36"/>
      <c r="E24" s="25"/>
      <c r="F24" s="108"/>
      <c r="G24" s="26"/>
      <c r="H24" s="26"/>
      <c r="I24" s="26"/>
      <c r="J24" s="26"/>
      <c r="K24" s="26"/>
      <c r="L24" s="26"/>
      <c r="M24" s="62"/>
      <c r="N24" s="343"/>
      <c r="O24" s="25"/>
      <c r="P24" s="25"/>
      <c r="Q24" s="25"/>
      <c r="R24" s="25"/>
      <c r="S24" s="25"/>
    </row>
    <row r="25" spans="1:19" s="110" customFormat="1" x14ac:dyDescent="0.25">
      <c r="A25" s="25"/>
      <c r="B25" s="25"/>
      <c r="D25" s="36"/>
      <c r="E25" s="25"/>
      <c r="F25" s="108"/>
      <c r="G25" s="26"/>
      <c r="H25" s="26"/>
      <c r="I25" s="26"/>
      <c r="J25" s="26"/>
      <c r="K25" s="26"/>
      <c r="L25" s="26"/>
      <c r="M25" s="62"/>
      <c r="N25" s="343"/>
      <c r="O25" s="25"/>
      <c r="P25" s="25"/>
      <c r="Q25" s="25"/>
      <c r="R25" s="25"/>
      <c r="S25" s="25"/>
    </row>
    <row r="26" spans="1:19" s="110" customFormat="1" x14ac:dyDescent="0.25">
      <c r="A26" s="25"/>
      <c r="B26" s="25"/>
      <c r="D26" s="36"/>
      <c r="E26" s="25"/>
      <c r="F26" s="108"/>
      <c r="G26" s="26"/>
      <c r="H26" s="26"/>
      <c r="I26" s="26"/>
      <c r="J26" s="26"/>
      <c r="K26" s="26"/>
      <c r="L26" s="26"/>
      <c r="M26" s="62"/>
      <c r="N26" s="343"/>
      <c r="O26" s="25"/>
      <c r="P26" s="25"/>
      <c r="Q26" s="25"/>
      <c r="R26" s="25"/>
      <c r="S26" s="25"/>
    </row>
    <row r="27" spans="1:19" s="110" customFormat="1" x14ac:dyDescent="0.25">
      <c r="A27" s="25"/>
      <c r="B27" s="25"/>
      <c r="D27" s="36"/>
      <c r="E27" s="25"/>
      <c r="F27" s="108"/>
      <c r="G27" s="26"/>
      <c r="H27" s="26"/>
      <c r="I27" s="26"/>
      <c r="J27" s="26"/>
      <c r="K27" s="26"/>
      <c r="L27" s="26"/>
      <c r="M27" s="62"/>
      <c r="N27" s="343"/>
      <c r="O27" s="25"/>
      <c r="P27" s="25"/>
      <c r="Q27" s="25"/>
      <c r="R27" s="25"/>
      <c r="S27" s="25"/>
    </row>
    <row r="28" spans="1:19" s="110" customFormat="1" x14ac:dyDescent="0.25">
      <c r="A28" s="25"/>
      <c r="B28" s="25"/>
      <c r="D28" s="36"/>
      <c r="E28" s="25"/>
      <c r="F28" s="108"/>
      <c r="G28" s="26"/>
      <c r="H28" s="26"/>
      <c r="I28" s="26"/>
      <c r="J28" s="26"/>
      <c r="K28" s="26"/>
      <c r="L28" s="26"/>
      <c r="M28" s="62"/>
      <c r="N28" s="343"/>
      <c r="O28" s="25"/>
      <c r="P28" s="25"/>
      <c r="Q28" s="25"/>
      <c r="R28" s="25"/>
      <c r="S28" s="25"/>
    </row>
    <row r="29" spans="1:19" s="110" customFormat="1" x14ac:dyDescent="0.25">
      <c r="A29" s="25"/>
      <c r="B29" s="25"/>
      <c r="D29" s="36"/>
      <c r="E29" s="25"/>
      <c r="F29" s="108"/>
      <c r="G29" s="26"/>
      <c r="H29" s="26"/>
      <c r="I29" s="26"/>
      <c r="J29" s="26"/>
      <c r="K29" s="26"/>
      <c r="L29" s="26"/>
      <c r="M29" s="62"/>
      <c r="N29" s="343"/>
      <c r="O29" s="25"/>
      <c r="P29" s="25"/>
      <c r="Q29" s="25"/>
      <c r="R29" s="25"/>
      <c r="S29" s="25"/>
    </row>
    <row r="30" spans="1:19" s="110" customFormat="1" x14ac:dyDescent="0.25">
      <c r="A30" s="25"/>
      <c r="B30" s="25"/>
      <c r="D30" s="36"/>
      <c r="E30" s="25"/>
      <c r="F30" s="108"/>
      <c r="G30" s="26"/>
      <c r="H30" s="26"/>
      <c r="I30" s="26"/>
      <c r="J30" s="26"/>
      <c r="K30" s="26"/>
      <c r="L30" s="26"/>
      <c r="M30" s="62"/>
      <c r="N30" s="343"/>
      <c r="O30" s="25"/>
      <c r="P30" s="25"/>
      <c r="Q30" s="25"/>
      <c r="R30" s="25"/>
      <c r="S30" s="25"/>
    </row>
    <row r="31" spans="1:19" s="110" customFormat="1" x14ac:dyDescent="0.25">
      <c r="A31" s="25"/>
      <c r="B31" s="25"/>
      <c r="D31" s="36"/>
      <c r="E31" s="25"/>
      <c r="F31" s="108"/>
      <c r="G31" s="26"/>
      <c r="H31" s="26"/>
      <c r="I31" s="26"/>
      <c r="J31" s="26"/>
      <c r="K31" s="26"/>
      <c r="L31" s="26"/>
      <c r="M31" s="62"/>
      <c r="N31" s="343"/>
      <c r="O31" s="25"/>
      <c r="P31" s="25"/>
      <c r="Q31" s="25"/>
      <c r="R31" s="25"/>
      <c r="S31" s="25"/>
    </row>
    <row r="32" spans="1:19" s="110" customFormat="1" x14ac:dyDescent="0.25">
      <c r="A32" s="25"/>
      <c r="B32" s="25"/>
      <c r="D32" s="36"/>
      <c r="E32" s="25"/>
      <c r="F32" s="108"/>
      <c r="G32" s="26"/>
      <c r="H32" s="26"/>
      <c r="I32" s="26"/>
      <c r="J32" s="26"/>
      <c r="K32" s="26"/>
      <c r="L32" s="26"/>
      <c r="M32" s="62"/>
      <c r="N32" s="343"/>
      <c r="O32" s="25"/>
      <c r="P32" s="25"/>
      <c r="Q32" s="25"/>
      <c r="R32" s="25"/>
      <c r="S32" s="25"/>
    </row>
    <row r="33" spans="1:19" s="110" customFormat="1" x14ac:dyDescent="0.25">
      <c r="A33" s="25"/>
      <c r="B33" s="25"/>
      <c r="D33" s="36"/>
      <c r="E33" s="25"/>
      <c r="F33" s="108"/>
      <c r="G33" s="26"/>
      <c r="H33" s="26"/>
      <c r="I33" s="26"/>
      <c r="J33" s="26"/>
      <c r="K33" s="26"/>
      <c r="L33" s="26"/>
      <c r="M33" s="62"/>
      <c r="N33" s="343"/>
      <c r="O33" s="25"/>
      <c r="P33" s="25"/>
      <c r="Q33" s="25"/>
      <c r="R33" s="25"/>
      <c r="S33" s="25"/>
    </row>
    <row r="34" spans="1:19" x14ac:dyDescent="0.25">
      <c r="G34" s="26"/>
      <c r="H34" s="26"/>
      <c r="I34" s="26"/>
      <c r="J34" s="26"/>
      <c r="K34" s="26"/>
      <c r="L34" s="26"/>
    </row>
    <row r="35" spans="1:19" x14ac:dyDescent="0.25">
      <c r="G35" s="26"/>
      <c r="H35" s="26"/>
      <c r="I35" s="26"/>
      <c r="J35" s="26"/>
      <c r="K35" s="26"/>
      <c r="L35" s="26"/>
    </row>
    <row r="36" spans="1:19" x14ac:dyDescent="0.25">
      <c r="G36" s="26"/>
      <c r="H36" s="26"/>
      <c r="I36" s="26"/>
      <c r="J36" s="26"/>
      <c r="K36" s="26"/>
      <c r="L36" s="26"/>
    </row>
    <row r="37" spans="1:19" x14ac:dyDescent="0.25">
      <c r="G37" s="26"/>
      <c r="H37" s="26"/>
      <c r="I37" s="26"/>
      <c r="J37" s="26"/>
      <c r="K37" s="26"/>
      <c r="L37" s="26"/>
    </row>
    <row r="38" spans="1:19" x14ac:dyDescent="0.25">
      <c r="G38" s="26"/>
      <c r="H38" s="26"/>
      <c r="I38" s="26"/>
      <c r="J38" s="26"/>
      <c r="K38" s="26"/>
      <c r="L38" s="26"/>
    </row>
    <row r="39" spans="1:19" x14ac:dyDescent="0.25">
      <c r="G39" s="26"/>
      <c r="H39" s="26"/>
      <c r="I39" s="26"/>
      <c r="J39" s="26"/>
      <c r="K39" s="26"/>
      <c r="L39" s="26"/>
    </row>
    <row r="40" spans="1:19" x14ac:dyDescent="0.25">
      <c r="G40" s="26"/>
      <c r="H40" s="26"/>
      <c r="I40" s="26"/>
      <c r="J40" s="26"/>
      <c r="K40" s="26"/>
      <c r="L40" s="26"/>
    </row>
    <row r="41" spans="1:19" x14ac:dyDescent="0.25">
      <c r="G41" s="26"/>
      <c r="H41" s="26"/>
      <c r="I41" s="26"/>
      <c r="J41" s="26"/>
      <c r="K41" s="26"/>
      <c r="L41" s="26"/>
    </row>
    <row r="42" spans="1:19" x14ac:dyDescent="0.25">
      <c r="G42" s="26"/>
      <c r="H42" s="26"/>
      <c r="I42" s="26"/>
      <c r="J42" s="26"/>
      <c r="K42" s="26"/>
      <c r="L42" s="26"/>
    </row>
    <row r="43" spans="1:19" x14ac:dyDescent="0.25">
      <c r="G43" s="26"/>
      <c r="H43" s="26"/>
      <c r="I43" s="26"/>
      <c r="J43" s="26"/>
      <c r="K43" s="26"/>
      <c r="L43" s="26"/>
    </row>
    <row r="44" spans="1:19" x14ac:dyDescent="0.25">
      <c r="G44" s="26"/>
      <c r="H44" s="26"/>
      <c r="I44" s="26"/>
      <c r="J44" s="26"/>
      <c r="K44" s="26"/>
      <c r="L44" s="26"/>
    </row>
    <row r="45" spans="1:19" x14ac:dyDescent="0.25">
      <c r="G45" s="26"/>
      <c r="H45" s="26"/>
      <c r="I45" s="26"/>
      <c r="J45" s="26"/>
      <c r="K45" s="26"/>
      <c r="L45" s="26"/>
    </row>
    <row r="46" spans="1:19" x14ac:dyDescent="0.25">
      <c r="G46" s="26"/>
      <c r="H46" s="26"/>
      <c r="I46" s="26"/>
      <c r="J46" s="26"/>
      <c r="K46" s="26"/>
      <c r="L46" s="26"/>
    </row>
    <row r="47" spans="1:19" x14ac:dyDescent="0.25">
      <c r="G47" s="26"/>
      <c r="H47" s="26"/>
      <c r="I47" s="26"/>
      <c r="J47" s="26"/>
      <c r="K47" s="26"/>
      <c r="L47" s="26"/>
    </row>
    <row r="48" spans="1:19" x14ac:dyDescent="0.25">
      <c r="G48" s="26"/>
      <c r="H48" s="26"/>
      <c r="I48" s="26"/>
      <c r="J48" s="26"/>
      <c r="K48" s="26"/>
      <c r="L48" s="26"/>
    </row>
    <row r="49" spans="7:12" x14ac:dyDescent="0.25">
      <c r="G49" s="26"/>
      <c r="H49" s="26"/>
      <c r="I49" s="26"/>
      <c r="J49" s="26"/>
      <c r="K49" s="26"/>
      <c r="L49" s="26"/>
    </row>
    <row r="50" spans="7:12" x14ac:dyDescent="0.25">
      <c r="G50" s="26"/>
      <c r="H50" s="26"/>
      <c r="I50" s="26"/>
      <c r="J50" s="26"/>
      <c r="K50" s="26"/>
      <c r="L50" s="26"/>
    </row>
    <row r="51" spans="7:12" x14ac:dyDescent="0.25">
      <c r="G51" s="26"/>
      <c r="H51" s="26"/>
      <c r="I51" s="26"/>
      <c r="J51" s="26"/>
      <c r="K51" s="26"/>
      <c r="L51" s="26"/>
    </row>
    <row r="52" spans="7:12" x14ac:dyDescent="0.25">
      <c r="G52" s="26"/>
      <c r="H52" s="26"/>
      <c r="I52" s="26"/>
      <c r="J52" s="26"/>
      <c r="K52" s="26"/>
      <c r="L52" s="26"/>
    </row>
    <row r="53" spans="7:12" x14ac:dyDescent="0.25">
      <c r="G53" s="26"/>
      <c r="H53" s="26"/>
      <c r="I53" s="26"/>
      <c r="J53" s="26"/>
      <c r="K53" s="26"/>
      <c r="L53" s="26"/>
    </row>
    <row r="54" spans="7:12" x14ac:dyDescent="0.25">
      <c r="G54" s="26"/>
      <c r="H54" s="26"/>
      <c r="I54" s="26"/>
      <c r="J54" s="26"/>
      <c r="K54" s="26"/>
      <c r="L54" s="26"/>
    </row>
    <row r="55" spans="7:12" x14ac:dyDescent="0.25">
      <c r="G55" s="26"/>
      <c r="H55" s="26"/>
      <c r="I55" s="26"/>
      <c r="J55" s="26"/>
      <c r="K55" s="26"/>
      <c r="L55" s="26"/>
    </row>
    <row r="56" spans="7:12" x14ac:dyDescent="0.25">
      <c r="G56" s="26"/>
      <c r="H56" s="26"/>
      <c r="I56" s="26"/>
      <c r="J56" s="26"/>
      <c r="K56" s="26"/>
      <c r="L56" s="26"/>
    </row>
    <row r="57" spans="7:12" x14ac:dyDescent="0.25">
      <c r="G57" s="26"/>
      <c r="H57" s="26"/>
      <c r="I57" s="26"/>
      <c r="J57" s="26"/>
      <c r="K57" s="26"/>
      <c r="L57" s="26"/>
    </row>
    <row r="58" spans="7:12" x14ac:dyDescent="0.25">
      <c r="G58" s="26"/>
      <c r="H58" s="26"/>
      <c r="I58" s="26"/>
      <c r="J58" s="26"/>
      <c r="K58" s="26"/>
      <c r="L58" s="26"/>
    </row>
    <row r="59" spans="7:12" x14ac:dyDescent="0.25">
      <c r="G59" s="26"/>
      <c r="H59" s="26"/>
      <c r="I59" s="26"/>
      <c r="J59" s="26"/>
      <c r="K59" s="26"/>
      <c r="L59" s="26"/>
    </row>
    <row r="60" spans="7:12" x14ac:dyDescent="0.25">
      <c r="G60" s="26"/>
      <c r="H60" s="26"/>
      <c r="I60" s="26"/>
      <c r="J60" s="26"/>
      <c r="K60" s="26"/>
      <c r="L60" s="26"/>
    </row>
    <row r="61" spans="7:12" x14ac:dyDescent="0.25">
      <c r="G61" s="26"/>
      <c r="H61" s="26"/>
      <c r="I61" s="26"/>
      <c r="J61" s="26"/>
      <c r="K61" s="26"/>
      <c r="L61" s="26"/>
    </row>
    <row r="62" spans="7:12" x14ac:dyDescent="0.25">
      <c r="G62" s="26"/>
      <c r="H62" s="26"/>
      <c r="I62" s="26"/>
      <c r="J62" s="26"/>
      <c r="K62" s="26"/>
      <c r="L62" s="26"/>
    </row>
    <row r="63" spans="7:12" x14ac:dyDescent="0.25">
      <c r="G63" s="26"/>
      <c r="H63" s="26"/>
      <c r="I63" s="26"/>
      <c r="J63" s="26"/>
      <c r="K63" s="26"/>
      <c r="L63" s="26"/>
    </row>
    <row r="64" spans="7:12" x14ac:dyDescent="0.25">
      <c r="G64" s="26"/>
      <c r="H64" s="26"/>
      <c r="I64" s="26"/>
      <c r="J64" s="26"/>
      <c r="K64" s="26"/>
      <c r="L64" s="26"/>
    </row>
    <row r="65" spans="7:12" x14ac:dyDescent="0.25">
      <c r="G65" s="26"/>
      <c r="H65" s="26"/>
      <c r="I65" s="26"/>
      <c r="J65" s="26"/>
      <c r="K65" s="26"/>
      <c r="L65" s="26"/>
    </row>
    <row r="66" spans="7:12" x14ac:dyDescent="0.25">
      <c r="G66" s="26"/>
      <c r="H66" s="26"/>
      <c r="I66" s="26"/>
      <c r="J66" s="26"/>
      <c r="K66" s="26"/>
      <c r="L66" s="26"/>
    </row>
    <row r="67" spans="7:12" x14ac:dyDescent="0.25">
      <c r="G67" s="26"/>
      <c r="H67" s="26"/>
      <c r="I67" s="26"/>
      <c r="J67" s="26"/>
      <c r="K67" s="26"/>
      <c r="L67" s="26"/>
    </row>
    <row r="68" spans="7:12" x14ac:dyDescent="0.25">
      <c r="G68" s="26"/>
      <c r="H68" s="26"/>
      <c r="I68" s="26"/>
      <c r="J68" s="26"/>
      <c r="K68" s="26"/>
      <c r="L68" s="26"/>
    </row>
    <row r="69" spans="7:12" x14ac:dyDescent="0.25">
      <c r="G69" s="26"/>
      <c r="H69" s="26"/>
      <c r="I69" s="26"/>
      <c r="J69" s="26"/>
      <c r="K69" s="26"/>
      <c r="L69" s="26"/>
    </row>
    <row r="70" spans="7:12" x14ac:dyDescent="0.25">
      <c r="G70" s="26"/>
      <c r="H70" s="26"/>
      <c r="I70" s="26"/>
      <c r="J70" s="26"/>
      <c r="K70" s="26"/>
      <c r="L70" s="26"/>
    </row>
    <row r="71" spans="7:12" x14ac:dyDescent="0.25">
      <c r="G71" s="26"/>
      <c r="H71" s="26"/>
      <c r="I71" s="26"/>
      <c r="J71" s="26"/>
      <c r="K71" s="26"/>
      <c r="L71" s="26"/>
    </row>
    <row r="72" spans="7:12" x14ac:dyDescent="0.25">
      <c r="G72" s="26"/>
      <c r="H72" s="26"/>
      <c r="I72" s="26"/>
      <c r="J72" s="26"/>
      <c r="K72" s="26"/>
      <c r="L72" s="26"/>
    </row>
    <row r="73" spans="7:12" x14ac:dyDescent="0.25">
      <c r="G73" s="26"/>
      <c r="H73" s="26"/>
      <c r="I73" s="26"/>
      <c r="J73" s="26"/>
      <c r="K73" s="26"/>
      <c r="L73" s="26"/>
    </row>
    <row r="74" spans="7:12" x14ac:dyDescent="0.25">
      <c r="G74" s="26"/>
      <c r="H74" s="26"/>
      <c r="I74" s="26"/>
      <c r="J74" s="26"/>
      <c r="K74" s="26"/>
      <c r="L74" s="26"/>
    </row>
    <row r="75" spans="7:12" x14ac:dyDescent="0.25">
      <c r="G75" s="26"/>
      <c r="H75" s="26"/>
      <c r="I75" s="26"/>
      <c r="J75" s="26"/>
      <c r="K75" s="26"/>
      <c r="L75" s="26"/>
    </row>
    <row r="76" spans="7:12" x14ac:dyDescent="0.25">
      <c r="G76" s="26"/>
      <c r="H76" s="26"/>
      <c r="I76" s="26"/>
      <c r="J76" s="26"/>
      <c r="K76" s="26"/>
      <c r="L76" s="26"/>
    </row>
    <row r="77" spans="7:12" x14ac:dyDescent="0.25">
      <c r="G77" s="26"/>
      <c r="H77" s="26"/>
      <c r="I77" s="26"/>
      <c r="J77" s="26"/>
      <c r="K77" s="26"/>
      <c r="L77" s="26"/>
    </row>
    <row r="78" spans="7:12" x14ac:dyDescent="0.25">
      <c r="G78" s="26"/>
      <c r="H78" s="26"/>
      <c r="I78" s="26"/>
      <c r="J78" s="26"/>
      <c r="K78" s="26"/>
      <c r="L78" s="26"/>
    </row>
    <row r="79" spans="7:12" x14ac:dyDescent="0.25">
      <c r="G79" s="26"/>
      <c r="H79" s="26"/>
      <c r="I79" s="26"/>
      <c r="J79" s="26"/>
      <c r="K79" s="26"/>
      <c r="L79" s="26"/>
    </row>
    <row r="80" spans="7:12" x14ac:dyDescent="0.25">
      <c r="G80" s="26"/>
      <c r="H80" s="26"/>
      <c r="I80" s="26"/>
      <c r="J80" s="26"/>
      <c r="K80" s="26"/>
      <c r="L80" s="26"/>
    </row>
    <row r="81" spans="7:12" x14ac:dyDescent="0.25">
      <c r="G81" s="26"/>
      <c r="H81" s="26"/>
      <c r="I81" s="26"/>
      <c r="J81" s="26"/>
      <c r="K81" s="26"/>
      <c r="L81" s="26"/>
    </row>
    <row r="82" spans="7:12" x14ac:dyDescent="0.25">
      <c r="G82" s="26"/>
      <c r="H82" s="26"/>
      <c r="I82" s="26"/>
      <c r="J82" s="26"/>
      <c r="K82" s="26"/>
      <c r="L82" s="26"/>
    </row>
    <row r="83" spans="7:12" x14ac:dyDescent="0.25">
      <c r="G83" s="26"/>
      <c r="H83" s="26"/>
      <c r="I83" s="26"/>
      <c r="J83" s="26"/>
      <c r="K83" s="26"/>
      <c r="L83" s="26"/>
    </row>
    <row r="84" spans="7:12" x14ac:dyDescent="0.25">
      <c r="G84" s="26"/>
      <c r="H84" s="26"/>
      <c r="I84" s="26"/>
      <c r="J84" s="26"/>
      <c r="K84" s="26"/>
      <c r="L84" s="26"/>
    </row>
    <row r="85" spans="7:12" x14ac:dyDescent="0.25">
      <c r="G85" s="26"/>
      <c r="H85" s="26"/>
      <c r="I85" s="26"/>
      <c r="J85" s="26"/>
      <c r="K85" s="26"/>
      <c r="L85" s="26"/>
    </row>
    <row r="86" spans="7:12" x14ac:dyDescent="0.25">
      <c r="G86" s="26"/>
      <c r="H86" s="26"/>
      <c r="I86" s="26"/>
      <c r="J86" s="26"/>
      <c r="K86" s="26"/>
      <c r="L86" s="26"/>
    </row>
    <row r="87" spans="7:12" x14ac:dyDescent="0.25">
      <c r="G87" s="26"/>
      <c r="H87" s="26"/>
      <c r="I87" s="26"/>
      <c r="J87" s="26"/>
      <c r="K87" s="26"/>
      <c r="L87" s="26"/>
    </row>
    <row r="88" spans="7:12" x14ac:dyDescent="0.25">
      <c r="G88" s="26"/>
      <c r="H88" s="26"/>
      <c r="I88" s="26"/>
      <c r="J88" s="26"/>
      <c r="K88" s="26"/>
      <c r="L88" s="26"/>
    </row>
    <row r="89" spans="7:12" x14ac:dyDescent="0.25">
      <c r="G89" s="26"/>
      <c r="H89" s="26"/>
      <c r="I89" s="26"/>
      <c r="J89" s="26"/>
      <c r="K89" s="26"/>
      <c r="L89" s="26"/>
    </row>
    <row r="90" spans="7:12" x14ac:dyDescent="0.25">
      <c r="G90" s="26"/>
      <c r="H90" s="26"/>
      <c r="I90" s="26"/>
      <c r="J90" s="26"/>
      <c r="K90" s="26"/>
      <c r="L90" s="26"/>
    </row>
    <row r="91" spans="7:12" x14ac:dyDescent="0.25">
      <c r="G91" s="26"/>
      <c r="H91" s="26"/>
      <c r="I91" s="26"/>
      <c r="J91" s="26"/>
      <c r="K91" s="26"/>
      <c r="L91" s="26"/>
    </row>
    <row r="92" spans="7:12" x14ac:dyDescent="0.25">
      <c r="G92" s="26"/>
      <c r="H92" s="26"/>
      <c r="I92" s="26"/>
      <c r="J92" s="26"/>
      <c r="K92" s="26"/>
      <c r="L92" s="26"/>
    </row>
    <row r="93" spans="7:12" x14ac:dyDescent="0.25">
      <c r="G93" s="26"/>
      <c r="H93" s="26"/>
      <c r="I93" s="26"/>
      <c r="J93" s="26"/>
      <c r="K93" s="26"/>
      <c r="L93" s="26"/>
    </row>
    <row r="94" spans="7:12" x14ac:dyDescent="0.25">
      <c r="G94" s="26"/>
      <c r="H94" s="26"/>
      <c r="I94" s="26"/>
      <c r="J94" s="26"/>
      <c r="K94" s="26"/>
      <c r="L94" s="26"/>
    </row>
    <row r="95" spans="7:12" x14ac:dyDescent="0.25">
      <c r="G95" s="26"/>
      <c r="H95" s="26"/>
      <c r="I95" s="26"/>
      <c r="J95" s="26"/>
      <c r="K95" s="26"/>
      <c r="L95" s="26"/>
    </row>
    <row r="96" spans="7:12" x14ac:dyDescent="0.25">
      <c r="G96" s="26"/>
      <c r="H96" s="26"/>
      <c r="I96" s="26"/>
      <c r="J96" s="26"/>
      <c r="K96" s="26"/>
      <c r="L96" s="26"/>
    </row>
    <row r="97" spans="7:12" x14ac:dyDescent="0.25">
      <c r="G97" s="26"/>
      <c r="H97" s="26"/>
      <c r="I97" s="26"/>
      <c r="J97" s="26"/>
      <c r="K97" s="26"/>
      <c r="L97" s="26"/>
    </row>
    <row r="98" spans="7:12" x14ac:dyDescent="0.25">
      <c r="G98" s="26"/>
      <c r="H98" s="26"/>
      <c r="I98" s="26"/>
      <c r="J98" s="26"/>
      <c r="K98" s="26"/>
      <c r="L98" s="26"/>
    </row>
    <row r="99" spans="7:12" x14ac:dyDescent="0.25">
      <c r="G99" s="26"/>
      <c r="H99" s="26"/>
      <c r="I99" s="26"/>
      <c r="J99" s="26"/>
      <c r="K99" s="26"/>
      <c r="L99" s="26"/>
    </row>
    <row r="100" spans="7:12" x14ac:dyDescent="0.25">
      <c r="G100" s="26"/>
      <c r="H100" s="26"/>
      <c r="I100" s="26"/>
      <c r="J100" s="26"/>
      <c r="K100" s="26"/>
      <c r="L100" s="26"/>
    </row>
    <row r="101" spans="7:12" x14ac:dyDescent="0.25">
      <c r="G101" s="26"/>
      <c r="H101" s="26"/>
      <c r="I101" s="26"/>
      <c r="J101" s="26"/>
      <c r="K101" s="26"/>
      <c r="L101" s="26"/>
    </row>
    <row r="102" spans="7:12" x14ac:dyDescent="0.25">
      <c r="G102" s="26"/>
      <c r="H102" s="26"/>
      <c r="I102" s="26"/>
      <c r="J102" s="26"/>
      <c r="K102" s="26"/>
      <c r="L102" s="26"/>
    </row>
    <row r="103" spans="7:12" x14ac:dyDescent="0.25">
      <c r="G103" s="26"/>
      <c r="H103" s="26"/>
      <c r="I103" s="26"/>
      <c r="J103" s="26"/>
      <c r="K103" s="26"/>
      <c r="L103" s="26"/>
    </row>
    <row r="104" spans="7:12" x14ac:dyDescent="0.25">
      <c r="G104" s="26"/>
      <c r="H104" s="26"/>
      <c r="I104" s="26"/>
      <c r="J104" s="26"/>
      <c r="K104" s="26"/>
      <c r="L104" s="26"/>
    </row>
    <row r="105" spans="7:12" x14ac:dyDescent="0.25">
      <c r="G105" s="26"/>
      <c r="H105" s="26"/>
      <c r="I105" s="26"/>
      <c r="J105" s="26"/>
      <c r="K105" s="26"/>
      <c r="L105" s="26"/>
    </row>
    <row r="106" spans="7:12" x14ac:dyDescent="0.25">
      <c r="G106" s="26"/>
      <c r="H106" s="26"/>
      <c r="I106" s="26"/>
      <c r="J106" s="26"/>
      <c r="K106" s="26"/>
      <c r="L106" s="26"/>
    </row>
    <row r="107" spans="7:12" x14ac:dyDescent="0.25">
      <c r="G107" s="26"/>
      <c r="H107" s="26"/>
      <c r="I107" s="26"/>
      <c r="J107" s="26"/>
      <c r="K107" s="26"/>
      <c r="L107" s="26"/>
    </row>
    <row r="108" spans="7:12" x14ac:dyDescent="0.25">
      <c r="G108" s="26"/>
      <c r="H108" s="26"/>
      <c r="I108" s="26"/>
      <c r="J108" s="26"/>
      <c r="K108" s="26"/>
      <c r="L108" s="26"/>
    </row>
    <row r="109" spans="7:12" x14ac:dyDescent="0.25">
      <c r="G109" s="26"/>
      <c r="H109" s="26"/>
      <c r="I109" s="26"/>
      <c r="J109" s="26"/>
      <c r="K109" s="26"/>
      <c r="L109" s="26"/>
    </row>
    <row r="110" spans="7:12" x14ac:dyDescent="0.25">
      <c r="G110" s="26"/>
      <c r="H110" s="26"/>
      <c r="I110" s="26"/>
      <c r="J110" s="26"/>
      <c r="K110" s="26"/>
      <c r="L110" s="26"/>
    </row>
    <row r="111" spans="7:12" x14ac:dyDescent="0.25">
      <c r="G111" s="26"/>
      <c r="H111" s="26"/>
      <c r="I111" s="26"/>
      <c r="J111" s="26"/>
      <c r="K111" s="26"/>
      <c r="L111" s="26"/>
    </row>
    <row r="112" spans="7:12" x14ac:dyDescent="0.25">
      <c r="G112" s="26"/>
      <c r="H112" s="26"/>
      <c r="I112" s="26"/>
      <c r="J112" s="26"/>
      <c r="K112" s="26"/>
      <c r="L112" s="26"/>
    </row>
    <row r="113" spans="7:12" x14ac:dyDescent="0.25">
      <c r="G113" s="26"/>
      <c r="H113" s="26"/>
      <c r="I113" s="26"/>
      <c r="J113" s="26"/>
      <c r="K113" s="26"/>
      <c r="L113" s="26"/>
    </row>
    <row r="114" spans="7:12" x14ac:dyDescent="0.25">
      <c r="G114" s="26"/>
      <c r="H114" s="26"/>
      <c r="I114" s="26"/>
      <c r="J114" s="26"/>
      <c r="K114" s="26"/>
      <c r="L114" s="26"/>
    </row>
    <row r="115" spans="7:12" x14ac:dyDescent="0.25">
      <c r="G115" s="26"/>
      <c r="H115" s="26"/>
      <c r="I115" s="26"/>
      <c r="J115" s="26"/>
      <c r="K115" s="26"/>
      <c r="L115" s="26"/>
    </row>
    <row r="116" spans="7:12" x14ac:dyDescent="0.25">
      <c r="G116" s="26"/>
      <c r="H116" s="26"/>
      <c r="I116" s="26"/>
      <c r="J116" s="26"/>
      <c r="K116" s="26"/>
      <c r="L116" s="26"/>
    </row>
    <row r="117" spans="7:12" x14ac:dyDescent="0.25">
      <c r="G117" s="26"/>
      <c r="H117" s="26"/>
      <c r="I117" s="26"/>
      <c r="J117" s="26"/>
      <c r="K117" s="26"/>
      <c r="L117" s="26"/>
    </row>
    <row r="118" spans="7:12" x14ac:dyDescent="0.25">
      <c r="G118" s="26"/>
      <c r="H118" s="26"/>
      <c r="I118" s="26"/>
      <c r="J118" s="26"/>
      <c r="K118" s="26"/>
      <c r="L118" s="26"/>
    </row>
    <row r="119" spans="7:12" x14ac:dyDescent="0.25">
      <c r="G119" s="26"/>
      <c r="H119" s="26"/>
      <c r="I119" s="26"/>
      <c r="J119" s="26"/>
      <c r="K119" s="26"/>
      <c r="L119" s="26"/>
    </row>
    <row r="120" spans="7:12" x14ac:dyDescent="0.25">
      <c r="G120" s="26"/>
      <c r="H120" s="26"/>
      <c r="I120" s="26"/>
      <c r="J120" s="26"/>
      <c r="K120" s="26"/>
      <c r="L120" s="26"/>
    </row>
    <row r="121" spans="7:12" x14ac:dyDescent="0.25">
      <c r="G121" s="26"/>
      <c r="H121" s="26"/>
      <c r="I121" s="26"/>
      <c r="J121" s="26"/>
      <c r="K121" s="26"/>
      <c r="L121" s="26"/>
    </row>
    <row r="122" spans="7:12" x14ac:dyDescent="0.25">
      <c r="G122" s="26"/>
      <c r="H122" s="26"/>
      <c r="I122" s="26"/>
      <c r="J122" s="26"/>
      <c r="K122" s="26"/>
      <c r="L122" s="26"/>
    </row>
    <row r="123" spans="7:12" x14ac:dyDescent="0.25">
      <c r="G123" s="26"/>
      <c r="H123" s="26"/>
      <c r="I123" s="26"/>
      <c r="J123" s="26"/>
      <c r="K123" s="26"/>
      <c r="L123" s="26"/>
    </row>
    <row r="124" spans="7:12" x14ac:dyDescent="0.25">
      <c r="G124" s="26"/>
      <c r="H124" s="26"/>
      <c r="I124" s="26"/>
      <c r="J124" s="26"/>
      <c r="K124" s="26"/>
      <c r="L124" s="26"/>
    </row>
    <row r="125" spans="7:12" x14ac:dyDescent="0.25">
      <c r="G125" s="26"/>
      <c r="H125" s="26"/>
      <c r="I125" s="26"/>
      <c r="J125" s="26"/>
      <c r="K125" s="26"/>
      <c r="L125" s="26"/>
    </row>
    <row r="126" spans="7:12" x14ac:dyDescent="0.25">
      <c r="G126" s="26"/>
      <c r="H126" s="26"/>
      <c r="I126" s="26"/>
      <c r="J126" s="26"/>
      <c r="K126" s="26"/>
      <c r="L126" s="26"/>
    </row>
    <row r="127" spans="7:12" x14ac:dyDescent="0.25">
      <c r="G127" s="26"/>
      <c r="H127" s="26"/>
      <c r="I127" s="26"/>
      <c r="J127" s="26"/>
      <c r="K127" s="26"/>
      <c r="L127" s="26"/>
    </row>
    <row r="128" spans="7:12" x14ac:dyDescent="0.25">
      <c r="G128" s="26"/>
      <c r="H128" s="26"/>
      <c r="I128" s="26"/>
      <c r="J128" s="26"/>
      <c r="K128" s="26"/>
      <c r="L128" s="26"/>
    </row>
    <row r="129" spans="7:12" x14ac:dyDescent="0.25">
      <c r="G129" s="26"/>
      <c r="H129" s="26"/>
      <c r="I129" s="26"/>
      <c r="J129" s="26"/>
      <c r="K129" s="26"/>
      <c r="L129" s="26"/>
    </row>
    <row r="130" spans="7:12" x14ac:dyDescent="0.25">
      <c r="G130" s="26"/>
      <c r="H130" s="26"/>
      <c r="I130" s="26"/>
      <c r="J130" s="26"/>
      <c r="K130" s="26"/>
      <c r="L130" s="26"/>
    </row>
    <row r="131" spans="7:12" x14ac:dyDescent="0.25">
      <c r="G131" s="26"/>
      <c r="H131" s="26"/>
      <c r="I131" s="26"/>
      <c r="J131" s="26"/>
      <c r="K131" s="26"/>
      <c r="L131" s="26"/>
    </row>
    <row r="132" spans="7:12" x14ac:dyDescent="0.25">
      <c r="G132" s="26"/>
      <c r="H132" s="26"/>
      <c r="I132" s="26"/>
      <c r="J132" s="26"/>
      <c r="K132" s="26"/>
      <c r="L132" s="26"/>
    </row>
    <row r="133" spans="7:12" x14ac:dyDescent="0.25">
      <c r="G133" s="26"/>
      <c r="H133" s="26"/>
      <c r="I133" s="26"/>
      <c r="J133" s="26"/>
      <c r="K133" s="26"/>
      <c r="L133" s="26"/>
    </row>
    <row r="134" spans="7:12" x14ac:dyDescent="0.25">
      <c r="G134" s="26"/>
      <c r="H134" s="26"/>
      <c r="I134" s="26"/>
      <c r="J134" s="26"/>
      <c r="K134" s="26"/>
      <c r="L134" s="26"/>
    </row>
    <row r="135" spans="7:12" x14ac:dyDescent="0.25">
      <c r="G135" s="26"/>
      <c r="H135" s="26"/>
      <c r="I135" s="26"/>
      <c r="J135" s="26"/>
      <c r="K135" s="26"/>
      <c r="L135" s="26"/>
    </row>
    <row r="136" spans="7:12" x14ac:dyDescent="0.25">
      <c r="G136" s="26"/>
      <c r="H136" s="26"/>
      <c r="I136" s="26"/>
      <c r="J136" s="26"/>
      <c r="K136" s="26"/>
      <c r="L136" s="26"/>
    </row>
    <row r="137" spans="7:12" x14ac:dyDescent="0.25">
      <c r="G137" s="26"/>
      <c r="H137" s="26"/>
      <c r="I137" s="26"/>
      <c r="J137" s="26"/>
      <c r="K137" s="26"/>
      <c r="L137" s="26"/>
    </row>
    <row r="138" spans="7:12" x14ac:dyDescent="0.25">
      <c r="G138" s="26"/>
      <c r="H138" s="26"/>
      <c r="I138" s="26"/>
      <c r="J138" s="26"/>
      <c r="K138" s="26"/>
      <c r="L138" s="26"/>
    </row>
    <row r="139" spans="7:12" x14ac:dyDescent="0.25">
      <c r="G139" s="26"/>
      <c r="H139" s="26"/>
      <c r="I139" s="26"/>
      <c r="J139" s="26"/>
      <c r="K139" s="26"/>
      <c r="L139" s="26"/>
    </row>
    <row r="140" spans="7:12" x14ac:dyDescent="0.25">
      <c r="G140" s="26"/>
      <c r="H140" s="26"/>
      <c r="I140" s="26"/>
      <c r="J140" s="26"/>
      <c r="K140" s="26"/>
      <c r="L140" s="26"/>
    </row>
    <row r="141" spans="7:12" x14ac:dyDescent="0.25">
      <c r="G141" s="26"/>
      <c r="H141" s="26"/>
      <c r="I141" s="26"/>
      <c r="J141" s="26"/>
      <c r="K141" s="26"/>
      <c r="L141" s="26"/>
    </row>
    <row r="142" spans="7:12" x14ac:dyDescent="0.25">
      <c r="G142" s="26"/>
      <c r="H142" s="26"/>
      <c r="I142" s="26"/>
      <c r="J142" s="26"/>
      <c r="K142" s="26"/>
      <c r="L142" s="26"/>
    </row>
    <row r="143" spans="7:12" x14ac:dyDescent="0.25">
      <c r="G143" s="26"/>
      <c r="H143" s="26"/>
      <c r="I143" s="26"/>
      <c r="J143" s="26"/>
      <c r="K143" s="26"/>
      <c r="L143" s="26"/>
    </row>
    <row r="144" spans="7:12" x14ac:dyDescent="0.25">
      <c r="G144" s="26"/>
      <c r="H144" s="26"/>
      <c r="I144" s="26"/>
      <c r="J144" s="26"/>
      <c r="K144" s="26"/>
      <c r="L144" s="26"/>
    </row>
    <row r="145" spans="7:12" x14ac:dyDescent="0.25">
      <c r="G145" s="26"/>
      <c r="H145" s="26"/>
      <c r="I145" s="26"/>
      <c r="J145" s="26"/>
      <c r="K145" s="26"/>
      <c r="L145" s="26"/>
    </row>
    <row r="146" spans="7:12" x14ac:dyDescent="0.25">
      <c r="G146" s="26"/>
      <c r="H146" s="26"/>
      <c r="I146" s="26"/>
      <c r="J146" s="26"/>
      <c r="K146" s="26"/>
      <c r="L146" s="26"/>
    </row>
    <row r="147" spans="7:12" x14ac:dyDescent="0.25">
      <c r="G147" s="26"/>
      <c r="H147" s="26"/>
      <c r="I147" s="26"/>
      <c r="J147" s="26"/>
      <c r="K147" s="26"/>
      <c r="L147" s="26"/>
    </row>
    <row r="148" spans="7:12" x14ac:dyDescent="0.25">
      <c r="G148" s="26"/>
      <c r="H148" s="26"/>
      <c r="I148" s="26"/>
      <c r="J148" s="26"/>
      <c r="K148" s="26"/>
      <c r="L148" s="26"/>
    </row>
    <row r="149" spans="7:12" x14ac:dyDescent="0.25">
      <c r="G149" s="26"/>
      <c r="H149" s="26"/>
      <c r="I149" s="26"/>
      <c r="J149" s="26"/>
      <c r="K149" s="26"/>
      <c r="L149" s="26"/>
    </row>
    <row r="150" spans="7:12" x14ac:dyDescent="0.25">
      <c r="G150" s="26"/>
      <c r="H150" s="26"/>
      <c r="I150" s="26"/>
      <c r="J150" s="26"/>
      <c r="K150" s="26"/>
      <c r="L150" s="26"/>
    </row>
    <row r="151" spans="7:12" x14ac:dyDescent="0.25">
      <c r="G151" s="26"/>
      <c r="H151" s="26"/>
      <c r="I151" s="26"/>
      <c r="J151" s="26"/>
      <c r="K151" s="26"/>
      <c r="L151" s="26"/>
    </row>
    <row r="152" spans="7:12" x14ac:dyDescent="0.25">
      <c r="G152" s="26"/>
      <c r="H152" s="26"/>
      <c r="I152" s="26"/>
      <c r="J152" s="26"/>
      <c r="K152" s="26"/>
      <c r="L152" s="26"/>
    </row>
    <row r="153" spans="7:12" x14ac:dyDescent="0.25">
      <c r="G153" s="26"/>
      <c r="H153" s="26"/>
      <c r="I153" s="26"/>
      <c r="J153" s="26"/>
      <c r="K153" s="26"/>
      <c r="L153" s="26"/>
    </row>
    <row r="154" spans="7:12" x14ac:dyDescent="0.25">
      <c r="G154" s="26"/>
      <c r="H154" s="26"/>
      <c r="I154" s="26"/>
      <c r="J154" s="26"/>
      <c r="K154" s="26"/>
      <c r="L154" s="26"/>
    </row>
    <row r="155" spans="7:12" x14ac:dyDescent="0.25">
      <c r="G155" s="26"/>
      <c r="H155" s="26"/>
      <c r="I155" s="26"/>
      <c r="J155" s="26"/>
      <c r="K155" s="26"/>
      <c r="L155" s="26"/>
    </row>
    <row r="156" spans="7:12" x14ac:dyDescent="0.25">
      <c r="G156" s="26"/>
      <c r="H156" s="26"/>
      <c r="I156" s="26"/>
      <c r="J156" s="26"/>
      <c r="K156" s="26"/>
      <c r="L156" s="26"/>
    </row>
    <row r="157" spans="7:12" x14ac:dyDescent="0.25">
      <c r="G157" s="26"/>
      <c r="H157" s="26"/>
      <c r="I157" s="26"/>
      <c r="J157" s="26"/>
      <c r="K157" s="26"/>
      <c r="L157" s="26"/>
    </row>
    <row r="158" spans="7:12" x14ac:dyDescent="0.25">
      <c r="G158" s="26"/>
      <c r="H158" s="26"/>
      <c r="I158" s="26"/>
      <c r="J158" s="26"/>
      <c r="K158" s="26"/>
      <c r="L158" s="26"/>
    </row>
    <row r="159" spans="7:12" x14ac:dyDescent="0.25">
      <c r="G159" s="26"/>
      <c r="H159" s="26"/>
      <c r="I159" s="26"/>
      <c r="J159" s="26"/>
      <c r="K159" s="26"/>
      <c r="L159" s="26"/>
    </row>
    <row r="160" spans="7:12" x14ac:dyDescent="0.25">
      <c r="G160" s="26"/>
      <c r="H160" s="26"/>
      <c r="I160" s="26"/>
      <c r="J160" s="26"/>
      <c r="K160" s="26"/>
      <c r="L160" s="26"/>
    </row>
    <row r="161" spans="7:12" x14ac:dyDescent="0.25">
      <c r="G161" s="26"/>
      <c r="H161" s="26"/>
      <c r="I161" s="26"/>
      <c r="J161" s="26"/>
      <c r="K161" s="26"/>
      <c r="L161" s="26"/>
    </row>
    <row r="162" spans="7:12" x14ac:dyDescent="0.25">
      <c r="G162" s="26"/>
      <c r="H162" s="26"/>
      <c r="I162" s="26"/>
      <c r="J162" s="26"/>
      <c r="K162" s="26"/>
      <c r="L162" s="26"/>
    </row>
    <row r="163" spans="7:12" x14ac:dyDescent="0.25">
      <c r="G163" s="26"/>
      <c r="H163" s="26"/>
      <c r="I163" s="26"/>
      <c r="J163" s="26"/>
      <c r="K163" s="26"/>
      <c r="L163" s="26"/>
    </row>
    <row r="164" spans="7:12" x14ac:dyDescent="0.25">
      <c r="G164" s="26"/>
      <c r="H164" s="26"/>
      <c r="I164" s="26"/>
      <c r="J164" s="26"/>
      <c r="K164" s="26"/>
      <c r="L164" s="26"/>
    </row>
    <row r="165" spans="7:12" x14ac:dyDescent="0.25">
      <c r="G165" s="26"/>
      <c r="H165" s="26"/>
      <c r="I165" s="26"/>
      <c r="J165" s="26"/>
      <c r="K165" s="26"/>
      <c r="L165" s="26"/>
    </row>
    <row r="166" spans="7:12" x14ac:dyDescent="0.25">
      <c r="G166" s="26"/>
      <c r="H166" s="26"/>
      <c r="I166" s="26"/>
      <c r="J166" s="26"/>
      <c r="K166" s="26"/>
      <c r="L166" s="26"/>
    </row>
    <row r="167" spans="7:12" x14ac:dyDescent="0.25">
      <c r="G167" s="26"/>
      <c r="H167" s="26"/>
      <c r="I167" s="26"/>
      <c r="J167" s="26"/>
      <c r="K167" s="26"/>
      <c r="L167" s="26"/>
    </row>
    <row r="168" spans="7:12" x14ac:dyDescent="0.25">
      <c r="G168" s="26"/>
      <c r="H168" s="26"/>
      <c r="I168" s="26"/>
      <c r="J168" s="26"/>
      <c r="K168" s="26"/>
      <c r="L168" s="26"/>
    </row>
    <row r="169" spans="7:12" x14ac:dyDescent="0.25">
      <c r="G169" s="26"/>
      <c r="H169" s="26"/>
      <c r="I169" s="26"/>
      <c r="J169" s="26"/>
      <c r="K169" s="26"/>
      <c r="L169" s="26"/>
    </row>
    <row r="170" spans="7:12" x14ac:dyDescent="0.25">
      <c r="G170" s="26"/>
      <c r="H170" s="26"/>
      <c r="I170" s="26"/>
      <c r="J170" s="26"/>
      <c r="K170" s="26"/>
      <c r="L170" s="26"/>
    </row>
    <row r="171" spans="7:12" x14ac:dyDescent="0.25">
      <c r="G171" s="26"/>
      <c r="H171" s="26"/>
      <c r="I171" s="26"/>
      <c r="J171" s="26"/>
      <c r="K171" s="26"/>
      <c r="L171" s="26"/>
    </row>
    <row r="172" spans="7:12" x14ac:dyDescent="0.25">
      <c r="G172" s="26"/>
      <c r="H172" s="26"/>
      <c r="I172" s="26"/>
      <c r="J172" s="26"/>
      <c r="K172" s="26"/>
      <c r="L172" s="26"/>
    </row>
    <row r="173" spans="7:12" x14ac:dyDescent="0.25">
      <c r="G173" s="26"/>
      <c r="H173" s="26"/>
      <c r="I173" s="26"/>
      <c r="J173" s="26"/>
      <c r="K173" s="26"/>
      <c r="L173" s="26"/>
    </row>
    <row r="174" spans="7:12" x14ac:dyDescent="0.25">
      <c r="G174" s="26"/>
      <c r="H174" s="26"/>
      <c r="I174" s="26"/>
      <c r="J174" s="26"/>
      <c r="K174" s="26"/>
      <c r="L174" s="26"/>
    </row>
    <row r="175" spans="7:12" x14ac:dyDescent="0.25">
      <c r="G175" s="26"/>
      <c r="H175" s="26"/>
      <c r="I175" s="26"/>
      <c r="J175" s="26"/>
      <c r="K175" s="26"/>
      <c r="L175" s="26"/>
    </row>
    <row r="176" spans="7:12" x14ac:dyDescent="0.25">
      <c r="G176" s="26"/>
      <c r="H176" s="26"/>
      <c r="I176" s="26"/>
      <c r="J176" s="26"/>
      <c r="K176" s="26"/>
      <c r="L176" s="26"/>
    </row>
    <row r="177" spans="7:12" x14ac:dyDescent="0.25">
      <c r="G177" s="26"/>
      <c r="H177" s="26"/>
      <c r="I177" s="26"/>
      <c r="J177" s="26"/>
      <c r="K177" s="26"/>
      <c r="L177" s="26"/>
    </row>
    <row r="178" spans="7:12" x14ac:dyDescent="0.25">
      <c r="G178" s="26"/>
      <c r="H178" s="26"/>
      <c r="I178" s="26"/>
      <c r="J178" s="26"/>
      <c r="K178" s="26"/>
      <c r="L178" s="26"/>
    </row>
    <row r="179" spans="7:12" x14ac:dyDescent="0.25">
      <c r="G179" s="26"/>
      <c r="H179" s="26"/>
      <c r="I179" s="26"/>
      <c r="J179" s="26"/>
      <c r="K179" s="26"/>
      <c r="L179" s="26"/>
    </row>
    <row r="180" spans="7:12" x14ac:dyDescent="0.25">
      <c r="G180" s="26"/>
      <c r="H180" s="26"/>
      <c r="I180" s="26"/>
      <c r="J180" s="26"/>
      <c r="K180" s="26"/>
      <c r="L180" s="26"/>
    </row>
    <row r="181" spans="7:12" x14ac:dyDescent="0.25">
      <c r="G181" s="26"/>
      <c r="H181" s="26"/>
      <c r="I181" s="26"/>
      <c r="J181" s="26"/>
      <c r="K181" s="26"/>
      <c r="L181" s="26"/>
    </row>
    <row r="182" spans="7:12" x14ac:dyDescent="0.25">
      <c r="G182" s="26"/>
      <c r="H182" s="26"/>
      <c r="I182" s="26"/>
      <c r="J182" s="26"/>
      <c r="K182" s="26"/>
      <c r="L182" s="26"/>
    </row>
    <row r="183" spans="7:12" x14ac:dyDescent="0.25">
      <c r="G183" s="26"/>
      <c r="H183" s="26"/>
      <c r="I183" s="26"/>
      <c r="J183" s="26"/>
      <c r="K183" s="26"/>
      <c r="L183" s="26"/>
    </row>
    <row r="184" spans="7:12" x14ac:dyDescent="0.25">
      <c r="G184" s="26"/>
      <c r="H184" s="26"/>
      <c r="I184" s="26"/>
      <c r="J184" s="26"/>
      <c r="K184" s="26"/>
      <c r="L184" s="26"/>
    </row>
    <row r="185" spans="7:12" x14ac:dyDescent="0.25">
      <c r="G185" s="26"/>
      <c r="H185" s="26"/>
      <c r="I185" s="26"/>
      <c r="J185" s="26"/>
      <c r="K185" s="26"/>
      <c r="L185" s="26"/>
    </row>
    <row r="186" spans="7:12" x14ac:dyDescent="0.25">
      <c r="G186" s="26"/>
      <c r="H186" s="26"/>
      <c r="I186" s="26"/>
      <c r="J186" s="26"/>
      <c r="K186" s="26"/>
      <c r="L186" s="26"/>
    </row>
    <row r="187" spans="7:12" x14ac:dyDescent="0.25">
      <c r="G187" s="26"/>
      <c r="H187" s="26"/>
      <c r="I187" s="26"/>
      <c r="J187" s="26"/>
      <c r="K187" s="26"/>
      <c r="L187" s="26"/>
    </row>
    <row r="188" spans="7:12" x14ac:dyDescent="0.25">
      <c r="G188" s="26"/>
      <c r="H188" s="26"/>
      <c r="I188" s="26"/>
      <c r="J188" s="26"/>
      <c r="K188" s="26"/>
      <c r="L188" s="26"/>
    </row>
    <row r="189" spans="7:12" x14ac:dyDescent="0.25">
      <c r="G189" s="26"/>
      <c r="H189" s="26"/>
      <c r="I189" s="26"/>
      <c r="J189" s="26"/>
      <c r="K189" s="26"/>
      <c r="L189" s="26"/>
    </row>
    <row r="190" spans="7:12" x14ac:dyDescent="0.25">
      <c r="G190" s="26"/>
      <c r="H190" s="26"/>
      <c r="I190" s="26"/>
      <c r="J190" s="26"/>
      <c r="K190" s="26"/>
      <c r="L190" s="26"/>
    </row>
    <row r="191" spans="7:12" x14ac:dyDescent="0.25">
      <c r="G191" s="26"/>
      <c r="H191" s="26"/>
      <c r="I191" s="26"/>
      <c r="J191" s="26"/>
      <c r="K191" s="26"/>
      <c r="L191" s="26"/>
    </row>
    <row r="192" spans="7:12" x14ac:dyDescent="0.25">
      <c r="G192" s="26"/>
      <c r="H192" s="26"/>
      <c r="I192" s="26"/>
      <c r="J192" s="26"/>
      <c r="K192" s="26"/>
      <c r="L192" s="26"/>
    </row>
    <row r="193" spans="7:12" x14ac:dyDescent="0.25">
      <c r="G193" s="26"/>
      <c r="H193" s="26"/>
      <c r="I193" s="26"/>
      <c r="J193" s="26"/>
      <c r="K193" s="26"/>
      <c r="L193" s="26"/>
    </row>
    <row r="194" spans="7:12" x14ac:dyDescent="0.25">
      <c r="G194" s="26"/>
      <c r="H194" s="26"/>
      <c r="I194" s="26"/>
      <c r="J194" s="26"/>
      <c r="K194" s="26"/>
      <c r="L194" s="26"/>
    </row>
    <row r="195" spans="7:12" x14ac:dyDescent="0.25">
      <c r="G195" s="26"/>
      <c r="H195" s="26"/>
      <c r="I195" s="26"/>
      <c r="J195" s="26"/>
      <c r="K195" s="26"/>
      <c r="L195" s="26"/>
    </row>
    <row r="196" spans="7:12" x14ac:dyDescent="0.25">
      <c r="G196" s="26"/>
      <c r="H196" s="26"/>
      <c r="I196" s="26"/>
      <c r="J196" s="26"/>
      <c r="K196" s="26"/>
      <c r="L196" s="26"/>
    </row>
    <row r="197" spans="7:12" x14ac:dyDescent="0.25">
      <c r="G197" s="26"/>
      <c r="H197" s="26"/>
      <c r="I197" s="26"/>
      <c r="J197" s="26"/>
      <c r="K197" s="26"/>
      <c r="L197" s="26"/>
    </row>
    <row r="198" spans="7:12" x14ac:dyDescent="0.25">
      <c r="G198" s="26"/>
      <c r="H198" s="26"/>
      <c r="I198" s="26"/>
      <c r="J198" s="26"/>
      <c r="K198" s="26"/>
      <c r="L198" s="26"/>
    </row>
    <row r="199" spans="7:12" x14ac:dyDescent="0.25">
      <c r="G199" s="26"/>
      <c r="H199" s="26"/>
      <c r="I199" s="26"/>
      <c r="J199" s="26"/>
      <c r="K199" s="26"/>
      <c r="L199" s="26"/>
    </row>
    <row r="200" spans="7:12" x14ac:dyDescent="0.25">
      <c r="G200" s="26"/>
      <c r="H200" s="26"/>
      <c r="I200" s="26"/>
      <c r="J200" s="26"/>
      <c r="K200" s="26"/>
      <c r="L200" s="26"/>
    </row>
    <row r="201" spans="7:12" x14ac:dyDescent="0.25">
      <c r="G201" s="26"/>
      <c r="H201" s="26"/>
      <c r="I201" s="26"/>
      <c r="J201" s="26"/>
      <c r="K201" s="26"/>
      <c r="L201" s="26"/>
    </row>
    <row r="202" spans="7:12" x14ac:dyDescent="0.25">
      <c r="G202" s="26"/>
      <c r="H202" s="26"/>
      <c r="I202" s="26"/>
      <c r="J202" s="26"/>
      <c r="K202" s="26"/>
      <c r="L202" s="26"/>
    </row>
    <row r="203" spans="7:12" x14ac:dyDescent="0.25">
      <c r="G203" s="26"/>
      <c r="H203" s="26"/>
      <c r="I203" s="26"/>
      <c r="J203" s="26"/>
      <c r="K203" s="26"/>
      <c r="L203" s="26"/>
    </row>
    <row r="204" spans="7:12" x14ac:dyDescent="0.25">
      <c r="G204" s="26"/>
      <c r="H204" s="26"/>
      <c r="I204" s="26"/>
      <c r="J204" s="26"/>
      <c r="K204" s="26"/>
      <c r="L204" s="26"/>
    </row>
  </sheetData>
  <mergeCells count="1">
    <mergeCell ref="H1:L1"/>
  </mergeCells>
  <phoneticPr fontId="32" type="noConversion"/>
  <conditionalFormatting sqref="D4:D5">
    <cfRule type="cellIs" dxfId="29" priority="216" operator="equal">
      <formula>0</formula>
    </cfRule>
  </conditionalFormatting>
  <dataValidations count="1">
    <dataValidation type="list" allowBlank="1" showInputMessage="1" sqref="H3:L3" xr:uid="{9489A7E4-FA8B-40A4-B314-BA30F1C11F75}">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1800-000000000000}">
          <x14:formula1>
            <xm:f>Unit!$A$4:$A$11</xm:f>
          </x14:formula1>
          <xm:sqref>D3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1D1B-EFAD-4297-94F1-965CB86F91D1}">
  <sheetPr codeName="Sheet47">
    <tabColor rgb="FF00B0F0"/>
  </sheetPr>
  <dimension ref="A1:AB952"/>
  <sheetViews>
    <sheetView zoomScale="85" zoomScaleNormal="85" workbookViewId="0">
      <pane ySplit="3" topLeftCell="A952" activePane="bottomLeft" state="frozen"/>
      <selection activeCell="C1" sqref="C1"/>
      <selection pane="bottomLeft"/>
    </sheetView>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1042</v>
      </c>
      <c r="B1" s="295"/>
      <c r="C1" s="295"/>
      <c r="D1" s="295"/>
      <c r="E1" s="295"/>
      <c r="F1" s="295"/>
      <c r="G1" s="295"/>
      <c r="H1" s="295"/>
      <c r="I1" s="653" t="s">
        <v>824</v>
      </c>
      <c r="J1" s="654"/>
      <c r="K1" s="295"/>
      <c r="L1" s="295"/>
      <c r="M1" s="295"/>
      <c r="N1" s="295"/>
      <c r="O1" s="295"/>
      <c r="P1" s="327" t="s">
        <v>1043</v>
      </c>
      <c r="Q1" s="295"/>
      <c r="R1" s="295"/>
      <c r="S1" s="296" t="s">
        <v>888</v>
      </c>
      <c r="T1" s="301">
        <v>44957</v>
      </c>
      <c r="U1" s="301"/>
      <c r="V1" s="301"/>
      <c r="W1" s="301"/>
      <c r="X1" s="301"/>
      <c r="Y1" s="301"/>
      <c r="Z1" s="301"/>
      <c r="AA1" s="301"/>
      <c r="AB1" s="301"/>
    </row>
    <row r="2" spans="1:28" ht="15.75" x14ac:dyDescent="0.25">
      <c r="I2" s="292">
        <v>80.62</v>
      </c>
      <c r="J2" s="293">
        <v>91.43</v>
      </c>
      <c r="K2" s="291">
        <v>1</v>
      </c>
      <c r="L2" s="291">
        <v>1</v>
      </c>
      <c r="P2" s="326">
        <v>124.69</v>
      </c>
      <c r="U2" s="291">
        <v>1</v>
      </c>
      <c r="V2" s="291">
        <v>1</v>
      </c>
      <c r="W2" s="291">
        <v>1</v>
      </c>
      <c r="X2" s="291">
        <v>1</v>
      </c>
      <c r="Y2" s="291">
        <v>1</v>
      </c>
      <c r="Z2" s="291">
        <v>1</v>
      </c>
      <c r="AA2" s="291">
        <v>1</v>
      </c>
      <c r="AB2" s="291">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216</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303" t="s">
        <v>1044</v>
      </c>
      <c r="B5" s="291"/>
      <c r="C5" s="291"/>
      <c r="D5" s="291"/>
      <c r="E5" s="291"/>
      <c r="F5" s="291"/>
      <c r="G5" s="291"/>
      <c r="H5" s="325">
        <f>7*2</f>
        <v>14</v>
      </c>
      <c r="I5" s="291"/>
      <c r="J5" s="291"/>
      <c r="K5" s="291">
        <f>K$2</f>
        <v>1</v>
      </c>
      <c r="L5" s="291">
        <f>L$2</f>
        <v>1</v>
      </c>
      <c r="M5" s="291"/>
      <c r="N5" s="291"/>
      <c r="O5" s="324">
        <v>2230</v>
      </c>
      <c r="P5" s="384">
        <f>23*$P$2</f>
        <v>2867.87</v>
      </c>
      <c r="Q5" s="303"/>
      <c r="R5" s="291"/>
      <c r="S5" s="291"/>
      <c r="T5" s="291"/>
      <c r="U5" s="291">
        <f>(2150+$P5)/($O5+$P5)</f>
        <v>0.98430717142649771</v>
      </c>
      <c r="V5" s="291">
        <f>(2230+$P5)/($O5+$P5)</f>
        <v>1</v>
      </c>
      <c r="W5" s="291">
        <f>(2110+$P5)/($O5+$P5)</f>
        <v>0.97646075713974656</v>
      </c>
      <c r="X5" s="291">
        <f>(2150+$P5)/($O5+$P5)</f>
        <v>0.98430717142649771</v>
      </c>
      <c r="Y5" s="291">
        <f>(2150+$P5)/($O5+$P5)</f>
        <v>0.98430717142649771</v>
      </c>
      <c r="Z5" s="291">
        <f>(3500+$P5)/($O5+$P5)</f>
        <v>1.2491236536043484</v>
      </c>
      <c r="AA5" s="291">
        <f>(4800+$P5)/($O5+$P5)</f>
        <v>1.5041321179237603</v>
      </c>
      <c r="AB5" s="291">
        <f>(2450+$P5)/($O5+$P5)</f>
        <v>1.0431552785771312</v>
      </c>
    </row>
    <row r="6" spans="1:28" s="305" customFormat="1" ht="14.45" hidden="1" customHeight="1" outlineLevel="1" x14ac:dyDescent="0.25">
      <c r="A6" s="323">
        <v>14</v>
      </c>
      <c r="B6" s="279" t="str">
        <f>C6&amp;D6&amp;E6&amp;F6</f>
        <v>150-14.0UB</v>
      </c>
      <c r="C6" s="329" t="s">
        <v>1076</v>
      </c>
      <c r="D6" s="323"/>
      <c r="E6" s="278" t="s">
        <v>1050</v>
      </c>
      <c r="F6" s="278"/>
      <c r="G6" s="278" t="s">
        <v>15</v>
      </c>
      <c r="H6" s="328">
        <f>$H$5*$A6/1000</f>
        <v>0.19600000000000001</v>
      </c>
      <c r="I6" s="280">
        <f>$I$2*H6</f>
        <v>15.801520000000002</v>
      </c>
      <c r="J6" s="281">
        <f>$J$2*H6</f>
        <v>17.920280000000002</v>
      </c>
      <c r="K6" s="282">
        <f>IF(Notes!$B$9="Domestic",I6, IF(Notes!$B$9="Commercial",J6))*$K$5</f>
        <v>17.920280000000002</v>
      </c>
      <c r="L6" s="283">
        <f>(SUM(O6:Q6)+(K6+SUM(M6:Q6))*(INDEX($U$5:$AB$5,MATCH(Notes!$C$16,$U$3:$AB$3,0))-100%))*$L$5</f>
        <v>71.370180000000005</v>
      </c>
      <c r="M6" s="286"/>
      <c r="N6" s="286"/>
      <c r="O6" s="311">
        <f>O$5*$A6/1000</f>
        <v>31.22</v>
      </c>
      <c r="P6" s="311">
        <f>P$5*$A6/1000</f>
        <v>40.150179999999999</v>
      </c>
      <c r="Q6" s="285"/>
      <c r="R6" s="329"/>
      <c r="S6" s="329"/>
      <c r="T6" s="278"/>
      <c r="U6" s="304"/>
    </row>
    <row r="7" spans="1:28" s="305" customFormat="1" ht="14.45" hidden="1" customHeight="1" outlineLevel="1" x14ac:dyDescent="0.25">
      <c r="A7" s="323">
        <v>18</v>
      </c>
      <c r="B7" s="279" t="str">
        <f t="shared" ref="B7:B33" si="0">C7&amp;D7&amp;E7&amp;F7</f>
        <v>150-18.0UB</v>
      </c>
      <c r="C7" s="329" t="s">
        <v>1077</v>
      </c>
      <c r="D7" s="323"/>
      <c r="E7" s="278" t="s">
        <v>1050</v>
      </c>
      <c r="F7" s="278"/>
      <c r="G7" s="278" t="s">
        <v>15</v>
      </c>
      <c r="H7" s="328">
        <f t="shared" ref="H7:H33" si="1">$H$5*$A7/1000</f>
        <v>0.252</v>
      </c>
      <c r="I7" s="280">
        <f t="shared" ref="I7:I9" si="2">$I$2*H7</f>
        <v>20.316240000000001</v>
      </c>
      <c r="J7" s="281">
        <f t="shared" ref="J7:J33" si="3">$J$2*H7</f>
        <v>23.040360000000003</v>
      </c>
      <c r="K7" s="282">
        <f>IF(Notes!$B$9="Domestic",I7, IF(Notes!$B$9="Commercial",J7))*$K$5</f>
        <v>23.040360000000003</v>
      </c>
      <c r="L7" s="283">
        <f>(SUM(O7:Q7)+(K7+SUM(M7:Q7))*(INDEX($U$5:$AB$5,MATCH(Notes!$C$16,$U$3:$AB$3,0))-100%))*$L$5</f>
        <v>91.761660000000006</v>
      </c>
      <c r="M7" s="286"/>
      <c r="N7" s="286"/>
      <c r="O7" s="311">
        <f t="shared" ref="O7:P33" si="4">O$5*$A7/1000</f>
        <v>40.14</v>
      </c>
      <c r="P7" s="311">
        <f t="shared" si="4"/>
        <v>51.621659999999999</v>
      </c>
      <c r="Q7" s="285"/>
      <c r="R7" s="329"/>
      <c r="S7" s="329"/>
      <c r="T7" s="278"/>
      <c r="U7" s="304"/>
    </row>
    <row r="8" spans="1:28" s="305" customFormat="1" ht="14.45" hidden="1" customHeight="1" outlineLevel="1" x14ac:dyDescent="0.25">
      <c r="A8" s="323">
        <v>16.100000000000001</v>
      </c>
      <c r="B8" s="279" t="str">
        <f t="shared" si="0"/>
        <v>180-16.1UB</v>
      </c>
      <c r="C8" s="329" t="s">
        <v>1055</v>
      </c>
      <c r="D8" s="323"/>
      <c r="E8" s="278" t="s">
        <v>1050</v>
      </c>
      <c r="F8" s="278"/>
      <c r="G8" s="278" t="s">
        <v>15</v>
      </c>
      <c r="H8" s="328">
        <f t="shared" si="1"/>
        <v>0.22540000000000004</v>
      </c>
      <c r="I8" s="280">
        <f t="shared" si="2"/>
        <v>18.171748000000004</v>
      </c>
      <c r="J8" s="281">
        <f t="shared" si="3"/>
        <v>20.608322000000005</v>
      </c>
      <c r="K8" s="282">
        <f>IF(Notes!$B$9="Domestic",I8, IF(Notes!$B$9="Commercial",J8))*$K$5</f>
        <v>20.608322000000005</v>
      </c>
      <c r="L8" s="283">
        <f>(SUM(O8:Q8)+(K8+SUM(M8:Q8))*(INDEX($U$5:$AB$5,MATCH(Notes!$C$16,$U$3:$AB$3,0))-100%))*$L$5</f>
        <v>82.075706999999994</v>
      </c>
      <c r="M8" s="286"/>
      <c r="N8" s="286"/>
      <c r="O8" s="311">
        <f t="shared" si="4"/>
        <v>35.902999999999999</v>
      </c>
      <c r="P8" s="311">
        <f t="shared" si="4"/>
        <v>46.172707000000003</v>
      </c>
      <c r="Q8" s="285"/>
      <c r="R8" s="329"/>
      <c r="S8" s="329"/>
      <c r="T8" s="278"/>
      <c r="U8" s="304"/>
    </row>
    <row r="9" spans="1:28" s="305" customFormat="1" ht="14.45" hidden="1" customHeight="1" outlineLevel="1" x14ac:dyDescent="0.25">
      <c r="A9" s="323">
        <v>18.100000000000001</v>
      </c>
      <c r="B9" s="279" t="str">
        <f t="shared" si="0"/>
        <v>180-18.1UB</v>
      </c>
      <c r="C9" s="329" t="s">
        <v>1056</v>
      </c>
      <c r="D9" s="323"/>
      <c r="E9" s="278" t="s">
        <v>1050</v>
      </c>
      <c r="F9" s="278"/>
      <c r="G9" s="278" t="s">
        <v>15</v>
      </c>
      <c r="H9" s="328">
        <f t="shared" si="1"/>
        <v>0.25340000000000001</v>
      </c>
      <c r="I9" s="280">
        <f t="shared" si="2"/>
        <v>20.429108000000003</v>
      </c>
      <c r="J9" s="281">
        <f t="shared" si="3"/>
        <v>23.168362000000002</v>
      </c>
      <c r="K9" s="282">
        <f>IF(Notes!$B$9="Domestic",I9, IF(Notes!$B$9="Commercial",J9))*$K$5</f>
        <v>23.168362000000002</v>
      </c>
      <c r="L9" s="283">
        <f>(SUM(O9:Q9)+(K9+SUM(M9:Q9))*(INDEX($U$5:$AB$5,MATCH(Notes!$C$16,$U$3:$AB$3,0))-100%))*$L$5</f>
        <v>92.271446999999995</v>
      </c>
      <c r="M9" s="286"/>
      <c r="N9" s="286"/>
      <c r="O9" s="311">
        <f t="shared" si="4"/>
        <v>40.363</v>
      </c>
      <c r="P9" s="311">
        <f t="shared" si="4"/>
        <v>51.908447000000002</v>
      </c>
      <c r="Q9" s="285"/>
      <c r="R9" s="329"/>
      <c r="S9" s="329"/>
      <c r="T9" s="278"/>
    </row>
    <row r="10" spans="1:28" s="305" customFormat="1" hidden="1" outlineLevel="1" x14ac:dyDescent="0.25">
      <c r="A10" s="323">
        <v>22.2</v>
      </c>
      <c r="B10" s="279" t="str">
        <f t="shared" si="0"/>
        <v>180-22.2UB</v>
      </c>
      <c r="C10" s="329" t="s">
        <v>1057</v>
      </c>
      <c r="D10" s="323"/>
      <c r="E10" s="278" t="s">
        <v>1050</v>
      </c>
      <c r="F10" s="278"/>
      <c r="G10" s="278" t="s">
        <v>15</v>
      </c>
      <c r="H10" s="328">
        <f t="shared" si="1"/>
        <v>0.31080000000000002</v>
      </c>
      <c r="I10" s="280">
        <f>$I$2*H10</f>
        <v>25.056696000000002</v>
      </c>
      <c r="J10" s="281">
        <f t="shared" si="3"/>
        <v>28.416444000000006</v>
      </c>
      <c r="K10" s="282">
        <f>IF(Notes!$B$9="Domestic",I10, IF(Notes!$B$9="Commercial",J10))*$K$5</f>
        <v>28.416444000000006</v>
      </c>
      <c r="L10" s="283">
        <f>(SUM(O10:Q10)+(K10+SUM(M10:Q10))*(INDEX($U$5:$AB$5,MATCH(Notes!$C$16,$U$3:$AB$3,0))-100%))*$L$5</f>
        <v>113.17271399999998</v>
      </c>
      <c r="M10" s="286"/>
      <c r="N10" s="286"/>
      <c r="O10" s="311">
        <f t="shared" si="4"/>
        <v>49.506</v>
      </c>
      <c r="P10" s="311">
        <f t="shared" si="4"/>
        <v>63.666713999999992</v>
      </c>
      <c r="Q10" s="285"/>
      <c r="R10" s="329"/>
      <c r="S10" s="329"/>
      <c r="T10" s="278"/>
    </row>
    <row r="11" spans="1:28" s="305" customFormat="1" hidden="1" outlineLevel="1" x14ac:dyDescent="0.25">
      <c r="A11" s="323">
        <v>18.2</v>
      </c>
      <c r="B11" s="279" t="str">
        <f t="shared" si="0"/>
        <v>200-18.2UB</v>
      </c>
      <c r="C11" s="329" t="s">
        <v>1058</v>
      </c>
      <c r="D11" s="323"/>
      <c r="E11" s="278" t="s">
        <v>1050</v>
      </c>
      <c r="F11" s="278"/>
      <c r="G11" s="278" t="s">
        <v>15</v>
      </c>
      <c r="H11" s="328">
        <f t="shared" si="1"/>
        <v>0.25479999999999997</v>
      </c>
      <c r="I11" s="280">
        <f t="shared" ref="I11:I33" si="5">$I$2*H11</f>
        <v>20.541975999999998</v>
      </c>
      <c r="J11" s="281">
        <f t="shared" si="3"/>
        <v>23.296364000000001</v>
      </c>
      <c r="K11" s="282">
        <f>IF(Notes!$B$9="Domestic",I11, IF(Notes!$B$9="Commercial",J11))*$K$5</f>
        <v>23.296364000000001</v>
      </c>
      <c r="L11" s="283">
        <f>(SUM(O11:Q11)+(K11+SUM(M11:Q11))*(INDEX($U$5:$AB$5,MATCH(Notes!$C$16,$U$3:$AB$3,0))-100%))*$L$5</f>
        <v>92.781233999999998</v>
      </c>
      <c r="M11" s="286"/>
      <c r="N11" s="286"/>
      <c r="O11" s="311">
        <f t="shared" si="4"/>
        <v>40.585999999999999</v>
      </c>
      <c r="P11" s="311">
        <f t="shared" si="4"/>
        <v>52.195233999999999</v>
      </c>
      <c r="Q11" s="285"/>
      <c r="R11" s="329"/>
      <c r="S11" s="329"/>
      <c r="T11" s="278"/>
    </row>
    <row r="12" spans="1:28" s="305" customFormat="1" hidden="1" outlineLevel="1" x14ac:dyDescent="0.25">
      <c r="A12" s="323">
        <v>22.3</v>
      </c>
      <c r="B12" s="279" t="str">
        <f t="shared" si="0"/>
        <v>200-22.3UB</v>
      </c>
      <c r="C12" s="329" t="s">
        <v>1059</v>
      </c>
      <c r="D12" s="323"/>
      <c r="E12" s="278" t="s">
        <v>1050</v>
      </c>
      <c r="F12" s="278"/>
      <c r="G12" s="278" t="s">
        <v>15</v>
      </c>
      <c r="H12" s="328">
        <f t="shared" si="1"/>
        <v>0.31219999999999998</v>
      </c>
      <c r="I12" s="280">
        <f t="shared" si="5"/>
        <v>25.169564000000001</v>
      </c>
      <c r="J12" s="281">
        <f t="shared" si="3"/>
        <v>28.544446000000001</v>
      </c>
      <c r="K12" s="282">
        <f>IF(Notes!$B$9="Domestic",I12, IF(Notes!$B$9="Commercial",J12))*$K$5</f>
        <v>28.544446000000001</v>
      </c>
      <c r="L12" s="283">
        <f>(SUM(O12:Q12)+(K12+SUM(M12:Q12))*(INDEX($U$5:$AB$5,MATCH(Notes!$C$16,$U$3:$AB$3,0))-100%))*$L$5</f>
        <v>113.682501</v>
      </c>
      <c r="M12" s="286"/>
      <c r="N12" s="286"/>
      <c r="O12" s="311">
        <f t="shared" si="4"/>
        <v>49.728999999999999</v>
      </c>
      <c r="P12" s="311">
        <f t="shared" si="4"/>
        <v>63.953500999999996</v>
      </c>
      <c r="Q12" s="285"/>
      <c r="R12" s="329"/>
      <c r="S12" s="329"/>
      <c r="T12" s="278"/>
    </row>
    <row r="13" spans="1:28" s="305" customFormat="1" hidden="1" outlineLevel="1" x14ac:dyDescent="0.25">
      <c r="A13" s="323">
        <v>25.4</v>
      </c>
      <c r="B13" s="279" t="str">
        <f t="shared" si="0"/>
        <v>200-25.4UB</v>
      </c>
      <c r="C13" s="329" t="s">
        <v>1060</v>
      </c>
      <c r="D13" s="323"/>
      <c r="E13" s="278" t="s">
        <v>1050</v>
      </c>
      <c r="F13" s="278"/>
      <c r="G13" s="278" t="s">
        <v>15</v>
      </c>
      <c r="H13" s="328">
        <f t="shared" si="1"/>
        <v>0.35559999999999997</v>
      </c>
      <c r="I13" s="280">
        <f t="shared" si="5"/>
        <v>28.668471999999998</v>
      </c>
      <c r="J13" s="281">
        <f t="shared" si="3"/>
        <v>32.512507999999997</v>
      </c>
      <c r="K13" s="282">
        <f>IF(Notes!$B$9="Domestic",I13, IF(Notes!$B$9="Commercial",J13))*$K$5</f>
        <v>32.512507999999997</v>
      </c>
      <c r="L13" s="283">
        <f>(SUM(O13:Q13)+(K13+SUM(M13:Q13))*(INDEX($U$5:$AB$5,MATCH(Notes!$C$16,$U$3:$AB$3,0))-100%))*$L$5</f>
        <v>129.48589799999999</v>
      </c>
      <c r="M13" s="286"/>
      <c r="N13" s="286"/>
      <c r="O13" s="311">
        <f t="shared" si="4"/>
        <v>56.642000000000003</v>
      </c>
      <c r="P13" s="311">
        <f t="shared" si="4"/>
        <v>72.843897999999982</v>
      </c>
      <c r="Q13" s="285"/>
      <c r="R13" s="329"/>
      <c r="S13" s="329"/>
      <c r="T13" s="278"/>
    </row>
    <row r="14" spans="1:28" s="305" customFormat="1" hidden="1" outlineLevel="1" x14ac:dyDescent="0.25">
      <c r="A14" s="323">
        <v>29.8</v>
      </c>
      <c r="B14" s="279" t="str">
        <f t="shared" si="0"/>
        <v>200-29.8UB</v>
      </c>
      <c r="C14" s="329" t="s">
        <v>1061</v>
      </c>
      <c r="D14" s="323"/>
      <c r="E14" s="278" t="s">
        <v>1050</v>
      </c>
      <c r="F14" s="278"/>
      <c r="G14" s="278" t="s">
        <v>15</v>
      </c>
      <c r="H14" s="328">
        <f t="shared" si="1"/>
        <v>0.41720000000000002</v>
      </c>
      <c r="I14" s="280">
        <f t="shared" si="5"/>
        <v>33.634664000000001</v>
      </c>
      <c r="J14" s="281">
        <f t="shared" si="3"/>
        <v>38.144596000000007</v>
      </c>
      <c r="K14" s="282">
        <f>IF(Notes!$B$9="Domestic",I14, IF(Notes!$B$9="Commercial",J14))*$K$5</f>
        <v>38.144596000000007</v>
      </c>
      <c r="L14" s="283">
        <f>(SUM(O14:Q14)+(K14+SUM(M14:Q14))*(INDEX($U$5:$AB$5,MATCH(Notes!$C$16,$U$3:$AB$3,0))-100%))*$L$5</f>
        <v>151.91652599999998</v>
      </c>
      <c r="M14" s="286"/>
      <c r="N14" s="286"/>
      <c r="O14" s="311">
        <f t="shared" si="4"/>
        <v>66.453999999999994</v>
      </c>
      <c r="P14" s="311">
        <f t="shared" si="4"/>
        <v>85.462525999999997</v>
      </c>
      <c r="Q14" s="285"/>
      <c r="R14" s="329"/>
      <c r="S14" s="329"/>
      <c r="T14" s="278"/>
    </row>
    <row r="15" spans="1:28" s="305" customFormat="1" hidden="1" outlineLevel="1" x14ac:dyDescent="0.25">
      <c r="A15" s="323">
        <v>25.7</v>
      </c>
      <c r="B15" s="279" t="str">
        <f t="shared" si="0"/>
        <v>250-25.7UB</v>
      </c>
      <c r="C15" s="329" t="s">
        <v>1062</v>
      </c>
      <c r="D15" s="323"/>
      <c r="E15" s="278" t="s">
        <v>1050</v>
      </c>
      <c r="F15" s="278"/>
      <c r="G15" s="278" t="s">
        <v>15</v>
      </c>
      <c r="H15" s="328">
        <f t="shared" si="1"/>
        <v>0.35980000000000001</v>
      </c>
      <c r="I15" s="280">
        <f t="shared" si="5"/>
        <v>29.007076000000001</v>
      </c>
      <c r="J15" s="281">
        <f t="shared" si="3"/>
        <v>32.896514000000003</v>
      </c>
      <c r="K15" s="282">
        <f>IF(Notes!$B$9="Domestic",I15, IF(Notes!$B$9="Commercial",J15))*$K$5</f>
        <v>32.896514000000003</v>
      </c>
      <c r="L15" s="283">
        <f>(SUM(O15:Q15)+(K15+SUM(M15:Q15))*(INDEX($U$5:$AB$5,MATCH(Notes!$C$16,$U$3:$AB$3,0))-100%))*$L$5</f>
        <v>131.01525899999999</v>
      </c>
      <c r="M15" s="286"/>
      <c r="N15" s="286"/>
      <c r="O15" s="311">
        <f t="shared" si="4"/>
        <v>57.311</v>
      </c>
      <c r="P15" s="311">
        <f t="shared" si="4"/>
        <v>73.704258999999993</v>
      </c>
      <c r="Q15" s="285"/>
      <c r="R15" s="329"/>
      <c r="S15" s="329"/>
      <c r="T15" s="278"/>
    </row>
    <row r="16" spans="1:28" s="305" customFormat="1" hidden="1" outlineLevel="1" x14ac:dyDescent="0.25">
      <c r="A16" s="323">
        <v>31.4</v>
      </c>
      <c r="B16" s="279" t="str">
        <f t="shared" si="0"/>
        <v>250-31.4UB</v>
      </c>
      <c r="C16" s="329" t="s">
        <v>1063</v>
      </c>
      <c r="D16" s="323"/>
      <c r="E16" s="278" t="s">
        <v>1050</v>
      </c>
      <c r="F16" s="278"/>
      <c r="G16" s="278" t="s">
        <v>15</v>
      </c>
      <c r="H16" s="328">
        <f t="shared" si="1"/>
        <v>0.43959999999999999</v>
      </c>
      <c r="I16" s="280">
        <f t="shared" si="5"/>
        <v>35.440552000000004</v>
      </c>
      <c r="J16" s="281">
        <f t="shared" si="3"/>
        <v>40.192627999999999</v>
      </c>
      <c r="K16" s="282">
        <f>IF(Notes!$B$9="Domestic",I16, IF(Notes!$B$9="Commercial",J16))*$K$5</f>
        <v>40.192627999999999</v>
      </c>
      <c r="L16" s="283">
        <f>(SUM(O16:Q16)+(K16+SUM(M16:Q16))*(INDEX($U$5:$AB$5,MATCH(Notes!$C$16,$U$3:$AB$3,0))-100%))*$L$5</f>
        <v>160.07311799999999</v>
      </c>
      <c r="M16" s="286"/>
      <c r="N16" s="286"/>
      <c r="O16" s="311">
        <f t="shared" si="4"/>
        <v>70.022000000000006</v>
      </c>
      <c r="P16" s="311">
        <f t="shared" si="4"/>
        <v>90.051117999999988</v>
      </c>
      <c r="Q16" s="285"/>
      <c r="R16" s="329"/>
      <c r="S16" s="329"/>
      <c r="T16" s="278"/>
    </row>
    <row r="17" spans="1:20" s="305" customFormat="1" hidden="1" outlineLevel="1" x14ac:dyDescent="0.25">
      <c r="A17" s="323">
        <v>37.299999999999997</v>
      </c>
      <c r="B17" s="279" t="str">
        <f t="shared" si="0"/>
        <v>250-37.3UB</v>
      </c>
      <c r="C17" s="329" t="s">
        <v>1064</v>
      </c>
      <c r="D17" s="323"/>
      <c r="E17" s="278" t="s">
        <v>1050</v>
      </c>
      <c r="F17" s="278"/>
      <c r="G17" s="278" t="s">
        <v>15</v>
      </c>
      <c r="H17" s="328">
        <f t="shared" si="1"/>
        <v>0.52219999999999989</v>
      </c>
      <c r="I17" s="280">
        <f t="shared" si="5"/>
        <v>42.099763999999993</v>
      </c>
      <c r="J17" s="281">
        <f t="shared" si="3"/>
        <v>47.744745999999992</v>
      </c>
      <c r="K17" s="282">
        <f>IF(Notes!$B$9="Domestic",I17, IF(Notes!$B$9="Commercial",J17))*$K$5</f>
        <v>47.744745999999992</v>
      </c>
      <c r="L17" s="283">
        <f>(SUM(O17:Q17)+(K17+SUM(M17:Q17))*(INDEX($U$5:$AB$5,MATCH(Notes!$C$16,$U$3:$AB$3,0))-100%))*$L$5</f>
        <v>190.15055100000001</v>
      </c>
      <c r="M17" s="286"/>
      <c r="N17" s="286"/>
      <c r="O17" s="311">
        <f t="shared" si="4"/>
        <v>83.179000000000002</v>
      </c>
      <c r="P17" s="311">
        <f t="shared" si="4"/>
        <v>106.97155099999999</v>
      </c>
      <c r="Q17" s="285"/>
      <c r="R17" s="329"/>
      <c r="S17" s="329"/>
      <c r="T17" s="278"/>
    </row>
    <row r="18" spans="1:20" s="305" customFormat="1" hidden="1" outlineLevel="1" x14ac:dyDescent="0.25">
      <c r="A18" s="323">
        <v>32</v>
      </c>
      <c r="B18" s="279" t="str">
        <f t="shared" si="0"/>
        <v>310-32.0UB</v>
      </c>
      <c r="C18" s="329" t="s">
        <v>1078</v>
      </c>
      <c r="D18" s="323"/>
      <c r="E18" s="278" t="s">
        <v>1050</v>
      </c>
      <c r="F18" s="278"/>
      <c r="G18" s="278" t="s">
        <v>15</v>
      </c>
      <c r="H18" s="328">
        <f t="shared" si="1"/>
        <v>0.44800000000000001</v>
      </c>
      <c r="I18" s="280">
        <f t="shared" si="5"/>
        <v>36.117760000000004</v>
      </c>
      <c r="J18" s="281">
        <f t="shared" si="3"/>
        <v>40.960640000000005</v>
      </c>
      <c r="K18" s="282">
        <f>IF(Notes!$B$9="Domestic",I18, IF(Notes!$B$9="Commercial",J18))*$K$5</f>
        <v>40.960640000000005</v>
      </c>
      <c r="L18" s="283">
        <f>(SUM(O18:Q18)+(K18+SUM(M18:Q18))*(INDEX($U$5:$AB$5,MATCH(Notes!$C$16,$U$3:$AB$3,0))-100%))*$L$5</f>
        <v>163.13184000000001</v>
      </c>
      <c r="M18" s="286"/>
      <c r="N18" s="286"/>
      <c r="O18" s="311">
        <f t="shared" si="4"/>
        <v>71.36</v>
      </c>
      <c r="P18" s="311">
        <f t="shared" si="4"/>
        <v>91.771839999999997</v>
      </c>
      <c r="Q18" s="285"/>
      <c r="R18" s="329"/>
      <c r="S18" s="329"/>
      <c r="T18" s="278"/>
    </row>
    <row r="19" spans="1:20" s="305" customFormat="1" hidden="1" outlineLevel="1" x14ac:dyDescent="0.25">
      <c r="A19" s="323">
        <v>40.4</v>
      </c>
      <c r="B19" s="279" t="str">
        <f t="shared" si="0"/>
        <v>310-40.4UB</v>
      </c>
      <c r="C19" s="329" t="s">
        <v>1065</v>
      </c>
      <c r="D19" s="323"/>
      <c r="E19" s="278" t="s">
        <v>1050</v>
      </c>
      <c r="F19" s="278"/>
      <c r="G19" s="278" t="s">
        <v>15</v>
      </c>
      <c r="H19" s="328">
        <f t="shared" si="1"/>
        <v>0.56559999999999999</v>
      </c>
      <c r="I19" s="280">
        <f t="shared" si="5"/>
        <v>45.598672000000001</v>
      </c>
      <c r="J19" s="281">
        <f t="shared" si="3"/>
        <v>51.712808000000003</v>
      </c>
      <c r="K19" s="282">
        <f>IF(Notes!$B$9="Domestic",I19, IF(Notes!$B$9="Commercial",J19))*$K$5</f>
        <v>51.712808000000003</v>
      </c>
      <c r="L19" s="283">
        <f>(SUM(O19:Q19)+(K19+SUM(M19:Q19))*(INDEX($U$5:$AB$5,MATCH(Notes!$C$16,$U$3:$AB$3,0))-100%))*$L$5</f>
        <v>205.95394799999997</v>
      </c>
      <c r="M19" s="286"/>
      <c r="N19" s="286"/>
      <c r="O19" s="311">
        <f t="shared" si="4"/>
        <v>90.091999999999999</v>
      </c>
      <c r="P19" s="311">
        <f t="shared" si="4"/>
        <v>115.86194799999998</v>
      </c>
      <c r="Q19" s="285"/>
      <c r="R19" s="329"/>
      <c r="S19" s="329"/>
      <c r="T19" s="278"/>
    </row>
    <row r="20" spans="1:20" s="305" customFormat="1" hidden="1" outlineLevel="1" x14ac:dyDescent="0.25">
      <c r="A20" s="323">
        <v>46.2</v>
      </c>
      <c r="B20" s="279" t="str">
        <f t="shared" si="0"/>
        <v>310-46.2UB</v>
      </c>
      <c r="C20" s="329" t="s">
        <v>1066</v>
      </c>
      <c r="D20" s="323"/>
      <c r="E20" s="278" t="s">
        <v>1050</v>
      </c>
      <c r="F20" s="278"/>
      <c r="G20" s="278" t="s">
        <v>15</v>
      </c>
      <c r="H20" s="328">
        <f t="shared" si="1"/>
        <v>0.64680000000000004</v>
      </c>
      <c r="I20" s="280">
        <f t="shared" si="5"/>
        <v>52.145016000000005</v>
      </c>
      <c r="J20" s="281">
        <f t="shared" si="3"/>
        <v>59.136924000000008</v>
      </c>
      <c r="K20" s="282">
        <f>IF(Notes!$B$9="Domestic",I20, IF(Notes!$B$9="Commercial",J20))*$K$5</f>
        <v>59.136924000000008</v>
      </c>
      <c r="L20" s="283">
        <f>(SUM(O20:Q20)+(K20+SUM(M20:Q20))*(INDEX($U$5:$AB$5,MATCH(Notes!$C$16,$U$3:$AB$3,0))-100%))*$L$5</f>
        <v>235.52159399999999</v>
      </c>
      <c r="M20" s="286"/>
      <c r="N20" s="286"/>
      <c r="O20" s="311">
        <f t="shared" si="4"/>
        <v>103.026</v>
      </c>
      <c r="P20" s="311">
        <f t="shared" si="4"/>
        <v>132.49559400000001</v>
      </c>
      <c r="Q20" s="285"/>
      <c r="R20" s="329"/>
      <c r="S20" s="329"/>
      <c r="T20" s="278"/>
    </row>
    <row r="21" spans="1:20" s="305" customFormat="1" hidden="1" outlineLevel="1" x14ac:dyDescent="0.25">
      <c r="A21" s="323">
        <v>44.7</v>
      </c>
      <c r="B21" s="279" t="str">
        <f t="shared" si="0"/>
        <v>360-44.7UB</v>
      </c>
      <c r="C21" s="329" t="s">
        <v>1067</v>
      </c>
      <c r="D21" s="323"/>
      <c r="E21" s="278" t="s">
        <v>1050</v>
      </c>
      <c r="F21" s="278"/>
      <c r="G21" s="278" t="s">
        <v>15</v>
      </c>
      <c r="H21" s="328">
        <f t="shared" si="1"/>
        <v>0.62580000000000002</v>
      </c>
      <c r="I21" s="280">
        <f t="shared" si="5"/>
        <v>50.451996000000001</v>
      </c>
      <c r="J21" s="281">
        <f t="shared" si="3"/>
        <v>57.216894000000003</v>
      </c>
      <c r="K21" s="282">
        <f>IF(Notes!$B$9="Domestic",I21, IF(Notes!$B$9="Commercial",J21))*$K$5</f>
        <v>57.216894000000003</v>
      </c>
      <c r="L21" s="283">
        <f>(SUM(O21:Q21)+(K21+SUM(M21:Q21))*(INDEX($U$5:$AB$5,MATCH(Notes!$C$16,$U$3:$AB$3,0))-100%))*$L$5</f>
        <v>227.87478900000002</v>
      </c>
      <c r="M21" s="286"/>
      <c r="N21" s="286"/>
      <c r="O21" s="311">
        <f t="shared" si="4"/>
        <v>99.680999999999997</v>
      </c>
      <c r="P21" s="311">
        <f t="shared" si="4"/>
        <v>128.19378900000001</v>
      </c>
      <c r="Q21" s="285"/>
      <c r="R21" s="329"/>
      <c r="S21" s="329"/>
      <c r="T21" s="278"/>
    </row>
    <row r="22" spans="1:20" s="305" customFormat="1" hidden="1" outlineLevel="1" x14ac:dyDescent="0.25">
      <c r="A22" s="323">
        <v>50.7</v>
      </c>
      <c r="B22" s="279" t="str">
        <f t="shared" si="0"/>
        <v>360-50.7UB</v>
      </c>
      <c r="C22" s="329" t="s">
        <v>1068</v>
      </c>
      <c r="D22" s="323"/>
      <c r="E22" s="278" t="s">
        <v>1050</v>
      </c>
      <c r="F22" s="278"/>
      <c r="G22" s="278" t="s">
        <v>15</v>
      </c>
      <c r="H22" s="328">
        <f t="shared" si="1"/>
        <v>0.7098000000000001</v>
      </c>
      <c r="I22" s="280">
        <f t="shared" si="5"/>
        <v>57.224076000000011</v>
      </c>
      <c r="J22" s="281">
        <f t="shared" si="3"/>
        <v>64.897014000000013</v>
      </c>
      <c r="K22" s="282">
        <f>IF(Notes!$B$9="Domestic",I22, IF(Notes!$B$9="Commercial",J22))*$K$5</f>
        <v>64.897014000000013</v>
      </c>
      <c r="L22" s="283">
        <f>(SUM(O22:Q22)+(K22+SUM(M22:Q22))*(INDEX($U$5:$AB$5,MATCH(Notes!$C$16,$U$3:$AB$3,0))-100%))*$L$5</f>
        <v>258.46200899999997</v>
      </c>
      <c r="M22" s="286"/>
      <c r="N22" s="286"/>
      <c r="O22" s="311">
        <f t="shared" si="4"/>
        <v>113.06100000000001</v>
      </c>
      <c r="P22" s="311">
        <f t="shared" si="4"/>
        <v>145.40100899999999</v>
      </c>
      <c r="Q22" s="285"/>
      <c r="R22" s="329"/>
      <c r="S22" s="329"/>
      <c r="T22" s="278"/>
    </row>
    <row r="23" spans="1:20" s="305" customFormat="1" hidden="1" outlineLevel="1" x14ac:dyDescent="0.25">
      <c r="A23" s="323">
        <v>56.7</v>
      </c>
      <c r="B23" s="279" t="str">
        <f t="shared" si="0"/>
        <v>360-56.7UB</v>
      </c>
      <c r="C23" s="329" t="s">
        <v>1069</v>
      </c>
      <c r="D23" s="323"/>
      <c r="E23" s="278" t="s">
        <v>1050</v>
      </c>
      <c r="F23" s="278"/>
      <c r="G23" s="278" t="s">
        <v>15</v>
      </c>
      <c r="H23" s="328">
        <f t="shared" si="1"/>
        <v>0.79380000000000006</v>
      </c>
      <c r="I23" s="280">
        <f t="shared" si="5"/>
        <v>63.996156000000006</v>
      </c>
      <c r="J23" s="281">
        <f t="shared" si="3"/>
        <v>72.577134000000015</v>
      </c>
      <c r="K23" s="282">
        <f>IF(Notes!$B$9="Domestic",I23, IF(Notes!$B$9="Commercial",J23))*$K$5</f>
        <v>72.577134000000015</v>
      </c>
      <c r="L23" s="283">
        <f>(SUM(O23:Q23)+(K23+SUM(M23:Q23))*(INDEX($U$5:$AB$5,MATCH(Notes!$C$16,$U$3:$AB$3,0))-100%))*$L$5</f>
        <v>289.04922899999997</v>
      </c>
      <c r="M23" s="286"/>
      <c r="N23" s="286"/>
      <c r="O23" s="311">
        <f t="shared" si="4"/>
        <v>126.441</v>
      </c>
      <c r="P23" s="311">
        <f t="shared" si="4"/>
        <v>162.60822899999999</v>
      </c>
      <c r="Q23" s="285"/>
      <c r="R23" s="329"/>
      <c r="S23" s="329"/>
      <c r="T23" s="278"/>
    </row>
    <row r="24" spans="1:20" s="305" customFormat="1" hidden="1" outlineLevel="1" x14ac:dyDescent="0.25">
      <c r="A24" s="323">
        <v>53.7</v>
      </c>
      <c r="B24" s="279" t="str">
        <f t="shared" si="0"/>
        <v>410-53.7UB</v>
      </c>
      <c r="C24" s="329" t="s">
        <v>1070</v>
      </c>
      <c r="D24" s="323"/>
      <c r="E24" s="278" t="s">
        <v>1050</v>
      </c>
      <c r="F24" s="278"/>
      <c r="G24" s="278" t="s">
        <v>15</v>
      </c>
      <c r="H24" s="328">
        <f t="shared" si="1"/>
        <v>0.75180000000000002</v>
      </c>
      <c r="I24" s="280">
        <f t="shared" si="5"/>
        <v>60.610116000000005</v>
      </c>
      <c r="J24" s="281">
        <f t="shared" si="3"/>
        <v>68.737074000000007</v>
      </c>
      <c r="K24" s="282">
        <f>IF(Notes!$B$9="Domestic",I24, IF(Notes!$B$9="Commercial",J24))*$K$5</f>
        <v>68.737074000000007</v>
      </c>
      <c r="L24" s="283">
        <f>(SUM(O24:Q24)+(K24+SUM(M24:Q24))*(INDEX($U$5:$AB$5,MATCH(Notes!$C$16,$U$3:$AB$3,0))-100%))*$L$5</f>
        <v>273.75561900000002</v>
      </c>
      <c r="M24" s="286"/>
      <c r="N24" s="286"/>
      <c r="O24" s="311">
        <f t="shared" si="4"/>
        <v>119.751</v>
      </c>
      <c r="P24" s="311">
        <f t="shared" si="4"/>
        <v>154.00461900000002</v>
      </c>
      <c r="Q24" s="285"/>
      <c r="R24" s="329"/>
      <c r="S24" s="329"/>
      <c r="T24" s="278"/>
    </row>
    <row r="25" spans="1:20" s="305" customFormat="1" hidden="1" outlineLevel="1" x14ac:dyDescent="0.25">
      <c r="A25" s="323">
        <v>59.7</v>
      </c>
      <c r="B25" s="279" t="str">
        <f t="shared" si="0"/>
        <v>410-59.7UB</v>
      </c>
      <c r="C25" s="329" t="s">
        <v>1071</v>
      </c>
      <c r="D25" s="323"/>
      <c r="E25" s="278" t="s">
        <v>1050</v>
      </c>
      <c r="F25" s="278"/>
      <c r="G25" s="278" t="s">
        <v>15</v>
      </c>
      <c r="H25" s="328">
        <f t="shared" si="1"/>
        <v>0.8358000000000001</v>
      </c>
      <c r="I25" s="280">
        <f t="shared" si="5"/>
        <v>67.382196000000008</v>
      </c>
      <c r="J25" s="281">
        <f t="shared" si="3"/>
        <v>76.417194000000009</v>
      </c>
      <c r="K25" s="282">
        <f>IF(Notes!$B$9="Domestic",I25, IF(Notes!$B$9="Commercial",J25))*$K$5</f>
        <v>76.417194000000009</v>
      </c>
      <c r="L25" s="283">
        <f>(SUM(O25:Q25)+(K25+SUM(M25:Q25))*(INDEX($U$5:$AB$5,MATCH(Notes!$C$16,$U$3:$AB$3,0))-100%))*$L$5</f>
        <v>304.34283900000003</v>
      </c>
      <c r="M25" s="286"/>
      <c r="N25" s="286"/>
      <c r="O25" s="311">
        <f t="shared" si="4"/>
        <v>133.131</v>
      </c>
      <c r="P25" s="311">
        <f t="shared" si="4"/>
        <v>171.211839</v>
      </c>
      <c r="Q25" s="285"/>
      <c r="R25" s="329"/>
      <c r="S25" s="329"/>
      <c r="T25" s="278"/>
    </row>
    <row r="26" spans="1:20" s="305" customFormat="1" hidden="1" outlineLevel="1" x14ac:dyDescent="0.25">
      <c r="A26" s="323">
        <v>67.099999999999994</v>
      </c>
      <c r="B26" s="279" t="str">
        <f t="shared" si="0"/>
        <v>460-67.1UB</v>
      </c>
      <c r="C26" s="329" t="s">
        <v>1072</v>
      </c>
      <c r="D26" s="323"/>
      <c r="E26" s="278" t="s">
        <v>1050</v>
      </c>
      <c r="F26" s="278"/>
      <c r="G26" s="278" t="s">
        <v>15</v>
      </c>
      <c r="H26" s="328">
        <f t="shared" si="1"/>
        <v>0.9393999999999999</v>
      </c>
      <c r="I26" s="280">
        <f t="shared" si="5"/>
        <v>75.734427999999994</v>
      </c>
      <c r="J26" s="281">
        <f t="shared" si="3"/>
        <v>85.889341999999999</v>
      </c>
      <c r="K26" s="282">
        <f>IF(Notes!$B$9="Domestic",I26, IF(Notes!$B$9="Commercial",J26))*$K$5</f>
        <v>85.889341999999999</v>
      </c>
      <c r="L26" s="283">
        <f>(SUM(O26:Q26)+(K26+SUM(M26:Q26))*(INDEX($U$5:$AB$5,MATCH(Notes!$C$16,$U$3:$AB$3,0))-100%))*$L$5</f>
        <v>342.06707700000004</v>
      </c>
      <c r="M26" s="286"/>
      <c r="N26" s="286"/>
      <c r="O26" s="311">
        <f t="shared" si="4"/>
        <v>149.63300000000001</v>
      </c>
      <c r="P26" s="311">
        <f t="shared" si="4"/>
        <v>192.434077</v>
      </c>
      <c r="Q26" s="285"/>
      <c r="R26" s="329"/>
      <c r="S26" s="329"/>
      <c r="T26" s="278"/>
    </row>
    <row r="27" spans="1:20" s="305" customFormat="1" hidden="1" outlineLevel="1" x14ac:dyDescent="0.25">
      <c r="A27" s="323">
        <v>74.599999999999994</v>
      </c>
      <c r="B27" s="279" t="str">
        <f t="shared" si="0"/>
        <v>460-74.6UB</v>
      </c>
      <c r="C27" s="329" t="s">
        <v>1073</v>
      </c>
      <c r="D27" s="323"/>
      <c r="E27" s="278" t="s">
        <v>1050</v>
      </c>
      <c r="F27" s="278"/>
      <c r="G27" s="278" t="s">
        <v>15</v>
      </c>
      <c r="H27" s="328">
        <f t="shared" si="1"/>
        <v>1.0443999999999998</v>
      </c>
      <c r="I27" s="280">
        <f t="shared" si="5"/>
        <v>84.199527999999987</v>
      </c>
      <c r="J27" s="281">
        <f t="shared" si="3"/>
        <v>95.489491999999984</v>
      </c>
      <c r="K27" s="282">
        <f>IF(Notes!$B$9="Domestic",I27, IF(Notes!$B$9="Commercial",J27))*$K$5</f>
        <v>95.489491999999984</v>
      </c>
      <c r="L27" s="283">
        <f>(SUM(O27:Q27)+(K27+SUM(M27:Q27))*(INDEX($U$5:$AB$5,MATCH(Notes!$C$16,$U$3:$AB$3,0))-100%))*$L$5</f>
        <v>380.30110200000001</v>
      </c>
      <c r="M27" s="286"/>
      <c r="N27" s="286"/>
      <c r="O27" s="311">
        <f t="shared" si="4"/>
        <v>166.358</v>
      </c>
      <c r="P27" s="311">
        <f t="shared" si="4"/>
        <v>213.94310199999998</v>
      </c>
      <c r="Q27" s="285"/>
      <c r="R27" s="329"/>
      <c r="S27" s="329"/>
      <c r="T27" s="278"/>
    </row>
    <row r="28" spans="1:20" s="305" customFormat="1" hidden="1" outlineLevel="1" x14ac:dyDescent="0.25">
      <c r="A28" s="323">
        <v>82.1</v>
      </c>
      <c r="B28" s="279" t="str">
        <f t="shared" si="0"/>
        <v>460-82.1UB</v>
      </c>
      <c r="C28" s="329" t="s">
        <v>1074</v>
      </c>
      <c r="D28" s="323"/>
      <c r="E28" s="278" t="s">
        <v>1050</v>
      </c>
      <c r="F28" s="278"/>
      <c r="G28" s="278" t="s">
        <v>15</v>
      </c>
      <c r="H28" s="328">
        <f t="shared" si="1"/>
        <v>1.1493999999999998</v>
      </c>
      <c r="I28" s="280">
        <f t="shared" si="5"/>
        <v>92.664627999999979</v>
      </c>
      <c r="J28" s="281">
        <f t="shared" si="3"/>
        <v>105.08964199999998</v>
      </c>
      <c r="K28" s="282">
        <f>IF(Notes!$B$9="Domestic",I28, IF(Notes!$B$9="Commercial",J28))*$K$5</f>
        <v>105.08964199999998</v>
      </c>
      <c r="L28" s="283">
        <f>(SUM(O28:Q28)+(K28+SUM(M28:Q28))*(INDEX($U$5:$AB$5,MATCH(Notes!$C$16,$U$3:$AB$3,0))-100%))*$L$5</f>
        <v>418.53512699999999</v>
      </c>
      <c r="M28" s="286"/>
      <c r="N28" s="286"/>
      <c r="O28" s="311">
        <f t="shared" si="4"/>
        <v>183.083</v>
      </c>
      <c r="P28" s="311">
        <f t="shared" si="4"/>
        <v>235.45212699999999</v>
      </c>
      <c r="Q28" s="285"/>
      <c r="R28" s="329"/>
      <c r="S28" s="329"/>
      <c r="T28" s="278"/>
    </row>
    <row r="29" spans="1:20" s="305" customFormat="1" hidden="1" outlineLevel="1" x14ac:dyDescent="0.25">
      <c r="A29" s="323">
        <v>82</v>
      </c>
      <c r="B29" s="279" t="str">
        <f t="shared" si="0"/>
        <v>530-82.0UB</v>
      </c>
      <c r="C29" s="329" t="s">
        <v>1079</v>
      </c>
      <c r="D29" s="323"/>
      <c r="E29" s="278" t="s">
        <v>1050</v>
      </c>
      <c r="F29" s="278"/>
      <c r="G29" s="278" t="s">
        <v>15</v>
      </c>
      <c r="H29" s="328">
        <f t="shared" si="1"/>
        <v>1.1479999999999999</v>
      </c>
      <c r="I29" s="280">
        <f t="shared" si="5"/>
        <v>92.551760000000002</v>
      </c>
      <c r="J29" s="281">
        <f t="shared" si="3"/>
        <v>104.96164</v>
      </c>
      <c r="K29" s="282">
        <f>IF(Notes!$B$9="Domestic",I29, IF(Notes!$B$9="Commercial",J29))*$K$5</f>
        <v>104.96164</v>
      </c>
      <c r="L29" s="283">
        <f>(SUM(O29:Q29)+(K29+SUM(M29:Q29))*(INDEX($U$5:$AB$5,MATCH(Notes!$C$16,$U$3:$AB$3,0))-100%))*$L$5</f>
        <v>418.02534000000003</v>
      </c>
      <c r="M29" s="286"/>
      <c r="N29" s="286"/>
      <c r="O29" s="311">
        <f t="shared" si="4"/>
        <v>182.86</v>
      </c>
      <c r="P29" s="311">
        <f t="shared" si="4"/>
        <v>235.16533999999999</v>
      </c>
      <c r="Q29" s="285"/>
      <c r="R29" s="329"/>
      <c r="S29" s="329"/>
      <c r="T29" s="278"/>
    </row>
    <row r="30" spans="1:20" s="305" customFormat="1" hidden="1" outlineLevel="1" x14ac:dyDescent="0.25">
      <c r="A30" s="323">
        <v>92.4</v>
      </c>
      <c r="B30" s="279" t="str">
        <f t="shared" si="0"/>
        <v>530-92.4UB</v>
      </c>
      <c r="C30" s="329" t="s">
        <v>1075</v>
      </c>
      <c r="D30" s="323"/>
      <c r="E30" s="278" t="s">
        <v>1050</v>
      </c>
      <c r="F30" s="278"/>
      <c r="G30" s="278" t="s">
        <v>15</v>
      </c>
      <c r="H30" s="328">
        <f t="shared" si="1"/>
        <v>1.2936000000000001</v>
      </c>
      <c r="I30" s="280">
        <f t="shared" si="5"/>
        <v>104.29003200000001</v>
      </c>
      <c r="J30" s="281">
        <f t="shared" si="3"/>
        <v>118.27384800000002</v>
      </c>
      <c r="K30" s="282">
        <f>IF(Notes!$B$9="Domestic",I30, IF(Notes!$B$9="Commercial",J30))*$K$5</f>
        <v>118.27384800000002</v>
      </c>
      <c r="L30" s="283">
        <f>(SUM(O30:Q30)+(K30+SUM(M30:Q30))*(INDEX($U$5:$AB$5,MATCH(Notes!$C$16,$U$3:$AB$3,0))-100%))*$L$5</f>
        <v>471.04318799999999</v>
      </c>
      <c r="M30" s="286"/>
      <c r="N30" s="286"/>
      <c r="O30" s="311">
        <f t="shared" si="4"/>
        <v>206.05199999999999</v>
      </c>
      <c r="P30" s="311">
        <f t="shared" si="4"/>
        <v>264.99118800000002</v>
      </c>
      <c r="Q30" s="285"/>
      <c r="R30" s="329"/>
      <c r="S30" s="329"/>
      <c r="T30" s="278"/>
    </row>
    <row r="31" spans="1:20" s="305" customFormat="1" hidden="1" outlineLevel="1" x14ac:dyDescent="0.25">
      <c r="A31" s="323">
        <v>101</v>
      </c>
      <c r="B31" s="279" t="str">
        <f t="shared" si="0"/>
        <v>610-101.0UB</v>
      </c>
      <c r="C31" s="329" t="s">
        <v>1080</v>
      </c>
      <c r="D31" s="323"/>
      <c r="E31" s="278" t="s">
        <v>1050</v>
      </c>
      <c r="F31" s="278"/>
      <c r="G31" s="278" t="s">
        <v>15</v>
      </c>
      <c r="H31" s="328">
        <f t="shared" si="1"/>
        <v>1.4139999999999999</v>
      </c>
      <c r="I31" s="280">
        <f t="shared" si="5"/>
        <v>113.99668</v>
      </c>
      <c r="J31" s="281">
        <f t="shared" si="3"/>
        <v>129.28201999999999</v>
      </c>
      <c r="K31" s="282">
        <f>IF(Notes!$B$9="Domestic",I31, IF(Notes!$B$9="Commercial",J31))*$K$5</f>
        <v>129.28201999999999</v>
      </c>
      <c r="L31" s="283">
        <f>(SUM(O31:Q31)+(K31+SUM(M31:Q31))*(INDEX($U$5:$AB$5,MATCH(Notes!$C$16,$U$3:$AB$3,0))-100%))*$L$5</f>
        <v>514.88486999999998</v>
      </c>
      <c r="M31" s="286"/>
      <c r="N31" s="286"/>
      <c r="O31" s="311">
        <f t="shared" si="4"/>
        <v>225.23</v>
      </c>
      <c r="P31" s="311">
        <f t="shared" si="4"/>
        <v>289.65487000000002</v>
      </c>
      <c r="Q31" s="285"/>
      <c r="R31" s="329"/>
      <c r="S31" s="329"/>
      <c r="T31" s="278"/>
    </row>
    <row r="32" spans="1:20" s="305" customFormat="1" hidden="1" outlineLevel="1" x14ac:dyDescent="0.25">
      <c r="A32" s="323">
        <v>113</v>
      </c>
      <c r="B32" s="279" t="str">
        <f t="shared" si="0"/>
        <v>610-113.0UB</v>
      </c>
      <c r="C32" s="329" t="s">
        <v>1081</v>
      </c>
      <c r="D32" s="323"/>
      <c r="E32" s="278" t="s">
        <v>1050</v>
      </c>
      <c r="F32" s="278"/>
      <c r="G32" s="278" t="s">
        <v>15</v>
      </c>
      <c r="H32" s="328">
        <f t="shared" si="1"/>
        <v>1.5820000000000001</v>
      </c>
      <c r="I32" s="280">
        <f t="shared" si="5"/>
        <v>127.54084000000002</v>
      </c>
      <c r="J32" s="281">
        <f t="shared" si="3"/>
        <v>144.64226000000002</v>
      </c>
      <c r="K32" s="282">
        <f>IF(Notes!$B$9="Domestic",I32, IF(Notes!$B$9="Commercial",J32))*$K$5</f>
        <v>144.64226000000002</v>
      </c>
      <c r="L32" s="283">
        <f>(SUM(O32:Q32)+(K32+SUM(M32:Q32))*(INDEX($U$5:$AB$5,MATCH(Notes!$C$16,$U$3:$AB$3,0))-100%))*$L$5</f>
        <v>576.05930999999998</v>
      </c>
      <c r="M32" s="286"/>
      <c r="N32" s="286"/>
      <c r="O32" s="311">
        <f t="shared" si="4"/>
        <v>251.99</v>
      </c>
      <c r="P32" s="311">
        <f t="shared" si="4"/>
        <v>324.06930999999997</v>
      </c>
      <c r="Q32" s="285"/>
      <c r="R32" s="329"/>
      <c r="S32" s="329"/>
      <c r="T32" s="278"/>
    </row>
    <row r="33" spans="1:28" s="305" customFormat="1" hidden="1" outlineLevel="1" x14ac:dyDescent="0.25">
      <c r="A33" s="323">
        <v>125</v>
      </c>
      <c r="B33" s="279" t="str">
        <f t="shared" si="0"/>
        <v>610-125.0UB</v>
      </c>
      <c r="C33" s="329" t="s">
        <v>1082</v>
      </c>
      <c r="D33" s="323"/>
      <c r="E33" s="278" t="s">
        <v>1050</v>
      </c>
      <c r="F33" s="278"/>
      <c r="G33" s="278" t="s">
        <v>15</v>
      </c>
      <c r="H33" s="328">
        <f t="shared" si="1"/>
        <v>1.75</v>
      </c>
      <c r="I33" s="280">
        <f t="shared" si="5"/>
        <v>141.08500000000001</v>
      </c>
      <c r="J33" s="281">
        <f t="shared" si="3"/>
        <v>160.0025</v>
      </c>
      <c r="K33" s="282">
        <f>IF(Notes!$B$9="Domestic",I33, IF(Notes!$B$9="Commercial",J33))*$K$5</f>
        <v>160.0025</v>
      </c>
      <c r="L33" s="283">
        <f>(SUM(O33:Q33)+(K33+SUM(M33:Q33))*(INDEX($U$5:$AB$5,MATCH(Notes!$C$16,$U$3:$AB$3,0))-100%))*$L$5</f>
        <v>637.23374999999999</v>
      </c>
      <c r="M33" s="286"/>
      <c r="N33" s="286"/>
      <c r="O33" s="311">
        <f t="shared" si="4"/>
        <v>278.75</v>
      </c>
      <c r="P33" s="311">
        <f t="shared" si="4"/>
        <v>358.48374999999999</v>
      </c>
      <c r="Q33" s="285"/>
      <c r="R33" s="329"/>
      <c r="S33" s="329"/>
      <c r="T33" s="278"/>
    </row>
    <row r="34" spans="1:28" ht="21" hidden="1" outlineLevel="1" x14ac:dyDescent="0.25">
      <c r="A34" s="299" t="s">
        <v>135</v>
      </c>
      <c r="B34" s="299"/>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row>
    <row r="35" spans="1:28" ht="15.75" hidden="1" outlineLevel="1" x14ac:dyDescent="0.25">
      <c r="A35" s="303" t="s">
        <v>1044</v>
      </c>
      <c r="B35" s="291"/>
      <c r="C35" s="291"/>
      <c r="D35" s="291"/>
      <c r="E35" s="291"/>
      <c r="F35" s="291"/>
      <c r="G35" s="291"/>
      <c r="H35" s="325">
        <f>7*2</f>
        <v>14</v>
      </c>
      <c r="I35" s="291"/>
      <c r="J35" s="291"/>
      <c r="K35" s="291">
        <f>K$2</f>
        <v>1</v>
      </c>
      <c r="L35" s="291">
        <f>L$2</f>
        <v>1</v>
      </c>
      <c r="M35" s="291"/>
      <c r="N35" s="291"/>
      <c r="O35" s="324">
        <v>2240</v>
      </c>
      <c r="P35" s="384">
        <f>23*$P$2</f>
        <v>2867.87</v>
      </c>
      <c r="Q35" s="303"/>
      <c r="R35" s="291"/>
      <c r="S35" s="291"/>
      <c r="T35" s="291"/>
      <c r="U35" s="291">
        <f>(2200+$P35)/($O35+$P35)</f>
        <v>0.99216894713451986</v>
      </c>
      <c r="V35" s="291">
        <f>(2240+$P35)/($O35+$P35)</f>
        <v>1</v>
      </c>
      <c r="W35" s="291">
        <f>(2120+$P35)/($O35+$P35)</f>
        <v>0.97650684140355959</v>
      </c>
      <c r="X35" s="291">
        <f>(2160+$P35)/($O35+$P35)</f>
        <v>0.98433789426903973</v>
      </c>
      <c r="Y35" s="291">
        <f>(2160+$P35)/($O35+$P35)</f>
        <v>0.98433789426903973</v>
      </c>
      <c r="Z35" s="291">
        <f>(3500+$P35)/($O35+$P35)</f>
        <v>1.2466781652626242</v>
      </c>
      <c r="AA35" s="291">
        <f>(4800+$P35)/($O35+$P35)</f>
        <v>1.5011873833907283</v>
      </c>
      <c r="AB35" s="291">
        <f>(2450+$P35)/($O35+$P35)</f>
        <v>1.0411130275437708</v>
      </c>
    </row>
    <row r="36" spans="1:28" s="305" customFormat="1" ht="14.45" hidden="1" customHeight="1" outlineLevel="1" x14ac:dyDescent="0.25">
      <c r="A36" s="323">
        <v>14.8</v>
      </c>
      <c r="B36" s="279" t="str">
        <f>C36&amp;D36&amp;E36&amp;F36</f>
        <v>100-14.8UC</v>
      </c>
      <c r="C36" s="278" t="s">
        <v>1083</v>
      </c>
      <c r="D36" s="323"/>
      <c r="E36" s="278" t="s">
        <v>1051</v>
      </c>
      <c r="F36" s="278"/>
      <c r="G36" s="278" t="s">
        <v>15</v>
      </c>
      <c r="H36" s="328">
        <f>$H$35*$A36/1000</f>
        <v>0.20720000000000002</v>
      </c>
      <c r="I36" s="280">
        <f>$I$2*H36</f>
        <v>16.704464000000002</v>
      </c>
      <c r="J36" s="281">
        <f>$J$2*H36</f>
        <v>18.944296000000005</v>
      </c>
      <c r="K36" s="282">
        <f>IF(Notes!$B$9="Domestic",I36, IF(Notes!$B$9="Commercial",J36))*$K$35</f>
        <v>18.944296000000005</v>
      </c>
      <c r="L36" s="283">
        <f>(SUM(O36:Q36)+(K36+SUM(M36:Q36))*(INDEX($U$35:$AB$35,MATCH(Notes!$C$16,$U$3:$AB$3,0))-100%))*$L$35</f>
        <v>75.596475999999996</v>
      </c>
      <c r="M36" s="286"/>
      <c r="N36" s="286"/>
      <c r="O36" s="311">
        <f>O$35*$A36/1000</f>
        <v>33.152000000000001</v>
      </c>
      <c r="P36" s="311">
        <f>P$35*$A36/1000</f>
        <v>42.444476000000002</v>
      </c>
      <c r="Q36" s="285"/>
      <c r="R36" s="278"/>
      <c r="S36" s="278"/>
      <c r="T36" s="278"/>
      <c r="U36" s="304"/>
    </row>
    <row r="37" spans="1:28" s="305" customFormat="1" ht="14.45" hidden="1" customHeight="1" outlineLevel="1" x14ac:dyDescent="0.25">
      <c r="A37" s="323">
        <v>23.4</v>
      </c>
      <c r="B37" s="279" t="str">
        <f t="shared" ref="B37:B48" si="6">C37&amp;D37&amp;E37&amp;F37</f>
        <v>150-23.4UC</v>
      </c>
      <c r="C37" s="278" t="s">
        <v>1084</v>
      </c>
      <c r="D37" s="323"/>
      <c r="E37" s="278" t="s">
        <v>1051</v>
      </c>
      <c r="F37" s="278"/>
      <c r="G37" s="278" t="s">
        <v>15</v>
      </c>
      <c r="H37" s="328">
        <f t="shared" ref="H37:H48" si="7">$H$35*$A37/1000</f>
        <v>0.32759999999999995</v>
      </c>
      <c r="I37" s="280">
        <f t="shared" ref="I37:I39" si="8">$I$2*H37</f>
        <v>26.411111999999996</v>
      </c>
      <c r="J37" s="281">
        <f t="shared" ref="J37:J48" si="9">$J$2*H37</f>
        <v>29.952467999999996</v>
      </c>
      <c r="K37" s="282">
        <f>IF(Notes!$B$9="Domestic",I37, IF(Notes!$B$9="Commercial",J37))*$K$35</f>
        <v>29.952467999999996</v>
      </c>
      <c r="L37" s="283">
        <f>(SUM(O37:Q37)+(K37+SUM(M37:Q37))*(INDEX($U$35:$AB$35,MATCH(Notes!$C$16,$U$3:$AB$3,0))-100%))*$L$35</f>
        <v>119.52415799999999</v>
      </c>
      <c r="M37" s="286"/>
      <c r="N37" s="286"/>
      <c r="O37" s="311">
        <f t="shared" ref="O37:P48" si="10">O$35*$A37/1000</f>
        <v>52.415999999999997</v>
      </c>
      <c r="P37" s="311">
        <f t="shared" si="10"/>
        <v>67.108157999999989</v>
      </c>
      <c r="Q37" s="285"/>
      <c r="R37" s="278"/>
      <c r="S37" s="278"/>
      <c r="T37" s="278"/>
      <c r="U37" s="304"/>
    </row>
    <row r="38" spans="1:28" s="305" customFormat="1" ht="14.45" hidden="1" customHeight="1" outlineLevel="1" x14ac:dyDescent="0.25">
      <c r="A38" s="323">
        <v>30</v>
      </c>
      <c r="B38" s="279" t="str">
        <f t="shared" si="6"/>
        <v>150-30.0UC</v>
      </c>
      <c r="C38" s="278" t="s">
        <v>1092</v>
      </c>
      <c r="D38" s="323"/>
      <c r="E38" s="278" t="s">
        <v>1051</v>
      </c>
      <c r="F38" s="278"/>
      <c r="G38" s="278" t="s">
        <v>15</v>
      </c>
      <c r="H38" s="328">
        <f t="shared" si="7"/>
        <v>0.42</v>
      </c>
      <c r="I38" s="280">
        <f t="shared" si="8"/>
        <v>33.860399999999998</v>
      </c>
      <c r="J38" s="281">
        <f t="shared" si="9"/>
        <v>38.400600000000004</v>
      </c>
      <c r="K38" s="282">
        <f>IF(Notes!$B$9="Domestic",I38, IF(Notes!$B$9="Commercial",J38))*$K$35</f>
        <v>38.400600000000004</v>
      </c>
      <c r="L38" s="283">
        <f>(SUM(O38:Q38)+(K38+SUM(M38:Q38))*(INDEX($U$35:$AB$35,MATCH(Notes!$C$16,$U$3:$AB$3,0))-100%))*$L$35</f>
        <v>153.23609999999999</v>
      </c>
      <c r="M38" s="286"/>
      <c r="N38" s="286"/>
      <c r="O38" s="311">
        <f t="shared" si="10"/>
        <v>67.2</v>
      </c>
      <c r="P38" s="311">
        <f t="shared" si="10"/>
        <v>86.03609999999999</v>
      </c>
      <c r="Q38" s="285"/>
      <c r="R38" s="278"/>
      <c r="S38" s="278"/>
      <c r="T38" s="278"/>
      <c r="U38" s="304"/>
    </row>
    <row r="39" spans="1:28" s="305" customFormat="1" ht="14.45" hidden="1" customHeight="1" outlineLevel="1" x14ac:dyDescent="0.25">
      <c r="A39" s="323">
        <v>37.200000000000003</v>
      </c>
      <c r="B39" s="279" t="str">
        <f t="shared" si="6"/>
        <v>150-37.2UC</v>
      </c>
      <c r="C39" s="278" t="s">
        <v>1085</v>
      </c>
      <c r="D39" s="323"/>
      <c r="E39" s="278" t="s">
        <v>1051</v>
      </c>
      <c r="F39" s="278"/>
      <c r="G39" s="278" t="s">
        <v>15</v>
      </c>
      <c r="H39" s="328">
        <f t="shared" si="7"/>
        <v>0.52080000000000004</v>
      </c>
      <c r="I39" s="280">
        <f t="shared" si="8"/>
        <v>41.986896000000009</v>
      </c>
      <c r="J39" s="281">
        <f t="shared" si="9"/>
        <v>47.616744000000004</v>
      </c>
      <c r="K39" s="282">
        <f>IF(Notes!$B$9="Domestic",I39, IF(Notes!$B$9="Commercial",J39))*$K$35</f>
        <v>47.616744000000004</v>
      </c>
      <c r="L39" s="283">
        <f>(SUM(O39:Q39)+(K39+SUM(M39:Q39))*(INDEX($U$35:$AB$35,MATCH(Notes!$C$16,$U$3:$AB$3,0))-100%))*$L$35</f>
        <v>190.012764</v>
      </c>
      <c r="M39" s="286"/>
      <c r="N39" s="286"/>
      <c r="O39" s="311">
        <f t="shared" si="10"/>
        <v>83.328000000000003</v>
      </c>
      <c r="P39" s="311">
        <f t="shared" si="10"/>
        <v>106.68476400000002</v>
      </c>
      <c r="Q39" s="285"/>
      <c r="R39" s="278"/>
      <c r="S39" s="278"/>
      <c r="T39" s="278"/>
    </row>
    <row r="40" spans="1:28" s="305" customFormat="1" ht="14.45" hidden="1" customHeight="1" outlineLevel="1" x14ac:dyDescent="0.25">
      <c r="A40" s="323">
        <v>46.2</v>
      </c>
      <c r="B40" s="279" t="str">
        <f t="shared" si="6"/>
        <v>200-46.2UC</v>
      </c>
      <c r="C40" s="278" t="s">
        <v>1086</v>
      </c>
      <c r="D40" s="323"/>
      <c r="E40" s="278" t="s">
        <v>1051</v>
      </c>
      <c r="F40" s="278"/>
      <c r="G40" s="278" t="s">
        <v>15</v>
      </c>
      <c r="H40" s="328">
        <f t="shared" si="7"/>
        <v>0.64680000000000004</v>
      </c>
      <c r="I40" s="280">
        <f>$I$2*H40</f>
        <v>52.145016000000005</v>
      </c>
      <c r="J40" s="281">
        <f t="shared" si="9"/>
        <v>59.136924000000008</v>
      </c>
      <c r="K40" s="282">
        <f>IF(Notes!$B$9="Domestic",I40, IF(Notes!$B$9="Commercial",J40))*$K$35</f>
        <v>59.136924000000008</v>
      </c>
      <c r="L40" s="283">
        <f>(SUM(O40:Q40)+(K40+SUM(M40:Q40))*(INDEX($U$35:$AB$35,MATCH(Notes!$C$16,$U$3:$AB$3,0))-100%))*$L$35</f>
        <v>235.98359400000001</v>
      </c>
      <c r="M40" s="286"/>
      <c r="N40" s="286"/>
      <c r="O40" s="311">
        <f t="shared" si="10"/>
        <v>103.488</v>
      </c>
      <c r="P40" s="311">
        <f t="shared" si="10"/>
        <v>132.49559400000001</v>
      </c>
      <c r="Q40" s="285"/>
      <c r="R40" s="278"/>
      <c r="S40" s="278"/>
      <c r="T40" s="278"/>
    </row>
    <row r="41" spans="1:28" s="305" customFormat="1" ht="14.45" hidden="1" customHeight="1" outlineLevel="1" x14ac:dyDescent="0.25">
      <c r="A41" s="323">
        <v>42.3</v>
      </c>
      <c r="B41" s="279" t="str">
        <f t="shared" si="6"/>
        <v>200-42.3UC</v>
      </c>
      <c r="C41" s="278" t="s">
        <v>1087</v>
      </c>
      <c r="D41" s="323"/>
      <c r="E41" s="278" t="s">
        <v>1051</v>
      </c>
      <c r="F41" s="278"/>
      <c r="G41" s="278" t="s">
        <v>15</v>
      </c>
      <c r="H41" s="328">
        <f t="shared" si="7"/>
        <v>0.59219999999999995</v>
      </c>
      <c r="I41" s="280">
        <f t="shared" ref="I41:I48" si="11">$I$2*H41</f>
        <v>47.743164</v>
      </c>
      <c r="J41" s="281">
        <f t="shared" si="9"/>
        <v>54.144846000000001</v>
      </c>
      <c r="K41" s="282">
        <f>IF(Notes!$B$9="Domestic",I41, IF(Notes!$B$9="Commercial",J41))*$K$35</f>
        <v>54.144846000000001</v>
      </c>
      <c r="L41" s="283">
        <f>(SUM(O41:Q41)+(K41+SUM(M41:Q41))*(INDEX($U$35:$AB$35,MATCH(Notes!$C$16,$U$3:$AB$3,0))-100%))*$L$35</f>
        <v>216.06290099999998</v>
      </c>
      <c r="M41" s="286"/>
      <c r="N41" s="286"/>
      <c r="O41" s="311">
        <f t="shared" si="10"/>
        <v>94.751999999999995</v>
      </c>
      <c r="P41" s="311">
        <f t="shared" si="10"/>
        <v>121.31090099999999</v>
      </c>
      <c r="Q41" s="285"/>
      <c r="R41" s="278"/>
      <c r="S41" s="278"/>
      <c r="T41" s="278"/>
    </row>
    <row r="42" spans="1:28" s="305" customFormat="1" hidden="1" outlineLevel="1" x14ac:dyDescent="0.25">
      <c r="A42" s="323">
        <v>59.5</v>
      </c>
      <c r="B42" s="279" t="str">
        <f t="shared" si="6"/>
        <v>200-59.5UC</v>
      </c>
      <c r="C42" s="278" t="s">
        <v>1088</v>
      </c>
      <c r="D42" s="323"/>
      <c r="E42" s="278" t="s">
        <v>1051</v>
      </c>
      <c r="F42" s="278"/>
      <c r="G42" s="278" t="s">
        <v>15</v>
      </c>
      <c r="H42" s="328">
        <f t="shared" si="7"/>
        <v>0.83299999999999996</v>
      </c>
      <c r="I42" s="280">
        <f t="shared" si="11"/>
        <v>67.156459999999996</v>
      </c>
      <c r="J42" s="281">
        <f t="shared" si="9"/>
        <v>76.161190000000005</v>
      </c>
      <c r="K42" s="282">
        <f>IF(Notes!$B$9="Domestic",I42, IF(Notes!$B$9="Commercial",J42))*$K$35</f>
        <v>76.161190000000005</v>
      </c>
      <c r="L42" s="283">
        <f>(SUM(O42:Q42)+(K42+SUM(M42:Q42))*(INDEX($U$35:$AB$35,MATCH(Notes!$C$16,$U$3:$AB$3,0))-100%))*$L$35</f>
        <v>303.91826500000002</v>
      </c>
      <c r="M42" s="286"/>
      <c r="N42" s="286"/>
      <c r="O42" s="311">
        <f t="shared" si="10"/>
        <v>133.28</v>
      </c>
      <c r="P42" s="311">
        <f t="shared" si="10"/>
        <v>170.63826499999999</v>
      </c>
      <c r="Q42" s="285"/>
      <c r="R42" s="278"/>
      <c r="S42" s="278"/>
      <c r="T42" s="278"/>
    </row>
    <row r="43" spans="1:28" s="305" customFormat="1" hidden="1" outlineLevel="1" x14ac:dyDescent="0.25">
      <c r="A43" s="323">
        <v>72.900000000000006</v>
      </c>
      <c r="B43" s="279" t="str">
        <f t="shared" si="6"/>
        <v>250-72.9UC</v>
      </c>
      <c r="C43" s="278" t="s">
        <v>1089</v>
      </c>
      <c r="D43" s="323"/>
      <c r="E43" s="278" t="s">
        <v>1051</v>
      </c>
      <c r="F43" s="278"/>
      <c r="G43" s="278" t="s">
        <v>15</v>
      </c>
      <c r="H43" s="328">
        <f t="shared" si="7"/>
        <v>1.0206000000000002</v>
      </c>
      <c r="I43" s="280">
        <f t="shared" si="11"/>
        <v>82.280772000000013</v>
      </c>
      <c r="J43" s="281">
        <f t="shared" si="9"/>
        <v>93.313458000000026</v>
      </c>
      <c r="K43" s="282">
        <f>IF(Notes!$B$9="Domestic",I43, IF(Notes!$B$9="Commercial",J43))*$K$35</f>
        <v>93.313458000000026</v>
      </c>
      <c r="L43" s="283">
        <f>(SUM(O43:Q43)+(K43+SUM(M43:Q43))*(INDEX($U$35:$AB$35,MATCH(Notes!$C$16,$U$3:$AB$3,0))-100%))*$L$35</f>
        <v>372.36372299999999</v>
      </c>
      <c r="M43" s="286"/>
      <c r="N43" s="286"/>
      <c r="O43" s="311">
        <f t="shared" si="10"/>
        <v>163.29599999999999</v>
      </c>
      <c r="P43" s="311">
        <f t="shared" si="10"/>
        <v>209.067723</v>
      </c>
      <c r="Q43" s="285"/>
      <c r="R43" s="278"/>
      <c r="S43" s="278"/>
      <c r="T43" s="278"/>
    </row>
    <row r="44" spans="1:28" s="305" customFormat="1" hidden="1" outlineLevel="1" x14ac:dyDescent="0.25">
      <c r="A44" s="323">
        <v>89.5</v>
      </c>
      <c r="B44" s="279" t="str">
        <f t="shared" si="6"/>
        <v>250-89.5UC</v>
      </c>
      <c r="C44" s="278" t="s">
        <v>1090</v>
      </c>
      <c r="D44" s="323"/>
      <c r="E44" s="278" t="s">
        <v>1051</v>
      </c>
      <c r="F44" s="278"/>
      <c r="G44" s="278" t="s">
        <v>15</v>
      </c>
      <c r="H44" s="328">
        <f t="shared" si="7"/>
        <v>1.2529999999999999</v>
      </c>
      <c r="I44" s="280">
        <f t="shared" si="11"/>
        <v>101.01685999999999</v>
      </c>
      <c r="J44" s="281">
        <f t="shared" si="9"/>
        <v>114.56179</v>
      </c>
      <c r="K44" s="282">
        <f>IF(Notes!$B$9="Domestic",I44, IF(Notes!$B$9="Commercial",J44))*$K$35</f>
        <v>114.56179</v>
      </c>
      <c r="L44" s="283">
        <f>(SUM(O44:Q44)+(K44+SUM(M44:Q44))*(INDEX($U$35:$AB$35,MATCH(Notes!$C$16,$U$3:$AB$3,0))-100%))*$L$35</f>
        <v>457.15436499999998</v>
      </c>
      <c r="M44" s="286"/>
      <c r="N44" s="286"/>
      <c r="O44" s="311">
        <f t="shared" si="10"/>
        <v>200.48</v>
      </c>
      <c r="P44" s="311">
        <f t="shared" si="10"/>
        <v>256.67436499999997</v>
      </c>
      <c r="Q44" s="285"/>
      <c r="R44" s="278"/>
      <c r="S44" s="278"/>
      <c r="T44" s="278"/>
    </row>
    <row r="45" spans="1:28" s="305" customFormat="1" hidden="1" outlineLevel="1" x14ac:dyDescent="0.25">
      <c r="A45" s="323">
        <v>96.8</v>
      </c>
      <c r="B45" s="279" t="str">
        <f t="shared" si="6"/>
        <v>310-96.8UC</v>
      </c>
      <c r="C45" s="278" t="s">
        <v>1091</v>
      </c>
      <c r="D45" s="323"/>
      <c r="E45" s="278" t="s">
        <v>1051</v>
      </c>
      <c r="F45" s="278"/>
      <c r="G45" s="278" t="s">
        <v>15</v>
      </c>
      <c r="H45" s="328">
        <f t="shared" si="7"/>
        <v>1.3552</v>
      </c>
      <c r="I45" s="280">
        <f t="shared" si="11"/>
        <v>109.256224</v>
      </c>
      <c r="J45" s="281">
        <f t="shared" si="9"/>
        <v>123.90593600000001</v>
      </c>
      <c r="K45" s="282">
        <f>IF(Notes!$B$9="Domestic",I45, IF(Notes!$B$9="Commercial",J45))*$K$35</f>
        <v>123.90593600000001</v>
      </c>
      <c r="L45" s="283">
        <f>(SUM(O45:Q45)+(K45+SUM(M45:Q45))*(INDEX($U$35:$AB$35,MATCH(Notes!$C$16,$U$3:$AB$3,0))-100%))*$L$35</f>
        <v>494.44181599999996</v>
      </c>
      <c r="M45" s="286"/>
      <c r="N45" s="286"/>
      <c r="O45" s="311">
        <f t="shared" si="10"/>
        <v>216.83199999999999</v>
      </c>
      <c r="P45" s="311">
        <f t="shared" si="10"/>
        <v>277.60981599999997</v>
      </c>
      <c r="Q45" s="285"/>
      <c r="R45" s="278"/>
      <c r="S45" s="278"/>
      <c r="T45" s="278"/>
    </row>
    <row r="46" spans="1:28" s="305" customFormat="1" hidden="1" outlineLevel="1" x14ac:dyDescent="0.25">
      <c r="A46" s="323">
        <v>118</v>
      </c>
      <c r="B46" s="279" t="str">
        <f t="shared" si="6"/>
        <v>310-118.0UC</v>
      </c>
      <c r="C46" s="278" t="s">
        <v>1093</v>
      </c>
      <c r="D46" s="323"/>
      <c r="E46" s="278" t="s">
        <v>1051</v>
      </c>
      <c r="F46" s="278"/>
      <c r="G46" s="278" t="s">
        <v>15</v>
      </c>
      <c r="H46" s="328">
        <f t="shared" si="7"/>
        <v>1.6519999999999999</v>
      </c>
      <c r="I46" s="280">
        <f t="shared" si="11"/>
        <v>133.18423999999999</v>
      </c>
      <c r="J46" s="281">
        <f t="shared" si="9"/>
        <v>151.04236</v>
      </c>
      <c r="K46" s="282">
        <f>IF(Notes!$B$9="Domestic",I46, IF(Notes!$B$9="Commercial",J46))*$K$35</f>
        <v>151.04236</v>
      </c>
      <c r="L46" s="283">
        <f>(SUM(O46:Q46)+(K46+SUM(M46:Q46))*(INDEX($U$35:$AB$35,MATCH(Notes!$C$16,$U$3:$AB$3,0))-100%))*$L$35</f>
        <v>602.72865999999999</v>
      </c>
      <c r="M46" s="286"/>
      <c r="N46" s="286"/>
      <c r="O46" s="311">
        <f t="shared" si="10"/>
        <v>264.32</v>
      </c>
      <c r="P46" s="311">
        <f t="shared" si="10"/>
        <v>338.40866</v>
      </c>
      <c r="Q46" s="285"/>
      <c r="R46" s="278"/>
      <c r="S46" s="278"/>
      <c r="T46" s="278"/>
    </row>
    <row r="47" spans="1:28" s="305" customFormat="1" hidden="1" outlineLevel="1" x14ac:dyDescent="0.25">
      <c r="A47" s="323">
        <v>137</v>
      </c>
      <c r="B47" s="279" t="str">
        <f t="shared" si="6"/>
        <v>310-137.0UC</v>
      </c>
      <c r="C47" s="278" t="s">
        <v>1094</v>
      </c>
      <c r="D47" s="323"/>
      <c r="E47" s="278" t="s">
        <v>1051</v>
      </c>
      <c r="F47" s="278"/>
      <c r="G47" s="278" t="s">
        <v>15</v>
      </c>
      <c r="H47" s="328">
        <f t="shared" si="7"/>
        <v>1.9179999999999999</v>
      </c>
      <c r="I47" s="280">
        <f t="shared" si="11"/>
        <v>154.62916000000001</v>
      </c>
      <c r="J47" s="281">
        <f t="shared" si="9"/>
        <v>175.36274</v>
      </c>
      <c r="K47" s="282">
        <f>IF(Notes!$B$9="Domestic",I47, IF(Notes!$B$9="Commercial",J47))*$K$35</f>
        <v>175.36274</v>
      </c>
      <c r="L47" s="283">
        <f>(SUM(O47:Q47)+(K47+SUM(M47:Q47))*(INDEX($U$35:$AB$35,MATCH(Notes!$C$16,$U$3:$AB$3,0))-100%))*$L$35</f>
        <v>699.77819</v>
      </c>
      <c r="M47" s="286"/>
      <c r="N47" s="286"/>
      <c r="O47" s="311">
        <f t="shared" si="10"/>
        <v>306.88</v>
      </c>
      <c r="P47" s="311">
        <f t="shared" si="10"/>
        <v>392.89819</v>
      </c>
      <c r="Q47" s="285"/>
      <c r="R47" s="278"/>
      <c r="S47" s="278"/>
      <c r="T47" s="278"/>
    </row>
    <row r="48" spans="1:28" s="305" customFormat="1" hidden="1" outlineLevel="1" x14ac:dyDescent="0.25">
      <c r="A48" s="323">
        <v>158</v>
      </c>
      <c r="B48" s="279" t="str">
        <f t="shared" si="6"/>
        <v>310-158.0UC</v>
      </c>
      <c r="C48" s="278" t="s">
        <v>1095</v>
      </c>
      <c r="D48" s="323"/>
      <c r="E48" s="278" t="s">
        <v>1051</v>
      </c>
      <c r="F48" s="278"/>
      <c r="G48" s="278" t="s">
        <v>15</v>
      </c>
      <c r="H48" s="328">
        <f t="shared" si="7"/>
        <v>2.2120000000000002</v>
      </c>
      <c r="I48" s="280">
        <f t="shared" si="11"/>
        <v>178.33144000000001</v>
      </c>
      <c r="J48" s="281">
        <f t="shared" si="9"/>
        <v>202.24316000000005</v>
      </c>
      <c r="K48" s="282">
        <f>IF(Notes!$B$9="Domestic",I48, IF(Notes!$B$9="Commercial",J48))*$K$35</f>
        <v>202.24316000000005</v>
      </c>
      <c r="L48" s="283">
        <f>(SUM(O48:Q48)+(K48+SUM(M48:Q48))*(INDEX($U$35:$AB$35,MATCH(Notes!$C$16,$U$3:$AB$3,0))-100%))*$L$35</f>
        <v>807.04345999999998</v>
      </c>
      <c r="M48" s="286"/>
      <c r="N48" s="286"/>
      <c r="O48" s="311">
        <f t="shared" si="10"/>
        <v>353.92</v>
      </c>
      <c r="P48" s="311">
        <f t="shared" si="10"/>
        <v>453.12345999999997</v>
      </c>
      <c r="Q48" s="285"/>
      <c r="R48" s="278"/>
      <c r="S48" s="278"/>
      <c r="T48" s="278"/>
    </row>
    <row r="49" spans="1:28" ht="21" hidden="1" outlineLevel="1" x14ac:dyDescent="0.25">
      <c r="A49" s="299" t="s">
        <v>1046</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row>
    <row r="50" spans="1:28" ht="15.75" hidden="1" outlineLevel="1" x14ac:dyDescent="0.25">
      <c r="A50" s="303" t="s">
        <v>1044</v>
      </c>
      <c r="B50" s="291"/>
      <c r="C50" s="291"/>
      <c r="D50" s="291"/>
      <c r="E50" s="291"/>
      <c r="F50" s="291"/>
      <c r="G50" s="291"/>
      <c r="H50" s="325">
        <f>7*2</f>
        <v>14</v>
      </c>
      <c r="I50" s="291"/>
      <c r="J50" s="291"/>
      <c r="K50" s="291">
        <f>K$2</f>
        <v>1</v>
      </c>
      <c r="L50" s="291">
        <f>L$2</f>
        <v>1</v>
      </c>
      <c r="M50" s="291"/>
      <c r="N50" s="291"/>
      <c r="O50" s="384">
        <f>O5</f>
        <v>2230</v>
      </c>
      <c r="P50" s="384">
        <f>23*$P$2</f>
        <v>2867.87</v>
      </c>
      <c r="Q50" s="303"/>
      <c r="R50" s="291"/>
      <c r="S50" s="291"/>
      <c r="T50" s="291"/>
      <c r="U50" s="381">
        <f>U5</f>
        <v>0.98430717142649771</v>
      </c>
      <c r="V50" s="381">
        <f t="shared" ref="V50:AB50" si="12">V5</f>
        <v>1</v>
      </c>
      <c r="W50" s="381">
        <f t="shared" si="12"/>
        <v>0.97646075713974656</v>
      </c>
      <c r="X50" s="381">
        <f t="shared" si="12"/>
        <v>0.98430717142649771</v>
      </c>
      <c r="Y50" s="381">
        <f t="shared" si="12"/>
        <v>0.98430717142649771</v>
      </c>
      <c r="Z50" s="381">
        <f t="shared" si="12"/>
        <v>1.2491236536043484</v>
      </c>
      <c r="AA50" s="381">
        <f t="shared" si="12"/>
        <v>1.5041321179237603</v>
      </c>
      <c r="AB50" s="381">
        <f t="shared" si="12"/>
        <v>1.0431552785771312</v>
      </c>
    </row>
    <row r="51" spans="1:28" s="305" customFormat="1" hidden="1" outlineLevel="1" x14ac:dyDescent="0.25">
      <c r="A51" s="331">
        <v>3.83</v>
      </c>
      <c r="B51" s="279" t="str">
        <f>C51&amp;D51&amp;E51&amp;F51</f>
        <v>50x25-3.8PFC</v>
      </c>
      <c r="C51" s="278" t="s">
        <v>1147</v>
      </c>
      <c r="D51" s="323"/>
      <c r="E51" s="278" t="s">
        <v>494</v>
      </c>
      <c r="F51" s="278"/>
      <c r="G51" s="278" t="s">
        <v>15</v>
      </c>
      <c r="H51" s="328">
        <f>$H$50*$A51/1000</f>
        <v>5.3620000000000008E-2</v>
      </c>
      <c r="I51" s="280">
        <f>$I$2*H51</f>
        <v>4.322844400000001</v>
      </c>
      <c r="J51" s="281">
        <f>$J$2*H51</f>
        <v>4.9024766000000009</v>
      </c>
      <c r="K51" s="282">
        <f>IF(Notes!$B$9="Domestic",I51, IF(Notes!$B$9="Commercial",J51))*$K$50</f>
        <v>4.9024766000000009</v>
      </c>
      <c r="L51" s="283">
        <f>(SUM(O51:Q51)+(K51+SUM(M51:Q51))*(INDEX($U$50:$AB$50,MATCH(Notes!$C$16,$U$3:$AB$3,0))-100%))*$L$50</f>
        <v>19.524842100000001</v>
      </c>
      <c r="M51" s="286"/>
      <c r="N51" s="286"/>
      <c r="O51" s="311">
        <f>O$50*$A51/1000</f>
        <v>8.5408999999999988</v>
      </c>
      <c r="P51" s="311">
        <f>P$50*$A51/1000</f>
        <v>10.9839421</v>
      </c>
      <c r="Q51" s="285"/>
      <c r="R51" s="278"/>
      <c r="S51" s="278"/>
      <c r="T51" s="278"/>
    </row>
    <row r="52" spans="1:28" s="305" customFormat="1" hidden="1" outlineLevel="1" x14ac:dyDescent="0.25">
      <c r="A52" s="331">
        <v>5.92</v>
      </c>
      <c r="B52" s="279" t="str">
        <f>C52&amp;D52&amp;E52&amp;F52</f>
        <v>74x40-5.9PFC</v>
      </c>
      <c r="C52" s="278" t="s">
        <v>1096</v>
      </c>
      <c r="D52" s="323"/>
      <c r="E52" s="278" t="s">
        <v>494</v>
      </c>
      <c r="F52" s="278"/>
      <c r="G52" s="278" t="s">
        <v>15</v>
      </c>
      <c r="H52" s="328">
        <f t="shared" ref="H52:H61" si="13">$H$50*$A52/1000</f>
        <v>8.2879999999999995E-2</v>
      </c>
      <c r="I52" s="280">
        <f>$I$2*H52</f>
        <v>6.6817856000000004</v>
      </c>
      <c r="J52" s="281">
        <f>$J$2*H52</f>
        <v>7.5777184000000002</v>
      </c>
      <c r="K52" s="282">
        <f>IF(Notes!$B$9="Domestic",I52, IF(Notes!$B$9="Commercial",J52))*$K$50</f>
        <v>7.5777184000000002</v>
      </c>
      <c r="L52" s="283">
        <f>(SUM(O52:Q52)+(K52+SUM(M52:Q52))*(INDEX($U$50:$AB$50,MATCH(Notes!$C$16,$U$3:$AB$3,0))-100%))*$L$50</f>
        <v>30.179390399999996</v>
      </c>
      <c r="M52" s="286"/>
      <c r="N52" s="286"/>
      <c r="O52" s="311">
        <f t="shared" ref="O52:P61" si="14">O$50*$A52/1000</f>
        <v>13.201600000000001</v>
      </c>
      <c r="P52" s="311">
        <f t="shared" si="14"/>
        <v>16.977790399999996</v>
      </c>
      <c r="Q52" s="285"/>
      <c r="R52" s="278"/>
      <c r="S52" s="278"/>
      <c r="T52" s="278"/>
    </row>
    <row r="53" spans="1:28" s="305" customFormat="1" hidden="1" outlineLevel="1" x14ac:dyDescent="0.25">
      <c r="A53" s="331">
        <v>8.33</v>
      </c>
      <c r="B53" s="279" t="str">
        <f t="shared" ref="B53:B61" si="15">C53&amp;D53&amp;E53&amp;F53</f>
        <v>100x50-8.3PFC</v>
      </c>
      <c r="C53" s="278" t="s">
        <v>1097</v>
      </c>
      <c r="D53" s="323"/>
      <c r="E53" s="278" t="s">
        <v>494</v>
      </c>
      <c r="F53" s="278"/>
      <c r="G53" s="278" t="s">
        <v>15</v>
      </c>
      <c r="H53" s="328">
        <f t="shared" si="13"/>
        <v>0.11662</v>
      </c>
      <c r="I53" s="280">
        <f t="shared" ref="I53:I55" si="16">$I$2*H53</f>
        <v>9.4019044000000012</v>
      </c>
      <c r="J53" s="281">
        <f t="shared" ref="J53:J61" si="17">$J$2*H53</f>
        <v>10.662566600000002</v>
      </c>
      <c r="K53" s="282">
        <f>IF(Notes!$B$9="Domestic",I53, IF(Notes!$B$9="Commercial",J53))*$K$50</f>
        <v>10.662566600000002</v>
      </c>
      <c r="L53" s="283">
        <f>(SUM(O53:Q53)+(K53+SUM(M53:Q53))*(INDEX($U$50:$AB$50,MATCH(Notes!$C$16,$U$3:$AB$3,0))-100%))*$L$50</f>
        <v>42.465257100000002</v>
      </c>
      <c r="M53" s="286"/>
      <c r="N53" s="286"/>
      <c r="O53" s="311">
        <f t="shared" si="14"/>
        <v>18.575900000000001</v>
      </c>
      <c r="P53" s="311">
        <f t="shared" si="14"/>
        <v>23.889357100000002</v>
      </c>
      <c r="Q53" s="285"/>
      <c r="R53" s="278"/>
      <c r="S53" s="278"/>
      <c r="T53" s="278"/>
    </row>
    <row r="54" spans="1:28" s="305" customFormat="1" hidden="1" outlineLevel="1" x14ac:dyDescent="0.25">
      <c r="A54" s="331">
        <v>11.9</v>
      </c>
      <c r="B54" s="279" t="str">
        <f t="shared" si="15"/>
        <v>125x65-11.9PFC</v>
      </c>
      <c r="C54" s="278" t="s">
        <v>1098</v>
      </c>
      <c r="D54" s="323"/>
      <c r="E54" s="278" t="s">
        <v>494</v>
      </c>
      <c r="F54" s="278"/>
      <c r="G54" s="278" t="s">
        <v>15</v>
      </c>
      <c r="H54" s="328">
        <f t="shared" si="13"/>
        <v>0.1666</v>
      </c>
      <c r="I54" s="280">
        <f t="shared" si="16"/>
        <v>13.431292000000001</v>
      </c>
      <c r="J54" s="281">
        <f t="shared" si="17"/>
        <v>15.232238000000001</v>
      </c>
      <c r="K54" s="282">
        <f>IF(Notes!$B$9="Domestic",I54, IF(Notes!$B$9="Commercial",J54))*$K$50</f>
        <v>15.232238000000001</v>
      </c>
      <c r="L54" s="283">
        <f>(SUM(O54:Q54)+(K54+SUM(M54:Q54))*(INDEX($U$50:$AB$50,MATCH(Notes!$C$16,$U$3:$AB$3,0))-100%))*$L$50</f>
        <v>60.664652999999994</v>
      </c>
      <c r="M54" s="286"/>
      <c r="N54" s="286"/>
      <c r="O54" s="311">
        <f t="shared" si="14"/>
        <v>26.536999999999999</v>
      </c>
      <c r="P54" s="311">
        <f t="shared" si="14"/>
        <v>34.127652999999995</v>
      </c>
      <c r="Q54" s="285"/>
      <c r="R54" s="278"/>
      <c r="S54" s="278"/>
      <c r="T54" s="278"/>
    </row>
    <row r="55" spans="1:28" s="305" customFormat="1" hidden="1" outlineLevel="1" x14ac:dyDescent="0.25">
      <c r="A55" s="331">
        <v>17.7</v>
      </c>
      <c r="B55" s="279" t="str">
        <f t="shared" si="15"/>
        <v>150x75-17.7PFC</v>
      </c>
      <c r="C55" s="278" t="s">
        <v>1099</v>
      </c>
      <c r="D55" s="323"/>
      <c r="E55" s="278" t="s">
        <v>494</v>
      </c>
      <c r="F55" s="278"/>
      <c r="G55" s="278" t="s">
        <v>15</v>
      </c>
      <c r="H55" s="328">
        <f t="shared" si="13"/>
        <v>0.24779999999999999</v>
      </c>
      <c r="I55" s="280">
        <f t="shared" si="16"/>
        <v>19.977636</v>
      </c>
      <c r="J55" s="281">
        <f t="shared" si="17"/>
        <v>22.656354</v>
      </c>
      <c r="K55" s="282">
        <f>IF(Notes!$B$9="Domestic",I55, IF(Notes!$B$9="Commercial",J55))*$K$50</f>
        <v>22.656354</v>
      </c>
      <c r="L55" s="283">
        <f>(SUM(O55:Q55)+(K55+SUM(M55:Q55))*(INDEX($U$50:$AB$50,MATCH(Notes!$C$16,$U$3:$AB$3,0))-100%))*$L$50</f>
        <v>90.232298999999998</v>
      </c>
      <c r="M55" s="286"/>
      <c r="N55" s="286"/>
      <c r="O55" s="311">
        <f t="shared" si="14"/>
        <v>39.470999999999997</v>
      </c>
      <c r="P55" s="311">
        <f t="shared" si="14"/>
        <v>50.761299000000001</v>
      </c>
      <c r="Q55" s="285"/>
      <c r="R55" s="278"/>
      <c r="S55" s="278"/>
      <c r="T55" s="278"/>
    </row>
    <row r="56" spans="1:28" s="305" customFormat="1" hidden="1" outlineLevel="1" x14ac:dyDescent="0.25">
      <c r="A56" s="331">
        <v>20.9</v>
      </c>
      <c r="B56" s="279" t="str">
        <f t="shared" si="15"/>
        <v>180x75-20.9PFC</v>
      </c>
      <c r="C56" s="278" t="s">
        <v>1100</v>
      </c>
      <c r="D56" s="323"/>
      <c r="E56" s="278" t="s">
        <v>494</v>
      </c>
      <c r="F56" s="278"/>
      <c r="G56" s="278" t="s">
        <v>15</v>
      </c>
      <c r="H56" s="328">
        <f t="shared" si="13"/>
        <v>0.29259999999999997</v>
      </c>
      <c r="I56" s="280">
        <f>$I$2*H56</f>
        <v>23.589411999999999</v>
      </c>
      <c r="J56" s="281">
        <f t="shared" si="17"/>
        <v>26.752417999999999</v>
      </c>
      <c r="K56" s="282">
        <f>IF(Notes!$B$9="Domestic",I56, IF(Notes!$B$9="Commercial",J56))*$K$50</f>
        <v>26.752417999999999</v>
      </c>
      <c r="L56" s="283">
        <f>(SUM(O56:Q56)+(K56+SUM(M56:Q56))*(INDEX($U$50:$AB$50,MATCH(Notes!$C$16,$U$3:$AB$3,0))-100%))*$L$50</f>
        <v>106.54548299999999</v>
      </c>
      <c r="M56" s="286"/>
      <c r="N56" s="286"/>
      <c r="O56" s="311">
        <f t="shared" si="14"/>
        <v>46.606999999999999</v>
      </c>
      <c r="P56" s="311">
        <f t="shared" si="14"/>
        <v>59.938482999999991</v>
      </c>
      <c r="Q56" s="285"/>
      <c r="R56" s="278"/>
      <c r="S56" s="278"/>
      <c r="T56" s="278"/>
    </row>
    <row r="57" spans="1:28" s="305" customFormat="1" hidden="1" outlineLevel="1" x14ac:dyDescent="0.25">
      <c r="A57" s="331">
        <v>22.9</v>
      </c>
      <c r="B57" s="279" t="str">
        <f t="shared" si="15"/>
        <v>200x75-22.9PFC</v>
      </c>
      <c r="C57" s="278" t="s">
        <v>1101</v>
      </c>
      <c r="D57" s="323"/>
      <c r="E57" s="278" t="s">
        <v>494</v>
      </c>
      <c r="F57" s="278"/>
      <c r="G57" s="278" t="s">
        <v>15</v>
      </c>
      <c r="H57" s="328">
        <f t="shared" si="13"/>
        <v>0.32059999999999994</v>
      </c>
      <c r="I57" s="280">
        <f t="shared" ref="I57:I61" si="18">$I$2*H57</f>
        <v>25.846771999999998</v>
      </c>
      <c r="J57" s="281">
        <f t="shared" si="17"/>
        <v>29.312457999999996</v>
      </c>
      <c r="K57" s="282">
        <f>IF(Notes!$B$9="Domestic",I57, IF(Notes!$B$9="Commercial",J57))*$K$50</f>
        <v>29.312457999999996</v>
      </c>
      <c r="L57" s="283">
        <f>(SUM(O57:Q57)+(K57+SUM(M57:Q57))*(INDEX($U$50:$AB$50,MATCH(Notes!$C$16,$U$3:$AB$3,0))-100%))*$L$50</f>
        <v>116.74122299999999</v>
      </c>
      <c r="M57" s="286"/>
      <c r="N57" s="286"/>
      <c r="O57" s="311">
        <f t="shared" si="14"/>
        <v>51.067</v>
      </c>
      <c r="P57" s="311">
        <f t="shared" si="14"/>
        <v>65.674222999999998</v>
      </c>
      <c r="Q57" s="285"/>
      <c r="R57" s="278"/>
      <c r="S57" s="278"/>
      <c r="T57" s="278"/>
    </row>
    <row r="58" spans="1:28" s="305" customFormat="1" hidden="1" outlineLevel="1" x14ac:dyDescent="0.25">
      <c r="A58" s="331">
        <v>25.1</v>
      </c>
      <c r="B58" s="279" t="str">
        <f t="shared" si="15"/>
        <v>230x75-25.1PFC</v>
      </c>
      <c r="C58" s="278" t="s">
        <v>1102</v>
      </c>
      <c r="D58" s="323"/>
      <c r="E58" s="278" t="s">
        <v>494</v>
      </c>
      <c r="F58" s="278"/>
      <c r="G58" s="278" t="s">
        <v>15</v>
      </c>
      <c r="H58" s="328">
        <f t="shared" si="13"/>
        <v>0.35140000000000005</v>
      </c>
      <c r="I58" s="280">
        <f t="shared" si="18"/>
        <v>28.329868000000005</v>
      </c>
      <c r="J58" s="281">
        <f t="shared" si="17"/>
        <v>32.128502000000005</v>
      </c>
      <c r="K58" s="282">
        <f>IF(Notes!$B$9="Domestic",I58, IF(Notes!$B$9="Commercial",J58))*$K$50</f>
        <v>32.128502000000005</v>
      </c>
      <c r="L58" s="283">
        <f>(SUM(O58:Q58)+(K58+SUM(M58:Q58))*(INDEX($U$50:$AB$50,MATCH(Notes!$C$16,$U$3:$AB$3,0))-100%))*$L$50</f>
        <v>127.956537</v>
      </c>
      <c r="M58" s="286"/>
      <c r="N58" s="286"/>
      <c r="O58" s="311">
        <f t="shared" si="14"/>
        <v>55.972999999999999</v>
      </c>
      <c r="P58" s="311">
        <f t="shared" si="14"/>
        <v>71.983536999999998</v>
      </c>
      <c r="Q58" s="285"/>
      <c r="R58" s="278"/>
      <c r="S58" s="278"/>
      <c r="T58" s="278"/>
    </row>
    <row r="59" spans="1:28" s="305" customFormat="1" hidden="1" outlineLevel="1" x14ac:dyDescent="0.25">
      <c r="A59" s="331">
        <v>35.5</v>
      </c>
      <c r="B59" s="279" t="str">
        <f t="shared" si="15"/>
        <v>250x90-35.5PFC</v>
      </c>
      <c r="C59" s="278" t="s">
        <v>1103</v>
      </c>
      <c r="D59" s="323"/>
      <c r="E59" s="278" t="s">
        <v>494</v>
      </c>
      <c r="F59" s="278"/>
      <c r="G59" s="278" t="s">
        <v>15</v>
      </c>
      <c r="H59" s="328">
        <f t="shared" si="13"/>
        <v>0.497</v>
      </c>
      <c r="I59" s="280">
        <f t="shared" si="18"/>
        <v>40.06814</v>
      </c>
      <c r="J59" s="281">
        <f t="shared" si="17"/>
        <v>45.440710000000003</v>
      </c>
      <c r="K59" s="282">
        <f>IF(Notes!$B$9="Domestic",I59, IF(Notes!$B$9="Commercial",J59))*$K$50</f>
        <v>45.440710000000003</v>
      </c>
      <c r="L59" s="283">
        <f>(SUM(O59:Q59)+(K59+SUM(M59:Q59))*(INDEX($U$50:$AB$50,MATCH(Notes!$C$16,$U$3:$AB$3,0))-100%))*$L$50</f>
        <v>180.97438499999998</v>
      </c>
      <c r="M59" s="286"/>
      <c r="N59" s="286"/>
      <c r="O59" s="311">
        <f t="shared" si="14"/>
        <v>79.165000000000006</v>
      </c>
      <c r="P59" s="311">
        <f t="shared" si="14"/>
        <v>101.80938499999999</v>
      </c>
      <c r="Q59" s="285"/>
      <c r="R59" s="278"/>
      <c r="S59" s="278"/>
      <c r="T59" s="278"/>
    </row>
    <row r="60" spans="1:28" s="305" customFormat="1" hidden="1" outlineLevel="1" x14ac:dyDescent="0.25">
      <c r="A60" s="331">
        <v>40.1</v>
      </c>
      <c r="B60" s="279" t="str">
        <f t="shared" si="15"/>
        <v>300x90-40.1PFC</v>
      </c>
      <c r="C60" s="278" t="s">
        <v>1104</v>
      </c>
      <c r="D60" s="323"/>
      <c r="E60" s="278" t="s">
        <v>494</v>
      </c>
      <c r="F60" s="278"/>
      <c r="G60" s="278" t="s">
        <v>15</v>
      </c>
      <c r="H60" s="328">
        <f t="shared" si="13"/>
        <v>0.56140000000000001</v>
      </c>
      <c r="I60" s="280">
        <f t="shared" si="18"/>
        <v>45.260068000000004</v>
      </c>
      <c r="J60" s="281">
        <f t="shared" si="17"/>
        <v>51.328802000000003</v>
      </c>
      <c r="K60" s="282">
        <f>IF(Notes!$B$9="Domestic",I60, IF(Notes!$B$9="Commercial",J60))*$K$50</f>
        <v>51.328802000000003</v>
      </c>
      <c r="L60" s="283">
        <f>(SUM(O60:Q60)+(K60+SUM(M60:Q60))*(INDEX($U$50:$AB$50,MATCH(Notes!$C$16,$U$3:$AB$3,0))-100%))*$L$50</f>
        <v>204.424587</v>
      </c>
      <c r="M60" s="286"/>
      <c r="N60" s="286"/>
      <c r="O60" s="311">
        <f t="shared" si="14"/>
        <v>89.423000000000002</v>
      </c>
      <c r="P60" s="311">
        <f t="shared" si="14"/>
        <v>115.001587</v>
      </c>
      <c r="Q60" s="285"/>
      <c r="R60" s="278"/>
      <c r="S60" s="278"/>
      <c r="T60" s="278"/>
    </row>
    <row r="61" spans="1:28" s="305" customFormat="1" hidden="1" outlineLevel="1" x14ac:dyDescent="0.25">
      <c r="A61" s="331">
        <v>55.2</v>
      </c>
      <c r="B61" s="279" t="str">
        <f t="shared" si="15"/>
        <v>380x100-55.2PFC</v>
      </c>
      <c r="C61" s="278" t="s">
        <v>1105</v>
      </c>
      <c r="D61" s="323"/>
      <c r="E61" s="278" t="s">
        <v>494</v>
      </c>
      <c r="F61" s="278"/>
      <c r="G61" s="278" t="s">
        <v>15</v>
      </c>
      <c r="H61" s="328">
        <f t="shared" si="13"/>
        <v>0.77280000000000004</v>
      </c>
      <c r="I61" s="280">
        <f t="shared" si="18"/>
        <v>62.303136000000009</v>
      </c>
      <c r="J61" s="281">
        <f t="shared" si="17"/>
        <v>70.657104000000004</v>
      </c>
      <c r="K61" s="282">
        <f>IF(Notes!$B$9="Domestic",I61, IF(Notes!$B$9="Commercial",J61))*$K$50</f>
        <v>70.657104000000004</v>
      </c>
      <c r="L61" s="283">
        <f>(SUM(O61:Q61)+(K61+SUM(M61:Q61))*(INDEX($U$50:$AB$50,MATCH(Notes!$C$16,$U$3:$AB$3,0))-100%))*$L$50</f>
        <v>281.402424</v>
      </c>
      <c r="M61" s="286"/>
      <c r="N61" s="286"/>
      <c r="O61" s="311">
        <f t="shared" si="14"/>
        <v>123.096</v>
      </c>
      <c r="P61" s="311">
        <f t="shared" si="14"/>
        <v>158.30642399999999</v>
      </c>
      <c r="Q61" s="285"/>
      <c r="R61" s="278"/>
      <c r="S61" s="278"/>
      <c r="T61" s="278"/>
    </row>
    <row r="62" spans="1:28" ht="21" hidden="1" outlineLevel="1" x14ac:dyDescent="0.25">
      <c r="A62" s="299" t="s">
        <v>1047</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row>
    <row r="63" spans="1:28" ht="15.75" hidden="1" outlineLevel="1" x14ac:dyDescent="0.25">
      <c r="A63" s="303" t="s">
        <v>1044</v>
      </c>
      <c r="B63" s="291"/>
      <c r="C63" s="291"/>
      <c r="D63" s="291"/>
      <c r="E63" s="291"/>
      <c r="F63" s="291"/>
      <c r="G63" s="291"/>
      <c r="H63" s="325">
        <f>7*2</f>
        <v>14</v>
      </c>
      <c r="I63" s="291"/>
      <c r="J63" s="291"/>
      <c r="K63" s="291">
        <f>K$2</f>
        <v>1</v>
      </c>
      <c r="L63" s="291">
        <f>L$2</f>
        <v>1</v>
      </c>
      <c r="M63" s="291"/>
      <c r="N63" s="291"/>
      <c r="O63" s="324">
        <v>2860</v>
      </c>
      <c r="P63" s="324">
        <f>23*$P$2</f>
        <v>2867.87</v>
      </c>
      <c r="Q63" s="303"/>
      <c r="R63" s="291"/>
      <c r="S63" s="291"/>
      <c r="T63" s="291"/>
      <c r="U63" s="291">
        <f>(2650+$P63)/($O63+$P63)</f>
        <v>0.96333715674413001</v>
      </c>
      <c r="V63" s="291">
        <f>(2860+$P63)/($O63+$P63)</f>
        <v>1</v>
      </c>
      <c r="W63" s="291">
        <f>(2755+$P63)/($O63+$P63)</f>
        <v>0.981668578372065</v>
      </c>
      <c r="X63" s="291">
        <f>(2860+$P63)/($O63+$P63)</f>
        <v>1</v>
      </c>
      <c r="Y63" s="291">
        <f>(2825+$P63)/($O63+$P63)</f>
        <v>0.9938895261240217</v>
      </c>
      <c r="Z63" s="291">
        <f>(3500+$P63)/($O63+$P63)</f>
        <v>1.1117343794464609</v>
      </c>
      <c r="AA63" s="291">
        <f>(4950+$P63)/($O63+$P63)</f>
        <v>1.364882582879849</v>
      </c>
      <c r="AB63" s="291">
        <f>(2950+$P63)/($O63+$P63)</f>
        <v>1.0157126471096585</v>
      </c>
    </row>
    <row r="64" spans="1:28" s="305" customFormat="1" hidden="1" outlineLevel="1" x14ac:dyDescent="0.25">
      <c r="A64" s="334">
        <v>115</v>
      </c>
      <c r="B64" s="279" t="str">
        <f>C64&amp;D64&amp;E64&amp;F64</f>
        <v>700-115WB</v>
      </c>
      <c r="C64" s="278" t="s">
        <v>1106</v>
      </c>
      <c r="D64" s="334"/>
      <c r="E64" s="278" t="s">
        <v>1052</v>
      </c>
      <c r="F64" s="278"/>
      <c r="G64" s="278" t="s">
        <v>15</v>
      </c>
      <c r="H64" s="328">
        <f>$H$63*$A64/1000</f>
        <v>1.61</v>
      </c>
      <c r="I64" s="280">
        <f>$I$2*H64</f>
        <v>129.79820000000001</v>
      </c>
      <c r="J64" s="333">
        <f>$J$2*H64</f>
        <v>147.20230000000001</v>
      </c>
      <c r="K64" s="282">
        <f>IF(Notes!$B$9="Domestic",I64, IF(Notes!$B$9="Commercial",J64))*$K$63</f>
        <v>147.20230000000001</v>
      </c>
      <c r="L64" s="332">
        <f>(SUM(O64:Q64)+(K64+SUM(M64:Q64))*(INDEX($U$63:$AB$63,MATCH(Notes!$C$16,$U$3:$AB$3,0))-100%))*$L$63</f>
        <v>658.70505000000003</v>
      </c>
      <c r="M64" s="286"/>
      <c r="N64" s="286"/>
      <c r="O64" s="311">
        <f>O$63*$A64/1000</f>
        <v>328.9</v>
      </c>
      <c r="P64" s="311">
        <f>P$63*$A64/1000</f>
        <v>329.80504999999999</v>
      </c>
      <c r="Q64" s="285"/>
      <c r="R64" s="278"/>
      <c r="S64" s="278"/>
      <c r="T64" s="278"/>
    </row>
    <row r="65" spans="1:20" s="305" customFormat="1" hidden="1" outlineLevel="1" x14ac:dyDescent="0.25">
      <c r="A65" s="334">
        <v>130</v>
      </c>
      <c r="B65" s="279" t="str">
        <f t="shared" ref="B65:B72" si="19">C65&amp;D65&amp;E65&amp;F65</f>
        <v>700-130WB</v>
      </c>
      <c r="C65" s="278" t="s">
        <v>1107</v>
      </c>
      <c r="D65" s="334"/>
      <c r="E65" s="278" t="s">
        <v>1052</v>
      </c>
      <c r="F65" s="278"/>
      <c r="G65" s="278" t="s">
        <v>15</v>
      </c>
      <c r="H65" s="328">
        <f t="shared" ref="H65:H86" si="20">$H$63*$A65/1000</f>
        <v>1.82</v>
      </c>
      <c r="I65" s="280">
        <f t="shared" ref="I65:I67" si="21">$I$2*H65</f>
        <v>146.72840000000002</v>
      </c>
      <c r="J65" s="281">
        <f t="shared" ref="J65:J72" si="22">$J$2*H65</f>
        <v>166.40260000000001</v>
      </c>
      <c r="K65" s="282">
        <f>IF(Notes!$B$9="Domestic",I65, IF(Notes!$B$9="Commercial",J65))*$K$63</f>
        <v>166.40260000000001</v>
      </c>
      <c r="L65" s="332">
        <f>(SUM(O65:Q65)+(K65+SUM(M65:Q65))*(INDEX($U$63:$AB$63,MATCH(Notes!$C$16,$U$3:$AB$3,0))-100%))*$L$63</f>
        <v>744.62310000000002</v>
      </c>
      <c r="M65" s="286"/>
      <c r="N65" s="286"/>
      <c r="O65" s="311">
        <f t="shared" ref="O65:P86" si="23">O$63*$A65/1000</f>
        <v>371.8</v>
      </c>
      <c r="P65" s="311">
        <f t="shared" si="23"/>
        <v>372.82309999999995</v>
      </c>
      <c r="Q65" s="285"/>
      <c r="R65" s="278"/>
      <c r="S65" s="278"/>
      <c r="T65" s="278"/>
    </row>
    <row r="66" spans="1:20" s="305" customFormat="1" hidden="1" outlineLevel="1" x14ac:dyDescent="0.25">
      <c r="A66" s="334">
        <v>150</v>
      </c>
      <c r="B66" s="279" t="str">
        <f t="shared" si="19"/>
        <v>700-150WB</v>
      </c>
      <c r="C66" s="278" t="s">
        <v>1108</v>
      </c>
      <c r="D66" s="334"/>
      <c r="E66" s="278" t="s">
        <v>1052</v>
      </c>
      <c r="F66" s="278"/>
      <c r="G66" s="278" t="s">
        <v>15</v>
      </c>
      <c r="H66" s="328">
        <f t="shared" si="20"/>
        <v>2.1</v>
      </c>
      <c r="I66" s="280">
        <f t="shared" si="21"/>
        <v>169.30200000000002</v>
      </c>
      <c r="J66" s="281">
        <f t="shared" si="22"/>
        <v>192.00300000000001</v>
      </c>
      <c r="K66" s="282">
        <f>IF(Notes!$B$9="Domestic",I66, IF(Notes!$B$9="Commercial",J66))*$K$63</f>
        <v>192.00300000000001</v>
      </c>
      <c r="L66" s="332">
        <f>(SUM(O66:Q66)+(K66+SUM(M66:Q66))*(INDEX($U$63:$AB$63,MATCH(Notes!$C$16,$U$3:$AB$3,0))-100%))*$L$63</f>
        <v>859.18049999999994</v>
      </c>
      <c r="M66" s="286"/>
      <c r="N66" s="286"/>
      <c r="O66" s="311">
        <f t="shared" si="23"/>
        <v>429</v>
      </c>
      <c r="P66" s="311">
        <f t="shared" si="23"/>
        <v>430.18049999999999</v>
      </c>
      <c r="Q66" s="285"/>
      <c r="R66" s="278"/>
      <c r="S66" s="278"/>
      <c r="T66" s="278"/>
    </row>
    <row r="67" spans="1:20" s="305" customFormat="1" hidden="1" outlineLevel="1" x14ac:dyDescent="0.25">
      <c r="A67" s="334">
        <v>173</v>
      </c>
      <c r="B67" s="279" t="str">
        <f t="shared" si="19"/>
        <v>700-173WB</v>
      </c>
      <c r="C67" s="278" t="s">
        <v>1109</v>
      </c>
      <c r="D67" s="334"/>
      <c r="E67" s="278" t="s">
        <v>1052</v>
      </c>
      <c r="F67" s="278"/>
      <c r="G67" s="278" t="s">
        <v>15</v>
      </c>
      <c r="H67" s="328">
        <f t="shared" si="20"/>
        <v>2.4220000000000002</v>
      </c>
      <c r="I67" s="280">
        <f t="shared" si="21"/>
        <v>195.26164000000003</v>
      </c>
      <c r="J67" s="281">
        <f t="shared" si="22"/>
        <v>221.44346000000004</v>
      </c>
      <c r="K67" s="282">
        <f>IF(Notes!$B$9="Domestic",I67, IF(Notes!$B$9="Commercial",J67))*$K$63</f>
        <v>221.44346000000004</v>
      </c>
      <c r="L67" s="332">
        <f>(SUM(O67:Q67)+(K67+SUM(M67:Q67))*(INDEX($U$63:$AB$63,MATCH(Notes!$C$16,$U$3:$AB$3,0))-100%))*$L$63</f>
        <v>990.9215099999999</v>
      </c>
      <c r="M67" s="286"/>
      <c r="N67" s="286"/>
      <c r="O67" s="311">
        <f t="shared" si="23"/>
        <v>494.78</v>
      </c>
      <c r="P67" s="311">
        <f t="shared" si="23"/>
        <v>496.14150999999998</v>
      </c>
      <c r="Q67" s="285"/>
      <c r="R67" s="278"/>
      <c r="S67" s="278"/>
      <c r="T67" s="278"/>
    </row>
    <row r="68" spans="1:20" s="305" customFormat="1" hidden="1" outlineLevel="1" x14ac:dyDescent="0.25">
      <c r="A68" s="334">
        <v>122</v>
      </c>
      <c r="B68" s="279" t="str">
        <f t="shared" si="19"/>
        <v>800-122WB</v>
      </c>
      <c r="C68" s="278" t="s">
        <v>1110</v>
      </c>
      <c r="D68" s="334"/>
      <c r="E68" s="278" t="s">
        <v>1052</v>
      </c>
      <c r="F68" s="278"/>
      <c r="G68" s="278" t="s">
        <v>15</v>
      </c>
      <c r="H68" s="328">
        <f t="shared" si="20"/>
        <v>1.708</v>
      </c>
      <c r="I68" s="280">
        <f>$I$2*H68</f>
        <v>137.69896</v>
      </c>
      <c r="J68" s="281">
        <f t="shared" si="22"/>
        <v>156.16244</v>
      </c>
      <c r="K68" s="282">
        <f>IF(Notes!$B$9="Domestic",I68, IF(Notes!$B$9="Commercial",J68))*$K$63</f>
        <v>156.16244</v>
      </c>
      <c r="L68" s="332">
        <f>(SUM(O68:Q68)+(K68+SUM(M68:Q68))*(INDEX($U$63:$AB$63,MATCH(Notes!$C$16,$U$3:$AB$3,0))-100%))*$L$63</f>
        <v>698.80014000000006</v>
      </c>
      <c r="M68" s="286"/>
      <c r="N68" s="286"/>
      <c r="O68" s="311">
        <f t="shared" si="23"/>
        <v>348.92</v>
      </c>
      <c r="P68" s="311">
        <f t="shared" si="23"/>
        <v>349.88014000000004</v>
      </c>
      <c r="Q68" s="285"/>
      <c r="R68" s="278"/>
      <c r="S68" s="278"/>
      <c r="T68" s="278"/>
    </row>
    <row r="69" spans="1:20" s="305" customFormat="1" hidden="1" outlineLevel="1" x14ac:dyDescent="0.25">
      <c r="A69" s="334">
        <v>146</v>
      </c>
      <c r="B69" s="279" t="str">
        <f t="shared" si="19"/>
        <v>800-146WB</v>
      </c>
      <c r="C69" s="278" t="s">
        <v>1111</v>
      </c>
      <c r="D69" s="334"/>
      <c r="E69" s="278" t="s">
        <v>1052</v>
      </c>
      <c r="F69" s="278"/>
      <c r="G69" s="278" t="s">
        <v>15</v>
      </c>
      <c r="H69" s="328">
        <f t="shared" si="20"/>
        <v>2.044</v>
      </c>
      <c r="I69" s="280">
        <f t="shared" ref="I69:I72" si="24">$I$2*H69</f>
        <v>164.78728000000001</v>
      </c>
      <c r="J69" s="281">
        <f t="shared" si="22"/>
        <v>186.88292000000001</v>
      </c>
      <c r="K69" s="282">
        <f>IF(Notes!$B$9="Domestic",I69, IF(Notes!$B$9="Commercial",J69))*$K$63</f>
        <v>186.88292000000001</v>
      </c>
      <c r="L69" s="332">
        <f>(SUM(O69:Q69)+(K69+SUM(M69:Q69))*(INDEX($U$63:$AB$63,MATCH(Notes!$C$16,$U$3:$AB$3,0))-100%))*$L$63</f>
        <v>836.26901999999995</v>
      </c>
      <c r="M69" s="286"/>
      <c r="N69" s="286"/>
      <c r="O69" s="311">
        <f t="shared" si="23"/>
        <v>417.56</v>
      </c>
      <c r="P69" s="311">
        <f t="shared" si="23"/>
        <v>418.70901999999995</v>
      </c>
      <c r="Q69" s="285"/>
      <c r="R69" s="278"/>
      <c r="S69" s="278"/>
      <c r="T69" s="278"/>
    </row>
    <row r="70" spans="1:20" s="305" customFormat="1" hidden="1" outlineLevel="1" x14ac:dyDescent="0.25">
      <c r="A70" s="334">
        <v>168</v>
      </c>
      <c r="B70" s="279" t="str">
        <f t="shared" si="19"/>
        <v>800-168WB</v>
      </c>
      <c r="C70" s="278" t="s">
        <v>1112</v>
      </c>
      <c r="D70" s="334"/>
      <c r="E70" s="278" t="s">
        <v>1052</v>
      </c>
      <c r="F70" s="278"/>
      <c r="G70" s="278" t="s">
        <v>15</v>
      </c>
      <c r="H70" s="328">
        <f t="shared" si="20"/>
        <v>2.3519999999999999</v>
      </c>
      <c r="I70" s="280">
        <f t="shared" si="24"/>
        <v>189.61823999999999</v>
      </c>
      <c r="J70" s="281">
        <f t="shared" si="22"/>
        <v>215.04336000000001</v>
      </c>
      <c r="K70" s="282">
        <f>IF(Notes!$B$9="Domestic",I70, IF(Notes!$B$9="Commercial",J70))*$K$63</f>
        <v>215.04336000000001</v>
      </c>
      <c r="L70" s="332">
        <f>(SUM(O70:Q70)+(K70+SUM(M70:Q70))*(INDEX($U$63:$AB$63,MATCH(Notes!$C$16,$U$3:$AB$3,0))-100%))*$L$63</f>
        <v>962.28215999999998</v>
      </c>
      <c r="M70" s="286"/>
      <c r="N70" s="286"/>
      <c r="O70" s="311">
        <f>O$63*$A70/1000</f>
        <v>480.48</v>
      </c>
      <c r="P70" s="311">
        <f t="shared" si="23"/>
        <v>481.80215999999996</v>
      </c>
      <c r="Q70" s="285"/>
      <c r="R70" s="278"/>
      <c r="S70" s="278"/>
      <c r="T70" s="278"/>
    </row>
    <row r="71" spans="1:20" s="305" customFormat="1" hidden="1" outlineLevel="1" x14ac:dyDescent="0.25">
      <c r="A71" s="334">
        <v>192</v>
      </c>
      <c r="B71" s="279" t="str">
        <f t="shared" si="19"/>
        <v>800-192WB</v>
      </c>
      <c r="C71" s="278" t="s">
        <v>1113</v>
      </c>
      <c r="D71" s="334"/>
      <c r="E71" s="278" t="s">
        <v>1052</v>
      </c>
      <c r="F71" s="278"/>
      <c r="G71" s="278" t="s">
        <v>15</v>
      </c>
      <c r="H71" s="328">
        <f t="shared" si="20"/>
        <v>2.6880000000000002</v>
      </c>
      <c r="I71" s="280">
        <f t="shared" si="24"/>
        <v>216.70656000000002</v>
      </c>
      <c r="J71" s="281">
        <f t="shared" si="22"/>
        <v>245.76384000000004</v>
      </c>
      <c r="K71" s="282">
        <f>IF(Notes!$B$9="Domestic",I71, IF(Notes!$B$9="Commercial",J71))*$K$63</f>
        <v>245.76384000000004</v>
      </c>
      <c r="L71" s="332">
        <f>(SUM(O71:Q71)+(K71+SUM(M71:Q71))*(INDEX($U$63:$AB$63,MATCH(Notes!$C$16,$U$3:$AB$3,0))-100%))*$L$63</f>
        <v>1099.7510400000001</v>
      </c>
      <c r="M71" s="286"/>
      <c r="N71" s="286"/>
      <c r="O71" s="311">
        <f t="shared" si="23"/>
        <v>549.12</v>
      </c>
      <c r="P71" s="311">
        <f t="shared" si="23"/>
        <v>550.63103999999998</v>
      </c>
      <c r="Q71" s="285"/>
      <c r="R71" s="278"/>
      <c r="S71" s="278"/>
      <c r="T71" s="278"/>
    </row>
    <row r="72" spans="1:20" s="305" customFormat="1" hidden="1" outlineLevel="1" x14ac:dyDescent="0.25">
      <c r="A72" s="334">
        <v>175</v>
      </c>
      <c r="B72" s="279" t="str">
        <f t="shared" si="19"/>
        <v>900-175WB</v>
      </c>
      <c r="C72" s="278" t="s">
        <v>1114</v>
      </c>
      <c r="D72" s="334"/>
      <c r="E72" s="278" t="s">
        <v>1052</v>
      </c>
      <c r="F72" s="278"/>
      <c r="G72" s="278" t="s">
        <v>15</v>
      </c>
      <c r="H72" s="328">
        <f t="shared" si="20"/>
        <v>2.4500000000000002</v>
      </c>
      <c r="I72" s="280">
        <f t="shared" si="24"/>
        <v>197.51900000000003</v>
      </c>
      <c r="J72" s="281">
        <f t="shared" si="22"/>
        <v>224.00350000000003</v>
      </c>
      <c r="K72" s="282">
        <f>IF(Notes!$B$9="Domestic",I72, IF(Notes!$B$9="Commercial",J72))*$K$63</f>
        <v>224.00350000000003</v>
      </c>
      <c r="L72" s="332">
        <f>(SUM(O72:Q72)+(K72+SUM(M72:Q72))*(INDEX($U$63:$AB$63,MATCH(Notes!$C$16,$U$3:$AB$3,0))-100%))*$L$63</f>
        <v>1002.37725</v>
      </c>
      <c r="M72" s="286"/>
      <c r="N72" s="286"/>
      <c r="O72" s="311">
        <f t="shared" si="23"/>
        <v>500.5</v>
      </c>
      <c r="P72" s="311">
        <f t="shared" si="23"/>
        <v>501.87725</v>
      </c>
      <c r="Q72" s="285"/>
      <c r="R72" s="278"/>
      <c r="S72" s="278"/>
      <c r="T72" s="278"/>
    </row>
    <row r="73" spans="1:20" s="305" customFormat="1" hidden="1" outlineLevel="1" x14ac:dyDescent="0.25">
      <c r="A73" s="334">
        <v>218</v>
      </c>
      <c r="B73" s="279" t="str">
        <f t="shared" ref="B73:B86" si="25">C73&amp;D73&amp;E73&amp;F73</f>
        <v>900-218WB</v>
      </c>
      <c r="C73" s="278" t="s">
        <v>1115</v>
      </c>
      <c r="D73" s="334"/>
      <c r="E73" s="278" t="s">
        <v>1052</v>
      </c>
      <c r="F73" s="278"/>
      <c r="G73" s="278" t="s">
        <v>15</v>
      </c>
      <c r="H73" s="328">
        <f t="shared" si="20"/>
        <v>3.052</v>
      </c>
      <c r="I73" s="280">
        <f t="shared" ref="I73:I86" si="26">$I$2*H73</f>
        <v>246.05224000000001</v>
      </c>
      <c r="J73" s="281">
        <f t="shared" ref="J73:J86" si="27">$J$2*H73</f>
        <v>279.04436000000004</v>
      </c>
      <c r="K73" s="282">
        <f>IF(Notes!$B$9="Domestic",I73, IF(Notes!$B$9="Commercial",J73))*$K$63</f>
        <v>279.04436000000004</v>
      </c>
      <c r="L73" s="332">
        <f>(SUM(O73:Q73)+(K73+SUM(M73:Q73))*(INDEX($U$63:$AB$63,MATCH(Notes!$C$16,$U$3:$AB$3,0))-100%))*$L$63</f>
        <v>1248.6756600000001</v>
      </c>
      <c r="M73" s="286"/>
      <c r="N73" s="286"/>
      <c r="O73" s="311">
        <f t="shared" si="23"/>
        <v>623.48</v>
      </c>
      <c r="P73" s="311">
        <f t="shared" si="23"/>
        <v>625.19566000000009</v>
      </c>
      <c r="Q73" s="285"/>
      <c r="R73" s="278"/>
      <c r="S73" s="278"/>
      <c r="T73" s="278"/>
    </row>
    <row r="74" spans="1:20" s="305" customFormat="1" hidden="1" outlineLevel="1" x14ac:dyDescent="0.25">
      <c r="A74" s="334">
        <v>257</v>
      </c>
      <c r="B74" s="279" t="str">
        <f t="shared" si="25"/>
        <v>900-257WB</v>
      </c>
      <c r="C74" s="278" t="s">
        <v>1116</v>
      </c>
      <c r="D74" s="334"/>
      <c r="E74" s="278" t="s">
        <v>1052</v>
      </c>
      <c r="F74" s="278"/>
      <c r="G74" s="278" t="s">
        <v>15</v>
      </c>
      <c r="H74" s="328">
        <f t="shared" si="20"/>
        <v>3.5979999999999999</v>
      </c>
      <c r="I74" s="280">
        <f t="shared" si="26"/>
        <v>290.07076000000001</v>
      </c>
      <c r="J74" s="281">
        <f t="shared" si="27"/>
        <v>328.96514000000002</v>
      </c>
      <c r="K74" s="282">
        <f>IF(Notes!$B$9="Domestic",I74, IF(Notes!$B$9="Commercial",J74))*$K$63</f>
        <v>328.96514000000002</v>
      </c>
      <c r="L74" s="332">
        <f>(SUM(O74:Q74)+(K74+SUM(M74:Q74))*(INDEX($U$63:$AB$63,MATCH(Notes!$C$16,$U$3:$AB$3,0))-100%))*$L$63</f>
        <v>1472.06259</v>
      </c>
      <c r="M74" s="286"/>
      <c r="N74" s="286"/>
      <c r="O74" s="311">
        <f t="shared" si="23"/>
        <v>735.02</v>
      </c>
      <c r="P74" s="311">
        <f t="shared" si="23"/>
        <v>737.04259000000002</v>
      </c>
      <c r="Q74" s="285"/>
      <c r="R74" s="278"/>
      <c r="S74" s="278"/>
      <c r="T74" s="278"/>
    </row>
    <row r="75" spans="1:20" s="305" customFormat="1" hidden="1" outlineLevel="1" x14ac:dyDescent="0.25">
      <c r="A75" s="334">
        <v>282</v>
      </c>
      <c r="B75" s="279" t="str">
        <f t="shared" si="25"/>
        <v>900-282WB</v>
      </c>
      <c r="C75" s="278" t="s">
        <v>1117</v>
      </c>
      <c r="D75" s="334"/>
      <c r="E75" s="278" t="s">
        <v>1052</v>
      </c>
      <c r="F75" s="278"/>
      <c r="G75" s="278" t="s">
        <v>15</v>
      </c>
      <c r="H75" s="328">
        <f t="shared" si="20"/>
        <v>3.948</v>
      </c>
      <c r="I75" s="280">
        <f t="shared" si="26"/>
        <v>318.28775999999999</v>
      </c>
      <c r="J75" s="281">
        <f t="shared" si="27"/>
        <v>360.96564000000001</v>
      </c>
      <c r="K75" s="282">
        <f>IF(Notes!$B$9="Domestic",I75, IF(Notes!$B$9="Commercial",J75))*$K$63</f>
        <v>360.96564000000001</v>
      </c>
      <c r="L75" s="332">
        <f>(SUM(O75:Q75)+(K75+SUM(M75:Q75))*(INDEX($U$63:$AB$63,MATCH(Notes!$C$16,$U$3:$AB$3,0))-100%))*$L$63</f>
        <v>1615.2593400000001</v>
      </c>
      <c r="M75" s="286"/>
      <c r="N75" s="286"/>
      <c r="O75" s="311">
        <f t="shared" si="23"/>
        <v>806.52</v>
      </c>
      <c r="P75" s="311">
        <f t="shared" si="23"/>
        <v>808.73933999999997</v>
      </c>
      <c r="Q75" s="285"/>
      <c r="R75" s="278"/>
      <c r="S75" s="278"/>
      <c r="T75" s="278"/>
    </row>
    <row r="76" spans="1:20" s="305" customFormat="1" hidden="1" outlineLevel="1" x14ac:dyDescent="0.25">
      <c r="A76" s="334">
        <v>215</v>
      </c>
      <c r="B76" s="279" t="str">
        <f t="shared" si="25"/>
        <v>1000-215WB</v>
      </c>
      <c r="C76" s="278" t="s">
        <v>1118</v>
      </c>
      <c r="D76" s="334"/>
      <c r="E76" s="278" t="s">
        <v>1052</v>
      </c>
      <c r="F76" s="278"/>
      <c r="G76" s="278" t="s">
        <v>15</v>
      </c>
      <c r="H76" s="328">
        <f t="shared" si="20"/>
        <v>3.01</v>
      </c>
      <c r="I76" s="280">
        <f t="shared" si="26"/>
        <v>242.6662</v>
      </c>
      <c r="J76" s="281">
        <f t="shared" si="27"/>
        <v>275.20429999999999</v>
      </c>
      <c r="K76" s="282">
        <f>IF(Notes!$B$9="Domestic",I76, IF(Notes!$B$9="Commercial",J76))*$K$63</f>
        <v>275.20429999999999</v>
      </c>
      <c r="L76" s="332">
        <f>(SUM(O76:Q76)+(K76+SUM(M76:Q76))*(INDEX($U$63:$AB$63,MATCH(Notes!$C$16,$U$3:$AB$3,0))-100%))*$L$63</f>
        <v>1231.4920499999998</v>
      </c>
      <c r="M76" s="286"/>
      <c r="N76" s="286"/>
      <c r="O76" s="311">
        <f t="shared" si="23"/>
        <v>614.9</v>
      </c>
      <c r="P76" s="311">
        <f t="shared" si="23"/>
        <v>616.59204999999997</v>
      </c>
      <c r="Q76" s="285"/>
      <c r="R76" s="278"/>
      <c r="S76" s="278"/>
      <c r="T76" s="278"/>
    </row>
    <row r="77" spans="1:20" s="305" customFormat="1" hidden="1" outlineLevel="1" x14ac:dyDescent="0.25">
      <c r="A77" s="334">
        <v>258</v>
      </c>
      <c r="B77" s="279" t="str">
        <f t="shared" si="25"/>
        <v>1000-258WB</v>
      </c>
      <c r="C77" s="278" t="s">
        <v>1119</v>
      </c>
      <c r="D77" s="334"/>
      <c r="E77" s="278" t="s">
        <v>1052</v>
      </c>
      <c r="F77" s="278"/>
      <c r="G77" s="278" t="s">
        <v>15</v>
      </c>
      <c r="H77" s="328">
        <f t="shared" si="20"/>
        <v>3.6120000000000001</v>
      </c>
      <c r="I77" s="280">
        <f t="shared" si="26"/>
        <v>291.19944000000004</v>
      </c>
      <c r="J77" s="281">
        <f t="shared" si="27"/>
        <v>330.24516000000006</v>
      </c>
      <c r="K77" s="282">
        <f>IF(Notes!$B$9="Domestic",I77, IF(Notes!$B$9="Commercial",J77))*$K$63</f>
        <v>330.24516000000006</v>
      </c>
      <c r="L77" s="332">
        <f>(SUM(O77:Q77)+(K77+SUM(M77:Q77))*(INDEX($U$63:$AB$63,MATCH(Notes!$C$16,$U$3:$AB$3,0))-100%))*$L$63</f>
        <v>1477.7904599999999</v>
      </c>
      <c r="M77" s="286"/>
      <c r="N77" s="286"/>
      <c r="O77" s="311">
        <f t="shared" si="23"/>
        <v>737.88</v>
      </c>
      <c r="P77" s="311">
        <f t="shared" si="23"/>
        <v>739.91045999999994</v>
      </c>
      <c r="Q77" s="285"/>
      <c r="R77" s="278"/>
      <c r="S77" s="278"/>
      <c r="T77" s="278"/>
    </row>
    <row r="78" spans="1:20" s="305" customFormat="1" hidden="1" outlineLevel="1" x14ac:dyDescent="0.25">
      <c r="A78" s="334">
        <v>296</v>
      </c>
      <c r="B78" s="279" t="str">
        <f t="shared" si="25"/>
        <v>1000-296WB</v>
      </c>
      <c r="C78" s="278" t="s">
        <v>1120</v>
      </c>
      <c r="D78" s="334"/>
      <c r="E78" s="278" t="s">
        <v>1052</v>
      </c>
      <c r="F78" s="278"/>
      <c r="G78" s="278" t="s">
        <v>15</v>
      </c>
      <c r="H78" s="328">
        <f t="shared" si="20"/>
        <v>4.1440000000000001</v>
      </c>
      <c r="I78" s="280">
        <f t="shared" si="26"/>
        <v>334.08928000000003</v>
      </c>
      <c r="J78" s="281">
        <f t="shared" si="27"/>
        <v>378.88592000000006</v>
      </c>
      <c r="K78" s="282">
        <f>IF(Notes!$B$9="Domestic",I78, IF(Notes!$B$9="Commercial",J78))*$K$63</f>
        <v>378.88592000000006</v>
      </c>
      <c r="L78" s="332">
        <f>(SUM(O78:Q78)+(K78+SUM(M78:Q78))*(INDEX($U$63:$AB$63,MATCH(Notes!$C$16,$U$3:$AB$3,0))-100%))*$L$63</f>
        <v>1695.4495200000001</v>
      </c>
      <c r="M78" s="286"/>
      <c r="N78" s="286"/>
      <c r="O78" s="311">
        <f t="shared" si="23"/>
        <v>846.56</v>
      </c>
      <c r="P78" s="311">
        <f t="shared" si="23"/>
        <v>848.88952000000006</v>
      </c>
      <c r="Q78" s="285"/>
      <c r="R78" s="278"/>
      <c r="S78" s="278"/>
      <c r="T78" s="278"/>
    </row>
    <row r="79" spans="1:20" s="305" customFormat="1" hidden="1" outlineLevel="1" x14ac:dyDescent="0.25">
      <c r="A79" s="334">
        <v>322</v>
      </c>
      <c r="B79" s="279" t="str">
        <f t="shared" si="25"/>
        <v>1000-322WB</v>
      </c>
      <c r="C79" s="278" t="s">
        <v>1121</v>
      </c>
      <c r="D79" s="334"/>
      <c r="E79" s="278" t="s">
        <v>1052</v>
      </c>
      <c r="F79" s="278"/>
      <c r="G79" s="278" t="s">
        <v>15</v>
      </c>
      <c r="H79" s="328">
        <f t="shared" si="20"/>
        <v>4.508</v>
      </c>
      <c r="I79" s="280">
        <f t="shared" si="26"/>
        <v>363.43496000000005</v>
      </c>
      <c r="J79" s="281">
        <f t="shared" si="27"/>
        <v>412.16644000000002</v>
      </c>
      <c r="K79" s="282">
        <f>IF(Notes!$B$9="Domestic",I79, IF(Notes!$B$9="Commercial",J79))*$K$63</f>
        <v>412.16644000000002</v>
      </c>
      <c r="L79" s="332">
        <f>(SUM(O79:Q79)+(K79+SUM(M79:Q79))*(INDEX($U$63:$AB$63,MATCH(Notes!$C$16,$U$3:$AB$3,0))-100%))*$L$63</f>
        <v>1844.3741399999999</v>
      </c>
      <c r="M79" s="286"/>
      <c r="N79" s="286"/>
      <c r="O79" s="311">
        <f t="shared" si="23"/>
        <v>920.92</v>
      </c>
      <c r="P79" s="311">
        <f t="shared" si="23"/>
        <v>923.45414000000005</v>
      </c>
      <c r="Q79" s="285"/>
      <c r="R79" s="278"/>
      <c r="S79" s="278"/>
      <c r="T79" s="278"/>
    </row>
    <row r="80" spans="1:20" s="305" customFormat="1" hidden="1" outlineLevel="1" x14ac:dyDescent="0.25">
      <c r="A80" s="334">
        <v>249</v>
      </c>
      <c r="B80" s="279" t="str">
        <f t="shared" si="25"/>
        <v>1200-249WB</v>
      </c>
      <c r="C80" s="278" t="s">
        <v>1122</v>
      </c>
      <c r="D80" s="334"/>
      <c r="E80" s="278" t="s">
        <v>1052</v>
      </c>
      <c r="F80" s="278"/>
      <c r="G80" s="278" t="s">
        <v>15</v>
      </c>
      <c r="H80" s="328">
        <f t="shared" si="20"/>
        <v>3.4860000000000002</v>
      </c>
      <c r="I80" s="280">
        <f t="shared" si="26"/>
        <v>281.04132000000004</v>
      </c>
      <c r="J80" s="281">
        <f t="shared" si="27"/>
        <v>318.72498000000002</v>
      </c>
      <c r="K80" s="282">
        <f>IF(Notes!$B$9="Domestic",I80, IF(Notes!$B$9="Commercial",J80))*$K$63</f>
        <v>318.72498000000002</v>
      </c>
      <c r="L80" s="332">
        <f>(SUM(O80:Q80)+(K80+SUM(M80:Q80))*(INDEX($U$63:$AB$63,MATCH(Notes!$C$16,$U$3:$AB$3,0))-100%))*$L$63</f>
        <v>1426.23963</v>
      </c>
      <c r="M80" s="286"/>
      <c r="N80" s="286"/>
      <c r="O80" s="311">
        <f t="shared" si="23"/>
        <v>712.14</v>
      </c>
      <c r="P80" s="311">
        <f t="shared" si="23"/>
        <v>714.09963000000005</v>
      </c>
      <c r="Q80" s="285"/>
      <c r="R80" s="278"/>
      <c r="S80" s="278"/>
      <c r="T80" s="278"/>
    </row>
    <row r="81" spans="1:28" s="305" customFormat="1" hidden="1" outlineLevel="1" x14ac:dyDescent="0.25">
      <c r="A81" s="334">
        <v>278</v>
      </c>
      <c r="B81" s="279" t="str">
        <f t="shared" si="25"/>
        <v>1200-278WB</v>
      </c>
      <c r="C81" s="278" t="s">
        <v>1123</v>
      </c>
      <c r="D81" s="334"/>
      <c r="E81" s="278" t="s">
        <v>1052</v>
      </c>
      <c r="F81" s="278"/>
      <c r="G81" s="278" t="s">
        <v>15</v>
      </c>
      <c r="H81" s="328">
        <f t="shared" si="20"/>
        <v>3.8919999999999999</v>
      </c>
      <c r="I81" s="280">
        <f t="shared" si="26"/>
        <v>313.77304000000004</v>
      </c>
      <c r="J81" s="281">
        <f t="shared" si="27"/>
        <v>355.84556000000003</v>
      </c>
      <c r="K81" s="282">
        <f>IF(Notes!$B$9="Domestic",I81, IF(Notes!$B$9="Commercial",J81))*$K$63</f>
        <v>355.84556000000003</v>
      </c>
      <c r="L81" s="332">
        <f>(SUM(O81:Q81)+(K81+SUM(M81:Q81))*(INDEX($U$63:$AB$63,MATCH(Notes!$C$16,$U$3:$AB$3,0))-100%))*$L$63</f>
        <v>1592.3478600000001</v>
      </c>
      <c r="M81" s="286"/>
      <c r="N81" s="286"/>
      <c r="O81" s="311">
        <f t="shared" si="23"/>
        <v>795.08</v>
      </c>
      <c r="P81" s="311">
        <f t="shared" si="23"/>
        <v>797.26786000000004</v>
      </c>
      <c r="Q81" s="285"/>
      <c r="R81" s="278"/>
      <c r="S81" s="278"/>
      <c r="T81" s="278"/>
    </row>
    <row r="82" spans="1:28" s="305" customFormat="1" hidden="1" outlineLevel="1" x14ac:dyDescent="0.25">
      <c r="A82" s="334">
        <v>317</v>
      </c>
      <c r="B82" s="279" t="str">
        <f t="shared" si="25"/>
        <v>1200-317WB</v>
      </c>
      <c r="C82" s="278" t="s">
        <v>1124</v>
      </c>
      <c r="D82" s="334"/>
      <c r="E82" s="278" t="s">
        <v>1052</v>
      </c>
      <c r="F82" s="278"/>
      <c r="G82" s="278" t="s">
        <v>15</v>
      </c>
      <c r="H82" s="328">
        <f t="shared" si="20"/>
        <v>4.4379999999999997</v>
      </c>
      <c r="I82" s="280">
        <f t="shared" si="26"/>
        <v>357.79156</v>
      </c>
      <c r="J82" s="281">
        <f t="shared" si="27"/>
        <v>405.76634000000001</v>
      </c>
      <c r="K82" s="282">
        <f>IF(Notes!$B$9="Domestic",I82, IF(Notes!$B$9="Commercial",J82))*$K$63</f>
        <v>405.76634000000001</v>
      </c>
      <c r="L82" s="332">
        <f>(SUM(O82:Q82)+(K82+SUM(M82:Q82))*(INDEX($U$63:$AB$63,MATCH(Notes!$C$16,$U$3:$AB$3,0))-100%))*$L$63</f>
        <v>1815.73479</v>
      </c>
      <c r="M82" s="286"/>
      <c r="N82" s="286"/>
      <c r="O82" s="311">
        <f t="shared" si="23"/>
        <v>906.62</v>
      </c>
      <c r="P82" s="311">
        <f t="shared" si="23"/>
        <v>909.11478999999997</v>
      </c>
      <c r="Q82" s="285"/>
      <c r="R82" s="278"/>
      <c r="S82" s="278"/>
      <c r="T82" s="278"/>
    </row>
    <row r="83" spans="1:28" s="305" customFormat="1" hidden="1" outlineLevel="1" x14ac:dyDescent="0.25">
      <c r="A83" s="334">
        <v>342</v>
      </c>
      <c r="B83" s="279" t="str">
        <f t="shared" si="25"/>
        <v>1200-342WB</v>
      </c>
      <c r="C83" s="278" t="s">
        <v>1125</v>
      </c>
      <c r="D83" s="334"/>
      <c r="E83" s="278" t="s">
        <v>1052</v>
      </c>
      <c r="F83" s="278"/>
      <c r="G83" s="278" t="s">
        <v>15</v>
      </c>
      <c r="H83" s="328">
        <f t="shared" si="20"/>
        <v>4.7880000000000003</v>
      </c>
      <c r="I83" s="280">
        <f t="shared" si="26"/>
        <v>386.00856000000005</v>
      </c>
      <c r="J83" s="281">
        <f t="shared" si="27"/>
        <v>437.76684000000006</v>
      </c>
      <c r="K83" s="282">
        <f>IF(Notes!$B$9="Domestic",I83, IF(Notes!$B$9="Commercial",J83))*$K$63</f>
        <v>437.76684000000006</v>
      </c>
      <c r="L83" s="332">
        <f>(SUM(O83:Q83)+(K83+SUM(M83:Q83))*(INDEX($U$63:$AB$63,MATCH(Notes!$C$16,$U$3:$AB$3,0))-100%))*$L$63</f>
        <v>1958.93154</v>
      </c>
      <c r="M83" s="286"/>
      <c r="N83" s="286"/>
      <c r="O83" s="311">
        <f t="shared" si="23"/>
        <v>978.12</v>
      </c>
      <c r="P83" s="311">
        <f t="shared" si="23"/>
        <v>980.81153999999992</v>
      </c>
      <c r="Q83" s="285"/>
      <c r="R83" s="278"/>
      <c r="S83" s="278"/>
      <c r="T83" s="278"/>
    </row>
    <row r="84" spans="1:28" s="305" customFormat="1" hidden="1" outlineLevel="1" x14ac:dyDescent="0.25">
      <c r="A84" s="334">
        <v>392</v>
      </c>
      <c r="B84" s="279" t="str">
        <f t="shared" si="25"/>
        <v>1200-392WB</v>
      </c>
      <c r="C84" s="278" t="s">
        <v>1126</v>
      </c>
      <c r="D84" s="334"/>
      <c r="E84" s="278" t="s">
        <v>1052</v>
      </c>
      <c r="F84" s="278"/>
      <c r="G84" s="278" t="s">
        <v>15</v>
      </c>
      <c r="H84" s="328">
        <f t="shared" si="20"/>
        <v>5.4880000000000004</v>
      </c>
      <c r="I84" s="280">
        <f t="shared" si="26"/>
        <v>442.44256000000007</v>
      </c>
      <c r="J84" s="281">
        <f t="shared" si="27"/>
        <v>501.76784000000009</v>
      </c>
      <c r="K84" s="282">
        <f>IF(Notes!$B$9="Domestic",I84, IF(Notes!$B$9="Commercial",J84))*$K$63</f>
        <v>501.76784000000009</v>
      </c>
      <c r="L84" s="332">
        <f>(SUM(O84:Q84)+(K84+SUM(M84:Q84))*(INDEX($U$63:$AB$63,MATCH(Notes!$C$16,$U$3:$AB$3,0))-100%))*$L$63</f>
        <v>2245.3250399999997</v>
      </c>
      <c r="M84" s="286"/>
      <c r="N84" s="286"/>
      <c r="O84" s="311">
        <f t="shared" si="23"/>
        <v>1121.1199999999999</v>
      </c>
      <c r="P84" s="311">
        <f t="shared" si="23"/>
        <v>1124.2050400000001</v>
      </c>
      <c r="Q84" s="285"/>
      <c r="R84" s="278"/>
      <c r="S84" s="278"/>
      <c r="T84" s="278"/>
    </row>
    <row r="85" spans="1:28" s="305" customFormat="1" hidden="1" outlineLevel="1" x14ac:dyDescent="0.25">
      <c r="A85" s="334">
        <v>423</v>
      </c>
      <c r="B85" s="279" t="str">
        <f t="shared" si="25"/>
        <v>1200-423WB</v>
      </c>
      <c r="C85" s="278" t="s">
        <v>1127</v>
      </c>
      <c r="D85" s="334"/>
      <c r="E85" s="278" t="s">
        <v>1052</v>
      </c>
      <c r="F85" s="278"/>
      <c r="G85" s="278" t="s">
        <v>15</v>
      </c>
      <c r="H85" s="328">
        <f t="shared" si="20"/>
        <v>5.9219999999999997</v>
      </c>
      <c r="I85" s="280">
        <f t="shared" si="26"/>
        <v>477.43164000000002</v>
      </c>
      <c r="J85" s="281">
        <f t="shared" si="27"/>
        <v>541.44846000000007</v>
      </c>
      <c r="K85" s="282">
        <f>IF(Notes!$B$9="Domestic",I85, IF(Notes!$B$9="Commercial",J85))*$K$63</f>
        <v>541.44846000000007</v>
      </c>
      <c r="L85" s="332">
        <f>(SUM(O85:Q85)+(K85+SUM(M85:Q85))*(INDEX($U$63:$AB$63,MATCH(Notes!$C$16,$U$3:$AB$3,0))-100%))*$L$63</f>
        <v>2422.8890099999999</v>
      </c>
      <c r="M85" s="286"/>
      <c r="N85" s="286"/>
      <c r="O85" s="311">
        <f t="shared" si="23"/>
        <v>1209.78</v>
      </c>
      <c r="P85" s="311">
        <f t="shared" si="23"/>
        <v>1213.1090099999999</v>
      </c>
      <c r="Q85" s="285"/>
      <c r="R85" s="278"/>
      <c r="S85" s="278"/>
      <c r="T85" s="278"/>
    </row>
    <row r="86" spans="1:28" s="305" customFormat="1" hidden="1" outlineLevel="1" x14ac:dyDescent="0.25">
      <c r="A86" s="334">
        <v>455</v>
      </c>
      <c r="B86" s="279" t="str">
        <f t="shared" si="25"/>
        <v>1200-455WB</v>
      </c>
      <c r="C86" s="278" t="s">
        <v>1128</v>
      </c>
      <c r="D86" s="334"/>
      <c r="E86" s="278" t="s">
        <v>1052</v>
      </c>
      <c r="F86" s="278"/>
      <c r="G86" s="278" t="s">
        <v>15</v>
      </c>
      <c r="H86" s="328">
        <f t="shared" si="20"/>
        <v>6.37</v>
      </c>
      <c r="I86" s="280">
        <f t="shared" si="26"/>
        <v>513.54939999999999</v>
      </c>
      <c r="J86" s="281">
        <f t="shared" si="27"/>
        <v>582.40910000000008</v>
      </c>
      <c r="K86" s="282">
        <f>IF(Notes!$B$9="Domestic",I86, IF(Notes!$B$9="Commercial",J86))*$K$63</f>
        <v>582.40910000000008</v>
      </c>
      <c r="L86" s="332">
        <f>(SUM(O86:Q86)+(K86+SUM(M86:Q86))*(INDEX($U$63:$AB$63,MATCH(Notes!$C$16,$U$3:$AB$3,0))-100%))*$L$63</f>
        <v>2606.1808499999997</v>
      </c>
      <c r="M86" s="286"/>
      <c r="N86" s="286"/>
      <c r="O86" s="311">
        <f t="shared" si="23"/>
        <v>1301.3</v>
      </c>
      <c r="P86" s="311">
        <f t="shared" si="23"/>
        <v>1304.8808499999998</v>
      </c>
      <c r="Q86" s="285"/>
      <c r="R86" s="278"/>
      <c r="S86" s="278"/>
      <c r="T86" s="278"/>
    </row>
    <row r="87" spans="1:28" ht="21" hidden="1" outlineLevel="1" x14ac:dyDescent="0.25">
      <c r="A87" s="299" t="s">
        <v>1048</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row>
    <row r="88" spans="1:28" ht="15.75" hidden="1" outlineLevel="1" x14ac:dyDescent="0.25">
      <c r="A88" s="303" t="s">
        <v>1044</v>
      </c>
      <c r="B88" s="291"/>
      <c r="C88" s="291"/>
      <c r="D88" s="291"/>
      <c r="E88" s="291"/>
      <c r="F88" s="291"/>
      <c r="G88" s="291"/>
      <c r="H88" s="325">
        <f>7*2</f>
        <v>14</v>
      </c>
      <c r="I88" s="291"/>
      <c r="J88" s="291"/>
      <c r="K88" s="291">
        <f>K$2</f>
        <v>1</v>
      </c>
      <c r="L88" s="291">
        <f>L$2</f>
        <v>1</v>
      </c>
      <c r="M88" s="291"/>
      <c r="N88" s="291"/>
      <c r="O88" s="384">
        <f>O63</f>
        <v>2860</v>
      </c>
      <c r="P88" s="324">
        <f>23*$P$2</f>
        <v>2867.87</v>
      </c>
      <c r="Q88" s="303"/>
      <c r="R88" s="291"/>
      <c r="S88" s="291"/>
      <c r="T88" s="291"/>
      <c r="U88" s="381">
        <f>U63</f>
        <v>0.96333715674413001</v>
      </c>
      <c r="V88" s="381">
        <f t="shared" ref="V88:AB88" si="28">V63</f>
        <v>1</v>
      </c>
      <c r="W88" s="381">
        <f t="shared" si="28"/>
        <v>0.981668578372065</v>
      </c>
      <c r="X88" s="381">
        <f t="shared" si="28"/>
        <v>1</v>
      </c>
      <c r="Y88" s="381">
        <f t="shared" si="28"/>
        <v>0.9938895261240217</v>
      </c>
      <c r="Z88" s="381">
        <f t="shared" si="28"/>
        <v>1.1117343794464609</v>
      </c>
      <c r="AA88" s="381">
        <f t="shared" si="28"/>
        <v>1.364882582879849</v>
      </c>
      <c r="AB88" s="381">
        <f t="shared" si="28"/>
        <v>1.0157126471096585</v>
      </c>
    </row>
    <row r="89" spans="1:28" s="305" customFormat="1" hidden="1" outlineLevel="1" x14ac:dyDescent="0.25">
      <c r="A89" s="334">
        <v>197</v>
      </c>
      <c r="B89" s="279" t="str">
        <f>C89&amp;D89&amp;E89&amp;F89</f>
        <v>350-197WC</v>
      </c>
      <c r="C89" s="278" t="s">
        <v>1129</v>
      </c>
      <c r="D89" s="334"/>
      <c r="E89" s="278" t="s">
        <v>1053</v>
      </c>
      <c r="F89" s="278"/>
      <c r="G89" s="278" t="s">
        <v>15</v>
      </c>
      <c r="H89" s="328">
        <f>$H$88*$A89/1000</f>
        <v>2.758</v>
      </c>
      <c r="I89" s="280">
        <f>$I$2*H89</f>
        <v>222.34996000000001</v>
      </c>
      <c r="J89" s="281">
        <f>$J$2*H89</f>
        <v>252.16394000000003</v>
      </c>
      <c r="K89" s="282">
        <f>IF(Notes!$B$9="Domestic",I89, IF(Notes!$B$9="Commercial",J89))*$K$88</f>
        <v>252.16394000000003</v>
      </c>
      <c r="L89" s="332">
        <f>(SUM(O89:Q89)+(K89+SUM(M89:Q89))*(INDEX($U$88:$AB$88,MATCH(Notes!$C$16,$U$3:$AB$3,0))-100%))*$L$88</f>
        <v>1128.39039</v>
      </c>
      <c r="M89" s="286"/>
      <c r="N89" s="286"/>
      <c r="O89" s="311">
        <f>O$88*$A89/1000</f>
        <v>563.41999999999996</v>
      </c>
      <c r="P89" s="311">
        <f>P$88*$A89/1000</f>
        <v>564.97039000000007</v>
      </c>
      <c r="Q89" s="285"/>
      <c r="R89" s="278"/>
      <c r="S89" s="278"/>
      <c r="T89" s="278"/>
    </row>
    <row r="90" spans="1:28" s="305" customFormat="1" hidden="1" outlineLevel="1" x14ac:dyDescent="0.25">
      <c r="A90" s="334">
        <v>230</v>
      </c>
      <c r="B90" s="279" t="str">
        <f t="shared" ref="B90:B106" si="29">C90&amp;D90&amp;E90&amp;F90</f>
        <v>350-230WC</v>
      </c>
      <c r="C90" s="278" t="s">
        <v>1130</v>
      </c>
      <c r="D90" s="334"/>
      <c r="E90" s="278" t="s">
        <v>1053</v>
      </c>
      <c r="F90" s="278"/>
      <c r="G90" s="278" t="s">
        <v>15</v>
      </c>
      <c r="H90" s="328">
        <f t="shared" ref="H90:H106" si="30">$H$88*$A90/1000</f>
        <v>3.22</v>
      </c>
      <c r="I90" s="280">
        <f t="shared" ref="I90:I92" si="31">$I$2*H90</f>
        <v>259.59640000000002</v>
      </c>
      <c r="J90" s="281">
        <f t="shared" ref="J90:J106" si="32">$J$2*H90</f>
        <v>294.40460000000002</v>
      </c>
      <c r="K90" s="282">
        <f>IF(Notes!$B$9="Domestic",I90, IF(Notes!$B$9="Commercial",J90))*$K$88</f>
        <v>294.40460000000002</v>
      </c>
      <c r="L90" s="332">
        <f>(SUM(O90:Q90)+(K90+SUM(M90:Q90))*(INDEX($U$88:$AB$88,MATCH(Notes!$C$16,$U$3:$AB$3,0))-100%))*$L$88</f>
        <v>1317.4101000000001</v>
      </c>
      <c r="M90" s="286"/>
      <c r="N90" s="286"/>
      <c r="O90" s="311">
        <f t="shared" ref="O90:P106" si="33">O$88*$A90/1000</f>
        <v>657.8</v>
      </c>
      <c r="P90" s="311">
        <f t="shared" si="33"/>
        <v>659.61009999999999</v>
      </c>
      <c r="Q90" s="285"/>
      <c r="R90" s="278"/>
      <c r="S90" s="278"/>
      <c r="T90" s="278"/>
    </row>
    <row r="91" spans="1:28" s="305" customFormat="1" hidden="1" outlineLevel="1" x14ac:dyDescent="0.25">
      <c r="A91" s="334">
        <v>258</v>
      </c>
      <c r="B91" s="279" t="str">
        <f t="shared" si="29"/>
        <v>350-258WC</v>
      </c>
      <c r="C91" s="278" t="s">
        <v>1131</v>
      </c>
      <c r="D91" s="334"/>
      <c r="E91" s="278" t="s">
        <v>1053</v>
      </c>
      <c r="F91" s="278"/>
      <c r="G91" s="278" t="s">
        <v>15</v>
      </c>
      <c r="H91" s="328">
        <f t="shared" si="30"/>
        <v>3.6120000000000001</v>
      </c>
      <c r="I91" s="280">
        <f t="shared" si="31"/>
        <v>291.19944000000004</v>
      </c>
      <c r="J91" s="281">
        <f t="shared" si="32"/>
        <v>330.24516000000006</v>
      </c>
      <c r="K91" s="282">
        <f>IF(Notes!$B$9="Domestic",I91, IF(Notes!$B$9="Commercial",J91))*$K$88</f>
        <v>330.24516000000006</v>
      </c>
      <c r="L91" s="332">
        <f>(SUM(O91:Q91)+(K91+SUM(M91:Q91))*(INDEX($U$88:$AB$88,MATCH(Notes!$C$16,$U$3:$AB$3,0))-100%))*$L$88</f>
        <v>1477.7904599999999</v>
      </c>
      <c r="M91" s="286"/>
      <c r="N91" s="286"/>
      <c r="O91" s="311">
        <f t="shared" si="33"/>
        <v>737.88</v>
      </c>
      <c r="P91" s="311">
        <f t="shared" si="33"/>
        <v>739.91045999999994</v>
      </c>
      <c r="Q91" s="285"/>
      <c r="R91" s="278"/>
      <c r="S91" s="278"/>
      <c r="T91" s="278"/>
    </row>
    <row r="92" spans="1:28" s="305" customFormat="1" hidden="1" outlineLevel="1" x14ac:dyDescent="0.25">
      <c r="A92" s="334">
        <v>280</v>
      </c>
      <c r="B92" s="279" t="str">
        <f t="shared" si="29"/>
        <v>350-280WC</v>
      </c>
      <c r="C92" s="278" t="s">
        <v>1132</v>
      </c>
      <c r="D92" s="334"/>
      <c r="E92" s="278" t="s">
        <v>1053</v>
      </c>
      <c r="F92" s="278"/>
      <c r="G92" s="278" t="s">
        <v>15</v>
      </c>
      <c r="H92" s="328">
        <f t="shared" si="30"/>
        <v>3.92</v>
      </c>
      <c r="I92" s="280">
        <f t="shared" si="31"/>
        <v>316.03039999999999</v>
      </c>
      <c r="J92" s="281">
        <f t="shared" si="32"/>
        <v>358.40559999999999</v>
      </c>
      <c r="K92" s="282">
        <f>IF(Notes!$B$9="Domestic",I92, IF(Notes!$B$9="Commercial",J92))*$K$88</f>
        <v>358.40559999999999</v>
      </c>
      <c r="L92" s="332">
        <f>(SUM(O92:Q92)+(K92+SUM(M92:Q92))*(INDEX($U$88:$AB$88,MATCH(Notes!$C$16,$U$3:$AB$3,0))-100%))*$L$88</f>
        <v>1603.8036</v>
      </c>
      <c r="M92" s="286"/>
      <c r="N92" s="286"/>
      <c r="O92" s="311">
        <f t="shared" si="33"/>
        <v>800.8</v>
      </c>
      <c r="P92" s="311">
        <f t="shared" si="33"/>
        <v>803.00360000000001</v>
      </c>
      <c r="Q92" s="285"/>
      <c r="R92" s="278"/>
      <c r="S92" s="278"/>
      <c r="T92" s="278"/>
    </row>
    <row r="93" spans="1:28" s="305" customFormat="1" hidden="1" outlineLevel="1" x14ac:dyDescent="0.25">
      <c r="A93" s="334">
        <v>144</v>
      </c>
      <c r="B93" s="279" t="str">
        <f t="shared" si="29"/>
        <v>400-144WC</v>
      </c>
      <c r="C93" s="278" t="s">
        <v>1133</v>
      </c>
      <c r="D93" s="334"/>
      <c r="E93" s="278" t="s">
        <v>1053</v>
      </c>
      <c r="F93" s="278"/>
      <c r="G93" s="278" t="s">
        <v>15</v>
      </c>
      <c r="H93" s="328">
        <f t="shared" si="30"/>
        <v>2.016</v>
      </c>
      <c r="I93" s="280">
        <f>$I$2*H93</f>
        <v>162.52992</v>
      </c>
      <c r="J93" s="281">
        <f t="shared" si="32"/>
        <v>184.32288000000003</v>
      </c>
      <c r="K93" s="282">
        <f>IF(Notes!$B$9="Domestic",I93, IF(Notes!$B$9="Commercial",J93))*$K$88</f>
        <v>184.32288000000003</v>
      </c>
      <c r="L93" s="332">
        <f>(SUM(O93:Q93)+(K93+SUM(M93:Q93))*(INDEX($U$88:$AB$88,MATCH(Notes!$C$16,$U$3:$AB$3,0))-100%))*$L$88</f>
        <v>824.81327999999996</v>
      </c>
      <c r="M93" s="286"/>
      <c r="N93" s="286"/>
      <c r="O93" s="311">
        <f t="shared" si="33"/>
        <v>411.84</v>
      </c>
      <c r="P93" s="311">
        <f t="shared" si="33"/>
        <v>412.97327999999999</v>
      </c>
      <c r="Q93" s="285"/>
      <c r="R93" s="278"/>
      <c r="S93" s="278"/>
      <c r="T93" s="278"/>
    </row>
    <row r="94" spans="1:28" s="305" customFormat="1" hidden="1" outlineLevel="1" x14ac:dyDescent="0.25">
      <c r="A94" s="334">
        <v>181</v>
      </c>
      <c r="B94" s="279" t="str">
        <f t="shared" si="29"/>
        <v>400-181WC</v>
      </c>
      <c r="C94" s="278" t="s">
        <v>1134</v>
      </c>
      <c r="D94" s="334"/>
      <c r="E94" s="278" t="s">
        <v>1053</v>
      </c>
      <c r="F94" s="278"/>
      <c r="G94" s="278" t="s">
        <v>15</v>
      </c>
      <c r="H94" s="328">
        <f t="shared" si="30"/>
        <v>2.5339999999999998</v>
      </c>
      <c r="I94" s="280">
        <f t="shared" ref="I94:I106" si="34">$I$2*H94</f>
        <v>204.29107999999999</v>
      </c>
      <c r="J94" s="281">
        <f t="shared" si="32"/>
        <v>231.68361999999999</v>
      </c>
      <c r="K94" s="282">
        <f>IF(Notes!$B$9="Domestic",I94, IF(Notes!$B$9="Commercial",J94))*$K$88</f>
        <v>231.68361999999999</v>
      </c>
      <c r="L94" s="332">
        <f>(SUM(O94:Q94)+(K94+SUM(M94:Q94))*(INDEX($U$88:$AB$88,MATCH(Notes!$C$16,$U$3:$AB$3,0))-100%))*$L$88</f>
        <v>1036.7444700000001</v>
      </c>
      <c r="M94" s="286"/>
      <c r="N94" s="286"/>
      <c r="O94" s="311">
        <f t="shared" si="33"/>
        <v>517.66</v>
      </c>
      <c r="P94" s="311">
        <f t="shared" si="33"/>
        <v>519.08447000000001</v>
      </c>
      <c r="Q94" s="285"/>
      <c r="R94" s="278"/>
      <c r="S94" s="278"/>
      <c r="T94" s="278"/>
    </row>
    <row r="95" spans="1:28" s="305" customFormat="1" hidden="1" outlineLevel="1" x14ac:dyDescent="0.25">
      <c r="A95" s="334">
        <v>212</v>
      </c>
      <c r="B95" s="279" t="str">
        <f t="shared" si="29"/>
        <v>400-212WC</v>
      </c>
      <c r="C95" s="278" t="s">
        <v>1135</v>
      </c>
      <c r="D95" s="334"/>
      <c r="E95" s="278" t="s">
        <v>1053</v>
      </c>
      <c r="F95" s="278"/>
      <c r="G95" s="278" t="s">
        <v>15</v>
      </c>
      <c r="H95" s="328">
        <f t="shared" si="30"/>
        <v>2.968</v>
      </c>
      <c r="I95" s="280">
        <f t="shared" si="34"/>
        <v>239.28016000000002</v>
      </c>
      <c r="J95" s="281">
        <f t="shared" si="32"/>
        <v>271.36424</v>
      </c>
      <c r="K95" s="282">
        <f>IF(Notes!$B$9="Domestic",I95, IF(Notes!$B$9="Commercial",J95))*$K$88</f>
        <v>271.36424</v>
      </c>
      <c r="L95" s="332">
        <f>(SUM(O95:Q95)+(K95+SUM(M95:Q95))*(INDEX($U$88:$AB$88,MATCH(Notes!$C$16,$U$3:$AB$3,0))-100%))*$L$88</f>
        <v>1214.30844</v>
      </c>
      <c r="M95" s="286"/>
      <c r="N95" s="286"/>
      <c r="O95" s="311">
        <f t="shared" si="33"/>
        <v>606.32000000000005</v>
      </c>
      <c r="P95" s="311">
        <f t="shared" si="33"/>
        <v>607.98843999999997</v>
      </c>
      <c r="Q95" s="285"/>
      <c r="R95" s="278"/>
      <c r="S95" s="278"/>
      <c r="T95" s="278"/>
    </row>
    <row r="96" spans="1:28" s="305" customFormat="1" hidden="1" outlineLevel="1" x14ac:dyDescent="0.25">
      <c r="A96" s="334">
        <v>270</v>
      </c>
      <c r="B96" s="279" t="str">
        <f t="shared" si="29"/>
        <v>400-270WC</v>
      </c>
      <c r="C96" s="278" t="s">
        <v>1136</v>
      </c>
      <c r="D96" s="334"/>
      <c r="E96" s="278" t="s">
        <v>1053</v>
      </c>
      <c r="F96" s="278"/>
      <c r="G96" s="278" t="s">
        <v>15</v>
      </c>
      <c r="H96" s="328">
        <f t="shared" si="30"/>
        <v>3.78</v>
      </c>
      <c r="I96" s="280">
        <f t="shared" si="34"/>
        <v>304.74360000000001</v>
      </c>
      <c r="J96" s="281">
        <f t="shared" si="32"/>
        <v>345.60540000000003</v>
      </c>
      <c r="K96" s="282">
        <f>IF(Notes!$B$9="Domestic",I96, IF(Notes!$B$9="Commercial",J96))*$K$88</f>
        <v>345.60540000000003</v>
      </c>
      <c r="L96" s="332">
        <f>(SUM(O96:Q96)+(K96+SUM(M96:Q96))*(INDEX($U$88:$AB$88,MATCH(Notes!$C$16,$U$3:$AB$3,0))-100%))*$L$88</f>
        <v>1546.5249000000001</v>
      </c>
      <c r="M96" s="286"/>
      <c r="N96" s="286"/>
      <c r="O96" s="311">
        <f t="shared" si="33"/>
        <v>772.2</v>
      </c>
      <c r="P96" s="311">
        <f t="shared" si="33"/>
        <v>774.32490000000007</v>
      </c>
      <c r="Q96" s="285"/>
      <c r="R96" s="278"/>
      <c r="S96" s="278"/>
      <c r="T96" s="278"/>
    </row>
    <row r="97" spans="1:28" s="305" customFormat="1" hidden="1" outlineLevel="1" x14ac:dyDescent="0.25">
      <c r="A97" s="334">
        <v>303</v>
      </c>
      <c r="B97" s="279" t="str">
        <f t="shared" si="29"/>
        <v>400-303WC</v>
      </c>
      <c r="C97" s="278" t="s">
        <v>1137</v>
      </c>
      <c r="D97" s="334"/>
      <c r="E97" s="278" t="s">
        <v>1053</v>
      </c>
      <c r="F97" s="278"/>
      <c r="G97" s="278" t="s">
        <v>15</v>
      </c>
      <c r="H97" s="328">
        <f t="shared" si="30"/>
        <v>4.242</v>
      </c>
      <c r="I97" s="280">
        <f t="shared" si="34"/>
        <v>341.99004000000002</v>
      </c>
      <c r="J97" s="281">
        <f t="shared" si="32"/>
        <v>387.84606000000002</v>
      </c>
      <c r="K97" s="282">
        <f>IF(Notes!$B$9="Domestic",I97, IF(Notes!$B$9="Commercial",J97))*$K$88</f>
        <v>387.84606000000002</v>
      </c>
      <c r="L97" s="332">
        <f>(SUM(O97:Q97)+(K97+SUM(M97:Q97))*(INDEX($U$88:$AB$88,MATCH(Notes!$C$16,$U$3:$AB$3,0))-100%))*$L$88</f>
        <v>1735.5446099999999</v>
      </c>
      <c r="M97" s="286"/>
      <c r="N97" s="286"/>
      <c r="O97" s="311">
        <f t="shared" si="33"/>
        <v>866.58</v>
      </c>
      <c r="P97" s="311">
        <f t="shared" si="33"/>
        <v>868.96460999999999</v>
      </c>
      <c r="Q97" s="285"/>
      <c r="R97" s="278"/>
      <c r="S97" s="278"/>
      <c r="T97" s="278"/>
    </row>
    <row r="98" spans="1:28" s="305" customFormat="1" hidden="1" outlineLevel="1" x14ac:dyDescent="0.25">
      <c r="A98" s="334">
        <v>328</v>
      </c>
      <c r="B98" s="279" t="str">
        <f t="shared" ref="B98:B105" si="35">C98&amp;D98&amp;E98&amp;F98</f>
        <v>400-328WC</v>
      </c>
      <c r="C98" s="278" t="s">
        <v>1138</v>
      </c>
      <c r="D98" s="334"/>
      <c r="E98" s="278" t="s">
        <v>1053</v>
      </c>
      <c r="F98" s="278"/>
      <c r="G98" s="278" t="s">
        <v>15</v>
      </c>
      <c r="H98" s="328">
        <f t="shared" si="30"/>
        <v>4.5919999999999996</v>
      </c>
      <c r="I98" s="280">
        <f t="shared" ref="I98:I105" si="36">$I$2*H98</f>
        <v>370.20704000000001</v>
      </c>
      <c r="J98" s="281">
        <f t="shared" ref="J98:J105" si="37">$J$2*H98</f>
        <v>419.84656000000001</v>
      </c>
      <c r="K98" s="282">
        <f>IF(Notes!$B$9="Domestic",I98, IF(Notes!$B$9="Commercial",J98))*$K$88</f>
        <v>419.84656000000001</v>
      </c>
      <c r="L98" s="332">
        <f>(SUM(O98:Q98)+(K98+SUM(M98:Q98))*(INDEX($U$88:$AB$88,MATCH(Notes!$C$16,$U$3:$AB$3,0))-100%))*$L$88</f>
        <v>1878.74136</v>
      </c>
      <c r="M98" s="286"/>
      <c r="N98" s="286"/>
      <c r="O98" s="311">
        <f t="shared" si="33"/>
        <v>938.08</v>
      </c>
      <c r="P98" s="311">
        <f t="shared" si="33"/>
        <v>940.66135999999995</v>
      </c>
      <c r="Q98" s="285"/>
      <c r="R98" s="278"/>
      <c r="S98" s="278"/>
      <c r="T98" s="278"/>
    </row>
    <row r="99" spans="1:28" s="305" customFormat="1" hidden="1" outlineLevel="1" x14ac:dyDescent="0.25">
      <c r="A99" s="334">
        <v>361</v>
      </c>
      <c r="B99" s="279" t="str">
        <f t="shared" si="35"/>
        <v>400-361WC</v>
      </c>
      <c r="C99" s="278" t="s">
        <v>1139</v>
      </c>
      <c r="D99" s="334"/>
      <c r="E99" s="278" t="s">
        <v>1053</v>
      </c>
      <c r="F99" s="278"/>
      <c r="G99" s="278" t="s">
        <v>15</v>
      </c>
      <c r="H99" s="328">
        <f t="shared" si="30"/>
        <v>5.0540000000000003</v>
      </c>
      <c r="I99" s="280">
        <f t="shared" si="36"/>
        <v>407.45348000000007</v>
      </c>
      <c r="J99" s="281">
        <f t="shared" si="37"/>
        <v>462.08722000000006</v>
      </c>
      <c r="K99" s="282">
        <f>IF(Notes!$B$9="Domestic",I99, IF(Notes!$B$9="Commercial",J99))*$K$88</f>
        <v>462.08722000000006</v>
      </c>
      <c r="L99" s="332">
        <f>(SUM(O99:Q99)+(K99+SUM(M99:Q99))*(INDEX($U$88:$AB$88,MATCH(Notes!$C$16,$U$3:$AB$3,0))-100%))*$L$88</f>
        <v>2067.76107</v>
      </c>
      <c r="M99" s="286"/>
      <c r="N99" s="286"/>
      <c r="O99" s="311">
        <f t="shared" si="33"/>
        <v>1032.46</v>
      </c>
      <c r="P99" s="311">
        <f t="shared" si="33"/>
        <v>1035.30107</v>
      </c>
      <c r="Q99" s="285"/>
      <c r="R99" s="278"/>
      <c r="S99" s="278"/>
      <c r="T99" s="278"/>
    </row>
    <row r="100" spans="1:28" s="305" customFormat="1" hidden="1" outlineLevel="1" x14ac:dyDescent="0.25">
      <c r="A100" s="334">
        <v>228</v>
      </c>
      <c r="B100" s="279" t="str">
        <f t="shared" si="35"/>
        <v>500-228WC</v>
      </c>
      <c r="C100" s="278" t="s">
        <v>1140</v>
      </c>
      <c r="D100" s="334"/>
      <c r="E100" s="278" t="s">
        <v>1053</v>
      </c>
      <c r="F100" s="278"/>
      <c r="G100" s="278" t="s">
        <v>15</v>
      </c>
      <c r="H100" s="328">
        <f t="shared" si="30"/>
        <v>3.1920000000000002</v>
      </c>
      <c r="I100" s="280">
        <f t="shared" si="36"/>
        <v>257.33904000000001</v>
      </c>
      <c r="J100" s="281">
        <f t="shared" si="37"/>
        <v>291.84456000000006</v>
      </c>
      <c r="K100" s="282">
        <f>IF(Notes!$B$9="Domestic",I100, IF(Notes!$B$9="Commercial",J100))*$K$88</f>
        <v>291.84456000000006</v>
      </c>
      <c r="L100" s="332">
        <f>(SUM(O100:Q100)+(K100+SUM(M100:Q100))*(INDEX($U$88:$AB$88,MATCH(Notes!$C$16,$U$3:$AB$3,0))-100%))*$L$88</f>
        <v>1305.9543600000002</v>
      </c>
      <c r="M100" s="286"/>
      <c r="N100" s="286"/>
      <c r="O100" s="311">
        <f t="shared" si="33"/>
        <v>652.08000000000004</v>
      </c>
      <c r="P100" s="311">
        <f t="shared" si="33"/>
        <v>653.87436000000002</v>
      </c>
      <c r="Q100" s="285"/>
      <c r="R100" s="278"/>
      <c r="S100" s="278"/>
      <c r="T100" s="278"/>
    </row>
    <row r="101" spans="1:28" s="305" customFormat="1" hidden="1" outlineLevel="1" x14ac:dyDescent="0.25">
      <c r="A101" s="334">
        <v>267</v>
      </c>
      <c r="B101" s="279" t="str">
        <f t="shared" si="35"/>
        <v>500-267WC</v>
      </c>
      <c r="C101" s="278" t="s">
        <v>1141</v>
      </c>
      <c r="D101" s="334"/>
      <c r="E101" s="278" t="s">
        <v>1053</v>
      </c>
      <c r="F101" s="278"/>
      <c r="G101" s="278" t="s">
        <v>15</v>
      </c>
      <c r="H101" s="328">
        <f t="shared" si="30"/>
        <v>3.738</v>
      </c>
      <c r="I101" s="280">
        <f t="shared" si="36"/>
        <v>301.35756000000003</v>
      </c>
      <c r="J101" s="281">
        <f t="shared" si="37"/>
        <v>341.76534000000004</v>
      </c>
      <c r="K101" s="282">
        <f>IF(Notes!$B$9="Domestic",I101, IF(Notes!$B$9="Commercial",J101))*$K$88</f>
        <v>341.76534000000004</v>
      </c>
      <c r="L101" s="332">
        <f>(SUM(O101:Q101)+(K101+SUM(M101:Q101))*(INDEX($U$88:$AB$88,MATCH(Notes!$C$16,$U$3:$AB$3,0))-100%))*$L$88</f>
        <v>1529.3412899999998</v>
      </c>
      <c r="M101" s="286"/>
      <c r="N101" s="286"/>
      <c r="O101" s="311">
        <f t="shared" si="33"/>
        <v>763.62</v>
      </c>
      <c r="P101" s="311">
        <f t="shared" si="33"/>
        <v>765.72128999999995</v>
      </c>
      <c r="Q101" s="285"/>
      <c r="R101" s="278"/>
      <c r="S101" s="278"/>
      <c r="T101" s="278"/>
    </row>
    <row r="102" spans="1:28" s="305" customFormat="1" hidden="1" outlineLevel="1" x14ac:dyDescent="0.25">
      <c r="A102" s="334">
        <v>290</v>
      </c>
      <c r="B102" s="279" t="str">
        <f t="shared" si="35"/>
        <v>500-290WC</v>
      </c>
      <c r="C102" s="278" t="s">
        <v>1142</v>
      </c>
      <c r="D102" s="334"/>
      <c r="E102" s="278" t="s">
        <v>1053</v>
      </c>
      <c r="F102" s="278"/>
      <c r="G102" s="278" t="s">
        <v>15</v>
      </c>
      <c r="H102" s="328">
        <f t="shared" si="30"/>
        <v>4.0599999999999996</v>
      </c>
      <c r="I102" s="280">
        <f t="shared" si="36"/>
        <v>327.31720000000001</v>
      </c>
      <c r="J102" s="281">
        <f t="shared" si="37"/>
        <v>371.20580000000001</v>
      </c>
      <c r="K102" s="282">
        <f>IF(Notes!$B$9="Domestic",I102, IF(Notes!$B$9="Commercial",J102))*$K$88</f>
        <v>371.20580000000001</v>
      </c>
      <c r="L102" s="332">
        <f>(SUM(O102:Q102)+(K102+SUM(M102:Q102))*(INDEX($U$88:$AB$88,MATCH(Notes!$C$16,$U$3:$AB$3,0))-100%))*$L$88</f>
        <v>1661.0823</v>
      </c>
      <c r="M102" s="286"/>
      <c r="N102" s="286"/>
      <c r="O102" s="311">
        <f t="shared" si="33"/>
        <v>829.4</v>
      </c>
      <c r="P102" s="311">
        <f t="shared" si="33"/>
        <v>831.68229999999994</v>
      </c>
      <c r="Q102" s="285"/>
      <c r="R102" s="278"/>
      <c r="S102" s="278"/>
      <c r="T102" s="278"/>
    </row>
    <row r="103" spans="1:28" s="305" customFormat="1" hidden="1" outlineLevel="1" x14ac:dyDescent="0.25">
      <c r="A103" s="334">
        <v>340</v>
      </c>
      <c r="B103" s="279" t="str">
        <f t="shared" si="35"/>
        <v>500-340WC</v>
      </c>
      <c r="C103" s="278" t="s">
        <v>1143</v>
      </c>
      <c r="D103" s="334"/>
      <c r="E103" s="278" t="s">
        <v>1053</v>
      </c>
      <c r="F103" s="278"/>
      <c r="G103" s="278" t="s">
        <v>15</v>
      </c>
      <c r="H103" s="328">
        <f t="shared" si="30"/>
        <v>4.76</v>
      </c>
      <c r="I103" s="280">
        <f t="shared" si="36"/>
        <v>383.75119999999998</v>
      </c>
      <c r="J103" s="281">
        <f t="shared" si="37"/>
        <v>435.20679999999999</v>
      </c>
      <c r="K103" s="282">
        <f>IF(Notes!$B$9="Domestic",I103, IF(Notes!$B$9="Commercial",J103))*$K$88</f>
        <v>435.20679999999999</v>
      </c>
      <c r="L103" s="332">
        <f>(SUM(O103:Q103)+(K103+SUM(M103:Q103))*(INDEX($U$88:$AB$88,MATCH(Notes!$C$16,$U$3:$AB$3,0))-100%))*$L$88</f>
        <v>1947.4757999999999</v>
      </c>
      <c r="M103" s="286"/>
      <c r="N103" s="286"/>
      <c r="O103" s="311">
        <f t="shared" si="33"/>
        <v>972.4</v>
      </c>
      <c r="P103" s="311">
        <f t="shared" si="33"/>
        <v>975.07579999999996</v>
      </c>
      <c r="Q103" s="285"/>
      <c r="R103" s="278"/>
      <c r="S103" s="278"/>
      <c r="T103" s="278"/>
    </row>
    <row r="104" spans="1:28" s="305" customFormat="1" hidden="1" outlineLevel="1" x14ac:dyDescent="0.25">
      <c r="A104" s="334">
        <v>383</v>
      </c>
      <c r="B104" s="279" t="str">
        <f t="shared" si="35"/>
        <v>500-383WC</v>
      </c>
      <c r="C104" s="278" t="s">
        <v>1144</v>
      </c>
      <c r="D104" s="334"/>
      <c r="E104" s="278" t="s">
        <v>1053</v>
      </c>
      <c r="F104" s="278"/>
      <c r="G104" s="278" t="s">
        <v>15</v>
      </c>
      <c r="H104" s="328">
        <f t="shared" si="30"/>
        <v>5.3620000000000001</v>
      </c>
      <c r="I104" s="280">
        <f t="shared" si="36"/>
        <v>432.28444000000002</v>
      </c>
      <c r="J104" s="281">
        <f t="shared" si="37"/>
        <v>490.24766000000005</v>
      </c>
      <c r="K104" s="282">
        <f>IF(Notes!$B$9="Domestic",I104, IF(Notes!$B$9="Commercial",J104))*$K$88</f>
        <v>490.24766000000005</v>
      </c>
      <c r="L104" s="332">
        <f>(SUM(O104:Q104)+(K104+SUM(M104:Q104))*(INDEX($U$88:$AB$88,MATCH(Notes!$C$16,$U$3:$AB$3,0))-100%))*$L$88</f>
        <v>2193.77421</v>
      </c>
      <c r="M104" s="286"/>
      <c r="N104" s="286"/>
      <c r="O104" s="311">
        <f t="shared" si="33"/>
        <v>1095.3800000000001</v>
      </c>
      <c r="P104" s="311">
        <f t="shared" si="33"/>
        <v>1098.3942099999999</v>
      </c>
      <c r="Q104" s="285"/>
      <c r="R104" s="278"/>
      <c r="S104" s="278"/>
      <c r="T104" s="278"/>
    </row>
    <row r="105" spans="1:28" s="305" customFormat="1" hidden="1" outlineLevel="1" x14ac:dyDescent="0.25">
      <c r="A105" s="334">
        <v>414</v>
      </c>
      <c r="B105" s="279" t="str">
        <f t="shared" si="35"/>
        <v>500-414WC</v>
      </c>
      <c r="C105" s="278" t="s">
        <v>1145</v>
      </c>
      <c r="D105" s="334"/>
      <c r="E105" s="278" t="s">
        <v>1053</v>
      </c>
      <c r="F105" s="278"/>
      <c r="G105" s="278" t="s">
        <v>15</v>
      </c>
      <c r="H105" s="328">
        <f t="shared" si="30"/>
        <v>5.7960000000000003</v>
      </c>
      <c r="I105" s="280">
        <f t="shared" si="36"/>
        <v>467.27352000000008</v>
      </c>
      <c r="J105" s="281">
        <f t="shared" si="37"/>
        <v>529.92828000000009</v>
      </c>
      <c r="K105" s="282">
        <f>IF(Notes!$B$9="Domestic",I105, IF(Notes!$B$9="Commercial",J105))*$K$88</f>
        <v>529.92828000000009</v>
      </c>
      <c r="L105" s="332">
        <f>(SUM(O105:Q105)+(K105+SUM(M105:Q105))*(INDEX($U$88:$AB$88,MATCH(Notes!$C$16,$U$3:$AB$3,0))-100%))*$L$88</f>
        <v>2371.3381799999997</v>
      </c>
      <c r="M105" s="286"/>
      <c r="N105" s="286"/>
      <c r="O105" s="311">
        <f t="shared" si="33"/>
        <v>1184.04</v>
      </c>
      <c r="P105" s="311">
        <f t="shared" si="33"/>
        <v>1187.29818</v>
      </c>
      <c r="Q105" s="285"/>
      <c r="R105" s="278"/>
      <c r="S105" s="278"/>
      <c r="T105" s="278"/>
    </row>
    <row r="106" spans="1:28" s="305" customFormat="1" hidden="1" outlineLevel="1" x14ac:dyDescent="0.25">
      <c r="A106" s="334">
        <v>440</v>
      </c>
      <c r="B106" s="279" t="str">
        <f t="shared" si="29"/>
        <v>500-440WC</v>
      </c>
      <c r="C106" s="278" t="s">
        <v>1146</v>
      </c>
      <c r="D106" s="334"/>
      <c r="E106" s="278" t="s">
        <v>1053</v>
      </c>
      <c r="F106" s="278"/>
      <c r="G106" s="278" t="s">
        <v>15</v>
      </c>
      <c r="H106" s="328">
        <f t="shared" si="30"/>
        <v>6.16</v>
      </c>
      <c r="I106" s="280">
        <f t="shared" si="34"/>
        <v>496.61920000000003</v>
      </c>
      <c r="J106" s="281">
        <f t="shared" si="32"/>
        <v>563.20880000000011</v>
      </c>
      <c r="K106" s="282">
        <f>IF(Notes!$B$9="Domestic",I106, IF(Notes!$B$9="Commercial",J106))*$K$88</f>
        <v>563.20880000000011</v>
      </c>
      <c r="L106" s="332">
        <f>(SUM(O106:Q106)+(K106+SUM(M106:Q106))*(INDEX($U$88:$AB$88,MATCH(Notes!$C$16,$U$3:$AB$3,0))-100%))*$L$88</f>
        <v>2520.2628000000004</v>
      </c>
      <c r="M106" s="286"/>
      <c r="N106" s="286"/>
      <c r="O106" s="311">
        <f t="shared" si="33"/>
        <v>1258.4000000000001</v>
      </c>
      <c r="P106" s="311">
        <f t="shared" si="33"/>
        <v>1261.8628000000001</v>
      </c>
      <c r="Q106" s="285"/>
      <c r="R106" s="278"/>
      <c r="S106" s="278"/>
      <c r="T106" s="278"/>
    </row>
    <row r="107" spans="1:28" ht="21" hidden="1" outlineLevel="1" x14ac:dyDescent="0.25">
      <c r="A107" s="299" t="s">
        <v>1045</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row>
    <row r="108" spans="1:28" ht="15.75" hidden="1" outlineLevel="1" x14ac:dyDescent="0.25">
      <c r="A108" s="303" t="s">
        <v>1044</v>
      </c>
      <c r="B108" s="291"/>
      <c r="C108" s="291"/>
      <c r="D108" s="291"/>
      <c r="E108" s="291"/>
      <c r="F108" s="291"/>
      <c r="G108" s="291"/>
      <c r="H108" s="325">
        <f>7*2</f>
        <v>14</v>
      </c>
      <c r="I108" s="291"/>
      <c r="J108" s="291"/>
      <c r="K108" s="291">
        <f>K$2</f>
        <v>1</v>
      </c>
      <c r="L108" s="291">
        <f>L$2</f>
        <v>1</v>
      </c>
      <c r="M108" s="291"/>
      <c r="N108" s="291"/>
      <c r="O108" s="324">
        <v>2535</v>
      </c>
      <c r="P108" s="324">
        <f>35*$P$2</f>
        <v>4364.1499999999996</v>
      </c>
      <c r="Q108" s="303"/>
      <c r="R108" s="291"/>
      <c r="S108" s="291"/>
      <c r="T108" s="291"/>
      <c r="U108" s="291">
        <f>(2500+$P108)/($O108+$P108)</f>
        <v>0.99492691128617294</v>
      </c>
      <c r="V108" s="291">
        <f>(2535+$P108)/($O108+$P108)</f>
        <v>1</v>
      </c>
      <c r="W108" s="291">
        <f>(2425+$P108)/($O108+$P108)</f>
        <v>0.98405600689940065</v>
      </c>
      <c r="X108" s="291">
        <f>(2500+$P108)/($O108+$P108)</f>
        <v>0.99492691128617294</v>
      </c>
      <c r="Y108" s="291">
        <f>(2465+$P108)/($O108+$P108)</f>
        <v>0.98985382257234589</v>
      </c>
      <c r="Z108" s="291">
        <f>(3800+$P108)/($O108+$P108)</f>
        <v>1.1833559206568924</v>
      </c>
      <c r="AA108" s="291">
        <f>(5100+$P108)/($O108+$P108)</f>
        <v>1.3717849300276121</v>
      </c>
      <c r="AB108" s="291">
        <f>(2800+$P108)/($O108+$P108)</f>
        <v>1.0384105288332621</v>
      </c>
    </row>
    <row r="109" spans="1:28" s="305" customFormat="1" ht="14.45" hidden="1" customHeight="1" outlineLevel="1" x14ac:dyDescent="0.25">
      <c r="A109" s="330">
        <v>0.56799999999999995</v>
      </c>
      <c r="B109" s="279" t="str">
        <f>C109&amp;D109&amp;E109&amp;F109</f>
        <v>13x13x1.8SHS</v>
      </c>
      <c r="C109" s="278" t="s">
        <v>1148</v>
      </c>
      <c r="D109" s="278"/>
      <c r="E109" s="323" t="s">
        <v>152</v>
      </c>
      <c r="F109" s="278"/>
      <c r="G109" s="278" t="s">
        <v>15</v>
      </c>
      <c r="H109" s="328">
        <f>$H$108*$A109/1000</f>
        <v>7.951999999999999E-3</v>
      </c>
      <c r="I109" s="280">
        <f t="shared" ref="I109:I155" si="38">$I$2*H109</f>
        <v>0.64109023999999992</v>
      </c>
      <c r="J109" s="281">
        <f>$J$2*H109</f>
        <v>0.72705135999999992</v>
      </c>
      <c r="K109" s="282">
        <f>IF(Notes!$B$9="Domestic",I109, IF(Notes!$B$9="Commercial",J109))*$K$108</f>
        <v>0.72705135999999992</v>
      </c>
      <c r="L109" s="283">
        <f>(SUM(O109:Q109)+(K109+SUM(M109:Q109))*(INDEX($U$108:$AB$108,MATCH(Notes!$C$16,$U$3:$AB$3,0))-100%))*$L$108</f>
        <v>3.9187171999999997</v>
      </c>
      <c r="M109" s="286"/>
      <c r="N109" s="286"/>
      <c r="O109" s="311">
        <f>O$108*$A109/1000</f>
        <v>1.4398799999999998</v>
      </c>
      <c r="P109" s="311">
        <f>P$108*$A109/1000</f>
        <v>2.4788371999999996</v>
      </c>
      <c r="Q109" s="285"/>
      <c r="R109" s="329"/>
      <c r="S109" s="278"/>
      <c r="T109" s="278"/>
      <c r="U109" s="304"/>
    </row>
    <row r="110" spans="1:28" s="305" customFormat="1" ht="14.45" hidden="1" customHeight="1" outlineLevel="1" x14ac:dyDescent="0.25">
      <c r="A110" s="330">
        <v>0.68100000000000005</v>
      </c>
      <c r="B110" s="279" t="str">
        <f t="shared" ref="B110:B155" si="39">C110&amp;D110&amp;E110&amp;F110</f>
        <v>15x15x1.8SHS</v>
      </c>
      <c r="C110" s="278" t="s">
        <v>1149</v>
      </c>
      <c r="D110" s="278"/>
      <c r="E110" s="323" t="s">
        <v>152</v>
      </c>
      <c r="F110" s="278"/>
      <c r="G110" s="278" t="s">
        <v>15</v>
      </c>
      <c r="H110" s="328">
        <f t="shared" ref="H110:H173" si="40">$H$108*$A110/1000</f>
        <v>9.5340000000000008E-3</v>
      </c>
      <c r="I110" s="280">
        <f t="shared" si="38"/>
        <v>0.76863108000000013</v>
      </c>
      <c r="J110" s="281">
        <f t="shared" ref="J110:J155" si="41">$J$2*H110</f>
        <v>0.87169362000000017</v>
      </c>
      <c r="K110" s="282">
        <f>IF(Notes!$B$9="Domestic",I110, IF(Notes!$B$9="Commercial",J110))*$K$108</f>
        <v>0.87169362000000017</v>
      </c>
      <c r="L110" s="283">
        <f>(SUM(O110:Q110)+(K110+SUM(M110:Q110))*(INDEX($U$108:$AB$108,MATCH(Notes!$C$16,$U$3:$AB$3,0))-100%))*$L$108</f>
        <v>4.6983211499999999</v>
      </c>
      <c r="M110" s="286"/>
      <c r="N110" s="286"/>
      <c r="O110" s="311">
        <f t="shared" ref="O110:P141" si="42">O$108*$A110/1000</f>
        <v>1.726335</v>
      </c>
      <c r="P110" s="311">
        <f t="shared" si="42"/>
        <v>2.9719861500000002</v>
      </c>
      <c r="Q110" s="285"/>
      <c r="R110" s="278"/>
      <c r="S110" s="278"/>
      <c r="T110" s="278"/>
      <c r="U110" s="304"/>
    </row>
    <row r="111" spans="1:28" s="305" customFormat="1" ht="14.45" hidden="1" customHeight="1" outlineLevel="1" x14ac:dyDescent="0.25">
      <c r="A111" s="330">
        <v>0.873</v>
      </c>
      <c r="B111" s="279" t="str">
        <f t="shared" ref="B111:B150" si="43">C111&amp;D111&amp;E111&amp;F111</f>
        <v>20x20x1.6SHS</v>
      </c>
      <c r="C111" s="278" t="s">
        <v>1150</v>
      </c>
      <c r="D111" s="323"/>
      <c r="E111" s="323" t="s">
        <v>152</v>
      </c>
      <c r="F111" s="278"/>
      <c r="G111" s="278" t="s">
        <v>15</v>
      </c>
      <c r="H111" s="328">
        <f t="shared" si="40"/>
        <v>1.2222E-2</v>
      </c>
      <c r="I111" s="280">
        <f t="shared" ref="I111:I150" si="44">$I$2*H111</f>
        <v>0.98533764000000013</v>
      </c>
      <c r="J111" s="281">
        <f t="shared" ref="J111:J150" si="45">$J$2*H111</f>
        <v>1.11745746</v>
      </c>
      <c r="K111" s="282">
        <f>IF(Notes!$B$9="Domestic",I111, IF(Notes!$B$9="Commercial",J111))*$K$108</f>
        <v>1.11745746</v>
      </c>
      <c r="L111" s="283">
        <f>(SUM(O111:Q111)+(K111+SUM(M111:Q111))*(INDEX($U$108:$AB$108,MATCH(Notes!$C$16,$U$3:$AB$3,0))-100%))*$L$108</f>
        <v>6.0229579499999994</v>
      </c>
      <c r="M111" s="286"/>
      <c r="N111" s="286"/>
      <c r="O111" s="311">
        <f t="shared" si="42"/>
        <v>2.2130549999999998</v>
      </c>
      <c r="P111" s="311">
        <f t="shared" si="42"/>
        <v>3.8099029499999997</v>
      </c>
      <c r="Q111" s="285"/>
      <c r="R111" s="278"/>
      <c r="S111" s="278"/>
      <c r="T111" s="278"/>
      <c r="U111" s="304"/>
    </row>
    <row r="112" spans="1:28" s="305" customFormat="1" ht="14.45" hidden="1" customHeight="1" outlineLevel="1" x14ac:dyDescent="0.25">
      <c r="A112" s="330">
        <v>1.1200000000000001</v>
      </c>
      <c r="B112" s="279" t="str">
        <f t="shared" si="43"/>
        <v>25x25x1.6SHS</v>
      </c>
      <c r="C112" s="278" t="s">
        <v>1151</v>
      </c>
      <c r="D112" s="323"/>
      <c r="E112" s="323" t="s">
        <v>152</v>
      </c>
      <c r="F112" s="278"/>
      <c r="G112" s="278" t="s">
        <v>15</v>
      </c>
      <c r="H112" s="328">
        <f t="shared" si="40"/>
        <v>1.5680000000000003E-2</v>
      </c>
      <c r="I112" s="280">
        <f t="shared" si="44"/>
        <v>1.2641216000000004</v>
      </c>
      <c r="J112" s="281">
        <f t="shared" si="45"/>
        <v>1.4336224000000004</v>
      </c>
      <c r="K112" s="282">
        <f>IF(Notes!$B$9="Domestic",I112, IF(Notes!$B$9="Commercial",J112))*$K$108</f>
        <v>1.4336224000000004</v>
      </c>
      <c r="L112" s="283">
        <f>(SUM(O112:Q112)+(K112+SUM(M112:Q112))*(INDEX($U$108:$AB$108,MATCH(Notes!$C$16,$U$3:$AB$3,0))-100%))*$L$108</f>
        <v>7.7270479999999999</v>
      </c>
      <c r="M112" s="286"/>
      <c r="N112" s="286"/>
      <c r="O112" s="311">
        <f t="shared" si="42"/>
        <v>2.8392000000000004</v>
      </c>
      <c r="P112" s="311">
        <f t="shared" si="42"/>
        <v>4.887848</v>
      </c>
      <c r="Q112" s="285"/>
      <c r="R112" s="278"/>
      <c r="S112" s="278"/>
      <c r="T112" s="278"/>
      <c r="U112" s="304"/>
    </row>
    <row r="113" spans="1:21" s="305" customFormat="1" ht="14.45" hidden="1" customHeight="1" outlineLevel="1" x14ac:dyDescent="0.25">
      <c r="A113" s="330">
        <v>1.36</v>
      </c>
      <c r="B113" s="279" t="str">
        <f t="shared" si="43"/>
        <v>25x25x2SHS</v>
      </c>
      <c r="C113" s="278" t="s">
        <v>1152</v>
      </c>
      <c r="D113" s="323"/>
      <c r="E113" s="323" t="s">
        <v>152</v>
      </c>
      <c r="F113" s="278"/>
      <c r="G113" s="278" t="s">
        <v>15</v>
      </c>
      <c r="H113" s="328">
        <f t="shared" si="40"/>
        <v>1.9040000000000001E-2</v>
      </c>
      <c r="I113" s="280">
        <f t="shared" si="44"/>
        <v>1.5350048000000003</v>
      </c>
      <c r="J113" s="281">
        <f t="shared" si="45"/>
        <v>1.7408272000000002</v>
      </c>
      <c r="K113" s="282">
        <f>IF(Notes!$B$9="Domestic",I113, IF(Notes!$B$9="Commercial",J113))*$K$108</f>
        <v>1.7408272000000002</v>
      </c>
      <c r="L113" s="283">
        <f>(SUM(O113:Q113)+(K113+SUM(M113:Q113))*(INDEX($U$108:$AB$108,MATCH(Notes!$C$16,$U$3:$AB$3,0))-100%))*$L$108</f>
        <v>9.3828440000000004</v>
      </c>
      <c r="M113" s="286"/>
      <c r="N113" s="286"/>
      <c r="O113" s="311">
        <f t="shared" si="42"/>
        <v>3.4476000000000004</v>
      </c>
      <c r="P113" s="311">
        <f t="shared" si="42"/>
        <v>5.935244</v>
      </c>
      <c r="Q113" s="285"/>
      <c r="R113" s="278"/>
      <c r="S113" s="278"/>
      <c r="T113" s="278"/>
      <c r="U113" s="304"/>
    </row>
    <row r="114" spans="1:21" s="305" customFormat="1" ht="14.45" hidden="1" customHeight="1" outlineLevel="1" x14ac:dyDescent="0.25">
      <c r="A114" s="330">
        <v>1.64</v>
      </c>
      <c r="B114" s="279" t="str">
        <f t="shared" si="43"/>
        <v>25x25x2.5SHS</v>
      </c>
      <c r="C114" s="278" t="s">
        <v>1153</v>
      </c>
      <c r="D114" s="323"/>
      <c r="E114" s="323" t="s">
        <v>152</v>
      </c>
      <c r="F114" s="278"/>
      <c r="G114" s="278" t="s">
        <v>15</v>
      </c>
      <c r="H114" s="328">
        <f t="shared" si="40"/>
        <v>2.2959999999999998E-2</v>
      </c>
      <c r="I114" s="280">
        <f t="shared" si="44"/>
        <v>1.8510351999999999</v>
      </c>
      <c r="J114" s="281">
        <f t="shared" si="45"/>
        <v>2.0992327999999998</v>
      </c>
      <c r="K114" s="282">
        <f>IF(Notes!$B$9="Domestic",I114, IF(Notes!$B$9="Commercial",J114))*$K$108</f>
        <v>2.0992327999999998</v>
      </c>
      <c r="L114" s="283">
        <f>(SUM(O114:Q114)+(K114+SUM(M114:Q114))*(INDEX($U$108:$AB$108,MATCH(Notes!$C$16,$U$3:$AB$3,0))-100%))*$L$108</f>
        <v>11.314605999999999</v>
      </c>
      <c r="M114" s="286"/>
      <c r="N114" s="286"/>
      <c r="O114" s="311">
        <f t="shared" si="42"/>
        <v>4.1574</v>
      </c>
      <c r="P114" s="311">
        <f t="shared" si="42"/>
        <v>7.1572059999999995</v>
      </c>
      <c r="Q114" s="285"/>
      <c r="R114" s="278"/>
      <c r="S114" s="278"/>
      <c r="T114" s="278"/>
      <c r="U114" s="304"/>
    </row>
    <row r="115" spans="1:21" s="305" customFormat="1" ht="14.45" hidden="1" customHeight="1" outlineLevel="1" x14ac:dyDescent="0.25">
      <c r="A115" s="330">
        <v>1.89</v>
      </c>
      <c r="B115" s="279" t="str">
        <f t="shared" si="43"/>
        <v>25x25x3SHS</v>
      </c>
      <c r="C115" s="278" t="s">
        <v>1154</v>
      </c>
      <c r="D115" s="323"/>
      <c r="E115" s="323" t="s">
        <v>152</v>
      </c>
      <c r="F115" s="278"/>
      <c r="G115" s="278" t="s">
        <v>15</v>
      </c>
      <c r="H115" s="328">
        <f t="shared" si="40"/>
        <v>2.6459999999999997E-2</v>
      </c>
      <c r="I115" s="280">
        <f t="shared" si="44"/>
        <v>2.1332051999999999</v>
      </c>
      <c r="J115" s="281">
        <f t="shared" si="45"/>
        <v>2.4192377999999999</v>
      </c>
      <c r="K115" s="282">
        <f>IF(Notes!$B$9="Domestic",I115, IF(Notes!$B$9="Commercial",J115))*$K$108</f>
        <v>2.4192377999999999</v>
      </c>
      <c r="L115" s="283">
        <f>(SUM(O115:Q115)+(K115+SUM(M115:Q115))*(INDEX($U$108:$AB$108,MATCH(Notes!$C$16,$U$3:$AB$3,0))-100%))*$L$108</f>
        <v>13.039393499999999</v>
      </c>
      <c r="M115" s="286"/>
      <c r="N115" s="286"/>
      <c r="O115" s="311">
        <f t="shared" si="42"/>
        <v>4.79115</v>
      </c>
      <c r="P115" s="311">
        <f t="shared" si="42"/>
        <v>8.2482434999999992</v>
      </c>
      <c r="Q115" s="285"/>
      <c r="R115" s="278"/>
      <c r="S115" s="278"/>
      <c r="T115" s="278"/>
      <c r="U115" s="304"/>
    </row>
    <row r="116" spans="1:21" s="305" customFormat="1" ht="14.45" hidden="1" customHeight="1" outlineLevel="1" x14ac:dyDescent="0.25">
      <c r="A116" s="330">
        <v>1.38</v>
      </c>
      <c r="B116" s="279" t="str">
        <f t="shared" si="43"/>
        <v>30x30x1.6SHS</v>
      </c>
      <c r="C116" s="278" t="s">
        <v>1155</v>
      </c>
      <c r="D116" s="323"/>
      <c r="E116" s="323" t="s">
        <v>152</v>
      </c>
      <c r="F116" s="278"/>
      <c r="G116" s="278" t="s">
        <v>15</v>
      </c>
      <c r="H116" s="328">
        <f t="shared" si="40"/>
        <v>1.932E-2</v>
      </c>
      <c r="I116" s="280">
        <f t="shared" si="44"/>
        <v>1.5575784000000001</v>
      </c>
      <c r="J116" s="281">
        <f t="shared" si="45"/>
        <v>1.7664276000000001</v>
      </c>
      <c r="K116" s="282">
        <f>IF(Notes!$B$9="Domestic",I116, IF(Notes!$B$9="Commercial",J116))*$K$108</f>
        <v>1.7664276000000001</v>
      </c>
      <c r="L116" s="283">
        <f>(SUM(O116:Q116)+(K116+SUM(M116:Q116))*(INDEX($U$108:$AB$108,MATCH(Notes!$C$16,$U$3:$AB$3,0))-100%))*$L$108</f>
        <v>9.5208269999999988</v>
      </c>
      <c r="M116" s="286"/>
      <c r="N116" s="286"/>
      <c r="O116" s="311">
        <f t="shared" si="42"/>
        <v>3.4982999999999995</v>
      </c>
      <c r="P116" s="311">
        <f t="shared" si="42"/>
        <v>6.0225269999999993</v>
      </c>
      <c r="Q116" s="285"/>
      <c r="R116" s="278"/>
      <c r="S116" s="278"/>
      <c r="T116" s="278"/>
      <c r="U116" s="304"/>
    </row>
    <row r="117" spans="1:21" s="305" customFormat="1" ht="14.45" hidden="1" customHeight="1" outlineLevel="1" x14ac:dyDescent="0.25">
      <c r="A117" s="330">
        <v>1.68</v>
      </c>
      <c r="B117" s="279" t="str">
        <f t="shared" si="43"/>
        <v>30x30x2SHS</v>
      </c>
      <c r="C117" s="278" t="s">
        <v>1156</v>
      </c>
      <c r="D117" s="323"/>
      <c r="E117" s="323" t="s">
        <v>152</v>
      </c>
      <c r="F117" s="278"/>
      <c r="G117" s="278" t="s">
        <v>15</v>
      </c>
      <c r="H117" s="328">
        <f t="shared" si="40"/>
        <v>2.3519999999999999E-2</v>
      </c>
      <c r="I117" s="280">
        <f t="shared" si="44"/>
        <v>1.8961824</v>
      </c>
      <c r="J117" s="281">
        <f t="shared" si="45"/>
        <v>2.1504335999999999</v>
      </c>
      <c r="K117" s="282">
        <f>IF(Notes!$B$9="Domestic",I117, IF(Notes!$B$9="Commercial",J117))*$K$108</f>
        <v>2.1504335999999999</v>
      </c>
      <c r="L117" s="283">
        <f>(SUM(O117:Q117)+(K117+SUM(M117:Q117))*(INDEX($U$108:$AB$108,MATCH(Notes!$C$16,$U$3:$AB$3,0))-100%))*$L$108</f>
        <v>11.590571999999998</v>
      </c>
      <c r="M117" s="286"/>
      <c r="N117" s="286"/>
      <c r="O117" s="311">
        <f t="shared" si="42"/>
        <v>4.2587999999999999</v>
      </c>
      <c r="P117" s="311">
        <f t="shared" si="42"/>
        <v>7.3317719999999991</v>
      </c>
      <c r="Q117" s="285"/>
      <c r="R117" s="278"/>
      <c r="S117" s="278"/>
      <c r="T117" s="278"/>
      <c r="U117" s="304"/>
    </row>
    <row r="118" spans="1:21" s="305" customFormat="1" ht="14.45" hidden="1" customHeight="1" outlineLevel="1" x14ac:dyDescent="0.25">
      <c r="A118" s="330">
        <v>2.0299999999999998</v>
      </c>
      <c r="B118" s="279" t="str">
        <f t="shared" ref="B118:B119" si="46">C118&amp;D118&amp;E118&amp;F118</f>
        <v>30x30x2.5SHS</v>
      </c>
      <c r="C118" s="278" t="s">
        <v>1157</v>
      </c>
      <c r="D118" s="323"/>
      <c r="E118" s="323" t="s">
        <v>152</v>
      </c>
      <c r="F118" s="278"/>
      <c r="G118" s="278" t="s">
        <v>15</v>
      </c>
      <c r="H118" s="328">
        <f t="shared" si="40"/>
        <v>2.8419999999999997E-2</v>
      </c>
      <c r="I118" s="280">
        <f t="shared" ref="I118:I119" si="47">$I$2*H118</f>
        <v>2.2912203999999998</v>
      </c>
      <c r="J118" s="281">
        <f t="shared" ref="J118:J119" si="48">$J$2*H118</f>
        <v>2.5984406</v>
      </c>
      <c r="K118" s="282">
        <f>IF(Notes!$B$9="Domestic",I118, IF(Notes!$B$9="Commercial",J118))*$K$108</f>
        <v>2.5984406</v>
      </c>
      <c r="L118" s="283">
        <f>(SUM(O118:Q118)+(K118+SUM(M118:Q118))*(INDEX($U$108:$AB$108,MATCH(Notes!$C$16,$U$3:$AB$3,0))-100%))*$L$108</f>
        <v>14.005274499999997</v>
      </c>
      <c r="M118" s="286"/>
      <c r="N118" s="286"/>
      <c r="O118" s="311">
        <f t="shared" si="42"/>
        <v>5.1460499999999989</v>
      </c>
      <c r="P118" s="311">
        <f t="shared" si="42"/>
        <v>8.8592244999999981</v>
      </c>
      <c r="Q118" s="285"/>
      <c r="R118" s="278"/>
      <c r="S118" s="278"/>
      <c r="T118" s="278"/>
      <c r="U118" s="304"/>
    </row>
    <row r="119" spans="1:21" s="305" customFormat="1" ht="14.45" hidden="1" customHeight="1" outlineLevel="1" x14ac:dyDescent="0.25">
      <c r="A119" s="330">
        <v>2.36</v>
      </c>
      <c r="B119" s="279" t="str">
        <f t="shared" si="46"/>
        <v>30x30x3SHS</v>
      </c>
      <c r="C119" s="278" t="s">
        <v>1158</v>
      </c>
      <c r="D119" s="323"/>
      <c r="E119" s="323" t="s">
        <v>152</v>
      </c>
      <c r="F119" s="278"/>
      <c r="G119" s="278" t="s">
        <v>15</v>
      </c>
      <c r="H119" s="328">
        <f t="shared" si="40"/>
        <v>3.304E-2</v>
      </c>
      <c r="I119" s="280">
        <f t="shared" si="47"/>
        <v>2.6636848</v>
      </c>
      <c r="J119" s="281">
        <f t="shared" si="48"/>
        <v>3.0208472000000004</v>
      </c>
      <c r="K119" s="282">
        <f>IF(Notes!$B$9="Domestic",I119, IF(Notes!$B$9="Commercial",J119))*$K$108</f>
        <v>3.0208472000000004</v>
      </c>
      <c r="L119" s="283">
        <f>(SUM(O119:Q119)+(K119+SUM(M119:Q119))*(INDEX($U$108:$AB$108,MATCH(Notes!$C$16,$U$3:$AB$3,0))-100%))*$L$108</f>
        <v>16.281993999999997</v>
      </c>
      <c r="M119" s="286"/>
      <c r="N119" s="286"/>
      <c r="O119" s="311">
        <f t="shared" si="42"/>
        <v>5.9825999999999997</v>
      </c>
      <c r="P119" s="311">
        <f t="shared" si="42"/>
        <v>10.299393999999998</v>
      </c>
      <c r="Q119" s="285"/>
      <c r="R119" s="278"/>
      <c r="S119" s="278"/>
      <c r="T119" s="278"/>
      <c r="U119" s="304"/>
    </row>
    <row r="120" spans="1:21" s="305" customFormat="1" ht="14.45" hidden="1" customHeight="1" outlineLevel="1" x14ac:dyDescent="0.25">
      <c r="A120" s="330">
        <v>1.63</v>
      </c>
      <c r="B120" s="279" t="str">
        <f t="shared" si="43"/>
        <v>35x35x1.6SHS</v>
      </c>
      <c r="C120" s="278" t="s">
        <v>1159</v>
      </c>
      <c r="D120" s="323"/>
      <c r="E120" s="323" t="s">
        <v>152</v>
      </c>
      <c r="F120" s="278"/>
      <c r="G120" s="278" t="s">
        <v>15</v>
      </c>
      <c r="H120" s="328">
        <f t="shared" si="40"/>
        <v>2.282E-2</v>
      </c>
      <c r="I120" s="280">
        <f t="shared" si="44"/>
        <v>1.8397484000000002</v>
      </c>
      <c r="J120" s="281">
        <f t="shared" si="45"/>
        <v>2.0864326000000002</v>
      </c>
      <c r="K120" s="282">
        <f>IF(Notes!$B$9="Domestic",I120, IF(Notes!$B$9="Commercial",J120))*$K$108</f>
        <v>2.0864326000000002</v>
      </c>
      <c r="L120" s="283">
        <f>(SUM(O120:Q120)+(K120+SUM(M120:Q120))*(INDEX($U$108:$AB$108,MATCH(Notes!$C$16,$U$3:$AB$3,0))-100%))*$L$108</f>
        <v>11.245614499999999</v>
      </c>
      <c r="M120" s="286"/>
      <c r="N120" s="286"/>
      <c r="O120" s="311">
        <f t="shared" si="42"/>
        <v>4.1320500000000004</v>
      </c>
      <c r="P120" s="311">
        <f t="shared" si="42"/>
        <v>7.113564499999999</v>
      </c>
      <c r="Q120" s="285"/>
      <c r="R120" s="278"/>
      <c r="S120" s="278"/>
      <c r="T120" s="278"/>
      <c r="U120" s="304"/>
    </row>
    <row r="121" spans="1:21" s="305" customFormat="1" ht="14.45" hidden="1" customHeight="1" outlineLevel="1" x14ac:dyDescent="0.25">
      <c r="A121" s="330">
        <v>1.99</v>
      </c>
      <c r="B121" s="279" t="str">
        <f t="shared" si="43"/>
        <v>35x35x2SHS</v>
      </c>
      <c r="C121" s="278" t="s">
        <v>1160</v>
      </c>
      <c r="D121" s="323"/>
      <c r="E121" s="323" t="s">
        <v>152</v>
      </c>
      <c r="F121" s="278"/>
      <c r="G121" s="278" t="s">
        <v>15</v>
      </c>
      <c r="H121" s="328">
        <f t="shared" si="40"/>
        <v>2.7859999999999999E-2</v>
      </c>
      <c r="I121" s="280">
        <f t="shared" si="44"/>
        <v>2.2460732000000001</v>
      </c>
      <c r="J121" s="281">
        <f t="shared" si="45"/>
        <v>2.5472398000000003</v>
      </c>
      <c r="K121" s="282">
        <f>IF(Notes!$B$9="Domestic",I121, IF(Notes!$B$9="Commercial",J121))*$K$108</f>
        <v>2.5472398000000003</v>
      </c>
      <c r="L121" s="283">
        <f>(SUM(O121:Q121)+(K121+SUM(M121:Q121))*(INDEX($U$108:$AB$108,MATCH(Notes!$C$16,$U$3:$AB$3,0))-100%))*$L$108</f>
        <v>13.729308499999998</v>
      </c>
      <c r="M121" s="286"/>
      <c r="N121" s="286"/>
      <c r="O121" s="311">
        <f t="shared" si="42"/>
        <v>5.0446499999999999</v>
      </c>
      <c r="P121" s="311">
        <f t="shared" si="42"/>
        <v>8.6846584999999994</v>
      </c>
      <c r="Q121" s="285"/>
      <c r="R121" s="278"/>
      <c r="S121" s="278"/>
      <c r="T121" s="278"/>
      <c r="U121" s="304"/>
    </row>
    <row r="122" spans="1:21" s="305" customFormat="1" ht="14.45" hidden="1" customHeight="1" outlineLevel="1" x14ac:dyDescent="0.25">
      <c r="A122" s="330">
        <v>2.42</v>
      </c>
      <c r="B122" s="279" t="str">
        <f t="shared" si="43"/>
        <v>35x35x2.5SHS</v>
      </c>
      <c r="C122" s="278" t="s">
        <v>1161</v>
      </c>
      <c r="D122" s="323"/>
      <c r="E122" s="323" t="s">
        <v>152</v>
      </c>
      <c r="F122" s="278"/>
      <c r="G122" s="278" t="s">
        <v>15</v>
      </c>
      <c r="H122" s="328">
        <f t="shared" si="40"/>
        <v>3.3879999999999993E-2</v>
      </c>
      <c r="I122" s="280">
        <f t="shared" si="44"/>
        <v>2.7314055999999995</v>
      </c>
      <c r="J122" s="281">
        <f t="shared" si="45"/>
        <v>3.0976483999999997</v>
      </c>
      <c r="K122" s="282">
        <f>IF(Notes!$B$9="Domestic",I122, IF(Notes!$B$9="Commercial",J122))*$K$108</f>
        <v>3.0976483999999997</v>
      </c>
      <c r="L122" s="283">
        <f>(SUM(O122:Q122)+(K122+SUM(M122:Q122))*(INDEX($U$108:$AB$108,MATCH(Notes!$C$16,$U$3:$AB$3,0))-100%))*$L$108</f>
        <v>16.695943</v>
      </c>
      <c r="M122" s="286"/>
      <c r="N122" s="286"/>
      <c r="O122" s="311">
        <f t="shared" si="42"/>
        <v>6.1346999999999996</v>
      </c>
      <c r="P122" s="311">
        <f t="shared" si="42"/>
        <v>10.561242999999999</v>
      </c>
      <c r="Q122" s="285"/>
      <c r="R122" s="278"/>
      <c r="S122" s="278"/>
      <c r="T122" s="278"/>
      <c r="U122" s="304"/>
    </row>
    <row r="123" spans="1:21" s="305" customFormat="1" ht="14.45" hidden="1" customHeight="1" outlineLevel="1" x14ac:dyDescent="0.25">
      <c r="A123" s="330">
        <v>2.83</v>
      </c>
      <c r="B123" s="279" t="str">
        <f t="shared" si="43"/>
        <v>35x35x3SHS</v>
      </c>
      <c r="C123" s="278" t="s">
        <v>1162</v>
      </c>
      <c r="D123" s="323"/>
      <c r="E123" s="323" t="s">
        <v>152</v>
      </c>
      <c r="F123" s="278"/>
      <c r="G123" s="278" t="s">
        <v>15</v>
      </c>
      <c r="H123" s="328">
        <f t="shared" si="40"/>
        <v>3.9620000000000002E-2</v>
      </c>
      <c r="I123" s="280">
        <f t="shared" si="44"/>
        <v>3.1941644000000005</v>
      </c>
      <c r="J123" s="281">
        <f t="shared" si="45"/>
        <v>3.6224566000000005</v>
      </c>
      <c r="K123" s="282">
        <f>IF(Notes!$B$9="Domestic",I123, IF(Notes!$B$9="Commercial",J123))*$K$108</f>
        <v>3.6224566000000005</v>
      </c>
      <c r="L123" s="283">
        <f>(SUM(O123:Q123)+(K123+SUM(M123:Q123))*(INDEX($U$108:$AB$108,MATCH(Notes!$C$16,$U$3:$AB$3,0))-100%))*$L$108</f>
        <v>19.524594499999999</v>
      </c>
      <c r="M123" s="286"/>
      <c r="N123" s="286"/>
      <c r="O123" s="311">
        <f t="shared" si="42"/>
        <v>7.1740500000000003</v>
      </c>
      <c r="P123" s="311">
        <f t="shared" si="42"/>
        <v>12.3505445</v>
      </c>
      <c r="Q123" s="285"/>
      <c r="R123" s="278"/>
      <c r="S123" s="278"/>
      <c r="T123" s="278"/>
      <c r="U123" s="304"/>
    </row>
    <row r="124" spans="1:21" s="305" customFormat="1" ht="14.45" hidden="1" customHeight="1" outlineLevel="1" x14ac:dyDescent="0.25">
      <c r="A124" s="330">
        <v>1.88</v>
      </c>
      <c r="B124" s="279" t="str">
        <f t="shared" ref="B124:B131" si="49">C124&amp;D124&amp;E124&amp;F124</f>
        <v>40x40x1.6SHS</v>
      </c>
      <c r="C124" s="278" t="s">
        <v>1163</v>
      </c>
      <c r="D124" s="323"/>
      <c r="E124" s="323" t="s">
        <v>152</v>
      </c>
      <c r="F124" s="278"/>
      <c r="G124" s="278" t="s">
        <v>15</v>
      </c>
      <c r="H124" s="328">
        <f t="shared" si="40"/>
        <v>2.632E-2</v>
      </c>
      <c r="I124" s="280">
        <f t="shared" si="44"/>
        <v>2.1219184000000002</v>
      </c>
      <c r="J124" s="281">
        <f t="shared" si="45"/>
        <v>2.4064376000000003</v>
      </c>
      <c r="K124" s="282">
        <f>IF(Notes!$B$9="Domestic",I124, IF(Notes!$B$9="Commercial",J124))*$K$108</f>
        <v>2.4064376000000003</v>
      </c>
      <c r="L124" s="283">
        <f>(SUM(O124:Q124)+(K124+SUM(M124:Q124))*(INDEX($U$108:$AB$108,MATCH(Notes!$C$16,$U$3:$AB$3,0))-100%))*$L$108</f>
        <v>12.970402</v>
      </c>
      <c r="M124" s="286"/>
      <c r="N124" s="286"/>
      <c r="O124" s="311">
        <f t="shared" si="42"/>
        <v>4.7658000000000005</v>
      </c>
      <c r="P124" s="311">
        <f t="shared" si="42"/>
        <v>8.2046019999999995</v>
      </c>
      <c r="Q124" s="285"/>
      <c r="R124" s="278"/>
      <c r="S124" s="278"/>
      <c r="T124" s="278"/>
      <c r="U124" s="304"/>
    </row>
    <row r="125" spans="1:21" s="305" customFormat="1" ht="14.45" hidden="1" customHeight="1" outlineLevel="1" x14ac:dyDescent="0.25">
      <c r="A125" s="330">
        <v>2.31</v>
      </c>
      <c r="B125" s="279" t="str">
        <f t="shared" si="49"/>
        <v>40x40x2SHS</v>
      </c>
      <c r="C125" s="278" t="s">
        <v>1164</v>
      </c>
      <c r="D125" s="323"/>
      <c r="E125" s="323" t="s">
        <v>152</v>
      </c>
      <c r="F125" s="278"/>
      <c r="G125" s="278" t="s">
        <v>15</v>
      </c>
      <c r="H125" s="328">
        <f t="shared" si="40"/>
        <v>3.2340000000000001E-2</v>
      </c>
      <c r="I125" s="280">
        <f t="shared" si="44"/>
        <v>2.6072508000000001</v>
      </c>
      <c r="J125" s="281">
        <f t="shared" si="45"/>
        <v>2.9568462000000002</v>
      </c>
      <c r="K125" s="282">
        <f>IF(Notes!$B$9="Domestic",I125, IF(Notes!$B$9="Commercial",J125))*$K$108</f>
        <v>2.9568462000000002</v>
      </c>
      <c r="L125" s="283">
        <f>(SUM(O125:Q125)+(K125+SUM(M125:Q125))*(INDEX($U$108:$AB$108,MATCH(Notes!$C$16,$U$3:$AB$3,0))-100%))*$L$108</f>
        <v>15.9370365</v>
      </c>
      <c r="M125" s="286"/>
      <c r="N125" s="286"/>
      <c r="O125" s="311">
        <f t="shared" si="42"/>
        <v>5.8558500000000002</v>
      </c>
      <c r="P125" s="311">
        <f t="shared" si="42"/>
        <v>10.081186499999999</v>
      </c>
      <c r="Q125" s="285"/>
      <c r="R125" s="278"/>
      <c r="S125" s="278"/>
      <c r="T125" s="278"/>
      <c r="U125" s="304"/>
    </row>
    <row r="126" spans="1:21" s="305" customFormat="1" ht="14.45" hidden="1" customHeight="1" outlineLevel="1" x14ac:dyDescent="0.25">
      <c r="A126" s="330">
        <v>2.82</v>
      </c>
      <c r="B126" s="279" t="str">
        <f t="shared" si="49"/>
        <v>40x40x2.5SHS</v>
      </c>
      <c r="C126" s="278" t="s">
        <v>1165</v>
      </c>
      <c r="D126" s="323"/>
      <c r="E126" s="323" t="s">
        <v>152</v>
      </c>
      <c r="F126" s="278"/>
      <c r="G126" s="278" t="s">
        <v>15</v>
      </c>
      <c r="H126" s="328">
        <f t="shared" si="40"/>
        <v>3.9479999999999994E-2</v>
      </c>
      <c r="I126" s="280">
        <f t="shared" si="44"/>
        <v>3.1828775999999999</v>
      </c>
      <c r="J126" s="281">
        <f t="shared" si="45"/>
        <v>3.6096563999999995</v>
      </c>
      <c r="K126" s="282">
        <f>IF(Notes!$B$9="Domestic",I126, IF(Notes!$B$9="Commercial",J126))*$K$108</f>
        <v>3.6096563999999995</v>
      </c>
      <c r="L126" s="283">
        <f>(SUM(O126:Q126)+(K126+SUM(M126:Q126))*(INDEX($U$108:$AB$108,MATCH(Notes!$C$16,$U$3:$AB$3,0))-100%))*$L$108</f>
        <v>19.455602999999996</v>
      </c>
      <c r="M126" s="286"/>
      <c r="N126" s="286"/>
      <c r="O126" s="311">
        <f t="shared" si="42"/>
        <v>7.1486999999999998</v>
      </c>
      <c r="P126" s="311">
        <f t="shared" si="42"/>
        <v>12.306902999999998</v>
      </c>
      <c r="Q126" s="285"/>
      <c r="R126" s="278"/>
      <c r="S126" s="278"/>
      <c r="T126" s="278"/>
      <c r="U126" s="304"/>
    </row>
    <row r="127" spans="1:21" s="305" customFormat="1" ht="14.45" hidden="1" customHeight="1" outlineLevel="1" x14ac:dyDescent="0.25">
      <c r="A127" s="330">
        <v>3.3</v>
      </c>
      <c r="B127" s="279" t="str">
        <f t="shared" si="49"/>
        <v>40x40x3SHS</v>
      </c>
      <c r="C127" s="278" t="s">
        <v>1166</v>
      </c>
      <c r="D127" s="323"/>
      <c r="E127" s="323" t="s">
        <v>152</v>
      </c>
      <c r="F127" s="278"/>
      <c r="G127" s="278" t="s">
        <v>15</v>
      </c>
      <c r="H127" s="328">
        <f t="shared" si="40"/>
        <v>4.6199999999999998E-2</v>
      </c>
      <c r="I127" s="280">
        <f t="shared" si="44"/>
        <v>3.7246440000000001</v>
      </c>
      <c r="J127" s="281">
        <f t="shared" si="45"/>
        <v>4.2240660000000005</v>
      </c>
      <c r="K127" s="282">
        <f>IF(Notes!$B$9="Domestic",I127, IF(Notes!$B$9="Commercial",J127))*$K$108</f>
        <v>4.2240660000000005</v>
      </c>
      <c r="L127" s="283">
        <f>(SUM(O127:Q127)+(K127+SUM(M127:Q127))*(INDEX($U$108:$AB$108,MATCH(Notes!$C$16,$U$3:$AB$3,0))-100%))*$L$108</f>
        <v>22.767195000000001</v>
      </c>
      <c r="M127" s="286"/>
      <c r="N127" s="286"/>
      <c r="O127" s="311">
        <f t="shared" si="42"/>
        <v>8.3655000000000008</v>
      </c>
      <c r="P127" s="311">
        <f t="shared" si="42"/>
        <v>14.401694999999998</v>
      </c>
      <c r="Q127" s="285"/>
      <c r="R127" s="278"/>
      <c r="S127" s="278"/>
      <c r="T127" s="278"/>
      <c r="U127" s="304"/>
    </row>
    <row r="128" spans="1:21" s="305" customFormat="1" ht="14.45" hidden="1" customHeight="1" outlineLevel="1" x14ac:dyDescent="0.25">
      <c r="A128" s="330">
        <v>4.09</v>
      </c>
      <c r="B128" s="279" t="str">
        <f t="shared" si="49"/>
        <v>40x40x4SHS</v>
      </c>
      <c r="C128" s="278" t="s">
        <v>1167</v>
      </c>
      <c r="D128" s="323"/>
      <c r="E128" s="323" t="s">
        <v>152</v>
      </c>
      <c r="F128" s="278"/>
      <c r="G128" s="278" t="s">
        <v>15</v>
      </c>
      <c r="H128" s="328">
        <f t="shared" si="40"/>
        <v>5.7259999999999998E-2</v>
      </c>
      <c r="I128" s="280">
        <f t="shared" si="44"/>
        <v>4.6163012000000005</v>
      </c>
      <c r="J128" s="281">
        <f t="shared" si="45"/>
        <v>5.2352818000000001</v>
      </c>
      <c r="K128" s="282">
        <f>IF(Notes!$B$9="Domestic",I128, IF(Notes!$B$9="Commercial",J128))*$K$108</f>
        <v>5.2352818000000001</v>
      </c>
      <c r="L128" s="283">
        <f>(SUM(O128:Q128)+(K128+SUM(M128:Q128))*(INDEX($U$108:$AB$108,MATCH(Notes!$C$16,$U$3:$AB$3,0))-100%))*$L$108</f>
        <v>28.217523499999999</v>
      </c>
      <c r="M128" s="286"/>
      <c r="N128" s="286"/>
      <c r="O128" s="311">
        <f t="shared" si="42"/>
        <v>10.36815</v>
      </c>
      <c r="P128" s="311">
        <f t="shared" si="42"/>
        <v>17.849373499999999</v>
      </c>
      <c r="Q128" s="285"/>
      <c r="R128" s="278"/>
      <c r="S128" s="278"/>
      <c r="T128" s="278"/>
      <c r="U128" s="304"/>
    </row>
    <row r="129" spans="1:21" s="305" customFormat="1" ht="14.45" hidden="1" customHeight="1" outlineLevel="1" x14ac:dyDescent="0.25">
      <c r="A129" s="330">
        <v>2.38</v>
      </c>
      <c r="B129" s="279" t="str">
        <f t="shared" si="49"/>
        <v>50x50x1.6SHS</v>
      </c>
      <c r="C129" s="278" t="s">
        <v>1168</v>
      </c>
      <c r="D129" s="323"/>
      <c r="E129" s="323" t="s">
        <v>152</v>
      </c>
      <c r="F129" s="278"/>
      <c r="G129" s="278" t="s">
        <v>15</v>
      </c>
      <c r="H129" s="328">
        <f t="shared" si="40"/>
        <v>3.3320000000000002E-2</v>
      </c>
      <c r="I129" s="280">
        <f t="shared" si="44"/>
        <v>2.6862584000000003</v>
      </c>
      <c r="J129" s="281">
        <f t="shared" si="45"/>
        <v>3.0464476000000005</v>
      </c>
      <c r="K129" s="282">
        <f>IF(Notes!$B$9="Domestic",I129, IF(Notes!$B$9="Commercial",J129))*$K$108</f>
        <v>3.0464476000000005</v>
      </c>
      <c r="L129" s="283">
        <f>(SUM(O129:Q129)+(K129+SUM(M129:Q129))*(INDEX($U$108:$AB$108,MATCH(Notes!$C$16,$U$3:$AB$3,0))-100%))*$L$108</f>
        <v>16.419976999999996</v>
      </c>
      <c r="M129" s="286"/>
      <c r="N129" s="286"/>
      <c r="O129" s="311">
        <f t="shared" si="42"/>
        <v>6.0333000000000006</v>
      </c>
      <c r="P129" s="311">
        <f t="shared" si="42"/>
        <v>10.386676999999997</v>
      </c>
      <c r="Q129" s="285"/>
      <c r="R129" s="278"/>
      <c r="S129" s="278"/>
      <c r="T129" s="278"/>
      <c r="U129" s="304"/>
    </row>
    <row r="130" spans="1:21" s="305" customFormat="1" ht="14.45" hidden="1" customHeight="1" outlineLevel="1" x14ac:dyDescent="0.25">
      <c r="A130" s="330">
        <v>2.93</v>
      </c>
      <c r="B130" s="279" t="str">
        <f t="shared" si="49"/>
        <v>50x50x2SHS</v>
      </c>
      <c r="C130" s="278" t="s">
        <v>1169</v>
      </c>
      <c r="D130" s="323"/>
      <c r="E130" s="323" t="s">
        <v>152</v>
      </c>
      <c r="F130" s="278"/>
      <c r="G130" s="278" t="s">
        <v>15</v>
      </c>
      <c r="H130" s="328">
        <f t="shared" si="40"/>
        <v>4.1020000000000001E-2</v>
      </c>
      <c r="I130" s="280">
        <f t="shared" si="44"/>
        <v>3.3070324000000002</v>
      </c>
      <c r="J130" s="281">
        <f t="shared" si="45"/>
        <v>3.7504586000000004</v>
      </c>
      <c r="K130" s="282">
        <f>IF(Notes!$B$9="Domestic",I130, IF(Notes!$B$9="Commercial",J130))*$K$108</f>
        <v>3.7504586000000004</v>
      </c>
      <c r="L130" s="283">
        <f>(SUM(O130:Q130)+(K130+SUM(M130:Q130))*(INDEX($U$108:$AB$108,MATCH(Notes!$C$16,$U$3:$AB$3,0))-100%))*$L$108</f>
        <v>20.214509499999998</v>
      </c>
      <c r="M130" s="286"/>
      <c r="N130" s="286"/>
      <c r="O130" s="311">
        <f t="shared" si="42"/>
        <v>7.4275500000000001</v>
      </c>
      <c r="P130" s="311">
        <f t="shared" si="42"/>
        <v>12.786959499999998</v>
      </c>
      <c r="Q130" s="285"/>
      <c r="R130" s="278"/>
      <c r="S130" s="278"/>
      <c r="T130" s="278"/>
      <c r="U130" s="304"/>
    </row>
    <row r="131" spans="1:21" s="305" customFormat="1" ht="14.45" hidden="1" customHeight="1" outlineLevel="1" x14ac:dyDescent="0.25">
      <c r="A131" s="330">
        <v>3.6</v>
      </c>
      <c r="B131" s="279" t="str">
        <f t="shared" si="49"/>
        <v>50x50x2.5SHS</v>
      </c>
      <c r="C131" s="278" t="s">
        <v>1170</v>
      </c>
      <c r="D131" s="323"/>
      <c r="E131" s="323" t="s">
        <v>152</v>
      </c>
      <c r="F131" s="278"/>
      <c r="G131" s="278" t="s">
        <v>15</v>
      </c>
      <c r="H131" s="328">
        <f t="shared" si="40"/>
        <v>5.04E-2</v>
      </c>
      <c r="I131" s="280">
        <f t="shared" si="44"/>
        <v>4.0632480000000006</v>
      </c>
      <c r="J131" s="281">
        <f t="shared" si="45"/>
        <v>4.6080719999999999</v>
      </c>
      <c r="K131" s="282">
        <f>IF(Notes!$B$9="Domestic",I131, IF(Notes!$B$9="Commercial",J131))*$K$108</f>
        <v>4.6080719999999999</v>
      </c>
      <c r="L131" s="283">
        <f>(SUM(O131:Q131)+(K131+SUM(M131:Q131))*(INDEX($U$108:$AB$108,MATCH(Notes!$C$16,$U$3:$AB$3,0))-100%))*$L$108</f>
        <v>24.836939999999998</v>
      </c>
      <c r="M131" s="286"/>
      <c r="N131" s="286"/>
      <c r="O131" s="311">
        <f t="shared" si="42"/>
        <v>9.1259999999999994</v>
      </c>
      <c r="P131" s="311">
        <f t="shared" si="42"/>
        <v>15.710939999999999</v>
      </c>
      <c r="Q131" s="285"/>
      <c r="R131" s="278"/>
      <c r="S131" s="278"/>
      <c r="T131" s="278"/>
      <c r="U131" s="304"/>
    </row>
    <row r="132" spans="1:21" s="305" customFormat="1" ht="14.45" hidden="1" customHeight="1" outlineLevel="1" x14ac:dyDescent="0.25">
      <c r="A132" s="330">
        <v>4.25</v>
      </c>
      <c r="B132" s="279" t="str">
        <f t="shared" si="43"/>
        <v>50x50x3SHS</v>
      </c>
      <c r="C132" s="278" t="s">
        <v>1171</v>
      </c>
      <c r="D132" s="323"/>
      <c r="E132" s="323" t="s">
        <v>152</v>
      </c>
      <c r="F132" s="278"/>
      <c r="G132" s="278" t="s">
        <v>15</v>
      </c>
      <c r="H132" s="328">
        <f t="shared" si="40"/>
        <v>5.9499999999999997E-2</v>
      </c>
      <c r="I132" s="280">
        <f t="shared" si="44"/>
        <v>4.7968900000000003</v>
      </c>
      <c r="J132" s="281">
        <f t="shared" si="45"/>
        <v>5.4400849999999998</v>
      </c>
      <c r="K132" s="282">
        <f>IF(Notes!$B$9="Domestic",I132, IF(Notes!$B$9="Commercial",J132))*$K$108</f>
        <v>5.4400849999999998</v>
      </c>
      <c r="L132" s="283">
        <f>(SUM(O132:Q132)+(K132+SUM(M132:Q132))*(INDEX($U$108:$AB$108,MATCH(Notes!$C$16,$U$3:$AB$3,0))-100%))*$L$108</f>
        <v>29.321387499999997</v>
      </c>
      <c r="M132" s="286"/>
      <c r="N132" s="286"/>
      <c r="O132" s="311">
        <f t="shared" si="42"/>
        <v>10.77375</v>
      </c>
      <c r="P132" s="311">
        <f t="shared" si="42"/>
        <v>18.547637499999997</v>
      </c>
      <c r="Q132" s="285"/>
      <c r="R132" s="278"/>
      <c r="S132" s="278"/>
      <c r="T132" s="278"/>
      <c r="U132" s="304"/>
    </row>
    <row r="133" spans="1:21" s="305" customFormat="1" ht="14.45" hidden="1" customHeight="1" outlineLevel="1" x14ac:dyDescent="0.25">
      <c r="A133" s="330">
        <v>5.35</v>
      </c>
      <c r="B133" s="279" t="str">
        <f t="shared" si="43"/>
        <v>50x50x4SHS</v>
      </c>
      <c r="C133" s="278" t="s">
        <v>1172</v>
      </c>
      <c r="D133" s="323"/>
      <c r="E133" s="323" t="s">
        <v>152</v>
      </c>
      <c r="F133" s="278"/>
      <c r="G133" s="278" t="s">
        <v>15</v>
      </c>
      <c r="H133" s="328">
        <f t="shared" si="40"/>
        <v>7.4899999999999994E-2</v>
      </c>
      <c r="I133" s="280">
        <f t="shared" si="44"/>
        <v>6.0384380000000002</v>
      </c>
      <c r="J133" s="281">
        <f t="shared" si="45"/>
        <v>6.8481069999999997</v>
      </c>
      <c r="K133" s="282">
        <f>IF(Notes!$B$9="Domestic",I133, IF(Notes!$B$9="Commercial",J133))*$K$108</f>
        <v>6.8481069999999997</v>
      </c>
      <c r="L133" s="283">
        <f>(SUM(O133:Q133)+(K133+SUM(M133:Q133))*(INDEX($U$108:$AB$108,MATCH(Notes!$C$16,$U$3:$AB$3,0))-100%))*$L$108</f>
        <v>36.910452499999998</v>
      </c>
      <c r="M133" s="286"/>
      <c r="N133" s="286"/>
      <c r="O133" s="311">
        <f t="shared" si="42"/>
        <v>13.562250000000001</v>
      </c>
      <c r="P133" s="311">
        <f t="shared" si="42"/>
        <v>23.348202499999996</v>
      </c>
      <c r="Q133" s="285"/>
      <c r="R133" s="278"/>
      <c r="S133" s="278"/>
      <c r="T133" s="278"/>
      <c r="U133" s="304"/>
    </row>
    <row r="134" spans="1:21" s="305" customFormat="1" ht="14.45" hidden="1" customHeight="1" outlineLevel="1" x14ac:dyDescent="0.25">
      <c r="A134" s="330">
        <v>6.39</v>
      </c>
      <c r="B134" s="279" t="str">
        <f t="shared" si="43"/>
        <v>50x50x5SHS</v>
      </c>
      <c r="C134" s="278" t="s">
        <v>1173</v>
      </c>
      <c r="D134" s="323"/>
      <c r="E134" s="323" t="s">
        <v>152</v>
      </c>
      <c r="F134" s="278"/>
      <c r="G134" s="278" t="s">
        <v>15</v>
      </c>
      <c r="H134" s="328">
        <f t="shared" si="40"/>
        <v>8.9459999999999998E-2</v>
      </c>
      <c r="I134" s="280">
        <f t="shared" si="44"/>
        <v>7.2122652</v>
      </c>
      <c r="J134" s="281">
        <f t="shared" si="45"/>
        <v>8.1793278000000011</v>
      </c>
      <c r="K134" s="282">
        <f>IF(Notes!$B$9="Domestic",I134, IF(Notes!$B$9="Commercial",J134))*$K$108</f>
        <v>8.1793278000000011</v>
      </c>
      <c r="L134" s="283">
        <f>(SUM(O134:Q134)+(K134+SUM(M134:Q134))*(INDEX($U$108:$AB$108,MATCH(Notes!$C$16,$U$3:$AB$3,0))-100%))*$L$108</f>
        <v>44.085568499999994</v>
      </c>
      <c r="M134" s="286"/>
      <c r="N134" s="286"/>
      <c r="O134" s="311">
        <f t="shared" si="42"/>
        <v>16.198650000000001</v>
      </c>
      <c r="P134" s="311">
        <f t="shared" si="42"/>
        <v>27.886918499999997</v>
      </c>
      <c r="Q134" s="285"/>
      <c r="R134" s="278"/>
      <c r="S134" s="278"/>
      <c r="T134" s="278"/>
      <c r="U134" s="304"/>
    </row>
    <row r="135" spans="1:21" s="305" customFormat="1" ht="14.45" hidden="1" customHeight="1" outlineLevel="1" x14ac:dyDescent="0.25">
      <c r="A135" s="330">
        <v>7.32</v>
      </c>
      <c r="B135" s="279" t="str">
        <f t="shared" ref="B135:B136" si="50">C135&amp;D135&amp;E135&amp;F135</f>
        <v>50x50x6SHS</v>
      </c>
      <c r="C135" s="278" t="s">
        <v>1174</v>
      </c>
      <c r="D135" s="323"/>
      <c r="E135" s="323" t="s">
        <v>152</v>
      </c>
      <c r="F135" s="278"/>
      <c r="G135" s="278" t="s">
        <v>15</v>
      </c>
      <c r="H135" s="328">
        <f t="shared" si="40"/>
        <v>0.10248</v>
      </c>
      <c r="I135" s="280">
        <f t="shared" ref="I135:I136" si="51">$I$2*H135</f>
        <v>8.2619376000000013</v>
      </c>
      <c r="J135" s="281">
        <f t="shared" ref="J135:J136" si="52">$J$2*H135</f>
        <v>9.3697464000000004</v>
      </c>
      <c r="K135" s="282">
        <f>IF(Notes!$B$9="Domestic",I135, IF(Notes!$B$9="Commercial",J135))*$K$108</f>
        <v>9.3697464000000004</v>
      </c>
      <c r="L135" s="283">
        <f>(SUM(O135:Q135)+(K135+SUM(M135:Q135))*(INDEX($U$108:$AB$108,MATCH(Notes!$C$16,$U$3:$AB$3,0))-100%))*$L$108</f>
        <v>50.501778000000002</v>
      </c>
      <c r="M135" s="286"/>
      <c r="N135" s="286"/>
      <c r="O135" s="311">
        <f t="shared" si="42"/>
        <v>18.5562</v>
      </c>
      <c r="P135" s="311">
        <f t="shared" si="42"/>
        <v>31.945577999999998</v>
      </c>
      <c r="Q135" s="285"/>
      <c r="R135" s="278"/>
      <c r="S135" s="278"/>
      <c r="T135" s="278"/>
      <c r="U135" s="304"/>
    </row>
    <row r="136" spans="1:21" s="305" customFormat="1" ht="14.45" hidden="1" customHeight="1" outlineLevel="1" x14ac:dyDescent="0.25">
      <c r="A136" s="330">
        <v>3.13</v>
      </c>
      <c r="B136" s="279" t="str">
        <f t="shared" si="50"/>
        <v>65x65x1.6SHS</v>
      </c>
      <c r="C136" s="278" t="s">
        <v>1175</v>
      </c>
      <c r="D136" s="323"/>
      <c r="E136" s="323" t="s">
        <v>152</v>
      </c>
      <c r="F136" s="278"/>
      <c r="G136" s="278" t="s">
        <v>15</v>
      </c>
      <c r="H136" s="328">
        <f t="shared" si="40"/>
        <v>4.3819999999999998E-2</v>
      </c>
      <c r="I136" s="280">
        <f t="shared" si="51"/>
        <v>3.5327684000000001</v>
      </c>
      <c r="J136" s="281">
        <f t="shared" si="52"/>
        <v>4.0064625999999999</v>
      </c>
      <c r="K136" s="282">
        <f>IF(Notes!$B$9="Domestic",I136, IF(Notes!$B$9="Commercial",J136))*$K$108</f>
        <v>4.0064625999999999</v>
      </c>
      <c r="L136" s="283">
        <f>(SUM(O136:Q136)+(K136+SUM(M136:Q136))*(INDEX($U$108:$AB$108,MATCH(Notes!$C$16,$U$3:$AB$3,0))-100%))*$L$108</f>
        <v>21.594339499999997</v>
      </c>
      <c r="M136" s="286"/>
      <c r="N136" s="286"/>
      <c r="O136" s="311">
        <f t="shared" si="42"/>
        <v>7.9345499999999998</v>
      </c>
      <c r="P136" s="311">
        <f t="shared" si="42"/>
        <v>13.659789499999999</v>
      </c>
      <c r="Q136" s="285"/>
      <c r="R136" s="278"/>
      <c r="S136" s="278"/>
      <c r="T136" s="278"/>
      <c r="U136" s="304"/>
    </row>
    <row r="137" spans="1:21" s="305" customFormat="1" ht="14.45" hidden="1" customHeight="1" outlineLevel="1" x14ac:dyDescent="0.25">
      <c r="A137" s="330">
        <v>3.88</v>
      </c>
      <c r="B137" s="279" t="str">
        <f t="shared" si="43"/>
        <v>65x65x2SHS</v>
      </c>
      <c r="C137" s="278" t="s">
        <v>1176</v>
      </c>
      <c r="D137" s="323"/>
      <c r="E137" s="323" t="s">
        <v>152</v>
      </c>
      <c r="F137" s="278"/>
      <c r="G137" s="278" t="s">
        <v>15</v>
      </c>
      <c r="H137" s="328">
        <f t="shared" si="40"/>
        <v>5.432E-2</v>
      </c>
      <c r="I137" s="280">
        <f t="shared" si="44"/>
        <v>4.3792784000000005</v>
      </c>
      <c r="J137" s="281">
        <f t="shared" si="45"/>
        <v>4.9664776000000002</v>
      </c>
      <c r="K137" s="282">
        <f>IF(Notes!$B$9="Domestic",I137, IF(Notes!$B$9="Commercial",J137))*$K$108</f>
        <v>4.9664776000000002</v>
      </c>
      <c r="L137" s="283">
        <f>(SUM(O137:Q137)+(K137+SUM(M137:Q137))*(INDEX($U$108:$AB$108,MATCH(Notes!$C$16,$U$3:$AB$3,0))-100%))*$L$108</f>
        <v>26.768701999999998</v>
      </c>
      <c r="M137" s="286"/>
      <c r="N137" s="286"/>
      <c r="O137" s="311">
        <f t="shared" si="42"/>
        <v>9.835799999999999</v>
      </c>
      <c r="P137" s="311">
        <f t="shared" si="42"/>
        <v>16.932901999999999</v>
      </c>
      <c r="Q137" s="285"/>
      <c r="R137" s="278"/>
      <c r="S137" s="278"/>
      <c r="T137" s="278"/>
      <c r="U137" s="304"/>
    </row>
    <row r="138" spans="1:21" s="305" customFormat="1" ht="14.45" hidden="1" customHeight="1" outlineLevel="1" x14ac:dyDescent="0.25">
      <c r="A138" s="330">
        <v>4.78</v>
      </c>
      <c r="B138" s="279" t="str">
        <f t="shared" si="43"/>
        <v>65x65x2.5SHS</v>
      </c>
      <c r="C138" s="278" t="s">
        <v>1177</v>
      </c>
      <c r="D138" s="323"/>
      <c r="E138" s="323" t="s">
        <v>152</v>
      </c>
      <c r="F138" s="278"/>
      <c r="G138" s="278" t="s">
        <v>15</v>
      </c>
      <c r="H138" s="328">
        <f t="shared" si="40"/>
        <v>6.6920000000000007E-2</v>
      </c>
      <c r="I138" s="280">
        <f t="shared" si="44"/>
        <v>5.3950904000000008</v>
      </c>
      <c r="J138" s="281">
        <f t="shared" si="45"/>
        <v>6.118495600000001</v>
      </c>
      <c r="K138" s="282">
        <f>IF(Notes!$B$9="Domestic",I138, IF(Notes!$B$9="Commercial",J138))*$K$108</f>
        <v>6.118495600000001</v>
      </c>
      <c r="L138" s="283">
        <f>(SUM(O138:Q138)+(K138+SUM(M138:Q138))*(INDEX($U$108:$AB$108,MATCH(Notes!$C$16,$U$3:$AB$3,0))-100%))*$L$108</f>
        <v>32.977937000000004</v>
      </c>
      <c r="M138" s="286"/>
      <c r="N138" s="286"/>
      <c r="O138" s="311">
        <f t="shared" si="42"/>
        <v>12.117300000000002</v>
      </c>
      <c r="P138" s="311">
        <f t="shared" si="42"/>
        <v>20.860637000000001</v>
      </c>
      <c r="Q138" s="285"/>
      <c r="R138" s="278"/>
      <c r="S138" s="278"/>
      <c r="T138" s="278"/>
      <c r="U138" s="304"/>
    </row>
    <row r="139" spans="1:21" s="305" customFormat="1" ht="14.45" hidden="1" customHeight="1" outlineLevel="1" x14ac:dyDescent="0.25">
      <c r="A139" s="330">
        <v>5.66</v>
      </c>
      <c r="B139" s="279" t="str">
        <f t="shared" si="43"/>
        <v>65x65x3SHS</v>
      </c>
      <c r="C139" s="278" t="s">
        <v>1178</v>
      </c>
      <c r="D139" s="323"/>
      <c r="E139" s="323" t="s">
        <v>152</v>
      </c>
      <c r="F139" s="278"/>
      <c r="G139" s="278" t="s">
        <v>15</v>
      </c>
      <c r="H139" s="328">
        <f t="shared" si="40"/>
        <v>7.9240000000000005E-2</v>
      </c>
      <c r="I139" s="280">
        <f t="shared" si="44"/>
        <v>6.3883288000000009</v>
      </c>
      <c r="J139" s="281">
        <f t="shared" si="45"/>
        <v>7.2449132000000009</v>
      </c>
      <c r="K139" s="282">
        <f>IF(Notes!$B$9="Domestic",I139, IF(Notes!$B$9="Commercial",J139))*$K$108</f>
        <v>7.2449132000000009</v>
      </c>
      <c r="L139" s="283">
        <f>(SUM(O139:Q139)+(K139+SUM(M139:Q139))*(INDEX($U$108:$AB$108,MATCH(Notes!$C$16,$U$3:$AB$3,0))-100%))*$L$108</f>
        <v>39.049188999999998</v>
      </c>
      <c r="M139" s="286"/>
      <c r="N139" s="286"/>
      <c r="O139" s="311">
        <f t="shared" si="42"/>
        <v>14.348100000000001</v>
      </c>
      <c r="P139" s="311">
        <f t="shared" si="42"/>
        <v>24.701089</v>
      </c>
      <c r="Q139" s="285"/>
      <c r="R139" s="278"/>
      <c r="S139" s="278"/>
      <c r="T139" s="278"/>
      <c r="U139" s="304"/>
    </row>
    <row r="140" spans="1:21" s="305" customFormat="1" ht="14.45" hidden="1" customHeight="1" outlineLevel="1" x14ac:dyDescent="0.25">
      <c r="A140" s="330">
        <v>7.23</v>
      </c>
      <c r="B140" s="279" t="str">
        <f t="shared" si="43"/>
        <v>65x65x4SHS</v>
      </c>
      <c r="C140" s="278" t="s">
        <v>1179</v>
      </c>
      <c r="D140" s="323"/>
      <c r="E140" s="323" t="s">
        <v>152</v>
      </c>
      <c r="F140" s="278"/>
      <c r="G140" s="278" t="s">
        <v>15</v>
      </c>
      <c r="H140" s="328">
        <f t="shared" si="40"/>
        <v>0.10122</v>
      </c>
      <c r="I140" s="280">
        <f t="shared" si="44"/>
        <v>8.1603564000000013</v>
      </c>
      <c r="J140" s="281">
        <f t="shared" si="45"/>
        <v>9.2545446000000009</v>
      </c>
      <c r="K140" s="282">
        <f>IF(Notes!$B$9="Domestic",I140, IF(Notes!$B$9="Commercial",J140))*$K$108</f>
        <v>9.2545446000000009</v>
      </c>
      <c r="L140" s="283">
        <f>(SUM(O140:Q140)+(K140+SUM(M140:Q140))*(INDEX($U$108:$AB$108,MATCH(Notes!$C$16,$U$3:$AB$3,0))-100%))*$L$108</f>
        <v>49.880854499999998</v>
      </c>
      <c r="M140" s="286"/>
      <c r="N140" s="286"/>
      <c r="O140" s="311">
        <f t="shared" si="42"/>
        <v>18.328049999999998</v>
      </c>
      <c r="P140" s="311">
        <f t="shared" si="42"/>
        <v>31.552804499999997</v>
      </c>
      <c r="Q140" s="285"/>
      <c r="R140" s="278"/>
      <c r="S140" s="278"/>
      <c r="T140" s="278"/>
      <c r="U140" s="304"/>
    </row>
    <row r="141" spans="1:21" s="305" customFormat="1" ht="14.45" hidden="1" customHeight="1" outlineLevel="1" x14ac:dyDescent="0.25">
      <c r="A141" s="330">
        <v>8.75</v>
      </c>
      <c r="B141" s="279" t="str">
        <f t="shared" si="43"/>
        <v>65x65x5SHS</v>
      </c>
      <c r="C141" s="278" t="s">
        <v>1180</v>
      </c>
      <c r="D141" s="323"/>
      <c r="E141" s="323" t="s">
        <v>152</v>
      </c>
      <c r="F141" s="278"/>
      <c r="G141" s="278" t="s">
        <v>15</v>
      </c>
      <c r="H141" s="328">
        <f t="shared" si="40"/>
        <v>0.1225</v>
      </c>
      <c r="I141" s="280">
        <f t="shared" si="44"/>
        <v>9.8759499999999996</v>
      </c>
      <c r="J141" s="281">
        <f t="shared" si="45"/>
        <v>11.200175</v>
      </c>
      <c r="K141" s="282">
        <f>IF(Notes!$B$9="Domestic",I141, IF(Notes!$B$9="Commercial",J141))*$K$108</f>
        <v>11.200175</v>
      </c>
      <c r="L141" s="283">
        <f>(SUM(O141:Q141)+(K141+SUM(M141:Q141))*(INDEX($U$108:$AB$108,MATCH(Notes!$C$16,$U$3:$AB$3,0))-100%))*$L$108</f>
        <v>60.367562499999998</v>
      </c>
      <c r="M141" s="286"/>
      <c r="N141" s="286"/>
      <c r="O141" s="311">
        <f t="shared" si="42"/>
        <v>22.181249999999999</v>
      </c>
      <c r="P141" s="311">
        <f t="shared" si="42"/>
        <v>38.1863125</v>
      </c>
      <c r="Q141" s="285"/>
      <c r="R141" s="278"/>
      <c r="S141" s="278"/>
      <c r="T141" s="278"/>
      <c r="U141" s="304"/>
    </row>
    <row r="142" spans="1:21" s="305" customFormat="1" ht="14.45" hidden="1" customHeight="1" outlineLevel="1" x14ac:dyDescent="0.25">
      <c r="A142" s="330">
        <v>10.1</v>
      </c>
      <c r="B142" s="279" t="str">
        <f t="shared" si="43"/>
        <v>65x65x6SHS</v>
      </c>
      <c r="C142" s="278" t="s">
        <v>1181</v>
      </c>
      <c r="D142" s="323"/>
      <c r="E142" s="323" t="s">
        <v>152</v>
      </c>
      <c r="F142" s="278"/>
      <c r="G142" s="278" t="s">
        <v>15</v>
      </c>
      <c r="H142" s="328">
        <f t="shared" si="40"/>
        <v>0.1414</v>
      </c>
      <c r="I142" s="280">
        <f t="shared" si="44"/>
        <v>11.399668</v>
      </c>
      <c r="J142" s="281">
        <f t="shared" si="45"/>
        <v>12.928202000000001</v>
      </c>
      <c r="K142" s="282">
        <f>IF(Notes!$B$9="Domestic",I142, IF(Notes!$B$9="Commercial",J142))*$K$108</f>
        <v>12.928202000000001</v>
      </c>
      <c r="L142" s="283">
        <f>(SUM(O142:Q142)+(K142+SUM(M142:Q142))*(INDEX($U$108:$AB$108,MATCH(Notes!$C$16,$U$3:$AB$3,0))-100%))*$L$108</f>
        <v>69.681414999999987</v>
      </c>
      <c r="M142" s="286"/>
      <c r="N142" s="286"/>
      <c r="O142" s="311">
        <f t="shared" ref="O142:P188" si="53">O$108*$A142/1000</f>
        <v>25.6035</v>
      </c>
      <c r="P142" s="311">
        <f t="shared" si="53"/>
        <v>44.07791499999999</v>
      </c>
      <c r="Q142" s="285"/>
      <c r="R142" s="278"/>
      <c r="S142" s="278"/>
      <c r="T142" s="278"/>
      <c r="U142" s="304"/>
    </row>
    <row r="143" spans="1:21" s="305" customFormat="1" ht="14.45" hidden="1" customHeight="1" outlineLevel="1" x14ac:dyDescent="0.25">
      <c r="A143" s="330">
        <v>4.5</v>
      </c>
      <c r="B143" s="279" t="str">
        <f t="shared" ref="B143" si="54">C143&amp;D143&amp;E143&amp;F143</f>
        <v>75x75x2SHS</v>
      </c>
      <c r="C143" s="278" t="s">
        <v>1182</v>
      </c>
      <c r="D143" s="323"/>
      <c r="E143" s="323" t="s">
        <v>152</v>
      </c>
      <c r="F143" s="278"/>
      <c r="G143" s="278" t="s">
        <v>15</v>
      </c>
      <c r="H143" s="328">
        <f t="shared" si="40"/>
        <v>6.3E-2</v>
      </c>
      <c r="I143" s="280">
        <f t="shared" ref="I143" si="55">$I$2*H143</f>
        <v>5.0790600000000001</v>
      </c>
      <c r="J143" s="281">
        <f t="shared" ref="J143" si="56">$J$2*H143</f>
        <v>5.7600900000000008</v>
      </c>
      <c r="K143" s="282">
        <f>IF(Notes!$B$9="Domestic",I143, IF(Notes!$B$9="Commercial",J143))*$K$108</f>
        <v>5.7600900000000008</v>
      </c>
      <c r="L143" s="283">
        <f>(SUM(O143:Q143)+(K143+SUM(M143:Q143))*(INDEX($U$108:$AB$108,MATCH(Notes!$C$16,$U$3:$AB$3,0))-100%))*$L$108</f>
        <v>31.046174999999998</v>
      </c>
      <c r="M143" s="286"/>
      <c r="N143" s="286"/>
      <c r="O143" s="311">
        <f t="shared" si="53"/>
        <v>11.407500000000001</v>
      </c>
      <c r="P143" s="311">
        <f t="shared" si="53"/>
        <v>19.638674999999999</v>
      </c>
      <c r="Q143" s="285"/>
      <c r="R143" s="278"/>
      <c r="S143" s="278"/>
      <c r="T143" s="278"/>
      <c r="U143" s="304"/>
    </row>
    <row r="144" spans="1:21" s="305" customFormat="1" ht="14.45" hidden="1" customHeight="1" outlineLevel="1" x14ac:dyDescent="0.25">
      <c r="A144" s="330">
        <v>5.56</v>
      </c>
      <c r="B144" s="279" t="str">
        <f t="shared" si="43"/>
        <v>75x75x2.5SHS</v>
      </c>
      <c r="C144" s="278" t="s">
        <v>1183</v>
      </c>
      <c r="D144" s="323"/>
      <c r="E144" s="323" t="s">
        <v>152</v>
      </c>
      <c r="F144" s="278"/>
      <c r="G144" s="278" t="s">
        <v>15</v>
      </c>
      <c r="H144" s="328">
        <f t="shared" si="40"/>
        <v>7.7839999999999993E-2</v>
      </c>
      <c r="I144" s="280">
        <f t="shared" si="44"/>
        <v>6.2754607999999994</v>
      </c>
      <c r="J144" s="281">
        <f t="shared" si="45"/>
        <v>7.1169111999999997</v>
      </c>
      <c r="K144" s="282">
        <f>IF(Notes!$B$9="Domestic",I144, IF(Notes!$B$9="Commercial",J144))*$K$108</f>
        <v>7.1169111999999997</v>
      </c>
      <c r="L144" s="283">
        <f>(SUM(O144:Q144)+(K144+SUM(M144:Q144))*(INDEX($U$108:$AB$108,MATCH(Notes!$C$16,$U$3:$AB$3,0))-100%))*$L$108</f>
        <v>38.359273999999992</v>
      </c>
      <c r="M144" s="286"/>
      <c r="N144" s="286"/>
      <c r="O144" s="311">
        <f t="shared" si="53"/>
        <v>14.094599999999998</v>
      </c>
      <c r="P144" s="311">
        <f t="shared" si="53"/>
        <v>24.264673999999996</v>
      </c>
      <c r="Q144" s="285"/>
      <c r="R144" s="278"/>
      <c r="S144" s="278"/>
      <c r="T144" s="278"/>
      <c r="U144" s="304"/>
    </row>
    <row r="145" spans="1:21" s="305" customFormat="1" ht="14.45" hidden="1" customHeight="1" outlineLevel="1" x14ac:dyDescent="0.25">
      <c r="A145" s="330">
        <v>6.6</v>
      </c>
      <c r="B145" s="279" t="str">
        <f t="shared" si="43"/>
        <v>75x75x3SHS</v>
      </c>
      <c r="C145" s="278" t="s">
        <v>1184</v>
      </c>
      <c r="D145" s="323"/>
      <c r="E145" s="323" t="s">
        <v>152</v>
      </c>
      <c r="F145" s="278"/>
      <c r="G145" s="278" t="s">
        <v>15</v>
      </c>
      <c r="H145" s="328">
        <f t="shared" si="40"/>
        <v>9.2399999999999996E-2</v>
      </c>
      <c r="I145" s="280">
        <f t="shared" si="44"/>
        <v>7.4492880000000001</v>
      </c>
      <c r="J145" s="281">
        <f t="shared" si="45"/>
        <v>8.4481320000000011</v>
      </c>
      <c r="K145" s="282">
        <f>IF(Notes!$B$9="Domestic",I145, IF(Notes!$B$9="Commercial",J145))*$K$108</f>
        <v>8.4481320000000011</v>
      </c>
      <c r="L145" s="283">
        <f>(SUM(O145:Q145)+(K145+SUM(M145:Q145))*(INDEX($U$108:$AB$108,MATCH(Notes!$C$16,$U$3:$AB$3,0))-100%))*$L$108</f>
        <v>45.534390000000002</v>
      </c>
      <c r="M145" s="286"/>
      <c r="N145" s="286"/>
      <c r="O145" s="311">
        <f t="shared" si="53"/>
        <v>16.731000000000002</v>
      </c>
      <c r="P145" s="311">
        <f t="shared" si="53"/>
        <v>28.803389999999997</v>
      </c>
      <c r="Q145" s="285"/>
      <c r="R145" s="278"/>
      <c r="S145" s="278"/>
      <c r="T145" s="278"/>
      <c r="U145" s="304"/>
    </row>
    <row r="146" spans="1:21" s="305" customFormat="1" ht="14.45" hidden="1" customHeight="1" outlineLevel="1" x14ac:dyDescent="0.25">
      <c r="A146" s="330">
        <v>7.53</v>
      </c>
      <c r="B146" s="279" t="str">
        <f t="shared" ref="B146" si="57">C146&amp;D146&amp;E146&amp;F146</f>
        <v>75x75x3.5SHS</v>
      </c>
      <c r="C146" s="278" t="s">
        <v>1185</v>
      </c>
      <c r="D146" s="323"/>
      <c r="E146" s="323" t="s">
        <v>152</v>
      </c>
      <c r="F146" s="278"/>
      <c r="G146" s="278" t="s">
        <v>15</v>
      </c>
      <c r="H146" s="328">
        <f t="shared" si="40"/>
        <v>0.10542</v>
      </c>
      <c r="I146" s="280">
        <f t="shared" ref="I146" si="58">$I$2*H146</f>
        <v>8.4989603999999996</v>
      </c>
      <c r="J146" s="281">
        <f t="shared" ref="J146" si="59">$J$2*H146</f>
        <v>9.6385506000000003</v>
      </c>
      <c r="K146" s="282">
        <f>IF(Notes!$B$9="Domestic",I146, IF(Notes!$B$9="Commercial",J146))*$K$108</f>
        <v>9.6385506000000003</v>
      </c>
      <c r="L146" s="283">
        <f>(SUM(O146:Q146)+(K146+SUM(M146:Q146))*(INDEX($U$108:$AB$108,MATCH(Notes!$C$16,$U$3:$AB$3,0))-100%))*$L$108</f>
        <v>51.950599499999996</v>
      </c>
      <c r="M146" s="286"/>
      <c r="N146" s="286"/>
      <c r="O146" s="311">
        <f t="shared" si="53"/>
        <v>19.088549999999998</v>
      </c>
      <c r="P146" s="311">
        <f t="shared" si="53"/>
        <v>32.862049499999998</v>
      </c>
      <c r="Q146" s="285"/>
      <c r="R146" s="278"/>
      <c r="S146" s="278"/>
      <c r="T146" s="278"/>
      <c r="U146" s="304"/>
    </row>
    <row r="147" spans="1:21" s="305" customFormat="1" ht="14.45" hidden="1" customHeight="1" outlineLevel="1" x14ac:dyDescent="0.25">
      <c r="A147" s="330">
        <v>8.49</v>
      </c>
      <c r="B147" s="279" t="str">
        <f t="shared" si="43"/>
        <v>75x75x4SHS</v>
      </c>
      <c r="C147" s="278" t="s">
        <v>1186</v>
      </c>
      <c r="D147" s="323"/>
      <c r="E147" s="323" t="s">
        <v>152</v>
      </c>
      <c r="F147" s="278"/>
      <c r="G147" s="278" t="s">
        <v>15</v>
      </c>
      <c r="H147" s="328">
        <f t="shared" si="40"/>
        <v>0.11885999999999999</v>
      </c>
      <c r="I147" s="280">
        <f t="shared" si="44"/>
        <v>9.5824932</v>
      </c>
      <c r="J147" s="281">
        <f t="shared" si="45"/>
        <v>10.867369800000001</v>
      </c>
      <c r="K147" s="282">
        <f>IF(Notes!$B$9="Domestic",I147, IF(Notes!$B$9="Commercial",J147))*$K$108</f>
        <v>10.867369800000001</v>
      </c>
      <c r="L147" s="283">
        <f>(SUM(O147:Q147)+(K147+SUM(M147:Q147))*(INDEX($U$108:$AB$108,MATCH(Notes!$C$16,$U$3:$AB$3,0))-100%))*$L$108</f>
        <v>58.57378349999999</v>
      </c>
      <c r="M147" s="286"/>
      <c r="N147" s="286"/>
      <c r="O147" s="311">
        <f t="shared" si="53"/>
        <v>21.52215</v>
      </c>
      <c r="P147" s="311">
        <f t="shared" si="53"/>
        <v>37.051633499999994</v>
      </c>
      <c r="Q147" s="285"/>
      <c r="R147" s="278"/>
      <c r="S147" s="278"/>
      <c r="T147" s="278"/>
      <c r="U147" s="304"/>
    </row>
    <row r="148" spans="1:21" s="305" customFormat="1" ht="14.45" hidden="1" customHeight="1" outlineLevel="1" x14ac:dyDescent="0.25">
      <c r="A148" s="330">
        <v>10.3</v>
      </c>
      <c r="B148" s="279" t="str">
        <f t="shared" si="43"/>
        <v>75x75x5SHS</v>
      </c>
      <c r="C148" s="278" t="s">
        <v>1187</v>
      </c>
      <c r="D148" s="323"/>
      <c r="E148" s="323" t="s">
        <v>152</v>
      </c>
      <c r="F148" s="278"/>
      <c r="G148" s="278" t="s">
        <v>15</v>
      </c>
      <c r="H148" s="328">
        <f t="shared" si="40"/>
        <v>0.14420000000000002</v>
      </c>
      <c r="I148" s="280">
        <f t="shared" si="44"/>
        <v>11.625404000000003</v>
      </c>
      <c r="J148" s="281">
        <f t="shared" si="45"/>
        <v>13.184206000000003</v>
      </c>
      <c r="K148" s="282">
        <f>IF(Notes!$B$9="Domestic",I148, IF(Notes!$B$9="Commercial",J148))*$K$108</f>
        <v>13.184206000000003</v>
      </c>
      <c r="L148" s="283">
        <f>(SUM(O148:Q148)+(K148+SUM(M148:Q148))*(INDEX($U$108:$AB$108,MATCH(Notes!$C$16,$U$3:$AB$3,0))-100%))*$L$108</f>
        <v>71.061245</v>
      </c>
      <c r="M148" s="286"/>
      <c r="N148" s="286"/>
      <c r="O148" s="311">
        <f t="shared" si="53"/>
        <v>26.110499999999998</v>
      </c>
      <c r="P148" s="311">
        <f t="shared" si="53"/>
        <v>44.950745000000005</v>
      </c>
      <c r="Q148" s="285"/>
      <c r="R148" s="278"/>
      <c r="S148" s="278"/>
      <c r="T148" s="278"/>
      <c r="U148" s="304"/>
    </row>
    <row r="149" spans="1:21" s="305" customFormat="1" ht="14.45" hidden="1" customHeight="1" outlineLevel="1" x14ac:dyDescent="0.25">
      <c r="A149" s="330">
        <v>12</v>
      </c>
      <c r="B149" s="279" t="str">
        <f t="shared" si="43"/>
        <v>75x75x6SHS</v>
      </c>
      <c r="C149" s="278" t="s">
        <v>1188</v>
      </c>
      <c r="D149" s="323"/>
      <c r="E149" s="323" t="s">
        <v>152</v>
      </c>
      <c r="F149" s="278"/>
      <c r="G149" s="278" t="s">
        <v>15</v>
      </c>
      <c r="H149" s="328">
        <f t="shared" si="40"/>
        <v>0.16800000000000001</v>
      </c>
      <c r="I149" s="280">
        <f t="shared" si="44"/>
        <v>13.544160000000002</v>
      </c>
      <c r="J149" s="281">
        <f t="shared" si="45"/>
        <v>15.360240000000003</v>
      </c>
      <c r="K149" s="282">
        <f>IF(Notes!$B$9="Domestic",I149, IF(Notes!$B$9="Commercial",J149))*$K$108</f>
        <v>15.360240000000003</v>
      </c>
      <c r="L149" s="283">
        <f>(SUM(O149:Q149)+(K149+SUM(M149:Q149))*(INDEX($U$108:$AB$108,MATCH(Notes!$C$16,$U$3:$AB$3,0))-100%))*$L$108</f>
        <v>82.7898</v>
      </c>
      <c r="M149" s="286"/>
      <c r="N149" s="286"/>
      <c r="O149" s="311">
        <f t="shared" si="53"/>
        <v>30.42</v>
      </c>
      <c r="P149" s="311">
        <f t="shared" si="53"/>
        <v>52.369799999999998</v>
      </c>
      <c r="Q149" s="285"/>
      <c r="R149" s="278"/>
      <c r="S149" s="278"/>
      <c r="T149" s="278"/>
      <c r="U149" s="304"/>
    </row>
    <row r="150" spans="1:21" s="305" customFormat="1" ht="14.45" hidden="1" customHeight="1" outlineLevel="1" x14ac:dyDescent="0.25">
      <c r="A150" s="330">
        <v>5.38</v>
      </c>
      <c r="B150" s="279" t="str">
        <f t="shared" si="43"/>
        <v>89x89x2SHS</v>
      </c>
      <c r="C150" s="278" t="s">
        <v>1189</v>
      </c>
      <c r="D150" s="323"/>
      <c r="E150" s="323" t="s">
        <v>152</v>
      </c>
      <c r="F150" s="278"/>
      <c r="G150" s="278" t="s">
        <v>15</v>
      </c>
      <c r="H150" s="328">
        <f t="shared" si="40"/>
        <v>7.5319999999999998E-2</v>
      </c>
      <c r="I150" s="280">
        <f t="shared" si="44"/>
        <v>6.0722984000000002</v>
      </c>
      <c r="J150" s="281">
        <f t="shared" si="45"/>
        <v>6.8865076000000007</v>
      </c>
      <c r="K150" s="282">
        <f>IF(Notes!$B$9="Domestic",I150, IF(Notes!$B$9="Commercial",J150))*$K$108</f>
        <v>6.8865076000000007</v>
      </c>
      <c r="L150" s="283">
        <f>(SUM(O150:Q150)+(K150+SUM(M150:Q150))*(INDEX($U$108:$AB$108,MATCH(Notes!$C$16,$U$3:$AB$3,0))-100%))*$L$108</f>
        <v>37.117426999999999</v>
      </c>
      <c r="M150" s="286"/>
      <c r="N150" s="286"/>
      <c r="O150" s="311">
        <f t="shared" si="53"/>
        <v>13.638299999999999</v>
      </c>
      <c r="P150" s="311">
        <f t="shared" si="53"/>
        <v>23.479126999999998</v>
      </c>
      <c r="Q150" s="285"/>
      <c r="R150" s="278"/>
      <c r="S150" s="278"/>
      <c r="T150" s="278"/>
    </row>
    <row r="151" spans="1:21" s="305" customFormat="1" ht="14.45" hidden="1" customHeight="1" outlineLevel="1" x14ac:dyDescent="0.25">
      <c r="A151" s="330">
        <v>9.06</v>
      </c>
      <c r="B151" s="279" t="str">
        <f t="shared" si="39"/>
        <v>89x89x3.5SHS</v>
      </c>
      <c r="C151" s="278" t="s">
        <v>1190</v>
      </c>
      <c r="D151" s="323"/>
      <c r="E151" s="323" t="s">
        <v>152</v>
      </c>
      <c r="F151" s="278"/>
      <c r="G151" s="278" t="s">
        <v>15</v>
      </c>
      <c r="H151" s="328">
        <f t="shared" si="40"/>
        <v>0.12684000000000001</v>
      </c>
      <c r="I151" s="280">
        <f t="shared" si="38"/>
        <v>10.225840800000002</v>
      </c>
      <c r="J151" s="281">
        <f t="shared" si="41"/>
        <v>11.596981200000002</v>
      </c>
      <c r="K151" s="282">
        <f>IF(Notes!$B$9="Domestic",I151, IF(Notes!$B$9="Commercial",J151))*$K$108</f>
        <v>11.596981200000002</v>
      </c>
      <c r="L151" s="283">
        <f>(SUM(O151:Q151)+(K151+SUM(M151:Q151))*(INDEX($U$108:$AB$108,MATCH(Notes!$C$16,$U$3:$AB$3,0))-100%))*$L$108</f>
        <v>62.506299000000006</v>
      </c>
      <c r="M151" s="286"/>
      <c r="N151" s="286"/>
      <c r="O151" s="311">
        <f t="shared" si="53"/>
        <v>22.967100000000002</v>
      </c>
      <c r="P151" s="311">
        <f t="shared" si="53"/>
        <v>39.539199000000004</v>
      </c>
      <c r="Q151" s="285"/>
      <c r="R151" s="278"/>
      <c r="S151" s="278"/>
      <c r="T151" s="278"/>
    </row>
    <row r="152" spans="1:21" s="305" customFormat="1" hidden="1" outlineLevel="1" x14ac:dyDescent="0.25">
      <c r="A152" s="330">
        <v>12.5</v>
      </c>
      <c r="B152" s="279" t="str">
        <f t="shared" si="39"/>
        <v>89x89x5SHS</v>
      </c>
      <c r="C152" s="278" t="s">
        <v>1191</v>
      </c>
      <c r="D152" s="323"/>
      <c r="E152" s="323" t="s">
        <v>152</v>
      </c>
      <c r="F152" s="278"/>
      <c r="G152" s="278" t="s">
        <v>15</v>
      </c>
      <c r="H152" s="328">
        <f t="shared" si="40"/>
        <v>0.17499999999999999</v>
      </c>
      <c r="I152" s="280">
        <f t="shared" si="38"/>
        <v>14.108499999999999</v>
      </c>
      <c r="J152" s="281">
        <f t="shared" si="41"/>
        <v>16.000250000000001</v>
      </c>
      <c r="K152" s="282">
        <f>IF(Notes!$B$9="Domestic",I152, IF(Notes!$B$9="Commercial",J152))*$K$108</f>
        <v>16.000250000000001</v>
      </c>
      <c r="L152" s="283">
        <f>(SUM(O152:Q152)+(K152+SUM(M152:Q152))*(INDEX($U$108:$AB$108,MATCH(Notes!$C$16,$U$3:$AB$3,0))-100%))*$L$108</f>
        <v>86.239374999999995</v>
      </c>
      <c r="M152" s="286"/>
      <c r="N152" s="286"/>
      <c r="O152" s="311">
        <f t="shared" si="53"/>
        <v>31.6875</v>
      </c>
      <c r="P152" s="311">
        <f t="shared" si="53"/>
        <v>54.551874999999995</v>
      </c>
      <c r="Q152" s="285"/>
      <c r="R152" s="278"/>
      <c r="S152" s="278"/>
      <c r="T152" s="278"/>
    </row>
    <row r="153" spans="1:21" s="305" customFormat="1" hidden="1" outlineLevel="1" x14ac:dyDescent="0.25">
      <c r="A153" s="330">
        <v>14.7</v>
      </c>
      <c r="B153" s="279" t="str">
        <f t="shared" si="39"/>
        <v>89x89x6SHS</v>
      </c>
      <c r="C153" s="278" t="s">
        <v>1192</v>
      </c>
      <c r="D153" s="323"/>
      <c r="E153" s="323" t="s">
        <v>152</v>
      </c>
      <c r="F153" s="278"/>
      <c r="G153" s="278" t="s">
        <v>15</v>
      </c>
      <c r="H153" s="328">
        <f t="shared" si="40"/>
        <v>0.20579999999999998</v>
      </c>
      <c r="I153" s="280">
        <f t="shared" si="38"/>
        <v>16.591595999999999</v>
      </c>
      <c r="J153" s="281">
        <f t="shared" si="41"/>
        <v>18.816293999999999</v>
      </c>
      <c r="K153" s="282">
        <f>IF(Notes!$B$9="Domestic",I153, IF(Notes!$B$9="Commercial",J153))*$K$108</f>
        <v>18.816293999999999</v>
      </c>
      <c r="L153" s="283">
        <f>(SUM(O153:Q153)+(K153+SUM(M153:Q153))*(INDEX($U$108:$AB$108,MATCH(Notes!$C$16,$U$3:$AB$3,0))-100%))*$L$108</f>
        <v>101.41750499999999</v>
      </c>
      <c r="M153" s="286"/>
      <c r="N153" s="286"/>
      <c r="O153" s="311">
        <f t="shared" si="53"/>
        <v>37.264499999999998</v>
      </c>
      <c r="P153" s="311">
        <f t="shared" si="53"/>
        <v>64.153004999999993</v>
      </c>
      <c r="Q153" s="285"/>
      <c r="R153" s="278"/>
      <c r="S153" s="278"/>
      <c r="T153" s="278"/>
    </row>
    <row r="154" spans="1:21" s="305" customFormat="1" hidden="1" outlineLevel="1" x14ac:dyDescent="0.25">
      <c r="A154" s="330">
        <v>6.07</v>
      </c>
      <c r="B154" s="279" t="str">
        <f t="shared" ref="B154" si="60">C154&amp;D154&amp;E154&amp;F154</f>
        <v>100x100x2SHS</v>
      </c>
      <c r="C154" s="278" t="s">
        <v>1193</v>
      </c>
      <c r="D154" s="323"/>
      <c r="E154" s="323" t="s">
        <v>152</v>
      </c>
      <c r="F154" s="278"/>
      <c r="G154" s="278" t="s">
        <v>15</v>
      </c>
      <c r="H154" s="328">
        <f t="shared" si="40"/>
        <v>8.498E-2</v>
      </c>
      <c r="I154" s="280">
        <f t="shared" ref="I154" si="61">$I$2*H154</f>
        <v>6.8510876000000005</v>
      </c>
      <c r="J154" s="281">
        <f t="shared" ref="J154" si="62">$J$2*H154</f>
        <v>7.7697214000000008</v>
      </c>
      <c r="K154" s="282">
        <f>IF(Notes!$B$9="Domestic",I154, IF(Notes!$B$9="Commercial",J154))*$K$108</f>
        <v>7.7697214000000008</v>
      </c>
      <c r="L154" s="283">
        <f>(SUM(O154:Q154)+(K154+SUM(M154:Q154))*(INDEX($U$108:$AB$108,MATCH(Notes!$C$16,$U$3:$AB$3,0))-100%))*$L$108</f>
        <v>41.877840499999998</v>
      </c>
      <c r="M154" s="286"/>
      <c r="N154" s="286"/>
      <c r="O154" s="311">
        <f t="shared" si="53"/>
        <v>15.387450000000001</v>
      </c>
      <c r="P154" s="311">
        <f t="shared" si="53"/>
        <v>26.490390499999997</v>
      </c>
      <c r="Q154" s="285"/>
      <c r="R154" s="278"/>
      <c r="S154" s="278"/>
      <c r="T154" s="278"/>
    </row>
    <row r="155" spans="1:21" s="305" customFormat="1" hidden="1" outlineLevel="1" x14ac:dyDescent="0.25">
      <c r="A155" s="330">
        <v>7.53</v>
      </c>
      <c r="B155" s="279" t="str">
        <f t="shared" si="39"/>
        <v>100x100x2.5SHS</v>
      </c>
      <c r="C155" s="278" t="s">
        <v>1194</v>
      </c>
      <c r="D155" s="323"/>
      <c r="E155" s="323" t="s">
        <v>152</v>
      </c>
      <c r="F155" s="278"/>
      <c r="G155" s="278" t="s">
        <v>15</v>
      </c>
      <c r="H155" s="328">
        <f t="shared" si="40"/>
        <v>0.10542</v>
      </c>
      <c r="I155" s="280">
        <f t="shared" si="38"/>
        <v>8.4989603999999996</v>
      </c>
      <c r="J155" s="281">
        <f t="shared" si="41"/>
        <v>9.6385506000000003</v>
      </c>
      <c r="K155" s="282">
        <f>IF(Notes!$B$9="Domestic",I155, IF(Notes!$B$9="Commercial",J155))*$K$108</f>
        <v>9.6385506000000003</v>
      </c>
      <c r="L155" s="283">
        <f>(SUM(O155:Q155)+(K155+SUM(M155:Q155))*(INDEX($U$108:$AB$108,MATCH(Notes!$C$16,$U$3:$AB$3,0))-100%))*$L$108</f>
        <v>51.950599499999996</v>
      </c>
      <c r="M155" s="286"/>
      <c r="N155" s="286"/>
      <c r="O155" s="311">
        <f t="shared" si="53"/>
        <v>19.088549999999998</v>
      </c>
      <c r="P155" s="311">
        <f t="shared" si="53"/>
        <v>32.862049499999998</v>
      </c>
      <c r="Q155" s="285"/>
      <c r="R155" s="278"/>
      <c r="S155" s="278"/>
      <c r="T155" s="278"/>
    </row>
    <row r="156" spans="1:21" s="305" customFormat="1" hidden="1" outlineLevel="1" x14ac:dyDescent="0.25">
      <c r="A156" s="330">
        <v>8.9600000000000009</v>
      </c>
      <c r="B156" s="279" t="str">
        <f t="shared" ref="B156:B172" si="63">C156&amp;D156&amp;E156&amp;F156</f>
        <v>100x100x3SHS</v>
      </c>
      <c r="C156" s="278" t="s">
        <v>1195</v>
      </c>
      <c r="D156" s="323"/>
      <c r="E156" s="323" t="s">
        <v>152</v>
      </c>
      <c r="F156" s="278"/>
      <c r="G156" s="278" t="s">
        <v>15</v>
      </c>
      <c r="H156" s="328">
        <f t="shared" si="40"/>
        <v>0.12544000000000002</v>
      </c>
      <c r="I156" s="280">
        <f t="shared" ref="I156:I172" si="64">$I$2*H156</f>
        <v>10.112972800000003</v>
      </c>
      <c r="J156" s="281">
        <f t="shared" ref="J156:J172" si="65">$J$2*H156</f>
        <v>11.468979200000003</v>
      </c>
      <c r="K156" s="282">
        <f>IF(Notes!$B$9="Domestic",I156, IF(Notes!$B$9="Commercial",J156))*$K$108</f>
        <v>11.468979200000003</v>
      </c>
      <c r="L156" s="283">
        <f>(SUM(O156:Q156)+(K156+SUM(M156:Q156))*(INDEX($U$108:$AB$108,MATCH(Notes!$C$16,$U$3:$AB$3,0))-100%))*$L$108</f>
        <v>61.816383999999999</v>
      </c>
      <c r="M156" s="286"/>
      <c r="N156" s="286"/>
      <c r="O156" s="311">
        <f t="shared" si="53"/>
        <v>22.713600000000003</v>
      </c>
      <c r="P156" s="311">
        <f t="shared" si="53"/>
        <v>39.102784</v>
      </c>
      <c r="Q156" s="285"/>
      <c r="R156" s="278"/>
      <c r="S156" s="278"/>
      <c r="T156" s="278"/>
    </row>
    <row r="157" spans="1:21" s="305" customFormat="1" hidden="1" outlineLevel="1" x14ac:dyDescent="0.25">
      <c r="A157" s="330">
        <v>11.6</v>
      </c>
      <c r="B157" s="279" t="str">
        <f t="shared" si="63"/>
        <v>100x100x4SHS</v>
      </c>
      <c r="C157" s="278" t="s">
        <v>1196</v>
      </c>
      <c r="D157" s="323"/>
      <c r="E157" s="323" t="s">
        <v>152</v>
      </c>
      <c r="F157" s="278"/>
      <c r="G157" s="278" t="s">
        <v>15</v>
      </c>
      <c r="H157" s="328">
        <f t="shared" si="40"/>
        <v>0.16240000000000002</v>
      </c>
      <c r="I157" s="280">
        <f t="shared" si="64"/>
        <v>13.092688000000003</v>
      </c>
      <c r="J157" s="281">
        <f t="shared" si="65"/>
        <v>14.848232000000003</v>
      </c>
      <c r="K157" s="282">
        <f>IF(Notes!$B$9="Domestic",I157, IF(Notes!$B$9="Commercial",J157))*$K$108</f>
        <v>14.848232000000003</v>
      </c>
      <c r="L157" s="283">
        <f>(SUM(O157:Q157)+(K157+SUM(M157:Q157))*(INDEX($U$108:$AB$108,MATCH(Notes!$C$16,$U$3:$AB$3,0))-100%))*$L$108</f>
        <v>80.030139999999989</v>
      </c>
      <c r="M157" s="286"/>
      <c r="N157" s="286"/>
      <c r="O157" s="311">
        <f t="shared" si="53"/>
        <v>29.405999999999999</v>
      </c>
      <c r="P157" s="311">
        <f t="shared" si="53"/>
        <v>50.62413999999999</v>
      </c>
      <c r="Q157" s="285"/>
      <c r="R157" s="278"/>
      <c r="S157" s="278"/>
      <c r="T157" s="278"/>
    </row>
    <row r="158" spans="1:21" s="305" customFormat="1" hidden="1" outlineLevel="1" x14ac:dyDescent="0.25">
      <c r="A158" s="330">
        <v>14.2</v>
      </c>
      <c r="B158" s="279" t="str">
        <f t="shared" si="63"/>
        <v>100x100x5SHS</v>
      </c>
      <c r="C158" s="278" t="s">
        <v>1197</v>
      </c>
      <c r="D158" s="323"/>
      <c r="E158" s="323" t="s">
        <v>152</v>
      </c>
      <c r="F158" s="278"/>
      <c r="G158" s="278" t="s">
        <v>15</v>
      </c>
      <c r="H158" s="328">
        <f t="shared" si="40"/>
        <v>0.19879999999999998</v>
      </c>
      <c r="I158" s="280">
        <f t="shared" si="64"/>
        <v>16.027255999999998</v>
      </c>
      <c r="J158" s="281">
        <f t="shared" si="65"/>
        <v>18.176283999999999</v>
      </c>
      <c r="K158" s="282">
        <f>IF(Notes!$B$9="Domestic",I158, IF(Notes!$B$9="Commercial",J158))*$K$108</f>
        <v>18.176283999999999</v>
      </c>
      <c r="L158" s="283">
        <f>(SUM(O158:Q158)+(K158+SUM(M158:Q158))*(INDEX($U$108:$AB$108,MATCH(Notes!$C$16,$U$3:$AB$3,0))-100%))*$L$108</f>
        <v>97.967929999999996</v>
      </c>
      <c r="M158" s="286"/>
      <c r="N158" s="286"/>
      <c r="O158" s="311">
        <f t="shared" si="53"/>
        <v>35.997</v>
      </c>
      <c r="P158" s="311">
        <f t="shared" si="53"/>
        <v>61.970929999999996</v>
      </c>
      <c r="Q158" s="285"/>
      <c r="R158" s="278"/>
      <c r="S158" s="278"/>
      <c r="T158" s="278"/>
    </row>
    <row r="159" spans="1:21" s="305" customFormat="1" hidden="1" outlineLevel="1" x14ac:dyDescent="0.25">
      <c r="A159" s="330">
        <v>16.7</v>
      </c>
      <c r="B159" s="279" t="str">
        <f t="shared" si="63"/>
        <v>100x100x6SHS</v>
      </c>
      <c r="C159" s="278" t="s">
        <v>1198</v>
      </c>
      <c r="D159" s="323"/>
      <c r="E159" s="323" t="s">
        <v>152</v>
      </c>
      <c r="F159" s="278"/>
      <c r="G159" s="278" t="s">
        <v>15</v>
      </c>
      <c r="H159" s="328">
        <f t="shared" si="40"/>
        <v>0.23379999999999998</v>
      </c>
      <c r="I159" s="280">
        <f t="shared" si="64"/>
        <v>18.848956000000001</v>
      </c>
      <c r="J159" s="281">
        <f t="shared" si="65"/>
        <v>21.376334</v>
      </c>
      <c r="K159" s="282">
        <f>IF(Notes!$B$9="Domestic",I159, IF(Notes!$B$9="Commercial",J159))*$K$108</f>
        <v>21.376334</v>
      </c>
      <c r="L159" s="283">
        <f>(SUM(O159:Q159)+(K159+SUM(M159:Q159))*(INDEX($U$108:$AB$108,MATCH(Notes!$C$16,$U$3:$AB$3,0))-100%))*$L$108</f>
        <v>115.21580499999999</v>
      </c>
      <c r="M159" s="286"/>
      <c r="N159" s="286"/>
      <c r="O159" s="311">
        <f t="shared" si="53"/>
        <v>42.334499999999998</v>
      </c>
      <c r="P159" s="311">
        <f t="shared" si="53"/>
        <v>72.881304999999998</v>
      </c>
      <c r="Q159" s="285"/>
      <c r="R159" s="278"/>
      <c r="S159" s="278"/>
      <c r="T159" s="278"/>
    </row>
    <row r="160" spans="1:21" s="305" customFormat="1" hidden="1" outlineLevel="1" x14ac:dyDescent="0.25">
      <c r="A160" s="330">
        <v>23.5</v>
      </c>
      <c r="B160" s="279" t="str">
        <f t="shared" si="63"/>
        <v>100x100x9SHS</v>
      </c>
      <c r="C160" s="278" t="s">
        <v>1199</v>
      </c>
      <c r="D160" s="323"/>
      <c r="E160" s="323" t="s">
        <v>152</v>
      </c>
      <c r="F160" s="278"/>
      <c r="G160" s="278" t="s">
        <v>15</v>
      </c>
      <c r="H160" s="328">
        <f t="shared" si="40"/>
        <v>0.32900000000000001</v>
      </c>
      <c r="I160" s="280">
        <f t="shared" si="64"/>
        <v>26.523980000000002</v>
      </c>
      <c r="J160" s="281">
        <f t="shared" si="65"/>
        <v>30.080470000000002</v>
      </c>
      <c r="K160" s="282">
        <f>IF(Notes!$B$9="Domestic",I160, IF(Notes!$B$9="Commercial",J160))*$K$108</f>
        <v>30.080470000000002</v>
      </c>
      <c r="L160" s="283">
        <f>(SUM(O160:Q160)+(K160+SUM(M160:Q160))*(INDEX($U$108:$AB$108,MATCH(Notes!$C$16,$U$3:$AB$3,0))-100%))*$L$108</f>
        <v>162.13002499999999</v>
      </c>
      <c r="M160" s="286"/>
      <c r="N160" s="286"/>
      <c r="O160" s="311">
        <f t="shared" si="53"/>
        <v>59.572499999999998</v>
      </c>
      <c r="P160" s="311">
        <f t="shared" si="53"/>
        <v>102.557525</v>
      </c>
      <c r="Q160" s="285"/>
      <c r="R160" s="278"/>
      <c r="S160" s="278"/>
      <c r="T160" s="278"/>
    </row>
    <row r="161" spans="1:20" s="305" customFormat="1" hidden="1" outlineLevel="1" x14ac:dyDescent="0.25">
      <c r="A161" s="330">
        <v>14.8</v>
      </c>
      <c r="B161" s="279" t="str">
        <f t="shared" si="63"/>
        <v>125x125x4SHS</v>
      </c>
      <c r="C161" s="278" t="s">
        <v>1200</v>
      </c>
      <c r="D161" s="323"/>
      <c r="E161" s="323" t="s">
        <v>152</v>
      </c>
      <c r="F161" s="278"/>
      <c r="G161" s="278" t="s">
        <v>15</v>
      </c>
      <c r="H161" s="328">
        <f t="shared" si="40"/>
        <v>0.20720000000000002</v>
      </c>
      <c r="I161" s="280">
        <f t="shared" si="64"/>
        <v>16.704464000000002</v>
      </c>
      <c r="J161" s="281">
        <f t="shared" si="65"/>
        <v>18.944296000000005</v>
      </c>
      <c r="K161" s="282">
        <f>IF(Notes!$B$9="Domestic",I161, IF(Notes!$B$9="Commercial",J161))*$K$108</f>
        <v>18.944296000000005</v>
      </c>
      <c r="L161" s="283">
        <f>(SUM(O161:Q161)+(K161+SUM(M161:Q161))*(INDEX($U$108:$AB$108,MATCH(Notes!$C$16,$U$3:$AB$3,0))-100%))*$L$108</f>
        <v>102.10742</v>
      </c>
      <c r="M161" s="286"/>
      <c r="N161" s="286"/>
      <c r="O161" s="311">
        <f t="shared" si="53"/>
        <v>37.518000000000001</v>
      </c>
      <c r="P161" s="311">
        <f t="shared" si="53"/>
        <v>64.589420000000004</v>
      </c>
      <c r="Q161" s="285"/>
      <c r="R161" s="278"/>
      <c r="S161" s="278"/>
      <c r="T161" s="278"/>
    </row>
    <row r="162" spans="1:20" s="305" customFormat="1" hidden="1" outlineLevel="1" x14ac:dyDescent="0.25">
      <c r="A162" s="330">
        <v>18.2</v>
      </c>
      <c r="B162" s="279" t="str">
        <f t="shared" si="63"/>
        <v>125x125x5SHS</v>
      </c>
      <c r="C162" s="278" t="s">
        <v>1201</v>
      </c>
      <c r="D162" s="323"/>
      <c r="E162" s="323" t="s">
        <v>152</v>
      </c>
      <c r="F162" s="278"/>
      <c r="G162" s="278" t="s">
        <v>15</v>
      </c>
      <c r="H162" s="328">
        <f t="shared" si="40"/>
        <v>0.25479999999999997</v>
      </c>
      <c r="I162" s="280">
        <f t="shared" si="64"/>
        <v>20.541975999999998</v>
      </c>
      <c r="J162" s="281">
        <f t="shared" si="65"/>
        <v>23.296364000000001</v>
      </c>
      <c r="K162" s="282">
        <f>IF(Notes!$B$9="Domestic",I162, IF(Notes!$B$9="Commercial",J162))*$K$108</f>
        <v>23.296364000000001</v>
      </c>
      <c r="L162" s="283">
        <f>(SUM(O162:Q162)+(K162+SUM(M162:Q162))*(INDEX($U$108:$AB$108,MATCH(Notes!$C$16,$U$3:$AB$3,0))-100%))*$L$108</f>
        <v>125.56452999999999</v>
      </c>
      <c r="M162" s="286"/>
      <c r="N162" s="286"/>
      <c r="O162" s="311">
        <f t="shared" si="53"/>
        <v>46.137</v>
      </c>
      <c r="P162" s="311">
        <f t="shared" si="53"/>
        <v>79.42752999999999</v>
      </c>
      <c r="Q162" s="285"/>
      <c r="R162" s="278"/>
      <c r="S162" s="278"/>
      <c r="T162" s="278"/>
    </row>
    <row r="163" spans="1:20" s="305" customFormat="1" hidden="1" outlineLevel="1" x14ac:dyDescent="0.25">
      <c r="A163" s="330">
        <v>21.4</v>
      </c>
      <c r="B163" s="279" t="str">
        <f t="shared" si="63"/>
        <v>125x125x6SHS</v>
      </c>
      <c r="C163" s="278" t="s">
        <v>1202</v>
      </c>
      <c r="D163" s="323"/>
      <c r="E163" s="323" t="s">
        <v>152</v>
      </c>
      <c r="F163" s="278"/>
      <c r="G163" s="278" t="s">
        <v>15</v>
      </c>
      <c r="H163" s="328">
        <f t="shared" si="40"/>
        <v>0.29959999999999998</v>
      </c>
      <c r="I163" s="280">
        <f t="shared" si="64"/>
        <v>24.153752000000001</v>
      </c>
      <c r="J163" s="281">
        <f t="shared" si="65"/>
        <v>27.392427999999999</v>
      </c>
      <c r="K163" s="282">
        <f>IF(Notes!$B$9="Domestic",I163, IF(Notes!$B$9="Commercial",J163))*$K$108</f>
        <v>27.392427999999999</v>
      </c>
      <c r="L163" s="283">
        <f>(SUM(O163:Q163)+(K163+SUM(M163:Q163))*(INDEX($U$108:$AB$108,MATCH(Notes!$C$16,$U$3:$AB$3,0))-100%))*$L$108</f>
        <v>147.64180999999999</v>
      </c>
      <c r="M163" s="286"/>
      <c r="N163" s="286"/>
      <c r="O163" s="311">
        <f t="shared" si="53"/>
        <v>54.249000000000002</v>
      </c>
      <c r="P163" s="311">
        <f t="shared" si="53"/>
        <v>93.392809999999983</v>
      </c>
      <c r="Q163" s="285"/>
      <c r="R163" s="278"/>
      <c r="S163" s="278"/>
      <c r="T163" s="278"/>
    </row>
    <row r="164" spans="1:20" s="305" customFormat="1" hidden="1" outlineLevel="1" x14ac:dyDescent="0.25">
      <c r="A164" s="330">
        <v>30.6</v>
      </c>
      <c r="B164" s="279" t="str">
        <f t="shared" si="63"/>
        <v>125x125x9SHS</v>
      </c>
      <c r="C164" s="278" t="s">
        <v>1203</v>
      </c>
      <c r="D164" s="323"/>
      <c r="E164" s="323" t="s">
        <v>152</v>
      </c>
      <c r="F164" s="278"/>
      <c r="G164" s="278" t="s">
        <v>15</v>
      </c>
      <c r="H164" s="328">
        <f t="shared" si="40"/>
        <v>0.42840000000000006</v>
      </c>
      <c r="I164" s="280">
        <f t="shared" si="64"/>
        <v>34.537608000000006</v>
      </c>
      <c r="J164" s="281">
        <f t="shared" si="65"/>
        <v>39.16861200000001</v>
      </c>
      <c r="K164" s="282">
        <f>IF(Notes!$B$9="Domestic",I164, IF(Notes!$B$9="Commercial",J164))*$K$108</f>
        <v>39.16861200000001</v>
      </c>
      <c r="L164" s="283">
        <f>(SUM(O164:Q164)+(K164+SUM(M164:Q164))*(INDEX($U$108:$AB$108,MATCH(Notes!$C$16,$U$3:$AB$3,0))-100%))*$L$108</f>
        <v>211.11399</v>
      </c>
      <c r="M164" s="286"/>
      <c r="N164" s="286"/>
      <c r="O164" s="311">
        <f t="shared" si="53"/>
        <v>77.570999999999998</v>
      </c>
      <c r="P164" s="311">
        <f t="shared" si="53"/>
        <v>133.54299</v>
      </c>
      <c r="Q164" s="285"/>
      <c r="R164" s="278"/>
      <c r="S164" s="278"/>
      <c r="T164" s="278"/>
    </row>
    <row r="165" spans="1:20" s="305" customFormat="1" hidden="1" outlineLevel="1" x14ac:dyDescent="0.25">
      <c r="A165" s="330">
        <v>22.1</v>
      </c>
      <c r="B165" s="279" t="str">
        <f t="shared" si="63"/>
        <v>150x150x5SHS</v>
      </c>
      <c r="C165" s="278" t="s">
        <v>1204</v>
      </c>
      <c r="D165" s="323"/>
      <c r="E165" s="323" t="s">
        <v>152</v>
      </c>
      <c r="F165" s="278"/>
      <c r="G165" s="278" t="s">
        <v>15</v>
      </c>
      <c r="H165" s="328">
        <f t="shared" si="40"/>
        <v>0.30940000000000001</v>
      </c>
      <c r="I165" s="280">
        <f t="shared" si="64"/>
        <v>24.943828000000003</v>
      </c>
      <c r="J165" s="281">
        <f t="shared" si="65"/>
        <v>28.288442000000003</v>
      </c>
      <c r="K165" s="282">
        <f>IF(Notes!$B$9="Domestic",I165, IF(Notes!$B$9="Commercial",J165))*$K$108</f>
        <v>28.288442000000003</v>
      </c>
      <c r="L165" s="283">
        <f>(SUM(O165:Q165)+(K165+SUM(M165:Q165))*(INDEX($U$108:$AB$108,MATCH(Notes!$C$16,$U$3:$AB$3,0))-100%))*$L$108</f>
        <v>152.471215</v>
      </c>
      <c r="M165" s="286"/>
      <c r="N165" s="286"/>
      <c r="O165" s="311">
        <f t="shared" si="53"/>
        <v>56.023499999999999</v>
      </c>
      <c r="P165" s="311">
        <f t="shared" si="53"/>
        <v>96.447715000000002</v>
      </c>
      <c r="Q165" s="285"/>
      <c r="R165" s="278"/>
      <c r="S165" s="278"/>
      <c r="T165" s="278"/>
    </row>
    <row r="166" spans="1:20" s="305" customFormat="1" hidden="1" outlineLevel="1" x14ac:dyDescent="0.25">
      <c r="A166" s="330">
        <v>26.2</v>
      </c>
      <c r="B166" s="279" t="str">
        <f t="shared" si="63"/>
        <v>150x150x6SHS</v>
      </c>
      <c r="C166" s="278" t="s">
        <v>1205</v>
      </c>
      <c r="D166" s="323"/>
      <c r="E166" s="323" t="s">
        <v>152</v>
      </c>
      <c r="F166" s="278"/>
      <c r="G166" s="278" t="s">
        <v>15</v>
      </c>
      <c r="H166" s="328">
        <f t="shared" si="40"/>
        <v>0.36680000000000001</v>
      </c>
      <c r="I166" s="280">
        <f t="shared" si="64"/>
        <v>29.571416000000003</v>
      </c>
      <c r="J166" s="281">
        <f t="shared" si="65"/>
        <v>33.536524000000007</v>
      </c>
      <c r="K166" s="282">
        <f>IF(Notes!$B$9="Domestic",I166, IF(Notes!$B$9="Commercial",J166))*$K$108</f>
        <v>33.536524000000007</v>
      </c>
      <c r="L166" s="283">
        <f>(SUM(O166:Q166)+(K166+SUM(M166:Q166))*(INDEX($U$108:$AB$108,MATCH(Notes!$C$16,$U$3:$AB$3,0))-100%))*$L$108</f>
        <v>180.75772999999998</v>
      </c>
      <c r="M166" s="286"/>
      <c r="N166" s="286"/>
      <c r="O166" s="311">
        <f t="shared" si="53"/>
        <v>66.417000000000002</v>
      </c>
      <c r="P166" s="311">
        <f t="shared" si="53"/>
        <v>114.34072999999998</v>
      </c>
      <c r="Q166" s="285"/>
      <c r="R166" s="278"/>
      <c r="S166" s="278"/>
      <c r="T166" s="278"/>
    </row>
    <row r="167" spans="1:20" s="305" customFormat="1" hidden="1" outlineLevel="1" x14ac:dyDescent="0.25">
      <c r="A167" s="330">
        <v>37.700000000000003</v>
      </c>
      <c r="B167" s="279" t="str">
        <f t="shared" si="63"/>
        <v>150x150x9SHS</v>
      </c>
      <c r="C167" s="278" t="s">
        <v>1206</v>
      </c>
      <c r="D167" s="323"/>
      <c r="E167" s="323" t="s">
        <v>152</v>
      </c>
      <c r="F167" s="278"/>
      <c r="G167" s="278" t="s">
        <v>15</v>
      </c>
      <c r="H167" s="328">
        <f t="shared" si="40"/>
        <v>0.52780000000000005</v>
      </c>
      <c r="I167" s="280">
        <f t="shared" si="64"/>
        <v>42.551236000000003</v>
      </c>
      <c r="J167" s="281">
        <f t="shared" si="65"/>
        <v>48.256754000000008</v>
      </c>
      <c r="K167" s="282">
        <f>IF(Notes!$B$9="Domestic",I167, IF(Notes!$B$9="Commercial",J167))*$K$108</f>
        <v>48.256754000000008</v>
      </c>
      <c r="L167" s="283">
        <f>(SUM(O167:Q167)+(K167+SUM(M167:Q167))*(INDEX($U$108:$AB$108,MATCH(Notes!$C$16,$U$3:$AB$3,0))-100%))*$L$108</f>
        <v>260.09795499999996</v>
      </c>
      <c r="M167" s="286"/>
      <c r="N167" s="286"/>
      <c r="O167" s="311">
        <f t="shared" si="53"/>
        <v>95.569500000000005</v>
      </c>
      <c r="P167" s="311">
        <f t="shared" si="53"/>
        <v>164.52845499999998</v>
      </c>
      <c r="Q167" s="285"/>
      <c r="R167" s="278"/>
      <c r="S167" s="278"/>
      <c r="T167" s="278"/>
    </row>
    <row r="168" spans="1:20" s="305" customFormat="1" hidden="1" outlineLevel="1" x14ac:dyDescent="0.25">
      <c r="A168" s="330">
        <v>29.9</v>
      </c>
      <c r="B168" s="279" t="str">
        <f t="shared" si="63"/>
        <v>200x200x5SHS</v>
      </c>
      <c r="C168" s="278" t="s">
        <v>1207</v>
      </c>
      <c r="D168" s="323"/>
      <c r="E168" s="323" t="s">
        <v>152</v>
      </c>
      <c r="F168" s="278"/>
      <c r="G168" s="278" t="s">
        <v>15</v>
      </c>
      <c r="H168" s="328">
        <f t="shared" si="40"/>
        <v>0.41859999999999997</v>
      </c>
      <c r="I168" s="280">
        <f t="shared" si="64"/>
        <v>33.747532</v>
      </c>
      <c r="J168" s="281">
        <f t="shared" si="65"/>
        <v>38.272598000000002</v>
      </c>
      <c r="K168" s="282">
        <f>IF(Notes!$B$9="Domestic",I168, IF(Notes!$B$9="Commercial",J168))*$K$108</f>
        <v>38.272598000000002</v>
      </c>
      <c r="L168" s="283">
        <f>(SUM(O168:Q168)+(K168+SUM(M168:Q168))*(INDEX($U$108:$AB$108,MATCH(Notes!$C$16,$U$3:$AB$3,0))-100%))*$L$108</f>
        <v>206.28458499999999</v>
      </c>
      <c r="M168" s="286"/>
      <c r="N168" s="286"/>
      <c r="O168" s="311">
        <f t="shared" si="53"/>
        <v>75.796499999999995</v>
      </c>
      <c r="P168" s="311">
        <f t="shared" si="53"/>
        <v>130.48808499999998</v>
      </c>
      <c r="Q168" s="285"/>
      <c r="R168" s="278"/>
      <c r="S168" s="278"/>
      <c r="T168" s="278"/>
    </row>
    <row r="169" spans="1:20" s="305" customFormat="1" hidden="1" outlineLevel="1" x14ac:dyDescent="0.25">
      <c r="A169" s="330">
        <v>35.6</v>
      </c>
      <c r="B169" s="279" t="str">
        <f t="shared" si="63"/>
        <v>200x200x6SHS</v>
      </c>
      <c r="C169" s="278" t="s">
        <v>1208</v>
      </c>
      <c r="D169" s="323"/>
      <c r="E169" s="323" t="s">
        <v>152</v>
      </c>
      <c r="F169" s="278"/>
      <c r="G169" s="278" t="s">
        <v>15</v>
      </c>
      <c r="H169" s="328">
        <f t="shared" si="40"/>
        <v>0.49840000000000001</v>
      </c>
      <c r="I169" s="280">
        <f t="shared" si="64"/>
        <v>40.181008000000006</v>
      </c>
      <c r="J169" s="281">
        <f t="shared" si="65"/>
        <v>45.568712000000005</v>
      </c>
      <c r="K169" s="282">
        <f>IF(Notes!$B$9="Domestic",I169, IF(Notes!$B$9="Commercial",J169))*$K$108</f>
        <v>45.568712000000005</v>
      </c>
      <c r="L169" s="283">
        <f>(SUM(O169:Q169)+(K169+SUM(M169:Q169))*(INDEX($U$108:$AB$108,MATCH(Notes!$C$16,$U$3:$AB$3,0))-100%))*$L$108</f>
        <v>245.60973999999999</v>
      </c>
      <c r="M169" s="286"/>
      <c r="N169" s="286"/>
      <c r="O169" s="311">
        <f t="shared" si="53"/>
        <v>90.245999999999995</v>
      </c>
      <c r="P169" s="311">
        <f t="shared" si="53"/>
        <v>155.36373999999998</v>
      </c>
      <c r="Q169" s="285"/>
      <c r="R169" s="278"/>
      <c r="S169" s="278"/>
      <c r="T169" s="278"/>
    </row>
    <row r="170" spans="1:20" s="305" customFormat="1" hidden="1" outlineLevel="1" x14ac:dyDescent="0.25">
      <c r="A170" s="330">
        <v>51.8</v>
      </c>
      <c r="B170" s="279" t="str">
        <f t="shared" si="63"/>
        <v>200x200x9SHS</v>
      </c>
      <c r="C170" s="278" t="s">
        <v>1209</v>
      </c>
      <c r="D170" s="323"/>
      <c r="E170" s="323" t="s">
        <v>152</v>
      </c>
      <c r="F170" s="278"/>
      <c r="G170" s="278" t="s">
        <v>15</v>
      </c>
      <c r="H170" s="328">
        <f t="shared" si="40"/>
        <v>0.72519999999999996</v>
      </c>
      <c r="I170" s="280">
        <f t="shared" si="64"/>
        <v>58.465623999999998</v>
      </c>
      <c r="J170" s="281">
        <f t="shared" si="65"/>
        <v>66.305036000000001</v>
      </c>
      <c r="K170" s="282">
        <f>IF(Notes!$B$9="Domestic",I170, IF(Notes!$B$9="Commercial",J170))*$K$108</f>
        <v>66.305036000000001</v>
      </c>
      <c r="L170" s="283">
        <f>(SUM(O170:Q170)+(K170+SUM(M170:Q170))*(INDEX($U$108:$AB$108,MATCH(Notes!$C$16,$U$3:$AB$3,0))-100%))*$L$108</f>
        <v>357.37596999999994</v>
      </c>
      <c r="M170" s="286"/>
      <c r="N170" s="286"/>
      <c r="O170" s="311">
        <f t="shared" si="53"/>
        <v>131.31299999999999</v>
      </c>
      <c r="P170" s="311">
        <f t="shared" si="53"/>
        <v>226.06296999999998</v>
      </c>
      <c r="Q170" s="285"/>
      <c r="R170" s="278"/>
      <c r="S170" s="278"/>
      <c r="T170" s="278"/>
    </row>
    <row r="171" spans="1:20" s="305" customFormat="1" hidden="1" outlineLevel="1" x14ac:dyDescent="0.25">
      <c r="A171" s="330">
        <v>69.400000000000006</v>
      </c>
      <c r="B171" s="279" t="str">
        <f t="shared" si="63"/>
        <v>200x200x12.5SHS</v>
      </c>
      <c r="C171" s="278" t="s">
        <v>1210</v>
      </c>
      <c r="D171" s="323"/>
      <c r="E171" s="323" t="s">
        <v>152</v>
      </c>
      <c r="F171" s="278"/>
      <c r="G171" s="278" t="s">
        <v>15</v>
      </c>
      <c r="H171" s="328">
        <f t="shared" si="40"/>
        <v>0.97160000000000013</v>
      </c>
      <c r="I171" s="280">
        <f t="shared" si="64"/>
        <v>78.330392000000018</v>
      </c>
      <c r="J171" s="281">
        <f t="shared" si="65"/>
        <v>88.833388000000014</v>
      </c>
      <c r="K171" s="282">
        <f>IF(Notes!$B$9="Domestic",I171, IF(Notes!$B$9="Commercial",J171))*$K$108</f>
        <v>88.833388000000014</v>
      </c>
      <c r="L171" s="283">
        <f>(SUM(O171:Q171)+(K171+SUM(M171:Q171))*(INDEX($U$108:$AB$108,MATCH(Notes!$C$16,$U$3:$AB$3,0))-100%))*$L$108</f>
        <v>478.80101000000002</v>
      </c>
      <c r="M171" s="286"/>
      <c r="N171" s="286"/>
      <c r="O171" s="311">
        <f t="shared" si="53"/>
        <v>175.929</v>
      </c>
      <c r="P171" s="311">
        <f t="shared" si="53"/>
        <v>302.87200999999999</v>
      </c>
      <c r="Q171" s="285"/>
      <c r="R171" s="278"/>
      <c r="S171" s="278"/>
      <c r="T171" s="278"/>
    </row>
    <row r="172" spans="1:20" s="305" customFormat="1" hidden="1" outlineLevel="1" x14ac:dyDescent="0.25">
      <c r="A172" s="330">
        <v>85.5</v>
      </c>
      <c r="B172" s="279" t="str">
        <f t="shared" si="63"/>
        <v>200x200x16SHS</v>
      </c>
      <c r="C172" s="278" t="s">
        <v>1211</v>
      </c>
      <c r="D172" s="323"/>
      <c r="E172" s="323" t="s">
        <v>152</v>
      </c>
      <c r="F172" s="278"/>
      <c r="G172" s="278" t="s">
        <v>15</v>
      </c>
      <c r="H172" s="328">
        <f t="shared" si="40"/>
        <v>1.1970000000000001</v>
      </c>
      <c r="I172" s="280">
        <f t="shared" si="64"/>
        <v>96.502140000000011</v>
      </c>
      <c r="J172" s="281">
        <f t="shared" si="65"/>
        <v>109.44171000000001</v>
      </c>
      <c r="K172" s="282">
        <f>IF(Notes!$B$9="Domestic",I172, IF(Notes!$B$9="Commercial",J172))*$K$108</f>
        <v>109.44171000000001</v>
      </c>
      <c r="L172" s="283">
        <f>(SUM(O172:Q172)+(K172+SUM(M172:Q172))*(INDEX($U$108:$AB$108,MATCH(Notes!$C$16,$U$3:$AB$3,0))-100%))*$L$108</f>
        <v>589.87732499999993</v>
      </c>
      <c r="M172" s="286"/>
      <c r="N172" s="286"/>
      <c r="O172" s="311">
        <f t="shared" si="53"/>
        <v>216.74250000000001</v>
      </c>
      <c r="P172" s="311">
        <f t="shared" si="53"/>
        <v>373.13482499999998</v>
      </c>
      <c r="Q172" s="285"/>
      <c r="R172" s="278"/>
      <c r="S172" s="278"/>
      <c r="T172" s="278"/>
    </row>
    <row r="173" spans="1:20" s="305" customFormat="1" hidden="1" outlineLevel="1" x14ac:dyDescent="0.25">
      <c r="A173" s="330">
        <v>45</v>
      </c>
      <c r="B173" s="279" t="str">
        <f t="shared" ref="B173:B188" si="66">C173&amp;D173&amp;E173&amp;F173</f>
        <v>250x250x6SHS</v>
      </c>
      <c r="C173" s="278" t="s">
        <v>1212</v>
      </c>
      <c r="D173" s="323"/>
      <c r="E173" s="323" t="s">
        <v>152</v>
      </c>
      <c r="F173" s="278"/>
      <c r="G173" s="278" t="s">
        <v>15</v>
      </c>
      <c r="H173" s="328">
        <f t="shared" si="40"/>
        <v>0.63</v>
      </c>
      <c r="I173" s="280">
        <f t="shared" ref="I173:I188" si="67">$I$2*H173</f>
        <v>50.790600000000005</v>
      </c>
      <c r="J173" s="281">
        <f t="shared" ref="J173:J188" si="68">$J$2*H173</f>
        <v>57.600900000000003</v>
      </c>
      <c r="K173" s="282">
        <f>IF(Notes!$B$9="Domestic",I173, IF(Notes!$B$9="Commercial",J173))*$K$108</f>
        <v>57.600900000000003</v>
      </c>
      <c r="L173" s="283">
        <f>(SUM(O173:Q173)+(K173+SUM(M173:Q173))*(INDEX($U$108:$AB$108,MATCH(Notes!$C$16,$U$3:$AB$3,0))-100%))*$L$108</f>
        <v>310.46174999999999</v>
      </c>
      <c r="M173" s="286"/>
      <c r="N173" s="286"/>
      <c r="O173" s="311">
        <f t="shared" si="53"/>
        <v>114.075</v>
      </c>
      <c r="P173" s="311">
        <f t="shared" si="53"/>
        <v>196.38674999999998</v>
      </c>
      <c r="Q173" s="285"/>
      <c r="R173" s="278"/>
      <c r="S173" s="278"/>
      <c r="T173" s="278"/>
    </row>
    <row r="174" spans="1:20" s="305" customFormat="1" hidden="1" outlineLevel="1" x14ac:dyDescent="0.25">
      <c r="A174" s="330">
        <v>65.900000000000006</v>
      </c>
      <c r="B174" s="279" t="str">
        <f t="shared" si="66"/>
        <v>250x250x9SHS</v>
      </c>
      <c r="C174" s="278" t="s">
        <v>1213</v>
      </c>
      <c r="D174" s="323"/>
      <c r="E174" s="323" t="s">
        <v>152</v>
      </c>
      <c r="F174" s="278"/>
      <c r="G174" s="278" t="s">
        <v>15</v>
      </c>
      <c r="H174" s="328">
        <f t="shared" ref="H174:H188" si="69">$H$108*$A174/1000</f>
        <v>0.92260000000000009</v>
      </c>
      <c r="I174" s="280">
        <f t="shared" si="67"/>
        <v>74.380012000000008</v>
      </c>
      <c r="J174" s="281">
        <f t="shared" si="68"/>
        <v>84.353318000000016</v>
      </c>
      <c r="K174" s="282">
        <f>IF(Notes!$B$9="Domestic",I174, IF(Notes!$B$9="Commercial",J174))*$K$108</f>
        <v>84.353318000000016</v>
      </c>
      <c r="L174" s="283">
        <f>(SUM(O174:Q174)+(K174+SUM(M174:Q174))*(INDEX($U$108:$AB$108,MATCH(Notes!$C$16,$U$3:$AB$3,0))-100%))*$L$108</f>
        <v>454.65398500000003</v>
      </c>
      <c r="M174" s="286"/>
      <c r="N174" s="286"/>
      <c r="O174" s="311">
        <f t="shared" si="53"/>
        <v>167.0565</v>
      </c>
      <c r="P174" s="311">
        <f t="shared" si="53"/>
        <v>287.59748500000001</v>
      </c>
      <c r="Q174" s="285"/>
      <c r="R174" s="278"/>
      <c r="S174" s="278"/>
      <c r="T174" s="278"/>
    </row>
    <row r="175" spans="1:20" s="305" customFormat="1" hidden="1" outlineLevel="1" x14ac:dyDescent="0.25">
      <c r="A175" s="330">
        <v>89</v>
      </c>
      <c r="B175" s="279" t="str">
        <f t="shared" si="66"/>
        <v>250x250x12.5SHS</v>
      </c>
      <c r="C175" s="278" t="s">
        <v>1214</v>
      </c>
      <c r="D175" s="323"/>
      <c r="E175" s="323" t="s">
        <v>152</v>
      </c>
      <c r="F175" s="278"/>
      <c r="G175" s="278" t="s">
        <v>15</v>
      </c>
      <c r="H175" s="328">
        <f t="shared" si="69"/>
        <v>1.246</v>
      </c>
      <c r="I175" s="280">
        <f t="shared" si="67"/>
        <v>100.45252000000001</v>
      </c>
      <c r="J175" s="281">
        <f t="shared" si="68"/>
        <v>113.92178000000001</v>
      </c>
      <c r="K175" s="282">
        <f>IF(Notes!$B$9="Domestic",I175, IF(Notes!$B$9="Commercial",J175))*$K$108</f>
        <v>113.92178000000001</v>
      </c>
      <c r="L175" s="283">
        <f>(SUM(O175:Q175)+(K175+SUM(M175:Q175))*(INDEX($U$108:$AB$108,MATCH(Notes!$C$16,$U$3:$AB$3,0))-100%))*$L$108</f>
        <v>614.02434999999991</v>
      </c>
      <c r="M175" s="286"/>
      <c r="N175" s="286"/>
      <c r="O175" s="311">
        <f t="shared" si="53"/>
        <v>225.61500000000001</v>
      </c>
      <c r="P175" s="311">
        <f t="shared" si="53"/>
        <v>388.40934999999996</v>
      </c>
      <c r="Q175" s="285"/>
      <c r="R175" s="278"/>
      <c r="S175" s="278"/>
      <c r="T175" s="278"/>
    </row>
    <row r="176" spans="1:20" s="305" customFormat="1" hidden="1" outlineLevel="1" x14ac:dyDescent="0.25">
      <c r="A176" s="330">
        <v>111</v>
      </c>
      <c r="B176" s="279" t="str">
        <f t="shared" si="66"/>
        <v>250x250x16SHS</v>
      </c>
      <c r="C176" s="278" t="s">
        <v>1215</v>
      </c>
      <c r="D176" s="323"/>
      <c r="E176" s="323" t="s">
        <v>152</v>
      </c>
      <c r="F176" s="278"/>
      <c r="G176" s="278" t="s">
        <v>15</v>
      </c>
      <c r="H176" s="328">
        <f t="shared" si="69"/>
        <v>1.554</v>
      </c>
      <c r="I176" s="280">
        <f t="shared" si="67"/>
        <v>125.28348000000001</v>
      </c>
      <c r="J176" s="281">
        <f t="shared" si="68"/>
        <v>142.08222000000001</v>
      </c>
      <c r="K176" s="282">
        <f>IF(Notes!$B$9="Domestic",I176, IF(Notes!$B$9="Commercial",J176))*$K$108</f>
        <v>142.08222000000001</v>
      </c>
      <c r="L176" s="283">
        <f>(SUM(O176:Q176)+(K176+SUM(M176:Q176))*(INDEX($U$108:$AB$108,MATCH(Notes!$C$16,$U$3:$AB$3,0))-100%))*$L$108</f>
        <v>765.80565000000001</v>
      </c>
      <c r="M176" s="286"/>
      <c r="N176" s="286"/>
      <c r="O176" s="311">
        <f t="shared" si="53"/>
        <v>281.38499999999999</v>
      </c>
      <c r="P176" s="311">
        <f t="shared" si="53"/>
        <v>484.42064999999997</v>
      </c>
      <c r="Q176" s="285"/>
      <c r="R176" s="278"/>
      <c r="S176" s="278"/>
      <c r="T176" s="278"/>
    </row>
    <row r="177" spans="1:28" s="305" customFormat="1" hidden="1" outlineLevel="1" x14ac:dyDescent="0.25">
      <c r="A177" s="330">
        <v>54.42</v>
      </c>
      <c r="B177" s="279" t="str">
        <f t="shared" si="66"/>
        <v>300x300x6SHS</v>
      </c>
      <c r="C177" s="278" t="s">
        <v>1216</v>
      </c>
      <c r="D177" s="323"/>
      <c r="E177" s="323" t="s">
        <v>152</v>
      </c>
      <c r="F177" s="278"/>
      <c r="G177" s="278" t="s">
        <v>15</v>
      </c>
      <c r="H177" s="328">
        <f t="shared" si="69"/>
        <v>0.76188</v>
      </c>
      <c r="I177" s="280">
        <f t="shared" si="67"/>
        <v>61.422765600000005</v>
      </c>
      <c r="J177" s="281">
        <f t="shared" si="68"/>
        <v>69.658688400000003</v>
      </c>
      <c r="K177" s="282">
        <f>IF(Notes!$B$9="Domestic",I177, IF(Notes!$B$9="Commercial",J177))*$K$108</f>
        <v>69.658688400000003</v>
      </c>
      <c r="L177" s="283">
        <f>(SUM(O177:Q177)+(K177+SUM(M177:Q177))*(INDEX($U$108:$AB$108,MATCH(Notes!$C$16,$U$3:$AB$3,0))-100%))*$L$108</f>
        <v>375.45174299999996</v>
      </c>
      <c r="M177" s="286"/>
      <c r="N177" s="286"/>
      <c r="O177" s="311">
        <f t="shared" si="53"/>
        <v>137.9547</v>
      </c>
      <c r="P177" s="311">
        <f t="shared" si="53"/>
        <v>237.49704299999996</v>
      </c>
      <c r="Q177" s="285"/>
      <c r="R177" s="278"/>
      <c r="S177" s="278"/>
      <c r="T177" s="278"/>
    </row>
    <row r="178" spans="1:28" s="305" customFormat="1" hidden="1" outlineLevel="1" x14ac:dyDescent="0.25">
      <c r="A178" s="330">
        <v>80.05</v>
      </c>
      <c r="B178" s="279" t="str">
        <f t="shared" si="66"/>
        <v>300x300x9SHS</v>
      </c>
      <c r="C178" s="278" t="s">
        <v>1217</v>
      </c>
      <c r="D178" s="323"/>
      <c r="E178" s="323" t="s">
        <v>152</v>
      </c>
      <c r="F178" s="278"/>
      <c r="G178" s="278" t="s">
        <v>15</v>
      </c>
      <c r="H178" s="328">
        <f t="shared" si="69"/>
        <v>1.1207</v>
      </c>
      <c r="I178" s="280">
        <f t="shared" si="67"/>
        <v>90.350834000000006</v>
      </c>
      <c r="J178" s="281">
        <f t="shared" si="68"/>
        <v>102.46560100000001</v>
      </c>
      <c r="K178" s="282">
        <f>IF(Notes!$B$9="Domestic",I178, IF(Notes!$B$9="Commercial",J178))*$K$108</f>
        <v>102.46560100000001</v>
      </c>
      <c r="L178" s="283">
        <f>(SUM(O178:Q178)+(K178+SUM(M178:Q178))*(INDEX($U$108:$AB$108,MATCH(Notes!$C$16,$U$3:$AB$3,0))-100%))*$L$108</f>
        <v>552.27695749999998</v>
      </c>
      <c r="M178" s="286"/>
      <c r="N178" s="286"/>
      <c r="O178" s="311">
        <f t="shared" si="53"/>
        <v>202.92675</v>
      </c>
      <c r="P178" s="311">
        <f t="shared" si="53"/>
        <v>349.35020749999995</v>
      </c>
      <c r="Q178" s="285"/>
      <c r="R178" s="278"/>
      <c r="S178" s="278"/>
      <c r="T178" s="278"/>
    </row>
    <row r="179" spans="1:28" s="305" customFormat="1" hidden="1" outlineLevel="1" x14ac:dyDescent="0.25">
      <c r="A179" s="330">
        <v>88.4</v>
      </c>
      <c r="B179" s="279" t="str">
        <f t="shared" ref="B179" si="70">C179&amp;D179&amp;E179&amp;F179</f>
        <v>300x300x10SHS</v>
      </c>
      <c r="C179" s="278" t="s">
        <v>1218</v>
      </c>
      <c r="D179" s="323"/>
      <c r="E179" s="323" t="s">
        <v>152</v>
      </c>
      <c r="F179" s="278"/>
      <c r="G179" s="278" t="s">
        <v>15</v>
      </c>
      <c r="H179" s="328">
        <f t="shared" si="69"/>
        <v>1.2376</v>
      </c>
      <c r="I179" s="280">
        <f t="shared" ref="I179" si="71">$I$2*H179</f>
        <v>99.775312000000014</v>
      </c>
      <c r="J179" s="281">
        <f t="shared" ref="J179" si="72">$J$2*H179</f>
        <v>113.15376800000001</v>
      </c>
      <c r="K179" s="282">
        <f>IF(Notes!$B$9="Domestic",I179, IF(Notes!$B$9="Commercial",J179))*$K$108</f>
        <v>113.15376800000001</v>
      </c>
      <c r="L179" s="283">
        <f>(SUM(O179:Q179)+(K179+SUM(M179:Q179))*(INDEX($U$108:$AB$108,MATCH(Notes!$C$16,$U$3:$AB$3,0))-100%))*$L$108</f>
        <v>609.88486</v>
      </c>
      <c r="M179" s="286"/>
      <c r="N179" s="286"/>
      <c r="O179" s="311">
        <f t="shared" si="53"/>
        <v>224.09399999999999</v>
      </c>
      <c r="P179" s="311">
        <f t="shared" si="53"/>
        <v>385.79086000000001</v>
      </c>
      <c r="Q179" s="285"/>
      <c r="R179" s="278"/>
      <c r="S179" s="278"/>
      <c r="T179" s="278"/>
    </row>
    <row r="180" spans="1:28" s="305" customFormat="1" hidden="1" outlineLevel="1" x14ac:dyDescent="0.25">
      <c r="A180" s="330">
        <v>109</v>
      </c>
      <c r="B180" s="279" t="str">
        <f t="shared" si="66"/>
        <v>300x300x12.5SHS</v>
      </c>
      <c r="C180" s="278" t="s">
        <v>1219</v>
      </c>
      <c r="D180" s="323"/>
      <c r="E180" s="323" t="s">
        <v>152</v>
      </c>
      <c r="F180" s="278"/>
      <c r="G180" s="278" t="s">
        <v>15</v>
      </c>
      <c r="H180" s="328">
        <f t="shared" si="69"/>
        <v>1.526</v>
      </c>
      <c r="I180" s="280">
        <f t="shared" si="67"/>
        <v>123.02612000000001</v>
      </c>
      <c r="J180" s="281">
        <f t="shared" si="68"/>
        <v>139.52218000000002</v>
      </c>
      <c r="K180" s="282">
        <f>IF(Notes!$B$9="Domestic",I180, IF(Notes!$B$9="Commercial",J180))*$K$108</f>
        <v>139.52218000000002</v>
      </c>
      <c r="L180" s="283">
        <f>(SUM(O180:Q180)+(K180+SUM(M180:Q180))*(INDEX($U$108:$AB$108,MATCH(Notes!$C$16,$U$3:$AB$3,0))-100%))*$L$108</f>
        <v>752.00734999999997</v>
      </c>
      <c r="M180" s="286"/>
      <c r="N180" s="286"/>
      <c r="O180" s="311">
        <f t="shared" si="53"/>
        <v>276.315</v>
      </c>
      <c r="P180" s="311">
        <f t="shared" si="53"/>
        <v>475.69234999999998</v>
      </c>
      <c r="Q180" s="285"/>
      <c r="R180" s="278"/>
      <c r="S180" s="278"/>
      <c r="T180" s="278"/>
    </row>
    <row r="181" spans="1:28" s="305" customFormat="1" hidden="1" outlineLevel="1" x14ac:dyDescent="0.25">
      <c r="A181" s="330">
        <v>136</v>
      </c>
      <c r="B181" s="279" t="str">
        <f t="shared" si="66"/>
        <v>300x300x16SHS</v>
      </c>
      <c r="C181" s="278" t="s">
        <v>1220</v>
      </c>
      <c r="D181" s="323"/>
      <c r="E181" s="323" t="s">
        <v>152</v>
      </c>
      <c r="F181" s="278"/>
      <c r="G181" s="278" t="s">
        <v>15</v>
      </c>
      <c r="H181" s="328">
        <f t="shared" si="69"/>
        <v>1.9039999999999999</v>
      </c>
      <c r="I181" s="280">
        <f t="shared" si="67"/>
        <v>153.50048000000001</v>
      </c>
      <c r="J181" s="281">
        <f t="shared" si="68"/>
        <v>174.08271999999999</v>
      </c>
      <c r="K181" s="282">
        <f>IF(Notes!$B$9="Domestic",I181, IF(Notes!$B$9="Commercial",J181))*$K$108</f>
        <v>174.08271999999999</v>
      </c>
      <c r="L181" s="283">
        <f>(SUM(O181:Q181)+(K181+SUM(M181:Q181))*(INDEX($U$108:$AB$108,MATCH(Notes!$C$16,$U$3:$AB$3,0))-100%))*$L$108</f>
        <v>938.28439999999989</v>
      </c>
      <c r="M181" s="286"/>
      <c r="N181" s="286"/>
      <c r="O181" s="311">
        <f t="shared" si="53"/>
        <v>344.76</v>
      </c>
      <c r="P181" s="311">
        <f t="shared" si="53"/>
        <v>593.5243999999999</v>
      </c>
      <c r="Q181" s="285"/>
      <c r="R181" s="278"/>
      <c r="S181" s="278"/>
      <c r="T181" s="278"/>
    </row>
    <row r="182" spans="1:28" s="305" customFormat="1" hidden="1" outlineLevel="1" x14ac:dyDescent="0.25">
      <c r="A182" s="330">
        <v>94.18</v>
      </c>
      <c r="B182" s="279" t="str">
        <f t="shared" si="66"/>
        <v>350x350x9SHS</v>
      </c>
      <c r="C182" s="278" t="s">
        <v>1221</v>
      </c>
      <c r="D182" s="323"/>
      <c r="E182" s="323" t="s">
        <v>152</v>
      </c>
      <c r="F182" s="278"/>
      <c r="G182" s="278" t="s">
        <v>15</v>
      </c>
      <c r="H182" s="328">
        <f t="shared" si="69"/>
        <v>1.3185199999999999</v>
      </c>
      <c r="I182" s="280">
        <f t="shared" si="67"/>
        <v>106.2990824</v>
      </c>
      <c r="J182" s="281">
        <f t="shared" si="68"/>
        <v>120.5522836</v>
      </c>
      <c r="K182" s="282">
        <f>IF(Notes!$B$9="Domestic",I182, IF(Notes!$B$9="Commercial",J182))*$K$108</f>
        <v>120.5522836</v>
      </c>
      <c r="L182" s="283">
        <f>(SUM(O182:Q182)+(K182+SUM(M182:Q182))*(INDEX($U$108:$AB$108,MATCH(Notes!$C$16,$U$3:$AB$3,0))-100%))*$L$108</f>
        <v>649.76194699999996</v>
      </c>
      <c r="M182" s="286"/>
      <c r="N182" s="286"/>
      <c r="O182" s="311">
        <f t="shared" si="53"/>
        <v>238.74630000000002</v>
      </c>
      <c r="P182" s="311">
        <f t="shared" si="53"/>
        <v>411.015647</v>
      </c>
      <c r="Q182" s="285"/>
      <c r="R182" s="278"/>
      <c r="S182" s="278"/>
      <c r="T182" s="278"/>
    </row>
    <row r="183" spans="1:28" s="305" customFormat="1" hidden="1" outlineLevel="1" x14ac:dyDescent="0.25">
      <c r="A183" s="330">
        <v>104</v>
      </c>
      <c r="B183" s="279" t="str">
        <f t="shared" ref="B183" si="73">C183&amp;D183&amp;E183&amp;F183</f>
        <v>350x350x10SHS</v>
      </c>
      <c r="C183" s="278" t="s">
        <v>1222</v>
      </c>
      <c r="D183" s="323"/>
      <c r="E183" s="323" t="s">
        <v>152</v>
      </c>
      <c r="F183" s="278"/>
      <c r="G183" s="278" t="s">
        <v>15</v>
      </c>
      <c r="H183" s="328">
        <f t="shared" si="69"/>
        <v>1.456</v>
      </c>
      <c r="I183" s="280">
        <f t="shared" ref="I183" si="74">$I$2*H183</f>
        <v>117.38272000000001</v>
      </c>
      <c r="J183" s="281">
        <f t="shared" ref="J183" si="75">$J$2*H183</f>
        <v>133.12208000000001</v>
      </c>
      <c r="K183" s="282">
        <f>IF(Notes!$B$9="Domestic",I183, IF(Notes!$B$9="Commercial",J183))*$K$108</f>
        <v>133.12208000000001</v>
      </c>
      <c r="L183" s="283">
        <f>(SUM(O183:Q183)+(K183+SUM(M183:Q183))*(INDEX($U$108:$AB$108,MATCH(Notes!$C$16,$U$3:$AB$3,0))-100%))*$L$108</f>
        <v>717.51160000000004</v>
      </c>
      <c r="M183" s="286"/>
      <c r="N183" s="286"/>
      <c r="O183" s="311">
        <f t="shared" si="53"/>
        <v>263.64</v>
      </c>
      <c r="P183" s="311">
        <f t="shared" si="53"/>
        <v>453.8716</v>
      </c>
      <c r="Q183" s="285"/>
      <c r="R183" s="278"/>
      <c r="S183" s="278"/>
      <c r="T183" s="278"/>
    </row>
    <row r="184" spans="1:28" s="305" customFormat="1" hidden="1" outlineLevel="1" x14ac:dyDescent="0.25">
      <c r="A184" s="330">
        <v>128</v>
      </c>
      <c r="B184" s="279" t="str">
        <f t="shared" si="66"/>
        <v>350x350x12.5SHS</v>
      </c>
      <c r="C184" s="278" t="s">
        <v>1223</v>
      </c>
      <c r="D184" s="323"/>
      <c r="E184" s="323" t="s">
        <v>152</v>
      </c>
      <c r="F184" s="278"/>
      <c r="G184" s="278" t="s">
        <v>15</v>
      </c>
      <c r="H184" s="328">
        <f t="shared" si="69"/>
        <v>1.792</v>
      </c>
      <c r="I184" s="280">
        <f t="shared" si="67"/>
        <v>144.47104000000002</v>
      </c>
      <c r="J184" s="281">
        <f t="shared" si="68"/>
        <v>163.84256000000002</v>
      </c>
      <c r="K184" s="282">
        <f>IF(Notes!$B$9="Domestic",I184, IF(Notes!$B$9="Commercial",J184))*$K$108</f>
        <v>163.84256000000002</v>
      </c>
      <c r="L184" s="283">
        <f>(SUM(O184:Q184)+(K184+SUM(M184:Q184))*(INDEX($U$108:$AB$108,MATCH(Notes!$C$16,$U$3:$AB$3,0))-100%))*$L$108</f>
        <v>883.09119999999996</v>
      </c>
      <c r="M184" s="286"/>
      <c r="N184" s="286"/>
      <c r="O184" s="311">
        <f t="shared" si="53"/>
        <v>324.48</v>
      </c>
      <c r="P184" s="311">
        <f t="shared" si="53"/>
        <v>558.61119999999994</v>
      </c>
      <c r="Q184" s="285"/>
      <c r="R184" s="278"/>
      <c r="S184" s="278"/>
      <c r="T184" s="278"/>
    </row>
    <row r="185" spans="1:28" s="305" customFormat="1" hidden="1" outlineLevel="1" x14ac:dyDescent="0.25">
      <c r="A185" s="330">
        <v>161</v>
      </c>
      <c r="B185" s="279" t="str">
        <f t="shared" si="66"/>
        <v>350x350x16SHS</v>
      </c>
      <c r="C185" s="278" t="s">
        <v>1224</v>
      </c>
      <c r="D185" s="323"/>
      <c r="E185" s="323" t="s">
        <v>152</v>
      </c>
      <c r="F185" s="278"/>
      <c r="G185" s="278" t="s">
        <v>15</v>
      </c>
      <c r="H185" s="328">
        <f t="shared" si="69"/>
        <v>2.254</v>
      </c>
      <c r="I185" s="280">
        <f t="shared" si="67"/>
        <v>181.71748000000002</v>
      </c>
      <c r="J185" s="281">
        <f t="shared" si="68"/>
        <v>206.08322000000001</v>
      </c>
      <c r="K185" s="282">
        <f>IF(Notes!$B$9="Domestic",I185, IF(Notes!$B$9="Commercial",J185))*$K$108</f>
        <v>206.08322000000001</v>
      </c>
      <c r="L185" s="283">
        <f>(SUM(O185:Q185)+(K185+SUM(M185:Q185))*(INDEX($U$108:$AB$108,MATCH(Notes!$C$16,$U$3:$AB$3,0))-100%))*$L$108</f>
        <v>1110.7631499999998</v>
      </c>
      <c r="M185" s="286"/>
      <c r="N185" s="286"/>
      <c r="O185" s="311">
        <f t="shared" si="53"/>
        <v>408.13499999999999</v>
      </c>
      <c r="P185" s="311">
        <f t="shared" si="53"/>
        <v>702.62814999999989</v>
      </c>
      <c r="Q185" s="285"/>
      <c r="R185" s="278"/>
      <c r="S185" s="278"/>
      <c r="T185" s="278"/>
    </row>
    <row r="186" spans="1:28" s="305" customFormat="1" hidden="1" outlineLevel="1" x14ac:dyDescent="0.25">
      <c r="A186" s="330">
        <v>108.31</v>
      </c>
      <c r="B186" s="279" t="str">
        <f t="shared" si="66"/>
        <v>400x400x9SHS</v>
      </c>
      <c r="C186" s="278" t="s">
        <v>1225</v>
      </c>
      <c r="D186" s="323"/>
      <c r="E186" s="323" t="s">
        <v>152</v>
      </c>
      <c r="F186" s="278"/>
      <c r="G186" s="278" t="s">
        <v>15</v>
      </c>
      <c r="H186" s="328">
        <f t="shared" si="69"/>
        <v>1.5163400000000002</v>
      </c>
      <c r="I186" s="280">
        <f t="shared" si="67"/>
        <v>122.24733080000003</v>
      </c>
      <c r="J186" s="281">
        <f t="shared" si="68"/>
        <v>138.63896620000003</v>
      </c>
      <c r="K186" s="282">
        <f>IF(Notes!$B$9="Domestic",I186, IF(Notes!$B$9="Commercial",J186))*$K$108</f>
        <v>138.63896620000003</v>
      </c>
      <c r="L186" s="283">
        <f>(SUM(O186:Q186)+(K186+SUM(M186:Q186))*(INDEX($U$108:$AB$108,MATCH(Notes!$C$16,$U$3:$AB$3,0))-100%))*$L$108</f>
        <v>747.24693649999995</v>
      </c>
      <c r="M186" s="286"/>
      <c r="N186" s="286"/>
      <c r="O186" s="311">
        <f t="shared" si="53"/>
        <v>274.56584999999995</v>
      </c>
      <c r="P186" s="311">
        <f t="shared" si="53"/>
        <v>472.68108649999999</v>
      </c>
      <c r="Q186" s="285"/>
      <c r="R186" s="278"/>
      <c r="S186" s="278"/>
      <c r="T186" s="278"/>
    </row>
    <row r="187" spans="1:28" s="305" customFormat="1" hidden="1" outlineLevel="1" x14ac:dyDescent="0.25">
      <c r="A187" s="330">
        <v>148</v>
      </c>
      <c r="B187" s="279" t="str">
        <f t="shared" si="66"/>
        <v>400x400x12.5SHS</v>
      </c>
      <c r="C187" s="278" t="s">
        <v>1226</v>
      </c>
      <c r="D187" s="323"/>
      <c r="E187" s="323" t="s">
        <v>152</v>
      </c>
      <c r="F187" s="278"/>
      <c r="G187" s="278" t="s">
        <v>15</v>
      </c>
      <c r="H187" s="328">
        <f t="shared" si="69"/>
        <v>2.0720000000000001</v>
      </c>
      <c r="I187" s="280">
        <f t="shared" si="67"/>
        <v>167.04464000000002</v>
      </c>
      <c r="J187" s="281">
        <f t="shared" si="68"/>
        <v>189.44296000000003</v>
      </c>
      <c r="K187" s="282">
        <f>IF(Notes!$B$9="Domestic",I187, IF(Notes!$B$9="Commercial",J187))*$K$108</f>
        <v>189.44296000000003</v>
      </c>
      <c r="L187" s="283">
        <f>(SUM(O187:Q187)+(K187+SUM(M187:Q187))*(INDEX($U$108:$AB$108,MATCH(Notes!$C$16,$U$3:$AB$3,0))-100%))*$L$108</f>
        <v>1021.0742</v>
      </c>
      <c r="M187" s="286"/>
      <c r="N187" s="286"/>
      <c r="O187" s="311">
        <f t="shared" si="53"/>
        <v>375.18</v>
      </c>
      <c r="P187" s="311">
        <f t="shared" si="53"/>
        <v>645.89419999999996</v>
      </c>
      <c r="Q187" s="285"/>
      <c r="R187" s="278"/>
      <c r="S187" s="278"/>
      <c r="T187" s="278"/>
    </row>
    <row r="188" spans="1:28" s="305" customFormat="1" hidden="1" outlineLevel="1" x14ac:dyDescent="0.25">
      <c r="A188" s="330">
        <v>186</v>
      </c>
      <c r="B188" s="279" t="str">
        <f t="shared" si="66"/>
        <v>400x400x16SHS</v>
      </c>
      <c r="C188" s="278" t="s">
        <v>1227</v>
      </c>
      <c r="D188" s="323"/>
      <c r="E188" s="323" t="s">
        <v>152</v>
      </c>
      <c r="F188" s="278"/>
      <c r="G188" s="278" t="s">
        <v>15</v>
      </c>
      <c r="H188" s="328">
        <f t="shared" si="69"/>
        <v>2.6040000000000001</v>
      </c>
      <c r="I188" s="280">
        <f t="shared" si="67"/>
        <v>209.93448000000001</v>
      </c>
      <c r="J188" s="281">
        <f t="shared" si="68"/>
        <v>238.08372000000003</v>
      </c>
      <c r="K188" s="282">
        <f>IF(Notes!$B$9="Domestic",I188, IF(Notes!$B$9="Commercial",J188))*$K$108</f>
        <v>238.08372000000003</v>
      </c>
      <c r="L188" s="283">
        <f>(SUM(O188:Q188)+(K188+SUM(M188:Q188))*(INDEX($U$108:$AB$108,MATCH(Notes!$C$16,$U$3:$AB$3,0))-100%))*$L$108</f>
        <v>1283.2419</v>
      </c>
      <c r="M188" s="286"/>
      <c r="N188" s="286"/>
      <c r="O188" s="311">
        <f t="shared" si="53"/>
        <v>471.51</v>
      </c>
      <c r="P188" s="311">
        <f t="shared" si="53"/>
        <v>811.73189999999988</v>
      </c>
      <c r="Q188" s="285"/>
      <c r="R188" s="278"/>
      <c r="S188" s="278"/>
      <c r="T188" s="278"/>
    </row>
    <row r="189" spans="1:28" ht="21" hidden="1" outlineLevel="1" x14ac:dyDescent="0.25">
      <c r="A189" s="299" t="s">
        <v>133</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row>
    <row r="190" spans="1:28" ht="15.75" hidden="1" outlineLevel="1" x14ac:dyDescent="0.25">
      <c r="A190" s="303" t="s">
        <v>1044</v>
      </c>
      <c r="B190" s="291"/>
      <c r="C190" s="291"/>
      <c r="D190" s="291"/>
      <c r="E190" s="291"/>
      <c r="F190" s="291"/>
      <c r="G190" s="291"/>
      <c r="H190" s="325">
        <f>7*2</f>
        <v>14</v>
      </c>
      <c r="I190" s="291"/>
      <c r="J190" s="291"/>
      <c r="K190" s="291">
        <f>K$2</f>
        <v>1</v>
      </c>
      <c r="L190" s="291">
        <f>L$2</f>
        <v>1</v>
      </c>
      <c r="M190" s="291"/>
      <c r="N190" s="291"/>
      <c r="O190" s="384">
        <f>O108</f>
        <v>2535</v>
      </c>
      <c r="P190" s="324">
        <f>35*$P$2</f>
        <v>4364.1499999999996</v>
      </c>
      <c r="Q190" s="303"/>
      <c r="R190" s="291"/>
      <c r="S190" s="291"/>
      <c r="T190" s="291"/>
      <c r="U190" s="381">
        <f>U108</f>
        <v>0.99492691128617294</v>
      </c>
      <c r="V190" s="381">
        <f t="shared" ref="V190:AB190" si="76">V108</f>
        <v>1</v>
      </c>
      <c r="W190" s="381">
        <f t="shared" si="76"/>
        <v>0.98405600689940065</v>
      </c>
      <c r="X190" s="381">
        <f t="shared" si="76"/>
        <v>0.99492691128617294</v>
      </c>
      <c r="Y190" s="381">
        <f t="shared" si="76"/>
        <v>0.98985382257234589</v>
      </c>
      <c r="Z190" s="381">
        <f t="shared" si="76"/>
        <v>1.1833559206568924</v>
      </c>
      <c r="AA190" s="381">
        <f t="shared" si="76"/>
        <v>1.3717849300276121</v>
      </c>
      <c r="AB190" s="381">
        <f t="shared" si="76"/>
        <v>1.0384105288332621</v>
      </c>
    </row>
    <row r="191" spans="1:28" s="305" customFormat="1" ht="14.45" hidden="1" customHeight="1" outlineLevel="1" x14ac:dyDescent="0.25">
      <c r="A191" s="331">
        <v>1.63</v>
      </c>
      <c r="B191" s="279" t="str">
        <f t="shared" ref="B191:B225" si="77">C191&amp;D191&amp;E191&amp;F191</f>
        <v>50x20x1.6RHS</v>
      </c>
      <c r="C191" s="278" t="s">
        <v>1310</v>
      </c>
      <c r="D191" s="323"/>
      <c r="E191" s="278" t="s">
        <v>151</v>
      </c>
      <c r="F191" s="278"/>
      <c r="G191" s="278" t="s">
        <v>15</v>
      </c>
      <c r="H191" s="328">
        <f>$H$190*$A191/1000</f>
        <v>2.282E-2</v>
      </c>
      <c r="I191" s="280">
        <f>$I$2*H191</f>
        <v>1.8397484000000002</v>
      </c>
      <c r="J191" s="281">
        <f>$J$2*H191</f>
        <v>2.0864326000000002</v>
      </c>
      <c r="K191" s="282">
        <f>IF(Notes!$B$9="Domestic",I191, IF(Notes!$B$9="Commercial",J191))*$K$190</f>
        <v>2.0864326000000002</v>
      </c>
      <c r="L191" s="283">
        <f>(SUM(O191:Q191)+(K191+SUM(M191:Q191))*(INDEX($U$190:$AB$190,MATCH(Notes!$C$16,$U$3:$AB$3,0))-100%))*$L$190</f>
        <v>11.245614499999999</v>
      </c>
      <c r="M191" s="286"/>
      <c r="N191" s="286"/>
      <c r="O191" s="311">
        <f>O$190*$A191/1000</f>
        <v>4.1320500000000004</v>
      </c>
      <c r="P191" s="311">
        <f>P$190*$A191/1000</f>
        <v>7.113564499999999</v>
      </c>
      <c r="Q191" s="285"/>
      <c r="R191" s="278"/>
      <c r="S191" s="278"/>
      <c r="T191" s="278"/>
      <c r="U191" s="304"/>
    </row>
    <row r="192" spans="1:28" s="305" customFormat="1" ht="14.45" hidden="1" customHeight="1" outlineLevel="1" x14ac:dyDescent="0.25">
      <c r="A192" s="331">
        <v>1.99</v>
      </c>
      <c r="B192" s="279" t="str">
        <f t="shared" si="77"/>
        <v>50x20x2RHS</v>
      </c>
      <c r="C192" s="278" t="s">
        <v>1311</v>
      </c>
      <c r="D192" s="323"/>
      <c r="E192" s="278" t="s">
        <v>151</v>
      </c>
      <c r="F192" s="278"/>
      <c r="G192" s="278" t="s">
        <v>15</v>
      </c>
      <c r="H192" s="328">
        <f t="shared" ref="H192:H256" si="78">$H$190*$A192/1000</f>
        <v>2.7859999999999999E-2</v>
      </c>
      <c r="I192" s="280">
        <f>$I$2*H192</f>
        <v>2.2460732000000001</v>
      </c>
      <c r="J192" s="281">
        <f t="shared" ref="J192" si="79">$J$2*H192</f>
        <v>2.5472398000000003</v>
      </c>
      <c r="K192" s="282">
        <f>IF(Notes!$B$9="Domestic",I192, IF(Notes!$B$9="Commercial",J192))*$K$190</f>
        <v>2.5472398000000003</v>
      </c>
      <c r="L192" s="283">
        <f>(SUM(O192:Q192)+(K192+SUM(M192:Q192))*(INDEX($U$190:$AB$190,MATCH(Notes!$C$16,$U$3:$AB$3,0))-100%))*$L$190</f>
        <v>13.729308499999998</v>
      </c>
      <c r="M192" s="286"/>
      <c r="N192" s="286"/>
      <c r="O192" s="311">
        <f t="shared" ref="O192:P223" si="80">O$190*$A192/1000</f>
        <v>5.0446499999999999</v>
      </c>
      <c r="P192" s="311">
        <f t="shared" si="80"/>
        <v>8.6846584999999994</v>
      </c>
      <c r="Q192" s="285"/>
      <c r="R192" s="278"/>
      <c r="S192" s="278"/>
      <c r="T192" s="278"/>
      <c r="U192" s="304"/>
    </row>
    <row r="193" spans="1:21" s="305" customFormat="1" ht="14.45" hidden="1" customHeight="1" outlineLevel="1" x14ac:dyDescent="0.25">
      <c r="A193" s="331">
        <v>2.42</v>
      </c>
      <c r="B193" s="279" t="str">
        <f t="shared" si="77"/>
        <v>50x20x2.5RHS</v>
      </c>
      <c r="C193" s="278" t="s">
        <v>1312</v>
      </c>
      <c r="D193" s="323"/>
      <c r="E193" s="278" t="s">
        <v>151</v>
      </c>
      <c r="F193" s="278"/>
      <c r="G193" s="278" t="s">
        <v>15</v>
      </c>
      <c r="H193" s="328">
        <f t="shared" si="78"/>
        <v>3.3879999999999993E-2</v>
      </c>
      <c r="I193" s="280">
        <f t="shared" ref="I193:I259" si="81">$I$2*H193</f>
        <v>2.7314055999999995</v>
      </c>
      <c r="J193" s="281">
        <f t="shared" ref="J193:J259" si="82">$J$2*H193</f>
        <v>3.0976483999999997</v>
      </c>
      <c r="K193" s="282">
        <f>IF(Notes!$B$9="Domestic",I193, IF(Notes!$B$9="Commercial",J193))*$K$190</f>
        <v>3.0976483999999997</v>
      </c>
      <c r="L193" s="283">
        <f>(SUM(O193:Q193)+(K193+SUM(M193:Q193))*(INDEX($U$190:$AB$190,MATCH(Notes!$C$16,$U$3:$AB$3,0))-100%))*$L$190</f>
        <v>16.695943</v>
      </c>
      <c r="M193" s="286"/>
      <c r="N193" s="286"/>
      <c r="O193" s="311">
        <f t="shared" si="80"/>
        <v>6.1346999999999996</v>
      </c>
      <c r="P193" s="311">
        <f t="shared" si="80"/>
        <v>10.561242999999999</v>
      </c>
      <c r="Q193" s="285"/>
      <c r="R193" s="278"/>
      <c r="S193" s="278"/>
      <c r="T193" s="278"/>
      <c r="U193" s="304"/>
    </row>
    <row r="194" spans="1:21" s="305" customFormat="1" ht="14.45" hidden="1" customHeight="1" outlineLevel="1" x14ac:dyDescent="0.25">
      <c r="A194" s="331">
        <v>2.83</v>
      </c>
      <c r="B194" s="279" t="str">
        <f t="shared" si="77"/>
        <v>50x20x3RHS</v>
      </c>
      <c r="C194" s="278" t="s">
        <v>1313</v>
      </c>
      <c r="D194" s="323"/>
      <c r="E194" s="278" t="s">
        <v>151</v>
      </c>
      <c r="F194" s="278"/>
      <c r="G194" s="278" t="s">
        <v>15</v>
      </c>
      <c r="H194" s="328">
        <f t="shared" si="78"/>
        <v>3.9620000000000002E-2</v>
      </c>
      <c r="I194" s="280">
        <f t="shared" si="81"/>
        <v>3.1941644000000005</v>
      </c>
      <c r="J194" s="281">
        <f t="shared" si="82"/>
        <v>3.6224566000000005</v>
      </c>
      <c r="K194" s="282">
        <f>IF(Notes!$B$9="Domestic",I194, IF(Notes!$B$9="Commercial",J194))*$K$190</f>
        <v>3.6224566000000005</v>
      </c>
      <c r="L194" s="283">
        <f>(SUM(O194:Q194)+(K194+SUM(M194:Q194))*(INDEX($U$190:$AB$190,MATCH(Notes!$C$16,$U$3:$AB$3,0))-100%))*$L$190</f>
        <v>19.524594499999999</v>
      </c>
      <c r="M194" s="286"/>
      <c r="N194" s="286"/>
      <c r="O194" s="311">
        <f t="shared" si="80"/>
        <v>7.1740500000000003</v>
      </c>
      <c r="P194" s="311">
        <f t="shared" si="80"/>
        <v>12.3505445</v>
      </c>
      <c r="Q194" s="285"/>
      <c r="R194" s="278"/>
      <c r="S194" s="278"/>
      <c r="T194" s="278"/>
      <c r="U194" s="304"/>
    </row>
    <row r="195" spans="1:21" s="305" customFormat="1" ht="14.45" hidden="1" customHeight="1" outlineLevel="1" x14ac:dyDescent="0.25">
      <c r="A195" s="331">
        <v>1.75</v>
      </c>
      <c r="B195" s="279" t="str">
        <f t="shared" si="77"/>
        <v>50x25x1.6RHS</v>
      </c>
      <c r="C195" s="278" t="s">
        <v>1314</v>
      </c>
      <c r="D195" s="323"/>
      <c r="E195" s="278" t="s">
        <v>151</v>
      </c>
      <c r="F195" s="278"/>
      <c r="G195" s="278" t="s">
        <v>15</v>
      </c>
      <c r="H195" s="328">
        <f t="shared" si="78"/>
        <v>2.4500000000000001E-2</v>
      </c>
      <c r="I195" s="280">
        <f t="shared" si="81"/>
        <v>1.9751900000000002</v>
      </c>
      <c r="J195" s="281">
        <f t="shared" si="82"/>
        <v>2.2400350000000002</v>
      </c>
      <c r="K195" s="282">
        <f>IF(Notes!$B$9="Domestic",I195, IF(Notes!$B$9="Commercial",J195))*$K$190</f>
        <v>2.2400350000000002</v>
      </c>
      <c r="L195" s="283">
        <f>(SUM(O195:Q195)+(K195+SUM(M195:Q195))*(INDEX($U$190:$AB$190,MATCH(Notes!$C$16,$U$3:$AB$3,0))-100%))*$L$190</f>
        <v>12.0735125</v>
      </c>
      <c r="M195" s="286"/>
      <c r="N195" s="286"/>
      <c r="O195" s="311">
        <f t="shared" si="80"/>
        <v>4.4362500000000002</v>
      </c>
      <c r="P195" s="311">
        <f t="shared" si="80"/>
        <v>7.6372624999999985</v>
      </c>
      <c r="Q195" s="285"/>
      <c r="R195" s="278"/>
      <c r="S195" s="278"/>
      <c r="T195" s="278"/>
      <c r="U195" s="304"/>
    </row>
    <row r="196" spans="1:21" s="305" customFormat="1" ht="14.45" hidden="1" customHeight="1" outlineLevel="1" x14ac:dyDescent="0.25">
      <c r="A196" s="331">
        <v>2.15</v>
      </c>
      <c r="B196" s="279" t="str">
        <f t="shared" si="77"/>
        <v>50x25x2RHS</v>
      </c>
      <c r="C196" s="278" t="s">
        <v>1315</v>
      </c>
      <c r="D196" s="323"/>
      <c r="E196" s="278" t="s">
        <v>151</v>
      </c>
      <c r="F196" s="278"/>
      <c r="G196" s="278" t="s">
        <v>15</v>
      </c>
      <c r="H196" s="328">
        <f t="shared" si="78"/>
        <v>3.0099999999999998E-2</v>
      </c>
      <c r="I196" s="280">
        <f t="shared" si="81"/>
        <v>2.4266619999999999</v>
      </c>
      <c r="J196" s="281">
        <f t="shared" si="82"/>
        <v>2.752043</v>
      </c>
      <c r="K196" s="282">
        <f>IF(Notes!$B$9="Domestic",I196, IF(Notes!$B$9="Commercial",J196))*$K$190</f>
        <v>2.752043</v>
      </c>
      <c r="L196" s="283">
        <f>(SUM(O196:Q196)+(K196+SUM(M196:Q196))*(INDEX($U$190:$AB$190,MATCH(Notes!$C$16,$U$3:$AB$3,0))-100%))*$L$190</f>
        <v>14.8331725</v>
      </c>
      <c r="M196" s="286"/>
      <c r="N196" s="286"/>
      <c r="O196" s="311">
        <f t="shared" si="80"/>
        <v>5.4502499999999996</v>
      </c>
      <c r="P196" s="311">
        <f t="shared" si="80"/>
        <v>9.3829224999999994</v>
      </c>
      <c r="Q196" s="285"/>
      <c r="R196" s="278"/>
      <c r="S196" s="278"/>
      <c r="T196" s="278"/>
      <c r="U196" s="304"/>
    </row>
    <row r="197" spans="1:21" s="305" customFormat="1" ht="14.45" hidden="1" customHeight="1" outlineLevel="1" x14ac:dyDescent="0.25">
      <c r="A197" s="331">
        <v>2.62</v>
      </c>
      <c r="B197" s="279" t="str">
        <f t="shared" si="77"/>
        <v>50x25x2.5RHS</v>
      </c>
      <c r="C197" s="278" t="s">
        <v>1316</v>
      </c>
      <c r="D197" s="323"/>
      <c r="E197" s="278" t="s">
        <v>151</v>
      </c>
      <c r="F197" s="278"/>
      <c r="G197" s="278" t="s">
        <v>15</v>
      </c>
      <c r="H197" s="328">
        <f t="shared" si="78"/>
        <v>3.6679999999999997E-2</v>
      </c>
      <c r="I197" s="280">
        <f t="shared" si="81"/>
        <v>2.9571415999999999</v>
      </c>
      <c r="J197" s="281">
        <f t="shared" si="82"/>
        <v>3.3536524000000001</v>
      </c>
      <c r="K197" s="282">
        <f>IF(Notes!$B$9="Domestic",I197, IF(Notes!$B$9="Commercial",J197))*$K$190</f>
        <v>3.3536524000000001</v>
      </c>
      <c r="L197" s="283">
        <f>(SUM(O197:Q197)+(K197+SUM(M197:Q197))*(INDEX($U$190:$AB$190,MATCH(Notes!$C$16,$U$3:$AB$3,0))-100%))*$L$190</f>
        <v>18.075772999999998</v>
      </c>
      <c r="M197" s="286"/>
      <c r="N197" s="286"/>
      <c r="O197" s="311">
        <f t="shared" si="80"/>
        <v>6.6417000000000002</v>
      </c>
      <c r="P197" s="311">
        <f t="shared" si="80"/>
        <v>11.434073</v>
      </c>
      <c r="Q197" s="285"/>
      <c r="R197" s="278"/>
      <c r="S197" s="278"/>
      <c r="T197" s="278"/>
      <c r="U197" s="304"/>
    </row>
    <row r="198" spans="1:21" s="305" customFormat="1" ht="14.45" hidden="1" customHeight="1" outlineLevel="1" x14ac:dyDescent="0.25">
      <c r="A198" s="331">
        <v>3.07</v>
      </c>
      <c r="B198" s="279" t="str">
        <f t="shared" si="77"/>
        <v>50x25x3RHS</v>
      </c>
      <c r="C198" s="278" t="s">
        <v>1317</v>
      </c>
      <c r="D198" s="323"/>
      <c r="E198" s="278" t="s">
        <v>151</v>
      </c>
      <c r="F198" s="278"/>
      <c r="G198" s="278" t="s">
        <v>15</v>
      </c>
      <c r="H198" s="328">
        <f t="shared" si="78"/>
        <v>4.2979999999999997E-2</v>
      </c>
      <c r="I198" s="280">
        <f t="shared" si="81"/>
        <v>3.4650476000000001</v>
      </c>
      <c r="J198" s="281">
        <f t="shared" si="82"/>
        <v>3.9296614000000001</v>
      </c>
      <c r="K198" s="282">
        <f>IF(Notes!$B$9="Domestic",I198, IF(Notes!$B$9="Commercial",J198))*$K$190</f>
        <v>3.9296614000000001</v>
      </c>
      <c r="L198" s="283">
        <f>(SUM(O198:Q198)+(K198+SUM(M198:Q198))*(INDEX($U$190:$AB$190,MATCH(Notes!$C$16,$U$3:$AB$3,0))-100%))*$L$190</f>
        <v>21.180390499999998</v>
      </c>
      <c r="M198" s="286"/>
      <c r="N198" s="286"/>
      <c r="O198" s="311">
        <f t="shared" si="80"/>
        <v>7.7824499999999999</v>
      </c>
      <c r="P198" s="311">
        <f t="shared" si="80"/>
        <v>13.397940499999999</v>
      </c>
      <c r="Q198" s="285"/>
      <c r="R198" s="278"/>
      <c r="S198" s="278"/>
      <c r="T198" s="278"/>
      <c r="U198" s="304"/>
    </row>
    <row r="199" spans="1:21" s="305" customFormat="1" ht="14.45" hidden="1" customHeight="1" outlineLevel="1" x14ac:dyDescent="0.25">
      <c r="A199" s="331">
        <v>2.38</v>
      </c>
      <c r="B199" s="279" t="str">
        <f t="shared" si="77"/>
        <v>65x35x1.6RHS</v>
      </c>
      <c r="C199" s="278" t="s">
        <v>1318</v>
      </c>
      <c r="D199" s="323"/>
      <c r="E199" s="278" t="s">
        <v>151</v>
      </c>
      <c r="F199" s="278"/>
      <c r="G199" s="278" t="s">
        <v>15</v>
      </c>
      <c r="H199" s="328">
        <f t="shared" si="78"/>
        <v>3.3320000000000002E-2</v>
      </c>
      <c r="I199" s="280">
        <f t="shared" si="81"/>
        <v>2.6862584000000003</v>
      </c>
      <c r="J199" s="281">
        <f t="shared" ref="J199" si="83">$J$2*H199</f>
        <v>3.0464476000000005</v>
      </c>
      <c r="K199" s="282">
        <f>IF(Notes!$B$9="Domestic",I199, IF(Notes!$B$9="Commercial",J199))*$K$190</f>
        <v>3.0464476000000005</v>
      </c>
      <c r="L199" s="283">
        <f>(SUM(O199:Q199)+(K199+SUM(M199:Q199))*(INDEX($U$190:$AB$190,MATCH(Notes!$C$16,$U$3:$AB$3,0))-100%))*$L$190</f>
        <v>16.419976999999996</v>
      </c>
      <c r="M199" s="286"/>
      <c r="N199" s="286"/>
      <c r="O199" s="311">
        <f t="shared" si="80"/>
        <v>6.0333000000000006</v>
      </c>
      <c r="P199" s="311">
        <f t="shared" si="80"/>
        <v>10.386676999999997</v>
      </c>
      <c r="Q199" s="285"/>
      <c r="R199" s="278"/>
      <c r="S199" s="278"/>
      <c r="T199" s="278"/>
      <c r="U199" s="304"/>
    </row>
    <row r="200" spans="1:21" s="305" customFormat="1" ht="14.45" hidden="1" customHeight="1" outlineLevel="1" x14ac:dyDescent="0.25">
      <c r="A200" s="331">
        <v>2.93</v>
      </c>
      <c r="B200" s="279" t="str">
        <f t="shared" si="77"/>
        <v>65x35x2RHS</v>
      </c>
      <c r="C200" s="278" t="s">
        <v>1319</v>
      </c>
      <c r="D200" s="323"/>
      <c r="E200" s="278" t="s">
        <v>151</v>
      </c>
      <c r="F200" s="278"/>
      <c r="G200" s="278" t="s">
        <v>15</v>
      </c>
      <c r="H200" s="328">
        <f t="shared" si="78"/>
        <v>4.1020000000000001E-2</v>
      </c>
      <c r="I200" s="280">
        <f t="shared" si="81"/>
        <v>3.3070324000000002</v>
      </c>
      <c r="J200" s="281">
        <f t="shared" si="82"/>
        <v>3.7504586000000004</v>
      </c>
      <c r="K200" s="282">
        <f>IF(Notes!$B$9="Domestic",I200, IF(Notes!$B$9="Commercial",J200))*$K$190</f>
        <v>3.7504586000000004</v>
      </c>
      <c r="L200" s="283">
        <f>(SUM(O200:Q200)+(K200+SUM(M200:Q200))*(INDEX($U$190:$AB$190,MATCH(Notes!$C$16,$U$3:$AB$3,0))-100%))*$L$190</f>
        <v>20.214509499999998</v>
      </c>
      <c r="M200" s="286"/>
      <c r="N200" s="286"/>
      <c r="O200" s="311">
        <f t="shared" si="80"/>
        <v>7.4275500000000001</v>
      </c>
      <c r="P200" s="311">
        <f t="shared" si="80"/>
        <v>12.786959499999998</v>
      </c>
      <c r="Q200" s="285"/>
      <c r="R200" s="278"/>
      <c r="S200" s="278"/>
      <c r="T200" s="278"/>
      <c r="U200" s="304"/>
    </row>
    <row r="201" spans="1:21" s="305" customFormat="1" ht="14.45" hidden="1" customHeight="1" outlineLevel="1" x14ac:dyDescent="0.25">
      <c r="A201" s="331">
        <v>3.6</v>
      </c>
      <c r="B201" s="279" t="str">
        <f t="shared" si="77"/>
        <v>65x35x2.5RHS</v>
      </c>
      <c r="C201" s="278" t="s">
        <v>1320</v>
      </c>
      <c r="D201" s="323"/>
      <c r="E201" s="278" t="s">
        <v>151</v>
      </c>
      <c r="F201" s="278"/>
      <c r="G201" s="278" t="s">
        <v>15</v>
      </c>
      <c r="H201" s="328">
        <f t="shared" si="78"/>
        <v>5.04E-2</v>
      </c>
      <c r="I201" s="280">
        <f t="shared" si="81"/>
        <v>4.0632480000000006</v>
      </c>
      <c r="J201" s="281">
        <f t="shared" si="82"/>
        <v>4.6080719999999999</v>
      </c>
      <c r="K201" s="282">
        <f>IF(Notes!$B$9="Domestic",I201, IF(Notes!$B$9="Commercial",J201))*$K$190</f>
        <v>4.6080719999999999</v>
      </c>
      <c r="L201" s="283">
        <f>(SUM(O201:Q201)+(K201+SUM(M201:Q201))*(INDEX($U$190:$AB$190,MATCH(Notes!$C$16,$U$3:$AB$3,0))-100%))*$L$190</f>
        <v>24.836939999999998</v>
      </c>
      <c r="M201" s="286"/>
      <c r="N201" s="286"/>
      <c r="O201" s="311">
        <f t="shared" si="80"/>
        <v>9.1259999999999994</v>
      </c>
      <c r="P201" s="311">
        <f t="shared" si="80"/>
        <v>15.710939999999999</v>
      </c>
      <c r="Q201" s="285"/>
      <c r="R201" s="278"/>
      <c r="S201" s="278"/>
      <c r="T201" s="278"/>
      <c r="U201" s="304"/>
    </row>
    <row r="202" spans="1:21" s="305" customFormat="1" ht="14.45" hidden="1" customHeight="1" outlineLevel="1" x14ac:dyDescent="0.25">
      <c r="A202" s="331">
        <v>4.25</v>
      </c>
      <c r="B202" s="279" t="str">
        <f t="shared" si="77"/>
        <v>65x35x3RHS</v>
      </c>
      <c r="C202" s="278" t="s">
        <v>1321</v>
      </c>
      <c r="D202" s="323"/>
      <c r="E202" s="278" t="s">
        <v>151</v>
      </c>
      <c r="F202" s="278"/>
      <c r="G202" s="278" t="s">
        <v>15</v>
      </c>
      <c r="H202" s="328">
        <f t="shared" si="78"/>
        <v>5.9499999999999997E-2</v>
      </c>
      <c r="I202" s="280">
        <f t="shared" si="81"/>
        <v>4.7968900000000003</v>
      </c>
      <c r="J202" s="281">
        <f t="shared" si="82"/>
        <v>5.4400849999999998</v>
      </c>
      <c r="K202" s="282">
        <f>IF(Notes!$B$9="Domestic",I202, IF(Notes!$B$9="Commercial",J202))*$K$190</f>
        <v>5.4400849999999998</v>
      </c>
      <c r="L202" s="283">
        <f>(SUM(O202:Q202)+(K202+SUM(M202:Q202))*(INDEX($U$190:$AB$190,MATCH(Notes!$C$16,$U$3:$AB$3,0))-100%))*$L$190</f>
        <v>29.321387499999997</v>
      </c>
      <c r="M202" s="286"/>
      <c r="N202" s="286"/>
      <c r="O202" s="311">
        <f t="shared" si="80"/>
        <v>10.77375</v>
      </c>
      <c r="P202" s="311">
        <f t="shared" si="80"/>
        <v>18.547637499999997</v>
      </c>
      <c r="Q202" s="285"/>
      <c r="R202" s="278"/>
      <c r="S202" s="278"/>
      <c r="T202" s="278"/>
      <c r="U202" s="304"/>
    </row>
    <row r="203" spans="1:21" s="305" customFormat="1" ht="14.45" hidden="1" customHeight="1" outlineLevel="1" x14ac:dyDescent="0.25">
      <c r="A203" s="331">
        <v>2.38</v>
      </c>
      <c r="B203" s="279" t="str">
        <f t="shared" si="77"/>
        <v>75x25x1.6RHS</v>
      </c>
      <c r="C203" s="278" t="s">
        <v>1322</v>
      </c>
      <c r="D203" s="323"/>
      <c r="E203" s="278" t="s">
        <v>151</v>
      </c>
      <c r="F203" s="278"/>
      <c r="G203" s="278" t="s">
        <v>15</v>
      </c>
      <c r="H203" s="328">
        <f t="shared" si="78"/>
        <v>3.3320000000000002E-2</v>
      </c>
      <c r="I203" s="280">
        <f t="shared" si="81"/>
        <v>2.6862584000000003</v>
      </c>
      <c r="J203" s="281">
        <f t="shared" si="82"/>
        <v>3.0464476000000005</v>
      </c>
      <c r="K203" s="282">
        <f>IF(Notes!$B$9="Domestic",I203, IF(Notes!$B$9="Commercial",J203))*$K$190</f>
        <v>3.0464476000000005</v>
      </c>
      <c r="L203" s="283">
        <f>(SUM(O203:Q203)+(K203+SUM(M203:Q203))*(INDEX($U$190:$AB$190,MATCH(Notes!$C$16,$U$3:$AB$3,0))-100%))*$L$190</f>
        <v>16.419976999999996</v>
      </c>
      <c r="M203" s="286"/>
      <c r="N203" s="286"/>
      <c r="O203" s="311">
        <f t="shared" si="80"/>
        <v>6.0333000000000006</v>
      </c>
      <c r="P203" s="311">
        <f t="shared" si="80"/>
        <v>10.386676999999997</v>
      </c>
      <c r="Q203" s="285"/>
      <c r="R203" s="278"/>
      <c r="S203" s="278"/>
      <c r="T203" s="278"/>
      <c r="U203" s="304"/>
    </row>
    <row r="204" spans="1:21" s="305" customFormat="1" ht="14.45" hidden="1" customHeight="1" outlineLevel="1" x14ac:dyDescent="0.25">
      <c r="A204" s="331">
        <v>2.93</v>
      </c>
      <c r="B204" s="279" t="str">
        <f t="shared" si="77"/>
        <v>75x25x2RHS</v>
      </c>
      <c r="C204" s="278" t="s">
        <v>1323</v>
      </c>
      <c r="D204" s="323"/>
      <c r="E204" s="278" t="s">
        <v>151</v>
      </c>
      <c r="F204" s="278"/>
      <c r="G204" s="278" t="s">
        <v>15</v>
      </c>
      <c r="H204" s="328">
        <f t="shared" si="78"/>
        <v>4.1020000000000001E-2</v>
      </c>
      <c r="I204" s="280">
        <f t="shared" si="81"/>
        <v>3.3070324000000002</v>
      </c>
      <c r="J204" s="281">
        <f t="shared" si="82"/>
        <v>3.7504586000000004</v>
      </c>
      <c r="K204" s="282">
        <f>IF(Notes!$B$9="Domestic",I204, IF(Notes!$B$9="Commercial",J204))*$K$190</f>
        <v>3.7504586000000004</v>
      </c>
      <c r="L204" s="283">
        <f>(SUM(O204:Q204)+(K204+SUM(M204:Q204))*(INDEX($U$190:$AB$190,MATCH(Notes!$C$16,$U$3:$AB$3,0))-100%))*$L$190</f>
        <v>20.214509499999998</v>
      </c>
      <c r="M204" s="286"/>
      <c r="N204" s="286"/>
      <c r="O204" s="311">
        <f t="shared" si="80"/>
        <v>7.4275500000000001</v>
      </c>
      <c r="P204" s="311">
        <f t="shared" si="80"/>
        <v>12.786959499999998</v>
      </c>
      <c r="Q204" s="285"/>
      <c r="R204" s="278"/>
      <c r="S204" s="278"/>
      <c r="T204" s="278"/>
      <c r="U204" s="304"/>
    </row>
    <row r="205" spans="1:21" s="305" customFormat="1" ht="14.45" hidden="1" customHeight="1" outlineLevel="1" x14ac:dyDescent="0.25">
      <c r="A205" s="331">
        <v>3.6</v>
      </c>
      <c r="B205" s="279" t="str">
        <f t="shared" si="77"/>
        <v>75x25x2.5RHS</v>
      </c>
      <c r="C205" s="278" t="s">
        <v>1324</v>
      </c>
      <c r="D205" s="323"/>
      <c r="E205" s="278" t="s">
        <v>151</v>
      </c>
      <c r="F205" s="278"/>
      <c r="G205" s="278" t="s">
        <v>15</v>
      </c>
      <c r="H205" s="328">
        <f t="shared" si="78"/>
        <v>5.04E-2</v>
      </c>
      <c r="I205" s="280">
        <f t="shared" si="81"/>
        <v>4.0632480000000006</v>
      </c>
      <c r="J205" s="281">
        <f t="shared" si="82"/>
        <v>4.6080719999999999</v>
      </c>
      <c r="K205" s="282">
        <f>IF(Notes!$B$9="Domestic",I205, IF(Notes!$B$9="Commercial",J205))*$K$190</f>
        <v>4.6080719999999999</v>
      </c>
      <c r="L205" s="283">
        <f>(SUM(O205:Q205)+(K205+SUM(M205:Q205))*(INDEX($U$190:$AB$190,MATCH(Notes!$C$16,$U$3:$AB$3,0))-100%))*$L$190</f>
        <v>24.836939999999998</v>
      </c>
      <c r="M205" s="286"/>
      <c r="N205" s="286"/>
      <c r="O205" s="311">
        <f t="shared" si="80"/>
        <v>9.1259999999999994</v>
      </c>
      <c r="P205" s="311">
        <f t="shared" si="80"/>
        <v>15.710939999999999</v>
      </c>
      <c r="Q205" s="285"/>
      <c r="R205" s="278"/>
      <c r="S205" s="278"/>
      <c r="T205" s="278"/>
      <c r="U205" s="304"/>
    </row>
    <row r="206" spans="1:21" s="305" customFormat="1" ht="14.45" hidden="1" customHeight="1" outlineLevel="1" x14ac:dyDescent="0.25">
      <c r="A206" s="331">
        <v>3.01</v>
      </c>
      <c r="B206" s="279" t="str">
        <f t="shared" si="77"/>
        <v>75x50x1.6RHS</v>
      </c>
      <c r="C206" s="278" t="s">
        <v>1325</v>
      </c>
      <c r="D206" s="323"/>
      <c r="E206" s="278" t="s">
        <v>151</v>
      </c>
      <c r="F206" s="278"/>
      <c r="G206" s="278" t="s">
        <v>15</v>
      </c>
      <c r="H206" s="328">
        <f t="shared" si="78"/>
        <v>4.2140000000000004E-2</v>
      </c>
      <c r="I206" s="280">
        <f t="shared" si="81"/>
        <v>3.3973268000000005</v>
      </c>
      <c r="J206" s="281">
        <f t="shared" ref="J206" si="84">$J$2*H206</f>
        <v>3.8528602000000007</v>
      </c>
      <c r="K206" s="282">
        <f>IF(Notes!$B$9="Domestic",I206, IF(Notes!$B$9="Commercial",J206))*$K$190</f>
        <v>3.8528602000000007</v>
      </c>
      <c r="L206" s="283">
        <f>(SUM(O206:Q206)+(K206+SUM(M206:Q206))*(INDEX($U$190:$AB$190,MATCH(Notes!$C$16,$U$3:$AB$3,0))-100%))*$L$190</f>
        <v>20.766441499999999</v>
      </c>
      <c r="M206" s="286"/>
      <c r="N206" s="286"/>
      <c r="O206" s="311">
        <f t="shared" si="80"/>
        <v>7.6303499999999991</v>
      </c>
      <c r="P206" s="311">
        <f t="shared" si="80"/>
        <v>13.136091499999999</v>
      </c>
      <c r="Q206" s="285"/>
      <c r="R206" s="278"/>
      <c r="S206" s="278"/>
      <c r="T206" s="278"/>
      <c r="U206" s="304"/>
    </row>
    <row r="207" spans="1:21" s="305" customFormat="1" ht="14.45" hidden="1" customHeight="1" outlineLevel="1" x14ac:dyDescent="0.25">
      <c r="A207" s="331">
        <v>3.72</v>
      </c>
      <c r="B207" s="279" t="str">
        <f t="shared" si="77"/>
        <v>75x50x2RHS</v>
      </c>
      <c r="C207" s="278" t="s">
        <v>1326</v>
      </c>
      <c r="D207" s="323"/>
      <c r="E207" s="278" t="s">
        <v>151</v>
      </c>
      <c r="F207" s="278"/>
      <c r="G207" s="278" t="s">
        <v>15</v>
      </c>
      <c r="H207" s="328">
        <f t="shared" si="78"/>
        <v>5.2080000000000008E-2</v>
      </c>
      <c r="I207" s="280">
        <f t="shared" si="81"/>
        <v>4.1986896000000007</v>
      </c>
      <c r="J207" s="281">
        <f t="shared" si="82"/>
        <v>4.7616744000000013</v>
      </c>
      <c r="K207" s="282">
        <f>IF(Notes!$B$9="Domestic",I207, IF(Notes!$B$9="Commercial",J207))*$K$190</f>
        <v>4.7616744000000013</v>
      </c>
      <c r="L207" s="283">
        <f>(SUM(O207:Q207)+(K207+SUM(M207:Q207))*(INDEX($U$190:$AB$190,MATCH(Notes!$C$16,$U$3:$AB$3,0))-100%))*$L$190</f>
        <v>25.664838000000003</v>
      </c>
      <c r="M207" s="286"/>
      <c r="N207" s="286"/>
      <c r="O207" s="311">
        <f t="shared" si="80"/>
        <v>9.430200000000001</v>
      </c>
      <c r="P207" s="311">
        <f t="shared" si="80"/>
        <v>16.234638</v>
      </c>
      <c r="Q207" s="285"/>
      <c r="R207" s="278"/>
      <c r="S207" s="278"/>
      <c r="T207" s="278"/>
      <c r="U207" s="304"/>
    </row>
    <row r="208" spans="1:21" s="305" customFormat="1" ht="14.45" hidden="1" customHeight="1" outlineLevel="1" x14ac:dyDescent="0.25">
      <c r="A208" s="331">
        <v>4.58</v>
      </c>
      <c r="B208" s="279" t="str">
        <f t="shared" si="77"/>
        <v>75x50x2.5RHS</v>
      </c>
      <c r="C208" s="278" t="s">
        <v>1327</v>
      </c>
      <c r="D208" s="323"/>
      <c r="E208" s="278" t="s">
        <v>151</v>
      </c>
      <c r="F208" s="278"/>
      <c r="G208" s="278" t="s">
        <v>15</v>
      </c>
      <c r="H208" s="328">
        <f t="shared" si="78"/>
        <v>6.412000000000001E-2</v>
      </c>
      <c r="I208" s="280">
        <f t="shared" si="81"/>
        <v>5.1693544000000013</v>
      </c>
      <c r="J208" s="281">
        <f t="shared" si="82"/>
        <v>5.8624916000000011</v>
      </c>
      <c r="K208" s="282">
        <f>IF(Notes!$B$9="Domestic",I208, IF(Notes!$B$9="Commercial",J208))*$K$190</f>
        <v>5.8624916000000011</v>
      </c>
      <c r="L208" s="283">
        <f>(SUM(O208:Q208)+(K208+SUM(M208:Q208))*(INDEX($U$190:$AB$190,MATCH(Notes!$C$16,$U$3:$AB$3,0))-100%))*$L$190</f>
        <v>31.598106999999995</v>
      </c>
      <c r="M208" s="286"/>
      <c r="N208" s="286"/>
      <c r="O208" s="311">
        <f t="shared" si="80"/>
        <v>11.610299999999999</v>
      </c>
      <c r="P208" s="311">
        <f t="shared" si="80"/>
        <v>19.987806999999997</v>
      </c>
      <c r="Q208" s="285"/>
      <c r="R208" s="278"/>
      <c r="S208" s="278"/>
      <c r="T208" s="278"/>
      <c r="U208" s="304"/>
    </row>
    <row r="209" spans="1:21" s="305" customFormat="1" ht="14.45" hidden="1" customHeight="1" outlineLevel="1" x14ac:dyDescent="0.25">
      <c r="A209" s="331">
        <v>5.42</v>
      </c>
      <c r="B209" s="279" t="str">
        <f t="shared" si="77"/>
        <v>75x50x3RHS</v>
      </c>
      <c r="C209" s="278" t="s">
        <v>1328</v>
      </c>
      <c r="D209" s="323"/>
      <c r="E209" s="278" t="s">
        <v>151</v>
      </c>
      <c r="F209" s="278"/>
      <c r="G209" s="278" t="s">
        <v>15</v>
      </c>
      <c r="H209" s="328">
        <f t="shared" si="78"/>
        <v>7.5879999999999989E-2</v>
      </c>
      <c r="I209" s="280">
        <f t="shared" si="81"/>
        <v>6.117445599999999</v>
      </c>
      <c r="J209" s="281">
        <f t="shared" si="82"/>
        <v>6.9377083999999991</v>
      </c>
      <c r="K209" s="282">
        <f>IF(Notes!$B$9="Domestic",I209, IF(Notes!$B$9="Commercial",J209))*$K$190</f>
        <v>6.9377083999999991</v>
      </c>
      <c r="L209" s="283">
        <f>(SUM(O209:Q209)+(K209+SUM(M209:Q209))*(INDEX($U$190:$AB$190,MATCH(Notes!$C$16,$U$3:$AB$3,0))-100%))*$L$190</f>
        <v>37.393393000000003</v>
      </c>
      <c r="M209" s="286"/>
      <c r="N209" s="286"/>
      <c r="O209" s="311">
        <f t="shared" si="80"/>
        <v>13.739700000000001</v>
      </c>
      <c r="P209" s="311">
        <f t="shared" si="80"/>
        <v>23.653693000000001</v>
      </c>
      <c r="Q209" s="285"/>
      <c r="R209" s="278"/>
      <c r="S209" s="278"/>
      <c r="T209" s="278"/>
      <c r="U209" s="304"/>
    </row>
    <row r="210" spans="1:21" s="305" customFormat="1" ht="14.45" hidden="1" customHeight="1" outlineLevel="1" x14ac:dyDescent="0.25">
      <c r="A210" s="331">
        <v>6.92</v>
      </c>
      <c r="B210" s="279" t="str">
        <f t="shared" si="77"/>
        <v>75x50x4RHS</v>
      </c>
      <c r="C210" s="278" t="s">
        <v>1329</v>
      </c>
      <c r="D210" s="323"/>
      <c r="E210" s="278" t="s">
        <v>151</v>
      </c>
      <c r="F210" s="278"/>
      <c r="G210" s="278" t="s">
        <v>15</v>
      </c>
      <c r="H210" s="328">
        <f t="shared" si="78"/>
        <v>9.6879999999999994E-2</v>
      </c>
      <c r="I210" s="280">
        <f t="shared" si="81"/>
        <v>7.8104655999999997</v>
      </c>
      <c r="J210" s="281">
        <f t="shared" si="82"/>
        <v>8.8577384000000006</v>
      </c>
      <c r="K210" s="282">
        <f>IF(Notes!$B$9="Domestic",I210, IF(Notes!$B$9="Commercial",J210))*$K$190</f>
        <v>8.8577384000000006</v>
      </c>
      <c r="L210" s="283">
        <f>(SUM(O210:Q210)+(K210+SUM(M210:Q210))*(INDEX($U$190:$AB$190,MATCH(Notes!$C$16,$U$3:$AB$3,0))-100%))*$L$190</f>
        <v>47.742117999999998</v>
      </c>
      <c r="M210" s="286"/>
      <c r="N210" s="286"/>
      <c r="O210" s="311">
        <f t="shared" si="80"/>
        <v>17.542200000000001</v>
      </c>
      <c r="P210" s="311">
        <f t="shared" si="80"/>
        <v>30.199917999999997</v>
      </c>
      <c r="Q210" s="285"/>
      <c r="R210" s="278"/>
      <c r="S210" s="278"/>
      <c r="T210" s="278"/>
      <c r="U210" s="304"/>
    </row>
    <row r="211" spans="1:21" s="305" customFormat="1" ht="14.45" hidden="1" customHeight="1" outlineLevel="1" x14ac:dyDescent="0.25">
      <c r="A211" s="331">
        <v>8.35</v>
      </c>
      <c r="B211" s="279" t="str">
        <f t="shared" si="77"/>
        <v>75x50x5RHS</v>
      </c>
      <c r="C211" s="278" t="s">
        <v>1330</v>
      </c>
      <c r="D211" s="323"/>
      <c r="E211" s="278" t="s">
        <v>151</v>
      </c>
      <c r="F211" s="278"/>
      <c r="G211" s="278" t="s">
        <v>15</v>
      </c>
      <c r="H211" s="328">
        <f t="shared" si="78"/>
        <v>0.11689999999999999</v>
      </c>
      <c r="I211" s="280">
        <f t="shared" si="81"/>
        <v>9.4244780000000006</v>
      </c>
      <c r="J211" s="281">
        <f t="shared" si="82"/>
        <v>10.688167</v>
      </c>
      <c r="K211" s="282">
        <f>IF(Notes!$B$9="Domestic",I211, IF(Notes!$B$9="Commercial",J211))*$K$190</f>
        <v>10.688167</v>
      </c>
      <c r="L211" s="283">
        <f>(SUM(O211:Q211)+(K211+SUM(M211:Q211))*(INDEX($U$190:$AB$190,MATCH(Notes!$C$16,$U$3:$AB$3,0))-100%))*$L$190</f>
        <v>57.607902499999994</v>
      </c>
      <c r="M211" s="286"/>
      <c r="N211" s="286"/>
      <c r="O211" s="311">
        <f t="shared" si="80"/>
        <v>21.167249999999999</v>
      </c>
      <c r="P211" s="311">
        <f t="shared" si="80"/>
        <v>36.440652499999999</v>
      </c>
      <c r="Q211" s="285"/>
      <c r="R211" s="278"/>
      <c r="S211" s="278"/>
      <c r="T211" s="278"/>
      <c r="U211" s="304"/>
    </row>
    <row r="212" spans="1:21" s="305" customFormat="1" ht="14.45" hidden="1" customHeight="1" outlineLevel="1" x14ac:dyDescent="0.25">
      <c r="A212" s="331">
        <v>9.67</v>
      </c>
      <c r="B212" s="279" t="str">
        <f t="shared" si="77"/>
        <v>75x50x6RHS</v>
      </c>
      <c r="C212" s="278" t="s">
        <v>1331</v>
      </c>
      <c r="D212" s="323"/>
      <c r="E212" s="278" t="s">
        <v>151</v>
      </c>
      <c r="F212" s="278"/>
      <c r="G212" s="278" t="s">
        <v>15</v>
      </c>
      <c r="H212" s="328">
        <f t="shared" si="78"/>
        <v>0.13538</v>
      </c>
      <c r="I212" s="280">
        <f t="shared" si="81"/>
        <v>10.914335600000001</v>
      </c>
      <c r="J212" s="281">
        <f t="shared" ref="J212:J213" si="85">$J$2*H212</f>
        <v>12.377793400000002</v>
      </c>
      <c r="K212" s="282">
        <f>IF(Notes!$B$9="Domestic",I212, IF(Notes!$B$9="Commercial",J212))*$K$190</f>
        <v>12.377793400000002</v>
      </c>
      <c r="L212" s="283">
        <f>(SUM(O212:Q212)+(K212+SUM(M212:Q212))*(INDEX($U$190:$AB$190,MATCH(Notes!$C$16,$U$3:$AB$3,0))-100%))*$L$190</f>
        <v>66.714780500000003</v>
      </c>
      <c r="M212" s="286"/>
      <c r="N212" s="286"/>
      <c r="O212" s="311">
        <f t="shared" si="80"/>
        <v>24.513450000000002</v>
      </c>
      <c r="P212" s="311">
        <f t="shared" si="80"/>
        <v>42.201330499999997</v>
      </c>
      <c r="Q212" s="285"/>
      <c r="R212" s="278"/>
      <c r="S212" s="278"/>
      <c r="T212" s="278"/>
      <c r="U212" s="304"/>
    </row>
    <row r="213" spans="1:21" s="305" customFormat="1" ht="14.45" hidden="1" customHeight="1" outlineLevel="1" x14ac:dyDescent="0.25">
      <c r="A213" s="331">
        <v>3.64</v>
      </c>
      <c r="B213" s="279" t="str">
        <f t="shared" si="77"/>
        <v>100x50x1.6RHS</v>
      </c>
      <c r="C213" s="278" t="s">
        <v>1332</v>
      </c>
      <c r="D213" s="323"/>
      <c r="E213" s="278" t="s">
        <v>151</v>
      </c>
      <c r="F213" s="278"/>
      <c r="G213" s="278" t="s">
        <v>15</v>
      </c>
      <c r="H213" s="328">
        <f t="shared" si="78"/>
        <v>5.0959999999999998E-2</v>
      </c>
      <c r="I213" s="280">
        <f t="shared" si="81"/>
        <v>4.1083952000000004</v>
      </c>
      <c r="J213" s="281">
        <f t="shared" si="85"/>
        <v>4.6592728000000001</v>
      </c>
      <c r="K213" s="282">
        <f>IF(Notes!$B$9="Domestic",I213, IF(Notes!$B$9="Commercial",J213))*$K$190</f>
        <v>4.6592728000000001</v>
      </c>
      <c r="L213" s="283">
        <f>(SUM(O213:Q213)+(K213+SUM(M213:Q213))*(INDEX($U$190:$AB$190,MATCH(Notes!$C$16,$U$3:$AB$3,0))-100%))*$L$190</f>
        <v>25.112905999999999</v>
      </c>
      <c r="M213" s="286"/>
      <c r="N213" s="286"/>
      <c r="O213" s="311">
        <f t="shared" si="80"/>
        <v>9.2273999999999994</v>
      </c>
      <c r="P213" s="311">
        <f t="shared" si="80"/>
        <v>15.885505999999999</v>
      </c>
      <c r="Q213" s="285"/>
      <c r="R213" s="278"/>
      <c r="S213" s="278"/>
      <c r="T213" s="278"/>
      <c r="U213" s="304"/>
    </row>
    <row r="214" spans="1:21" s="305" customFormat="1" ht="14.45" hidden="1" customHeight="1" outlineLevel="1" x14ac:dyDescent="0.25">
      <c r="A214" s="331">
        <v>4.5</v>
      </c>
      <c r="B214" s="279" t="str">
        <f t="shared" si="77"/>
        <v>100x50x2RHS</v>
      </c>
      <c r="C214" s="278" t="s">
        <v>1333</v>
      </c>
      <c r="D214" s="323"/>
      <c r="E214" s="278" t="s">
        <v>151</v>
      </c>
      <c r="F214" s="278"/>
      <c r="G214" s="278" t="s">
        <v>15</v>
      </c>
      <c r="H214" s="328">
        <f t="shared" si="78"/>
        <v>6.3E-2</v>
      </c>
      <c r="I214" s="280">
        <f t="shared" si="81"/>
        <v>5.0790600000000001</v>
      </c>
      <c r="J214" s="281">
        <f t="shared" si="82"/>
        <v>5.7600900000000008</v>
      </c>
      <c r="K214" s="282">
        <f>IF(Notes!$B$9="Domestic",I214, IF(Notes!$B$9="Commercial",J214))*$K$190</f>
        <v>5.7600900000000008</v>
      </c>
      <c r="L214" s="283">
        <f>(SUM(O214:Q214)+(K214+SUM(M214:Q214))*(INDEX($U$190:$AB$190,MATCH(Notes!$C$16,$U$3:$AB$3,0))-100%))*$L$190</f>
        <v>31.046174999999998</v>
      </c>
      <c r="M214" s="286"/>
      <c r="N214" s="286"/>
      <c r="O214" s="311">
        <f t="shared" si="80"/>
        <v>11.407500000000001</v>
      </c>
      <c r="P214" s="311">
        <f t="shared" si="80"/>
        <v>19.638674999999999</v>
      </c>
      <c r="Q214" s="285"/>
      <c r="R214" s="278"/>
      <c r="S214" s="278"/>
      <c r="T214" s="278"/>
      <c r="U214" s="304"/>
    </row>
    <row r="215" spans="1:21" s="305" customFormat="1" ht="14.45" hidden="1" customHeight="1" outlineLevel="1" x14ac:dyDescent="0.25">
      <c r="A215" s="331">
        <v>5.56</v>
      </c>
      <c r="B215" s="279" t="str">
        <f t="shared" si="77"/>
        <v>100x50x2.5RHS</v>
      </c>
      <c r="C215" s="278" t="s">
        <v>1334</v>
      </c>
      <c r="D215" s="323"/>
      <c r="E215" s="278" t="s">
        <v>151</v>
      </c>
      <c r="F215" s="278"/>
      <c r="G215" s="278" t="s">
        <v>15</v>
      </c>
      <c r="H215" s="328">
        <f t="shared" si="78"/>
        <v>7.7839999999999993E-2</v>
      </c>
      <c r="I215" s="280">
        <f t="shared" si="81"/>
        <v>6.2754607999999994</v>
      </c>
      <c r="J215" s="281">
        <f t="shared" si="82"/>
        <v>7.1169111999999997</v>
      </c>
      <c r="K215" s="282">
        <f>IF(Notes!$B$9="Domestic",I215, IF(Notes!$B$9="Commercial",J215))*$K$190</f>
        <v>7.1169111999999997</v>
      </c>
      <c r="L215" s="283">
        <f>(SUM(O215:Q215)+(K215+SUM(M215:Q215))*(INDEX($U$190:$AB$190,MATCH(Notes!$C$16,$U$3:$AB$3,0))-100%))*$L$190</f>
        <v>38.359273999999992</v>
      </c>
      <c r="M215" s="286"/>
      <c r="N215" s="286"/>
      <c r="O215" s="311">
        <f t="shared" si="80"/>
        <v>14.094599999999998</v>
      </c>
      <c r="P215" s="311">
        <f t="shared" si="80"/>
        <v>24.264673999999996</v>
      </c>
      <c r="Q215" s="285"/>
      <c r="R215" s="278"/>
      <c r="S215" s="278"/>
      <c r="T215" s="278"/>
      <c r="U215" s="304"/>
    </row>
    <row r="216" spans="1:21" s="305" customFormat="1" ht="14.45" hidden="1" customHeight="1" outlineLevel="1" x14ac:dyDescent="0.25">
      <c r="A216" s="331">
        <v>6.6</v>
      </c>
      <c r="B216" s="279" t="str">
        <f t="shared" si="77"/>
        <v>100x50x3RHS</v>
      </c>
      <c r="C216" s="278" t="s">
        <v>1335</v>
      </c>
      <c r="D216" s="323"/>
      <c r="E216" s="278" t="s">
        <v>151</v>
      </c>
      <c r="F216" s="278"/>
      <c r="G216" s="278" t="s">
        <v>15</v>
      </c>
      <c r="H216" s="328">
        <f t="shared" si="78"/>
        <v>9.2399999999999996E-2</v>
      </c>
      <c r="I216" s="280">
        <f t="shared" si="81"/>
        <v>7.4492880000000001</v>
      </c>
      <c r="J216" s="281">
        <f t="shared" si="82"/>
        <v>8.4481320000000011</v>
      </c>
      <c r="K216" s="282">
        <f>IF(Notes!$B$9="Domestic",I216, IF(Notes!$B$9="Commercial",J216))*$K$190</f>
        <v>8.4481320000000011</v>
      </c>
      <c r="L216" s="283">
        <f>(SUM(O216:Q216)+(K216+SUM(M216:Q216))*(INDEX($U$190:$AB$190,MATCH(Notes!$C$16,$U$3:$AB$3,0))-100%))*$L$190</f>
        <v>45.534390000000002</v>
      </c>
      <c r="M216" s="286"/>
      <c r="N216" s="286"/>
      <c r="O216" s="311">
        <f t="shared" si="80"/>
        <v>16.731000000000002</v>
      </c>
      <c r="P216" s="311">
        <f t="shared" si="80"/>
        <v>28.803389999999997</v>
      </c>
      <c r="Q216" s="285"/>
      <c r="R216" s="278"/>
      <c r="S216" s="278"/>
      <c r="T216" s="278"/>
      <c r="U216" s="304"/>
    </row>
    <row r="217" spans="1:21" s="305" customFormat="1" ht="14.45" hidden="1" customHeight="1" outlineLevel="1" x14ac:dyDescent="0.25">
      <c r="A217" s="331">
        <v>7.53</v>
      </c>
      <c r="B217" s="279" t="str">
        <f t="shared" si="77"/>
        <v>100x50x3.5RHS</v>
      </c>
      <c r="C217" s="278" t="s">
        <v>1336</v>
      </c>
      <c r="D217" s="323"/>
      <c r="E217" s="278" t="s">
        <v>151</v>
      </c>
      <c r="F217" s="278"/>
      <c r="G217" s="278" t="s">
        <v>15</v>
      </c>
      <c r="H217" s="328">
        <f t="shared" si="78"/>
        <v>0.10542</v>
      </c>
      <c r="I217" s="280">
        <f t="shared" si="81"/>
        <v>8.4989603999999996</v>
      </c>
      <c r="J217" s="281">
        <f t="shared" si="82"/>
        <v>9.6385506000000003</v>
      </c>
      <c r="K217" s="282">
        <f>IF(Notes!$B$9="Domestic",I217, IF(Notes!$B$9="Commercial",J217))*$K$190</f>
        <v>9.6385506000000003</v>
      </c>
      <c r="L217" s="283">
        <f>(SUM(O217:Q217)+(K217+SUM(M217:Q217))*(INDEX($U$190:$AB$190,MATCH(Notes!$C$16,$U$3:$AB$3,0))-100%))*$L$190</f>
        <v>51.950599499999996</v>
      </c>
      <c r="M217" s="286"/>
      <c r="N217" s="286"/>
      <c r="O217" s="311">
        <f t="shared" si="80"/>
        <v>19.088549999999998</v>
      </c>
      <c r="P217" s="311">
        <f t="shared" si="80"/>
        <v>32.862049499999998</v>
      </c>
      <c r="Q217" s="285"/>
      <c r="R217" s="278"/>
      <c r="S217" s="278"/>
      <c r="T217" s="278"/>
      <c r="U217" s="304"/>
    </row>
    <row r="218" spans="1:21" s="305" customFormat="1" ht="14.45" hidden="1" customHeight="1" outlineLevel="1" x14ac:dyDescent="0.25">
      <c r="A218" s="331">
        <v>8.49</v>
      </c>
      <c r="B218" s="279" t="str">
        <f t="shared" si="77"/>
        <v>100x50x4RHS</v>
      </c>
      <c r="C218" s="278" t="s">
        <v>1337</v>
      </c>
      <c r="D218" s="323"/>
      <c r="E218" s="278" t="s">
        <v>151</v>
      </c>
      <c r="F218" s="278"/>
      <c r="G218" s="278" t="s">
        <v>15</v>
      </c>
      <c r="H218" s="328">
        <f t="shared" si="78"/>
        <v>0.11885999999999999</v>
      </c>
      <c r="I218" s="280">
        <f t="shared" si="81"/>
        <v>9.5824932</v>
      </c>
      <c r="J218" s="281">
        <f t="shared" si="82"/>
        <v>10.867369800000001</v>
      </c>
      <c r="K218" s="282">
        <f>IF(Notes!$B$9="Domestic",I218, IF(Notes!$B$9="Commercial",J218))*$K$190</f>
        <v>10.867369800000001</v>
      </c>
      <c r="L218" s="283">
        <f>(SUM(O218:Q218)+(K218+SUM(M218:Q218))*(INDEX($U$190:$AB$190,MATCH(Notes!$C$16,$U$3:$AB$3,0))-100%))*$L$190</f>
        <v>58.57378349999999</v>
      </c>
      <c r="M218" s="286"/>
      <c r="N218" s="286"/>
      <c r="O218" s="311">
        <f t="shared" si="80"/>
        <v>21.52215</v>
      </c>
      <c r="P218" s="311">
        <f t="shared" si="80"/>
        <v>37.051633499999994</v>
      </c>
      <c r="Q218" s="285"/>
      <c r="R218" s="278"/>
      <c r="S218" s="278"/>
      <c r="T218" s="278"/>
      <c r="U218" s="304"/>
    </row>
    <row r="219" spans="1:21" s="305" customFormat="1" ht="14.45" hidden="1" customHeight="1" outlineLevel="1" x14ac:dyDescent="0.25">
      <c r="A219" s="331">
        <v>10.3</v>
      </c>
      <c r="B219" s="279" t="str">
        <f t="shared" si="77"/>
        <v>100x50x5RHS</v>
      </c>
      <c r="C219" s="278" t="s">
        <v>1338</v>
      </c>
      <c r="D219" s="323"/>
      <c r="E219" s="278" t="s">
        <v>151</v>
      </c>
      <c r="F219" s="278"/>
      <c r="G219" s="278" t="s">
        <v>15</v>
      </c>
      <c r="H219" s="328">
        <f t="shared" si="78"/>
        <v>0.14420000000000002</v>
      </c>
      <c r="I219" s="280">
        <f t="shared" si="81"/>
        <v>11.625404000000003</v>
      </c>
      <c r="J219" s="281">
        <f t="shared" si="82"/>
        <v>13.184206000000003</v>
      </c>
      <c r="K219" s="282">
        <f>IF(Notes!$B$9="Domestic",I219, IF(Notes!$B$9="Commercial",J219))*$K$190</f>
        <v>13.184206000000003</v>
      </c>
      <c r="L219" s="283">
        <f>(SUM(O219:Q219)+(K219+SUM(M219:Q219))*(INDEX($U$190:$AB$190,MATCH(Notes!$C$16,$U$3:$AB$3,0))-100%))*$L$190</f>
        <v>71.061245</v>
      </c>
      <c r="M219" s="286"/>
      <c r="N219" s="286"/>
      <c r="O219" s="311">
        <f t="shared" si="80"/>
        <v>26.110499999999998</v>
      </c>
      <c r="P219" s="311">
        <f t="shared" si="80"/>
        <v>44.950745000000005</v>
      </c>
      <c r="Q219" s="285"/>
      <c r="R219" s="278"/>
      <c r="S219" s="278"/>
      <c r="T219" s="278"/>
      <c r="U219" s="304"/>
    </row>
    <row r="220" spans="1:21" s="305" customFormat="1" ht="14.45" hidden="1" customHeight="1" outlineLevel="1" x14ac:dyDescent="0.25">
      <c r="A220" s="331">
        <v>12</v>
      </c>
      <c r="B220" s="279" t="str">
        <f t="shared" si="77"/>
        <v>100x50x6RHS</v>
      </c>
      <c r="C220" s="278" t="s">
        <v>1339</v>
      </c>
      <c r="D220" s="323"/>
      <c r="E220" s="278" t="s">
        <v>151</v>
      </c>
      <c r="F220" s="278"/>
      <c r="G220" s="278" t="s">
        <v>15</v>
      </c>
      <c r="H220" s="328">
        <f t="shared" si="78"/>
        <v>0.16800000000000001</v>
      </c>
      <c r="I220" s="280">
        <f t="shared" si="81"/>
        <v>13.544160000000002</v>
      </c>
      <c r="J220" s="281">
        <f t="shared" si="82"/>
        <v>15.360240000000003</v>
      </c>
      <c r="K220" s="282">
        <f>IF(Notes!$B$9="Domestic",I220, IF(Notes!$B$9="Commercial",J220))*$K$190</f>
        <v>15.360240000000003</v>
      </c>
      <c r="L220" s="283">
        <f>(SUM(O220:Q220)+(K220+SUM(M220:Q220))*(INDEX($U$190:$AB$190,MATCH(Notes!$C$16,$U$3:$AB$3,0))-100%))*$L$190</f>
        <v>82.7898</v>
      </c>
      <c r="M220" s="286"/>
      <c r="N220" s="286"/>
      <c r="O220" s="311">
        <f t="shared" si="80"/>
        <v>30.42</v>
      </c>
      <c r="P220" s="311">
        <f t="shared" si="80"/>
        <v>52.369799999999998</v>
      </c>
      <c r="Q220" s="285"/>
      <c r="R220" s="278"/>
      <c r="S220" s="278"/>
      <c r="T220" s="278"/>
      <c r="U220" s="304"/>
    </row>
    <row r="221" spans="1:21" s="305" customFormat="1" ht="14.45" hidden="1" customHeight="1" outlineLevel="1" x14ac:dyDescent="0.25">
      <c r="A221" s="331">
        <v>7.53</v>
      </c>
      <c r="B221" s="279" t="str">
        <f t="shared" si="77"/>
        <v>125x75x2.5RHS</v>
      </c>
      <c r="C221" s="278" t="s">
        <v>1340</v>
      </c>
      <c r="D221" s="323"/>
      <c r="E221" s="278" t="s">
        <v>151</v>
      </c>
      <c r="F221" s="278"/>
      <c r="G221" s="278" t="s">
        <v>15</v>
      </c>
      <c r="H221" s="328">
        <f t="shared" si="78"/>
        <v>0.10542</v>
      </c>
      <c r="I221" s="280">
        <f t="shared" si="81"/>
        <v>8.4989603999999996</v>
      </c>
      <c r="J221" s="281">
        <f t="shared" ref="J221" si="86">$J$2*H221</f>
        <v>9.6385506000000003</v>
      </c>
      <c r="K221" s="282">
        <f>IF(Notes!$B$9="Domestic",I221, IF(Notes!$B$9="Commercial",J221))*$K$190</f>
        <v>9.6385506000000003</v>
      </c>
      <c r="L221" s="283">
        <f>(SUM(O221:Q221)+(K221+SUM(M221:Q221))*(INDEX($U$190:$AB$190,MATCH(Notes!$C$16,$U$3:$AB$3,0))-100%))*$L$190</f>
        <v>51.950599499999996</v>
      </c>
      <c r="M221" s="286"/>
      <c r="N221" s="286"/>
      <c r="O221" s="311">
        <f t="shared" si="80"/>
        <v>19.088549999999998</v>
      </c>
      <c r="P221" s="311">
        <f t="shared" si="80"/>
        <v>32.862049499999998</v>
      </c>
      <c r="Q221" s="285"/>
      <c r="R221" s="278"/>
      <c r="S221" s="278"/>
      <c r="T221" s="278"/>
      <c r="U221" s="304"/>
    </row>
    <row r="222" spans="1:21" s="305" customFormat="1" ht="14.45" hidden="1" customHeight="1" outlineLevel="1" x14ac:dyDescent="0.25">
      <c r="A222" s="331">
        <v>8.9600000000000009</v>
      </c>
      <c r="B222" s="279" t="str">
        <f t="shared" si="77"/>
        <v>125x75x3RHS</v>
      </c>
      <c r="C222" s="278" t="s">
        <v>1341</v>
      </c>
      <c r="D222" s="323"/>
      <c r="E222" s="278" t="s">
        <v>151</v>
      </c>
      <c r="F222" s="278"/>
      <c r="G222" s="278" t="s">
        <v>15</v>
      </c>
      <c r="H222" s="328">
        <f t="shared" si="78"/>
        <v>0.12544000000000002</v>
      </c>
      <c r="I222" s="280">
        <f t="shared" si="81"/>
        <v>10.112972800000003</v>
      </c>
      <c r="J222" s="281">
        <f t="shared" si="82"/>
        <v>11.468979200000003</v>
      </c>
      <c r="K222" s="282">
        <f>IF(Notes!$B$9="Domestic",I222, IF(Notes!$B$9="Commercial",J222))*$K$190</f>
        <v>11.468979200000003</v>
      </c>
      <c r="L222" s="283">
        <f>(SUM(O222:Q222)+(K222+SUM(M222:Q222))*(INDEX($U$190:$AB$190,MATCH(Notes!$C$16,$U$3:$AB$3,0))-100%))*$L$190</f>
        <v>61.816383999999999</v>
      </c>
      <c r="M222" s="286"/>
      <c r="N222" s="286"/>
      <c r="O222" s="311">
        <f t="shared" si="80"/>
        <v>22.713600000000003</v>
      </c>
      <c r="P222" s="311">
        <f t="shared" si="80"/>
        <v>39.102784</v>
      </c>
      <c r="Q222" s="285"/>
      <c r="R222" s="278"/>
      <c r="S222" s="278"/>
      <c r="T222" s="278"/>
      <c r="U222" s="304"/>
    </row>
    <row r="223" spans="1:21" s="305" customFormat="1" ht="14.45" hidden="1" customHeight="1" outlineLevel="1" x14ac:dyDescent="0.25">
      <c r="A223" s="331">
        <v>11.6</v>
      </c>
      <c r="B223" s="279" t="str">
        <f t="shared" si="77"/>
        <v>125x75x4RHS</v>
      </c>
      <c r="C223" s="278" t="s">
        <v>1342</v>
      </c>
      <c r="D223" s="323"/>
      <c r="E223" s="278" t="s">
        <v>151</v>
      </c>
      <c r="F223" s="278"/>
      <c r="G223" s="278" t="s">
        <v>15</v>
      </c>
      <c r="H223" s="328">
        <f t="shared" si="78"/>
        <v>0.16240000000000002</v>
      </c>
      <c r="I223" s="280">
        <f t="shared" si="81"/>
        <v>13.092688000000003</v>
      </c>
      <c r="J223" s="281">
        <f t="shared" si="82"/>
        <v>14.848232000000003</v>
      </c>
      <c r="K223" s="282">
        <f>IF(Notes!$B$9="Domestic",I223, IF(Notes!$B$9="Commercial",J223))*$K$190</f>
        <v>14.848232000000003</v>
      </c>
      <c r="L223" s="283">
        <f>(SUM(O223:Q223)+(K223+SUM(M223:Q223))*(INDEX($U$190:$AB$190,MATCH(Notes!$C$16,$U$3:$AB$3,0))-100%))*$L$190</f>
        <v>80.030139999999989</v>
      </c>
      <c r="M223" s="286"/>
      <c r="N223" s="286"/>
      <c r="O223" s="311">
        <f t="shared" si="80"/>
        <v>29.405999999999999</v>
      </c>
      <c r="P223" s="311">
        <f t="shared" si="80"/>
        <v>50.62413999999999</v>
      </c>
      <c r="Q223" s="285"/>
      <c r="R223" s="278"/>
      <c r="S223" s="278"/>
      <c r="T223" s="278"/>
      <c r="U223" s="304"/>
    </row>
    <row r="224" spans="1:21" s="305" customFormat="1" ht="14.45" hidden="1" customHeight="1" outlineLevel="1" x14ac:dyDescent="0.25">
      <c r="A224" s="331">
        <v>14.2</v>
      </c>
      <c r="B224" s="279" t="str">
        <f t="shared" si="77"/>
        <v>125x75x5RHS</v>
      </c>
      <c r="C224" s="278" t="s">
        <v>1343</v>
      </c>
      <c r="D224" s="323"/>
      <c r="E224" s="278" t="s">
        <v>151</v>
      </c>
      <c r="F224" s="278"/>
      <c r="G224" s="278" t="s">
        <v>15</v>
      </c>
      <c r="H224" s="328">
        <f t="shared" si="78"/>
        <v>0.19879999999999998</v>
      </c>
      <c r="I224" s="280">
        <f t="shared" si="81"/>
        <v>16.027255999999998</v>
      </c>
      <c r="J224" s="281">
        <f t="shared" si="82"/>
        <v>18.176283999999999</v>
      </c>
      <c r="K224" s="282">
        <f>IF(Notes!$B$9="Domestic",I224, IF(Notes!$B$9="Commercial",J224))*$K$190</f>
        <v>18.176283999999999</v>
      </c>
      <c r="L224" s="283">
        <f>(SUM(O224:Q224)+(K224+SUM(M224:Q224))*(INDEX($U$190:$AB$190,MATCH(Notes!$C$16,$U$3:$AB$3,0))-100%))*$L$190</f>
        <v>97.967929999999996</v>
      </c>
      <c r="M224" s="286"/>
      <c r="N224" s="286"/>
      <c r="O224" s="311">
        <f t="shared" ref="O224:P259" si="87">O$190*$A224/1000</f>
        <v>35.997</v>
      </c>
      <c r="P224" s="311">
        <f t="shared" si="87"/>
        <v>61.970929999999996</v>
      </c>
      <c r="Q224" s="285"/>
      <c r="R224" s="278"/>
      <c r="S224" s="278"/>
      <c r="T224" s="278"/>
      <c r="U224" s="304"/>
    </row>
    <row r="225" spans="1:21" s="305" customFormat="1" ht="14.45" hidden="1" customHeight="1" outlineLevel="1" x14ac:dyDescent="0.25">
      <c r="A225" s="331">
        <v>16.7</v>
      </c>
      <c r="B225" s="279" t="str">
        <f t="shared" si="77"/>
        <v>125x75x6RHS</v>
      </c>
      <c r="C225" s="278" t="s">
        <v>1344</v>
      </c>
      <c r="D225" s="323"/>
      <c r="E225" s="278" t="s">
        <v>151</v>
      </c>
      <c r="F225" s="278"/>
      <c r="G225" s="278" t="s">
        <v>15</v>
      </c>
      <c r="H225" s="328">
        <f t="shared" si="78"/>
        <v>0.23379999999999998</v>
      </c>
      <c r="I225" s="280">
        <f t="shared" si="81"/>
        <v>18.848956000000001</v>
      </c>
      <c r="J225" s="281">
        <f t="shared" si="82"/>
        <v>21.376334</v>
      </c>
      <c r="K225" s="282">
        <f>IF(Notes!$B$9="Domestic",I225, IF(Notes!$B$9="Commercial",J225))*$K$190</f>
        <v>21.376334</v>
      </c>
      <c r="L225" s="283">
        <f>(SUM(O225:Q225)+(K225+SUM(M225:Q225))*(INDEX($U$190:$AB$190,MATCH(Notes!$C$16,$U$3:$AB$3,0))-100%))*$L$190</f>
        <v>115.21580499999999</v>
      </c>
      <c r="M225" s="286"/>
      <c r="N225" s="286"/>
      <c r="O225" s="311">
        <f t="shared" si="87"/>
        <v>42.334499999999998</v>
      </c>
      <c r="P225" s="311">
        <f t="shared" si="87"/>
        <v>72.881304999999998</v>
      </c>
      <c r="Q225" s="285"/>
      <c r="R225" s="278"/>
      <c r="S225" s="278"/>
      <c r="T225" s="278"/>
      <c r="U225" s="304"/>
    </row>
    <row r="226" spans="1:21" s="305" customFormat="1" ht="14.45" hidden="1" customHeight="1" outlineLevel="1" x14ac:dyDescent="0.25">
      <c r="A226" s="331">
        <v>6.07</v>
      </c>
      <c r="B226" s="279" t="str">
        <f t="shared" ref="B226:B227" si="88">C226&amp;D226&amp;E226&amp;F226</f>
        <v>150x50x2RHS</v>
      </c>
      <c r="C226" s="278" t="s">
        <v>1345</v>
      </c>
      <c r="D226" s="323"/>
      <c r="E226" s="278" t="s">
        <v>151</v>
      </c>
      <c r="F226" s="278"/>
      <c r="G226" s="278" t="s">
        <v>15</v>
      </c>
      <c r="H226" s="328">
        <f t="shared" si="78"/>
        <v>8.498E-2</v>
      </c>
      <c r="I226" s="280">
        <f t="shared" si="81"/>
        <v>6.8510876000000005</v>
      </c>
      <c r="J226" s="281">
        <f t="shared" ref="J226:J227" si="89">$J$2*H226</f>
        <v>7.7697214000000008</v>
      </c>
      <c r="K226" s="282">
        <f>IF(Notes!$B$9="Domestic",I226, IF(Notes!$B$9="Commercial",J226))*$K$190</f>
        <v>7.7697214000000008</v>
      </c>
      <c r="L226" s="283">
        <f>(SUM(O226:Q226)+(K226+SUM(M226:Q226))*(INDEX($U$190:$AB$190,MATCH(Notes!$C$16,$U$3:$AB$3,0))-100%))*$L$190</f>
        <v>41.877840499999998</v>
      </c>
      <c r="M226" s="286"/>
      <c r="N226" s="286"/>
      <c r="O226" s="311">
        <f t="shared" si="87"/>
        <v>15.387450000000001</v>
      </c>
      <c r="P226" s="311">
        <f t="shared" si="87"/>
        <v>26.490390499999997</v>
      </c>
      <c r="Q226" s="285"/>
      <c r="R226" s="278"/>
      <c r="S226" s="278"/>
      <c r="T226" s="278"/>
      <c r="U226" s="304"/>
    </row>
    <row r="227" spans="1:21" s="305" customFormat="1" ht="14.45" hidden="1" customHeight="1" outlineLevel="1" x14ac:dyDescent="0.25">
      <c r="A227" s="331">
        <v>7.53</v>
      </c>
      <c r="B227" s="279" t="str">
        <f t="shared" si="88"/>
        <v>150x50x2.5RHS</v>
      </c>
      <c r="C227" s="278" t="s">
        <v>1346</v>
      </c>
      <c r="D227" s="323"/>
      <c r="E227" s="278" t="s">
        <v>151</v>
      </c>
      <c r="F227" s="278"/>
      <c r="G227" s="278" t="s">
        <v>15</v>
      </c>
      <c r="H227" s="328">
        <f t="shared" si="78"/>
        <v>0.10542</v>
      </c>
      <c r="I227" s="280">
        <f t="shared" si="81"/>
        <v>8.4989603999999996</v>
      </c>
      <c r="J227" s="281">
        <f t="shared" si="89"/>
        <v>9.6385506000000003</v>
      </c>
      <c r="K227" s="282">
        <f>IF(Notes!$B$9="Domestic",I227, IF(Notes!$B$9="Commercial",J227))*$K$190</f>
        <v>9.6385506000000003</v>
      </c>
      <c r="L227" s="283">
        <f>(SUM(O227:Q227)+(K227+SUM(M227:Q227))*(INDEX($U$190:$AB$190,MATCH(Notes!$C$16,$U$3:$AB$3,0))-100%))*$L$190</f>
        <v>51.950599499999996</v>
      </c>
      <c r="M227" s="286"/>
      <c r="N227" s="286"/>
      <c r="O227" s="311">
        <f t="shared" si="87"/>
        <v>19.088549999999998</v>
      </c>
      <c r="P227" s="311">
        <f t="shared" si="87"/>
        <v>32.862049499999998</v>
      </c>
      <c r="Q227" s="285"/>
      <c r="R227" s="278"/>
      <c r="S227" s="278"/>
      <c r="T227" s="278"/>
      <c r="U227" s="304"/>
    </row>
    <row r="228" spans="1:21" s="305" customFormat="1" ht="14.45" hidden="1" customHeight="1" outlineLevel="1" x14ac:dyDescent="0.25">
      <c r="A228" s="331">
        <v>8.9600000000000009</v>
      </c>
      <c r="B228" s="279" t="str">
        <f t="shared" ref="B228:B242" si="90">C228&amp;D228&amp;E228&amp;F228</f>
        <v>150x50x3RHS</v>
      </c>
      <c r="C228" s="278" t="s">
        <v>1347</v>
      </c>
      <c r="D228" s="323"/>
      <c r="E228" s="278" t="s">
        <v>151</v>
      </c>
      <c r="F228" s="278"/>
      <c r="G228" s="278" t="s">
        <v>15</v>
      </c>
      <c r="H228" s="328">
        <f t="shared" si="78"/>
        <v>0.12544000000000002</v>
      </c>
      <c r="I228" s="280">
        <f t="shared" si="81"/>
        <v>10.112972800000003</v>
      </c>
      <c r="J228" s="281">
        <f t="shared" si="82"/>
        <v>11.468979200000003</v>
      </c>
      <c r="K228" s="282">
        <f>IF(Notes!$B$9="Domestic",I228, IF(Notes!$B$9="Commercial",J228))*$K$190</f>
        <v>11.468979200000003</v>
      </c>
      <c r="L228" s="283">
        <f>(SUM(O228:Q228)+(K228+SUM(M228:Q228))*(INDEX($U$190:$AB$190,MATCH(Notes!$C$16,$U$3:$AB$3,0))-100%))*$L$190</f>
        <v>61.816383999999999</v>
      </c>
      <c r="M228" s="286"/>
      <c r="N228" s="286"/>
      <c r="O228" s="311">
        <f t="shared" si="87"/>
        <v>22.713600000000003</v>
      </c>
      <c r="P228" s="311">
        <f t="shared" si="87"/>
        <v>39.102784</v>
      </c>
      <c r="Q228" s="285"/>
      <c r="R228" s="278"/>
      <c r="S228" s="278"/>
      <c r="T228" s="278"/>
      <c r="U228" s="304"/>
    </row>
    <row r="229" spans="1:21" s="305" customFormat="1" ht="14.45" hidden="1" customHeight="1" outlineLevel="1" x14ac:dyDescent="0.25">
      <c r="A229" s="331">
        <v>11.6</v>
      </c>
      <c r="B229" s="279" t="str">
        <f t="shared" si="90"/>
        <v>150x50x4RHS</v>
      </c>
      <c r="C229" s="278" t="s">
        <v>1348</v>
      </c>
      <c r="D229" s="323"/>
      <c r="E229" s="278" t="s">
        <v>151</v>
      </c>
      <c r="F229" s="278"/>
      <c r="G229" s="278" t="s">
        <v>15</v>
      </c>
      <c r="H229" s="328">
        <f t="shared" si="78"/>
        <v>0.16240000000000002</v>
      </c>
      <c r="I229" s="280">
        <f t="shared" si="81"/>
        <v>13.092688000000003</v>
      </c>
      <c r="J229" s="281">
        <f t="shared" si="82"/>
        <v>14.848232000000003</v>
      </c>
      <c r="K229" s="282">
        <f>IF(Notes!$B$9="Domestic",I229, IF(Notes!$B$9="Commercial",J229))*$K$190</f>
        <v>14.848232000000003</v>
      </c>
      <c r="L229" s="283">
        <f>(SUM(O229:Q229)+(K229+SUM(M229:Q229))*(INDEX($U$190:$AB$190,MATCH(Notes!$C$16,$U$3:$AB$3,0))-100%))*$L$190</f>
        <v>80.030139999999989</v>
      </c>
      <c r="M229" s="286"/>
      <c r="N229" s="286"/>
      <c r="O229" s="311">
        <f t="shared" si="87"/>
        <v>29.405999999999999</v>
      </c>
      <c r="P229" s="311">
        <f t="shared" si="87"/>
        <v>50.62413999999999</v>
      </c>
      <c r="Q229" s="285"/>
      <c r="R229" s="278"/>
      <c r="S229" s="278"/>
      <c r="T229" s="278"/>
      <c r="U229" s="304"/>
    </row>
    <row r="230" spans="1:21" s="305" customFormat="1" ht="14.45" hidden="1" customHeight="1" outlineLevel="1" x14ac:dyDescent="0.25">
      <c r="A230" s="331">
        <v>14.2</v>
      </c>
      <c r="B230" s="279" t="str">
        <f t="shared" si="90"/>
        <v>150x50x5RHS</v>
      </c>
      <c r="C230" s="278" t="s">
        <v>1349</v>
      </c>
      <c r="D230" s="323"/>
      <c r="E230" s="278" t="s">
        <v>151</v>
      </c>
      <c r="F230" s="278"/>
      <c r="G230" s="278" t="s">
        <v>15</v>
      </c>
      <c r="H230" s="328">
        <f t="shared" si="78"/>
        <v>0.19879999999999998</v>
      </c>
      <c r="I230" s="280">
        <f t="shared" si="81"/>
        <v>16.027255999999998</v>
      </c>
      <c r="J230" s="281">
        <f t="shared" si="82"/>
        <v>18.176283999999999</v>
      </c>
      <c r="K230" s="282">
        <f>IF(Notes!$B$9="Domestic",I230, IF(Notes!$B$9="Commercial",J230))*$K$190</f>
        <v>18.176283999999999</v>
      </c>
      <c r="L230" s="283">
        <f>(SUM(O230:Q230)+(K230+SUM(M230:Q230))*(INDEX($U$190:$AB$190,MATCH(Notes!$C$16,$U$3:$AB$3,0))-100%))*$L$190</f>
        <v>97.967929999999996</v>
      </c>
      <c r="M230" s="286"/>
      <c r="N230" s="286"/>
      <c r="O230" s="311">
        <f t="shared" si="87"/>
        <v>35.997</v>
      </c>
      <c r="P230" s="311">
        <f t="shared" si="87"/>
        <v>61.970929999999996</v>
      </c>
      <c r="Q230" s="285"/>
      <c r="R230" s="278"/>
      <c r="S230" s="278"/>
      <c r="T230" s="278"/>
      <c r="U230" s="304"/>
    </row>
    <row r="231" spans="1:21" s="305" customFormat="1" ht="14.45" hidden="1" customHeight="1" outlineLevel="1" x14ac:dyDescent="0.25">
      <c r="A231" s="331">
        <v>16.739999999999998</v>
      </c>
      <c r="B231" s="279" t="str">
        <f t="shared" si="90"/>
        <v>150x50x6RHS</v>
      </c>
      <c r="C231" s="278" t="s">
        <v>1350</v>
      </c>
      <c r="D231" s="323"/>
      <c r="E231" s="278" t="s">
        <v>151</v>
      </c>
      <c r="F231" s="278"/>
      <c r="G231" s="278" t="s">
        <v>15</v>
      </c>
      <c r="H231" s="328">
        <f t="shared" si="78"/>
        <v>0.23435999999999998</v>
      </c>
      <c r="I231" s="280">
        <f t="shared" si="81"/>
        <v>18.8941032</v>
      </c>
      <c r="J231" s="281">
        <f t="shared" ref="J231" si="91">$J$2*H231</f>
        <v>21.4275348</v>
      </c>
      <c r="K231" s="282">
        <f>IF(Notes!$B$9="Domestic",I231, IF(Notes!$B$9="Commercial",J231))*$K$190</f>
        <v>21.4275348</v>
      </c>
      <c r="L231" s="283">
        <f>(SUM(O231:Q231)+(K231+SUM(M231:Q231))*(INDEX($U$190:$AB$190,MATCH(Notes!$C$16,$U$3:$AB$3,0))-100%))*$L$190</f>
        <v>115.49177099999997</v>
      </c>
      <c r="M231" s="286"/>
      <c r="N231" s="286"/>
      <c r="O231" s="311">
        <f t="shared" si="87"/>
        <v>42.435899999999997</v>
      </c>
      <c r="P231" s="311">
        <f t="shared" si="87"/>
        <v>73.055870999999982</v>
      </c>
      <c r="Q231" s="285"/>
      <c r="R231" s="278"/>
      <c r="S231" s="278"/>
      <c r="T231" s="278"/>
      <c r="U231" s="304"/>
    </row>
    <row r="232" spans="1:21" s="305" customFormat="1" ht="14.45" hidden="1" customHeight="1" outlineLevel="1" x14ac:dyDescent="0.25">
      <c r="A232" s="331">
        <v>14.8</v>
      </c>
      <c r="B232" s="279" t="str">
        <f t="shared" si="90"/>
        <v>150x100x4RHS</v>
      </c>
      <c r="C232" s="278" t="s">
        <v>1351</v>
      </c>
      <c r="D232" s="323"/>
      <c r="E232" s="278" t="s">
        <v>151</v>
      </c>
      <c r="F232" s="278"/>
      <c r="G232" s="278" t="s">
        <v>15</v>
      </c>
      <c r="H232" s="328">
        <f t="shared" si="78"/>
        <v>0.20720000000000002</v>
      </c>
      <c r="I232" s="280">
        <f t="shared" si="81"/>
        <v>16.704464000000002</v>
      </c>
      <c r="J232" s="281">
        <f t="shared" si="82"/>
        <v>18.944296000000005</v>
      </c>
      <c r="K232" s="282">
        <f>IF(Notes!$B$9="Domestic",I232, IF(Notes!$B$9="Commercial",J232))*$K$190</f>
        <v>18.944296000000005</v>
      </c>
      <c r="L232" s="283">
        <f>(SUM(O232:Q232)+(K232+SUM(M232:Q232))*(INDEX($U$190:$AB$190,MATCH(Notes!$C$16,$U$3:$AB$3,0))-100%))*$L$190</f>
        <v>102.10742</v>
      </c>
      <c r="M232" s="286"/>
      <c r="N232" s="286"/>
      <c r="O232" s="311">
        <f t="shared" si="87"/>
        <v>37.518000000000001</v>
      </c>
      <c r="P232" s="311">
        <f t="shared" si="87"/>
        <v>64.589420000000004</v>
      </c>
      <c r="Q232" s="285"/>
      <c r="R232" s="278"/>
      <c r="S232" s="278"/>
      <c r="T232" s="278"/>
      <c r="U232" s="304"/>
    </row>
    <row r="233" spans="1:21" s="305" customFormat="1" ht="14.45" hidden="1" customHeight="1" outlineLevel="1" x14ac:dyDescent="0.25">
      <c r="A233" s="331">
        <v>18.2</v>
      </c>
      <c r="B233" s="279" t="str">
        <f t="shared" si="90"/>
        <v>150x100x5RHS</v>
      </c>
      <c r="C233" s="278" t="s">
        <v>1352</v>
      </c>
      <c r="D233" s="323"/>
      <c r="E233" s="278" t="s">
        <v>151</v>
      </c>
      <c r="F233" s="278"/>
      <c r="G233" s="278" t="s">
        <v>15</v>
      </c>
      <c r="H233" s="328">
        <f t="shared" si="78"/>
        <v>0.25479999999999997</v>
      </c>
      <c r="I233" s="280">
        <f t="shared" si="81"/>
        <v>20.541975999999998</v>
      </c>
      <c r="J233" s="281">
        <f t="shared" si="82"/>
        <v>23.296364000000001</v>
      </c>
      <c r="K233" s="282">
        <f>IF(Notes!$B$9="Domestic",I233, IF(Notes!$B$9="Commercial",J233))*$K$190</f>
        <v>23.296364000000001</v>
      </c>
      <c r="L233" s="283">
        <f>(SUM(O233:Q233)+(K233+SUM(M233:Q233))*(INDEX($U$190:$AB$190,MATCH(Notes!$C$16,$U$3:$AB$3,0))-100%))*$L$190</f>
        <v>125.56452999999999</v>
      </c>
      <c r="M233" s="286"/>
      <c r="N233" s="286"/>
      <c r="O233" s="311">
        <f t="shared" si="87"/>
        <v>46.137</v>
      </c>
      <c r="P233" s="311">
        <f t="shared" si="87"/>
        <v>79.42752999999999</v>
      </c>
      <c r="Q233" s="285"/>
      <c r="R233" s="278"/>
      <c r="S233" s="278"/>
      <c r="T233" s="278"/>
      <c r="U233" s="304"/>
    </row>
    <row r="234" spans="1:21" s="305" customFormat="1" ht="14.45" hidden="1" customHeight="1" outlineLevel="1" x14ac:dyDescent="0.25">
      <c r="A234" s="331">
        <v>21.4</v>
      </c>
      <c r="B234" s="279" t="str">
        <f t="shared" si="90"/>
        <v>150x100x6RHS</v>
      </c>
      <c r="C234" s="278" t="s">
        <v>1353</v>
      </c>
      <c r="D234" s="323"/>
      <c r="E234" s="278" t="s">
        <v>151</v>
      </c>
      <c r="F234" s="278"/>
      <c r="G234" s="278" t="s">
        <v>15</v>
      </c>
      <c r="H234" s="328">
        <f t="shared" si="78"/>
        <v>0.29959999999999998</v>
      </c>
      <c r="I234" s="280">
        <f t="shared" si="81"/>
        <v>24.153752000000001</v>
      </c>
      <c r="J234" s="281">
        <f t="shared" si="82"/>
        <v>27.392427999999999</v>
      </c>
      <c r="K234" s="282">
        <f>IF(Notes!$B$9="Domestic",I234, IF(Notes!$B$9="Commercial",J234))*$K$190</f>
        <v>27.392427999999999</v>
      </c>
      <c r="L234" s="283">
        <f>(SUM(O234:Q234)+(K234+SUM(M234:Q234))*(INDEX($U$190:$AB$190,MATCH(Notes!$C$16,$U$3:$AB$3,0))-100%))*$L$190</f>
        <v>147.64180999999999</v>
      </c>
      <c r="M234" s="286"/>
      <c r="N234" s="286"/>
      <c r="O234" s="311">
        <f t="shared" si="87"/>
        <v>54.249000000000002</v>
      </c>
      <c r="P234" s="311">
        <f t="shared" si="87"/>
        <v>93.392809999999983</v>
      </c>
      <c r="Q234" s="285"/>
      <c r="R234" s="278"/>
      <c r="S234" s="278"/>
      <c r="T234" s="278"/>
      <c r="U234" s="304"/>
    </row>
    <row r="235" spans="1:21" s="305" customFormat="1" ht="14.45" hidden="1" customHeight="1" outlineLevel="1" x14ac:dyDescent="0.25">
      <c r="A235" s="331">
        <v>30.6</v>
      </c>
      <c r="B235" s="279" t="str">
        <f t="shared" si="90"/>
        <v>150x100x9RHS</v>
      </c>
      <c r="C235" s="278" t="s">
        <v>1354</v>
      </c>
      <c r="D235" s="323"/>
      <c r="E235" s="278" t="s">
        <v>151</v>
      </c>
      <c r="F235" s="278"/>
      <c r="G235" s="278" t="s">
        <v>15</v>
      </c>
      <c r="H235" s="328">
        <f t="shared" si="78"/>
        <v>0.42840000000000006</v>
      </c>
      <c r="I235" s="280">
        <f t="shared" si="81"/>
        <v>34.537608000000006</v>
      </c>
      <c r="J235" s="281">
        <f t="shared" ref="J235" si="92">$J$2*H235</f>
        <v>39.16861200000001</v>
      </c>
      <c r="K235" s="282">
        <f>IF(Notes!$B$9="Domestic",I235, IF(Notes!$B$9="Commercial",J235))*$K$190</f>
        <v>39.16861200000001</v>
      </c>
      <c r="L235" s="283">
        <f>(SUM(O235:Q235)+(K235+SUM(M235:Q235))*(INDEX($U$190:$AB$190,MATCH(Notes!$C$16,$U$3:$AB$3,0))-100%))*$L$190</f>
        <v>211.11399</v>
      </c>
      <c r="M235" s="286"/>
      <c r="N235" s="286"/>
      <c r="O235" s="311">
        <f t="shared" si="87"/>
        <v>77.570999999999998</v>
      </c>
      <c r="P235" s="311">
        <f t="shared" si="87"/>
        <v>133.54299</v>
      </c>
      <c r="Q235" s="285"/>
      <c r="R235" s="278"/>
      <c r="S235" s="278"/>
      <c r="T235" s="278"/>
      <c r="U235" s="304"/>
    </row>
    <row r="236" spans="1:21" s="305" customFormat="1" ht="14.45" hidden="1" customHeight="1" outlineLevel="1" x14ac:dyDescent="0.25">
      <c r="A236" s="331">
        <v>17.899999999999999</v>
      </c>
      <c r="B236" s="279" t="str">
        <f t="shared" si="90"/>
        <v>200x100x4RHS</v>
      </c>
      <c r="C236" s="278" t="s">
        <v>1355</v>
      </c>
      <c r="D236" s="323"/>
      <c r="E236" s="278" t="s">
        <v>151</v>
      </c>
      <c r="F236" s="278"/>
      <c r="G236" s="278" t="s">
        <v>15</v>
      </c>
      <c r="H236" s="328">
        <f t="shared" si="78"/>
        <v>0.25059999999999999</v>
      </c>
      <c r="I236" s="280">
        <f t="shared" si="81"/>
        <v>20.203372000000002</v>
      </c>
      <c r="J236" s="281">
        <f t="shared" si="82"/>
        <v>22.912358000000001</v>
      </c>
      <c r="K236" s="282">
        <f>IF(Notes!$B$9="Domestic",I236, IF(Notes!$B$9="Commercial",J236))*$K$190</f>
        <v>22.912358000000001</v>
      </c>
      <c r="L236" s="283">
        <f>(SUM(O236:Q236)+(K236+SUM(M236:Q236))*(INDEX($U$190:$AB$190,MATCH(Notes!$C$16,$U$3:$AB$3,0))-100%))*$L$190</f>
        <v>123.49478499999998</v>
      </c>
      <c r="M236" s="286"/>
      <c r="N236" s="286"/>
      <c r="O236" s="311">
        <f t="shared" si="87"/>
        <v>45.3765</v>
      </c>
      <c r="P236" s="311">
        <f t="shared" si="87"/>
        <v>78.118284999999986</v>
      </c>
      <c r="Q236" s="285"/>
      <c r="R236" s="278"/>
      <c r="S236" s="278"/>
      <c r="T236" s="278"/>
      <c r="U236" s="304"/>
    </row>
    <row r="237" spans="1:21" s="305" customFormat="1" ht="14.45" hidden="1" customHeight="1" outlineLevel="1" x14ac:dyDescent="0.25">
      <c r="A237" s="331">
        <v>22.1</v>
      </c>
      <c r="B237" s="279" t="str">
        <f t="shared" si="90"/>
        <v>200x100x5RHS</v>
      </c>
      <c r="C237" s="278" t="s">
        <v>1356</v>
      </c>
      <c r="D237" s="323"/>
      <c r="E237" s="278" t="s">
        <v>151</v>
      </c>
      <c r="F237" s="278"/>
      <c r="G237" s="278" t="s">
        <v>15</v>
      </c>
      <c r="H237" s="328">
        <f t="shared" si="78"/>
        <v>0.30940000000000001</v>
      </c>
      <c r="I237" s="280">
        <f t="shared" si="81"/>
        <v>24.943828000000003</v>
      </c>
      <c r="J237" s="281">
        <f t="shared" si="82"/>
        <v>28.288442000000003</v>
      </c>
      <c r="K237" s="282">
        <f>IF(Notes!$B$9="Domestic",I237, IF(Notes!$B$9="Commercial",J237))*$K$190</f>
        <v>28.288442000000003</v>
      </c>
      <c r="L237" s="283">
        <f>(SUM(O237:Q237)+(K237+SUM(M237:Q237))*(INDEX($U$190:$AB$190,MATCH(Notes!$C$16,$U$3:$AB$3,0))-100%))*$L$190</f>
        <v>152.471215</v>
      </c>
      <c r="M237" s="286"/>
      <c r="N237" s="286"/>
      <c r="O237" s="311">
        <f t="shared" si="87"/>
        <v>56.023499999999999</v>
      </c>
      <c r="P237" s="311">
        <f t="shared" si="87"/>
        <v>96.447715000000002</v>
      </c>
      <c r="Q237" s="285"/>
      <c r="R237" s="278"/>
      <c r="S237" s="278"/>
      <c r="T237" s="278"/>
      <c r="U237" s="304"/>
    </row>
    <row r="238" spans="1:21" s="305" customFormat="1" ht="14.45" hidden="1" customHeight="1" outlineLevel="1" x14ac:dyDescent="0.25">
      <c r="A238" s="331">
        <v>26.2</v>
      </c>
      <c r="B238" s="279" t="str">
        <f t="shared" si="90"/>
        <v>200x100x6RHS</v>
      </c>
      <c r="C238" s="278" t="s">
        <v>1357</v>
      </c>
      <c r="D238" s="323"/>
      <c r="E238" s="278" t="s">
        <v>151</v>
      </c>
      <c r="F238" s="278"/>
      <c r="G238" s="278" t="s">
        <v>15</v>
      </c>
      <c r="H238" s="328">
        <f t="shared" si="78"/>
        <v>0.36680000000000001</v>
      </c>
      <c r="I238" s="280">
        <f t="shared" si="81"/>
        <v>29.571416000000003</v>
      </c>
      <c r="J238" s="281">
        <f t="shared" si="82"/>
        <v>33.536524000000007</v>
      </c>
      <c r="K238" s="282">
        <f>IF(Notes!$B$9="Domestic",I238, IF(Notes!$B$9="Commercial",J238))*$K$190</f>
        <v>33.536524000000007</v>
      </c>
      <c r="L238" s="283">
        <f>(SUM(O238:Q238)+(K238+SUM(M238:Q238))*(INDEX($U$190:$AB$190,MATCH(Notes!$C$16,$U$3:$AB$3,0))-100%))*$L$190</f>
        <v>180.75772999999998</v>
      </c>
      <c r="M238" s="286"/>
      <c r="N238" s="286"/>
      <c r="O238" s="311">
        <f t="shared" si="87"/>
        <v>66.417000000000002</v>
      </c>
      <c r="P238" s="311">
        <f t="shared" si="87"/>
        <v>114.34072999999998</v>
      </c>
      <c r="Q238" s="285"/>
      <c r="R238" s="278"/>
      <c r="S238" s="278"/>
      <c r="T238" s="278"/>
      <c r="U238" s="304"/>
    </row>
    <row r="239" spans="1:21" s="305" customFormat="1" ht="14.45" hidden="1" customHeight="1" outlineLevel="1" x14ac:dyDescent="0.25">
      <c r="A239" s="331">
        <v>37.700000000000003</v>
      </c>
      <c r="B239" s="279" t="str">
        <f t="shared" si="90"/>
        <v>200x100x9RHS</v>
      </c>
      <c r="C239" s="278" t="s">
        <v>1358</v>
      </c>
      <c r="D239" s="323"/>
      <c r="E239" s="278" t="s">
        <v>151</v>
      </c>
      <c r="F239" s="278"/>
      <c r="G239" s="278" t="s">
        <v>15</v>
      </c>
      <c r="H239" s="328">
        <f t="shared" si="78"/>
        <v>0.52780000000000005</v>
      </c>
      <c r="I239" s="280">
        <f t="shared" si="81"/>
        <v>42.551236000000003</v>
      </c>
      <c r="J239" s="281">
        <f t="shared" si="82"/>
        <v>48.256754000000008</v>
      </c>
      <c r="K239" s="282">
        <f>IF(Notes!$B$9="Domestic",I239, IF(Notes!$B$9="Commercial",J239))*$K$190</f>
        <v>48.256754000000008</v>
      </c>
      <c r="L239" s="283">
        <f>(SUM(O239:Q239)+(K239+SUM(M239:Q239))*(INDEX($U$190:$AB$190,MATCH(Notes!$C$16,$U$3:$AB$3,0))-100%))*$L$190</f>
        <v>260.09795499999996</v>
      </c>
      <c r="M239" s="286"/>
      <c r="N239" s="286"/>
      <c r="O239" s="311">
        <f t="shared" si="87"/>
        <v>95.569500000000005</v>
      </c>
      <c r="P239" s="311">
        <f t="shared" si="87"/>
        <v>164.52845499999998</v>
      </c>
      <c r="Q239" s="285"/>
      <c r="R239" s="278"/>
      <c r="S239" s="278"/>
      <c r="T239" s="278"/>
      <c r="U239" s="304"/>
    </row>
    <row r="240" spans="1:21" s="305" customFormat="1" ht="14.45" hidden="1" customHeight="1" outlineLevel="1" x14ac:dyDescent="0.25">
      <c r="A240" s="331">
        <v>29.9</v>
      </c>
      <c r="B240" s="279" t="str">
        <f t="shared" si="90"/>
        <v>250x150x5RHS</v>
      </c>
      <c r="C240" s="278" t="s">
        <v>1359</v>
      </c>
      <c r="D240" s="323"/>
      <c r="E240" s="278" t="s">
        <v>151</v>
      </c>
      <c r="F240" s="278"/>
      <c r="G240" s="278" t="s">
        <v>15</v>
      </c>
      <c r="H240" s="328">
        <f t="shared" si="78"/>
        <v>0.41859999999999997</v>
      </c>
      <c r="I240" s="280">
        <f t="shared" si="81"/>
        <v>33.747532</v>
      </c>
      <c r="J240" s="281">
        <f t="shared" si="82"/>
        <v>38.272598000000002</v>
      </c>
      <c r="K240" s="282">
        <f>IF(Notes!$B$9="Domestic",I240, IF(Notes!$B$9="Commercial",J240))*$K$190</f>
        <v>38.272598000000002</v>
      </c>
      <c r="L240" s="283">
        <f>(SUM(O240:Q240)+(K240+SUM(M240:Q240))*(INDEX($U$190:$AB$190,MATCH(Notes!$C$16,$U$3:$AB$3,0))-100%))*$L$190</f>
        <v>206.28458499999999</v>
      </c>
      <c r="M240" s="286"/>
      <c r="N240" s="286"/>
      <c r="O240" s="311">
        <f t="shared" si="87"/>
        <v>75.796499999999995</v>
      </c>
      <c r="P240" s="311">
        <f t="shared" si="87"/>
        <v>130.48808499999998</v>
      </c>
      <c r="Q240" s="285"/>
      <c r="R240" s="278"/>
      <c r="S240" s="278"/>
      <c r="T240" s="278"/>
      <c r="U240" s="304"/>
    </row>
    <row r="241" spans="1:21" s="305" customFormat="1" ht="14.45" hidden="1" customHeight="1" outlineLevel="1" x14ac:dyDescent="0.25">
      <c r="A241" s="331">
        <v>35.6</v>
      </c>
      <c r="B241" s="279" t="str">
        <f t="shared" si="90"/>
        <v>250x150x6RHS</v>
      </c>
      <c r="C241" s="278" t="s">
        <v>1360</v>
      </c>
      <c r="D241" s="323"/>
      <c r="E241" s="278" t="s">
        <v>151</v>
      </c>
      <c r="F241" s="278"/>
      <c r="G241" s="278" t="s">
        <v>15</v>
      </c>
      <c r="H241" s="328">
        <f t="shared" si="78"/>
        <v>0.49840000000000001</v>
      </c>
      <c r="I241" s="280">
        <f t="shared" si="81"/>
        <v>40.181008000000006</v>
      </c>
      <c r="J241" s="281">
        <f t="shared" si="82"/>
        <v>45.568712000000005</v>
      </c>
      <c r="K241" s="282">
        <f>IF(Notes!$B$9="Domestic",I241, IF(Notes!$B$9="Commercial",J241))*$K$190</f>
        <v>45.568712000000005</v>
      </c>
      <c r="L241" s="283">
        <f>(SUM(O241:Q241)+(K241+SUM(M241:Q241))*(INDEX($U$190:$AB$190,MATCH(Notes!$C$16,$U$3:$AB$3,0))-100%))*$L$190</f>
        <v>245.60973999999999</v>
      </c>
      <c r="M241" s="286"/>
      <c r="N241" s="286"/>
      <c r="O241" s="311">
        <f t="shared" si="87"/>
        <v>90.245999999999995</v>
      </c>
      <c r="P241" s="311">
        <f t="shared" si="87"/>
        <v>155.36373999999998</v>
      </c>
      <c r="Q241" s="285"/>
      <c r="R241" s="278"/>
      <c r="S241" s="278"/>
      <c r="T241" s="278"/>
      <c r="U241" s="304"/>
    </row>
    <row r="242" spans="1:21" s="305" customFormat="1" ht="14.45" hidden="1" customHeight="1" outlineLevel="1" x14ac:dyDescent="0.25">
      <c r="A242" s="331">
        <v>51.8</v>
      </c>
      <c r="B242" s="279" t="str">
        <f t="shared" si="90"/>
        <v>250x150x9RHS</v>
      </c>
      <c r="C242" s="278" t="s">
        <v>1361</v>
      </c>
      <c r="D242" s="323"/>
      <c r="E242" s="278" t="s">
        <v>151</v>
      </c>
      <c r="F242" s="278"/>
      <c r="G242" s="278" t="s">
        <v>15</v>
      </c>
      <c r="H242" s="328">
        <f t="shared" si="78"/>
        <v>0.72519999999999996</v>
      </c>
      <c r="I242" s="280">
        <f t="shared" si="81"/>
        <v>58.465623999999998</v>
      </c>
      <c r="J242" s="281">
        <f t="shared" si="82"/>
        <v>66.305036000000001</v>
      </c>
      <c r="K242" s="282">
        <f>IF(Notes!$B$9="Domestic",I242, IF(Notes!$B$9="Commercial",J242))*$K$190</f>
        <v>66.305036000000001</v>
      </c>
      <c r="L242" s="283">
        <f>(SUM(O242:Q242)+(K242+SUM(M242:Q242))*(INDEX($U$190:$AB$190,MATCH(Notes!$C$16,$U$3:$AB$3,0))-100%))*$L$190</f>
        <v>357.37596999999994</v>
      </c>
      <c r="M242" s="286"/>
      <c r="N242" s="286"/>
      <c r="O242" s="311">
        <f t="shared" si="87"/>
        <v>131.31299999999999</v>
      </c>
      <c r="P242" s="311">
        <f t="shared" si="87"/>
        <v>226.06296999999998</v>
      </c>
      <c r="Q242" s="285"/>
      <c r="R242" s="278"/>
      <c r="S242" s="278"/>
      <c r="T242" s="278"/>
      <c r="U242" s="304"/>
    </row>
    <row r="243" spans="1:21" s="305" customFormat="1" ht="14.45" hidden="1" customHeight="1" outlineLevel="1" x14ac:dyDescent="0.25">
      <c r="A243" s="331">
        <v>69.400000000000006</v>
      </c>
      <c r="B243" s="279" t="str">
        <f t="shared" ref="B243:B246" si="93">C243&amp;D243&amp;E243&amp;F243</f>
        <v>250x150x12.5RHS</v>
      </c>
      <c r="C243" s="278" t="s">
        <v>1362</v>
      </c>
      <c r="D243" s="323"/>
      <c r="E243" s="278" t="s">
        <v>151</v>
      </c>
      <c r="F243" s="278"/>
      <c r="G243" s="278" t="s">
        <v>15</v>
      </c>
      <c r="H243" s="328">
        <f t="shared" si="78"/>
        <v>0.97160000000000013</v>
      </c>
      <c r="I243" s="280">
        <f t="shared" si="81"/>
        <v>78.330392000000018</v>
      </c>
      <c r="J243" s="281">
        <f t="shared" ref="J243:J246" si="94">$J$2*H243</f>
        <v>88.833388000000014</v>
      </c>
      <c r="K243" s="282">
        <f>IF(Notes!$B$9="Domestic",I243, IF(Notes!$B$9="Commercial",J243))*$K$190</f>
        <v>88.833388000000014</v>
      </c>
      <c r="L243" s="283">
        <f>(SUM(O243:Q243)+(K243+SUM(M243:Q243))*(INDEX($U$190:$AB$190,MATCH(Notes!$C$16,$U$3:$AB$3,0))-100%))*$L$190</f>
        <v>478.80101000000002</v>
      </c>
      <c r="M243" s="286"/>
      <c r="N243" s="286"/>
      <c r="O243" s="311">
        <f t="shared" si="87"/>
        <v>175.929</v>
      </c>
      <c r="P243" s="311">
        <f t="shared" si="87"/>
        <v>302.87200999999999</v>
      </c>
      <c r="Q243" s="285"/>
      <c r="R243" s="278"/>
      <c r="S243" s="278"/>
      <c r="T243" s="278"/>
      <c r="U243" s="304"/>
    </row>
    <row r="244" spans="1:21" s="305" customFormat="1" ht="14.45" hidden="1" customHeight="1" outlineLevel="1" x14ac:dyDescent="0.25">
      <c r="A244" s="331">
        <v>85.5</v>
      </c>
      <c r="B244" s="279" t="str">
        <f t="shared" si="93"/>
        <v>250x150x16RHS</v>
      </c>
      <c r="C244" s="278" t="s">
        <v>1363</v>
      </c>
      <c r="D244" s="323"/>
      <c r="E244" s="278" t="s">
        <v>151</v>
      </c>
      <c r="F244" s="278"/>
      <c r="G244" s="278" t="s">
        <v>15</v>
      </c>
      <c r="H244" s="328">
        <f t="shared" si="78"/>
        <v>1.1970000000000001</v>
      </c>
      <c r="I244" s="280">
        <f t="shared" si="81"/>
        <v>96.502140000000011</v>
      </c>
      <c r="J244" s="281">
        <f t="shared" si="94"/>
        <v>109.44171000000001</v>
      </c>
      <c r="K244" s="282">
        <f>IF(Notes!$B$9="Domestic",I244, IF(Notes!$B$9="Commercial",J244))*$K$190</f>
        <v>109.44171000000001</v>
      </c>
      <c r="L244" s="283">
        <f>(SUM(O244:Q244)+(K244+SUM(M244:Q244))*(INDEX($U$190:$AB$190,MATCH(Notes!$C$16,$U$3:$AB$3,0))-100%))*$L$190</f>
        <v>589.87732499999993</v>
      </c>
      <c r="M244" s="286"/>
      <c r="N244" s="286"/>
      <c r="O244" s="311">
        <f t="shared" si="87"/>
        <v>216.74250000000001</v>
      </c>
      <c r="P244" s="311">
        <f t="shared" si="87"/>
        <v>373.13482499999998</v>
      </c>
      <c r="Q244" s="285"/>
      <c r="R244" s="278"/>
      <c r="S244" s="278"/>
      <c r="T244" s="278"/>
      <c r="U244" s="304"/>
    </row>
    <row r="245" spans="1:21" s="305" customFormat="1" ht="14.45" hidden="1" customHeight="1" outlineLevel="1" x14ac:dyDescent="0.25">
      <c r="A245" s="331">
        <v>45</v>
      </c>
      <c r="B245" s="279" t="str">
        <f t="shared" si="93"/>
        <v>300x200x6RHS</v>
      </c>
      <c r="C245" s="278" t="s">
        <v>1364</v>
      </c>
      <c r="D245" s="323"/>
      <c r="E245" s="278" t="s">
        <v>151</v>
      </c>
      <c r="F245" s="278"/>
      <c r="G245" s="278" t="s">
        <v>15</v>
      </c>
      <c r="H245" s="328">
        <f t="shared" si="78"/>
        <v>0.63</v>
      </c>
      <c r="I245" s="280">
        <f t="shared" si="81"/>
        <v>50.790600000000005</v>
      </c>
      <c r="J245" s="281">
        <f t="shared" si="94"/>
        <v>57.600900000000003</v>
      </c>
      <c r="K245" s="282">
        <f>IF(Notes!$B$9="Domestic",I245, IF(Notes!$B$9="Commercial",J245))*$K$190</f>
        <v>57.600900000000003</v>
      </c>
      <c r="L245" s="283">
        <f>(SUM(O245:Q245)+(K245+SUM(M245:Q245))*(INDEX($U$190:$AB$190,MATCH(Notes!$C$16,$U$3:$AB$3,0))-100%))*$L$190</f>
        <v>310.46174999999999</v>
      </c>
      <c r="M245" s="286"/>
      <c r="N245" s="286"/>
      <c r="O245" s="311">
        <f t="shared" si="87"/>
        <v>114.075</v>
      </c>
      <c r="P245" s="311">
        <f t="shared" si="87"/>
        <v>196.38674999999998</v>
      </c>
      <c r="Q245" s="285"/>
      <c r="R245" s="278"/>
      <c r="S245" s="278"/>
      <c r="T245" s="278"/>
      <c r="U245" s="304"/>
    </row>
    <row r="246" spans="1:21" s="305" customFormat="1" ht="14.45" hidden="1" customHeight="1" outlineLevel="1" x14ac:dyDescent="0.25">
      <c r="A246" s="331">
        <v>59.1</v>
      </c>
      <c r="B246" s="279" t="str">
        <f t="shared" si="93"/>
        <v>300x200x8RHS</v>
      </c>
      <c r="C246" s="278" t="s">
        <v>1365</v>
      </c>
      <c r="D246" s="323"/>
      <c r="E246" s="278" t="s">
        <v>151</v>
      </c>
      <c r="F246" s="278"/>
      <c r="G246" s="278" t="s">
        <v>15</v>
      </c>
      <c r="H246" s="328">
        <f t="shared" si="78"/>
        <v>0.82740000000000002</v>
      </c>
      <c r="I246" s="280">
        <f t="shared" si="81"/>
        <v>66.704988</v>
      </c>
      <c r="J246" s="281">
        <f t="shared" si="94"/>
        <v>75.64918200000001</v>
      </c>
      <c r="K246" s="282">
        <f>IF(Notes!$B$9="Domestic",I246, IF(Notes!$B$9="Commercial",J246))*$K$190</f>
        <v>75.64918200000001</v>
      </c>
      <c r="L246" s="283">
        <f>(SUM(O246:Q246)+(K246+SUM(M246:Q246))*(INDEX($U$190:$AB$190,MATCH(Notes!$C$16,$U$3:$AB$3,0))-100%))*$L$190</f>
        <v>407.73976500000003</v>
      </c>
      <c r="M246" s="286"/>
      <c r="N246" s="286"/>
      <c r="O246" s="311">
        <f t="shared" si="87"/>
        <v>149.8185</v>
      </c>
      <c r="P246" s="311">
        <f t="shared" si="87"/>
        <v>257.92126500000001</v>
      </c>
      <c r="Q246" s="285"/>
      <c r="R246" s="278"/>
      <c r="S246" s="278"/>
      <c r="T246" s="278"/>
      <c r="U246" s="304"/>
    </row>
    <row r="247" spans="1:21" s="305" customFormat="1" ht="14.45" hidden="1" customHeight="1" outlineLevel="1" x14ac:dyDescent="0.25">
      <c r="A247" s="331">
        <v>65.92</v>
      </c>
      <c r="B247" s="279" t="str">
        <f>C247&amp;D247&amp;E247&amp;F247</f>
        <v>300x200x9RHS</v>
      </c>
      <c r="C247" s="278" t="s">
        <v>1366</v>
      </c>
      <c r="D247" s="323"/>
      <c r="E247" s="278" t="s">
        <v>151</v>
      </c>
      <c r="F247" s="278"/>
      <c r="G247" s="278" t="s">
        <v>15</v>
      </c>
      <c r="H247" s="328">
        <f t="shared" si="78"/>
        <v>0.92288000000000003</v>
      </c>
      <c r="I247" s="280">
        <f t="shared" si="81"/>
        <v>74.402585600000009</v>
      </c>
      <c r="J247" s="281">
        <f t="shared" si="82"/>
        <v>84.378918400000003</v>
      </c>
      <c r="K247" s="282">
        <f>IF(Notes!$B$9="Domestic",I247, IF(Notes!$B$9="Commercial",J247))*$K$190</f>
        <v>84.378918400000003</v>
      </c>
      <c r="L247" s="283">
        <f>(SUM(O247:Q247)+(K247+SUM(M247:Q247))*(INDEX($U$190:$AB$190,MATCH(Notes!$C$16,$U$3:$AB$3,0))-100%))*$L$190</f>
        <v>454.791968</v>
      </c>
      <c r="M247" s="286"/>
      <c r="N247" s="286"/>
      <c r="O247" s="311">
        <f t="shared" si="87"/>
        <v>167.10720000000001</v>
      </c>
      <c r="P247" s="311">
        <f t="shared" si="87"/>
        <v>287.68476799999996</v>
      </c>
      <c r="Q247" s="285"/>
      <c r="R247" s="278"/>
      <c r="S247" s="278"/>
      <c r="T247" s="278"/>
      <c r="U247" s="304"/>
    </row>
    <row r="248" spans="1:21" s="305" customFormat="1" ht="14.45" hidden="1" customHeight="1" outlineLevel="1" x14ac:dyDescent="0.25">
      <c r="A248" s="331">
        <v>72.7</v>
      </c>
      <c r="B248" s="279" t="str">
        <f>C248&amp;D248&amp;E248&amp;F248</f>
        <v>300x200x10RHS</v>
      </c>
      <c r="C248" s="278" t="s">
        <v>1367</v>
      </c>
      <c r="D248" s="323"/>
      <c r="E248" s="278" t="s">
        <v>151</v>
      </c>
      <c r="F248" s="278"/>
      <c r="G248" s="278" t="s">
        <v>15</v>
      </c>
      <c r="H248" s="328">
        <f t="shared" si="78"/>
        <v>1.0178</v>
      </c>
      <c r="I248" s="280">
        <f t="shared" si="81"/>
        <v>82.055036000000001</v>
      </c>
      <c r="J248" s="281">
        <f t="shared" si="82"/>
        <v>93.057454000000007</v>
      </c>
      <c r="K248" s="282">
        <f>IF(Notes!$B$9="Domestic",I248, IF(Notes!$B$9="Commercial",J248))*$K$190</f>
        <v>93.057454000000007</v>
      </c>
      <c r="L248" s="283">
        <f>(SUM(O248:Q248)+(K248+SUM(M248:Q248))*(INDEX($U$190:$AB$190,MATCH(Notes!$C$16,$U$3:$AB$3,0))-100%))*$L$190</f>
        <v>501.56820499999992</v>
      </c>
      <c r="M248" s="286"/>
      <c r="N248" s="286"/>
      <c r="O248" s="311">
        <f t="shared" si="87"/>
        <v>184.2945</v>
      </c>
      <c r="P248" s="311">
        <f t="shared" si="87"/>
        <v>317.27370499999995</v>
      </c>
      <c r="Q248" s="285"/>
      <c r="R248" s="278"/>
      <c r="S248" s="278"/>
      <c r="T248" s="278"/>
      <c r="U248" s="304"/>
    </row>
    <row r="249" spans="1:21" s="305" customFormat="1" ht="14.45" hidden="1" customHeight="1" outlineLevel="1" x14ac:dyDescent="0.25">
      <c r="A249" s="331">
        <v>89</v>
      </c>
      <c r="B249" s="279" t="str">
        <f t="shared" ref="B249:B250" si="95">C249&amp;D249&amp;E249&amp;F249</f>
        <v>300x200x12.5RHS</v>
      </c>
      <c r="C249" s="278" t="s">
        <v>1368</v>
      </c>
      <c r="D249" s="323"/>
      <c r="E249" s="278" t="s">
        <v>151</v>
      </c>
      <c r="F249" s="278"/>
      <c r="G249" s="278" t="s">
        <v>15</v>
      </c>
      <c r="H249" s="328">
        <f t="shared" si="78"/>
        <v>1.246</v>
      </c>
      <c r="I249" s="280">
        <f t="shared" si="81"/>
        <v>100.45252000000001</v>
      </c>
      <c r="J249" s="281">
        <f t="shared" ref="J249:J250" si="96">$J$2*H249</f>
        <v>113.92178000000001</v>
      </c>
      <c r="K249" s="282">
        <f>IF(Notes!$B$9="Domestic",I249, IF(Notes!$B$9="Commercial",J249))*$K$190</f>
        <v>113.92178000000001</v>
      </c>
      <c r="L249" s="283">
        <f>(SUM(O249:Q249)+(K249+SUM(M249:Q249))*(INDEX($U$190:$AB$190,MATCH(Notes!$C$16,$U$3:$AB$3,0))-100%))*$L$190</f>
        <v>614.02434999999991</v>
      </c>
      <c r="M249" s="286"/>
      <c r="N249" s="286"/>
      <c r="O249" s="311">
        <f t="shared" si="87"/>
        <v>225.61500000000001</v>
      </c>
      <c r="P249" s="311">
        <f t="shared" si="87"/>
        <v>388.40934999999996</v>
      </c>
      <c r="Q249" s="285"/>
      <c r="R249" s="278"/>
      <c r="S249" s="278"/>
      <c r="T249" s="278"/>
      <c r="U249" s="304"/>
    </row>
    <row r="250" spans="1:21" s="305" customFormat="1" ht="14.45" hidden="1" customHeight="1" outlineLevel="1" x14ac:dyDescent="0.25">
      <c r="A250" s="331">
        <v>111</v>
      </c>
      <c r="B250" s="279" t="str">
        <f t="shared" si="95"/>
        <v>300x200x16RHS</v>
      </c>
      <c r="C250" s="278" t="s">
        <v>1369</v>
      </c>
      <c r="D250" s="323"/>
      <c r="E250" s="278" t="s">
        <v>151</v>
      </c>
      <c r="F250" s="278"/>
      <c r="G250" s="278" t="s">
        <v>15</v>
      </c>
      <c r="H250" s="328">
        <f t="shared" si="78"/>
        <v>1.554</v>
      </c>
      <c r="I250" s="280">
        <f t="shared" si="81"/>
        <v>125.28348000000001</v>
      </c>
      <c r="J250" s="281">
        <f t="shared" si="96"/>
        <v>142.08222000000001</v>
      </c>
      <c r="K250" s="282">
        <f>IF(Notes!$B$9="Domestic",I250, IF(Notes!$B$9="Commercial",J250))*$K$190</f>
        <v>142.08222000000001</v>
      </c>
      <c r="L250" s="283">
        <f>(SUM(O250:Q250)+(K250+SUM(M250:Q250))*(INDEX($U$190:$AB$190,MATCH(Notes!$C$16,$U$3:$AB$3,0))-100%))*$L$190</f>
        <v>765.80565000000001</v>
      </c>
      <c r="M250" s="286"/>
      <c r="N250" s="286"/>
      <c r="O250" s="311">
        <f t="shared" si="87"/>
        <v>281.38499999999999</v>
      </c>
      <c r="P250" s="311">
        <f t="shared" si="87"/>
        <v>484.42064999999997</v>
      </c>
      <c r="Q250" s="285"/>
      <c r="R250" s="278"/>
      <c r="S250" s="278"/>
      <c r="T250" s="278"/>
      <c r="U250" s="304"/>
    </row>
    <row r="251" spans="1:21" s="305" customFormat="1" ht="14.45" hidden="1" customHeight="1" outlineLevel="1" x14ac:dyDescent="0.25">
      <c r="A251" s="331">
        <v>109</v>
      </c>
      <c r="B251" s="279" t="str">
        <f t="shared" ref="B251:B259" si="97">C251&amp;D251&amp;E251&amp;F251</f>
        <v>350x250x12.5RHS</v>
      </c>
      <c r="C251" s="278" t="s">
        <v>1370</v>
      </c>
      <c r="D251" s="323"/>
      <c r="E251" s="278" t="s">
        <v>151</v>
      </c>
      <c r="F251" s="278"/>
      <c r="G251" s="278" t="s">
        <v>15</v>
      </c>
      <c r="H251" s="328">
        <f t="shared" si="78"/>
        <v>1.526</v>
      </c>
      <c r="I251" s="280">
        <f t="shared" si="81"/>
        <v>123.02612000000001</v>
      </c>
      <c r="J251" s="281">
        <f t="shared" si="82"/>
        <v>139.52218000000002</v>
      </c>
      <c r="K251" s="282">
        <f>IF(Notes!$B$9="Domestic",I251, IF(Notes!$B$9="Commercial",J251))*$K$190</f>
        <v>139.52218000000002</v>
      </c>
      <c r="L251" s="283">
        <f>(SUM(O251:Q251)+(K251+SUM(M251:Q251))*(INDEX($U$190:$AB$190,MATCH(Notes!$C$16,$U$3:$AB$3,0))-100%))*$L$190</f>
        <v>752.00734999999997</v>
      </c>
      <c r="M251" s="286"/>
      <c r="N251" s="286"/>
      <c r="O251" s="311">
        <f t="shared" si="87"/>
        <v>276.315</v>
      </c>
      <c r="P251" s="311">
        <f t="shared" si="87"/>
        <v>475.69234999999998</v>
      </c>
      <c r="Q251" s="285"/>
      <c r="R251" s="278"/>
      <c r="S251" s="278"/>
      <c r="T251" s="278"/>
      <c r="U251" s="304"/>
    </row>
    <row r="252" spans="1:21" s="305" customFormat="1" ht="14.45" hidden="1" customHeight="1" outlineLevel="1" x14ac:dyDescent="0.25">
      <c r="A252" s="331">
        <v>136</v>
      </c>
      <c r="B252" s="279" t="str">
        <f t="shared" si="97"/>
        <v>350x250x16RHS</v>
      </c>
      <c r="C252" s="278" t="s">
        <v>1371</v>
      </c>
      <c r="D252" s="323"/>
      <c r="E252" s="278" t="s">
        <v>151</v>
      </c>
      <c r="F252" s="278"/>
      <c r="G252" s="278" t="s">
        <v>15</v>
      </c>
      <c r="H252" s="328">
        <f t="shared" si="78"/>
        <v>1.9039999999999999</v>
      </c>
      <c r="I252" s="280">
        <f t="shared" si="81"/>
        <v>153.50048000000001</v>
      </c>
      <c r="J252" s="281">
        <f t="shared" si="82"/>
        <v>174.08271999999999</v>
      </c>
      <c r="K252" s="282">
        <f>IF(Notes!$B$9="Domestic",I252, IF(Notes!$B$9="Commercial",J252))*$K$190</f>
        <v>174.08271999999999</v>
      </c>
      <c r="L252" s="283">
        <f>(SUM(O252:Q252)+(K252+SUM(M252:Q252))*(INDEX($U$190:$AB$190,MATCH(Notes!$C$16,$U$3:$AB$3,0))-100%))*$L$190</f>
        <v>938.28439999999989</v>
      </c>
      <c r="M252" s="286"/>
      <c r="N252" s="286"/>
      <c r="O252" s="311">
        <f t="shared" si="87"/>
        <v>344.76</v>
      </c>
      <c r="P252" s="311">
        <f t="shared" si="87"/>
        <v>593.5243999999999</v>
      </c>
      <c r="Q252" s="285"/>
      <c r="R252" s="278"/>
      <c r="S252" s="278"/>
      <c r="T252" s="278"/>
      <c r="U252" s="304"/>
    </row>
    <row r="253" spans="1:21" s="305" customFormat="1" ht="14.45" hidden="1" customHeight="1" outlineLevel="1" x14ac:dyDescent="0.25">
      <c r="A253" s="331">
        <v>54.42</v>
      </c>
      <c r="B253" s="279" t="str">
        <f t="shared" si="97"/>
        <v>400x200x6RHS</v>
      </c>
      <c r="C253" s="278" t="s">
        <v>1372</v>
      </c>
      <c r="D253" s="323"/>
      <c r="E253" s="278" t="s">
        <v>151</v>
      </c>
      <c r="F253" s="278"/>
      <c r="G253" s="278" t="s">
        <v>15</v>
      </c>
      <c r="H253" s="328">
        <f t="shared" si="78"/>
        <v>0.76188</v>
      </c>
      <c r="I253" s="280">
        <f t="shared" si="81"/>
        <v>61.422765600000005</v>
      </c>
      <c r="J253" s="281">
        <f t="shared" si="82"/>
        <v>69.658688400000003</v>
      </c>
      <c r="K253" s="282">
        <f>IF(Notes!$B$9="Domestic",I253, IF(Notes!$B$9="Commercial",J253))*$K$190</f>
        <v>69.658688400000003</v>
      </c>
      <c r="L253" s="283">
        <f>(SUM(O253:Q253)+(K253+SUM(M253:Q253))*(INDEX($U$190:$AB$190,MATCH(Notes!$C$16,$U$3:$AB$3,0))-100%))*$L$190</f>
        <v>375.45174299999996</v>
      </c>
      <c r="M253" s="286"/>
      <c r="N253" s="286"/>
      <c r="O253" s="311">
        <f t="shared" si="87"/>
        <v>137.9547</v>
      </c>
      <c r="P253" s="311">
        <f t="shared" si="87"/>
        <v>237.49704299999996</v>
      </c>
      <c r="Q253" s="285"/>
      <c r="R253" s="278"/>
      <c r="S253" s="278"/>
      <c r="T253" s="278"/>
      <c r="U253" s="304"/>
    </row>
    <row r="254" spans="1:21" s="305" customFormat="1" ht="14.45" hidden="1" customHeight="1" outlineLevel="1" x14ac:dyDescent="0.25">
      <c r="A254" s="331">
        <v>80.05</v>
      </c>
      <c r="B254" s="279" t="str">
        <f t="shared" si="97"/>
        <v>400x200x9RHS</v>
      </c>
      <c r="C254" s="278" t="s">
        <v>1373</v>
      </c>
      <c r="D254" s="323"/>
      <c r="E254" s="278" t="s">
        <v>151</v>
      </c>
      <c r="F254" s="278"/>
      <c r="G254" s="278" t="s">
        <v>15</v>
      </c>
      <c r="H254" s="328">
        <f t="shared" si="78"/>
        <v>1.1207</v>
      </c>
      <c r="I254" s="280">
        <f t="shared" si="81"/>
        <v>90.350834000000006</v>
      </c>
      <c r="J254" s="281">
        <f t="shared" si="82"/>
        <v>102.46560100000001</v>
      </c>
      <c r="K254" s="282">
        <f>IF(Notes!$B$9="Domestic",I254, IF(Notes!$B$9="Commercial",J254))*$K$190</f>
        <v>102.46560100000001</v>
      </c>
      <c r="L254" s="283">
        <f>(SUM(O254:Q254)+(K254+SUM(M254:Q254))*(INDEX($U$190:$AB$190,MATCH(Notes!$C$16,$U$3:$AB$3,0))-100%))*$L$190</f>
        <v>552.27695749999998</v>
      </c>
      <c r="M254" s="286"/>
      <c r="N254" s="286"/>
      <c r="O254" s="311">
        <f t="shared" si="87"/>
        <v>202.92675</v>
      </c>
      <c r="P254" s="311">
        <f t="shared" si="87"/>
        <v>349.35020749999995</v>
      </c>
      <c r="Q254" s="285"/>
      <c r="R254" s="278"/>
      <c r="S254" s="278"/>
      <c r="T254" s="278"/>
      <c r="U254" s="304"/>
    </row>
    <row r="255" spans="1:21" s="305" customFormat="1" ht="14.45" hidden="1" customHeight="1" outlineLevel="1" x14ac:dyDescent="0.25">
      <c r="A255" s="331">
        <v>88.4</v>
      </c>
      <c r="B255" s="279" t="str">
        <f t="shared" si="97"/>
        <v>400x200x10RHS</v>
      </c>
      <c r="C255" s="278" t="s">
        <v>1374</v>
      </c>
      <c r="D255" s="323"/>
      <c r="E255" s="278" t="s">
        <v>151</v>
      </c>
      <c r="F255" s="278"/>
      <c r="G255" s="278" t="s">
        <v>15</v>
      </c>
      <c r="H255" s="328">
        <f t="shared" si="78"/>
        <v>1.2376</v>
      </c>
      <c r="I255" s="280">
        <f t="shared" si="81"/>
        <v>99.775312000000014</v>
      </c>
      <c r="J255" s="281">
        <f t="shared" si="82"/>
        <v>113.15376800000001</v>
      </c>
      <c r="K255" s="282">
        <f>IF(Notes!$B$9="Domestic",I255, IF(Notes!$B$9="Commercial",J255))*$K$190</f>
        <v>113.15376800000001</v>
      </c>
      <c r="L255" s="283">
        <f>(SUM(O255:Q255)+(K255+SUM(M255:Q255))*(INDEX($U$190:$AB$190,MATCH(Notes!$C$16,$U$3:$AB$3,0))-100%))*$L$190</f>
        <v>609.88486</v>
      </c>
      <c r="M255" s="286"/>
      <c r="N255" s="286"/>
      <c r="O255" s="311">
        <f t="shared" si="87"/>
        <v>224.09399999999999</v>
      </c>
      <c r="P255" s="311">
        <f t="shared" si="87"/>
        <v>385.79086000000001</v>
      </c>
      <c r="Q255" s="285"/>
      <c r="R255" s="278"/>
      <c r="S255" s="278"/>
      <c r="T255" s="278"/>
      <c r="U255" s="304"/>
    </row>
    <row r="256" spans="1:21" s="305" customFormat="1" ht="14.45" hidden="1" customHeight="1" outlineLevel="1" x14ac:dyDescent="0.25">
      <c r="A256" s="331">
        <v>109</v>
      </c>
      <c r="B256" s="279" t="str">
        <f t="shared" si="97"/>
        <v>400x200x12.5RHS</v>
      </c>
      <c r="C256" s="278" t="s">
        <v>1375</v>
      </c>
      <c r="D256" s="323"/>
      <c r="E256" s="278" t="s">
        <v>151</v>
      </c>
      <c r="F256" s="278"/>
      <c r="G256" s="278" t="s">
        <v>15</v>
      </c>
      <c r="H256" s="328">
        <f t="shared" si="78"/>
        <v>1.526</v>
      </c>
      <c r="I256" s="280">
        <f t="shared" si="81"/>
        <v>123.02612000000001</v>
      </c>
      <c r="J256" s="281">
        <f t="shared" si="82"/>
        <v>139.52218000000002</v>
      </c>
      <c r="K256" s="282">
        <f>IF(Notes!$B$9="Domestic",I256, IF(Notes!$B$9="Commercial",J256))*$K$190</f>
        <v>139.52218000000002</v>
      </c>
      <c r="L256" s="283">
        <f>(SUM(O256:Q256)+(K256+SUM(M256:Q256))*(INDEX($U$190:$AB$190,MATCH(Notes!$C$16,$U$3:$AB$3,0))-100%))*$L$190</f>
        <v>752.00734999999997</v>
      </c>
      <c r="M256" s="286"/>
      <c r="N256" s="286"/>
      <c r="O256" s="311">
        <f t="shared" si="87"/>
        <v>276.315</v>
      </c>
      <c r="P256" s="311">
        <f t="shared" si="87"/>
        <v>475.69234999999998</v>
      </c>
      <c r="Q256" s="285"/>
      <c r="R256" s="278"/>
      <c r="S256" s="278"/>
      <c r="T256" s="278"/>
      <c r="U256" s="304"/>
    </row>
    <row r="257" spans="1:28" s="305" customFormat="1" ht="14.45" hidden="1" customHeight="1" outlineLevel="1" x14ac:dyDescent="0.25">
      <c r="A257" s="331">
        <v>94.18</v>
      </c>
      <c r="B257" s="279" t="str">
        <f t="shared" si="97"/>
        <v>400x300x9RHS</v>
      </c>
      <c r="C257" s="278" t="s">
        <v>1376</v>
      </c>
      <c r="D257" s="323"/>
      <c r="E257" s="278" t="s">
        <v>151</v>
      </c>
      <c r="F257" s="278"/>
      <c r="G257" s="278" t="s">
        <v>15</v>
      </c>
      <c r="H257" s="328">
        <f t="shared" ref="H257:H259" si="98">$H$190*$A257/1000</f>
        <v>1.3185199999999999</v>
      </c>
      <c r="I257" s="280">
        <f t="shared" si="81"/>
        <v>106.2990824</v>
      </c>
      <c r="J257" s="281">
        <f t="shared" si="82"/>
        <v>120.5522836</v>
      </c>
      <c r="K257" s="282">
        <f>IF(Notes!$B$9="Domestic",I257, IF(Notes!$B$9="Commercial",J257))*$K$190</f>
        <v>120.5522836</v>
      </c>
      <c r="L257" s="283">
        <f>(SUM(O257:Q257)+(K257+SUM(M257:Q257))*(INDEX($U$190:$AB$190,MATCH(Notes!$C$16,$U$3:$AB$3,0))-100%))*$L$190</f>
        <v>649.76194699999996</v>
      </c>
      <c r="M257" s="286"/>
      <c r="N257" s="286"/>
      <c r="O257" s="311">
        <f t="shared" si="87"/>
        <v>238.74630000000002</v>
      </c>
      <c r="P257" s="311">
        <f t="shared" si="87"/>
        <v>411.015647</v>
      </c>
      <c r="Q257" s="285"/>
      <c r="R257" s="278"/>
      <c r="S257" s="278"/>
      <c r="T257" s="278"/>
      <c r="U257" s="304"/>
    </row>
    <row r="258" spans="1:28" s="305" customFormat="1" ht="14.45" hidden="1" customHeight="1" outlineLevel="1" x14ac:dyDescent="0.25">
      <c r="A258" s="331">
        <v>128</v>
      </c>
      <c r="B258" s="279" t="str">
        <f t="shared" si="97"/>
        <v>400x300x12.5RHS</v>
      </c>
      <c r="C258" s="278" t="s">
        <v>1377</v>
      </c>
      <c r="D258" s="323"/>
      <c r="E258" s="278" t="s">
        <v>151</v>
      </c>
      <c r="F258" s="278"/>
      <c r="G258" s="278" t="s">
        <v>15</v>
      </c>
      <c r="H258" s="328">
        <f t="shared" si="98"/>
        <v>1.792</v>
      </c>
      <c r="I258" s="280">
        <f t="shared" si="81"/>
        <v>144.47104000000002</v>
      </c>
      <c r="J258" s="281">
        <f t="shared" si="82"/>
        <v>163.84256000000002</v>
      </c>
      <c r="K258" s="282">
        <f>IF(Notes!$B$9="Domestic",I258, IF(Notes!$B$9="Commercial",J258))*$K$190</f>
        <v>163.84256000000002</v>
      </c>
      <c r="L258" s="283">
        <f>(SUM(O258:Q258)+(K258+SUM(M258:Q258))*(INDEX($U$190:$AB$190,MATCH(Notes!$C$16,$U$3:$AB$3,0))-100%))*$L$190</f>
        <v>883.09119999999996</v>
      </c>
      <c r="M258" s="286"/>
      <c r="N258" s="286"/>
      <c r="O258" s="311">
        <f t="shared" si="87"/>
        <v>324.48</v>
      </c>
      <c r="P258" s="311">
        <f t="shared" si="87"/>
        <v>558.61119999999994</v>
      </c>
      <c r="Q258" s="285"/>
      <c r="R258" s="278"/>
      <c r="S258" s="278"/>
      <c r="T258" s="278"/>
      <c r="U258" s="304"/>
    </row>
    <row r="259" spans="1:28" s="305" customFormat="1" ht="14.45" hidden="1" customHeight="1" outlineLevel="1" x14ac:dyDescent="0.25">
      <c r="A259" s="331">
        <v>161</v>
      </c>
      <c r="B259" s="279" t="str">
        <f t="shared" si="97"/>
        <v>400x300x16RHS</v>
      </c>
      <c r="C259" s="278" t="s">
        <v>1378</v>
      </c>
      <c r="D259" s="323"/>
      <c r="E259" s="278" t="s">
        <v>151</v>
      </c>
      <c r="F259" s="278"/>
      <c r="G259" s="278" t="s">
        <v>15</v>
      </c>
      <c r="H259" s="328">
        <f t="shared" si="98"/>
        <v>2.254</v>
      </c>
      <c r="I259" s="280">
        <f t="shared" si="81"/>
        <v>181.71748000000002</v>
      </c>
      <c r="J259" s="281">
        <f t="shared" si="82"/>
        <v>206.08322000000001</v>
      </c>
      <c r="K259" s="282">
        <f>IF(Notes!$B$9="Domestic",I259, IF(Notes!$B$9="Commercial",J259))*$K$190</f>
        <v>206.08322000000001</v>
      </c>
      <c r="L259" s="283">
        <f>(SUM(O259:Q259)+(K259+SUM(M259:Q259))*(INDEX($U$190:$AB$190,MATCH(Notes!$C$16,$U$3:$AB$3,0))-100%))*$L$190</f>
        <v>1110.7631499999998</v>
      </c>
      <c r="M259" s="286"/>
      <c r="N259" s="286"/>
      <c r="O259" s="311">
        <f t="shared" si="87"/>
        <v>408.13499999999999</v>
      </c>
      <c r="P259" s="311">
        <f t="shared" si="87"/>
        <v>702.62814999999989</v>
      </c>
      <c r="Q259" s="285"/>
      <c r="R259" s="278"/>
      <c r="S259" s="278"/>
      <c r="T259" s="278"/>
      <c r="U259" s="304"/>
    </row>
    <row r="260" spans="1:28" ht="21" hidden="1" outlineLevel="1" x14ac:dyDescent="0.25">
      <c r="A260" s="299" t="s">
        <v>134</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row>
    <row r="261" spans="1:28" ht="15.75" hidden="1" outlineLevel="1" x14ac:dyDescent="0.25">
      <c r="A261" s="303" t="s">
        <v>1044</v>
      </c>
      <c r="B261" s="291"/>
      <c r="C261" s="291"/>
      <c r="D261" s="291"/>
      <c r="E261" s="291"/>
      <c r="F261" s="291"/>
      <c r="G261" s="291"/>
      <c r="H261" s="325">
        <f>7*2</f>
        <v>14</v>
      </c>
      <c r="I261" s="291"/>
      <c r="J261" s="291"/>
      <c r="K261" s="291">
        <f>K$2</f>
        <v>1</v>
      </c>
      <c r="L261" s="291">
        <f>L$2</f>
        <v>1</v>
      </c>
      <c r="M261" s="291"/>
      <c r="N261" s="291"/>
      <c r="O261" s="324">
        <f>2660</f>
        <v>2660</v>
      </c>
      <c r="P261" s="324">
        <f>35*$P$2</f>
        <v>4364.1499999999996</v>
      </c>
      <c r="Q261" s="303"/>
      <c r="R261" s="291"/>
      <c r="S261" s="291"/>
      <c r="T261" s="291"/>
      <c r="U261" s="291">
        <f>(2550+$P261)/($O261+$P261)</f>
        <v>0.98433974217520981</v>
      </c>
      <c r="V261" s="291">
        <f>(2660+$P261)/($O261+$P261)</f>
        <v>1</v>
      </c>
      <c r="W261" s="291">
        <f>(2550+$P261)/($O261+$P261)</f>
        <v>0.98433974217520981</v>
      </c>
      <c r="X261" s="291">
        <f>(2625+$P261)/($O261+$P261)</f>
        <v>0.99501719069211225</v>
      </c>
      <c r="Y261" s="291">
        <f>(2585+$P261)/($O261+$P261)</f>
        <v>0.98932255148309756</v>
      </c>
      <c r="Z261" s="291">
        <f>(3800+$P261)/($O261+$P261)</f>
        <v>1.1622972174569166</v>
      </c>
      <c r="AA261" s="291">
        <f>(5100+$P261)/($O261+$P261)</f>
        <v>1.3473729917498916</v>
      </c>
      <c r="AB261" s="291">
        <f>(2800+$P261)/($O261+$P261)</f>
        <v>1.0199312372315512</v>
      </c>
    </row>
    <row r="262" spans="1:28" s="305" customFormat="1" ht="14.45" hidden="1" customHeight="1" outlineLevel="1" x14ac:dyDescent="0.25">
      <c r="A262" s="331">
        <v>1.57</v>
      </c>
      <c r="B262" s="279" t="str">
        <f>C262&amp;D262&amp;E262&amp;F262</f>
        <v>21.3x3.6CHS</v>
      </c>
      <c r="C262" s="323" t="s">
        <v>1228</v>
      </c>
      <c r="D262" s="323"/>
      <c r="E262" s="278" t="s">
        <v>1054</v>
      </c>
      <c r="F262" s="278"/>
      <c r="G262" s="278" t="s">
        <v>15</v>
      </c>
      <c r="H262" s="328">
        <f>$H$261*$A262/1000</f>
        <v>2.198E-2</v>
      </c>
      <c r="I262" s="280">
        <f>$I$2*H262</f>
        <v>1.7720276000000001</v>
      </c>
      <c r="J262" s="281">
        <f>$J$2*H262</f>
        <v>2.0096314</v>
      </c>
      <c r="K262" s="282">
        <f>IF(Notes!$B$9="Domestic",I262, IF(Notes!$B$9="Commercial",J262))*$K$261</f>
        <v>2.0096314</v>
      </c>
      <c r="L262" s="283">
        <f>(SUM(O262:Q262)+(K262+SUM(M262:Q262))*(INDEX($U$261:$AB$261,MATCH(Notes!$C$16,$U$3:$AB$3,0))-100%))*$L$261</f>
        <v>11.027915499999999</v>
      </c>
      <c r="M262" s="286"/>
      <c r="N262" s="286"/>
      <c r="O262" s="311">
        <f>O$261*$A262/1000</f>
        <v>4.1761999999999997</v>
      </c>
      <c r="P262" s="311">
        <f>P$261*$A262/1000</f>
        <v>6.8517154999999992</v>
      </c>
      <c r="Q262" s="285"/>
      <c r="R262" s="278"/>
      <c r="S262" s="278"/>
      <c r="T262" s="278"/>
      <c r="U262" s="304"/>
    </row>
    <row r="263" spans="1:28" s="305" customFormat="1" ht="14.45" hidden="1" customHeight="1" outlineLevel="1" x14ac:dyDescent="0.25">
      <c r="A263" s="331">
        <v>1.23</v>
      </c>
      <c r="B263" s="279" t="str">
        <f t="shared" ref="B263" si="99">C263&amp;D263&amp;E263&amp;F263</f>
        <v>26.9x2CHS</v>
      </c>
      <c r="C263" s="323" t="s">
        <v>1229</v>
      </c>
      <c r="D263" s="323"/>
      <c r="E263" s="278" t="s">
        <v>1054</v>
      </c>
      <c r="F263" s="278"/>
      <c r="G263" s="278" t="s">
        <v>15</v>
      </c>
      <c r="H263" s="328">
        <f t="shared" ref="H263:H326" si="100">$H$261*$A263/1000</f>
        <v>1.7219999999999999E-2</v>
      </c>
      <c r="I263" s="280">
        <f t="shared" ref="I263" si="101">$I$2*H263</f>
        <v>1.3882764000000001</v>
      </c>
      <c r="J263" s="281">
        <f t="shared" ref="J263" si="102">$J$2*H263</f>
        <v>1.5744246</v>
      </c>
      <c r="K263" s="282">
        <f>IF(Notes!$B$9="Domestic",I263, IF(Notes!$B$9="Commercial",J263))*$K$261</f>
        <v>1.5744246</v>
      </c>
      <c r="L263" s="283">
        <f>(SUM(O263:Q263)+(K263+SUM(M263:Q263))*(INDEX($U$261:$AB$261,MATCH(Notes!$C$16,$U$3:$AB$3,0))-100%))*$L$261</f>
        <v>8.6397045000000006</v>
      </c>
      <c r="M263" s="286"/>
      <c r="N263" s="286"/>
      <c r="O263" s="311">
        <f t="shared" ref="O263:P294" si="103">O$261*$A263/1000</f>
        <v>3.2717999999999998</v>
      </c>
      <c r="P263" s="311">
        <f t="shared" si="103"/>
        <v>5.3679044999999999</v>
      </c>
      <c r="Q263" s="285"/>
      <c r="R263" s="278"/>
      <c r="S263" s="278"/>
      <c r="T263" s="278"/>
      <c r="U263" s="304"/>
    </row>
    <row r="264" spans="1:28" s="305" customFormat="1" ht="14.45" hidden="1" customHeight="1" outlineLevel="1" x14ac:dyDescent="0.25">
      <c r="A264" s="331">
        <v>1.4</v>
      </c>
      <c r="B264" s="279" t="str">
        <f t="shared" ref="B264" si="104">C264&amp;D264&amp;E264&amp;F264</f>
        <v>26.9x2.3CHS</v>
      </c>
      <c r="C264" s="323" t="s">
        <v>1230</v>
      </c>
      <c r="D264" s="323"/>
      <c r="E264" s="278" t="s">
        <v>1054</v>
      </c>
      <c r="F264" s="278"/>
      <c r="G264" s="278" t="s">
        <v>15</v>
      </c>
      <c r="H264" s="328">
        <f t="shared" si="100"/>
        <v>1.9599999999999999E-2</v>
      </c>
      <c r="I264" s="280">
        <f t="shared" ref="I264" si="105">$I$2*H264</f>
        <v>1.580152</v>
      </c>
      <c r="J264" s="281">
        <f t="shared" ref="J264" si="106">$J$2*H264</f>
        <v>1.7920280000000002</v>
      </c>
      <c r="K264" s="282">
        <f>IF(Notes!$B$9="Domestic",I264, IF(Notes!$B$9="Commercial",J264))*$K$261</f>
        <v>1.7920280000000002</v>
      </c>
      <c r="L264" s="283">
        <f>(SUM(O264:Q264)+(K264+SUM(M264:Q264))*(INDEX($U$261:$AB$261,MATCH(Notes!$C$16,$U$3:$AB$3,0))-100%))*$L$261</f>
        <v>9.8338099999999997</v>
      </c>
      <c r="M264" s="286"/>
      <c r="N264" s="286"/>
      <c r="O264" s="311">
        <f t="shared" si="103"/>
        <v>3.7239999999999998</v>
      </c>
      <c r="P264" s="311">
        <f t="shared" si="103"/>
        <v>6.1098099999999995</v>
      </c>
      <c r="Q264" s="285"/>
      <c r="R264" s="278"/>
      <c r="S264" s="278"/>
      <c r="T264" s="278"/>
      <c r="U264" s="304"/>
    </row>
    <row r="265" spans="1:28" s="305" customFormat="1" ht="14.45" hidden="1" customHeight="1" outlineLevel="1" x14ac:dyDescent="0.25">
      <c r="A265" s="331">
        <v>1.56</v>
      </c>
      <c r="B265" s="279" t="str">
        <f t="shared" ref="B265:B340" si="107">C265&amp;D265&amp;E265&amp;F265</f>
        <v>26.9x2.6CHS</v>
      </c>
      <c r="C265" s="323" t="s">
        <v>1231</v>
      </c>
      <c r="D265" s="323"/>
      <c r="E265" s="278" t="s">
        <v>1054</v>
      </c>
      <c r="F265" s="278"/>
      <c r="G265" s="278" t="s">
        <v>15</v>
      </c>
      <c r="H265" s="328">
        <f t="shared" si="100"/>
        <v>2.1839999999999998E-2</v>
      </c>
      <c r="I265" s="280">
        <f t="shared" ref="I265:I340" si="108">$I$2*H265</f>
        <v>1.7607408</v>
      </c>
      <c r="J265" s="281">
        <f t="shared" ref="J265:J340" si="109">$J$2*H265</f>
        <v>1.9968311999999999</v>
      </c>
      <c r="K265" s="282">
        <f>IF(Notes!$B$9="Domestic",I265, IF(Notes!$B$9="Commercial",J265))*$K$261</f>
        <v>1.9968311999999999</v>
      </c>
      <c r="L265" s="283">
        <f>(SUM(O265:Q265)+(K265+SUM(M265:Q265))*(INDEX($U$261:$AB$261,MATCH(Notes!$C$16,$U$3:$AB$3,0))-100%))*$L$261</f>
        <v>10.957674000000001</v>
      </c>
      <c r="M265" s="286"/>
      <c r="N265" s="286"/>
      <c r="O265" s="311">
        <f t="shared" si="103"/>
        <v>4.1496000000000004</v>
      </c>
      <c r="P265" s="311">
        <f t="shared" si="103"/>
        <v>6.8080739999999995</v>
      </c>
      <c r="Q265" s="285"/>
      <c r="R265" s="278"/>
      <c r="S265" s="278"/>
      <c r="T265" s="278"/>
      <c r="U265" s="304"/>
    </row>
    <row r="266" spans="1:28" s="305" customFormat="1" ht="14.45" hidden="1" customHeight="1" outlineLevel="1" x14ac:dyDescent="0.25">
      <c r="A266" s="331">
        <v>1.87</v>
      </c>
      <c r="B266" s="279" t="str">
        <f t="shared" si="107"/>
        <v>26.9x3.2CHS</v>
      </c>
      <c r="C266" s="323" t="s">
        <v>1232</v>
      </c>
      <c r="D266" s="323"/>
      <c r="E266" s="278" t="s">
        <v>1054</v>
      </c>
      <c r="F266" s="278"/>
      <c r="G266" s="278" t="s">
        <v>15</v>
      </c>
      <c r="H266" s="328">
        <f t="shared" si="100"/>
        <v>2.6179999999999998E-2</v>
      </c>
      <c r="I266" s="280">
        <f t="shared" si="108"/>
        <v>2.1106316000000001</v>
      </c>
      <c r="J266" s="281">
        <f t="shared" si="109"/>
        <v>2.3936374000000002</v>
      </c>
      <c r="K266" s="282">
        <f>IF(Notes!$B$9="Domestic",I266, IF(Notes!$B$9="Commercial",J266))*$K$261</f>
        <v>2.3936374000000002</v>
      </c>
      <c r="L266" s="283">
        <f>(SUM(O266:Q266)+(K266+SUM(M266:Q266))*(INDEX($U$261:$AB$261,MATCH(Notes!$C$16,$U$3:$AB$3,0))-100%))*$L$261</f>
        <v>13.135160500000001</v>
      </c>
      <c r="M266" s="286"/>
      <c r="N266" s="286"/>
      <c r="O266" s="311">
        <f t="shared" si="103"/>
        <v>4.9742000000000006</v>
      </c>
      <c r="P266" s="311">
        <f t="shared" si="103"/>
        <v>8.1609604999999998</v>
      </c>
      <c r="Q266" s="285"/>
      <c r="R266" s="278"/>
      <c r="S266" s="278"/>
      <c r="T266" s="278"/>
      <c r="U266" s="304"/>
    </row>
    <row r="267" spans="1:28" s="305" customFormat="1" ht="14.45" hidden="1" customHeight="1" outlineLevel="1" x14ac:dyDescent="0.25">
      <c r="A267" s="331">
        <v>2.2599999999999998</v>
      </c>
      <c r="B267" s="279" t="str">
        <f t="shared" si="107"/>
        <v>26.9x4CHS</v>
      </c>
      <c r="C267" s="323" t="s">
        <v>1233</v>
      </c>
      <c r="D267" s="323"/>
      <c r="E267" s="278" t="s">
        <v>1054</v>
      </c>
      <c r="F267" s="278"/>
      <c r="G267" s="278" t="s">
        <v>15</v>
      </c>
      <c r="H267" s="328">
        <f t="shared" si="100"/>
        <v>3.1639999999999995E-2</v>
      </c>
      <c r="I267" s="280">
        <f t="shared" si="108"/>
        <v>2.5508167999999998</v>
      </c>
      <c r="J267" s="281">
        <f t="shared" si="109"/>
        <v>2.8928451999999996</v>
      </c>
      <c r="K267" s="282">
        <f>IF(Notes!$B$9="Domestic",I267, IF(Notes!$B$9="Commercial",J267))*$K$261</f>
        <v>2.8928451999999996</v>
      </c>
      <c r="L267" s="283">
        <f>(SUM(O267:Q267)+(K267+SUM(M267:Q267))*(INDEX($U$261:$AB$261,MATCH(Notes!$C$16,$U$3:$AB$3,0))-100%))*$L$261</f>
        <v>15.874578999999997</v>
      </c>
      <c r="M267" s="286"/>
      <c r="N267" s="286"/>
      <c r="O267" s="311">
        <f t="shared" si="103"/>
        <v>6.0115999999999996</v>
      </c>
      <c r="P267" s="311">
        <f t="shared" si="103"/>
        <v>9.8629789999999975</v>
      </c>
      <c r="Q267" s="285"/>
      <c r="R267" s="278"/>
      <c r="S267" s="278"/>
      <c r="T267" s="278"/>
      <c r="U267" s="304"/>
    </row>
    <row r="268" spans="1:28" s="305" customFormat="1" ht="14.45" hidden="1" customHeight="1" outlineLevel="1" x14ac:dyDescent="0.25">
      <c r="A268" s="331">
        <v>1.56</v>
      </c>
      <c r="B268" s="279" t="str">
        <f t="shared" ref="B268" si="110">C268&amp;D268&amp;E268&amp;F268</f>
        <v>33.7x2CHS</v>
      </c>
      <c r="C268" s="323" t="s">
        <v>1234</v>
      </c>
      <c r="D268" s="323"/>
      <c r="E268" s="278" t="s">
        <v>1054</v>
      </c>
      <c r="F268" s="278"/>
      <c r="G268" s="278" t="s">
        <v>15</v>
      </c>
      <c r="H268" s="328">
        <f t="shared" si="100"/>
        <v>2.1839999999999998E-2</v>
      </c>
      <c r="I268" s="280">
        <f t="shared" ref="I268" si="111">$I$2*H268</f>
        <v>1.7607408</v>
      </c>
      <c r="J268" s="281">
        <f t="shared" ref="J268" si="112">$J$2*H268</f>
        <v>1.9968311999999999</v>
      </c>
      <c r="K268" s="282">
        <f>IF(Notes!$B$9="Domestic",I268, IF(Notes!$B$9="Commercial",J268))*$K$261</f>
        <v>1.9968311999999999</v>
      </c>
      <c r="L268" s="283">
        <f>(SUM(O268:Q268)+(K268+SUM(M268:Q268))*(INDEX($U$261:$AB$261,MATCH(Notes!$C$16,$U$3:$AB$3,0))-100%))*$L$261</f>
        <v>10.957674000000001</v>
      </c>
      <c r="M268" s="286"/>
      <c r="N268" s="286"/>
      <c r="O268" s="311">
        <f t="shared" si="103"/>
        <v>4.1496000000000004</v>
      </c>
      <c r="P268" s="311">
        <f t="shared" si="103"/>
        <v>6.8080739999999995</v>
      </c>
      <c r="Q268" s="285"/>
      <c r="R268" s="278"/>
      <c r="S268" s="278"/>
      <c r="T268" s="278"/>
      <c r="U268" s="304"/>
    </row>
    <row r="269" spans="1:28" s="305" customFormat="1" ht="14.45" hidden="1" customHeight="1" outlineLevel="1" x14ac:dyDescent="0.25">
      <c r="A269" s="331">
        <v>1.99</v>
      </c>
      <c r="B269" s="279" t="str">
        <f t="shared" ref="B269" si="113">C269&amp;D269&amp;E269&amp;F269</f>
        <v>33.7x2.6CHS</v>
      </c>
      <c r="C269" s="323" t="s">
        <v>1235</v>
      </c>
      <c r="D269" s="323"/>
      <c r="E269" s="278" t="s">
        <v>1054</v>
      </c>
      <c r="F269" s="278"/>
      <c r="G269" s="278" t="s">
        <v>15</v>
      </c>
      <c r="H269" s="328">
        <f t="shared" si="100"/>
        <v>2.7859999999999999E-2</v>
      </c>
      <c r="I269" s="280">
        <f t="shared" ref="I269" si="114">$I$2*H269</f>
        <v>2.2460732000000001</v>
      </c>
      <c r="J269" s="281">
        <f t="shared" ref="J269" si="115">$J$2*H269</f>
        <v>2.5472398000000003</v>
      </c>
      <c r="K269" s="282">
        <f>IF(Notes!$B$9="Domestic",I269, IF(Notes!$B$9="Commercial",J269))*$K$261</f>
        <v>2.5472398000000003</v>
      </c>
      <c r="L269" s="283">
        <f>(SUM(O269:Q269)+(K269+SUM(M269:Q269))*(INDEX($U$261:$AB$261,MATCH(Notes!$C$16,$U$3:$AB$3,0))-100%))*$L$261</f>
        <v>13.978058499999999</v>
      </c>
      <c r="M269" s="286"/>
      <c r="N269" s="286"/>
      <c r="O269" s="311">
        <f t="shared" si="103"/>
        <v>5.2933999999999992</v>
      </c>
      <c r="P269" s="311">
        <f t="shared" si="103"/>
        <v>8.6846584999999994</v>
      </c>
      <c r="Q269" s="285"/>
      <c r="R269" s="278"/>
      <c r="S269" s="278"/>
      <c r="T269" s="278"/>
      <c r="U269" s="304"/>
    </row>
    <row r="270" spans="1:28" s="305" customFormat="1" ht="14.45" hidden="1" customHeight="1" outlineLevel="1" x14ac:dyDescent="0.25">
      <c r="A270" s="331">
        <v>2.41</v>
      </c>
      <c r="B270" s="279" t="str">
        <f t="shared" si="107"/>
        <v>33.7x3.2CHS</v>
      </c>
      <c r="C270" s="323" t="s">
        <v>1236</v>
      </c>
      <c r="D270" s="323"/>
      <c r="E270" s="278" t="s">
        <v>1054</v>
      </c>
      <c r="F270" s="278"/>
      <c r="G270" s="278" t="s">
        <v>15</v>
      </c>
      <c r="H270" s="328">
        <f t="shared" si="100"/>
        <v>3.3739999999999999E-2</v>
      </c>
      <c r="I270" s="280">
        <f t="shared" si="108"/>
        <v>2.7201188000000003</v>
      </c>
      <c r="J270" s="281">
        <f t="shared" si="109"/>
        <v>3.0848482000000002</v>
      </c>
      <c r="K270" s="282">
        <f>IF(Notes!$B$9="Domestic",I270, IF(Notes!$B$9="Commercial",J270))*$K$261</f>
        <v>3.0848482000000002</v>
      </c>
      <c r="L270" s="283">
        <f>(SUM(O270:Q270)+(K270+SUM(M270:Q270))*(INDEX($U$261:$AB$261,MATCH(Notes!$C$16,$U$3:$AB$3,0))-100%))*$L$261</f>
        <v>16.9282015</v>
      </c>
      <c r="M270" s="286"/>
      <c r="N270" s="286"/>
      <c r="O270" s="311">
        <f t="shared" si="103"/>
        <v>6.4106000000000005</v>
      </c>
      <c r="P270" s="311">
        <f t="shared" si="103"/>
        <v>10.5176015</v>
      </c>
      <c r="Q270" s="285"/>
      <c r="R270" s="278"/>
      <c r="S270" s="278"/>
      <c r="T270" s="278"/>
      <c r="U270" s="304"/>
    </row>
    <row r="271" spans="1:28" s="305" customFormat="1" ht="14.45" hidden="1" customHeight="1" outlineLevel="1" x14ac:dyDescent="0.25">
      <c r="A271" s="331">
        <v>2.93</v>
      </c>
      <c r="B271" s="279" t="str">
        <f t="shared" si="107"/>
        <v>33.7x4CHS</v>
      </c>
      <c r="C271" s="323" t="s">
        <v>1237</v>
      </c>
      <c r="D271" s="323"/>
      <c r="E271" s="278" t="s">
        <v>1054</v>
      </c>
      <c r="F271" s="278"/>
      <c r="G271" s="278" t="s">
        <v>15</v>
      </c>
      <c r="H271" s="328">
        <f t="shared" si="100"/>
        <v>4.1020000000000001E-2</v>
      </c>
      <c r="I271" s="280">
        <f t="shared" si="108"/>
        <v>3.3070324000000002</v>
      </c>
      <c r="J271" s="281">
        <f t="shared" si="109"/>
        <v>3.7504586000000004</v>
      </c>
      <c r="K271" s="282">
        <f>IF(Notes!$B$9="Domestic",I271, IF(Notes!$B$9="Commercial",J271))*$K$261</f>
        <v>3.7504586000000004</v>
      </c>
      <c r="L271" s="283">
        <f>(SUM(O271:Q271)+(K271+SUM(M271:Q271))*(INDEX($U$261:$AB$261,MATCH(Notes!$C$16,$U$3:$AB$3,0))-100%))*$L$261</f>
        <v>20.580759499999999</v>
      </c>
      <c r="M271" s="286"/>
      <c r="N271" s="286"/>
      <c r="O271" s="311">
        <f t="shared" si="103"/>
        <v>7.7938000000000001</v>
      </c>
      <c r="P271" s="311">
        <f t="shared" si="103"/>
        <v>12.786959499999998</v>
      </c>
      <c r="Q271" s="285"/>
      <c r="R271" s="278"/>
      <c r="S271" s="278"/>
      <c r="T271" s="278"/>
      <c r="U271" s="304"/>
    </row>
    <row r="272" spans="1:28" s="305" customFormat="1" ht="14.45" hidden="1" customHeight="1" outlineLevel="1" x14ac:dyDescent="0.25">
      <c r="A272" s="331">
        <v>3.24</v>
      </c>
      <c r="B272" s="279" t="str">
        <f t="shared" si="107"/>
        <v>33.7x4.5CHS</v>
      </c>
      <c r="C272" s="323" t="s">
        <v>1238</v>
      </c>
      <c r="D272" s="323"/>
      <c r="E272" s="278" t="s">
        <v>1054</v>
      </c>
      <c r="F272" s="278"/>
      <c r="G272" s="278" t="s">
        <v>15</v>
      </c>
      <c r="H272" s="328">
        <f t="shared" si="100"/>
        <v>4.5359999999999998E-2</v>
      </c>
      <c r="I272" s="280">
        <f t="shared" si="108"/>
        <v>3.6569232</v>
      </c>
      <c r="J272" s="281">
        <f t="shared" si="109"/>
        <v>4.1472648000000003</v>
      </c>
      <c r="K272" s="282">
        <f>IF(Notes!$B$9="Domestic",I272, IF(Notes!$B$9="Commercial",J272))*$K$261</f>
        <v>4.1472648000000003</v>
      </c>
      <c r="L272" s="283">
        <f>(SUM(O272:Q272)+(K272+SUM(M272:Q272))*(INDEX($U$261:$AB$261,MATCH(Notes!$C$16,$U$3:$AB$3,0))-100%))*$L$261</f>
        <v>22.758246</v>
      </c>
      <c r="M272" s="286"/>
      <c r="N272" s="286"/>
      <c r="O272" s="311">
        <f t="shared" si="103"/>
        <v>8.6184000000000012</v>
      </c>
      <c r="P272" s="311">
        <f t="shared" si="103"/>
        <v>14.139846</v>
      </c>
      <c r="Q272" s="285"/>
      <c r="R272" s="278"/>
      <c r="S272" s="278"/>
      <c r="T272" s="278"/>
      <c r="U272" s="304"/>
    </row>
    <row r="273" spans="1:21" s="305" customFormat="1" ht="14.45" hidden="1" customHeight="1" outlineLevel="1" x14ac:dyDescent="0.25">
      <c r="A273" s="331">
        <v>1.99</v>
      </c>
      <c r="B273" s="279" t="str">
        <f t="shared" ref="B273:B274" si="116">C273&amp;D273&amp;E273&amp;F273</f>
        <v>42.4x2CHS</v>
      </c>
      <c r="C273" s="323" t="s">
        <v>1239</v>
      </c>
      <c r="D273" s="323"/>
      <c r="E273" s="278" t="s">
        <v>1054</v>
      </c>
      <c r="F273" s="278"/>
      <c r="G273" s="278" t="s">
        <v>15</v>
      </c>
      <c r="H273" s="328">
        <f t="shared" si="100"/>
        <v>2.7859999999999999E-2</v>
      </c>
      <c r="I273" s="280">
        <f t="shared" ref="I273:I274" si="117">$I$2*H273</f>
        <v>2.2460732000000001</v>
      </c>
      <c r="J273" s="281">
        <f t="shared" ref="J273:J274" si="118">$J$2*H273</f>
        <v>2.5472398000000003</v>
      </c>
      <c r="K273" s="282">
        <f>IF(Notes!$B$9="Domestic",I273, IF(Notes!$B$9="Commercial",J273))*$K$261</f>
        <v>2.5472398000000003</v>
      </c>
      <c r="L273" s="283">
        <f>(SUM(O273:Q273)+(K273+SUM(M273:Q273))*(INDEX($U$261:$AB$261,MATCH(Notes!$C$16,$U$3:$AB$3,0))-100%))*$L$261</f>
        <v>13.978058499999999</v>
      </c>
      <c r="M273" s="286"/>
      <c r="N273" s="286"/>
      <c r="O273" s="311">
        <f t="shared" si="103"/>
        <v>5.2933999999999992</v>
      </c>
      <c r="P273" s="311">
        <f t="shared" si="103"/>
        <v>8.6846584999999994</v>
      </c>
      <c r="Q273" s="285"/>
      <c r="R273" s="278"/>
      <c r="S273" s="278"/>
      <c r="T273" s="278"/>
      <c r="U273" s="304"/>
    </row>
    <row r="274" spans="1:21" s="305" customFormat="1" ht="14.45" hidden="1" customHeight="1" outlineLevel="1" x14ac:dyDescent="0.25">
      <c r="A274" s="331">
        <v>2.5499999999999998</v>
      </c>
      <c r="B274" s="279" t="str">
        <f t="shared" si="116"/>
        <v>42.4x2.6CHS</v>
      </c>
      <c r="C274" s="323" t="s">
        <v>1240</v>
      </c>
      <c r="D274" s="323"/>
      <c r="E274" s="278" t="s">
        <v>1054</v>
      </c>
      <c r="F274" s="278"/>
      <c r="G274" s="278" t="s">
        <v>15</v>
      </c>
      <c r="H274" s="328">
        <f t="shared" si="100"/>
        <v>3.5699999999999996E-2</v>
      </c>
      <c r="I274" s="280">
        <f t="shared" si="117"/>
        <v>2.8781339999999997</v>
      </c>
      <c r="J274" s="281">
        <f t="shared" si="118"/>
        <v>3.2640509999999998</v>
      </c>
      <c r="K274" s="282">
        <f>IF(Notes!$B$9="Domestic",I274, IF(Notes!$B$9="Commercial",J274))*$K$261</f>
        <v>3.2640509999999998</v>
      </c>
      <c r="L274" s="283">
        <f>(SUM(O274:Q274)+(K274+SUM(M274:Q274))*(INDEX($U$261:$AB$261,MATCH(Notes!$C$16,$U$3:$AB$3,0))-100%))*$L$261</f>
        <v>17.911582499999998</v>
      </c>
      <c r="M274" s="286"/>
      <c r="N274" s="286"/>
      <c r="O274" s="311">
        <f t="shared" si="103"/>
        <v>6.7829999999999995</v>
      </c>
      <c r="P274" s="311">
        <f t="shared" si="103"/>
        <v>11.128582499999998</v>
      </c>
      <c r="Q274" s="285"/>
      <c r="R274" s="278"/>
      <c r="S274" s="278"/>
      <c r="T274" s="278"/>
      <c r="U274" s="304"/>
    </row>
    <row r="275" spans="1:21" s="305" customFormat="1" ht="14.45" hidden="1" customHeight="1" outlineLevel="1" x14ac:dyDescent="0.25">
      <c r="A275" s="331">
        <v>3.09</v>
      </c>
      <c r="B275" s="279" t="str">
        <f t="shared" si="107"/>
        <v>42.4x3.2CHS</v>
      </c>
      <c r="C275" s="323" t="s">
        <v>1241</v>
      </c>
      <c r="D275" s="323"/>
      <c r="E275" s="278" t="s">
        <v>1054</v>
      </c>
      <c r="F275" s="278"/>
      <c r="G275" s="278" t="s">
        <v>15</v>
      </c>
      <c r="H275" s="328">
        <f t="shared" si="100"/>
        <v>4.326E-2</v>
      </c>
      <c r="I275" s="280">
        <f t="shared" si="108"/>
        <v>3.4876212</v>
      </c>
      <c r="J275" s="281">
        <f t="shared" si="109"/>
        <v>3.9552618000000002</v>
      </c>
      <c r="K275" s="282">
        <f>IF(Notes!$B$9="Domestic",I275, IF(Notes!$B$9="Commercial",J275))*$K$261</f>
        <v>3.9552618000000002</v>
      </c>
      <c r="L275" s="283">
        <f>(SUM(O275:Q275)+(K275+SUM(M275:Q275))*(INDEX($U$261:$AB$261,MATCH(Notes!$C$16,$U$3:$AB$3,0))-100%))*$L$261</f>
        <v>21.704623499999997</v>
      </c>
      <c r="M275" s="286"/>
      <c r="N275" s="286"/>
      <c r="O275" s="311">
        <f t="shared" si="103"/>
        <v>8.2194000000000003</v>
      </c>
      <c r="P275" s="311">
        <f t="shared" si="103"/>
        <v>13.485223499999998</v>
      </c>
      <c r="Q275" s="285"/>
      <c r="R275" s="278"/>
      <c r="S275" s="278"/>
      <c r="T275" s="278"/>
      <c r="U275" s="304"/>
    </row>
    <row r="276" spans="1:21" s="305" customFormat="1" ht="14.45" hidden="1" customHeight="1" outlineLevel="1" x14ac:dyDescent="0.25">
      <c r="A276" s="331">
        <v>3.79</v>
      </c>
      <c r="B276" s="279" t="str">
        <f t="shared" si="107"/>
        <v>42.4x4CHS</v>
      </c>
      <c r="C276" s="323" t="s">
        <v>1242</v>
      </c>
      <c r="D276" s="323"/>
      <c r="E276" s="278" t="s">
        <v>1054</v>
      </c>
      <c r="F276" s="278"/>
      <c r="G276" s="278" t="s">
        <v>15</v>
      </c>
      <c r="H276" s="328">
        <f t="shared" si="100"/>
        <v>5.3060000000000003E-2</v>
      </c>
      <c r="I276" s="280">
        <f t="shared" si="108"/>
        <v>4.2776972000000004</v>
      </c>
      <c r="J276" s="281">
        <f t="shared" si="109"/>
        <v>4.8512758000000007</v>
      </c>
      <c r="K276" s="282">
        <f>IF(Notes!$B$9="Domestic",I276, IF(Notes!$B$9="Commercial",J276))*$K$261</f>
        <v>4.8512758000000007</v>
      </c>
      <c r="L276" s="283">
        <f>(SUM(O276:Q276)+(K276+SUM(M276:Q276))*(INDEX($U$261:$AB$261,MATCH(Notes!$C$16,$U$3:$AB$3,0))-100%))*$L$261</f>
        <v>26.621528499999997</v>
      </c>
      <c r="M276" s="286"/>
      <c r="N276" s="286"/>
      <c r="O276" s="311">
        <f t="shared" si="103"/>
        <v>10.0814</v>
      </c>
      <c r="P276" s="311">
        <f t="shared" si="103"/>
        <v>16.540128499999998</v>
      </c>
      <c r="Q276" s="285"/>
      <c r="R276" s="278"/>
      <c r="S276" s="278"/>
      <c r="T276" s="278"/>
      <c r="U276" s="304"/>
    </row>
    <row r="277" spans="1:21" s="305" customFormat="1" ht="14.45" hidden="1" customHeight="1" outlineLevel="1" x14ac:dyDescent="0.25">
      <c r="A277" s="331">
        <v>4.53</v>
      </c>
      <c r="B277" s="279" t="str">
        <f t="shared" si="107"/>
        <v>42.4x4.9CHS</v>
      </c>
      <c r="C277" s="323" t="s">
        <v>1243</v>
      </c>
      <c r="D277" s="323"/>
      <c r="E277" s="278" t="s">
        <v>1054</v>
      </c>
      <c r="F277" s="278"/>
      <c r="G277" s="278" t="s">
        <v>15</v>
      </c>
      <c r="H277" s="328">
        <f t="shared" si="100"/>
        <v>6.3420000000000004E-2</v>
      </c>
      <c r="I277" s="280">
        <f t="shared" si="108"/>
        <v>5.112920400000001</v>
      </c>
      <c r="J277" s="281">
        <f t="shared" si="109"/>
        <v>5.7984906000000009</v>
      </c>
      <c r="K277" s="282">
        <f>IF(Notes!$B$9="Domestic",I277, IF(Notes!$B$9="Commercial",J277))*$K$261</f>
        <v>5.7984906000000009</v>
      </c>
      <c r="L277" s="283">
        <f>(SUM(O277:Q277)+(K277+SUM(M277:Q277))*(INDEX($U$261:$AB$261,MATCH(Notes!$C$16,$U$3:$AB$3,0))-100%))*$L$261</f>
        <v>31.819399500000003</v>
      </c>
      <c r="M277" s="286"/>
      <c r="N277" s="286"/>
      <c r="O277" s="311">
        <f t="shared" si="103"/>
        <v>12.049800000000001</v>
      </c>
      <c r="P277" s="311">
        <f t="shared" si="103"/>
        <v>19.769599500000002</v>
      </c>
      <c r="Q277" s="285"/>
      <c r="R277" s="278"/>
      <c r="S277" s="278"/>
      <c r="T277" s="278"/>
      <c r="U277" s="304"/>
    </row>
    <row r="278" spans="1:21" s="305" customFormat="1" ht="14.45" hidden="1" customHeight="1" outlineLevel="1" x14ac:dyDescent="0.25">
      <c r="A278" s="331">
        <v>2.61</v>
      </c>
      <c r="B278" s="279" t="str">
        <f t="shared" ref="B278:B279" si="119">C278&amp;D278&amp;E278&amp;F278</f>
        <v>48.3x2.3CHS</v>
      </c>
      <c r="C278" s="323" t="s">
        <v>1244</v>
      </c>
      <c r="D278" s="323"/>
      <c r="E278" s="278" t="s">
        <v>1054</v>
      </c>
      <c r="F278" s="278"/>
      <c r="G278" s="278" t="s">
        <v>15</v>
      </c>
      <c r="H278" s="328">
        <f t="shared" si="100"/>
        <v>3.6539999999999996E-2</v>
      </c>
      <c r="I278" s="280">
        <f t="shared" ref="I278:I279" si="120">$I$2*H278</f>
        <v>2.9458547999999998</v>
      </c>
      <c r="J278" s="281">
        <f t="shared" ref="J278:J279" si="121">$J$2*H278</f>
        <v>3.3408522</v>
      </c>
      <c r="K278" s="282">
        <f>IF(Notes!$B$9="Domestic",I278, IF(Notes!$B$9="Commercial",J278))*$K$261</f>
        <v>3.3408522</v>
      </c>
      <c r="L278" s="283">
        <f>(SUM(O278:Q278)+(K278+SUM(M278:Q278))*(INDEX($U$261:$AB$261,MATCH(Notes!$C$16,$U$3:$AB$3,0))-100%))*$L$261</f>
        <v>18.333031499999997</v>
      </c>
      <c r="M278" s="286"/>
      <c r="N278" s="286"/>
      <c r="O278" s="311">
        <f t="shared" si="103"/>
        <v>6.9425999999999997</v>
      </c>
      <c r="P278" s="311">
        <f t="shared" si="103"/>
        <v>11.390431499999998</v>
      </c>
      <c r="Q278" s="285"/>
      <c r="R278" s="278"/>
      <c r="S278" s="278"/>
      <c r="T278" s="278"/>
      <c r="U278" s="304"/>
    </row>
    <row r="279" spans="1:21" s="305" customFormat="1" ht="14.45" hidden="1" customHeight="1" outlineLevel="1" x14ac:dyDescent="0.25">
      <c r="A279" s="331">
        <v>3.25</v>
      </c>
      <c r="B279" s="279" t="str">
        <f t="shared" si="119"/>
        <v>48.3x2.9CHS</v>
      </c>
      <c r="C279" s="323" t="s">
        <v>1245</v>
      </c>
      <c r="D279" s="323"/>
      <c r="E279" s="278" t="s">
        <v>1054</v>
      </c>
      <c r="F279" s="278"/>
      <c r="G279" s="278" t="s">
        <v>15</v>
      </c>
      <c r="H279" s="328">
        <f t="shared" si="100"/>
        <v>4.5499999999999999E-2</v>
      </c>
      <c r="I279" s="280">
        <f t="shared" si="120"/>
        <v>3.6682100000000002</v>
      </c>
      <c r="J279" s="281">
        <f t="shared" si="121"/>
        <v>4.1600650000000003</v>
      </c>
      <c r="K279" s="282">
        <f>IF(Notes!$B$9="Domestic",I279, IF(Notes!$B$9="Commercial",J279))*$K$261</f>
        <v>4.1600650000000003</v>
      </c>
      <c r="L279" s="283">
        <f>(SUM(O279:Q279)+(K279+SUM(M279:Q279))*(INDEX($U$261:$AB$261,MATCH(Notes!$C$16,$U$3:$AB$3,0))-100%))*$L$261</f>
        <v>22.828487500000001</v>
      </c>
      <c r="M279" s="286"/>
      <c r="N279" s="286"/>
      <c r="O279" s="311">
        <f t="shared" si="103"/>
        <v>8.6449999999999996</v>
      </c>
      <c r="P279" s="311">
        <f t="shared" si="103"/>
        <v>14.1834875</v>
      </c>
      <c r="Q279" s="285"/>
      <c r="R279" s="278"/>
      <c r="S279" s="278"/>
      <c r="T279" s="278"/>
      <c r="U279" s="304"/>
    </row>
    <row r="280" spans="1:21" s="305" customFormat="1" ht="14.45" hidden="1" customHeight="1" outlineLevel="1" x14ac:dyDescent="0.25">
      <c r="A280" s="331">
        <v>3.5</v>
      </c>
      <c r="B280" s="279" t="str">
        <f t="shared" si="107"/>
        <v>48.3x3.2CHS</v>
      </c>
      <c r="C280" s="323" t="s">
        <v>1246</v>
      </c>
      <c r="D280" s="323"/>
      <c r="E280" s="278" t="s">
        <v>1054</v>
      </c>
      <c r="F280" s="278"/>
      <c r="G280" s="278" t="s">
        <v>15</v>
      </c>
      <c r="H280" s="328">
        <f t="shared" si="100"/>
        <v>4.9000000000000002E-2</v>
      </c>
      <c r="I280" s="280">
        <f t="shared" si="108"/>
        <v>3.9503800000000004</v>
      </c>
      <c r="J280" s="281">
        <f t="shared" si="109"/>
        <v>4.4800700000000004</v>
      </c>
      <c r="K280" s="282">
        <f>IF(Notes!$B$9="Domestic",I280, IF(Notes!$B$9="Commercial",J280))*$K$261</f>
        <v>4.4800700000000004</v>
      </c>
      <c r="L280" s="283">
        <f>(SUM(O280:Q280)+(K280+SUM(M280:Q280))*(INDEX($U$261:$AB$261,MATCH(Notes!$C$16,$U$3:$AB$3,0))-100%))*$L$261</f>
        <v>24.584524999999999</v>
      </c>
      <c r="M280" s="286"/>
      <c r="N280" s="286"/>
      <c r="O280" s="311">
        <f t="shared" si="103"/>
        <v>9.31</v>
      </c>
      <c r="P280" s="311">
        <f t="shared" si="103"/>
        <v>15.274524999999997</v>
      </c>
      <c r="Q280" s="285"/>
      <c r="R280" s="278"/>
      <c r="S280" s="278"/>
      <c r="T280" s="278"/>
      <c r="U280" s="304"/>
    </row>
    <row r="281" spans="1:21" s="305" customFormat="1" ht="14.45" hidden="1" customHeight="1" outlineLevel="1" x14ac:dyDescent="0.25">
      <c r="A281" s="331">
        <v>3.87</v>
      </c>
      <c r="B281" s="279" t="str">
        <f t="shared" ref="B281" si="122">C281&amp;D281&amp;E281&amp;F281</f>
        <v>48.3x3.5CHS</v>
      </c>
      <c r="C281" s="323" t="s">
        <v>1247</v>
      </c>
      <c r="D281" s="323"/>
      <c r="E281" s="278" t="s">
        <v>1054</v>
      </c>
      <c r="F281" s="278"/>
      <c r="G281" s="278" t="s">
        <v>15</v>
      </c>
      <c r="H281" s="328">
        <f t="shared" si="100"/>
        <v>5.4179999999999999E-2</v>
      </c>
      <c r="I281" s="280">
        <f t="shared" ref="I281" si="123">$I$2*H281</f>
        <v>4.3679915999999999</v>
      </c>
      <c r="J281" s="281">
        <f t="shared" ref="J281" si="124">$J$2*H281</f>
        <v>4.9536774000000001</v>
      </c>
      <c r="K281" s="282">
        <f>IF(Notes!$B$9="Domestic",I281, IF(Notes!$B$9="Commercial",J281))*$K$261</f>
        <v>4.9536774000000001</v>
      </c>
      <c r="L281" s="283">
        <f>(SUM(O281:Q281)+(K281+SUM(M281:Q281))*(INDEX($U$261:$AB$261,MATCH(Notes!$C$16,$U$3:$AB$3,0))-100%))*$L$261</f>
        <v>27.183460499999999</v>
      </c>
      <c r="M281" s="286"/>
      <c r="N281" s="286"/>
      <c r="O281" s="311">
        <f t="shared" si="103"/>
        <v>10.2942</v>
      </c>
      <c r="P281" s="311">
        <f t="shared" si="103"/>
        <v>16.889260499999999</v>
      </c>
      <c r="Q281" s="285"/>
      <c r="R281" s="278"/>
      <c r="S281" s="278"/>
      <c r="T281" s="278"/>
      <c r="U281" s="304"/>
    </row>
    <row r="282" spans="1:21" s="305" customFormat="1" ht="14.45" hidden="1" customHeight="1" outlineLevel="1" x14ac:dyDescent="0.25">
      <c r="A282" s="331">
        <v>4.37</v>
      </c>
      <c r="B282" s="279" t="str">
        <f t="shared" si="107"/>
        <v>48.3x4CHS</v>
      </c>
      <c r="C282" s="323" t="s">
        <v>1248</v>
      </c>
      <c r="D282" s="323"/>
      <c r="E282" s="278" t="s">
        <v>1054</v>
      </c>
      <c r="F282" s="278"/>
      <c r="G282" s="278" t="s">
        <v>15</v>
      </c>
      <c r="H282" s="328">
        <f t="shared" si="100"/>
        <v>6.1179999999999998E-2</v>
      </c>
      <c r="I282" s="280">
        <f t="shared" si="108"/>
        <v>4.9323316000000004</v>
      </c>
      <c r="J282" s="281">
        <f t="shared" si="109"/>
        <v>5.5936874000000003</v>
      </c>
      <c r="K282" s="282">
        <f>IF(Notes!$B$9="Domestic",I282, IF(Notes!$B$9="Commercial",J282))*$K$261</f>
        <v>5.5936874000000003</v>
      </c>
      <c r="L282" s="283">
        <f>(SUM(O282:Q282)+(K282+SUM(M282:Q282))*(INDEX($U$261:$AB$261,MATCH(Notes!$C$16,$U$3:$AB$3,0))-100%))*$L$261</f>
        <v>30.695535499999998</v>
      </c>
      <c r="M282" s="286"/>
      <c r="N282" s="286"/>
      <c r="O282" s="311">
        <f t="shared" si="103"/>
        <v>11.6242</v>
      </c>
      <c r="P282" s="311">
        <f t="shared" si="103"/>
        <v>19.071335499999996</v>
      </c>
      <c r="Q282" s="285"/>
      <c r="R282" s="278"/>
      <c r="S282" s="278"/>
      <c r="T282" s="278"/>
      <c r="U282" s="304"/>
    </row>
    <row r="283" spans="1:21" s="305" customFormat="1" ht="14.45" hidden="1" customHeight="1" outlineLevel="1" x14ac:dyDescent="0.25">
      <c r="A283" s="331">
        <v>5.71</v>
      </c>
      <c r="B283" s="279" t="str">
        <f t="shared" si="107"/>
        <v>48.3x4.9CHS</v>
      </c>
      <c r="C283" s="323" t="s">
        <v>1249</v>
      </c>
      <c r="D283" s="323"/>
      <c r="E283" s="278" t="s">
        <v>1054</v>
      </c>
      <c r="F283" s="278"/>
      <c r="G283" s="278" t="s">
        <v>15</v>
      </c>
      <c r="H283" s="328">
        <f t="shared" si="100"/>
        <v>7.9939999999999997E-2</v>
      </c>
      <c r="I283" s="280">
        <f t="shared" si="108"/>
        <v>6.4447628000000003</v>
      </c>
      <c r="J283" s="281">
        <f t="shared" si="109"/>
        <v>7.3089142000000002</v>
      </c>
      <c r="K283" s="282">
        <f>IF(Notes!$B$9="Domestic",I283, IF(Notes!$B$9="Commercial",J283))*$K$261</f>
        <v>7.3089142000000002</v>
      </c>
      <c r="L283" s="283">
        <f>(SUM(O283:Q283)+(K283+SUM(M283:Q283))*(INDEX($U$261:$AB$261,MATCH(Notes!$C$16,$U$3:$AB$3,0))-100%))*$L$261</f>
        <v>40.107896499999995</v>
      </c>
      <c r="M283" s="286"/>
      <c r="N283" s="286"/>
      <c r="O283" s="311">
        <f t="shared" si="103"/>
        <v>15.188600000000001</v>
      </c>
      <c r="P283" s="311">
        <f t="shared" si="103"/>
        <v>24.919296499999998</v>
      </c>
      <c r="Q283" s="285"/>
      <c r="R283" s="278"/>
      <c r="S283" s="278"/>
      <c r="T283" s="278"/>
      <c r="U283" s="304"/>
    </row>
    <row r="284" spans="1:21" s="305" customFormat="1" ht="14.45" hidden="1" customHeight="1" outlineLevel="1" x14ac:dyDescent="0.25">
      <c r="A284" s="331">
        <v>3.29</v>
      </c>
      <c r="B284" s="279" t="str">
        <f t="shared" ref="B284:B286" si="125">C284&amp;D284&amp;E284&amp;F284</f>
        <v>60.3x2.3CHS</v>
      </c>
      <c r="C284" s="323" t="s">
        <v>1250</v>
      </c>
      <c r="D284" s="323"/>
      <c r="E284" s="278" t="s">
        <v>1054</v>
      </c>
      <c r="F284" s="278"/>
      <c r="G284" s="278" t="s">
        <v>15</v>
      </c>
      <c r="H284" s="328">
        <f t="shared" si="100"/>
        <v>4.6060000000000004E-2</v>
      </c>
      <c r="I284" s="280">
        <f t="shared" ref="I284:I286" si="126">$I$2*H284</f>
        <v>3.7133572000000004</v>
      </c>
      <c r="J284" s="281">
        <f t="shared" ref="J284:J286" si="127">$J$2*H284</f>
        <v>4.2112658000000005</v>
      </c>
      <c r="K284" s="282">
        <f>IF(Notes!$B$9="Domestic",I284, IF(Notes!$B$9="Commercial",J284))*$K$261</f>
        <v>4.2112658000000005</v>
      </c>
      <c r="L284" s="283">
        <f>(SUM(O284:Q284)+(K284+SUM(M284:Q284))*(INDEX($U$261:$AB$261,MATCH(Notes!$C$16,$U$3:$AB$3,0))-100%))*$L$261</f>
        <v>23.109453500000001</v>
      </c>
      <c r="M284" s="286"/>
      <c r="N284" s="286"/>
      <c r="O284" s="311">
        <f t="shared" si="103"/>
        <v>8.7514000000000003</v>
      </c>
      <c r="P284" s="311">
        <f t="shared" si="103"/>
        <v>14.358053499999999</v>
      </c>
      <c r="Q284" s="285"/>
      <c r="R284" s="278"/>
      <c r="S284" s="278"/>
      <c r="T284" s="278"/>
      <c r="U284" s="304"/>
    </row>
    <row r="285" spans="1:21" s="305" customFormat="1" ht="14.45" hidden="1" customHeight="1" outlineLevel="1" x14ac:dyDescent="0.25">
      <c r="A285" s="331">
        <v>4.1100000000000003</v>
      </c>
      <c r="B285" s="279" t="str">
        <f t="shared" si="125"/>
        <v>60.3x2.9CHS</v>
      </c>
      <c r="C285" s="323" t="s">
        <v>1251</v>
      </c>
      <c r="D285" s="323"/>
      <c r="E285" s="278" t="s">
        <v>1054</v>
      </c>
      <c r="F285" s="278"/>
      <c r="G285" s="278" t="s">
        <v>15</v>
      </c>
      <c r="H285" s="328">
        <f t="shared" si="100"/>
        <v>5.7540000000000008E-2</v>
      </c>
      <c r="I285" s="280">
        <f t="shared" si="126"/>
        <v>4.6388748000000009</v>
      </c>
      <c r="J285" s="281">
        <f t="shared" si="127"/>
        <v>5.2608822000000011</v>
      </c>
      <c r="K285" s="282">
        <f>IF(Notes!$B$9="Domestic",I285, IF(Notes!$B$9="Commercial",J285))*$K$261</f>
        <v>5.2608822000000011</v>
      </c>
      <c r="L285" s="283">
        <f>(SUM(O285:Q285)+(K285+SUM(M285:Q285))*(INDEX($U$261:$AB$261,MATCH(Notes!$C$16,$U$3:$AB$3,0))-100%))*$L$261</f>
        <v>28.869256500000002</v>
      </c>
      <c r="M285" s="286"/>
      <c r="N285" s="286"/>
      <c r="O285" s="311">
        <f t="shared" si="103"/>
        <v>10.932600000000001</v>
      </c>
      <c r="P285" s="311">
        <f t="shared" si="103"/>
        <v>17.936656500000002</v>
      </c>
      <c r="Q285" s="285"/>
      <c r="R285" s="278"/>
      <c r="S285" s="278"/>
      <c r="T285" s="278"/>
      <c r="U285" s="304"/>
    </row>
    <row r="286" spans="1:21" s="305" customFormat="1" ht="14.45" hidden="1" customHeight="1" outlineLevel="1" x14ac:dyDescent="0.25">
      <c r="A286" s="331">
        <v>4.9000000000000004</v>
      </c>
      <c r="B286" s="279" t="str">
        <f t="shared" si="125"/>
        <v>60.3x3.5CHS</v>
      </c>
      <c r="C286" s="323" t="s">
        <v>1252</v>
      </c>
      <c r="D286" s="323"/>
      <c r="E286" s="278" t="s">
        <v>1054</v>
      </c>
      <c r="F286" s="278"/>
      <c r="G286" s="278" t="s">
        <v>15</v>
      </c>
      <c r="H286" s="328">
        <f t="shared" si="100"/>
        <v>6.8600000000000008E-2</v>
      </c>
      <c r="I286" s="280">
        <f t="shared" si="126"/>
        <v>5.5305320000000009</v>
      </c>
      <c r="J286" s="281">
        <f t="shared" si="127"/>
        <v>6.2720980000000015</v>
      </c>
      <c r="K286" s="282">
        <f>IF(Notes!$B$9="Domestic",I286, IF(Notes!$B$9="Commercial",J286))*$K$261</f>
        <v>6.2720980000000015</v>
      </c>
      <c r="L286" s="283">
        <f>(SUM(O286:Q286)+(K286+SUM(M286:Q286))*(INDEX($U$261:$AB$261,MATCH(Notes!$C$16,$U$3:$AB$3,0))-100%))*$L$261</f>
        <v>34.418334999999999</v>
      </c>
      <c r="M286" s="286"/>
      <c r="N286" s="286"/>
      <c r="O286" s="311">
        <f t="shared" si="103"/>
        <v>13.034000000000002</v>
      </c>
      <c r="P286" s="311">
        <f t="shared" si="103"/>
        <v>21.384335</v>
      </c>
      <c r="Q286" s="285"/>
      <c r="R286" s="278"/>
      <c r="S286" s="278"/>
      <c r="T286" s="278"/>
      <c r="U286" s="304"/>
    </row>
    <row r="287" spans="1:21" s="305" customFormat="1" ht="14.45" hidden="1" customHeight="1" outlineLevel="1" x14ac:dyDescent="0.25">
      <c r="A287" s="331">
        <v>5.03</v>
      </c>
      <c r="B287" s="279" t="str">
        <f t="shared" si="107"/>
        <v>60.3x3.6CHS</v>
      </c>
      <c r="C287" s="323" t="s">
        <v>1253</v>
      </c>
      <c r="D287" s="323"/>
      <c r="E287" s="278" t="s">
        <v>1054</v>
      </c>
      <c r="F287" s="278"/>
      <c r="G287" s="278" t="s">
        <v>15</v>
      </c>
      <c r="H287" s="328">
        <f t="shared" si="100"/>
        <v>7.0419999999999996E-2</v>
      </c>
      <c r="I287" s="280">
        <f t="shared" si="108"/>
        <v>5.6772603999999998</v>
      </c>
      <c r="J287" s="281">
        <f t="shared" si="109"/>
        <v>6.4385006000000002</v>
      </c>
      <c r="K287" s="282">
        <f>IF(Notes!$B$9="Domestic",I287, IF(Notes!$B$9="Commercial",J287))*$K$261</f>
        <v>6.4385006000000002</v>
      </c>
      <c r="L287" s="283">
        <f>(SUM(O287:Q287)+(K287+SUM(M287:Q287))*(INDEX($U$261:$AB$261,MATCH(Notes!$C$16,$U$3:$AB$3,0))-100%))*$L$261</f>
        <v>35.331474499999999</v>
      </c>
      <c r="M287" s="286"/>
      <c r="N287" s="286"/>
      <c r="O287" s="311">
        <f t="shared" si="103"/>
        <v>13.379800000000001</v>
      </c>
      <c r="P287" s="311">
        <f t="shared" si="103"/>
        <v>21.951674499999999</v>
      </c>
      <c r="Q287" s="285"/>
      <c r="R287" s="278"/>
      <c r="S287" s="278"/>
      <c r="T287" s="278"/>
      <c r="U287" s="304"/>
    </row>
    <row r="288" spans="1:21" s="305" customFormat="1" ht="14.45" hidden="1" customHeight="1" outlineLevel="1" x14ac:dyDescent="0.25">
      <c r="A288" s="331">
        <v>6.19</v>
      </c>
      <c r="B288" s="279" t="str">
        <f t="shared" si="107"/>
        <v>60.3x4.5CHS</v>
      </c>
      <c r="C288" s="323" t="s">
        <v>1254</v>
      </c>
      <c r="D288" s="323"/>
      <c r="E288" s="278" t="s">
        <v>1054</v>
      </c>
      <c r="F288" s="278"/>
      <c r="G288" s="278" t="s">
        <v>15</v>
      </c>
      <c r="H288" s="328">
        <f t="shared" si="100"/>
        <v>8.6660000000000015E-2</v>
      </c>
      <c r="I288" s="280">
        <f t="shared" si="108"/>
        <v>6.9865292000000014</v>
      </c>
      <c r="J288" s="281">
        <f t="shared" si="109"/>
        <v>7.9233238000000021</v>
      </c>
      <c r="K288" s="282">
        <f>IF(Notes!$B$9="Domestic",I288, IF(Notes!$B$9="Commercial",J288))*$K$261</f>
        <v>7.9233238000000021</v>
      </c>
      <c r="L288" s="283">
        <f>(SUM(O288:Q288)+(K288+SUM(M288:Q288))*(INDEX($U$261:$AB$261,MATCH(Notes!$C$16,$U$3:$AB$3,0))-100%))*$L$261</f>
        <v>43.479488500000002</v>
      </c>
      <c r="M288" s="286"/>
      <c r="N288" s="286"/>
      <c r="O288" s="311">
        <f t="shared" si="103"/>
        <v>16.465400000000002</v>
      </c>
      <c r="P288" s="311">
        <f t="shared" si="103"/>
        <v>27.0140885</v>
      </c>
      <c r="Q288" s="285"/>
      <c r="R288" s="278"/>
      <c r="S288" s="278"/>
      <c r="T288" s="278"/>
      <c r="U288" s="304"/>
    </row>
    <row r="289" spans="1:21" s="305" customFormat="1" ht="14.45" hidden="1" customHeight="1" outlineLevel="1" x14ac:dyDescent="0.25">
      <c r="A289" s="331">
        <v>7.31</v>
      </c>
      <c r="B289" s="279" t="str">
        <f t="shared" si="107"/>
        <v>60.3x5.4CHS</v>
      </c>
      <c r="C289" s="323" t="s">
        <v>1255</v>
      </c>
      <c r="D289" s="323"/>
      <c r="E289" s="278" t="s">
        <v>1054</v>
      </c>
      <c r="F289" s="278"/>
      <c r="G289" s="278" t="s">
        <v>15</v>
      </c>
      <c r="H289" s="328">
        <f t="shared" si="100"/>
        <v>0.10233999999999999</v>
      </c>
      <c r="I289" s="280">
        <f t="shared" si="108"/>
        <v>8.250650799999999</v>
      </c>
      <c r="J289" s="281">
        <f t="shared" si="109"/>
        <v>9.3569461999999994</v>
      </c>
      <c r="K289" s="282">
        <f>IF(Notes!$B$9="Domestic",I289, IF(Notes!$B$9="Commercial",J289))*$K$261</f>
        <v>9.3569461999999994</v>
      </c>
      <c r="L289" s="283">
        <f>(SUM(O289:Q289)+(K289+SUM(M289:Q289))*(INDEX($U$261:$AB$261,MATCH(Notes!$C$16,$U$3:$AB$3,0))-100%))*$L$261</f>
        <v>51.346536499999999</v>
      </c>
      <c r="M289" s="286"/>
      <c r="N289" s="286"/>
      <c r="O289" s="311">
        <f t="shared" si="103"/>
        <v>19.444599999999998</v>
      </c>
      <c r="P289" s="311">
        <f t="shared" si="103"/>
        <v>31.901936499999998</v>
      </c>
      <c r="Q289" s="285"/>
      <c r="R289" s="278"/>
      <c r="S289" s="278"/>
      <c r="T289" s="278"/>
      <c r="U289" s="304"/>
    </row>
    <row r="290" spans="1:21" s="305" customFormat="1" ht="14.45" hidden="1" customHeight="1" outlineLevel="1" x14ac:dyDescent="0.25">
      <c r="A290" s="331">
        <v>4.1900000000000004</v>
      </c>
      <c r="B290" s="279" t="str">
        <f t="shared" ref="B290:B291" si="128">C290&amp;D290&amp;E290&amp;F290</f>
        <v>76.1x2.3CHS</v>
      </c>
      <c r="C290" s="323" t="s">
        <v>1256</v>
      </c>
      <c r="D290" s="323"/>
      <c r="E290" s="278" t="s">
        <v>1054</v>
      </c>
      <c r="F290" s="278"/>
      <c r="G290" s="278" t="s">
        <v>15</v>
      </c>
      <c r="H290" s="328">
        <f t="shared" si="100"/>
        <v>5.8660000000000004E-2</v>
      </c>
      <c r="I290" s="280">
        <f t="shared" ref="I290:I291" si="129">$I$2*H290</f>
        <v>4.7291692000000003</v>
      </c>
      <c r="J290" s="281">
        <f t="shared" ref="J290:J291" si="130">$J$2*H290</f>
        <v>5.3632838000000005</v>
      </c>
      <c r="K290" s="282">
        <f>IF(Notes!$B$9="Domestic",I290, IF(Notes!$B$9="Commercial",J290))*$K$261</f>
        <v>5.3632838000000005</v>
      </c>
      <c r="L290" s="283">
        <f>(SUM(O290:Q290)+(K290+SUM(M290:Q290))*(INDEX($U$261:$AB$261,MATCH(Notes!$C$16,$U$3:$AB$3,0))-100%))*$L$261</f>
        <v>29.431188500000001</v>
      </c>
      <c r="M290" s="286"/>
      <c r="N290" s="286"/>
      <c r="O290" s="311">
        <f t="shared" si="103"/>
        <v>11.145400000000002</v>
      </c>
      <c r="P290" s="311">
        <f t="shared" si="103"/>
        <v>18.285788499999999</v>
      </c>
      <c r="Q290" s="285"/>
      <c r="R290" s="278"/>
      <c r="S290" s="278"/>
      <c r="T290" s="278"/>
      <c r="U290" s="304"/>
    </row>
    <row r="291" spans="1:21" s="305" customFormat="1" ht="14.45" hidden="1" customHeight="1" outlineLevel="1" x14ac:dyDescent="0.25">
      <c r="A291" s="331">
        <v>5.75</v>
      </c>
      <c r="B291" s="279" t="str">
        <f t="shared" si="128"/>
        <v>76.1x3.2CHS</v>
      </c>
      <c r="C291" s="323" t="s">
        <v>1257</v>
      </c>
      <c r="D291" s="323"/>
      <c r="E291" s="278" t="s">
        <v>1054</v>
      </c>
      <c r="F291" s="278"/>
      <c r="G291" s="278" t="s">
        <v>15</v>
      </c>
      <c r="H291" s="328">
        <f t="shared" si="100"/>
        <v>8.0500000000000002E-2</v>
      </c>
      <c r="I291" s="280">
        <f t="shared" si="129"/>
        <v>6.489910000000001</v>
      </c>
      <c r="J291" s="281">
        <f t="shared" si="130"/>
        <v>7.3601150000000004</v>
      </c>
      <c r="K291" s="282">
        <f>IF(Notes!$B$9="Domestic",I291, IF(Notes!$B$9="Commercial",J291))*$K$261</f>
        <v>7.3601150000000004</v>
      </c>
      <c r="L291" s="283">
        <f>(SUM(O291:Q291)+(K291+SUM(M291:Q291))*(INDEX($U$261:$AB$261,MATCH(Notes!$C$16,$U$3:$AB$3,0))-100%))*$L$261</f>
        <v>40.388862500000002</v>
      </c>
      <c r="M291" s="286"/>
      <c r="N291" s="286"/>
      <c r="O291" s="311">
        <f t="shared" si="103"/>
        <v>15.295</v>
      </c>
      <c r="P291" s="311">
        <f t="shared" si="103"/>
        <v>25.0938625</v>
      </c>
      <c r="Q291" s="285"/>
      <c r="R291" s="278"/>
      <c r="S291" s="278"/>
      <c r="T291" s="278"/>
      <c r="U291" s="304"/>
    </row>
    <row r="292" spans="1:21" s="305" customFormat="1" ht="14.45" hidden="1" customHeight="1" outlineLevel="1" x14ac:dyDescent="0.25">
      <c r="A292" s="331">
        <v>6.44</v>
      </c>
      <c r="B292" s="279" t="str">
        <f t="shared" si="107"/>
        <v>76.1x3.6CHS</v>
      </c>
      <c r="C292" s="323" t="s">
        <v>1258</v>
      </c>
      <c r="D292" s="323"/>
      <c r="E292" s="278" t="s">
        <v>1054</v>
      </c>
      <c r="F292" s="278"/>
      <c r="G292" s="278" t="s">
        <v>15</v>
      </c>
      <c r="H292" s="328">
        <f t="shared" si="100"/>
        <v>9.0160000000000004E-2</v>
      </c>
      <c r="I292" s="280">
        <f t="shared" si="108"/>
        <v>7.2686992000000004</v>
      </c>
      <c r="J292" s="281">
        <f t="shared" si="109"/>
        <v>8.2433288000000005</v>
      </c>
      <c r="K292" s="282">
        <f>IF(Notes!$B$9="Domestic",I292, IF(Notes!$B$9="Commercial",J292))*$K$261</f>
        <v>8.2433288000000005</v>
      </c>
      <c r="L292" s="283">
        <f>(SUM(O292:Q292)+(K292+SUM(M292:Q292))*(INDEX($U$261:$AB$261,MATCH(Notes!$C$16,$U$3:$AB$3,0))-100%))*$L$261</f>
        <v>45.235526</v>
      </c>
      <c r="M292" s="286"/>
      <c r="N292" s="286"/>
      <c r="O292" s="311">
        <f t="shared" si="103"/>
        <v>17.130400000000002</v>
      </c>
      <c r="P292" s="311">
        <f t="shared" si="103"/>
        <v>28.105125999999998</v>
      </c>
      <c r="Q292" s="285"/>
      <c r="R292" s="278"/>
      <c r="S292" s="278"/>
      <c r="T292" s="278"/>
      <c r="U292" s="304"/>
    </row>
    <row r="293" spans="1:21" s="305" customFormat="1" ht="14.45" hidden="1" customHeight="1" outlineLevel="1" x14ac:dyDescent="0.25">
      <c r="A293" s="331">
        <v>7.95</v>
      </c>
      <c r="B293" s="279" t="str">
        <f t="shared" si="107"/>
        <v>76.1x4.5CHS</v>
      </c>
      <c r="C293" s="323" t="s">
        <v>1259</v>
      </c>
      <c r="D293" s="323"/>
      <c r="E293" s="278" t="s">
        <v>1054</v>
      </c>
      <c r="F293" s="278"/>
      <c r="G293" s="278" t="s">
        <v>15</v>
      </c>
      <c r="H293" s="328">
        <f t="shared" si="100"/>
        <v>0.1113</v>
      </c>
      <c r="I293" s="280">
        <f t="shared" si="108"/>
        <v>8.9730059999999998</v>
      </c>
      <c r="J293" s="281">
        <f t="shared" si="109"/>
        <v>10.176159</v>
      </c>
      <c r="K293" s="282">
        <f>IF(Notes!$B$9="Domestic",I293, IF(Notes!$B$9="Commercial",J293))*$K$261</f>
        <v>10.176159</v>
      </c>
      <c r="L293" s="283">
        <f>(SUM(O293:Q293)+(K293+SUM(M293:Q293))*(INDEX($U$261:$AB$261,MATCH(Notes!$C$16,$U$3:$AB$3,0))-100%))*$L$261</f>
        <v>55.841992499999996</v>
      </c>
      <c r="M293" s="286"/>
      <c r="N293" s="286"/>
      <c r="O293" s="311">
        <f t="shared" si="103"/>
        <v>21.146999999999998</v>
      </c>
      <c r="P293" s="311">
        <f t="shared" si="103"/>
        <v>34.694992499999998</v>
      </c>
      <c r="Q293" s="285"/>
      <c r="R293" s="278"/>
      <c r="S293" s="278"/>
      <c r="T293" s="278"/>
      <c r="U293" s="304"/>
    </row>
    <row r="294" spans="1:21" s="305" customFormat="1" ht="14.45" hidden="1" customHeight="1" outlineLevel="1" x14ac:dyDescent="0.25">
      <c r="A294" s="331">
        <v>10.199999999999999</v>
      </c>
      <c r="B294" s="279" t="str">
        <f t="shared" si="107"/>
        <v>76.1x5.9CHS</v>
      </c>
      <c r="C294" s="323" t="s">
        <v>1260</v>
      </c>
      <c r="D294" s="323"/>
      <c r="E294" s="278" t="s">
        <v>1054</v>
      </c>
      <c r="F294" s="278"/>
      <c r="G294" s="278" t="s">
        <v>15</v>
      </c>
      <c r="H294" s="328">
        <f t="shared" si="100"/>
        <v>0.14279999999999998</v>
      </c>
      <c r="I294" s="280">
        <f t="shared" si="108"/>
        <v>11.512535999999999</v>
      </c>
      <c r="J294" s="281">
        <f t="shared" si="109"/>
        <v>13.056203999999999</v>
      </c>
      <c r="K294" s="282">
        <f>IF(Notes!$B$9="Domestic",I294, IF(Notes!$B$9="Commercial",J294))*$K$261</f>
        <v>13.056203999999999</v>
      </c>
      <c r="L294" s="283">
        <f>(SUM(O294:Q294)+(K294+SUM(M294:Q294))*(INDEX($U$261:$AB$261,MATCH(Notes!$C$16,$U$3:$AB$3,0))-100%))*$L$261</f>
        <v>71.646329999999992</v>
      </c>
      <c r="M294" s="286"/>
      <c r="N294" s="286"/>
      <c r="O294" s="311">
        <f t="shared" si="103"/>
        <v>27.131999999999998</v>
      </c>
      <c r="P294" s="311">
        <f t="shared" si="103"/>
        <v>44.514329999999994</v>
      </c>
      <c r="Q294" s="285"/>
      <c r="R294" s="278"/>
      <c r="S294" s="278"/>
      <c r="T294" s="278"/>
      <c r="U294" s="304"/>
    </row>
    <row r="295" spans="1:21" s="305" customFormat="1" ht="14.45" hidden="1" customHeight="1" outlineLevel="1" x14ac:dyDescent="0.25">
      <c r="A295" s="331">
        <v>5.53</v>
      </c>
      <c r="B295" s="279" t="str">
        <f t="shared" ref="B295:B296" si="131">C295&amp;D295&amp;E295&amp;F295</f>
        <v>88.9x2.6CHS</v>
      </c>
      <c r="C295" s="323" t="s">
        <v>1261</v>
      </c>
      <c r="D295" s="323"/>
      <c r="E295" s="278" t="s">
        <v>1054</v>
      </c>
      <c r="F295" s="278"/>
      <c r="G295" s="278" t="s">
        <v>15</v>
      </c>
      <c r="H295" s="328">
        <f t="shared" si="100"/>
        <v>7.7420000000000003E-2</v>
      </c>
      <c r="I295" s="280">
        <f t="shared" ref="I295:I296" si="132">$I$2*H295</f>
        <v>6.2416004000000003</v>
      </c>
      <c r="J295" s="281">
        <f t="shared" ref="J295:J296" si="133">$J$2*H295</f>
        <v>7.0785106000000004</v>
      </c>
      <c r="K295" s="282">
        <f>IF(Notes!$B$9="Domestic",I295, IF(Notes!$B$9="Commercial",J295))*$K$261</f>
        <v>7.0785106000000004</v>
      </c>
      <c r="L295" s="283">
        <f>(SUM(O295:Q295)+(K295+SUM(M295:Q295))*(INDEX($U$261:$AB$261,MATCH(Notes!$C$16,$U$3:$AB$3,0))-100%))*$L$261</f>
        <v>38.843549499999995</v>
      </c>
      <c r="M295" s="286"/>
      <c r="N295" s="286"/>
      <c r="O295" s="311">
        <f t="shared" ref="O295:P326" si="134">O$261*$A295/1000</f>
        <v>14.709800000000001</v>
      </c>
      <c r="P295" s="311">
        <f t="shared" si="134"/>
        <v>24.133749499999997</v>
      </c>
      <c r="Q295" s="285"/>
      <c r="R295" s="278"/>
      <c r="S295" s="278"/>
      <c r="T295" s="278"/>
      <c r="U295" s="304"/>
    </row>
    <row r="296" spans="1:21" s="305" customFormat="1" ht="14.45" hidden="1" customHeight="1" outlineLevel="1" x14ac:dyDescent="0.25">
      <c r="A296" s="331">
        <v>6.76</v>
      </c>
      <c r="B296" s="279" t="str">
        <f t="shared" si="131"/>
        <v>88.9x3.2CHS</v>
      </c>
      <c r="C296" s="323" t="s">
        <v>1262</v>
      </c>
      <c r="D296" s="323"/>
      <c r="E296" s="278" t="s">
        <v>1054</v>
      </c>
      <c r="F296" s="278"/>
      <c r="G296" s="278" t="s">
        <v>15</v>
      </c>
      <c r="H296" s="328">
        <f t="shared" si="100"/>
        <v>9.4640000000000002E-2</v>
      </c>
      <c r="I296" s="280">
        <f t="shared" si="132"/>
        <v>7.6298768000000008</v>
      </c>
      <c r="J296" s="281">
        <f t="shared" si="133"/>
        <v>8.6529351999999999</v>
      </c>
      <c r="K296" s="282">
        <f>IF(Notes!$B$9="Domestic",I296, IF(Notes!$B$9="Commercial",J296))*$K$261</f>
        <v>8.6529351999999999</v>
      </c>
      <c r="L296" s="283">
        <f>(SUM(O296:Q296)+(K296+SUM(M296:Q296))*(INDEX($U$261:$AB$261,MATCH(Notes!$C$16,$U$3:$AB$3,0))-100%))*$L$261</f>
        <v>47.483253999999995</v>
      </c>
      <c r="M296" s="286"/>
      <c r="N296" s="286"/>
      <c r="O296" s="311">
        <f t="shared" si="134"/>
        <v>17.9816</v>
      </c>
      <c r="P296" s="311">
        <f t="shared" si="134"/>
        <v>29.501653999999995</v>
      </c>
      <c r="Q296" s="285"/>
      <c r="R296" s="278"/>
      <c r="S296" s="278"/>
      <c r="T296" s="278"/>
      <c r="U296" s="304"/>
    </row>
    <row r="297" spans="1:21" s="305" customFormat="1" ht="14.45" hidden="1" customHeight="1" outlineLevel="1" x14ac:dyDescent="0.25">
      <c r="A297" s="331">
        <v>8.3800000000000008</v>
      </c>
      <c r="B297" s="279" t="str">
        <f t="shared" si="107"/>
        <v>88.9x4CHS</v>
      </c>
      <c r="C297" s="323" t="s">
        <v>1263</v>
      </c>
      <c r="D297" s="323"/>
      <c r="E297" s="278" t="s">
        <v>1054</v>
      </c>
      <c r="F297" s="278"/>
      <c r="G297" s="278" t="s">
        <v>15</v>
      </c>
      <c r="H297" s="328">
        <f t="shared" si="100"/>
        <v>0.11732000000000001</v>
      </c>
      <c r="I297" s="280">
        <f t="shared" si="108"/>
        <v>9.4583384000000006</v>
      </c>
      <c r="J297" s="281">
        <f t="shared" si="109"/>
        <v>10.726567600000001</v>
      </c>
      <c r="K297" s="282">
        <f>IF(Notes!$B$9="Domestic",I297, IF(Notes!$B$9="Commercial",J297))*$K$261</f>
        <v>10.726567600000001</v>
      </c>
      <c r="L297" s="283">
        <f>(SUM(O297:Q297)+(K297+SUM(M297:Q297))*(INDEX($U$261:$AB$261,MATCH(Notes!$C$16,$U$3:$AB$3,0))-100%))*$L$261</f>
        <v>58.862377000000002</v>
      </c>
      <c r="M297" s="286"/>
      <c r="N297" s="286"/>
      <c r="O297" s="311">
        <f t="shared" si="134"/>
        <v>22.290800000000004</v>
      </c>
      <c r="P297" s="311">
        <f t="shared" si="134"/>
        <v>36.571576999999998</v>
      </c>
      <c r="Q297" s="285"/>
      <c r="R297" s="278"/>
      <c r="S297" s="278"/>
      <c r="T297" s="278"/>
      <c r="U297" s="304"/>
    </row>
    <row r="298" spans="1:21" s="305" customFormat="1" ht="14.45" hidden="1" customHeight="1" outlineLevel="1" x14ac:dyDescent="0.25">
      <c r="A298" s="331">
        <v>9.9600000000000009</v>
      </c>
      <c r="B298" s="279" t="str">
        <f t="shared" ref="B298" si="135">C298&amp;D298&amp;E298&amp;F298</f>
        <v>88.9x4.8CHS</v>
      </c>
      <c r="C298" s="323" t="s">
        <v>1264</v>
      </c>
      <c r="D298" s="323"/>
      <c r="E298" s="278" t="s">
        <v>1054</v>
      </c>
      <c r="F298" s="278"/>
      <c r="G298" s="278" t="s">
        <v>15</v>
      </c>
      <c r="H298" s="328">
        <f t="shared" si="100"/>
        <v>0.13944000000000001</v>
      </c>
      <c r="I298" s="280">
        <f t="shared" ref="I298" si="136">$I$2*H298</f>
        <v>11.241652800000001</v>
      </c>
      <c r="J298" s="281">
        <f t="shared" ref="J298" si="137">$J$2*H298</f>
        <v>12.748999200000002</v>
      </c>
      <c r="K298" s="282">
        <f>IF(Notes!$B$9="Domestic",I298, IF(Notes!$B$9="Commercial",J298))*$K$261</f>
        <v>12.748999200000002</v>
      </c>
      <c r="L298" s="283">
        <f>(SUM(O298:Q298)+(K298+SUM(M298:Q298))*(INDEX($U$261:$AB$261,MATCH(Notes!$C$16,$U$3:$AB$3,0))-100%))*$L$261</f>
        <v>69.960533999999996</v>
      </c>
      <c r="M298" s="286"/>
      <c r="N298" s="286"/>
      <c r="O298" s="311">
        <f t="shared" si="134"/>
        <v>26.493600000000001</v>
      </c>
      <c r="P298" s="311">
        <f t="shared" si="134"/>
        <v>43.466934000000002</v>
      </c>
      <c r="Q298" s="285"/>
      <c r="R298" s="278"/>
      <c r="S298" s="278"/>
      <c r="T298" s="278"/>
      <c r="U298" s="304"/>
    </row>
    <row r="299" spans="1:21" s="305" customFormat="1" ht="14.45" hidden="1" customHeight="1" outlineLevel="1" x14ac:dyDescent="0.25">
      <c r="A299" s="331">
        <v>10.3</v>
      </c>
      <c r="B299" s="279" t="str">
        <f t="shared" si="107"/>
        <v>88.9x5CHS</v>
      </c>
      <c r="C299" s="323" t="s">
        <v>1265</v>
      </c>
      <c r="D299" s="323"/>
      <c r="E299" s="278" t="s">
        <v>1054</v>
      </c>
      <c r="F299" s="278"/>
      <c r="G299" s="278" t="s">
        <v>15</v>
      </c>
      <c r="H299" s="328">
        <f t="shared" si="100"/>
        <v>0.14420000000000002</v>
      </c>
      <c r="I299" s="280">
        <f t="shared" si="108"/>
        <v>11.625404000000003</v>
      </c>
      <c r="J299" s="281">
        <f t="shared" si="109"/>
        <v>13.184206000000003</v>
      </c>
      <c r="K299" s="282">
        <f>IF(Notes!$B$9="Domestic",I299, IF(Notes!$B$9="Commercial",J299))*$K$261</f>
        <v>13.184206000000003</v>
      </c>
      <c r="L299" s="283">
        <f>(SUM(O299:Q299)+(K299+SUM(M299:Q299))*(INDEX($U$261:$AB$261,MATCH(Notes!$C$16,$U$3:$AB$3,0))-100%))*$L$261</f>
        <v>72.348745000000008</v>
      </c>
      <c r="M299" s="286"/>
      <c r="N299" s="286"/>
      <c r="O299" s="311">
        <f t="shared" si="134"/>
        <v>27.398000000000003</v>
      </c>
      <c r="P299" s="311">
        <f t="shared" si="134"/>
        <v>44.950745000000005</v>
      </c>
      <c r="Q299" s="285"/>
      <c r="R299" s="278"/>
      <c r="S299" s="278"/>
      <c r="T299" s="278"/>
      <c r="U299" s="304"/>
    </row>
    <row r="300" spans="1:21" s="305" customFormat="1" ht="14.45" hidden="1" customHeight="1" outlineLevel="1" x14ac:dyDescent="0.25">
      <c r="A300" s="331">
        <v>11.3</v>
      </c>
      <c r="B300" s="279" t="str">
        <f t="shared" ref="B300" si="138">C300&amp;D300&amp;E300&amp;F300</f>
        <v>88.9x5.5CHS</v>
      </c>
      <c r="C300" s="323" t="s">
        <v>1266</v>
      </c>
      <c r="D300" s="323"/>
      <c r="E300" s="278" t="s">
        <v>1054</v>
      </c>
      <c r="F300" s="278"/>
      <c r="G300" s="278" t="s">
        <v>15</v>
      </c>
      <c r="H300" s="328">
        <f t="shared" si="100"/>
        <v>0.15820000000000001</v>
      </c>
      <c r="I300" s="280">
        <f t="shared" ref="I300" si="139">$I$2*H300</f>
        <v>12.754084000000001</v>
      </c>
      <c r="J300" s="281">
        <f t="shared" ref="J300" si="140">$J$2*H300</f>
        <v>14.464226000000002</v>
      </c>
      <c r="K300" s="282">
        <f>IF(Notes!$B$9="Domestic",I300, IF(Notes!$B$9="Commercial",J300))*$K$261</f>
        <v>14.464226000000002</v>
      </c>
      <c r="L300" s="283">
        <f>(SUM(O300:Q300)+(K300+SUM(M300:Q300))*(INDEX($U$261:$AB$261,MATCH(Notes!$C$16,$U$3:$AB$3,0))-100%))*$L$261</f>
        <v>79.372895</v>
      </c>
      <c r="M300" s="286"/>
      <c r="N300" s="286"/>
      <c r="O300" s="311">
        <f t="shared" si="134"/>
        <v>30.058000000000003</v>
      </c>
      <c r="P300" s="311">
        <f t="shared" si="134"/>
        <v>49.314895</v>
      </c>
      <c r="Q300" s="285"/>
      <c r="R300" s="278"/>
      <c r="S300" s="278"/>
      <c r="T300" s="278"/>
      <c r="U300" s="304"/>
    </row>
    <row r="301" spans="1:21" s="305" customFormat="1" ht="14.45" hidden="1" customHeight="1" outlineLevel="1" x14ac:dyDescent="0.25">
      <c r="A301" s="331">
        <v>12.1</v>
      </c>
      <c r="B301" s="279" t="str">
        <f t="shared" si="107"/>
        <v>88.9x5.9CHS</v>
      </c>
      <c r="C301" s="323" t="s">
        <v>1267</v>
      </c>
      <c r="D301" s="323"/>
      <c r="E301" s="278" t="s">
        <v>1054</v>
      </c>
      <c r="F301" s="278"/>
      <c r="G301" s="278" t="s">
        <v>15</v>
      </c>
      <c r="H301" s="328">
        <f t="shared" si="100"/>
        <v>0.1694</v>
      </c>
      <c r="I301" s="280">
        <f t="shared" si="108"/>
        <v>13.657028</v>
      </c>
      <c r="J301" s="281">
        <f t="shared" si="109"/>
        <v>15.488242000000001</v>
      </c>
      <c r="K301" s="282">
        <f>IF(Notes!$B$9="Domestic",I301, IF(Notes!$B$9="Commercial",J301))*$K$261</f>
        <v>15.488242000000001</v>
      </c>
      <c r="L301" s="283">
        <f>(SUM(O301:Q301)+(K301+SUM(M301:Q301))*(INDEX($U$261:$AB$261,MATCH(Notes!$C$16,$U$3:$AB$3,0))-100%))*$L$261</f>
        <v>84.992214999999987</v>
      </c>
      <c r="M301" s="286"/>
      <c r="N301" s="286"/>
      <c r="O301" s="311">
        <f t="shared" si="134"/>
        <v>32.186</v>
      </c>
      <c r="P301" s="311">
        <f t="shared" si="134"/>
        <v>52.806214999999995</v>
      </c>
      <c r="Q301" s="285"/>
      <c r="R301" s="278"/>
      <c r="S301" s="278"/>
      <c r="T301" s="278"/>
      <c r="U301" s="304"/>
    </row>
    <row r="302" spans="1:21" s="305" customFormat="1" ht="14.45" hidden="1" customHeight="1" outlineLevel="1" x14ac:dyDescent="0.25">
      <c r="A302" s="331">
        <v>6.35</v>
      </c>
      <c r="B302" s="279" t="str">
        <f t="shared" ref="B302:B303" si="141">C302&amp;D302&amp;E302&amp;F302</f>
        <v>101.6x2.6CHS</v>
      </c>
      <c r="C302" s="323" t="s">
        <v>1268</v>
      </c>
      <c r="D302" s="323"/>
      <c r="E302" s="278" t="s">
        <v>1054</v>
      </c>
      <c r="F302" s="278"/>
      <c r="G302" s="278" t="s">
        <v>15</v>
      </c>
      <c r="H302" s="328">
        <f t="shared" si="100"/>
        <v>8.8899999999999993E-2</v>
      </c>
      <c r="I302" s="280">
        <f t="shared" ref="I302:I303" si="142">$I$2*H302</f>
        <v>7.1671179999999994</v>
      </c>
      <c r="J302" s="281">
        <f t="shared" ref="J302:J303" si="143">$J$2*H302</f>
        <v>8.1281269999999992</v>
      </c>
      <c r="K302" s="282">
        <f>IF(Notes!$B$9="Domestic",I302, IF(Notes!$B$9="Commercial",J302))*$K$261</f>
        <v>8.1281269999999992</v>
      </c>
      <c r="L302" s="283">
        <f>(SUM(O302:Q302)+(K302+SUM(M302:Q302))*(INDEX($U$261:$AB$261,MATCH(Notes!$C$16,$U$3:$AB$3,0))-100%))*$L$261</f>
        <v>44.6033525</v>
      </c>
      <c r="M302" s="286"/>
      <c r="N302" s="286"/>
      <c r="O302" s="311">
        <f t="shared" si="134"/>
        <v>16.890999999999998</v>
      </c>
      <c r="P302" s="311">
        <f t="shared" si="134"/>
        <v>27.712352499999998</v>
      </c>
      <c r="Q302" s="285"/>
      <c r="R302" s="278"/>
      <c r="S302" s="278"/>
      <c r="T302" s="278"/>
      <c r="U302" s="304"/>
    </row>
    <row r="303" spans="1:21" s="305" customFormat="1" ht="14.45" hidden="1" customHeight="1" outlineLevel="1" x14ac:dyDescent="0.25">
      <c r="A303" s="331">
        <v>7.77</v>
      </c>
      <c r="B303" s="279" t="str">
        <f t="shared" si="141"/>
        <v>101.6x3.2CHS</v>
      </c>
      <c r="C303" s="323" t="s">
        <v>1269</v>
      </c>
      <c r="D303" s="323"/>
      <c r="E303" s="278" t="s">
        <v>1054</v>
      </c>
      <c r="F303" s="278"/>
      <c r="G303" s="278" t="s">
        <v>15</v>
      </c>
      <c r="H303" s="328">
        <f t="shared" si="100"/>
        <v>0.10878</v>
      </c>
      <c r="I303" s="280">
        <f t="shared" si="142"/>
        <v>8.7698436000000015</v>
      </c>
      <c r="J303" s="281">
        <f t="shared" si="143"/>
        <v>9.9457554000000012</v>
      </c>
      <c r="K303" s="282">
        <f>IF(Notes!$B$9="Domestic",I303, IF(Notes!$B$9="Commercial",J303))*$K$261</f>
        <v>9.9457554000000012</v>
      </c>
      <c r="L303" s="283">
        <f>(SUM(O303:Q303)+(K303+SUM(M303:Q303))*(INDEX($U$261:$AB$261,MATCH(Notes!$C$16,$U$3:$AB$3,0))-100%))*$L$261</f>
        <v>54.577645499999996</v>
      </c>
      <c r="M303" s="286"/>
      <c r="N303" s="286"/>
      <c r="O303" s="311">
        <f t="shared" si="134"/>
        <v>20.668199999999999</v>
      </c>
      <c r="P303" s="311">
        <f t="shared" si="134"/>
        <v>33.909445499999997</v>
      </c>
      <c r="Q303" s="285"/>
      <c r="R303" s="278"/>
      <c r="S303" s="278"/>
      <c r="T303" s="278"/>
      <c r="U303" s="304"/>
    </row>
    <row r="304" spans="1:21" s="305" customFormat="1" ht="14.45" hidden="1" customHeight="1" outlineLevel="1" x14ac:dyDescent="0.25">
      <c r="A304" s="331">
        <v>9.6300000000000008</v>
      </c>
      <c r="B304" s="279" t="str">
        <f t="shared" si="107"/>
        <v>101.6x4CHS</v>
      </c>
      <c r="C304" s="323" t="s">
        <v>1270</v>
      </c>
      <c r="D304" s="323"/>
      <c r="E304" s="278" t="s">
        <v>1054</v>
      </c>
      <c r="F304" s="278"/>
      <c r="G304" s="278" t="s">
        <v>15</v>
      </c>
      <c r="H304" s="328">
        <f t="shared" si="100"/>
        <v>0.13482000000000002</v>
      </c>
      <c r="I304" s="280">
        <f t="shared" si="108"/>
        <v>10.869188400000002</v>
      </c>
      <c r="J304" s="281">
        <f t="shared" si="109"/>
        <v>12.326592600000003</v>
      </c>
      <c r="K304" s="282">
        <f>IF(Notes!$B$9="Domestic",I304, IF(Notes!$B$9="Commercial",J304))*$K$261</f>
        <v>12.326592600000003</v>
      </c>
      <c r="L304" s="283">
        <f>(SUM(O304:Q304)+(K304+SUM(M304:Q304))*(INDEX($U$261:$AB$261,MATCH(Notes!$C$16,$U$3:$AB$3,0))-100%))*$L$261</f>
        <v>67.642564500000006</v>
      </c>
      <c r="M304" s="286"/>
      <c r="N304" s="286"/>
      <c r="O304" s="311">
        <f t="shared" si="134"/>
        <v>25.615800000000004</v>
      </c>
      <c r="P304" s="311">
        <f t="shared" si="134"/>
        <v>42.026764499999999</v>
      </c>
      <c r="Q304" s="285"/>
      <c r="R304" s="278"/>
      <c r="S304" s="278"/>
      <c r="T304" s="278"/>
      <c r="U304" s="304"/>
    </row>
    <row r="305" spans="1:21" s="305" customFormat="1" ht="14.45" hidden="1" customHeight="1" outlineLevel="1" x14ac:dyDescent="0.25">
      <c r="A305" s="331">
        <v>11.9</v>
      </c>
      <c r="B305" s="279" t="str">
        <f t="shared" si="107"/>
        <v>101.6x5CHS</v>
      </c>
      <c r="C305" s="323" t="s">
        <v>1271</v>
      </c>
      <c r="D305" s="323"/>
      <c r="E305" s="278" t="s">
        <v>1054</v>
      </c>
      <c r="F305" s="278"/>
      <c r="G305" s="278" t="s">
        <v>15</v>
      </c>
      <c r="H305" s="328">
        <f t="shared" si="100"/>
        <v>0.1666</v>
      </c>
      <c r="I305" s="280">
        <f t="shared" si="108"/>
        <v>13.431292000000001</v>
      </c>
      <c r="J305" s="281">
        <f t="shared" si="109"/>
        <v>15.232238000000001</v>
      </c>
      <c r="K305" s="282">
        <f>IF(Notes!$B$9="Domestic",I305, IF(Notes!$B$9="Commercial",J305))*$K$261</f>
        <v>15.232238000000001</v>
      </c>
      <c r="L305" s="283">
        <f>(SUM(O305:Q305)+(K305+SUM(M305:Q305))*(INDEX($U$261:$AB$261,MATCH(Notes!$C$16,$U$3:$AB$3,0))-100%))*$L$261</f>
        <v>83.587384999999998</v>
      </c>
      <c r="M305" s="286"/>
      <c r="N305" s="286"/>
      <c r="O305" s="311">
        <f t="shared" si="134"/>
        <v>31.654</v>
      </c>
      <c r="P305" s="311">
        <f t="shared" si="134"/>
        <v>51.933384999999994</v>
      </c>
      <c r="Q305" s="285"/>
      <c r="R305" s="278"/>
      <c r="S305" s="278"/>
      <c r="T305" s="278"/>
      <c r="U305" s="304"/>
    </row>
    <row r="306" spans="1:21" s="305" customFormat="1" ht="14.45" hidden="1" customHeight="1" outlineLevel="1" x14ac:dyDescent="0.25">
      <c r="A306" s="331">
        <v>8.77</v>
      </c>
      <c r="B306" s="279" t="str">
        <f t="shared" ref="B306:B307" si="144">C306&amp;D306&amp;E306&amp;F306</f>
        <v>114.3x3.2CHS</v>
      </c>
      <c r="C306" s="323" t="s">
        <v>1272</v>
      </c>
      <c r="D306" s="323"/>
      <c r="E306" s="278" t="s">
        <v>1054</v>
      </c>
      <c r="F306" s="278"/>
      <c r="G306" s="278" t="s">
        <v>15</v>
      </c>
      <c r="H306" s="328">
        <f t="shared" si="100"/>
        <v>0.12278</v>
      </c>
      <c r="I306" s="280">
        <f t="shared" ref="I306:I307" si="145">$I$2*H306</f>
        <v>9.8985236000000008</v>
      </c>
      <c r="J306" s="281">
        <f t="shared" ref="J306:J307" si="146">$J$2*H306</f>
        <v>11.225775400000002</v>
      </c>
      <c r="K306" s="282">
        <f>IF(Notes!$B$9="Domestic",I306, IF(Notes!$B$9="Commercial",J306))*$K$261</f>
        <v>11.225775400000002</v>
      </c>
      <c r="L306" s="283">
        <f>(SUM(O306:Q306)+(K306+SUM(M306:Q306))*(INDEX($U$261:$AB$261,MATCH(Notes!$C$16,$U$3:$AB$3,0))-100%))*$L$261</f>
        <v>61.601795499999994</v>
      </c>
      <c r="M306" s="286"/>
      <c r="N306" s="286"/>
      <c r="O306" s="311">
        <f t="shared" si="134"/>
        <v>23.328199999999995</v>
      </c>
      <c r="P306" s="311">
        <f t="shared" si="134"/>
        <v>38.273595499999999</v>
      </c>
      <c r="Q306" s="285"/>
      <c r="R306" s="278"/>
      <c r="S306" s="278"/>
      <c r="T306" s="278"/>
      <c r="U306" s="304"/>
    </row>
    <row r="307" spans="1:21" s="305" customFormat="1" ht="14.45" hidden="1" customHeight="1" outlineLevel="1" x14ac:dyDescent="0.25">
      <c r="A307" s="331">
        <v>9.83</v>
      </c>
      <c r="B307" s="279" t="str">
        <f t="shared" si="144"/>
        <v>114.3x3.6CHS</v>
      </c>
      <c r="C307" s="323" t="s">
        <v>1273</v>
      </c>
      <c r="D307" s="323"/>
      <c r="E307" s="278" t="s">
        <v>1054</v>
      </c>
      <c r="F307" s="278"/>
      <c r="G307" s="278" t="s">
        <v>15</v>
      </c>
      <c r="H307" s="328">
        <f t="shared" si="100"/>
        <v>0.13761999999999999</v>
      </c>
      <c r="I307" s="280">
        <f t="shared" si="145"/>
        <v>11.0949244</v>
      </c>
      <c r="J307" s="281">
        <f t="shared" si="146"/>
        <v>12.5825966</v>
      </c>
      <c r="K307" s="282">
        <f>IF(Notes!$B$9="Domestic",I307, IF(Notes!$B$9="Commercial",J307))*$K$261</f>
        <v>12.5825966</v>
      </c>
      <c r="L307" s="283">
        <f>(SUM(O307:Q307)+(K307+SUM(M307:Q307))*(INDEX($U$261:$AB$261,MATCH(Notes!$C$16,$U$3:$AB$3,0))-100%))*$L$261</f>
        <v>69.047394499999996</v>
      </c>
      <c r="M307" s="286"/>
      <c r="N307" s="286"/>
      <c r="O307" s="311">
        <f t="shared" si="134"/>
        <v>26.1478</v>
      </c>
      <c r="P307" s="311">
        <f t="shared" si="134"/>
        <v>42.899594499999999</v>
      </c>
      <c r="Q307" s="285"/>
      <c r="R307" s="278"/>
      <c r="S307" s="278"/>
      <c r="T307" s="278"/>
      <c r="U307" s="304"/>
    </row>
    <row r="308" spans="1:21" s="305" customFormat="1" ht="14.45" hidden="1" customHeight="1" outlineLevel="1" x14ac:dyDescent="0.25">
      <c r="A308" s="331">
        <v>12.2</v>
      </c>
      <c r="B308" s="279" t="str">
        <f t="shared" si="107"/>
        <v>114.3x4.5CHS</v>
      </c>
      <c r="C308" s="323" t="s">
        <v>1274</v>
      </c>
      <c r="D308" s="323"/>
      <c r="E308" s="278" t="s">
        <v>1054</v>
      </c>
      <c r="F308" s="278"/>
      <c r="G308" s="278" t="s">
        <v>15</v>
      </c>
      <c r="H308" s="328">
        <f t="shared" si="100"/>
        <v>0.17079999999999998</v>
      </c>
      <c r="I308" s="280">
        <f t="shared" si="108"/>
        <v>13.769895999999999</v>
      </c>
      <c r="J308" s="281">
        <f t="shared" si="109"/>
        <v>15.616244</v>
      </c>
      <c r="K308" s="282">
        <f>IF(Notes!$B$9="Domestic",I308, IF(Notes!$B$9="Commercial",J308))*$K$261</f>
        <v>15.616244</v>
      </c>
      <c r="L308" s="283">
        <f>(SUM(O308:Q308)+(K308+SUM(M308:Q308))*(INDEX($U$261:$AB$261,MATCH(Notes!$C$16,$U$3:$AB$3,0))-100%))*$L$261</f>
        <v>85.694629999999989</v>
      </c>
      <c r="M308" s="286"/>
      <c r="N308" s="286"/>
      <c r="O308" s="311">
        <f t="shared" si="134"/>
        <v>32.451999999999998</v>
      </c>
      <c r="P308" s="311">
        <f t="shared" si="134"/>
        <v>53.242629999999991</v>
      </c>
      <c r="Q308" s="285"/>
      <c r="R308" s="278"/>
      <c r="S308" s="278"/>
      <c r="T308" s="278"/>
      <c r="U308" s="304"/>
    </row>
    <row r="309" spans="1:21" s="305" customFormat="1" ht="14.45" hidden="1" customHeight="1" outlineLevel="1" x14ac:dyDescent="0.25">
      <c r="A309" s="331">
        <v>13</v>
      </c>
      <c r="B309" s="279" t="str">
        <f t="shared" ref="B309" si="147">C309&amp;D309&amp;E309&amp;F309</f>
        <v>114.3x4.8CHS</v>
      </c>
      <c r="C309" s="323" t="s">
        <v>1275</v>
      </c>
      <c r="D309" s="323"/>
      <c r="E309" s="278" t="s">
        <v>1054</v>
      </c>
      <c r="F309" s="278"/>
      <c r="G309" s="278" t="s">
        <v>15</v>
      </c>
      <c r="H309" s="328">
        <f t="shared" si="100"/>
        <v>0.182</v>
      </c>
      <c r="I309" s="280">
        <f t="shared" ref="I309" si="148">$I$2*H309</f>
        <v>14.672840000000001</v>
      </c>
      <c r="J309" s="281">
        <f t="shared" ref="J309" si="149">$J$2*H309</f>
        <v>16.640260000000001</v>
      </c>
      <c r="K309" s="282">
        <f>IF(Notes!$B$9="Domestic",I309, IF(Notes!$B$9="Commercial",J309))*$K$261</f>
        <v>16.640260000000001</v>
      </c>
      <c r="L309" s="283">
        <f>(SUM(O309:Q309)+(K309+SUM(M309:Q309))*(INDEX($U$261:$AB$261,MATCH(Notes!$C$16,$U$3:$AB$3,0))-100%))*$L$261</f>
        <v>91.313950000000006</v>
      </c>
      <c r="M309" s="286"/>
      <c r="N309" s="286"/>
      <c r="O309" s="311">
        <f t="shared" si="134"/>
        <v>34.58</v>
      </c>
      <c r="P309" s="311">
        <f t="shared" si="134"/>
        <v>56.73395</v>
      </c>
      <c r="Q309" s="285"/>
      <c r="R309" s="278"/>
      <c r="S309" s="278"/>
      <c r="T309" s="278"/>
      <c r="U309" s="304"/>
    </row>
    <row r="310" spans="1:21" s="305" customFormat="1" ht="14.45" hidden="1" customHeight="1" outlineLevel="1" x14ac:dyDescent="0.25">
      <c r="A310" s="331">
        <v>14.5</v>
      </c>
      <c r="B310" s="279" t="str">
        <f t="shared" si="107"/>
        <v>114.3x5.4CHS</v>
      </c>
      <c r="C310" s="323" t="s">
        <v>1276</v>
      </c>
      <c r="D310" s="323"/>
      <c r="E310" s="278" t="s">
        <v>1054</v>
      </c>
      <c r="F310" s="278"/>
      <c r="G310" s="278" t="s">
        <v>15</v>
      </c>
      <c r="H310" s="328">
        <f t="shared" si="100"/>
        <v>0.20300000000000001</v>
      </c>
      <c r="I310" s="280">
        <f t="shared" si="108"/>
        <v>16.365860000000001</v>
      </c>
      <c r="J310" s="281">
        <f t="shared" si="109"/>
        <v>18.560290000000002</v>
      </c>
      <c r="K310" s="282">
        <f>IF(Notes!$B$9="Domestic",I310, IF(Notes!$B$9="Commercial",J310))*$K$261</f>
        <v>18.560290000000002</v>
      </c>
      <c r="L310" s="283">
        <f>(SUM(O310:Q310)+(K310+SUM(M310:Q310))*(INDEX($U$261:$AB$261,MATCH(Notes!$C$16,$U$3:$AB$3,0))-100%))*$L$261</f>
        <v>101.85017499999999</v>
      </c>
      <c r="M310" s="286"/>
      <c r="N310" s="286"/>
      <c r="O310" s="311">
        <f t="shared" si="134"/>
        <v>38.57</v>
      </c>
      <c r="P310" s="311">
        <f t="shared" si="134"/>
        <v>63.280174999999993</v>
      </c>
      <c r="Q310" s="285"/>
      <c r="R310" s="278"/>
      <c r="S310" s="278"/>
      <c r="T310" s="278"/>
      <c r="U310" s="304"/>
    </row>
    <row r="311" spans="1:21" s="305" customFormat="1" ht="14.45" hidden="1" customHeight="1" outlineLevel="1" x14ac:dyDescent="0.25">
      <c r="A311" s="331">
        <v>16</v>
      </c>
      <c r="B311" s="279" t="str">
        <f t="shared" ref="B311" si="150">C311&amp;D311&amp;E311&amp;F311</f>
        <v>114.3x6CHS</v>
      </c>
      <c r="C311" s="323" t="s">
        <v>1277</v>
      </c>
      <c r="D311" s="323"/>
      <c r="E311" s="278" t="s">
        <v>1054</v>
      </c>
      <c r="F311" s="278"/>
      <c r="G311" s="278" t="s">
        <v>15</v>
      </c>
      <c r="H311" s="328">
        <f t="shared" si="100"/>
        <v>0.224</v>
      </c>
      <c r="I311" s="280">
        <f t="shared" ref="I311" si="151">$I$2*H311</f>
        <v>18.058880000000002</v>
      </c>
      <c r="J311" s="281">
        <f t="shared" ref="J311" si="152">$J$2*H311</f>
        <v>20.480320000000003</v>
      </c>
      <c r="K311" s="282">
        <f>IF(Notes!$B$9="Domestic",I311, IF(Notes!$B$9="Commercial",J311))*$K$261</f>
        <v>20.480320000000003</v>
      </c>
      <c r="L311" s="283">
        <f>(SUM(O311:Q311)+(K311+SUM(M311:Q311))*(INDEX($U$261:$AB$261,MATCH(Notes!$C$16,$U$3:$AB$3,0))-100%))*$L$261</f>
        <v>112.38639999999999</v>
      </c>
      <c r="M311" s="286"/>
      <c r="N311" s="286"/>
      <c r="O311" s="311">
        <f t="shared" si="134"/>
        <v>42.56</v>
      </c>
      <c r="P311" s="311">
        <f t="shared" si="134"/>
        <v>69.826399999999992</v>
      </c>
      <c r="Q311" s="285"/>
      <c r="R311" s="278"/>
      <c r="S311" s="278"/>
      <c r="T311" s="278"/>
      <c r="U311" s="304"/>
    </row>
    <row r="312" spans="1:21" s="305" customFormat="1" ht="14.45" hidden="1" customHeight="1" outlineLevel="1" x14ac:dyDescent="0.25">
      <c r="A312" s="331">
        <v>10.1</v>
      </c>
      <c r="B312" s="279" t="str">
        <f t="shared" ref="B312:B313" si="153">C312&amp;D312&amp;E312&amp;F312</f>
        <v>139.7x3CHS</v>
      </c>
      <c r="C312" s="323" t="s">
        <v>1278</v>
      </c>
      <c r="D312" s="323"/>
      <c r="E312" s="278" t="s">
        <v>1054</v>
      </c>
      <c r="F312" s="278"/>
      <c r="G312" s="278" t="s">
        <v>15</v>
      </c>
      <c r="H312" s="328">
        <f t="shared" si="100"/>
        <v>0.1414</v>
      </c>
      <c r="I312" s="280">
        <f t="shared" ref="I312:I313" si="154">$I$2*H312</f>
        <v>11.399668</v>
      </c>
      <c r="J312" s="281">
        <f t="shared" ref="J312:J313" si="155">$J$2*H312</f>
        <v>12.928202000000001</v>
      </c>
      <c r="K312" s="282">
        <f>IF(Notes!$B$9="Domestic",I312, IF(Notes!$B$9="Commercial",J312))*$K$261</f>
        <v>12.928202000000001</v>
      </c>
      <c r="L312" s="283">
        <f>(SUM(O312:Q312)+(K312+SUM(M312:Q312))*(INDEX($U$261:$AB$261,MATCH(Notes!$C$16,$U$3:$AB$3,0))-100%))*$L$261</f>
        <v>70.94391499999999</v>
      </c>
      <c r="M312" s="286"/>
      <c r="N312" s="286"/>
      <c r="O312" s="311">
        <f t="shared" si="134"/>
        <v>26.866</v>
      </c>
      <c r="P312" s="311">
        <f t="shared" si="134"/>
        <v>44.07791499999999</v>
      </c>
      <c r="Q312" s="285"/>
      <c r="R312" s="278"/>
      <c r="S312" s="278"/>
      <c r="T312" s="278"/>
      <c r="U312" s="304"/>
    </row>
    <row r="313" spans="1:21" s="305" customFormat="1" ht="14.45" hidden="1" customHeight="1" outlineLevel="1" x14ac:dyDescent="0.25">
      <c r="A313" s="331">
        <v>11.8</v>
      </c>
      <c r="B313" s="279" t="str">
        <f t="shared" si="153"/>
        <v>139.7x3.5CHS</v>
      </c>
      <c r="C313" s="323" t="s">
        <v>1279</v>
      </c>
      <c r="D313" s="323"/>
      <c r="E313" s="278" t="s">
        <v>1054</v>
      </c>
      <c r="F313" s="278"/>
      <c r="G313" s="278" t="s">
        <v>15</v>
      </c>
      <c r="H313" s="328">
        <f t="shared" si="100"/>
        <v>0.16520000000000001</v>
      </c>
      <c r="I313" s="280">
        <f t="shared" si="154"/>
        <v>13.318424000000002</v>
      </c>
      <c r="J313" s="281">
        <f t="shared" si="155"/>
        <v>15.104236000000002</v>
      </c>
      <c r="K313" s="282">
        <f>IF(Notes!$B$9="Domestic",I313, IF(Notes!$B$9="Commercial",J313))*$K$261</f>
        <v>15.104236000000002</v>
      </c>
      <c r="L313" s="283">
        <f>(SUM(O313:Q313)+(K313+SUM(M313:Q313))*(INDEX($U$261:$AB$261,MATCH(Notes!$C$16,$U$3:$AB$3,0))-100%))*$L$261</f>
        <v>82.88497000000001</v>
      </c>
      <c r="M313" s="286"/>
      <c r="N313" s="286"/>
      <c r="O313" s="311">
        <f t="shared" si="134"/>
        <v>31.388000000000005</v>
      </c>
      <c r="P313" s="311">
        <f t="shared" si="134"/>
        <v>51.496970000000005</v>
      </c>
      <c r="Q313" s="285"/>
      <c r="R313" s="278"/>
      <c r="S313" s="278"/>
      <c r="T313" s="278"/>
      <c r="U313" s="304"/>
    </row>
    <row r="314" spans="1:21" s="305" customFormat="1" ht="14.45" hidden="1" customHeight="1" outlineLevel="1" x14ac:dyDescent="0.25">
      <c r="A314" s="331">
        <v>16.600000000000001</v>
      </c>
      <c r="B314" s="279" t="str">
        <f t="shared" si="107"/>
        <v>139.7x5CHS</v>
      </c>
      <c r="C314" s="323" t="s">
        <v>1280</v>
      </c>
      <c r="D314" s="323"/>
      <c r="E314" s="278" t="s">
        <v>1054</v>
      </c>
      <c r="F314" s="278"/>
      <c r="G314" s="278" t="s">
        <v>15</v>
      </c>
      <c r="H314" s="328">
        <f t="shared" si="100"/>
        <v>0.23240000000000002</v>
      </c>
      <c r="I314" s="280">
        <f t="shared" si="108"/>
        <v>18.736088000000002</v>
      </c>
      <c r="J314" s="281">
        <f t="shared" si="109"/>
        <v>21.248332000000005</v>
      </c>
      <c r="K314" s="282">
        <f>IF(Notes!$B$9="Domestic",I314, IF(Notes!$B$9="Commercial",J314))*$K$261</f>
        <v>21.248332000000005</v>
      </c>
      <c r="L314" s="283">
        <f>(SUM(O314:Q314)+(K314+SUM(M314:Q314))*(INDEX($U$261:$AB$261,MATCH(Notes!$C$16,$U$3:$AB$3,0))-100%))*$L$261</f>
        <v>116.60089000000001</v>
      </c>
      <c r="M314" s="286"/>
      <c r="N314" s="286"/>
      <c r="O314" s="311">
        <f t="shared" si="134"/>
        <v>44.156000000000006</v>
      </c>
      <c r="P314" s="311">
        <f t="shared" si="134"/>
        <v>72.444890000000001</v>
      </c>
      <c r="Q314" s="285"/>
      <c r="R314" s="278"/>
      <c r="S314" s="278"/>
      <c r="T314" s="278"/>
      <c r="U314" s="304"/>
    </row>
    <row r="315" spans="1:21" s="305" customFormat="1" ht="14.45" hidden="1" customHeight="1" outlineLevel="1" x14ac:dyDescent="0.25">
      <c r="A315" s="331">
        <v>17.899999999999999</v>
      </c>
      <c r="B315" s="279" t="str">
        <f t="shared" si="107"/>
        <v>139.7x5.4CHS</v>
      </c>
      <c r="C315" s="323" t="s">
        <v>1281</v>
      </c>
      <c r="D315" s="323"/>
      <c r="E315" s="278" t="s">
        <v>1054</v>
      </c>
      <c r="F315" s="278"/>
      <c r="G315" s="278" t="s">
        <v>15</v>
      </c>
      <c r="H315" s="328">
        <f t="shared" si="100"/>
        <v>0.25059999999999999</v>
      </c>
      <c r="I315" s="280">
        <f t="shared" si="108"/>
        <v>20.203372000000002</v>
      </c>
      <c r="J315" s="281">
        <f t="shared" si="109"/>
        <v>22.912358000000001</v>
      </c>
      <c r="K315" s="282">
        <f>IF(Notes!$B$9="Domestic",I315, IF(Notes!$B$9="Commercial",J315))*$K$261</f>
        <v>22.912358000000001</v>
      </c>
      <c r="L315" s="283">
        <f>(SUM(O315:Q315)+(K315+SUM(M315:Q315))*(INDEX($U$261:$AB$261,MATCH(Notes!$C$16,$U$3:$AB$3,0))-100%))*$L$261</f>
        <v>125.73228499999998</v>
      </c>
      <c r="M315" s="286"/>
      <c r="N315" s="286"/>
      <c r="O315" s="311">
        <f t="shared" si="134"/>
        <v>47.61399999999999</v>
      </c>
      <c r="P315" s="311">
        <f t="shared" si="134"/>
        <v>78.118284999999986</v>
      </c>
      <c r="Q315" s="285"/>
      <c r="R315" s="278"/>
      <c r="S315" s="278"/>
      <c r="T315" s="278"/>
      <c r="U315" s="304"/>
    </row>
    <row r="316" spans="1:21" s="305" customFormat="1" ht="14.45" hidden="1" customHeight="1" outlineLevel="1" x14ac:dyDescent="0.25">
      <c r="A316" s="331">
        <v>12</v>
      </c>
      <c r="B316" s="279" t="str">
        <f t="shared" ref="B316:B317" si="156">C316&amp;D316&amp;E316&amp;F316</f>
        <v>165.1x3CHS</v>
      </c>
      <c r="C316" s="323" t="s">
        <v>1282</v>
      </c>
      <c r="D316" s="323"/>
      <c r="E316" s="278" t="s">
        <v>1054</v>
      </c>
      <c r="F316" s="278"/>
      <c r="G316" s="278" t="s">
        <v>15</v>
      </c>
      <c r="H316" s="328">
        <f t="shared" si="100"/>
        <v>0.16800000000000001</v>
      </c>
      <c r="I316" s="280">
        <f t="shared" ref="I316:I317" si="157">$I$2*H316</f>
        <v>13.544160000000002</v>
      </c>
      <c r="J316" s="281">
        <f t="shared" ref="J316:J317" si="158">$J$2*H316</f>
        <v>15.360240000000003</v>
      </c>
      <c r="K316" s="282">
        <f>IF(Notes!$B$9="Domestic",I316, IF(Notes!$B$9="Commercial",J316))*$K$261</f>
        <v>15.360240000000003</v>
      </c>
      <c r="L316" s="283">
        <f>(SUM(O316:Q316)+(K316+SUM(M316:Q316))*(INDEX($U$261:$AB$261,MATCH(Notes!$C$16,$U$3:$AB$3,0))-100%))*$L$261</f>
        <v>84.2898</v>
      </c>
      <c r="M316" s="286"/>
      <c r="N316" s="286"/>
      <c r="O316" s="311">
        <f t="shared" si="134"/>
        <v>31.92</v>
      </c>
      <c r="P316" s="311">
        <f t="shared" si="134"/>
        <v>52.369799999999998</v>
      </c>
      <c r="Q316" s="285"/>
      <c r="R316" s="278"/>
      <c r="S316" s="278"/>
      <c r="T316" s="278"/>
      <c r="U316" s="304"/>
    </row>
    <row r="317" spans="1:21" s="305" customFormat="1" ht="14.45" hidden="1" customHeight="1" outlineLevel="1" x14ac:dyDescent="0.25">
      <c r="A317" s="331">
        <v>13.9</v>
      </c>
      <c r="B317" s="279" t="str">
        <f t="shared" si="156"/>
        <v>165.1x3.5CHS</v>
      </c>
      <c r="C317" s="323" t="s">
        <v>1283</v>
      </c>
      <c r="D317" s="323"/>
      <c r="E317" s="278" t="s">
        <v>1054</v>
      </c>
      <c r="F317" s="278"/>
      <c r="G317" s="278" t="s">
        <v>15</v>
      </c>
      <c r="H317" s="328">
        <f t="shared" si="100"/>
        <v>0.1946</v>
      </c>
      <c r="I317" s="280">
        <f t="shared" si="157"/>
        <v>15.688652000000001</v>
      </c>
      <c r="J317" s="281">
        <f t="shared" si="158"/>
        <v>17.792278</v>
      </c>
      <c r="K317" s="282">
        <f>IF(Notes!$B$9="Domestic",I317, IF(Notes!$B$9="Commercial",J317))*$K$261</f>
        <v>17.792278</v>
      </c>
      <c r="L317" s="283">
        <f>(SUM(O317:Q317)+(K317+SUM(M317:Q317))*(INDEX($U$261:$AB$261,MATCH(Notes!$C$16,$U$3:$AB$3,0))-100%))*$L$261</f>
        <v>97.635684999999995</v>
      </c>
      <c r="M317" s="286"/>
      <c r="N317" s="286"/>
      <c r="O317" s="311">
        <f t="shared" si="134"/>
        <v>36.973999999999997</v>
      </c>
      <c r="P317" s="311">
        <f t="shared" si="134"/>
        <v>60.661684999999999</v>
      </c>
      <c r="Q317" s="285"/>
      <c r="R317" s="278"/>
      <c r="S317" s="278"/>
      <c r="T317" s="278"/>
      <c r="U317" s="304"/>
    </row>
    <row r="318" spans="1:21" s="305" customFormat="1" ht="14.45" hidden="1" customHeight="1" outlineLevel="1" x14ac:dyDescent="0.25">
      <c r="A318" s="331">
        <v>19.7</v>
      </c>
      <c r="B318" s="279" t="str">
        <f t="shared" si="107"/>
        <v>165.1x5CHS</v>
      </c>
      <c r="C318" s="323" t="s">
        <v>1284</v>
      </c>
      <c r="D318" s="323"/>
      <c r="E318" s="278" t="s">
        <v>1054</v>
      </c>
      <c r="F318" s="278"/>
      <c r="G318" s="278" t="s">
        <v>15</v>
      </c>
      <c r="H318" s="328">
        <f t="shared" si="100"/>
        <v>0.27579999999999999</v>
      </c>
      <c r="I318" s="280">
        <f t="shared" si="108"/>
        <v>22.234995999999999</v>
      </c>
      <c r="J318" s="281">
        <f t="shared" si="109"/>
        <v>25.216394000000001</v>
      </c>
      <c r="K318" s="282">
        <f>IF(Notes!$B$9="Domestic",I318, IF(Notes!$B$9="Commercial",J318))*$K$261</f>
        <v>25.216394000000001</v>
      </c>
      <c r="L318" s="283">
        <f>(SUM(O318:Q318)+(K318+SUM(M318:Q318))*(INDEX($U$261:$AB$261,MATCH(Notes!$C$16,$U$3:$AB$3,0))-100%))*$L$261</f>
        <v>138.375755</v>
      </c>
      <c r="M318" s="286"/>
      <c r="N318" s="286"/>
      <c r="O318" s="311">
        <f t="shared" si="134"/>
        <v>52.402000000000001</v>
      </c>
      <c r="P318" s="311">
        <f t="shared" si="134"/>
        <v>85.973754999999997</v>
      </c>
      <c r="Q318" s="285"/>
      <c r="R318" s="278"/>
      <c r="S318" s="278"/>
      <c r="T318" s="278"/>
      <c r="U318" s="304"/>
    </row>
    <row r="319" spans="1:21" s="305" customFormat="1" ht="14.45" hidden="1" customHeight="1" outlineLevel="1" x14ac:dyDescent="0.25">
      <c r="A319" s="331">
        <v>21.3</v>
      </c>
      <c r="B319" s="279" t="str">
        <f t="shared" si="107"/>
        <v>165.1x5.4CHS</v>
      </c>
      <c r="C319" s="323" t="s">
        <v>1285</v>
      </c>
      <c r="D319" s="323"/>
      <c r="E319" s="278" t="s">
        <v>1054</v>
      </c>
      <c r="F319" s="278"/>
      <c r="G319" s="278" t="s">
        <v>15</v>
      </c>
      <c r="H319" s="328">
        <f t="shared" si="100"/>
        <v>0.29819999999999997</v>
      </c>
      <c r="I319" s="280">
        <f t="shared" si="108"/>
        <v>24.040883999999998</v>
      </c>
      <c r="J319" s="281">
        <f t="shared" si="109"/>
        <v>27.264426</v>
      </c>
      <c r="K319" s="282">
        <f>IF(Notes!$B$9="Domestic",I319, IF(Notes!$B$9="Commercial",J319))*$K$261</f>
        <v>27.264426</v>
      </c>
      <c r="L319" s="283">
        <f>(SUM(O319:Q319)+(K319+SUM(M319:Q319))*(INDEX($U$261:$AB$261,MATCH(Notes!$C$16,$U$3:$AB$3,0))-100%))*$L$261</f>
        <v>149.614395</v>
      </c>
      <c r="M319" s="286"/>
      <c r="N319" s="286"/>
      <c r="O319" s="311">
        <f t="shared" si="134"/>
        <v>56.658000000000001</v>
      </c>
      <c r="P319" s="311">
        <f t="shared" si="134"/>
        <v>92.956394999999986</v>
      </c>
      <c r="Q319" s="285"/>
      <c r="R319" s="278"/>
      <c r="S319" s="278"/>
      <c r="T319" s="278"/>
      <c r="U319" s="304"/>
    </row>
    <row r="320" spans="1:21" s="305" customFormat="1" ht="14.45" hidden="1" customHeight="1" outlineLevel="1" x14ac:dyDescent="0.25">
      <c r="A320" s="331">
        <v>25.4</v>
      </c>
      <c r="B320" s="279" t="str">
        <f t="shared" si="107"/>
        <v>219.1x4.8CHS</v>
      </c>
      <c r="C320" s="323" t="s">
        <v>1286</v>
      </c>
      <c r="D320" s="323"/>
      <c r="E320" s="278" t="s">
        <v>1054</v>
      </c>
      <c r="F320" s="278"/>
      <c r="G320" s="278" t="s">
        <v>15</v>
      </c>
      <c r="H320" s="328">
        <f t="shared" si="100"/>
        <v>0.35559999999999997</v>
      </c>
      <c r="I320" s="280">
        <f t="shared" si="108"/>
        <v>28.668471999999998</v>
      </c>
      <c r="J320" s="281">
        <f t="shared" si="109"/>
        <v>32.512507999999997</v>
      </c>
      <c r="K320" s="282">
        <f>IF(Notes!$B$9="Domestic",I320, IF(Notes!$B$9="Commercial",J320))*$K$261</f>
        <v>32.512507999999997</v>
      </c>
      <c r="L320" s="283">
        <f>(SUM(O320:Q320)+(K320+SUM(M320:Q320))*(INDEX($U$261:$AB$261,MATCH(Notes!$C$16,$U$3:$AB$3,0))-100%))*$L$261</f>
        <v>178.41341</v>
      </c>
      <c r="M320" s="286"/>
      <c r="N320" s="286"/>
      <c r="O320" s="311">
        <f t="shared" si="134"/>
        <v>67.563999999999993</v>
      </c>
      <c r="P320" s="311">
        <f t="shared" si="134"/>
        <v>110.84940999999999</v>
      </c>
      <c r="Q320" s="285"/>
      <c r="R320" s="278"/>
      <c r="S320" s="278"/>
      <c r="T320" s="278"/>
    </row>
    <row r="321" spans="1:20" s="305" customFormat="1" ht="14.45" hidden="1" customHeight="1" outlineLevel="1" x14ac:dyDescent="0.25">
      <c r="A321" s="331">
        <v>33.6</v>
      </c>
      <c r="B321" s="279" t="str">
        <f t="shared" si="107"/>
        <v>219.1x6.4CHS</v>
      </c>
      <c r="C321" s="323" t="s">
        <v>1287</v>
      </c>
      <c r="D321" s="323"/>
      <c r="E321" s="278" t="s">
        <v>1054</v>
      </c>
      <c r="F321" s="278"/>
      <c r="G321" s="278" t="s">
        <v>15</v>
      </c>
      <c r="H321" s="328">
        <f t="shared" si="100"/>
        <v>0.47040000000000004</v>
      </c>
      <c r="I321" s="280">
        <f t="shared" si="108"/>
        <v>37.923648000000007</v>
      </c>
      <c r="J321" s="281">
        <f t="shared" si="109"/>
        <v>43.008672000000004</v>
      </c>
      <c r="K321" s="282">
        <f>IF(Notes!$B$9="Domestic",I321, IF(Notes!$B$9="Commercial",J321))*$K$261</f>
        <v>43.008672000000004</v>
      </c>
      <c r="L321" s="283">
        <f>(SUM(O321:Q321)+(K321+SUM(M321:Q321))*(INDEX($U$261:$AB$261,MATCH(Notes!$C$16,$U$3:$AB$3,0))-100%))*$L$261</f>
        <v>236.01143999999999</v>
      </c>
      <c r="M321" s="286"/>
      <c r="N321" s="286"/>
      <c r="O321" s="311">
        <f t="shared" si="134"/>
        <v>89.376000000000005</v>
      </c>
      <c r="P321" s="311">
        <f t="shared" si="134"/>
        <v>146.63543999999999</v>
      </c>
      <c r="Q321" s="285"/>
      <c r="R321" s="278"/>
      <c r="S321" s="278"/>
      <c r="T321" s="278"/>
    </row>
    <row r="322" spans="1:20" s="305" customFormat="1" ht="14.45" hidden="1" customHeight="1" outlineLevel="1" x14ac:dyDescent="0.25">
      <c r="A322" s="331">
        <v>42.6</v>
      </c>
      <c r="B322" s="279" t="str">
        <f t="shared" si="107"/>
        <v>219.1x8.2CHS</v>
      </c>
      <c r="C322" s="323" t="s">
        <v>1288</v>
      </c>
      <c r="D322" s="323"/>
      <c r="E322" s="278" t="s">
        <v>1054</v>
      </c>
      <c r="F322" s="278"/>
      <c r="G322" s="278" t="s">
        <v>15</v>
      </c>
      <c r="H322" s="328">
        <f t="shared" si="100"/>
        <v>0.59639999999999993</v>
      </c>
      <c r="I322" s="280">
        <f t="shared" si="108"/>
        <v>48.081767999999997</v>
      </c>
      <c r="J322" s="281">
        <f t="shared" si="109"/>
        <v>54.528852000000001</v>
      </c>
      <c r="K322" s="282">
        <f>IF(Notes!$B$9="Domestic",I322, IF(Notes!$B$9="Commercial",J322))*$K$261</f>
        <v>54.528852000000001</v>
      </c>
      <c r="L322" s="283">
        <f>(SUM(O322:Q322)+(K322+SUM(M322:Q322))*(INDEX($U$261:$AB$261,MATCH(Notes!$C$16,$U$3:$AB$3,0))-100%))*$L$261</f>
        <v>299.22879</v>
      </c>
      <c r="M322" s="286"/>
      <c r="N322" s="286"/>
      <c r="O322" s="311">
        <f t="shared" si="134"/>
        <v>113.316</v>
      </c>
      <c r="P322" s="311">
        <f t="shared" si="134"/>
        <v>185.91278999999997</v>
      </c>
      <c r="Q322" s="285"/>
      <c r="R322" s="278"/>
      <c r="S322" s="278"/>
      <c r="T322" s="278"/>
    </row>
    <row r="323" spans="1:20" s="305" customFormat="1" ht="14.45" hidden="1" customHeight="1" outlineLevel="1" x14ac:dyDescent="0.25">
      <c r="A323" s="331">
        <v>31.8</v>
      </c>
      <c r="B323" s="279" t="str">
        <f t="shared" si="107"/>
        <v>273.1x4.8CHS</v>
      </c>
      <c r="C323" s="323" t="s">
        <v>1289</v>
      </c>
      <c r="D323" s="323"/>
      <c r="E323" s="278" t="s">
        <v>1054</v>
      </c>
      <c r="F323" s="278"/>
      <c r="G323" s="278" t="s">
        <v>15</v>
      </c>
      <c r="H323" s="328">
        <f t="shared" si="100"/>
        <v>0.44519999999999998</v>
      </c>
      <c r="I323" s="280">
        <f t="shared" si="108"/>
        <v>35.892023999999999</v>
      </c>
      <c r="J323" s="281">
        <f t="shared" si="109"/>
        <v>40.704636000000001</v>
      </c>
      <c r="K323" s="282">
        <f>IF(Notes!$B$9="Domestic",I323, IF(Notes!$B$9="Commercial",J323))*$K$261</f>
        <v>40.704636000000001</v>
      </c>
      <c r="L323" s="283">
        <f>(SUM(O323:Q323)+(K323+SUM(M323:Q323))*(INDEX($U$261:$AB$261,MATCH(Notes!$C$16,$U$3:$AB$3,0))-100%))*$L$261</f>
        <v>223.36796999999999</v>
      </c>
      <c r="M323" s="286"/>
      <c r="N323" s="286"/>
      <c r="O323" s="311">
        <f t="shared" si="134"/>
        <v>84.587999999999994</v>
      </c>
      <c r="P323" s="311">
        <f t="shared" si="134"/>
        <v>138.77996999999999</v>
      </c>
      <c r="Q323" s="285"/>
      <c r="R323" s="278"/>
      <c r="S323" s="278"/>
      <c r="T323" s="278"/>
    </row>
    <row r="324" spans="1:20" s="305" customFormat="1" ht="14.45" hidden="1" customHeight="1" outlineLevel="1" x14ac:dyDescent="0.25">
      <c r="A324" s="331">
        <v>42.1</v>
      </c>
      <c r="B324" s="279" t="str">
        <f t="shared" si="107"/>
        <v>273.1x6.4CHS</v>
      </c>
      <c r="C324" s="323" t="s">
        <v>1290</v>
      </c>
      <c r="D324" s="323"/>
      <c r="E324" s="278" t="s">
        <v>1054</v>
      </c>
      <c r="F324" s="278"/>
      <c r="G324" s="278" t="s">
        <v>15</v>
      </c>
      <c r="H324" s="328">
        <f t="shared" si="100"/>
        <v>0.58939999999999992</v>
      </c>
      <c r="I324" s="280">
        <f t="shared" si="108"/>
        <v>47.517427999999995</v>
      </c>
      <c r="J324" s="281">
        <f t="shared" si="109"/>
        <v>53.888841999999997</v>
      </c>
      <c r="K324" s="282">
        <f>IF(Notes!$B$9="Domestic",I324, IF(Notes!$B$9="Commercial",J324))*$K$261</f>
        <v>53.888841999999997</v>
      </c>
      <c r="L324" s="283">
        <f>(SUM(O324:Q324)+(K324+SUM(M324:Q324))*(INDEX($U$261:$AB$261,MATCH(Notes!$C$16,$U$3:$AB$3,0))-100%))*$L$261</f>
        <v>295.71671500000002</v>
      </c>
      <c r="M324" s="286"/>
      <c r="N324" s="286"/>
      <c r="O324" s="311">
        <f t="shared" si="134"/>
        <v>111.986</v>
      </c>
      <c r="P324" s="311">
        <f t="shared" si="134"/>
        <v>183.730715</v>
      </c>
      <c r="Q324" s="285"/>
      <c r="R324" s="278"/>
      <c r="S324" s="278"/>
      <c r="T324" s="278"/>
    </row>
    <row r="325" spans="1:20" s="305" customFormat="1" ht="14.45" hidden="1" customHeight="1" outlineLevel="1" x14ac:dyDescent="0.25">
      <c r="A325" s="331">
        <v>60.5</v>
      </c>
      <c r="B325" s="279" t="str">
        <f t="shared" si="107"/>
        <v>273.1x9.3CHS</v>
      </c>
      <c r="C325" s="323" t="s">
        <v>1291</v>
      </c>
      <c r="D325" s="323"/>
      <c r="E325" s="278" t="s">
        <v>1054</v>
      </c>
      <c r="F325" s="278"/>
      <c r="G325" s="278" t="s">
        <v>15</v>
      </c>
      <c r="H325" s="328">
        <f t="shared" si="100"/>
        <v>0.84699999999999998</v>
      </c>
      <c r="I325" s="280">
        <f t="shared" si="108"/>
        <v>68.285139999999998</v>
      </c>
      <c r="J325" s="281">
        <f t="shared" si="109"/>
        <v>77.441209999999998</v>
      </c>
      <c r="K325" s="282">
        <f>IF(Notes!$B$9="Domestic",I325, IF(Notes!$B$9="Commercial",J325))*$K$261</f>
        <v>77.441209999999998</v>
      </c>
      <c r="L325" s="283">
        <f>(SUM(O325:Q325)+(K325+SUM(M325:Q325))*(INDEX($U$261:$AB$261,MATCH(Notes!$C$16,$U$3:$AB$3,0))-100%))*$L$261</f>
        <v>424.96107499999994</v>
      </c>
      <c r="M325" s="286"/>
      <c r="N325" s="286"/>
      <c r="O325" s="311">
        <f t="shared" si="134"/>
        <v>160.93</v>
      </c>
      <c r="P325" s="311">
        <f t="shared" si="134"/>
        <v>264.03107499999993</v>
      </c>
      <c r="Q325" s="285"/>
      <c r="R325" s="278"/>
      <c r="S325" s="278"/>
      <c r="T325" s="278"/>
    </row>
    <row r="326" spans="1:20" s="305" customFormat="1" ht="14.45" hidden="1" customHeight="1" outlineLevel="1" x14ac:dyDescent="0.25">
      <c r="A326" s="331">
        <v>50.1</v>
      </c>
      <c r="B326" s="279" t="str">
        <f t="shared" si="107"/>
        <v>323.9x6.4CHS</v>
      </c>
      <c r="C326" s="323" t="s">
        <v>1292</v>
      </c>
      <c r="D326" s="323"/>
      <c r="E326" s="278" t="s">
        <v>1054</v>
      </c>
      <c r="F326" s="278"/>
      <c r="G326" s="278" t="s">
        <v>15</v>
      </c>
      <c r="H326" s="328">
        <f t="shared" si="100"/>
        <v>0.70140000000000002</v>
      </c>
      <c r="I326" s="280">
        <f t="shared" si="108"/>
        <v>56.546868000000003</v>
      </c>
      <c r="J326" s="281">
        <f t="shared" si="109"/>
        <v>64.129002</v>
      </c>
      <c r="K326" s="282">
        <f>IF(Notes!$B$9="Domestic",I326, IF(Notes!$B$9="Commercial",J326))*$K$261</f>
        <v>64.129002</v>
      </c>
      <c r="L326" s="283">
        <f>(SUM(O326:Q326)+(K326+SUM(M326:Q326))*(INDEX($U$261:$AB$261,MATCH(Notes!$C$16,$U$3:$AB$3,0))-100%))*$L$261</f>
        <v>351.90991499999996</v>
      </c>
      <c r="M326" s="286"/>
      <c r="N326" s="286"/>
      <c r="O326" s="311">
        <f t="shared" si="134"/>
        <v>133.26599999999999</v>
      </c>
      <c r="P326" s="311">
        <f t="shared" si="134"/>
        <v>218.64391499999999</v>
      </c>
      <c r="Q326" s="285"/>
      <c r="R326" s="278"/>
      <c r="S326" s="278"/>
      <c r="T326" s="278"/>
    </row>
    <row r="327" spans="1:20" s="305" customFormat="1" ht="14.45" hidden="1" customHeight="1" outlineLevel="1" x14ac:dyDescent="0.25">
      <c r="A327" s="331">
        <v>73.7</v>
      </c>
      <c r="B327" s="279" t="str">
        <f t="shared" si="107"/>
        <v>323.9x9.5CHS</v>
      </c>
      <c r="C327" s="323" t="s">
        <v>1293</v>
      </c>
      <c r="D327" s="323"/>
      <c r="E327" s="278" t="s">
        <v>1054</v>
      </c>
      <c r="F327" s="278"/>
      <c r="G327" s="278" t="s">
        <v>15</v>
      </c>
      <c r="H327" s="328">
        <f t="shared" ref="H327:H343" si="159">$H$261*$A327/1000</f>
        <v>1.0318000000000001</v>
      </c>
      <c r="I327" s="280">
        <f t="shared" si="108"/>
        <v>83.183716000000004</v>
      </c>
      <c r="J327" s="281">
        <f t="shared" si="109"/>
        <v>94.337474000000014</v>
      </c>
      <c r="K327" s="282">
        <f>IF(Notes!$B$9="Domestic",I327, IF(Notes!$B$9="Commercial",J327))*$K$261</f>
        <v>94.337474000000014</v>
      </c>
      <c r="L327" s="283">
        <f>(SUM(O327:Q327)+(K327+SUM(M327:Q327))*(INDEX($U$261:$AB$261,MATCH(Notes!$C$16,$U$3:$AB$3,0))-100%))*$L$261</f>
        <v>517.67985499999998</v>
      </c>
      <c r="M327" s="286"/>
      <c r="N327" s="286"/>
      <c r="O327" s="311">
        <f t="shared" ref="O327:P343" si="160">O$261*$A327/1000</f>
        <v>196.042</v>
      </c>
      <c r="P327" s="311">
        <f t="shared" si="160"/>
        <v>321.637855</v>
      </c>
      <c r="Q327" s="285"/>
      <c r="R327" s="278"/>
      <c r="S327" s="278"/>
      <c r="T327" s="278"/>
    </row>
    <row r="328" spans="1:20" s="305" customFormat="1" ht="14.45" hidden="1" customHeight="1" outlineLevel="1" x14ac:dyDescent="0.25">
      <c r="A328" s="331">
        <v>97.5</v>
      </c>
      <c r="B328" s="279" t="str">
        <f t="shared" si="107"/>
        <v>323.9x12.7CHS</v>
      </c>
      <c r="C328" s="323" t="s">
        <v>1294</v>
      </c>
      <c r="D328" s="323"/>
      <c r="E328" s="278" t="s">
        <v>1054</v>
      </c>
      <c r="F328" s="278"/>
      <c r="G328" s="278" t="s">
        <v>15</v>
      </c>
      <c r="H328" s="328">
        <f t="shared" si="159"/>
        <v>1.365</v>
      </c>
      <c r="I328" s="280">
        <f t="shared" si="108"/>
        <v>110.0463</v>
      </c>
      <c r="J328" s="281">
        <f t="shared" si="109"/>
        <v>124.80195000000001</v>
      </c>
      <c r="K328" s="282">
        <f>IF(Notes!$B$9="Domestic",I328, IF(Notes!$B$9="Commercial",J328))*$K$261</f>
        <v>124.80195000000001</v>
      </c>
      <c r="L328" s="283">
        <f>(SUM(O328:Q328)+(K328+SUM(M328:Q328))*(INDEX($U$261:$AB$261,MATCH(Notes!$C$16,$U$3:$AB$3,0))-100%))*$L$261</f>
        <v>684.85462499999994</v>
      </c>
      <c r="M328" s="286"/>
      <c r="N328" s="286"/>
      <c r="O328" s="311">
        <f t="shared" si="160"/>
        <v>259.35000000000002</v>
      </c>
      <c r="P328" s="311">
        <f t="shared" si="160"/>
        <v>425.50462499999992</v>
      </c>
      <c r="Q328" s="285"/>
      <c r="R328" s="278"/>
      <c r="S328" s="278"/>
      <c r="T328" s="278"/>
    </row>
    <row r="329" spans="1:20" s="305" customFormat="1" ht="14.45" hidden="1" customHeight="1" outlineLevel="1" x14ac:dyDescent="0.25">
      <c r="A329" s="331">
        <v>55.1</v>
      </c>
      <c r="B329" s="279" t="str">
        <f t="shared" ref="B329:B334" si="161">C329&amp;D329&amp;E329&amp;F329</f>
        <v>355.6x6.4CHS</v>
      </c>
      <c r="C329" s="323" t="s">
        <v>1295</v>
      </c>
      <c r="D329" s="323"/>
      <c r="E329" s="278" t="s">
        <v>1054</v>
      </c>
      <c r="F329" s="278"/>
      <c r="G329" s="278" t="s">
        <v>15</v>
      </c>
      <c r="H329" s="328">
        <f t="shared" si="159"/>
        <v>0.77139999999999997</v>
      </c>
      <c r="I329" s="280">
        <f t="shared" ref="I329:I334" si="162">$I$2*H329</f>
        <v>62.190268000000003</v>
      </c>
      <c r="J329" s="281">
        <f t="shared" ref="J329:J334" si="163">$J$2*H329</f>
        <v>70.529102000000009</v>
      </c>
      <c r="K329" s="282">
        <f>IF(Notes!$B$9="Domestic",I329, IF(Notes!$B$9="Commercial",J329))*$K$261</f>
        <v>70.529102000000009</v>
      </c>
      <c r="L329" s="283">
        <f>(SUM(O329:Q329)+(K329+SUM(M329:Q329))*(INDEX($U$261:$AB$261,MATCH(Notes!$C$16,$U$3:$AB$3,0))-100%))*$L$261</f>
        <v>387.030665</v>
      </c>
      <c r="M329" s="286"/>
      <c r="N329" s="286"/>
      <c r="O329" s="311">
        <f t="shared" si="160"/>
        <v>146.566</v>
      </c>
      <c r="P329" s="311">
        <f t="shared" si="160"/>
        <v>240.46466499999997</v>
      </c>
      <c r="Q329" s="285"/>
      <c r="R329" s="278"/>
      <c r="S329" s="278"/>
      <c r="T329" s="278"/>
    </row>
    <row r="330" spans="1:20" s="305" customFormat="1" ht="14.45" hidden="1" customHeight="1" outlineLevel="1" x14ac:dyDescent="0.25">
      <c r="A330" s="331">
        <v>81.099999999999994</v>
      </c>
      <c r="B330" s="279" t="str">
        <f t="shared" si="161"/>
        <v>355.6x9.5CHS</v>
      </c>
      <c r="C330" s="323" t="s">
        <v>1296</v>
      </c>
      <c r="D330" s="323"/>
      <c r="E330" s="278" t="s">
        <v>1054</v>
      </c>
      <c r="F330" s="278"/>
      <c r="G330" s="278" t="s">
        <v>15</v>
      </c>
      <c r="H330" s="328">
        <f t="shared" si="159"/>
        <v>1.1354</v>
      </c>
      <c r="I330" s="280">
        <f t="shared" si="162"/>
        <v>91.535948000000005</v>
      </c>
      <c r="J330" s="281">
        <f t="shared" si="163"/>
        <v>103.809622</v>
      </c>
      <c r="K330" s="282">
        <f>IF(Notes!$B$9="Domestic",I330, IF(Notes!$B$9="Commercial",J330))*$K$261</f>
        <v>103.809622</v>
      </c>
      <c r="L330" s="283">
        <f>(SUM(O330:Q330)+(K330+SUM(M330:Q330))*(INDEX($U$261:$AB$261,MATCH(Notes!$C$16,$U$3:$AB$3,0))-100%))*$L$261</f>
        <v>569.65856499999995</v>
      </c>
      <c r="M330" s="286"/>
      <c r="N330" s="286"/>
      <c r="O330" s="311">
        <f t="shared" si="160"/>
        <v>215.72599999999997</v>
      </c>
      <c r="P330" s="311">
        <f t="shared" si="160"/>
        <v>353.93256499999995</v>
      </c>
      <c r="Q330" s="285"/>
      <c r="R330" s="278"/>
      <c r="S330" s="278"/>
      <c r="T330" s="278"/>
    </row>
    <row r="331" spans="1:20" s="305" customFormat="1" ht="14.45" hidden="1" customHeight="1" outlineLevel="1" x14ac:dyDescent="0.25">
      <c r="A331" s="331">
        <v>107</v>
      </c>
      <c r="B331" s="279" t="str">
        <f t="shared" si="161"/>
        <v>355.6x12.7CHS</v>
      </c>
      <c r="C331" s="323" t="s">
        <v>1297</v>
      </c>
      <c r="D331" s="323"/>
      <c r="E331" s="278" t="s">
        <v>1054</v>
      </c>
      <c r="F331" s="278"/>
      <c r="G331" s="278" t="s">
        <v>15</v>
      </c>
      <c r="H331" s="328">
        <f t="shared" si="159"/>
        <v>1.498</v>
      </c>
      <c r="I331" s="280">
        <f t="shared" si="162"/>
        <v>120.76876</v>
      </c>
      <c r="J331" s="281">
        <f t="shared" si="163"/>
        <v>136.96214000000001</v>
      </c>
      <c r="K331" s="282">
        <f>IF(Notes!$B$9="Domestic",I331, IF(Notes!$B$9="Commercial",J331))*$K$261</f>
        <v>136.96214000000001</v>
      </c>
      <c r="L331" s="283">
        <f>(SUM(O331:Q331)+(K331+SUM(M331:Q331))*(INDEX($U$261:$AB$261,MATCH(Notes!$C$16,$U$3:$AB$3,0))-100%))*$L$261</f>
        <v>751.58404999999993</v>
      </c>
      <c r="M331" s="286"/>
      <c r="N331" s="286"/>
      <c r="O331" s="311">
        <f t="shared" si="160"/>
        <v>284.62</v>
      </c>
      <c r="P331" s="311">
        <f t="shared" si="160"/>
        <v>466.96404999999999</v>
      </c>
      <c r="Q331" s="285"/>
      <c r="R331" s="278"/>
      <c r="S331" s="278"/>
      <c r="T331" s="278"/>
    </row>
    <row r="332" spans="1:20" s="305" customFormat="1" ht="14.45" hidden="1" customHeight="1" outlineLevel="1" x14ac:dyDescent="0.25">
      <c r="A332" s="331">
        <v>63.1</v>
      </c>
      <c r="B332" s="279" t="str">
        <f t="shared" si="161"/>
        <v>406.4x6.4CHS</v>
      </c>
      <c r="C332" s="323" t="s">
        <v>1298</v>
      </c>
      <c r="D332" s="323"/>
      <c r="E332" s="278" t="s">
        <v>1054</v>
      </c>
      <c r="F332" s="278"/>
      <c r="G332" s="278" t="s">
        <v>15</v>
      </c>
      <c r="H332" s="328">
        <f t="shared" si="159"/>
        <v>0.88339999999999996</v>
      </c>
      <c r="I332" s="280">
        <f t="shared" si="162"/>
        <v>71.219707999999997</v>
      </c>
      <c r="J332" s="281">
        <f t="shared" si="163"/>
        <v>80.769261999999998</v>
      </c>
      <c r="K332" s="282">
        <f>IF(Notes!$B$9="Domestic",I332, IF(Notes!$B$9="Commercial",J332))*$K$261</f>
        <v>80.769261999999998</v>
      </c>
      <c r="L332" s="283">
        <f>(SUM(O332:Q332)+(K332+SUM(M332:Q332))*(INDEX($U$261:$AB$261,MATCH(Notes!$C$16,$U$3:$AB$3,0))-100%))*$L$261</f>
        <v>443.22386499999999</v>
      </c>
      <c r="M332" s="286"/>
      <c r="N332" s="286"/>
      <c r="O332" s="311">
        <f t="shared" si="160"/>
        <v>167.846</v>
      </c>
      <c r="P332" s="311">
        <f t="shared" si="160"/>
        <v>275.37786499999999</v>
      </c>
      <c r="Q332" s="285"/>
      <c r="R332" s="278"/>
      <c r="S332" s="278"/>
      <c r="T332" s="278"/>
    </row>
    <row r="333" spans="1:20" s="305" customFormat="1" ht="14.45" hidden="1" customHeight="1" outlineLevel="1" x14ac:dyDescent="0.25">
      <c r="A333" s="331">
        <v>93</v>
      </c>
      <c r="B333" s="279" t="str">
        <f t="shared" si="161"/>
        <v>406.4x9.5CHS</v>
      </c>
      <c r="C333" s="323" t="s">
        <v>1299</v>
      </c>
      <c r="D333" s="323"/>
      <c r="E333" s="278" t="s">
        <v>1054</v>
      </c>
      <c r="F333" s="278"/>
      <c r="G333" s="278" t="s">
        <v>15</v>
      </c>
      <c r="H333" s="328">
        <f t="shared" si="159"/>
        <v>1.302</v>
      </c>
      <c r="I333" s="280">
        <f t="shared" si="162"/>
        <v>104.96724</v>
      </c>
      <c r="J333" s="281">
        <f t="shared" si="163"/>
        <v>119.04186000000001</v>
      </c>
      <c r="K333" s="282">
        <f>IF(Notes!$B$9="Domestic",I333, IF(Notes!$B$9="Commercial",J333))*$K$261</f>
        <v>119.04186000000001</v>
      </c>
      <c r="L333" s="283">
        <f>(SUM(O333:Q333)+(K333+SUM(M333:Q333))*(INDEX($U$261:$AB$261,MATCH(Notes!$C$16,$U$3:$AB$3,0))-100%))*$L$261</f>
        <v>653.24594999999999</v>
      </c>
      <c r="M333" s="286"/>
      <c r="N333" s="286"/>
      <c r="O333" s="311">
        <f t="shared" si="160"/>
        <v>247.38</v>
      </c>
      <c r="P333" s="311">
        <f t="shared" si="160"/>
        <v>405.86594999999994</v>
      </c>
      <c r="Q333" s="285"/>
      <c r="R333" s="278"/>
      <c r="S333" s="278"/>
      <c r="T333" s="278"/>
    </row>
    <row r="334" spans="1:20" s="305" customFormat="1" ht="14.45" hidden="1" customHeight="1" outlineLevel="1" x14ac:dyDescent="0.25">
      <c r="A334" s="331">
        <v>123</v>
      </c>
      <c r="B334" s="279" t="str">
        <f t="shared" si="161"/>
        <v>406.4x12.7CHS</v>
      </c>
      <c r="C334" s="323" t="s">
        <v>1300</v>
      </c>
      <c r="D334" s="323"/>
      <c r="E334" s="278" t="s">
        <v>1054</v>
      </c>
      <c r="F334" s="278"/>
      <c r="G334" s="278" t="s">
        <v>15</v>
      </c>
      <c r="H334" s="328">
        <f t="shared" si="159"/>
        <v>1.722</v>
      </c>
      <c r="I334" s="280">
        <f t="shared" si="162"/>
        <v>138.82764</v>
      </c>
      <c r="J334" s="281">
        <f t="shared" si="163"/>
        <v>157.44246000000001</v>
      </c>
      <c r="K334" s="282">
        <f>IF(Notes!$B$9="Domestic",I334, IF(Notes!$B$9="Commercial",J334))*$K$261</f>
        <v>157.44246000000001</v>
      </c>
      <c r="L334" s="283">
        <f>(SUM(O334:Q334)+(K334+SUM(M334:Q334))*(INDEX($U$261:$AB$261,MATCH(Notes!$C$16,$U$3:$AB$3,0))-100%))*$L$261</f>
        <v>863.97045000000003</v>
      </c>
      <c r="M334" s="286"/>
      <c r="N334" s="286"/>
      <c r="O334" s="311">
        <f t="shared" si="160"/>
        <v>327.18</v>
      </c>
      <c r="P334" s="311">
        <f t="shared" si="160"/>
        <v>536.79044999999996</v>
      </c>
      <c r="Q334" s="285"/>
      <c r="R334" s="278"/>
      <c r="S334" s="278"/>
      <c r="T334" s="278"/>
    </row>
    <row r="335" spans="1:20" s="305" customFormat="1" ht="14.45" hidden="1" customHeight="1" outlineLevel="1" x14ac:dyDescent="0.25">
      <c r="A335" s="331">
        <v>71.099999999999994</v>
      </c>
      <c r="B335" s="279" t="str">
        <f t="shared" si="107"/>
        <v>457x6.4CHS</v>
      </c>
      <c r="C335" s="323" t="s">
        <v>1301</v>
      </c>
      <c r="D335" s="323"/>
      <c r="E335" s="278" t="s">
        <v>1054</v>
      </c>
      <c r="F335" s="278"/>
      <c r="G335" s="278" t="s">
        <v>15</v>
      </c>
      <c r="H335" s="328">
        <f t="shared" si="159"/>
        <v>0.99539999999999984</v>
      </c>
      <c r="I335" s="280">
        <f t="shared" si="108"/>
        <v>80.249147999999991</v>
      </c>
      <c r="J335" s="281">
        <f t="shared" si="109"/>
        <v>91.009421999999986</v>
      </c>
      <c r="K335" s="282">
        <f>IF(Notes!$B$9="Domestic",I335, IF(Notes!$B$9="Commercial",J335))*$K$261</f>
        <v>91.009421999999986</v>
      </c>
      <c r="L335" s="283">
        <f>(SUM(O335:Q335)+(K335+SUM(M335:Q335))*(INDEX($U$261:$AB$261,MATCH(Notes!$C$16,$U$3:$AB$3,0))-100%))*$L$261</f>
        <v>499.41706499999992</v>
      </c>
      <c r="M335" s="286"/>
      <c r="N335" s="286"/>
      <c r="O335" s="311">
        <f t="shared" si="160"/>
        <v>189.12599999999998</v>
      </c>
      <c r="P335" s="311">
        <f t="shared" si="160"/>
        <v>310.29106499999995</v>
      </c>
      <c r="Q335" s="285"/>
      <c r="R335" s="278"/>
      <c r="S335" s="278"/>
      <c r="T335" s="278"/>
    </row>
    <row r="336" spans="1:20" s="305" customFormat="1" ht="14.45" hidden="1" customHeight="1" outlineLevel="1" x14ac:dyDescent="0.25">
      <c r="A336" s="331">
        <v>105</v>
      </c>
      <c r="B336" s="279" t="str">
        <f t="shared" ref="B336:B337" si="164">C336&amp;D336&amp;E336&amp;F336</f>
        <v>457x9.5CHS</v>
      </c>
      <c r="C336" s="323" t="s">
        <v>1302</v>
      </c>
      <c r="D336" s="323"/>
      <c r="E336" s="278" t="s">
        <v>1054</v>
      </c>
      <c r="F336" s="278"/>
      <c r="G336" s="278" t="s">
        <v>15</v>
      </c>
      <c r="H336" s="328">
        <f t="shared" si="159"/>
        <v>1.47</v>
      </c>
      <c r="I336" s="280">
        <f t="shared" ref="I336:I337" si="165">$I$2*H336</f>
        <v>118.51140000000001</v>
      </c>
      <c r="J336" s="281">
        <f t="shared" ref="J336:J337" si="166">$J$2*H336</f>
        <v>134.40210000000002</v>
      </c>
      <c r="K336" s="282">
        <f>IF(Notes!$B$9="Domestic",I336, IF(Notes!$B$9="Commercial",J336))*$K$261</f>
        <v>134.40210000000002</v>
      </c>
      <c r="L336" s="283">
        <f>(SUM(O336:Q336)+(K336+SUM(M336:Q336))*(INDEX($U$261:$AB$261,MATCH(Notes!$C$16,$U$3:$AB$3,0))-100%))*$L$261</f>
        <v>737.53575000000001</v>
      </c>
      <c r="M336" s="286"/>
      <c r="N336" s="286"/>
      <c r="O336" s="311">
        <f t="shared" si="160"/>
        <v>279.3</v>
      </c>
      <c r="P336" s="311">
        <f t="shared" si="160"/>
        <v>458.23574999999994</v>
      </c>
      <c r="Q336" s="285"/>
      <c r="R336" s="278"/>
      <c r="S336" s="278"/>
      <c r="T336" s="278"/>
    </row>
    <row r="337" spans="1:28" s="305" customFormat="1" ht="14.45" hidden="1" customHeight="1" outlineLevel="1" x14ac:dyDescent="0.25">
      <c r="A337" s="331">
        <v>139</v>
      </c>
      <c r="B337" s="279" t="str">
        <f t="shared" si="164"/>
        <v>457x12.7CHS</v>
      </c>
      <c r="C337" s="323" t="s">
        <v>1303</v>
      </c>
      <c r="D337" s="323"/>
      <c r="E337" s="278" t="s">
        <v>1054</v>
      </c>
      <c r="F337" s="278"/>
      <c r="G337" s="278" t="s">
        <v>15</v>
      </c>
      <c r="H337" s="328">
        <f t="shared" si="159"/>
        <v>1.946</v>
      </c>
      <c r="I337" s="280">
        <f t="shared" si="165"/>
        <v>156.88652000000002</v>
      </c>
      <c r="J337" s="281">
        <f t="shared" si="166"/>
        <v>177.92278000000002</v>
      </c>
      <c r="K337" s="282">
        <f>IF(Notes!$B$9="Domestic",I337, IF(Notes!$B$9="Commercial",J337))*$K$261</f>
        <v>177.92278000000002</v>
      </c>
      <c r="L337" s="283">
        <f>(SUM(O337:Q337)+(K337+SUM(M337:Q337))*(INDEX($U$261:$AB$261,MATCH(Notes!$C$16,$U$3:$AB$3,0))-100%))*$L$261</f>
        <v>976.35685000000001</v>
      </c>
      <c r="M337" s="286"/>
      <c r="N337" s="286"/>
      <c r="O337" s="311">
        <f t="shared" si="160"/>
        <v>369.74</v>
      </c>
      <c r="P337" s="311">
        <f t="shared" si="160"/>
        <v>606.61685</v>
      </c>
      <c r="Q337" s="285"/>
      <c r="R337" s="278"/>
      <c r="S337" s="278"/>
      <c r="T337" s="278"/>
    </row>
    <row r="338" spans="1:28" s="305" customFormat="1" ht="14.45" hidden="1" customHeight="1" outlineLevel="1" x14ac:dyDescent="0.25">
      <c r="A338" s="331">
        <v>79.2</v>
      </c>
      <c r="B338" s="279" t="str">
        <f t="shared" si="107"/>
        <v>508x6.4CHS</v>
      </c>
      <c r="C338" s="323" t="s">
        <v>1304</v>
      </c>
      <c r="D338" s="323"/>
      <c r="E338" s="278" t="s">
        <v>1054</v>
      </c>
      <c r="F338" s="278"/>
      <c r="G338" s="278" t="s">
        <v>15</v>
      </c>
      <c r="H338" s="328">
        <f t="shared" si="159"/>
        <v>1.1088</v>
      </c>
      <c r="I338" s="280">
        <f t="shared" si="108"/>
        <v>89.391456000000005</v>
      </c>
      <c r="J338" s="281">
        <f t="shared" si="109"/>
        <v>101.37758400000001</v>
      </c>
      <c r="K338" s="282">
        <f>IF(Notes!$B$9="Domestic",I338, IF(Notes!$B$9="Commercial",J338))*$K$261</f>
        <v>101.37758400000001</v>
      </c>
      <c r="L338" s="283">
        <f>(SUM(O338:Q338)+(K338+SUM(M338:Q338))*(INDEX($U$261:$AB$261,MATCH(Notes!$C$16,$U$3:$AB$3,0))-100%))*$L$261</f>
        <v>556.31268</v>
      </c>
      <c r="M338" s="286"/>
      <c r="N338" s="286"/>
      <c r="O338" s="311">
        <f t="shared" si="160"/>
        <v>210.672</v>
      </c>
      <c r="P338" s="311">
        <f t="shared" si="160"/>
        <v>345.64067999999997</v>
      </c>
      <c r="Q338" s="285"/>
      <c r="R338" s="278"/>
      <c r="S338" s="278"/>
      <c r="T338" s="278"/>
      <c r="U338" s="304"/>
    </row>
    <row r="339" spans="1:28" s="305" customFormat="1" ht="14.45" hidden="1" customHeight="1" outlineLevel="1" x14ac:dyDescent="0.25">
      <c r="A339" s="331">
        <v>117</v>
      </c>
      <c r="B339" s="279" t="str">
        <f t="shared" si="107"/>
        <v>508x9.5CHS</v>
      </c>
      <c r="C339" s="323" t="s">
        <v>1305</v>
      </c>
      <c r="D339" s="323"/>
      <c r="E339" s="278" t="s">
        <v>1054</v>
      </c>
      <c r="F339" s="278"/>
      <c r="G339" s="278" t="s">
        <v>15</v>
      </c>
      <c r="H339" s="328">
        <f t="shared" si="159"/>
        <v>1.6379999999999999</v>
      </c>
      <c r="I339" s="280">
        <f t="shared" si="108"/>
        <v>132.05555999999999</v>
      </c>
      <c r="J339" s="281">
        <f t="shared" si="109"/>
        <v>149.76233999999999</v>
      </c>
      <c r="K339" s="282">
        <f>IF(Notes!$B$9="Domestic",I339, IF(Notes!$B$9="Commercial",J339))*$K$261</f>
        <v>149.76233999999999</v>
      </c>
      <c r="L339" s="283">
        <f>(SUM(O339:Q339)+(K339+SUM(M339:Q339))*(INDEX($U$261:$AB$261,MATCH(Notes!$C$16,$U$3:$AB$3,0))-100%))*$L$261</f>
        <v>821.82555000000002</v>
      </c>
      <c r="M339" s="286"/>
      <c r="N339" s="286"/>
      <c r="O339" s="311">
        <f t="shared" si="160"/>
        <v>311.22000000000003</v>
      </c>
      <c r="P339" s="311">
        <f t="shared" si="160"/>
        <v>510.60554999999994</v>
      </c>
      <c r="Q339" s="285"/>
      <c r="R339" s="278"/>
      <c r="S339" s="278"/>
      <c r="T339" s="278"/>
      <c r="U339" s="304"/>
    </row>
    <row r="340" spans="1:28" s="305" customFormat="1" ht="14.45" hidden="1" customHeight="1" outlineLevel="1" x14ac:dyDescent="0.25">
      <c r="A340" s="331">
        <v>155</v>
      </c>
      <c r="B340" s="279" t="str">
        <f t="shared" si="107"/>
        <v>508x12.7CHS</v>
      </c>
      <c r="C340" s="323" t="s">
        <v>1306</v>
      </c>
      <c r="D340" s="323"/>
      <c r="E340" s="278" t="s">
        <v>1054</v>
      </c>
      <c r="F340" s="278"/>
      <c r="G340" s="278" t="s">
        <v>15</v>
      </c>
      <c r="H340" s="328">
        <f t="shared" si="159"/>
        <v>2.17</v>
      </c>
      <c r="I340" s="280">
        <f t="shared" si="108"/>
        <v>174.94540000000001</v>
      </c>
      <c r="J340" s="281">
        <f t="shared" si="109"/>
        <v>198.40309999999999</v>
      </c>
      <c r="K340" s="282">
        <f>IF(Notes!$B$9="Domestic",I340, IF(Notes!$B$9="Commercial",J340))*$K$261</f>
        <v>198.40309999999999</v>
      </c>
      <c r="L340" s="283">
        <f>(SUM(O340:Q340)+(K340+SUM(M340:Q340))*(INDEX($U$261:$AB$261,MATCH(Notes!$C$16,$U$3:$AB$3,0))-100%))*$L$261</f>
        <v>1088.74325</v>
      </c>
      <c r="M340" s="286"/>
      <c r="N340" s="286"/>
      <c r="O340" s="311">
        <f t="shared" si="160"/>
        <v>412.3</v>
      </c>
      <c r="P340" s="311">
        <f t="shared" si="160"/>
        <v>676.44325000000003</v>
      </c>
      <c r="Q340" s="285"/>
      <c r="R340" s="278"/>
      <c r="S340" s="278"/>
      <c r="T340" s="278"/>
      <c r="U340" s="304"/>
    </row>
    <row r="341" spans="1:28" s="305" customFormat="1" ht="14.45" hidden="1" customHeight="1" outlineLevel="1" x14ac:dyDescent="0.25">
      <c r="A341" s="331">
        <v>95.3</v>
      </c>
      <c r="B341" s="279" t="str">
        <f t="shared" ref="B341:B343" si="167">C341&amp;D341&amp;E341&amp;F341</f>
        <v>610x6.4CHS</v>
      </c>
      <c r="C341" s="323" t="s">
        <v>1307</v>
      </c>
      <c r="D341" s="323"/>
      <c r="E341" s="278" t="s">
        <v>1054</v>
      </c>
      <c r="F341" s="278"/>
      <c r="G341" s="278" t="s">
        <v>15</v>
      </c>
      <c r="H341" s="328">
        <f t="shared" si="159"/>
        <v>1.3342000000000001</v>
      </c>
      <c r="I341" s="280">
        <f>$I$2*H341</f>
        <v>107.56320400000001</v>
      </c>
      <c r="J341" s="281">
        <f t="shared" ref="J341:J343" si="168">$J$2*H341</f>
        <v>121.98590600000001</v>
      </c>
      <c r="K341" s="282">
        <f>IF(Notes!$B$9="Domestic",I341, IF(Notes!$B$9="Commercial",J341))*$K$261</f>
        <v>121.98590600000001</v>
      </c>
      <c r="L341" s="283">
        <f>(SUM(O341:Q341)+(K341+SUM(M341:Q341))*(INDEX($U$261:$AB$261,MATCH(Notes!$C$16,$U$3:$AB$3,0))-100%))*$L$261</f>
        <v>669.40149499999995</v>
      </c>
      <c r="M341" s="286"/>
      <c r="N341" s="286"/>
      <c r="O341" s="311">
        <f t="shared" si="160"/>
        <v>253.49799999999999</v>
      </c>
      <c r="P341" s="311">
        <f t="shared" si="160"/>
        <v>415.90349499999996</v>
      </c>
      <c r="Q341" s="285"/>
      <c r="R341" s="278"/>
      <c r="S341" s="278"/>
      <c r="T341" s="278"/>
      <c r="U341" s="304"/>
    </row>
    <row r="342" spans="1:28" s="305" customFormat="1" ht="14.45" hidden="1" customHeight="1" outlineLevel="1" x14ac:dyDescent="0.25">
      <c r="A342" s="331">
        <v>141</v>
      </c>
      <c r="B342" s="279" t="str">
        <f t="shared" si="167"/>
        <v>610x9.5CHS</v>
      </c>
      <c r="C342" s="323" t="s">
        <v>1308</v>
      </c>
      <c r="D342" s="323"/>
      <c r="E342" s="278" t="s">
        <v>1054</v>
      </c>
      <c r="F342" s="278"/>
      <c r="G342" s="278" t="s">
        <v>15</v>
      </c>
      <c r="H342" s="328">
        <f t="shared" si="159"/>
        <v>1.974</v>
      </c>
      <c r="I342" s="280">
        <f t="shared" ref="I342" si="169">$I$2*H342</f>
        <v>159.14388</v>
      </c>
      <c r="J342" s="281">
        <f t="shared" si="168"/>
        <v>180.48282</v>
      </c>
      <c r="K342" s="282">
        <f>IF(Notes!$B$9="Domestic",I342, IF(Notes!$B$9="Commercial",J342))*$K$261</f>
        <v>180.48282</v>
      </c>
      <c r="L342" s="283">
        <f>(SUM(O342:Q342)+(K342+SUM(M342:Q342))*(INDEX($U$261:$AB$261,MATCH(Notes!$C$16,$U$3:$AB$3,0))-100%))*$L$261</f>
        <v>990.40514999999982</v>
      </c>
      <c r="M342" s="286"/>
      <c r="N342" s="286"/>
      <c r="O342" s="311">
        <f t="shared" si="160"/>
        <v>375.06</v>
      </c>
      <c r="P342" s="311">
        <f t="shared" si="160"/>
        <v>615.34514999999988</v>
      </c>
      <c r="Q342" s="285"/>
      <c r="R342" s="278"/>
      <c r="S342" s="278"/>
      <c r="T342" s="278"/>
    </row>
    <row r="343" spans="1:28" s="305" customFormat="1" ht="14.45" hidden="1" customHeight="1" outlineLevel="1" x14ac:dyDescent="0.25">
      <c r="A343" s="331">
        <v>187</v>
      </c>
      <c r="B343" s="279" t="str">
        <f t="shared" si="167"/>
        <v>610x12.7CHS</v>
      </c>
      <c r="C343" s="323" t="s">
        <v>1309</v>
      </c>
      <c r="D343" s="323"/>
      <c r="E343" s="278" t="s">
        <v>1054</v>
      </c>
      <c r="F343" s="278"/>
      <c r="G343" s="278" t="s">
        <v>15</v>
      </c>
      <c r="H343" s="328">
        <f t="shared" si="159"/>
        <v>2.6179999999999999</v>
      </c>
      <c r="I343" s="280">
        <f>$I$2*H343</f>
        <v>211.06316000000001</v>
      </c>
      <c r="J343" s="281">
        <f t="shared" si="168"/>
        <v>239.36374000000001</v>
      </c>
      <c r="K343" s="282">
        <f>IF(Notes!$B$9="Domestic",I343, IF(Notes!$B$9="Commercial",J343))*$K$261</f>
        <v>239.36374000000001</v>
      </c>
      <c r="L343" s="283">
        <f>(SUM(O343:Q343)+(K343+SUM(M343:Q343))*(INDEX($U$261:$AB$261,MATCH(Notes!$C$16,$U$3:$AB$3,0))-100%))*$L$261</f>
        <v>1313.51605</v>
      </c>
      <c r="M343" s="286"/>
      <c r="N343" s="286"/>
      <c r="O343" s="311">
        <f t="shared" si="160"/>
        <v>497.42</v>
      </c>
      <c r="P343" s="311">
        <f t="shared" si="160"/>
        <v>816.09604999999988</v>
      </c>
      <c r="Q343" s="285"/>
      <c r="R343" s="278"/>
      <c r="S343" s="278"/>
      <c r="T343" s="278"/>
    </row>
    <row r="344" spans="1:28" ht="21" hidden="1" outlineLevel="1" x14ac:dyDescent="0.25">
      <c r="A344" s="299" t="s">
        <v>1049</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row>
    <row r="345" spans="1:28" ht="15.75" hidden="1" outlineLevel="1" x14ac:dyDescent="0.25">
      <c r="A345" s="303" t="s">
        <v>1044</v>
      </c>
      <c r="B345" s="291"/>
      <c r="C345" s="291"/>
      <c r="D345" s="291"/>
      <c r="E345" s="291"/>
      <c r="F345" s="291"/>
      <c r="G345" s="291"/>
      <c r="H345" s="325">
        <f>7*2</f>
        <v>14</v>
      </c>
      <c r="I345" s="291"/>
      <c r="J345" s="291"/>
      <c r="K345" s="291">
        <f>K$2</f>
        <v>1</v>
      </c>
      <c r="L345" s="291">
        <f>L$2</f>
        <v>1</v>
      </c>
      <c r="M345" s="291"/>
      <c r="N345" s="291"/>
      <c r="O345" s="324">
        <f>1900*106%</f>
        <v>2014</v>
      </c>
      <c r="P345" s="324">
        <f>40*$P$2</f>
        <v>4987.6000000000004</v>
      </c>
      <c r="Q345" s="303"/>
      <c r="R345" s="291"/>
      <c r="S345" s="291"/>
      <c r="T345" s="291"/>
      <c r="U345" s="291">
        <f>(1900*106%+$P345)/($O345+$P345)</f>
        <v>1</v>
      </c>
      <c r="V345" s="291">
        <f>(1900*106%+$P345)/($O345+$P345)</f>
        <v>1</v>
      </c>
      <c r="W345" s="291">
        <f>(1805*106%+$P345)/($O345+$P345)</f>
        <v>0.98561757312614262</v>
      </c>
      <c r="X345" s="291">
        <f>(1900*106%+$P345)/($O345+$P345)</f>
        <v>1</v>
      </c>
      <c r="Y345" s="291">
        <f>(1835*106%+$P345)/($O345+$P345)</f>
        <v>0.99015939213893978</v>
      </c>
      <c r="Z345" s="291">
        <f>(3800+$P345)/($O345+$P345)</f>
        <v>1.2550845521023766</v>
      </c>
      <c r="AA345" s="291">
        <f>(4800+$P345)/($O345+$P345)</f>
        <v>1.3979090493601463</v>
      </c>
      <c r="AB345" s="291">
        <f>(2200+$P345)/($O345+$P345)</f>
        <v>1.0265653564899451</v>
      </c>
    </row>
    <row r="346" spans="1:28" s="305" customFormat="1" ht="14.45" hidden="1" customHeight="1" outlineLevel="1" x14ac:dyDescent="0.25">
      <c r="A346" s="331">
        <v>0.92</v>
      </c>
      <c r="B346" s="279" t="str">
        <f>C346&amp;D346&amp;E346&amp;F346</f>
        <v>20x20x3EA</v>
      </c>
      <c r="C346" s="278" t="s">
        <v>1406</v>
      </c>
      <c r="D346" s="278"/>
      <c r="E346" s="278" t="s">
        <v>1401</v>
      </c>
      <c r="F346" s="278"/>
      <c r="G346" s="278" t="s">
        <v>15</v>
      </c>
      <c r="H346" s="328">
        <f>$H$345*$A346/1000</f>
        <v>1.2880000000000001E-2</v>
      </c>
      <c r="I346" s="280">
        <f>$I$2*H346</f>
        <v>1.0383856</v>
      </c>
      <c r="J346" s="281">
        <f>$J$2*H346</f>
        <v>1.1776184000000001</v>
      </c>
      <c r="K346" s="282">
        <f>IF(Notes!$B$9="Domestic",I346, IF(Notes!$B$9="Commercial",J346))*$K$345</f>
        <v>1.1776184000000001</v>
      </c>
      <c r="L346" s="283">
        <f>(SUM(O346:Q346)+(K346+SUM(M346:Q346))*(INDEX($U$345:$AB$345,MATCH(Notes!$C$16,$U$3:$AB$3,0))-100%))*$L$345</f>
        <v>6.4414720000000001</v>
      </c>
      <c r="M346" s="286"/>
      <c r="N346" s="286"/>
      <c r="O346" s="311">
        <f>O$345*$A346/1000</f>
        <v>1.8528800000000001</v>
      </c>
      <c r="P346" s="311">
        <f>P$345*$A346/1000</f>
        <v>4.5885920000000002</v>
      </c>
      <c r="Q346" s="285"/>
      <c r="R346" s="278"/>
      <c r="S346" s="278"/>
      <c r="T346" s="278"/>
      <c r="U346" s="304"/>
    </row>
    <row r="347" spans="1:28" s="305" customFormat="1" ht="14.45" hidden="1" customHeight="1" outlineLevel="1" x14ac:dyDescent="0.25">
      <c r="A347" s="331">
        <v>1.1200000000000001</v>
      </c>
      <c r="B347" s="279" t="str">
        <f>C347&amp;D347&amp;E347&amp;F347</f>
        <v>25x25x3EA</v>
      </c>
      <c r="C347" s="278" t="s">
        <v>1154</v>
      </c>
      <c r="D347" s="278"/>
      <c r="E347" s="278" t="s">
        <v>1401</v>
      </c>
      <c r="F347" s="278"/>
      <c r="G347" s="278" t="s">
        <v>15</v>
      </c>
      <c r="H347" s="328">
        <f t="shared" ref="H347:H392" si="170">$H$345*$A347/1000</f>
        <v>1.5680000000000003E-2</v>
      </c>
      <c r="I347" s="280">
        <f>$I$2*H347</f>
        <v>1.2641216000000004</v>
      </c>
      <c r="J347" s="281">
        <f>$J$2*H347</f>
        <v>1.4336224000000004</v>
      </c>
      <c r="K347" s="282">
        <f>IF(Notes!$B$9="Domestic",I347, IF(Notes!$B$9="Commercial",J347))*$K$345</f>
        <v>1.4336224000000004</v>
      </c>
      <c r="L347" s="283">
        <f>(SUM(O347:Q347)+(K347+SUM(M347:Q347))*(INDEX($U$345:$AB$345,MATCH(Notes!$C$16,$U$3:$AB$3,0))-100%))*$L$345</f>
        <v>7.8417920000000017</v>
      </c>
      <c r="M347" s="286"/>
      <c r="N347" s="286"/>
      <c r="O347" s="311">
        <f t="shared" ref="O347:P392" si="171">O$345*$A347/1000</f>
        <v>2.2556800000000004</v>
      </c>
      <c r="P347" s="311">
        <f t="shared" si="171"/>
        <v>5.5861120000000009</v>
      </c>
      <c r="Q347" s="285"/>
      <c r="R347" s="278"/>
      <c r="S347" s="278"/>
      <c r="T347" s="278"/>
      <c r="U347" s="304"/>
    </row>
    <row r="348" spans="1:28" s="305" customFormat="1" ht="14.45" hidden="1" customHeight="1" outlineLevel="1" x14ac:dyDescent="0.25">
      <c r="A348" s="331">
        <v>1.65</v>
      </c>
      <c r="B348" s="279" t="str">
        <f t="shared" ref="B348:B392" si="172">C348&amp;D348&amp;E348&amp;F348</f>
        <v>25x25x5EA</v>
      </c>
      <c r="C348" s="278" t="s">
        <v>1379</v>
      </c>
      <c r="D348" s="278"/>
      <c r="E348" s="278" t="s">
        <v>1401</v>
      </c>
      <c r="F348" s="278"/>
      <c r="G348" s="278" t="s">
        <v>15</v>
      </c>
      <c r="H348" s="328">
        <f t="shared" si="170"/>
        <v>2.3099999999999999E-2</v>
      </c>
      <c r="I348" s="280">
        <f t="shared" ref="I348:I392" si="173">$I$2*H348</f>
        <v>1.862322</v>
      </c>
      <c r="J348" s="281">
        <f t="shared" ref="J348:J392" si="174">$J$2*H348</f>
        <v>2.1120330000000003</v>
      </c>
      <c r="K348" s="282">
        <f>IF(Notes!$B$9="Domestic",I348, IF(Notes!$B$9="Commercial",J348))*$K$345</f>
        <v>2.1120330000000003</v>
      </c>
      <c r="L348" s="283">
        <f>(SUM(O348:Q348)+(K348+SUM(M348:Q348))*(INDEX($U$345:$AB$345,MATCH(Notes!$C$16,$U$3:$AB$3,0))-100%))*$L$345</f>
        <v>11.55264</v>
      </c>
      <c r="M348" s="286"/>
      <c r="N348" s="286"/>
      <c r="O348" s="311">
        <f t="shared" si="171"/>
        <v>3.3230999999999997</v>
      </c>
      <c r="P348" s="311">
        <f t="shared" si="171"/>
        <v>8.2295400000000001</v>
      </c>
      <c r="Q348" s="285"/>
      <c r="R348" s="278"/>
      <c r="S348" s="278"/>
      <c r="T348" s="278"/>
      <c r="U348" s="304"/>
    </row>
    <row r="349" spans="1:28" s="305" customFormat="1" ht="14.45" hidden="1" customHeight="1" outlineLevel="1" x14ac:dyDescent="0.25">
      <c r="A349" s="331">
        <v>2.08</v>
      </c>
      <c r="B349" s="279" t="str">
        <f t="shared" si="172"/>
        <v>25x25x6EA</v>
      </c>
      <c r="C349" s="278" t="s">
        <v>1380</v>
      </c>
      <c r="D349" s="278"/>
      <c r="E349" s="278" t="s">
        <v>1401</v>
      </c>
      <c r="F349" s="278"/>
      <c r="G349" s="278" t="s">
        <v>15</v>
      </c>
      <c r="H349" s="328">
        <f t="shared" si="170"/>
        <v>2.912E-2</v>
      </c>
      <c r="I349" s="280">
        <f t="shared" si="173"/>
        <v>2.3476544000000001</v>
      </c>
      <c r="J349" s="281">
        <f t="shared" si="174"/>
        <v>2.6624416000000002</v>
      </c>
      <c r="K349" s="282">
        <f>IF(Notes!$B$9="Domestic",I349, IF(Notes!$B$9="Commercial",J349))*$K$345</f>
        <v>2.6624416000000002</v>
      </c>
      <c r="L349" s="283">
        <f>(SUM(O349:Q349)+(K349+SUM(M349:Q349))*(INDEX($U$345:$AB$345,MATCH(Notes!$C$16,$U$3:$AB$3,0))-100%))*$L$345</f>
        <v>14.563328000000002</v>
      </c>
      <c r="M349" s="286"/>
      <c r="N349" s="286"/>
      <c r="O349" s="311">
        <f t="shared" si="171"/>
        <v>4.18912</v>
      </c>
      <c r="P349" s="311">
        <f t="shared" si="171"/>
        <v>10.374208000000001</v>
      </c>
      <c r="Q349" s="285"/>
      <c r="R349" s="278"/>
      <c r="S349" s="278"/>
      <c r="T349" s="278"/>
      <c r="U349" s="304"/>
    </row>
    <row r="350" spans="1:28" s="305" customFormat="1" hidden="1" outlineLevel="1" x14ac:dyDescent="0.25">
      <c r="A350" s="331">
        <v>1.35</v>
      </c>
      <c r="B350" s="279" t="str">
        <f t="shared" si="172"/>
        <v>30x30x3EA</v>
      </c>
      <c r="C350" s="278" t="s">
        <v>1158</v>
      </c>
      <c r="D350" s="278"/>
      <c r="E350" s="278" t="s">
        <v>1401</v>
      </c>
      <c r="F350" s="278"/>
      <c r="G350" s="278" t="s">
        <v>15</v>
      </c>
      <c r="H350" s="328">
        <f t="shared" si="170"/>
        <v>1.8900000000000004E-2</v>
      </c>
      <c r="I350" s="280">
        <f t="shared" si="173"/>
        <v>1.5237180000000003</v>
      </c>
      <c r="J350" s="281">
        <f t="shared" si="174"/>
        <v>1.7280270000000004</v>
      </c>
      <c r="K350" s="282">
        <f>IF(Notes!$B$9="Domestic",I350, IF(Notes!$B$9="Commercial",J350))*$K$345</f>
        <v>1.7280270000000004</v>
      </c>
      <c r="L350" s="283">
        <f>(SUM(O350:Q350)+(K350+SUM(M350:Q350))*(INDEX($U$345:$AB$345,MATCH(Notes!$C$16,$U$3:$AB$3,0))-100%))*$L$345</f>
        <v>9.452160000000001</v>
      </c>
      <c r="M350" s="286"/>
      <c r="N350" s="286"/>
      <c r="O350" s="311">
        <f t="shared" si="171"/>
        <v>2.7189000000000001</v>
      </c>
      <c r="P350" s="311">
        <f t="shared" si="171"/>
        <v>6.7332600000000014</v>
      </c>
      <c r="Q350" s="285"/>
      <c r="R350" s="278"/>
      <c r="S350" s="278"/>
      <c r="T350" s="278"/>
    </row>
    <row r="351" spans="1:28" s="305" customFormat="1" hidden="1" outlineLevel="1" x14ac:dyDescent="0.25">
      <c r="A351" s="331">
        <v>2.0099999999999998</v>
      </c>
      <c r="B351" s="279" t="str">
        <f t="shared" si="172"/>
        <v>30x30x5EA</v>
      </c>
      <c r="C351" s="278" t="s">
        <v>1381</v>
      </c>
      <c r="D351" s="278"/>
      <c r="E351" s="278" t="s">
        <v>1401</v>
      </c>
      <c r="F351" s="278"/>
      <c r="G351" s="278" t="s">
        <v>15</v>
      </c>
      <c r="H351" s="328">
        <f t="shared" si="170"/>
        <v>2.8139999999999998E-2</v>
      </c>
      <c r="I351" s="280">
        <f>$I$2*H351</f>
        <v>2.2686468</v>
      </c>
      <c r="J351" s="281">
        <f t="shared" si="174"/>
        <v>2.5728401999999999</v>
      </c>
      <c r="K351" s="282">
        <f>IF(Notes!$B$9="Domestic",I351, IF(Notes!$B$9="Commercial",J351))*$K$345</f>
        <v>2.5728401999999999</v>
      </c>
      <c r="L351" s="283">
        <f>(SUM(O351:Q351)+(K351+SUM(M351:Q351))*(INDEX($U$345:$AB$345,MATCH(Notes!$C$16,$U$3:$AB$3,0))-100%))*$L$345</f>
        <v>14.073215999999999</v>
      </c>
      <c r="M351" s="286"/>
      <c r="N351" s="286"/>
      <c r="O351" s="311">
        <f t="shared" si="171"/>
        <v>4.0481399999999992</v>
      </c>
      <c r="P351" s="311">
        <f t="shared" si="171"/>
        <v>10.025075999999999</v>
      </c>
      <c r="Q351" s="285"/>
      <c r="R351" s="278"/>
      <c r="S351" s="278"/>
      <c r="T351" s="278"/>
    </row>
    <row r="352" spans="1:28" s="305" customFormat="1" hidden="1" outlineLevel="1" x14ac:dyDescent="0.25">
      <c r="A352" s="331">
        <v>2.56</v>
      </c>
      <c r="B352" s="279" t="str">
        <f t="shared" si="172"/>
        <v>30x30x6EA</v>
      </c>
      <c r="C352" s="278" t="s">
        <v>1382</v>
      </c>
      <c r="D352" s="278"/>
      <c r="E352" s="278" t="s">
        <v>1401</v>
      </c>
      <c r="F352" s="278"/>
      <c r="G352" s="278" t="s">
        <v>15</v>
      </c>
      <c r="H352" s="328">
        <f t="shared" si="170"/>
        <v>3.5840000000000004E-2</v>
      </c>
      <c r="I352" s="280">
        <f t="shared" si="173"/>
        <v>2.8894208000000003</v>
      </c>
      <c r="J352" s="281">
        <f t="shared" si="174"/>
        <v>3.2768512000000007</v>
      </c>
      <c r="K352" s="282">
        <f>IF(Notes!$B$9="Domestic",I352, IF(Notes!$B$9="Commercial",J352))*$K$345</f>
        <v>3.2768512000000007</v>
      </c>
      <c r="L352" s="283">
        <f>(SUM(O352:Q352)+(K352+SUM(M352:Q352))*(INDEX($U$345:$AB$345,MATCH(Notes!$C$16,$U$3:$AB$3,0))-100%))*$L$345</f>
        <v>17.924096000000002</v>
      </c>
      <c r="M352" s="286"/>
      <c r="N352" s="286"/>
      <c r="O352" s="311">
        <f t="shared" si="171"/>
        <v>5.1558400000000004</v>
      </c>
      <c r="P352" s="311">
        <f t="shared" si="171"/>
        <v>12.768256000000001</v>
      </c>
      <c r="Q352" s="285"/>
      <c r="R352" s="278"/>
      <c r="S352" s="278"/>
      <c r="T352" s="278"/>
    </row>
    <row r="353" spans="1:20" s="305" customFormat="1" hidden="1" outlineLevel="1" x14ac:dyDescent="0.25">
      <c r="A353" s="331">
        <v>1.83</v>
      </c>
      <c r="B353" s="279" t="str">
        <f t="shared" si="172"/>
        <v>40x40x3EA</v>
      </c>
      <c r="C353" s="278" t="s">
        <v>1166</v>
      </c>
      <c r="D353" s="278"/>
      <c r="E353" s="278" t="s">
        <v>1401</v>
      </c>
      <c r="F353" s="278"/>
      <c r="G353" s="278" t="s">
        <v>15</v>
      </c>
      <c r="H353" s="328">
        <f t="shared" si="170"/>
        <v>2.562E-2</v>
      </c>
      <c r="I353" s="280">
        <f t="shared" si="173"/>
        <v>2.0654844000000003</v>
      </c>
      <c r="J353" s="281">
        <f t="shared" si="174"/>
        <v>2.3424366000000001</v>
      </c>
      <c r="K353" s="282">
        <f>IF(Notes!$B$9="Domestic",I353, IF(Notes!$B$9="Commercial",J353))*$K$345</f>
        <v>2.3424366000000001</v>
      </c>
      <c r="L353" s="283">
        <f>(SUM(O353:Q353)+(K353+SUM(M353:Q353))*(INDEX($U$345:$AB$345,MATCH(Notes!$C$16,$U$3:$AB$3,0))-100%))*$L$345</f>
        <v>12.812928000000001</v>
      </c>
      <c r="M353" s="286"/>
      <c r="N353" s="286"/>
      <c r="O353" s="311">
        <f t="shared" si="171"/>
        <v>3.6856200000000006</v>
      </c>
      <c r="P353" s="311">
        <f t="shared" si="171"/>
        <v>9.1273080000000011</v>
      </c>
      <c r="Q353" s="285"/>
      <c r="R353" s="278"/>
      <c r="S353" s="278"/>
      <c r="T353" s="278"/>
    </row>
    <row r="354" spans="1:20" s="305" customFormat="1" hidden="1" outlineLevel="1" x14ac:dyDescent="0.25">
      <c r="A354" s="331">
        <v>2.73</v>
      </c>
      <c r="B354" s="279" t="str">
        <f t="shared" si="172"/>
        <v>40x40x5EA</v>
      </c>
      <c r="C354" s="278" t="s">
        <v>1383</v>
      </c>
      <c r="D354" s="278"/>
      <c r="E354" s="278" t="s">
        <v>1401</v>
      </c>
      <c r="F354" s="278"/>
      <c r="G354" s="278" t="s">
        <v>15</v>
      </c>
      <c r="H354" s="328">
        <f t="shared" si="170"/>
        <v>3.8219999999999997E-2</v>
      </c>
      <c r="I354" s="280">
        <f t="shared" si="173"/>
        <v>3.0812963999999998</v>
      </c>
      <c r="J354" s="281">
        <f t="shared" si="174"/>
        <v>3.4944546000000001</v>
      </c>
      <c r="K354" s="282">
        <f>IF(Notes!$B$9="Domestic",I354, IF(Notes!$B$9="Commercial",J354))*$K$345</f>
        <v>3.4944546000000001</v>
      </c>
      <c r="L354" s="283">
        <f>(SUM(O354:Q354)+(K354+SUM(M354:Q354))*(INDEX($U$345:$AB$345,MATCH(Notes!$C$16,$U$3:$AB$3,0))-100%))*$L$345</f>
        <v>19.114367999999999</v>
      </c>
      <c r="M354" s="286"/>
      <c r="N354" s="286"/>
      <c r="O354" s="311">
        <f t="shared" si="171"/>
        <v>5.4982199999999999</v>
      </c>
      <c r="P354" s="311">
        <f t="shared" si="171"/>
        <v>13.616148000000001</v>
      </c>
      <c r="Q354" s="285"/>
      <c r="R354" s="278"/>
      <c r="S354" s="278"/>
      <c r="T354" s="278"/>
    </row>
    <row r="355" spans="1:20" s="305" customFormat="1" hidden="1" outlineLevel="1" x14ac:dyDescent="0.25">
      <c r="A355" s="331">
        <v>3.5</v>
      </c>
      <c r="B355" s="279" t="str">
        <f t="shared" si="172"/>
        <v>40x40x6EA</v>
      </c>
      <c r="C355" s="278" t="s">
        <v>1384</v>
      </c>
      <c r="D355" s="278"/>
      <c r="E355" s="278" t="s">
        <v>1401</v>
      </c>
      <c r="F355" s="278"/>
      <c r="G355" s="278" t="s">
        <v>15</v>
      </c>
      <c r="H355" s="328">
        <f t="shared" si="170"/>
        <v>4.9000000000000002E-2</v>
      </c>
      <c r="I355" s="280">
        <f t="shared" si="173"/>
        <v>3.9503800000000004</v>
      </c>
      <c r="J355" s="281">
        <f t="shared" si="174"/>
        <v>4.4800700000000004</v>
      </c>
      <c r="K355" s="282">
        <f>IF(Notes!$B$9="Domestic",I355, IF(Notes!$B$9="Commercial",J355))*$K$345</f>
        <v>4.4800700000000004</v>
      </c>
      <c r="L355" s="283">
        <f>(SUM(O355:Q355)+(K355+SUM(M355:Q355))*(INDEX($U$345:$AB$345,MATCH(Notes!$C$16,$U$3:$AB$3,0))-100%))*$L$345</f>
        <v>24.505600000000001</v>
      </c>
      <c r="M355" s="286"/>
      <c r="N355" s="286"/>
      <c r="O355" s="311">
        <f t="shared" si="171"/>
        <v>7.0490000000000004</v>
      </c>
      <c r="P355" s="311">
        <f t="shared" si="171"/>
        <v>17.456600000000002</v>
      </c>
      <c r="Q355" s="285"/>
      <c r="R355" s="278"/>
      <c r="S355" s="278"/>
      <c r="T355" s="278"/>
    </row>
    <row r="356" spans="1:20" s="305" customFormat="1" hidden="1" outlineLevel="1" x14ac:dyDescent="0.25">
      <c r="A356" s="331">
        <v>2.06</v>
      </c>
      <c r="B356" s="279" t="str">
        <f t="shared" ref="B356:B391" si="175">C356&amp;D356&amp;E356&amp;F356</f>
        <v>45x45x3EA</v>
      </c>
      <c r="C356" s="278" t="s">
        <v>1385</v>
      </c>
      <c r="D356" s="278"/>
      <c r="E356" s="278" t="s">
        <v>1401</v>
      </c>
      <c r="F356" s="278"/>
      <c r="G356" s="278" t="s">
        <v>15</v>
      </c>
      <c r="H356" s="328">
        <f t="shared" si="170"/>
        <v>2.8840000000000001E-2</v>
      </c>
      <c r="I356" s="280">
        <f t="shared" ref="I356:I391" si="176">$I$2*H356</f>
        <v>2.3250808000000003</v>
      </c>
      <c r="J356" s="281">
        <f t="shared" ref="J356:J391" si="177">$J$2*H356</f>
        <v>2.6368412000000001</v>
      </c>
      <c r="K356" s="282">
        <f>IF(Notes!$B$9="Domestic",I356, IF(Notes!$B$9="Commercial",J356))*$K$345</f>
        <v>2.6368412000000001</v>
      </c>
      <c r="L356" s="283">
        <f>(SUM(O356:Q356)+(K356+SUM(M356:Q356))*(INDEX($U$345:$AB$345,MATCH(Notes!$C$16,$U$3:$AB$3,0))-100%))*$L$345</f>
        <v>14.423296000000001</v>
      </c>
      <c r="M356" s="286"/>
      <c r="N356" s="286"/>
      <c r="O356" s="311">
        <f t="shared" si="171"/>
        <v>4.1488399999999999</v>
      </c>
      <c r="P356" s="311">
        <f t="shared" si="171"/>
        <v>10.274456000000001</v>
      </c>
      <c r="Q356" s="285"/>
      <c r="R356" s="278"/>
      <c r="S356" s="278"/>
      <c r="T356" s="278"/>
    </row>
    <row r="357" spans="1:20" s="305" customFormat="1" hidden="1" outlineLevel="1" x14ac:dyDescent="0.25">
      <c r="A357" s="331">
        <v>3.1</v>
      </c>
      <c r="B357" s="279" t="str">
        <f t="shared" si="175"/>
        <v>45x45x5EA</v>
      </c>
      <c r="C357" s="278" t="s">
        <v>1386</v>
      </c>
      <c r="D357" s="278"/>
      <c r="E357" s="278" t="s">
        <v>1401</v>
      </c>
      <c r="F357" s="278"/>
      <c r="G357" s="278" t="s">
        <v>15</v>
      </c>
      <c r="H357" s="328">
        <f t="shared" si="170"/>
        <v>4.3400000000000001E-2</v>
      </c>
      <c r="I357" s="280">
        <f t="shared" si="176"/>
        <v>3.4989080000000001</v>
      </c>
      <c r="J357" s="281">
        <f t="shared" si="177"/>
        <v>3.9680620000000002</v>
      </c>
      <c r="K357" s="282">
        <f>IF(Notes!$B$9="Domestic",I357, IF(Notes!$B$9="Commercial",J357))*$K$345</f>
        <v>3.9680620000000002</v>
      </c>
      <c r="L357" s="283">
        <f>(SUM(O357:Q357)+(K357+SUM(M357:Q357))*(INDEX($U$345:$AB$345,MATCH(Notes!$C$16,$U$3:$AB$3,0))-100%))*$L$345</f>
        <v>21.704960000000003</v>
      </c>
      <c r="M357" s="286"/>
      <c r="N357" s="286"/>
      <c r="O357" s="311">
        <f t="shared" si="171"/>
        <v>6.2434000000000003</v>
      </c>
      <c r="P357" s="311">
        <f t="shared" si="171"/>
        <v>15.461560000000002</v>
      </c>
      <c r="Q357" s="285"/>
      <c r="R357" s="278"/>
      <c r="S357" s="278"/>
      <c r="T357" s="278"/>
    </row>
    <row r="358" spans="1:20" s="305" customFormat="1" hidden="1" outlineLevel="1" x14ac:dyDescent="0.25">
      <c r="A358" s="331">
        <v>3.97</v>
      </c>
      <c r="B358" s="279" t="str">
        <f t="shared" si="175"/>
        <v>45x45x6EA</v>
      </c>
      <c r="C358" s="278" t="s">
        <v>1387</v>
      </c>
      <c r="D358" s="278"/>
      <c r="E358" s="278" t="s">
        <v>1401</v>
      </c>
      <c r="F358" s="278"/>
      <c r="G358" s="278" t="s">
        <v>15</v>
      </c>
      <c r="H358" s="328">
        <f t="shared" si="170"/>
        <v>5.5580000000000004E-2</v>
      </c>
      <c r="I358" s="280">
        <f t="shared" si="176"/>
        <v>4.4808596000000005</v>
      </c>
      <c r="J358" s="281">
        <f t="shared" si="177"/>
        <v>5.0816794000000005</v>
      </c>
      <c r="K358" s="282">
        <f>IF(Notes!$B$9="Domestic",I358, IF(Notes!$B$9="Commercial",J358))*$K$345</f>
        <v>5.0816794000000005</v>
      </c>
      <c r="L358" s="283">
        <f>(SUM(O358:Q358)+(K358+SUM(M358:Q358))*(INDEX($U$345:$AB$345,MATCH(Notes!$C$16,$U$3:$AB$3,0))-100%))*$L$345</f>
        <v>27.796352000000002</v>
      </c>
      <c r="M358" s="286"/>
      <c r="N358" s="286"/>
      <c r="O358" s="311">
        <f t="shared" si="171"/>
        <v>7.9955800000000012</v>
      </c>
      <c r="P358" s="311">
        <f t="shared" si="171"/>
        <v>19.800772000000002</v>
      </c>
      <c r="Q358" s="285"/>
      <c r="R358" s="278"/>
      <c r="S358" s="278"/>
      <c r="T358" s="278"/>
    </row>
    <row r="359" spans="1:20" s="305" customFormat="1" hidden="1" outlineLevel="1" x14ac:dyDescent="0.25">
      <c r="A359" s="331">
        <v>2.31</v>
      </c>
      <c r="B359" s="279" t="str">
        <f t="shared" si="175"/>
        <v>50x50x3EA</v>
      </c>
      <c r="C359" s="278" t="s">
        <v>1171</v>
      </c>
      <c r="D359" s="278"/>
      <c r="E359" s="278" t="s">
        <v>1401</v>
      </c>
      <c r="F359" s="278"/>
      <c r="G359" s="278" t="s">
        <v>15</v>
      </c>
      <c r="H359" s="328">
        <f t="shared" si="170"/>
        <v>3.2340000000000001E-2</v>
      </c>
      <c r="I359" s="280">
        <f t="shared" si="176"/>
        <v>2.6072508000000001</v>
      </c>
      <c r="J359" s="281">
        <f t="shared" si="177"/>
        <v>2.9568462000000002</v>
      </c>
      <c r="K359" s="282">
        <f>IF(Notes!$B$9="Domestic",I359, IF(Notes!$B$9="Commercial",J359))*$K$345</f>
        <v>2.9568462000000002</v>
      </c>
      <c r="L359" s="283">
        <f>(SUM(O359:Q359)+(K359+SUM(M359:Q359))*(INDEX($U$345:$AB$345,MATCH(Notes!$C$16,$U$3:$AB$3,0))-100%))*$L$345</f>
        <v>16.173696</v>
      </c>
      <c r="M359" s="286"/>
      <c r="N359" s="286"/>
      <c r="O359" s="311">
        <f t="shared" si="171"/>
        <v>4.6523400000000006</v>
      </c>
      <c r="P359" s="311">
        <f t="shared" si="171"/>
        <v>11.521356000000001</v>
      </c>
      <c r="Q359" s="285"/>
      <c r="R359" s="278"/>
      <c r="S359" s="278"/>
      <c r="T359" s="278"/>
    </row>
    <row r="360" spans="1:20" s="305" customFormat="1" hidden="1" outlineLevel="1" x14ac:dyDescent="0.25">
      <c r="A360" s="331">
        <v>3.48</v>
      </c>
      <c r="B360" s="279" t="str">
        <f t="shared" si="175"/>
        <v>50x50x5EA</v>
      </c>
      <c r="C360" s="278" t="s">
        <v>1173</v>
      </c>
      <c r="D360" s="278"/>
      <c r="E360" s="278" t="s">
        <v>1401</v>
      </c>
      <c r="F360" s="278"/>
      <c r="G360" s="278" t="s">
        <v>15</v>
      </c>
      <c r="H360" s="328">
        <f t="shared" si="170"/>
        <v>4.8719999999999999E-2</v>
      </c>
      <c r="I360" s="280">
        <f t="shared" si="176"/>
        <v>3.9278064000000001</v>
      </c>
      <c r="J360" s="281">
        <f t="shared" si="177"/>
        <v>4.4544696000000004</v>
      </c>
      <c r="K360" s="282">
        <f>IF(Notes!$B$9="Domestic",I360, IF(Notes!$B$9="Commercial",J360))*$K$345</f>
        <v>4.4544696000000004</v>
      </c>
      <c r="L360" s="283">
        <f>(SUM(O360:Q360)+(K360+SUM(M360:Q360))*(INDEX($U$345:$AB$345,MATCH(Notes!$C$16,$U$3:$AB$3,0))-100%))*$L$345</f>
        <v>24.365568000000003</v>
      </c>
      <c r="M360" s="286"/>
      <c r="N360" s="286"/>
      <c r="O360" s="311">
        <f t="shared" si="171"/>
        <v>7.0087200000000003</v>
      </c>
      <c r="P360" s="311">
        <f t="shared" si="171"/>
        <v>17.356848000000003</v>
      </c>
      <c r="Q360" s="285"/>
      <c r="R360" s="278"/>
      <c r="S360" s="278"/>
      <c r="T360" s="278"/>
    </row>
    <row r="361" spans="1:20" s="305" customFormat="1" hidden="1" outlineLevel="1" x14ac:dyDescent="0.25">
      <c r="A361" s="331">
        <v>4.46</v>
      </c>
      <c r="B361" s="279" t="str">
        <f t="shared" si="175"/>
        <v>50x50x6EA</v>
      </c>
      <c r="C361" s="278" t="s">
        <v>1174</v>
      </c>
      <c r="D361" s="278"/>
      <c r="E361" s="278" t="s">
        <v>1401</v>
      </c>
      <c r="F361" s="278"/>
      <c r="G361" s="278" t="s">
        <v>15</v>
      </c>
      <c r="H361" s="328">
        <f t="shared" si="170"/>
        <v>6.2439999999999996E-2</v>
      </c>
      <c r="I361" s="280">
        <f t="shared" si="176"/>
        <v>5.0339127999999995</v>
      </c>
      <c r="J361" s="281">
        <f t="shared" si="177"/>
        <v>5.7088891999999998</v>
      </c>
      <c r="K361" s="282">
        <f>IF(Notes!$B$9="Domestic",I361, IF(Notes!$B$9="Commercial",J361))*$K$345</f>
        <v>5.7088891999999998</v>
      </c>
      <c r="L361" s="283">
        <f>(SUM(O361:Q361)+(K361+SUM(M361:Q361))*(INDEX($U$345:$AB$345,MATCH(Notes!$C$16,$U$3:$AB$3,0))-100%))*$L$345</f>
        <v>31.227136000000002</v>
      </c>
      <c r="M361" s="286"/>
      <c r="N361" s="286"/>
      <c r="O361" s="311">
        <f t="shared" si="171"/>
        <v>8.9824400000000004</v>
      </c>
      <c r="P361" s="311">
        <f t="shared" si="171"/>
        <v>22.244696000000001</v>
      </c>
      <c r="Q361" s="285"/>
      <c r="R361" s="278"/>
      <c r="S361" s="278"/>
      <c r="T361" s="278"/>
    </row>
    <row r="362" spans="1:20" s="305" customFormat="1" hidden="1" outlineLevel="1" x14ac:dyDescent="0.25">
      <c r="A362" s="331">
        <v>5.68</v>
      </c>
      <c r="B362" s="279" t="str">
        <f t="shared" si="175"/>
        <v>50x50x8EA</v>
      </c>
      <c r="C362" s="278" t="s">
        <v>1388</v>
      </c>
      <c r="D362" s="278"/>
      <c r="E362" s="278" t="s">
        <v>1401</v>
      </c>
      <c r="F362" s="278"/>
      <c r="G362" s="278" t="s">
        <v>15</v>
      </c>
      <c r="H362" s="328">
        <f t="shared" si="170"/>
        <v>7.9519999999999993E-2</v>
      </c>
      <c r="I362" s="280">
        <f t="shared" si="176"/>
        <v>6.4109023999999994</v>
      </c>
      <c r="J362" s="281">
        <f t="shared" si="177"/>
        <v>7.2705136000000001</v>
      </c>
      <c r="K362" s="282">
        <f>IF(Notes!$B$9="Domestic",I362, IF(Notes!$B$9="Commercial",J362))*$K$345</f>
        <v>7.2705136000000001</v>
      </c>
      <c r="L362" s="283">
        <f>(SUM(O362:Q362)+(K362+SUM(M362:Q362))*(INDEX($U$345:$AB$345,MATCH(Notes!$C$16,$U$3:$AB$3,0))-100%))*$L$345</f>
        <v>39.769087999999996</v>
      </c>
      <c r="M362" s="286"/>
      <c r="N362" s="286"/>
      <c r="O362" s="311">
        <f t="shared" si="171"/>
        <v>11.439519999999998</v>
      </c>
      <c r="P362" s="311">
        <f t="shared" si="171"/>
        <v>28.329567999999998</v>
      </c>
      <c r="Q362" s="285"/>
      <c r="R362" s="278"/>
      <c r="S362" s="278"/>
      <c r="T362" s="278"/>
    </row>
    <row r="363" spans="1:20" s="305" customFormat="1" hidden="1" outlineLevel="1" x14ac:dyDescent="0.25">
      <c r="A363" s="331">
        <v>3.84</v>
      </c>
      <c r="B363" s="279" t="str">
        <f t="shared" si="175"/>
        <v>55x55x5EA</v>
      </c>
      <c r="C363" s="278" t="s">
        <v>1389</v>
      </c>
      <c r="D363" s="278"/>
      <c r="E363" s="278" t="s">
        <v>1401</v>
      </c>
      <c r="F363" s="278"/>
      <c r="G363" s="278" t="s">
        <v>15</v>
      </c>
      <c r="H363" s="328">
        <f t="shared" si="170"/>
        <v>5.3759999999999995E-2</v>
      </c>
      <c r="I363" s="280">
        <f t="shared" si="176"/>
        <v>4.3341311999999999</v>
      </c>
      <c r="J363" s="281">
        <f t="shared" si="177"/>
        <v>4.9152768</v>
      </c>
      <c r="K363" s="282">
        <f>IF(Notes!$B$9="Domestic",I363, IF(Notes!$B$9="Commercial",J363))*$K$345</f>
        <v>4.9152768</v>
      </c>
      <c r="L363" s="283">
        <f>(SUM(O363:Q363)+(K363+SUM(M363:Q363))*(INDEX($U$345:$AB$345,MATCH(Notes!$C$16,$U$3:$AB$3,0))-100%))*$L$345</f>
        <v>26.886144000000002</v>
      </c>
      <c r="M363" s="286"/>
      <c r="N363" s="286"/>
      <c r="O363" s="311">
        <f t="shared" si="171"/>
        <v>7.7337599999999993</v>
      </c>
      <c r="P363" s="311">
        <f t="shared" si="171"/>
        <v>19.152384000000001</v>
      </c>
      <c r="Q363" s="285"/>
      <c r="R363" s="278"/>
      <c r="S363" s="278"/>
      <c r="T363" s="278"/>
    </row>
    <row r="364" spans="1:20" s="305" customFormat="1" hidden="1" outlineLevel="1" x14ac:dyDescent="0.25">
      <c r="A364" s="331">
        <v>4.93</v>
      </c>
      <c r="B364" s="279" t="str">
        <f t="shared" si="175"/>
        <v>55x55x6EA</v>
      </c>
      <c r="C364" s="278" t="s">
        <v>1390</v>
      </c>
      <c r="D364" s="278"/>
      <c r="E364" s="278" t="s">
        <v>1401</v>
      </c>
      <c r="F364" s="278"/>
      <c r="G364" s="278" t="s">
        <v>15</v>
      </c>
      <c r="H364" s="328">
        <f t="shared" si="170"/>
        <v>6.9019999999999998E-2</v>
      </c>
      <c r="I364" s="280">
        <f t="shared" si="176"/>
        <v>5.5643924</v>
      </c>
      <c r="J364" s="281">
        <f t="shared" si="177"/>
        <v>6.3104985999999998</v>
      </c>
      <c r="K364" s="282">
        <f>IF(Notes!$B$9="Domestic",I364, IF(Notes!$B$9="Commercial",J364))*$K$345</f>
        <v>6.3104985999999998</v>
      </c>
      <c r="L364" s="283">
        <f>(SUM(O364:Q364)+(K364+SUM(M364:Q364))*(INDEX($U$345:$AB$345,MATCH(Notes!$C$16,$U$3:$AB$3,0))-100%))*$L$345</f>
        <v>34.517887999999999</v>
      </c>
      <c r="M364" s="286"/>
      <c r="N364" s="286"/>
      <c r="O364" s="311">
        <f t="shared" si="171"/>
        <v>9.9290199999999977</v>
      </c>
      <c r="P364" s="311">
        <f t="shared" si="171"/>
        <v>24.588867999999998</v>
      </c>
      <c r="Q364" s="285"/>
      <c r="R364" s="278"/>
      <c r="S364" s="278"/>
      <c r="T364" s="278"/>
    </row>
    <row r="365" spans="1:20" s="305" customFormat="1" hidden="1" outlineLevel="1" x14ac:dyDescent="0.25">
      <c r="A365" s="331">
        <v>4.5599999999999996</v>
      </c>
      <c r="B365" s="279" t="str">
        <f t="shared" si="175"/>
        <v>65x65x5EA</v>
      </c>
      <c r="C365" s="278" t="s">
        <v>1180</v>
      </c>
      <c r="D365" s="278"/>
      <c r="E365" s="278" t="s">
        <v>1401</v>
      </c>
      <c r="F365" s="278"/>
      <c r="G365" s="278" t="s">
        <v>15</v>
      </c>
      <c r="H365" s="328">
        <f t="shared" si="170"/>
        <v>6.3839999999999994E-2</v>
      </c>
      <c r="I365" s="280">
        <f t="shared" si="176"/>
        <v>5.1467808000000002</v>
      </c>
      <c r="J365" s="281">
        <f t="shared" si="177"/>
        <v>5.8368912000000002</v>
      </c>
      <c r="K365" s="282">
        <f>IF(Notes!$B$9="Domestic",I365, IF(Notes!$B$9="Commercial",J365))*$K$345</f>
        <v>5.8368912000000002</v>
      </c>
      <c r="L365" s="283">
        <f>(SUM(O365:Q365)+(K365+SUM(M365:Q365))*(INDEX($U$345:$AB$345,MATCH(Notes!$C$16,$U$3:$AB$3,0))-100%))*$L$345</f>
        <v>31.927295999999998</v>
      </c>
      <c r="M365" s="286"/>
      <c r="N365" s="286"/>
      <c r="O365" s="311">
        <f t="shared" si="171"/>
        <v>9.1838399999999982</v>
      </c>
      <c r="P365" s="311">
        <f t="shared" si="171"/>
        <v>22.743455999999998</v>
      </c>
      <c r="Q365" s="285"/>
      <c r="R365" s="278"/>
      <c r="S365" s="278"/>
      <c r="T365" s="278"/>
    </row>
    <row r="366" spans="1:20" s="305" customFormat="1" hidden="1" outlineLevel="1" x14ac:dyDescent="0.25">
      <c r="A366" s="331">
        <v>5.87</v>
      </c>
      <c r="B366" s="279" t="str">
        <f t="shared" si="175"/>
        <v>65x65x6EA</v>
      </c>
      <c r="C366" s="278" t="s">
        <v>1181</v>
      </c>
      <c r="D366" s="278"/>
      <c r="E366" s="278" t="s">
        <v>1401</v>
      </c>
      <c r="F366" s="278"/>
      <c r="G366" s="278" t="s">
        <v>15</v>
      </c>
      <c r="H366" s="328">
        <f t="shared" si="170"/>
        <v>8.2180000000000003E-2</v>
      </c>
      <c r="I366" s="280">
        <f t="shared" si="176"/>
        <v>6.625351600000001</v>
      </c>
      <c r="J366" s="281">
        <f t="shared" si="177"/>
        <v>7.5137174000000009</v>
      </c>
      <c r="K366" s="282">
        <f>IF(Notes!$B$9="Domestic",I366, IF(Notes!$B$9="Commercial",J366))*$K$345</f>
        <v>7.5137174000000009</v>
      </c>
      <c r="L366" s="283">
        <f>(SUM(O366:Q366)+(K366+SUM(M366:Q366))*(INDEX($U$345:$AB$345,MATCH(Notes!$C$16,$U$3:$AB$3,0))-100%))*$L$345</f>
        <v>41.099392000000002</v>
      </c>
      <c r="M366" s="286"/>
      <c r="N366" s="286"/>
      <c r="O366" s="311">
        <f t="shared" si="171"/>
        <v>11.822179999999999</v>
      </c>
      <c r="P366" s="311">
        <f t="shared" si="171"/>
        <v>29.277212000000002</v>
      </c>
      <c r="Q366" s="285"/>
      <c r="R366" s="278"/>
      <c r="S366" s="278"/>
      <c r="T366" s="278"/>
    </row>
    <row r="367" spans="1:20" s="305" customFormat="1" hidden="1" outlineLevel="1" x14ac:dyDescent="0.25">
      <c r="A367" s="331">
        <v>7.51</v>
      </c>
      <c r="B367" s="279" t="str">
        <f t="shared" si="175"/>
        <v>65x65x8EA</v>
      </c>
      <c r="C367" s="278" t="s">
        <v>1391</v>
      </c>
      <c r="D367" s="278"/>
      <c r="E367" s="278" t="s">
        <v>1401</v>
      </c>
      <c r="F367" s="278"/>
      <c r="G367" s="278" t="s">
        <v>15</v>
      </c>
      <c r="H367" s="328">
        <f t="shared" si="170"/>
        <v>0.10514</v>
      </c>
      <c r="I367" s="280">
        <f t="shared" si="176"/>
        <v>8.4763868000000002</v>
      </c>
      <c r="J367" s="281">
        <f t="shared" si="177"/>
        <v>9.6129502000000002</v>
      </c>
      <c r="K367" s="282">
        <f>IF(Notes!$B$9="Domestic",I367, IF(Notes!$B$9="Commercial",J367))*$K$345</f>
        <v>9.6129502000000002</v>
      </c>
      <c r="L367" s="283">
        <f>(SUM(O367:Q367)+(K367+SUM(M367:Q367))*(INDEX($U$345:$AB$345,MATCH(Notes!$C$16,$U$3:$AB$3,0))-100%))*$L$345</f>
        <v>52.582016000000003</v>
      </c>
      <c r="M367" s="286"/>
      <c r="N367" s="286"/>
      <c r="O367" s="311">
        <f t="shared" si="171"/>
        <v>15.12514</v>
      </c>
      <c r="P367" s="311">
        <f t="shared" si="171"/>
        <v>37.456876000000001</v>
      </c>
      <c r="Q367" s="285"/>
      <c r="R367" s="278"/>
      <c r="S367" s="278"/>
      <c r="T367" s="278"/>
    </row>
    <row r="368" spans="1:20" s="305" customFormat="1" hidden="1" outlineLevel="1" x14ac:dyDescent="0.25">
      <c r="A368" s="331">
        <v>9.02</v>
      </c>
      <c r="B368" s="279" t="str">
        <f t="shared" si="175"/>
        <v>65x65x10EA</v>
      </c>
      <c r="C368" s="278" t="s">
        <v>1392</v>
      </c>
      <c r="D368" s="278"/>
      <c r="E368" s="278" t="s">
        <v>1401</v>
      </c>
      <c r="F368" s="278"/>
      <c r="G368" s="278" t="s">
        <v>15</v>
      </c>
      <c r="H368" s="328">
        <f t="shared" si="170"/>
        <v>0.12628</v>
      </c>
      <c r="I368" s="280">
        <f t="shared" si="176"/>
        <v>10.180693600000001</v>
      </c>
      <c r="J368" s="281">
        <f t="shared" si="177"/>
        <v>11.545780400000002</v>
      </c>
      <c r="K368" s="282">
        <f>IF(Notes!$B$9="Domestic",I368, IF(Notes!$B$9="Commercial",J368))*$K$345</f>
        <v>11.545780400000002</v>
      </c>
      <c r="L368" s="283">
        <f>(SUM(O368:Q368)+(K368+SUM(M368:Q368))*(INDEX($U$345:$AB$345,MATCH(Notes!$C$16,$U$3:$AB$3,0))-100%))*$L$345</f>
        <v>63.154432</v>
      </c>
      <c r="M368" s="286"/>
      <c r="N368" s="286"/>
      <c r="O368" s="311">
        <f t="shared" si="171"/>
        <v>18.16628</v>
      </c>
      <c r="P368" s="311">
        <f t="shared" si="171"/>
        <v>44.988151999999999</v>
      </c>
      <c r="Q368" s="285"/>
      <c r="R368" s="278"/>
      <c r="S368" s="278"/>
      <c r="T368" s="278"/>
    </row>
    <row r="369" spans="1:20" s="305" customFormat="1" hidden="1" outlineLevel="1" x14ac:dyDescent="0.25">
      <c r="A369" s="331">
        <v>5.27</v>
      </c>
      <c r="B369" s="279" t="str">
        <f t="shared" si="175"/>
        <v>75x75x5EA</v>
      </c>
      <c r="C369" s="278" t="s">
        <v>1187</v>
      </c>
      <c r="D369" s="278"/>
      <c r="E369" s="278" t="s">
        <v>1401</v>
      </c>
      <c r="F369" s="278"/>
      <c r="G369" s="278" t="s">
        <v>15</v>
      </c>
      <c r="H369" s="328">
        <f t="shared" si="170"/>
        <v>7.3779999999999998E-2</v>
      </c>
      <c r="I369" s="280">
        <f t="shared" si="176"/>
        <v>5.9481435999999999</v>
      </c>
      <c r="J369" s="281">
        <f t="shared" si="177"/>
        <v>6.7457054000000003</v>
      </c>
      <c r="K369" s="282">
        <f>IF(Notes!$B$9="Domestic",I369, IF(Notes!$B$9="Commercial",J369))*$K$345</f>
        <v>6.7457054000000003</v>
      </c>
      <c r="L369" s="283">
        <f>(SUM(O369:Q369)+(K369+SUM(M369:Q369))*(INDEX($U$345:$AB$345,MATCH(Notes!$C$16,$U$3:$AB$3,0))-100%))*$L$345</f>
        <v>36.898432</v>
      </c>
      <c r="M369" s="286"/>
      <c r="N369" s="286"/>
      <c r="O369" s="311">
        <f t="shared" si="171"/>
        <v>10.613779999999998</v>
      </c>
      <c r="P369" s="311">
        <f t="shared" si="171"/>
        <v>26.284651999999998</v>
      </c>
      <c r="Q369" s="285"/>
      <c r="R369" s="278"/>
      <c r="S369" s="278"/>
      <c r="T369" s="278"/>
    </row>
    <row r="370" spans="1:20" s="305" customFormat="1" hidden="1" outlineLevel="1" x14ac:dyDescent="0.25">
      <c r="A370" s="331">
        <v>6.81</v>
      </c>
      <c r="B370" s="279" t="str">
        <f t="shared" si="175"/>
        <v>75x75x6EA</v>
      </c>
      <c r="C370" s="278" t="s">
        <v>1188</v>
      </c>
      <c r="D370" s="278"/>
      <c r="E370" s="278" t="s">
        <v>1401</v>
      </c>
      <c r="F370" s="278"/>
      <c r="G370" s="278" t="s">
        <v>15</v>
      </c>
      <c r="H370" s="328">
        <f t="shared" si="170"/>
        <v>9.5339999999999994E-2</v>
      </c>
      <c r="I370" s="280">
        <f t="shared" si="176"/>
        <v>7.6863108000000002</v>
      </c>
      <c r="J370" s="281">
        <f t="shared" si="177"/>
        <v>8.7169361999999992</v>
      </c>
      <c r="K370" s="282">
        <f>IF(Notes!$B$9="Domestic",I370, IF(Notes!$B$9="Commercial",J370))*$K$345</f>
        <v>8.7169361999999992</v>
      </c>
      <c r="L370" s="283">
        <f>(SUM(O370:Q370)+(K370+SUM(M370:Q370))*(INDEX($U$345:$AB$345,MATCH(Notes!$C$16,$U$3:$AB$3,0))-100%))*$L$345</f>
        <v>47.680896000000004</v>
      </c>
      <c r="M370" s="286"/>
      <c r="N370" s="286"/>
      <c r="O370" s="311">
        <f t="shared" si="171"/>
        <v>13.715339999999998</v>
      </c>
      <c r="P370" s="311">
        <f t="shared" si="171"/>
        <v>33.965556000000007</v>
      </c>
      <c r="Q370" s="285"/>
      <c r="R370" s="278"/>
      <c r="S370" s="278"/>
      <c r="T370" s="278"/>
    </row>
    <row r="371" spans="1:20" s="305" customFormat="1" hidden="1" outlineLevel="1" x14ac:dyDescent="0.25">
      <c r="A371" s="331">
        <v>8.73</v>
      </c>
      <c r="B371" s="279" t="str">
        <f t="shared" si="175"/>
        <v>75x75x8EA</v>
      </c>
      <c r="C371" s="278" t="s">
        <v>1393</v>
      </c>
      <c r="D371" s="278"/>
      <c r="E371" s="278" t="s">
        <v>1401</v>
      </c>
      <c r="F371" s="278"/>
      <c r="G371" s="278" t="s">
        <v>15</v>
      </c>
      <c r="H371" s="328">
        <f t="shared" si="170"/>
        <v>0.12222</v>
      </c>
      <c r="I371" s="280">
        <f t="shared" si="176"/>
        <v>9.8533764000000001</v>
      </c>
      <c r="J371" s="281">
        <f t="shared" si="177"/>
        <v>11.1745746</v>
      </c>
      <c r="K371" s="282">
        <f>IF(Notes!$B$9="Domestic",I371, IF(Notes!$B$9="Commercial",J371))*$K$345</f>
        <v>11.1745746</v>
      </c>
      <c r="L371" s="283">
        <f>(SUM(O371:Q371)+(K371+SUM(M371:Q371))*(INDEX($U$345:$AB$345,MATCH(Notes!$C$16,$U$3:$AB$3,0))-100%))*$L$345</f>
        <v>61.123968000000005</v>
      </c>
      <c r="M371" s="286"/>
      <c r="N371" s="286"/>
      <c r="O371" s="311">
        <f t="shared" si="171"/>
        <v>17.58222</v>
      </c>
      <c r="P371" s="311">
        <f t="shared" si="171"/>
        <v>43.541748000000005</v>
      </c>
      <c r="Q371" s="285"/>
      <c r="R371" s="278"/>
      <c r="S371" s="278"/>
      <c r="T371" s="278"/>
    </row>
    <row r="372" spans="1:20" s="305" customFormat="1" hidden="1" outlineLevel="1" x14ac:dyDescent="0.25">
      <c r="A372" s="331">
        <v>10.5</v>
      </c>
      <c r="B372" s="279" t="str">
        <f t="shared" si="175"/>
        <v>75x75x10EA</v>
      </c>
      <c r="C372" s="278" t="s">
        <v>1394</v>
      </c>
      <c r="D372" s="278"/>
      <c r="E372" s="278" t="s">
        <v>1401</v>
      </c>
      <c r="F372" s="278"/>
      <c r="G372" s="278" t="s">
        <v>15</v>
      </c>
      <c r="H372" s="328">
        <f t="shared" si="170"/>
        <v>0.14699999999999999</v>
      </c>
      <c r="I372" s="280">
        <f t="shared" si="176"/>
        <v>11.851139999999999</v>
      </c>
      <c r="J372" s="281">
        <f t="shared" si="177"/>
        <v>13.44021</v>
      </c>
      <c r="K372" s="282">
        <f>IF(Notes!$B$9="Domestic",I372, IF(Notes!$B$9="Commercial",J372))*$K$345</f>
        <v>13.44021</v>
      </c>
      <c r="L372" s="283">
        <f>(SUM(O372:Q372)+(K372+SUM(M372:Q372))*(INDEX($U$345:$AB$345,MATCH(Notes!$C$16,$U$3:$AB$3,0))-100%))*$L$345</f>
        <v>73.516800000000003</v>
      </c>
      <c r="M372" s="286"/>
      <c r="N372" s="286"/>
      <c r="O372" s="311">
        <f t="shared" si="171"/>
        <v>21.146999999999998</v>
      </c>
      <c r="P372" s="311">
        <f t="shared" si="171"/>
        <v>52.369800000000005</v>
      </c>
      <c r="Q372" s="285"/>
      <c r="R372" s="278"/>
      <c r="S372" s="278"/>
      <c r="T372" s="278"/>
    </row>
    <row r="373" spans="1:20" s="305" customFormat="1" hidden="1" outlineLevel="1" x14ac:dyDescent="0.25">
      <c r="A373" s="331">
        <v>8.2200000000000006</v>
      </c>
      <c r="B373" s="279" t="str">
        <f t="shared" si="175"/>
        <v>90x90x6EA</v>
      </c>
      <c r="C373" s="278" t="s">
        <v>1395</v>
      </c>
      <c r="D373" s="278"/>
      <c r="E373" s="278" t="s">
        <v>1401</v>
      </c>
      <c r="F373" s="278"/>
      <c r="G373" s="278" t="s">
        <v>15</v>
      </c>
      <c r="H373" s="328">
        <f t="shared" si="170"/>
        <v>0.11508000000000002</v>
      </c>
      <c r="I373" s="280">
        <f t="shared" si="176"/>
        <v>9.2777496000000017</v>
      </c>
      <c r="J373" s="281">
        <f t="shared" si="177"/>
        <v>10.521764400000002</v>
      </c>
      <c r="K373" s="282">
        <f>IF(Notes!$B$9="Domestic",I373, IF(Notes!$B$9="Commercial",J373))*$K$345</f>
        <v>10.521764400000002</v>
      </c>
      <c r="L373" s="283">
        <f>(SUM(O373:Q373)+(K373+SUM(M373:Q373))*(INDEX($U$345:$AB$345,MATCH(Notes!$C$16,$U$3:$AB$3,0))-100%))*$L$345</f>
        <v>57.553152000000011</v>
      </c>
      <c r="M373" s="286"/>
      <c r="N373" s="286"/>
      <c r="O373" s="311">
        <f t="shared" si="171"/>
        <v>16.55508</v>
      </c>
      <c r="P373" s="311">
        <f t="shared" si="171"/>
        <v>40.998072000000008</v>
      </c>
      <c r="Q373" s="285"/>
      <c r="R373" s="278"/>
      <c r="S373" s="278"/>
      <c r="T373" s="278"/>
    </row>
    <row r="374" spans="1:20" s="305" customFormat="1" hidden="1" outlineLevel="1" x14ac:dyDescent="0.25">
      <c r="A374" s="331">
        <v>10.6</v>
      </c>
      <c r="B374" s="279" t="str">
        <f t="shared" si="175"/>
        <v>90x90x8EA</v>
      </c>
      <c r="C374" s="278" t="s">
        <v>1396</v>
      </c>
      <c r="D374" s="278"/>
      <c r="E374" s="278" t="s">
        <v>1401</v>
      </c>
      <c r="F374" s="278"/>
      <c r="G374" s="278" t="s">
        <v>15</v>
      </c>
      <c r="H374" s="328">
        <f t="shared" si="170"/>
        <v>0.1484</v>
      </c>
      <c r="I374" s="280">
        <f t="shared" si="176"/>
        <v>11.964008000000002</v>
      </c>
      <c r="J374" s="281">
        <f t="shared" si="177"/>
        <v>13.568212000000001</v>
      </c>
      <c r="K374" s="282">
        <f>IF(Notes!$B$9="Domestic",I374, IF(Notes!$B$9="Commercial",J374))*$K$345</f>
        <v>13.568212000000001</v>
      </c>
      <c r="L374" s="283">
        <f>(SUM(O374:Q374)+(K374+SUM(M374:Q374))*(INDEX($U$345:$AB$345,MATCH(Notes!$C$16,$U$3:$AB$3,0))-100%))*$L$345</f>
        <v>74.21696</v>
      </c>
      <c r="M374" s="286"/>
      <c r="N374" s="286"/>
      <c r="O374" s="311">
        <f t="shared" si="171"/>
        <v>21.348399999999998</v>
      </c>
      <c r="P374" s="311">
        <f t="shared" si="171"/>
        <v>52.868560000000002</v>
      </c>
      <c r="Q374" s="285"/>
      <c r="R374" s="278"/>
      <c r="S374" s="278"/>
      <c r="T374" s="278"/>
    </row>
    <row r="375" spans="1:20" s="305" customFormat="1" hidden="1" outlineLevel="1" x14ac:dyDescent="0.25">
      <c r="A375" s="331">
        <v>12.7</v>
      </c>
      <c r="B375" s="279" t="str">
        <f t="shared" si="175"/>
        <v>90x90x10EA</v>
      </c>
      <c r="C375" s="278" t="s">
        <v>1397</v>
      </c>
      <c r="D375" s="278"/>
      <c r="E375" s="278" t="s">
        <v>1401</v>
      </c>
      <c r="F375" s="278"/>
      <c r="G375" s="278" t="s">
        <v>15</v>
      </c>
      <c r="H375" s="328">
        <f t="shared" si="170"/>
        <v>0.17779999999999999</v>
      </c>
      <c r="I375" s="280">
        <f t="shared" si="176"/>
        <v>14.334235999999999</v>
      </c>
      <c r="J375" s="281">
        <f t="shared" si="177"/>
        <v>16.256253999999998</v>
      </c>
      <c r="K375" s="282">
        <f>IF(Notes!$B$9="Domestic",I375, IF(Notes!$B$9="Commercial",J375))*$K$345</f>
        <v>16.256253999999998</v>
      </c>
      <c r="L375" s="283">
        <f>(SUM(O375:Q375)+(K375+SUM(M375:Q375))*(INDEX($U$345:$AB$345,MATCH(Notes!$C$16,$U$3:$AB$3,0))-100%))*$L$345</f>
        <v>88.920320000000004</v>
      </c>
      <c r="M375" s="286"/>
      <c r="N375" s="286"/>
      <c r="O375" s="311">
        <f t="shared" si="171"/>
        <v>25.5778</v>
      </c>
      <c r="P375" s="311">
        <f t="shared" si="171"/>
        <v>63.342520000000007</v>
      </c>
      <c r="Q375" s="285"/>
      <c r="R375" s="278"/>
      <c r="S375" s="278"/>
      <c r="T375" s="278"/>
    </row>
    <row r="376" spans="1:20" s="305" customFormat="1" hidden="1" outlineLevel="1" x14ac:dyDescent="0.25">
      <c r="A376" s="331">
        <v>9.16</v>
      </c>
      <c r="B376" s="279" t="str">
        <f t="shared" si="175"/>
        <v>100x100x6EA</v>
      </c>
      <c r="C376" s="278" t="s">
        <v>1198</v>
      </c>
      <c r="D376" s="278"/>
      <c r="E376" s="278" t="s">
        <v>1401</v>
      </c>
      <c r="F376" s="278"/>
      <c r="G376" s="278" t="s">
        <v>15</v>
      </c>
      <c r="H376" s="328">
        <f t="shared" si="170"/>
        <v>0.12824000000000002</v>
      </c>
      <c r="I376" s="280">
        <f t="shared" si="176"/>
        <v>10.338708800000003</v>
      </c>
      <c r="J376" s="281">
        <f t="shared" si="177"/>
        <v>11.724983200000002</v>
      </c>
      <c r="K376" s="282">
        <f>IF(Notes!$B$9="Domestic",I376, IF(Notes!$B$9="Commercial",J376))*$K$345</f>
        <v>11.724983200000002</v>
      </c>
      <c r="L376" s="283">
        <f>(SUM(O376:Q376)+(K376+SUM(M376:Q376))*(INDEX($U$345:$AB$345,MATCH(Notes!$C$16,$U$3:$AB$3,0))-100%))*$L$345</f>
        <v>64.134656000000007</v>
      </c>
      <c r="M376" s="286"/>
      <c r="N376" s="286"/>
      <c r="O376" s="311">
        <f t="shared" si="171"/>
        <v>18.448240000000002</v>
      </c>
      <c r="P376" s="311">
        <f t="shared" si="171"/>
        <v>45.686416000000001</v>
      </c>
      <c r="Q376" s="285"/>
      <c r="R376" s="278"/>
      <c r="S376" s="278"/>
      <c r="T376" s="278"/>
    </row>
    <row r="377" spans="1:20" s="305" customFormat="1" hidden="1" outlineLevel="1" x14ac:dyDescent="0.25">
      <c r="A377" s="331">
        <v>11.8</v>
      </c>
      <c r="B377" s="279" t="str">
        <f t="shared" si="175"/>
        <v>100x100x8EA</v>
      </c>
      <c r="C377" s="278" t="s">
        <v>1398</v>
      </c>
      <c r="D377" s="278"/>
      <c r="E377" s="278" t="s">
        <v>1401</v>
      </c>
      <c r="F377" s="278"/>
      <c r="G377" s="278" t="s">
        <v>15</v>
      </c>
      <c r="H377" s="328">
        <f t="shared" si="170"/>
        <v>0.16520000000000001</v>
      </c>
      <c r="I377" s="280">
        <f t="shared" si="176"/>
        <v>13.318424000000002</v>
      </c>
      <c r="J377" s="281">
        <f t="shared" si="177"/>
        <v>15.104236000000002</v>
      </c>
      <c r="K377" s="282">
        <f>IF(Notes!$B$9="Domestic",I377, IF(Notes!$B$9="Commercial",J377))*$K$345</f>
        <v>15.104236000000002</v>
      </c>
      <c r="L377" s="283">
        <f>(SUM(O377:Q377)+(K377+SUM(M377:Q377))*(INDEX($U$345:$AB$345,MATCH(Notes!$C$16,$U$3:$AB$3,0))-100%))*$L$345</f>
        <v>82.618880000000004</v>
      </c>
      <c r="M377" s="286"/>
      <c r="N377" s="286"/>
      <c r="O377" s="311">
        <f t="shared" si="171"/>
        <v>23.7652</v>
      </c>
      <c r="P377" s="311">
        <f t="shared" si="171"/>
        <v>58.853680000000004</v>
      </c>
      <c r="Q377" s="285"/>
      <c r="R377" s="278"/>
      <c r="S377" s="278"/>
      <c r="T377" s="278"/>
    </row>
    <row r="378" spans="1:20" s="305" customFormat="1" hidden="1" outlineLevel="1" x14ac:dyDescent="0.25">
      <c r="A378" s="331">
        <v>14.2</v>
      </c>
      <c r="B378" s="279" t="str">
        <f t="shared" si="175"/>
        <v>100x100x10EA</v>
      </c>
      <c r="C378" s="278" t="s">
        <v>1399</v>
      </c>
      <c r="D378" s="278"/>
      <c r="E378" s="278" t="s">
        <v>1401</v>
      </c>
      <c r="F378" s="278"/>
      <c r="G378" s="278" t="s">
        <v>15</v>
      </c>
      <c r="H378" s="328">
        <f t="shared" si="170"/>
        <v>0.19879999999999998</v>
      </c>
      <c r="I378" s="280">
        <f t="shared" si="176"/>
        <v>16.027255999999998</v>
      </c>
      <c r="J378" s="281">
        <f t="shared" si="177"/>
        <v>18.176283999999999</v>
      </c>
      <c r="K378" s="282">
        <f>IF(Notes!$B$9="Domestic",I378, IF(Notes!$B$9="Commercial",J378))*$K$345</f>
        <v>18.176283999999999</v>
      </c>
      <c r="L378" s="283">
        <f>(SUM(O378:Q378)+(K378+SUM(M378:Q378))*(INDEX($U$345:$AB$345,MATCH(Notes!$C$16,$U$3:$AB$3,0))-100%))*$L$345</f>
        <v>99.422719999999998</v>
      </c>
      <c r="M378" s="286"/>
      <c r="N378" s="286"/>
      <c r="O378" s="311">
        <f t="shared" si="171"/>
        <v>28.598800000000001</v>
      </c>
      <c r="P378" s="311">
        <f t="shared" si="171"/>
        <v>70.823920000000001</v>
      </c>
      <c r="Q378" s="285"/>
      <c r="R378" s="278"/>
      <c r="S378" s="278"/>
      <c r="T378" s="278"/>
    </row>
    <row r="379" spans="1:20" s="305" customFormat="1" hidden="1" outlineLevel="1" x14ac:dyDescent="0.25">
      <c r="A379" s="331">
        <v>17.7</v>
      </c>
      <c r="B379" s="279" t="str">
        <f t="shared" si="175"/>
        <v>100x100x12EA</v>
      </c>
      <c r="C379" s="278" t="s">
        <v>1400</v>
      </c>
      <c r="D379" s="278"/>
      <c r="E379" s="278" t="s">
        <v>1401</v>
      </c>
      <c r="F379" s="278"/>
      <c r="G379" s="278" t="s">
        <v>15</v>
      </c>
      <c r="H379" s="328">
        <f t="shared" si="170"/>
        <v>0.24779999999999999</v>
      </c>
      <c r="I379" s="280">
        <f t="shared" si="176"/>
        <v>19.977636</v>
      </c>
      <c r="J379" s="281">
        <f t="shared" si="177"/>
        <v>22.656354</v>
      </c>
      <c r="K379" s="282">
        <f>IF(Notes!$B$9="Domestic",I379, IF(Notes!$B$9="Commercial",J379))*$K$345</f>
        <v>22.656354</v>
      </c>
      <c r="L379" s="283">
        <f>(SUM(O379:Q379)+(K379+SUM(M379:Q379))*(INDEX($U$345:$AB$345,MATCH(Notes!$C$16,$U$3:$AB$3,0))-100%))*$L$345</f>
        <v>123.92832000000001</v>
      </c>
      <c r="M379" s="286"/>
      <c r="N379" s="286"/>
      <c r="O379" s="311">
        <f t="shared" si="171"/>
        <v>35.647799999999997</v>
      </c>
      <c r="P379" s="311">
        <f t="shared" si="171"/>
        <v>88.28052000000001</v>
      </c>
      <c r="Q379" s="285"/>
      <c r="R379" s="278"/>
      <c r="S379" s="278"/>
      <c r="T379" s="278"/>
    </row>
    <row r="380" spans="1:20" s="305" customFormat="1" hidden="1" outlineLevel="1" x14ac:dyDescent="0.25">
      <c r="A380" s="331">
        <v>14.9</v>
      </c>
      <c r="B380" s="279" t="str">
        <f t="shared" si="175"/>
        <v>125x125x8EA</v>
      </c>
      <c r="C380" s="278" t="s">
        <v>1402</v>
      </c>
      <c r="D380" s="278"/>
      <c r="E380" s="278" t="s">
        <v>1401</v>
      </c>
      <c r="F380" s="278"/>
      <c r="G380" s="278" t="s">
        <v>15</v>
      </c>
      <c r="H380" s="328">
        <f t="shared" si="170"/>
        <v>0.20860000000000001</v>
      </c>
      <c r="I380" s="280">
        <f t="shared" si="176"/>
        <v>16.817332</v>
      </c>
      <c r="J380" s="281">
        <f t="shared" si="177"/>
        <v>19.072298000000004</v>
      </c>
      <c r="K380" s="282">
        <f>IF(Notes!$B$9="Domestic",I380, IF(Notes!$B$9="Commercial",J380))*$K$345</f>
        <v>19.072298000000004</v>
      </c>
      <c r="L380" s="283">
        <f>(SUM(O380:Q380)+(K380+SUM(M380:Q380))*(INDEX($U$345:$AB$345,MATCH(Notes!$C$16,$U$3:$AB$3,0))-100%))*$L$345</f>
        <v>104.32384</v>
      </c>
      <c r="M380" s="286"/>
      <c r="N380" s="286"/>
      <c r="O380" s="311">
        <f t="shared" si="171"/>
        <v>30.008600000000001</v>
      </c>
      <c r="P380" s="311">
        <f t="shared" si="171"/>
        <v>74.315240000000003</v>
      </c>
      <c r="Q380" s="285"/>
      <c r="R380" s="278"/>
      <c r="S380" s="278"/>
      <c r="T380" s="278"/>
    </row>
    <row r="381" spans="1:20" s="305" customFormat="1" hidden="1" outlineLevel="1" x14ac:dyDescent="0.25">
      <c r="A381" s="331">
        <v>18</v>
      </c>
      <c r="B381" s="279" t="str">
        <f t="shared" si="175"/>
        <v>125x125x10EA</v>
      </c>
      <c r="C381" s="278" t="s">
        <v>1403</v>
      </c>
      <c r="D381" s="278"/>
      <c r="E381" s="278" t="s">
        <v>1401</v>
      </c>
      <c r="F381" s="278"/>
      <c r="G381" s="278" t="s">
        <v>15</v>
      </c>
      <c r="H381" s="328">
        <f t="shared" si="170"/>
        <v>0.252</v>
      </c>
      <c r="I381" s="280">
        <f t="shared" si="176"/>
        <v>20.316240000000001</v>
      </c>
      <c r="J381" s="281">
        <f t="shared" si="177"/>
        <v>23.040360000000003</v>
      </c>
      <c r="K381" s="282">
        <f>IF(Notes!$B$9="Domestic",I381, IF(Notes!$B$9="Commercial",J381))*$K$345</f>
        <v>23.040360000000003</v>
      </c>
      <c r="L381" s="283">
        <f>(SUM(O381:Q381)+(K381+SUM(M381:Q381))*(INDEX($U$345:$AB$345,MATCH(Notes!$C$16,$U$3:$AB$3,0))-100%))*$L$345</f>
        <v>126.02880000000002</v>
      </c>
      <c r="M381" s="286"/>
      <c r="N381" s="286"/>
      <c r="O381" s="311">
        <f t="shared" si="171"/>
        <v>36.252000000000002</v>
      </c>
      <c r="P381" s="311">
        <f t="shared" si="171"/>
        <v>89.776800000000009</v>
      </c>
      <c r="Q381" s="285"/>
      <c r="R381" s="278"/>
      <c r="S381" s="278"/>
      <c r="T381" s="278"/>
    </row>
    <row r="382" spans="1:20" s="305" customFormat="1" hidden="1" outlineLevel="1" x14ac:dyDescent="0.25">
      <c r="A382" s="331">
        <v>22.5</v>
      </c>
      <c r="B382" s="279" t="str">
        <f t="shared" si="175"/>
        <v>125x125x12EA</v>
      </c>
      <c r="C382" s="278" t="s">
        <v>1404</v>
      </c>
      <c r="D382" s="278"/>
      <c r="E382" s="278" t="s">
        <v>1401</v>
      </c>
      <c r="F382" s="278"/>
      <c r="G382" s="278" t="s">
        <v>15</v>
      </c>
      <c r="H382" s="328">
        <f t="shared" si="170"/>
        <v>0.315</v>
      </c>
      <c r="I382" s="280">
        <f t="shared" si="176"/>
        <v>25.395300000000002</v>
      </c>
      <c r="J382" s="281">
        <f t="shared" si="177"/>
        <v>28.800450000000001</v>
      </c>
      <c r="K382" s="282">
        <f>IF(Notes!$B$9="Domestic",I382, IF(Notes!$B$9="Commercial",J382))*$K$345</f>
        <v>28.800450000000001</v>
      </c>
      <c r="L382" s="283">
        <f>(SUM(O382:Q382)+(K382+SUM(M382:Q382))*(INDEX($U$345:$AB$345,MATCH(Notes!$C$16,$U$3:$AB$3,0))-100%))*$L$345</f>
        <v>157.536</v>
      </c>
      <c r="M382" s="286"/>
      <c r="N382" s="286"/>
      <c r="O382" s="311">
        <f t="shared" si="171"/>
        <v>45.314999999999998</v>
      </c>
      <c r="P382" s="311">
        <f t="shared" si="171"/>
        <v>112.22100000000002</v>
      </c>
      <c r="Q382" s="285"/>
      <c r="R382" s="278"/>
      <c r="S382" s="278"/>
      <c r="T382" s="278"/>
    </row>
    <row r="383" spans="1:20" s="305" customFormat="1" hidden="1" outlineLevel="1" x14ac:dyDescent="0.25">
      <c r="A383" s="331">
        <v>29.1</v>
      </c>
      <c r="B383" s="279" t="str">
        <f t="shared" si="175"/>
        <v>125x125x16EA</v>
      </c>
      <c r="C383" s="278" t="s">
        <v>1405</v>
      </c>
      <c r="D383" s="278"/>
      <c r="E383" s="278" t="s">
        <v>1401</v>
      </c>
      <c r="F383" s="278"/>
      <c r="G383" s="278" t="s">
        <v>15</v>
      </c>
      <c r="H383" s="328">
        <f t="shared" si="170"/>
        <v>0.40740000000000004</v>
      </c>
      <c r="I383" s="280">
        <f t="shared" si="176"/>
        <v>32.844588000000002</v>
      </c>
      <c r="J383" s="281">
        <f t="shared" si="177"/>
        <v>37.248582000000006</v>
      </c>
      <c r="K383" s="282">
        <f>IF(Notes!$B$9="Domestic",I383, IF(Notes!$B$9="Commercial",J383))*$K$345</f>
        <v>37.248582000000006</v>
      </c>
      <c r="L383" s="283">
        <f>(SUM(O383:Q383)+(K383+SUM(M383:Q383))*(INDEX($U$345:$AB$345,MATCH(Notes!$C$16,$U$3:$AB$3,0))-100%))*$L$345</f>
        <v>203.74655999999999</v>
      </c>
      <c r="M383" s="286"/>
      <c r="N383" s="286"/>
      <c r="O383" s="311">
        <f t="shared" si="171"/>
        <v>58.607399999999998</v>
      </c>
      <c r="P383" s="311">
        <f t="shared" si="171"/>
        <v>145.13916</v>
      </c>
      <c r="Q383" s="285"/>
      <c r="R383" s="278"/>
      <c r="S383" s="278"/>
      <c r="T383" s="278"/>
    </row>
    <row r="384" spans="1:20" s="305" customFormat="1" hidden="1" outlineLevel="1" x14ac:dyDescent="0.25">
      <c r="A384" s="331">
        <v>21.9</v>
      </c>
      <c r="B384" s="279" t="str">
        <f t="shared" ref="B384" si="178">C384&amp;D384&amp;E384&amp;F384</f>
        <v>150x150x10EA</v>
      </c>
      <c r="C384" s="278" t="s">
        <v>1407</v>
      </c>
      <c r="D384" s="278"/>
      <c r="E384" s="278" t="s">
        <v>1401</v>
      </c>
      <c r="F384" s="278"/>
      <c r="G384" s="278" t="s">
        <v>15</v>
      </c>
      <c r="H384" s="328">
        <f t="shared" si="170"/>
        <v>0.30659999999999998</v>
      </c>
      <c r="I384" s="280">
        <f t="shared" ref="I384" si="179">$I$2*H384</f>
        <v>24.718091999999999</v>
      </c>
      <c r="J384" s="281">
        <f t="shared" ref="J384" si="180">$J$2*H384</f>
        <v>28.032437999999999</v>
      </c>
      <c r="K384" s="282">
        <f>IF(Notes!$B$9="Domestic",I384, IF(Notes!$B$9="Commercial",J384))*$K$345</f>
        <v>28.032437999999999</v>
      </c>
      <c r="L384" s="283">
        <f>(SUM(O384:Q384)+(K384+SUM(M384:Q384))*(INDEX($U$345:$AB$345,MATCH(Notes!$C$16,$U$3:$AB$3,0))-100%))*$L$345</f>
        <v>153.33503999999999</v>
      </c>
      <c r="M384" s="286"/>
      <c r="N384" s="286"/>
      <c r="O384" s="311">
        <f t="shared" si="171"/>
        <v>44.1066</v>
      </c>
      <c r="P384" s="311">
        <f t="shared" si="171"/>
        <v>109.22844000000001</v>
      </c>
      <c r="Q384" s="285"/>
      <c r="R384" s="278"/>
      <c r="S384" s="278"/>
      <c r="T384" s="278"/>
    </row>
    <row r="385" spans="1:28" s="305" customFormat="1" hidden="1" outlineLevel="1" x14ac:dyDescent="0.25">
      <c r="A385" s="331">
        <v>27.3</v>
      </c>
      <c r="B385" s="279" t="str">
        <f t="shared" si="175"/>
        <v>150x150x12EA</v>
      </c>
      <c r="C385" s="278" t="s">
        <v>1408</v>
      </c>
      <c r="D385" s="278"/>
      <c r="E385" s="278" t="s">
        <v>1401</v>
      </c>
      <c r="F385" s="278"/>
      <c r="G385" s="278" t="s">
        <v>15</v>
      </c>
      <c r="H385" s="328">
        <f t="shared" si="170"/>
        <v>0.38219999999999998</v>
      </c>
      <c r="I385" s="280">
        <f t="shared" si="176"/>
        <v>30.812964000000001</v>
      </c>
      <c r="J385" s="281">
        <f t="shared" si="177"/>
        <v>34.944546000000003</v>
      </c>
      <c r="K385" s="282">
        <f>IF(Notes!$B$9="Domestic",I385, IF(Notes!$B$9="Commercial",J385))*$K$345</f>
        <v>34.944546000000003</v>
      </c>
      <c r="L385" s="283">
        <f>(SUM(O385:Q385)+(K385+SUM(M385:Q385))*(INDEX($U$345:$AB$345,MATCH(Notes!$C$16,$U$3:$AB$3,0))-100%))*$L$345</f>
        <v>191.14368000000002</v>
      </c>
      <c r="M385" s="286"/>
      <c r="N385" s="286"/>
      <c r="O385" s="311">
        <f t="shared" si="171"/>
        <v>54.982200000000006</v>
      </c>
      <c r="P385" s="311">
        <f t="shared" si="171"/>
        <v>136.16148000000001</v>
      </c>
      <c r="Q385" s="285"/>
      <c r="R385" s="278"/>
      <c r="S385" s="278"/>
      <c r="T385" s="278"/>
    </row>
    <row r="386" spans="1:28" s="305" customFormat="1" hidden="1" outlineLevel="1" x14ac:dyDescent="0.25">
      <c r="A386" s="331">
        <v>35.4</v>
      </c>
      <c r="B386" s="279" t="str">
        <f t="shared" ref="B386:B388" si="181">C386&amp;D386&amp;E386&amp;F386</f>
        <v>150x150x16EA</v>
      </c>
      <c r="C386" s="278" t="s">
        <v>1409</v>
      </c>
      <c r="D386" s="278"/>
      <c r="E386" s="278" t="s">
        <v>1401</v>
      </c>
      <c r="F386" s="278"/>
      <c r="G386" s="278" t="s">
        <v>15</v>
      </c>
      <c r="H386" s="328">
        <f t="shared" si="170"/>
        <v>0.49559999999999998</v>
      </c>
      <c r="I386" s="280">
        <f t="shared" ref="I386:I388" si="182">$I$2*H386</f>
        <v>39.955272000000001</v>
      </c>
      <c r="J386" s="281">
        <f t="shared" ref="J386:J388" si="183">$J$2*H386</f>
        <v>45.312708000000001</v>
      </c>
      <c r="K386" s="282">
        <f>IF(Notes!$B$9="Domestic",I386, IF(Notes!$B$9="Commercial",J386))*$K$345</f>
        <v>45.312708000000001</v>
      </c>
      <c r="L386" s="283">
        <f>(SUM(O386:Q386)+(K386+SUM(M386:Q386))*(INDEX($U$345:$AB$345,MATCH(Notes!$C$16,$U$3:$AB$3,0))-100%))*$L$345</f>
        <v>247.85664000000003</v>
      </c>
      <c r="M386" s="286"/>
      <c r="N386" s="286"/>
      <c r="O386" s="311">
        <f t="shared" si="171"/>
        <v>71.295599999999993</v>
      </c>
      <c r="P386" s="311">
        <f t="shared" si="171"/>
        <v>176.56104000000002</v>
      </c>
      <c r="Q386" s="285"/>
      <c r="R386" s="278"/>
      <c r="S386" s="278"/>
      <c r="T386" s="278"/>
    </row>
    <row r="387" spans="1:28" s="305" customFormat="1" hidden="1" outlineLevel="1" x14ac:dyDescent="0.25">
      <c r="A387" s="331">
        <v>42.1</v>
      </c>
      <c r="B387" s="279" t="str">
        <f t="shared" si="181"/>
        <v>150x150x19EA</v>
      </c>
      <c r="C387" s="278" t="s">
        <v>1410</v>
      </c>
      <c r="D387" s="278"/>
      <c r="E387" s="278" t="s">
        <v>1401</v>
      </c>
      <c r="F387" s="278"/>
      <c r="G387" s="278" t="s">
        <v>15</v>
      </c>
      <c r="H387" s="328">
        <f t="shared" si="170"/>
        <v>0.58939999999999992</v>
      </c>
      <c r="I387" s="280">
        <f t="shared" si="182"/>
        <v>47.517427999999995</v>
      </c>
      <c r="J387" s="281">
        <f t="shared" si="183"/>
        <v>53.888841999999997</v>
      </c>
      <c r="K387" s="282">
        <f>IF(Notes!$B$9="Domestic",I387, IF(Notes!$B$9="Commercial",J387))*$K$345</f>
        <v>53.888841999999997</v>
      </c>
      <c r="L387" s="283">
        <f>(SUM(O387:Q387)+(K387+SUM(M387:Q387))*(INDEX($U$345:$AB$345,MATCH(Notes!$C$16,$U$3:$AB$3,0))-100%))*$L$345</f>
        <v>294.76736000000005</v>
      </c>
      <c r="M387" s="286"/>
      <c r="N387" s="286"/>
      <c r="O387" s="311">
        <f t="shared" si="171"/>
        <v>84.789400000000015</v>
      </c>
      <c r="P387" s="311">
        <f t="shared" si="171"/>
        <v>209.97796000000002</v>
      </c>
      <c r="Q387" s="285"/>
      <c r="R387" s="278"/>
      <c r="S387" s="278"/>
      <c r="T387" s="278"/>
    </row>
    <row r="388" spans="1:28" s="305" customFormat="1" hidden="1" outlineLevel="1" x14ac:dyDescent="0.25">
      <c r="A388" s="331">
        <v>40</v>
      </c>
      <c r="B388" s="279" t="str">
        <f t="shared" si="181"/>
        <v>200x200x13EA</v>
      </c>
      <c r="C388" s="278" t="s">
        <v>1411</v>
      </c>
      <c r="D388" s="278"/>
      <c r="E388" s="278" t="s">
        <v>1401</v>
      </c>
      <c r="F388" s="278"/>
      <c r="G388" s="278" t="s">
        <v>15</v>
      </c>
      <c r="H388" s="328">
        <f t="shared" si="170"/>
        <v>0.56000000000000005</v>
      </c>
      <c r="I388" s="280">
        <f t="shared" si="182"/>
        <v>45.147200000000005</v>
      </c>
      <c r="J388" s="281">
        <f t="shared" si="183"/>
        <v>51.200800000000008</v>
      </c>
      <c r="K388" s="282">
        <f>IF(Notes!$B$9="Domestic",I388, IF(Notes!$B$9="Commercial",J388))*$K$345</f>
        <v>51.200800000000008</v>
      </c>
      <c r="L388" s="283">
        <f>(SUM(O388:Q388)+(K388+SUM(M388:Q388))*(INDEX($U$345:$AB$345,MATCH(Notes!$C$16,$U$3:$AB$3,0))-100%))*$L$345</f>
        <v>280.06399999999996</v>
      </c>
      <c r="M388" s="286"/>
      <c r="N388" s="286"/>
      <c r="O388" s="311">
        <f t="shared" si="171"/>
        <v>80.56</v>
      </c>
      <c r="P388" s="311">
        <f t="shared" si="171"/>
        <v>199.50399999999999</v>
      </c>
      <c r="Q388" s="285"/>
      <c r="R388" s="278"/>
      <c r="S388" s="278"/>
      <c r="T388" s="278"/>
    </row>
    <row r="389" spans="1:28" s="305" customFormat="1" hidden="1" outlineLevel="1" x14ac:dyDescent="0.25">
      <c r="A389" s="331">
        <v>48.7</v>
      </c>
      <c r="B389" s="279" t="str">
        <f t="shared" ref="B389" si="184">C389&amp;D389&amp;E389&amp;F389</f>
        <v>200x200x16EA</v>
      </c>
      <c r="C389" s="278" t="s">
        <v>1211</v>
      </c>
      <c r="D389" s="278"/>
      <c r="E389" s="278" t="s">
        <v>1401</v>
      </c>
      <c r="F389" s="278"/>
      <c r="G389" s="278" t="s">
        <v>15</v>
      </c>
      <c r="H389" s="328">
        <f t="shared" si="170"/>
        <v>0.68180000000000007</v>
      </c>
      <c r="I389" s="280">
        <f t="shared" ref="I389" si="185">$I$2*H389</f>
        <v>54.966716000000012</v>
      </c>
      <c r="J389" s="281">
        <f t="shared" ref="J389" si="186">$J$2*H389</f>
        <v>62.336974000000012</v>
      </c>
      <c r="K389" s="282">
        <f>IF(Notes!$B$9="Domestic",I389, IF(Notes!$B$9="Commercial",J389))*$K$345</f>
        <v>62.336974000000012</v>
      </c>
      <c r="L389" s="283">
        <f>(SUM(O389:Q389)+(K389+SUM(M389:Q389))*(INDEX($U$345:$AB$345,MATCH(Notes!$C$16,$U$3:$AB$3,0))-100%))*$L$345</f>
        <v>340.97792000000004</v>
      </c>
      <c r="M389" s="286"/>
      <c r="N389" s="286"/>
      <c r="O389" s="311">
        <f t="shared" si="171"/>
        <v>98.081800000000001</v>
      </c>
      <c r="P389" s="311">
        <f t="shared" si="171"/>
        <v>242.89612000000002</v>
      </c>
      <c r="Q389" s="285"/>
      <c r="R389" s="278"/>
      <c r="S389" s="278"/>
      <c r="T389" s="278"/>
    </row>
    <row r="390" spans="1:28" s="305" customFormat="1" hidden="1" outlineLevel="1" x14ac:dyDescent="0.25">
      <c r="A390" s="331">
        <v>54.4</v>
      </c>
      <c r="B390" s="279" t="str">
        <f t="shared" si="175"/>
        <v>200x200x18EA</v>
      </c>
      <c r="C390" s="278" t="s">
        <v>1412</v>
      </c>
      <c r="D390" s="278"/>
      <c r="E390" s="278" t="s">
        <v>1401</v>
      </c>
      <c r="F390" s="278"/>
      <c r="G390" s="278" t="s">
        <v>15</v>
      </c>
      <c r="H390" s="328">
        <f t="shared" si="170"/>
        <v>0.76160000000000005</v>
      </c>
      <c r="I390" s="280">
        <f t="shared" si="176"/>
        <v>61.400192000000011</v>
      </c>
      <c r="J390" s="281">
        <f t="shared" si="177"/>
        <v>69.633088000000015</v>
      </c>
      <c r="K390" s="282">
        <f>IF(Notes!$B$9="Domestic",I390, IF(Notes!$B$9="Commercial",J390))*$K$345</f>
        <v>69.633088000000015</v>
      </c>
      <c r="L390" s="283">
        <f>(SUM(O390:Q390)+(K390+SUM(M390:Q390))*(INDEX($U$345:$AB$345,MATCH(Notes!$C$16,$U$3:$AB$3,0))-100%))*$L$345</f>
        <v>380.88704000000001</v>
      </c>
      <c r="M390" s="286"/>
      <c r="N390" s="286"/>
      <c r="O390" s="311">
        <f t="shared" si="171"/>
        <v>109.56159999999998</v>
      </c>
      <c r="P390" s="311">
        <f t="shared" si="171"/>
        <v>271.32544000000001</v>
      </c>
      <c r="Q390" s="285"/>
      <c r="R390" s="278"/>
      <c r="S390" s="278"/>
      <c r="T390" s="278"/>
    </row>
    <row r="391" spans="1:28" s="305" customFormat="1" hidden="1" outlineLevel="1" x14ac:dyDescent="0.25">
      <c r="A391" s="331">
        <v>60.1</v>
      </c>
      <c r="B391" s="279" t="str">
        <f t="shared" si="175"/>
        <v>200x200x20EA</v>
      </c>
      <c r="C391" s="278" t="s">
        <v>1413</v>
      </c>
      <c r="D391" s="278"/>
      <c r="E391" s="278" t="s">
        <v>1401</v>
      </c>
      <c r="F391" s="278"/>
      <c r="G391" s="278" t="s">
        <v>15</v>
      </c>
      <c r="H391" s="328">
        <f t="shared" si="170"/>
        <v>0.84139999999999993</v>
      </c>
      <c r="I391" s="280">
        <f t="shared" si="176"/>
        <v>67.833668000000003</v>
      </c>
      <c r="J391" s="281">
        <f t="shared" si="177"/>
        <v>76.929202000000004</v>
      </c>
      <c r="K391" s="282">
        <f>IF(Notes!$B$9="Domestic",I391, IF(Notes!$B$9="Commercial",J391))*$K$345</f>
        <v>76.929202000000004</v>
      </c>
      <c r="L391" s="283">
        <f>(SUM(O391:Q391)+(K391+SUM(M391:Q391))*(INDEX($U$345:$AB$345,MATCH(Notes!$C$16,$U$3:$AB$3,0))-100%))*$L$345</f>
        <v>420.79616000000004</v>
      </c>
      <c r="M391" s="286"/>
      <c r="N391" s="286"/>
      <c r="O391" s="311">
        <f t="shared" si="171"/>
        <v>121.04140000000001</v>
      </c>
      <c r="P391" s="311">
        <f t="shared" si="171"/>
        <v>299.75476000000003</v>
      </c>
      <c r="Q391" s="285"/>
      <c r="R391" s="278"/>
      <c r="S391" s="278"/>
      <c r="T391" s="278"/>
    </row>
    <row r="392" spans="1:28" s="305" customFormat="1" hidden="1" outlineLevel="1" x14ac:dyDescent="0.25">
      <c r="A392" s="331">
        <v>76.8</v>
      </c>
      <c r="B392" s="279" t="str">
        <f t="shared" si="172"/>
        <v>200x200x26EA</v>
      </c>
      <c r="C392" s="278" t="s">
        <v>1414</v>
      </c>
      <c r="D392" s="278"/>
      <c r="E392" s="278" t="s">
        <v>1401</v>
      </c>
      <c r="F392" s="278"/>
      <c r="G392" s="278" t="s">
        <v>15</v>
      </c>
      <c r="H392" s="328">
        <f t="shared" si="170"/>
        <v>1.0752000000000002</v>
      </c>
      <c r="I392" s="280">
        <f t="shared" si="173"/>
        <v>86.682624000000018</v>
      </c>
      <c r="J392" s="281">
        <f t="shared" si="174"/>
        <v>98.305536000000018</v>
      </c>
      <c r="K392" s="282">
        <f>IF(Notes!$B$9="Domestic",I392, IF(Notes!$B$9="Commercial",J392))*$K$345</f>
        <v>98.305536000000018</v>
      </c>
      <c r="L392" s="283">
        <f>(SUM(O392:Q392)+(K392+SUM(M392:Q392))*(INDEX($U$345:$AB$345,MATCH(Notes!$C$16,$U$3:$AB$3,0))-100%))*$L$345</f>
        <v>537.72288000000003</v>
      </c>
      <c r="M392" s="286"/>
      <c r="N392" s="286"/>
      <c r="O392" s="311">
        <f t="shared" si="171"/>
        <v>154.67519999999999</v>
      </c>
      <c r="P392" s="311">
        <f t="shared" si="171"/>
        <v>383.04768000000001</v>
      </c>
      <c r="Q392" s="285"/>
      <c r="R392" s="278"/>
      <c r="S392" s="278"/>
      <c r="T392" s="278"/>
    </row>
    <row r="393" spans="1:28" ht="21" hidden="1" outlineLevel="1" x14ac:dyDescent="0.25">
      <c r="A393" s="299" t="s">
        <v>1432</v>
      </c>
      <c r="B393" s="299"/>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c r="AA393" s="299"/>
      <c r="AB393" s="299"/>
    </row>
    <row r="394" spans="1:28" ht="15.75" hidden="1" outlineLevel="1" x14ac:dyDescent="0.25">
      <c r="A394" s="303" t="s">
        <v>1044</v>
      </c>
      <c r="B394" s="291"/>
      <c r="C394" s="291"/>
      <c r="D394" s="291"/>
      <c r="E394" s="291"/>
      <c r="F394" s="291"/>
      <c r="G394" s="291"/>
      <c r="H394" s="325">
        <f>7*2</f>
        <v>14</v>
      </c>
      <c r="I394" s="291"/>
      <c r="J394" s="291"/>
      <c r="K394" s="291">
        <f>K$2</f>
        <v>1</v>
      </c>
      <c r="L394" s="291">
        <f>L$2</f>
        <v>1</v>
      </c>
      <c r="M394" s="291"/>
      <c r="N394" s="291"/>
      <c r="O394" s="384">
        <f>O345</f>
        <v>2014</v>
      </c>
      <c r="P394" s="324">
        <f>40*$P$2</f>
        <v>4987.6000000000004</v>
      </c>
      <c r="Q394" s="303"/>
      <c r="R394" s="291"/>
      <c r="S394" s="291"/>
      <c r="T394" s="291"/>
      <c r="U394" s="381">
        <f>U345</f>
        <v>1</v>
      </c>
      <c r="V394" s="381">
        <f t="shared" ref="V394:AB394" si="187">V345</f>
        <v>1</v>
      </c>
      <c r="W394" s="381">
        <f t="shared" si="187"/>
        <v>0.98561757312614262</v>
      </c>
      <c r="X394" s="381">
        <f t="shared" si="187"/>
        <v>1</v>
      </c>
      <c r="Y394" s="381">
        <f t="shared" si="187"/>
        <v>0.99015939213893978</v>
      </c>
      <c r="Z394" s="381">
        <f t="shared" si="187"/>
        <v>1.2550845521023766</v>
      </c>
      <c r="AA394" s="381">
        <f t="shared" si="187"/>
        <v>1.3979090493601463</v>
      </c>
      <c r="AB394" s="381">
        <f t="shared" si="187"/>
        <v>1.0265653564899451</v>
      </c>
    </row>
    <row r="395" spans="1:28" s="305" customFormat="1" hidden="1" outlineLevel="1" x14ac:dyDescent="0.25">
      <c r="A395" s="278">
        <v>4.0199999999999996</v>
      </c>
      <c r="B395" s="279" t="str">
        <f>C395&amp;D395&amp;E395&amp;F395</f>
        <v>65x50x5UA</v>
      </c>
      <c r="C395" s="278" t="s">
        <v>1415</v>
      </c>
      <c r="D395" s="278"/>
      <c r="E395" s="278" t="s">
        <v>1431</v>
      </c>
      <c r="F395" s="278"/>
      <c r="G395" s="278" t="s">
        <v>15</v>
      </c>
      <c r="H395" s="328">
        <f>$H$394*$A395/1000</f>
        <v>5.6279999999999997E-2</v>
      </c>
      <c r="I395" s="280">
        <f>$I$2*H395</f>
        <v>4.5372935999999999</v>
      </c>
      <c r="J395" s="281">
        <f>$J$2*H395</f>
        <v>5.1456803999999998</v>
      </c>
      <c r="K395" s="282">
        <f>IF(Notes!$B$9="Domestic",I395, IF(Notes!$B$9="Commercial",J395))*$K$394</f>
        <v>5.1456803999999998</v>
      </c>
      <c r="L395" s="283">
        <f>(SUM(O395:Q395)+(K395+SUM(M395:Q395))*(INDEX($U$394:$AB$394,MATCH(Notes!$C$16,$U$3:$AB$3,0))-100%))*$L$394</f>
        <v>28.146431999999997</v>
      </c>
      <c r="M395" s="286"/>
      <c r="N395" s="286"/>
      <c r="O395" s="311">
        <f>O$394*$A395/1000</f>
        <v>8.0962799999999984</v>
      </c>
      <c r="P395" s="311">
        <f>P$394*$A395/1000</f>
        <v>20.050151999999997</v>
      </c>
      <c r="Q395" s="285"/>
      <c r="R395" s="278"/>
      <c r="S395" s="278"/>
      <c r="T395" s="278"/>
    </row>
    <row r="396" spans="1:28" s="305" customFormat="1" hidden="1" outlineLevel="1" x14ac:dyDescent="0.25">
      <c r="A396" s="278">
        <v>5.16</v>
      </c>
      <c r="B396" s="279" t="str">
        <f t="shared" ref="B396:B398" si="188">C396&amp;D396&amp;E396&amp;F396</f>
        <v>65x50x6UA</v>
      </c>
      <c r="C396" s="278" t="s">
        <v>1416</v>
      </c>
      <c r="D396" s="278"/>
      <c r="E396" s="278" t="s">
        <v>1431</v>
      </c>
      <c r="F396" s="278"/>
      <c r="G396" s="278" t="s">
        <v>15</v>
      </c>
      <c r="H396" s="328">
        <f t="shared" ref="H396:H413" si="189">$H$394*$A396/1000</f>
        <v>7.2240000000000013E-2</v>
      </c>
      <c r="I396" s="280">
        <f t="shared" ref="I396:I398" si="190">$I$2*H396</f>
        <v>5.8239888000000013</v>
      </c>
      <c r="J396" s="281">
        <f t="shared" ref="J396:J398" si="191">$J$2*H396</f>
        <v>6.6049032000000016</v>
      </c>
      <c r="K396" s="282">
        <f>IF(Notes!$B$9="Domestic",I396, IF(Notes!$B$9="Commercial",J396))*$K$394</f>
        <v>6.6049032000000016</v>
      </c>
      <c r="L396" s="283">
        <f>(SUM(O396:Q396)+(K396+SUM(M396:Q396))*(INDEX($U$394:$AB$394,MATCH(Notes!$C$16,$U$3:$AB$3,0))-100%))*$L$394</f>
        <v>36.128256</v>
      </c>
      <c r="M396" s="286"/>
      <c r="N396" s="286"/>
      <c r="O396" s="311">
        <f t="shared" ref="O396:P413" si="192">O$394*$A396/1000</f>
        <v>10.392239999999999</v>
      </c>
      <c r="P396" s="311">
        <f t="shared" si="192"/>
        <v>25.736016000000003</v>
      </c>
      <c r="Q396" s="285"/>
      <c r="R396" s="278"/>
      <c r="S396" s="278"/>
      <c r="T396" s="278"/>
    </row>
    <row r="397" spans="1:28" s="305" customFormat="1" hidden="1" outlineLevel="1" x14ac:dyDescent="0.25">
      <c r="A397" s="278">
        <v>6.59</v>
      </c>
      <c r="B397" s="279" t="str">
        <f t="shared" si="188"/>
        <v>65x50x8UA</v>
      </c>
      <c r="C397" s="278" t="s">
        <v>1417</v>
      </c>
      <c r="D397" s="278"/>
      <c r="E397" s="278" t="s">
        <v>1431</v>
      </c>
      <c r="F397" s="278"/>
      <c r="G397" s="278" t="s">
        <v>15</v>
      </c>
      <c r="H397" s="328">
        <f t="shared" si="189"/>
        <v>9.2259999999999995E-2</v>
      </c>
      <c r="I397" s="280">
        <f t="shared" si="190"/>
        <v>7.4380012000000004</v>
      </c>
      <c r="J397" s="281">
        <f t="shared" si="191"/>
        <v>8.4353318000000002</v>
      </c>
      <c r="K397" s="282">
        <f>IF(Notes!$B$9="Domestic",I397, IF(Notes!$B$9="Commercial",J397))*$K$394</f>
        <v>8.4353318000000002</v>
      </c>
      <c r="L397" s="283">
        <f>(SUM(O397:Q397)+(K397+SUM(M397:Q397))*(INDEX($U$394:$AB$394,MATCH(Notes!$C$16,$U$3:$AB$3,0))-100%))*$L$394</f>
        <v>46.140544000000006</v>
      </c>
      <c r="M397" s="286"/>
      <c r="N397" s="286"/>
      <c r="O397" s="311">
        <f t="shared" si="192"/>
        <v>13.272260000000001</v>
      </c>
      <c r="P397" s="311">
        <f t="shared" si="192"/>
        <v>32.868284000000003</v>
      </c>
      <c r="Q397" s="285"/>
      <c r="R397" s="278"/>
      <c r="S397" s="278"/>
      <c r="T397" s="278"/>
    </row>
    <row r="398" spans="1:28" s="305" customFormat="1" hidden="1" outlineLevel="1" x14ac:dyDescent="0.25">
      <c r="A398" s="278">
        <v>4.3600000000000003</v>
      </c>
      <c r="B398" s="279" t="str">
        <f t="shared" si="188"/>
        <v>75x50x5UA</v>
      </c>
      <c r="C398" s="278" t="s">
        <v>1330</v>
      </c>
      <c r="D398" s="278"/>
      <c r="E398" s="278" t="s">
        <v>1431</v>
      </c>
      <c r="F398" s="278"/>
      <c r="G398" s="278" t="s">
        <v>15</v>
      </c>
      <c r="H398" s="328">
        <f t="shared" si="189"/>
        <v>6.1040000000000004E-2</v>
      </c>
      <c r="I398" s="280">
        <f t="shared" si="190"/>
        <v>4.9210448000000007</v>
      </c>
      <c r="J398" s="281">
        <f t="shared" si="191"/>
        <v>5.5808872000000012</v>
      </c>
      <c r="K398" s="282">
        <f>IF(Notes!$B$9="Domestic",I398, IF(Notes!$B$9="Commercial",J398))*$K$394</f>
        <v>5.5808872000000012</v>
      </c>
      <c r="L398" s="283">
        <f>(SUM(O398:Q398)+(K398+SUM(M398:Q398))*(INDEX($U$394:$AB$394,MATCH(Notes!$C$16,$U$3:$AB$3,0))-100%))*$L$394</f>
        <v>30.526976000000001</v>
      </c>
      <c r="M398" s="286"/>
      <c r="N398" s="286"/>
      <c r="O398" s="311">
        <f t="shared" si="192"/>
        <v>8.7810400000000008</v>
      </c>
      <c r="P398" s="311">
        <f t="shared" si="192"/>
        <v>21.745936</v>
      </c>
      <c r="Q398" s="285"/>
      <c r="R398" s="278"/>
      <c r="S398" s="278"/>
      <c r="T398" s="278"/>
    </row>
    <row r="399" spans="1:28" s="305" customFormat="1" hidden="1" outlineLevel="1" x14ac:dyDescent="0.25">
      <c r="A399" s="278">
        <v>5.62</v>
      </c>
      <c r="B399" s="279" t="str">
        <f t="shared" ref="B399:B413" si="193">C399&amp;D399&amp;E399&amp;F399</f>
        <v>75x50x6UA</v>
      </c>
      <c r="C399" s="278" t="s">
        <v>1331</v>
      </c>
      <c r="D399" s="278"/>
      <c r="E399" s="278" t="s">
        <v>1431</v>
      </c>
      <c r="F399" s="278"/>
      <c r="G399" s="278" t="s">
        <v>15</v>
      </c>
      <c r="H399" s="328">
        <f t="shared" si="189"/>
        <v>7.868E-2</v>
      </c>
      <c r="I399" s="280">
        <f t="shared" ref="I399:I413" si="194">$I$2*H399</f>
        <v>6.3431816000000003</v>
      </c>
      <c r="J399" s="281">
        <f t="shared" ref="J399:J413" si="195">$J$2*H399</f>
        <v>7.1937124000000008</v>
      </c>
      <c r="K399" s="282">
        <f>IF(Notes!$B$9="Domestic",I399, IF(Notes!$B$9="Commercial",J399))*$K$394</f>
        <v>7.1937124000000008</v>
      </c>
      <c r="L399" s="283">
        <f>(SUM(O399:Q399)+(K399+SUM(M399:Q399))*(INDEX($U$394:$AB$394,MATCH(Notes!$C$16,$U$3:$AB$3,0))-100%))*$L$394</f>
        <v>39.348992000000003</v>
      </c>
      <c r="M399" s="286"/>
      <c r="N399" s="286"/>
      <c r="O399" s="311">
        <f t="shared" si="192"/>
        <v>11.318680000000001</v>
      </c>
      <c r="P399" s="311">
        <f t="shared" si="192"/>
        <v>28.030312000000002</v>
      </c>
      <c r="Q399" s="285"/>
      <c r="R399" s="278"/>
      <c r="S399" s="278"/>
      <c r="T399" s="278"/>
    </row>
    <row r="400" spans="1:28" s="305" customFormat="1" hidden="1" outlineLevel="1" x14ac:dyDescent="0.25">
      <c r="A400" s="278">
        <v>7.19</v>
      </c>
      <c r="B400" s="279" t="str">
        <f t="shared" si="193"/>
        <v>75x50x8UA</v>
      </c>
      <c r="C400" s="278" t="s">
        <v>1418</v>
      </c>
      <c r="D400" s="278"/>
      <c r="E400" s="278" t="s">
        <v>1431</v>
      </c>
      <c r="F400" s="278"/>
      <c r="G400" s="278" t="s">
        <v>15</v>
      </c>
      <c r="H400" s="328">
        <f t="shared" si="189"/>
        <v>0.10066000000000001</v>
      </c>
      <c r="I400" s="280">
        <f t="shared" si="194"/>
        <v>8.1152092000000007</v>
      </c>
      <c r="J400" s="281">
        <f t="shared" si="195"/>
        <v>9.2033438000000025</v>
      </c>
      <c r="K400" s="282">
        <f>IF(Notes!$B$9="Domestic",I400, IF(Notes!$B$9="Commercial",J400))*$K$394</f>
        <v>9.2033438000000025</v>
      </c>
      <c r="L400" s="283">
        <f>(SUM(O400:Q400)+(K400+SUM(M400:Q400))*(INDEX($U$394:$AB$394,MATCH(Notes!$C$16,$U$3:$AB$3,0))-100%))*$L$394</f>
        <v>50.341504000000008</v>
      </c>
      <c r="M400" s="286"/>
      <c r="N400" s="286"/>
      <c r="O400" s="311">
        <f t="shared" si="192"/>
        <v>14.480660000000002</v>
      </c>
      <c r="P400" s="311">
        <f t="shared" si="192"/>
        <v>35.860844000000007</v>
      </c>
      <c r="Q400" s="285"/>
      <c r="R400" s="278"/>
      <c r="S400" s="278"/>
      <c r="T400" s="278"/>
    </row>
    <row r="401" spans="1:28" s="305" customFormat="1" hidden="1" outlineLevel="1" x14ac:dyDescent="0.25">
      <c r="A401" s="278">
        <v>7.98</v>
      </c>
      <c r="B401" s="279" t="str">
        <f t="shared" si="193"/>
        <v>100x75x6UA</v>
      </c>
      <c r="C401" s="278" t="s">
        <v>1419</v>
      </c>
      <c r="D401" s="278"/>
      <c r="E401" s="278" t="s">
        <v>1431</v>
      </c>
      <c r="F401" s="278"/>
      <c r="G401" s="278" t="s">
        <v>15</v>
      </c>
      <c r="H401" s="328">
        <f t="shared" si="189"/>
        <v>0.11172</v>
      </c>
      <c r="I401" s="280">
        <f t="shared" si="194"/>
        <v>9.0068663999999998</v>
      </c>
      <c r="J401" s="281">
        <f t="shared" si="195"/>
        <v>10.214559600000001</v>
      </c>
      <c r="K401" s="282">
        <f>IF(Notes!$B$9="Domestic",I401, IF(Notes!$B$9="Commercial",J401))*$K$394</f>
        <v>10.214559600000001</v>
      </c>
      <c r="L401" s="283">
        <f>(SUM(O401:Q401)+(K401+SUM(M401:Q401))*(INDEX($U$394:$AB$394,MATCH(Notes!$C$16,$U$3:$AB$3,0))-100%))*$L$394</f>
        <v>55.872768000000008</v>
      </c>
      <c r="M401" s="286"/>
      <c r="N401" s="286"/>
      <c r="O401" s="311">
        <f t="shared" si="192"/>
        <v>16.071720000000003</v>
      </c>
      <c r="P401" s="311">
        <f t="shared" si="192"/>
        <v>39.801048000000002</v>
      </c>
      <c r="Q401" s="285"/>
      <c r="R401" s="278"/>
      <c r="S401" s="278"/>
      <c r="T401" s="278"/>
    </row>
    <row r="402" spans="1:28" s="305" customFormat="1" hidden="1" outlineLevel="1" x14ac:dyDescent="0.25">
      <c r="A402" s="278">
        <v>10.3</v>
      </c>
      <c r="B402" s="279" t="str">
        <f t="shared" si="193"/>
        <v>100x75x8UA</v>
      </c>
      <c r="C402" s="278" t="s">
        <v>1420</v>
      </c>
      <c r="D402" s="278"/>
      <c r="E402" s="278" t="s">
        <v>1431</v>
      </c>
      <c r="F402" s="278"/>
      <c r="G402" s="278" t="s">
        <v>15</v>
      </c>
      <c r="H402" s="328">
        <f t="shared" si="189"/>
        <v>0.14420000000000002</v>
      </c>
      <c r="I402" s="280">
        <f t="shared" si="194"/>
        <v>11.625404000000003</v>
      </c>
      <c r="J402" s="281">
        <f t="shared" si="195"/>
        <v>13.184206000000003</v>
      </c>
      <c r="K402" s="282">
        <f>IF(Notes!$B$9="Domestic",I402, IF(Notes!$B$9="Commercial",J402))*$K$394</f>
        <v>13.184206000000003</v>
      </c>
      <c r="L402" s="283">
        <f>(SUM(O402:Q402)+(K402+SUM(M402:Q402))*(INDEX($U$394:$AB$394,MATCH(Notes!$C$16,$U$3:$AB$3,0))-100%))*$L$394</f>
        <v>72.116479999999996</v>
      </c>
      <c r="M402" s="286"/>
      <c r="N402" s="286"/>
      <c r="O402" s="311">
        <f t="shared" si="192"/>
        <v>20.744199999999999</v>
      </c>
      <c r="P402" s="311">
        <f t="shared" si="192"/>
        <v>51.372280000000003</v>
      </c>
      <c r="Q402" s="285"/>
      <c r="R402" s="278"/>
      <c r="S402" s="278"/>
      <c r="T402" s="278"/>
    </row>
    <row r="403" spans="1:28" s="305" customFormat="1" hidden="1" outlineLevel="1" x14ac:dyDescent="0.25">
      <c r="A403" s="278">
        <v>12.4</v>
      </c>
      <c r="B403" s="279" t="str">
        <f t="shared" si="193"/>
        <v>100x75x10UA</v>
      </c>
      <c r="C403" s="278" t="s">
        <v>1421</v>
      </c>
      <c r="D403" s="278"/>
      <c r="E403" s="278" t="s">
        <v>1431</v>
      </c>
      <c r="F403" s="278"/>
      <c r="G403" s="278" t="s">
        <v>15</v>
      </c>
      <c r="H403" s="328">
        <f t="shared" si="189"/>
        <v>0.1736</v>
      </c>
      <c r="I403" s="280">
        <f t="shared" si="194"/>
        <v>13.995632000000001</v>
      </c>
      <c r="J403" s="281">
        <f t="shared" si="195"/>
        <v>15.872248000000001</v>
      </c>
      <c r="K403" s="282">
        <f>IF(Notes!$B$9="Domestic",I403, IF(Notes!$B$9="Commercial",J403))*$K$394</f>
        <v>15.872248000000001</v>
      </c>
      <c r="L403" s="283">
        <f>(SUM(O403:Q403)+(K403+SUM(M403:Q403))*(INDEX($U$394:$AB$394,MATCH(Notes!$C$16,$U$3:$AB$3,0))-100%))*$L$394</f>
        <v>86.819840000000013</v>
      </c>
      <c r="M403" s="286"/>
      <c r="N403" s="286"/>
      <c r="O403" s="311">
        <f t="shared" si="192"/>
        <v>24.973600000000001</v>
      </c>
      <c r="P403" s="311">
        <f t="shared" si="192"/>
        <v>61.846240000000009</v>
      </c>
      <c r="Q403" s="285"/>
      <c r="R403" s="278"/>
      <c r="S403" s="278"/>
      <c r="T403" s="278"/>
    </row>
    <row r="404" spans="1:28" s="305" customFormat="1" hidden="1" outlineLevel="1" x14ac:dyDescent="0.25">
      <c r="A404" s="278">
        <v>9.16</v>
      </c>
      <c r="B404" s="279" t="str">
        <f t="shared" si="193"/>
        <v>125x75x6UA</v>
      </c>
      <c r="C404" s="278" t="s">
        <v>1344</v>
      </c>
      <c r="D404" s="278"/>
      <c r="E404" s="278" t="s">
        <v>1431</v>
      </c>
      <c r="F404" s="278"/>
      <c r="G404" s="278" t="s">
        <v>15</v>
      </c>
      <c r="H404" s="328">
        <f t="shared" si="189"/>
        <v>0.12824000000000002</v>
      </c>
      <c r="I404" s="280">
        <f t="shared" si="194"/>
        <v>10.338708800000003</v>
      </c>
      <c r="J404" s="281">
        <f t="shared" si="195"/>
        <v>11.724983200000002</v>
      </c>
      <c r="K404" s="282">
        <f>IF(Notes!$B$9="Domestic",I404, IF(Notes!$B$9="Commercial",J404))*$K$394</f>
        <v>11.724983200000002</v>
      </c>
      <c r="L404" s="283">
        <f>(SUM(O404:Q404)+(K404+SUM(M404:Q404))*(INDEX($U$394:$AB$394,MATCH(Notes!$C$16,$U$3:$AB$3,0))-100%))*$L$394</f>
        <v>64.134656000000007</v>
      </c>
      <c r="M404" s="286"/>
      <c r="N404" s="286"/>
      <c r="O404" s="311">
        <f t="shared" si="192"/>
        <v>18.448240000000002</v>
      </c>
      <c r="P404" s="311">
        <f t="shared" si="192"/>
        <v>45.686416000000001</v>
      </c>
      <c r="Q404" s="285"/>
      <c r="R404" s="278"/>
      <c r="S404" s="278"/>
      <c r="T404" s="278"/>
    </row>
    <row r="405" spans="1:28" s="305" customFormat="1" hidden="1" outlineLevel="1" x14ac:dyDescent="0.25">
      <c r="A405" s="278">
        <v>11.8</v>
      </c>
      <c r="B405" s="279" t="str">
        <f t="shared" si="193"/>
        <v>125x75x8UA</v>
      </c>
      <c r="C405" s="278" t="s">
        <v>1422</v>
      </c>
      <c r="D405" s="278"/>
      <c r="E405" s="278" t="s">
        <v>1431</v>
      </c>
      <c r="F405" s="278"/>
      <c r="G405" s="278" t="s">
        <v>15</v>
      </c>
      <c r="H405" s="328">
        <f t="shared" si="189"/>
        <v>0.16520000000000001</v>
      </c>
      <c r="I405" s="280">
        <f t="shared" si="194"/>
        <v>13.318424000000002</v>
      </c>
      <c r="J405" s="281">
        <f t="shared" si="195"/>
        <v>15.104236000000002</v>
      </c>
      <c r="K405" s="282">
        <f>IF(Notes!$B$9="Domestic",I405, IF(Notes!$B$9="Commercial",J405))*$K$394</f>
        <v>15.104236000000002</v>
      </c>
      <c r="L405" s="283">
        <f>(SUM(O405:Q405)+(K405+SUM(M405:Q405))*(INDEX($U$394:$AB$394,MATCH(Notes!$C$16,$U$3:$AB$3,0))-100%))*$L$394</f>
        <v>82.618880000000004</v>
      </c>
      <c r="M405" s="286"/>
      <c r="N405" s="286"/>
      <c r="O405" s="311">
        <f t="shared" si="192"/>
        <v>23.7652</v>
      </c>
      <c r="P405" s="311">
        <f t="shared" si="192"/>
        <v>58.853680000000004</v>
      </c>
      <c r="Q405" s="285"/>
      <c r="R405" s="278"/>
      <c r="S405" s="278"/>
      <c r="T405" s="278"/>
    </row>
    <row r="406" spans="1:28" s="305" customFormat="1" hidden="1" outlineLevel="1" x14ac:dyDescent="0.25">
      <c r="A406" s="278">
        <v>14.2</v>
      </c>
      <c r="B406" s="279" t="str">
        <f t="shared" si="193"/>
        <v>125x75x10UA</v>
      </c>
      <c r="C406" s="278" t="s">
        <v>1423</v>
      </c>
      <c r="D406" s="278"/>
      <c r="E406" s="278" t="s">
        <v>1431</v>
      </c>
      <c r="F406" s="278"/>
      <c r="G406" s="278" t="s">
        <v>15</v>
      </c>
      <c r="H406" s="328">
        <f t="shared" si="189"/>
        <v>0.19879999999999998</v>
      </c>
      <c r="I406" s="280">
        <f t="shared" si="194"/>
        <v>16.027255999999998</v>
      </c>
      <c r="J406" s="281">
        <f t="shared" si="195"/>
        <v>18.176283999999999</v>
      </c>
      <c r="K406" s="282">
        <f>IF(Notes!$B$9="Domestic",I406, IF(Notes!$B$9="Commercial",J406))*$K$394</f>
        <v>18.176283999999999</v>
      </c>
      <c r="L406" s="283">
        <f>(SUM(O406:Q406)+(K406+SUM(M406:Q406))*(INDEX($U$394:$AB$394,MATCH(Notes!$C$16,$U$3:$AB$3,0))-100%))*$L$394</f>
        <v>99.422719999999998</v>
      </c>
      <c r="M406" s="286"/>
      <c r="N406" s="286"/>
      <c r="O406" s="311">
        <f t="shared" si="192"/>
        <v>28.598800000000001</v>
      </c>
      <c r="P406" s="311">
        <f t="shared" si="192"/>
        <v>70.823920000000001</v>
      </c>
      <c r="Q406" s="285"/>
      <c r="R406" s="278"/>
      <c r="S406" s="278"/>
      <c r="T406" s="278"/>
    </row>
    <row r="407" spans="1:28" s="305" customFormat="1" hidden="1" outlineLevel="1" x14ac:dyDescent="0.25">
      <c r="A407" s="278">
        <v>17.7</v>
      </c>
      <c r="B407" s="279" t="str">
        <f t="shared" si="193"/>
        <v>125x75x12UA</v>
      </c>
      <c r="C407" s="278" t="s">
        <v>1424</v>
      </c>
      <c r="D407" s="278"/>
      <c r="E407" s="278" t="s">
        <v>1431</v>
      </c>
      <c r="F407" s="278"/>
      <c r="G407" s="278" t="s">
        <v>15</v>
      </c>
      <c r="H407" s="328">
        <f t="shared" si="189"/>
        <v>0.24779999999999999</v>
      </c>
      <c r="I407" s="280">
        <f t="shared" si="194"/>
        <v>19.977636</v>
      </c>
      <c r="J407" s="281">
        <f t="shared" si="195"/>
        <v>22.656354</v>
      </c>
      <c r="K407" s="282">
        <f>IF(Notes!$B$9="Domestic",I407, IF(Notes!$B$9="Commercial",J407))*$K$394</f>
        <v>22.656354</v>
      </c>
      <c r="L407" s="283">
        <f>(SUM(O407:Q407)+(K407+SUM(M407:Q407))*(INDEX($U$394:$AB$394,MATCH(Notes!$C$16,$U$3:$AB$3,0))-100%))*$L$394</f>
        <v>123.92832000000001</v>
      </c>
      <c r="M407" s="286"/>
      <c r="N407" s="286"/>
      <c r="O407" s="311">
        <f t="shared" si="192"/>
        <v>35.647799999999997</v>
      </c>
      <c r="P407" s="311">
        <f t="shared" si="192"/>
        <v>88.28052000000001</v>
      </c>
      <c r="Q407" s="285"/>
      <c r="R407" s="278"/>
      <c r="S407" s="278"/>
      <c r="T407" s="278"/>
    </row>
    <row r="408" spans="1:28" s="305" customFormat="1" hidden="1" outlineLevel="1" x14ac:dyDescent="0.25">
      <c r="A408" s="278">
        <v>14.3</v>
      </c>
      <c r="B408" s="279" t="str">
        <f t="shared" si="193"/>
        <v>150x90x8UA</v>
      </c>
      <c r="C408" s="278" t="s">
        <v>1425</v>
      </c>
      <c r="D408" s="278"/>
      <c r="E408" s="278" t="s">
        <v>1431</v>
      </c>
      <c r="F408" s="278"/>
      <c r="G408" s="278" t="s">
        <v>15</v>
      </c>
      <c r="H408" s="328">
        <f t="shared" si="189"/>
        <v>0.20020000000000002</v>
      </c>
      <c r="I408" s="280">
        <f t="shared" si="194"/>
        <v>16.140124000000004</v>
      </c>
      <c r="J408" s="281">
        <f t="shared" si="195"/>
        <v>18.304286000000001</v>
      </c>
      <c r="K408" s="282">
        <f>IF(Notes!$B$9="Domestic",I408, IF(Notes!$B$9="Commercial",J408))*$K$394</f>
        <v>18.304286000000001</v>
      </c>
      <c r="L408" s="283">
        <f>(SUM(O408:Q408)+(K408+SUM(M408:Q408))*(INDEX($U$394:$AB$394,MATCH(Notes!$C$16,$U$3:$AB$3,0))-100%))*$L$394</f>
        <v>100.12288000000001</v>
      </c>
      <c r="M408" s="286"/>
      <c r="N408" s="286"/>
      <c r="O408" s="311">
        <f t="shared" si="192"/>
        <v>28.8002</v>
      </c>
      <c r="P408" s="311">
        <f t="shared" si="192"/>
        <v>71.322680000000005</v>
      </c>
      <c r="Q408" s="285"/>
      <c r="R408" s="278"/>
      <c r="S408" s="278"/>
      <c r="T408" s="278"/>
    </row>
    <row r="409" spans="1:28" s="305" customFormat="1" hidden="1" outlineLevel="1" x14ac:dyDescent="0.25">
      <c r="A409" s="278">
        <v>17.3</v>
      </c>
      <c r="B409" s="279" t="str">
        <f t="shared" si="193"/>
        <v>150x90x10UA</v>
      </c>
      <c r="C409" s="278" t="s">
        <v>1426</v>
      </c>
      <c r="D409" s="278"/>
      <c r="E409" s="278" t="s">
        <v>1431</v>
      </c>
      <c r="F409" s="278"/>
      <c r="G409" s="278" t="s">
        <v>15</v>
      </c>
      <c r="H409" s="328">
        <f t="shared" si="189"/>
        <v>0.24220000000000003</v>
      </c>
      <c r="I409" s="280">
        <f t="shared" si="194"/>
        <v>19.526164000000005</v>
      </c>
      <c r="J409" s="281">
        <f t="shared" si="195"/>
        <v>22.144346000000002</v>
      </c>
      <c r="K409" s="282">
        <f>IF(Notes!$B$9="Domestic",I409, IF(Notes!$B$9="Commercial",J409))*$K$394</f>
        <v>22.144346000000002</v>
      </c>
      <c r="L409" s="283">
        <f>(SUM(O409:Q409)+(K409+SUM(M409:Q409))*(INDEX($U$394:$AB$394,MATCH(Notes!$C$16,$U$3:$AB$3,0))-100%))*$L$394</f>
        <v>121.12768000000001</v>
      </c>
      <c r="M409" s="286"/>
      <c r="N409" s="286"/>
      <c r="O409" s="311">
        <f t="shared" si="192"/>
        <v>34.842200000000005</v>
      </c>
      <c r="P409" s="311">
        <f t="shared" si="192"/>
        <v>86.285480000000007</v>
      </c>
      <c r="Q409" s="285"/>
      <c r="R409" s="278"/>
      <c r="S409" s="278"/>
      <c r="T409" s="278"/>
    </row>
    <row r="410" spans="1:28" s="305" customFormat="1" hidden="1" outlineLevel="1" x14ac:dyDescent="0.25">
      <c r="A410" s="278">
        <v>21.6</v>
      </c>
      <c r="B410" s="279" t="str">
        <f t="shared" si="193"/>
        <v>150x90x12UA</v>
      </c>
      <c r="C410" s="278" t="s">
        <v>1427</v>
      </c>
      <c r="D410" s="278"/>
      <c r="E410" s="278" t="s">
        <v>1431</v>
      </c>
      <c r="F410" s="278"/>
      <c r="G410" s="278" t="s">
        <v>15</v>
      </c>
      <c r="H410" s="328">
        <f t="shared" si="189"/>
        <v>0.30240000000000006</v>
      </c>
      <c r="I410" s="280">
        <f t="shared" si="194"/>
        <v>24.379488000000006</v>
      </c>
      <c r="J410" s="281">
        <f t="shared" si="195"/>
        <v>27.648432000000007</v>
      </c>
      <c r="K410" s="282">
        <f>IF(Notes!$B$9="Domestic",I410, IF(Notes!$B$9="Commercial",J410))*$K$394</f>
        <v>27.648432000000007</v>
      </c>
      <c r="L410" s="283">
        <f>(SUM(O410:Q410)+(K410+SUM(M410:Q410))*(INDEX($U$394:$AB$394,MATCH(Notes!$C$16,$U$3:$AB$3,0))-100%))*$L$394</f>
        <v>151.23456000000002</v>
      </c>
      <c r="M410" s="286"/>
      <c r="N410" s="286"/>
      <c r="O410" s="311">
        <f t="shared" si="192"/>
        <v>43.502400000000002</v>
      </c>
      <c r="P410" s="311">
        <f t="shared" si="192"/>
        <v>107.73216000000002</v>
      </c>
      <c r="Q410" s="285"/>
      <c r="R410" s="278"/>
      <c r="S410" s="278"/>
      <c r="T410" s="278"/>
    </row>
    <row r="411" spans="1:28" s="305" customFormat="1" hidden="1" outlineLevel="1" x14ac:dyDescent="0.25">
      <c r="A411" s="278">
        <v>27.9</v>
      </c>
      <c r="B411" s="279" t="str">
        <f t="shared" si="193"/>
        <v>150x90x16UA</v>
      </c>
      <c r="C411" s="278" t="s">
        <v>1428</v>
      </c>
      <c r="D411" s="278"/>
      <c r="E411" s="278" t="s">
        <v>1431</v>
      </c>
      <c r="F411" s="278"/>
      <c r="G411" s="278" t="s">
        <v>15</v>
      </c>
      <c r="H411" s="328">
        <f t="shared" si="189"/>
        <v>0.39059999999999995</v>
      </c>
      <c r="I411" s="280">
        <f t="shared" si="194"/>
        <v>31.490171999999998</v>
      </c>
      <c r="J411" s="281">
        <f t="shared" si="195"/>
        <v>35.712558000000001</v>
      </c>
      <c r="K411" s="282">
        <f>IF(Notes!$B$9="Domestic",I411, IF(Notes!$B$9="Commercial",J411))*$K$394</f>
        <v>35.712558000000001</v>
      </c>
      <c r="L411" s="283">
        <f>(SUM(O411:Q411)+(K411+SUM(M411:Q411))*(INDEX($U$394:$AB$394,MATCH(Notes!$C$16,$U$3:$AB$3,0))-100%))*$L$394</f>
        <v>195.34464</v>
      </c>
      <c r="M411" s="286"/>
      <c r="N411" s="286"/>
      <c r="O411" s="311">
        <f t="shared" si="192"/>
        <v>56.190599999999996</v>
      </c>
      <c r="P411" s="311">
        <f t="shared" si="192"/>
        <v>139.15404000000001</v>
      </c>
      <c r="Q411" s="285"/>
      <c r="R411" s="278"/>
      <c r="S411" s="278"/>
      <c r="T411" s="278"/>
    </row>
    <row r="412" spans="1:28" s="305" customFormat="1" hidden="1" outlineLevel="1" x14ac:dyDescent="0.25">
      <c r="A412" s="278">
        <v>18</v>
      </c>
      <c r="B412" s="279" t="str">
        <f t="shared" si="193"/>
        <v>150x100x10UA</v>
      </c>
      <c r="C412" s="278" t="s">
        <v>1429</v>
      </c>
      <c r="D412" s="278"/>
      <c r="E412" s="278" t="s">
        <v>1431</v>
      </c>
      <c r="F412" s="278"/>
      <c r="G412" s="278" t="s">
        <v>15</v>
      </c>
      <c r="H412" s="328">
        <f t="shared" si="189"/>
        <v>0.252</v>
      </c>
      <c r="I412" s="280">
        <f t="shared" si="194"/>
        <v>20.316240000000001</v>
      </c>
      <c r="J412" s="281">
        <f t="shared" si="195"/>
        <v>23.040360000000003</v>
      </c>
      <c r="K412" s="282">
        <f>IF(Notes!$B$9="Domestic",I412, IF(Notes!$B$9="Commercial",J412))*$K$394</f>
        <v>23.040360000000003</v>
      </c>
      <c r="L412" s="283">
        <f>(SUM(O412:Q412)+(K412+SUM(M412:Q412))*(INDEX($U$394:$AB$394,MATCH(Notes!$C$16,$U$3:$AB$3,0))-100%))*$L$394</f>
        <v>126.02880000000002</v>
      </c>
      <c r="M412" s="286"/>
      <c r="N412" s="286"/>
      <c r="O412" s="311">
        <f t="shared" si="192"/>
        <v>36.252000000000002</v>
      </c>
      <c r="P412" s="311">
        <f t="shared" si="192"/>
        <v>89.776800000000009</v>
      </c>
      <c r="Q412" s="285"/>
      <c r="R412" s="278"/>
      <c r="S412" s="278"/>
      <c r="T412" s="278"/>
    </row>
    <row r="413" spans="1:28" s="305" customFormat="1" hidden="1" outlineLevel="1" x14ac:dyDescent="0.25">
      <c r="A413" s="278">
        <v>22.5</v>
      </c>
      <c r="B413" s="279" t="str">
        <f t="shared" si="193"/>
        <v>150x100x12UA</v>
      </c>
      <c r="C413" s="278" t="s">
        <v>1430</v>
      </c>
      <c r="D413" s="278"/>
      <c r="E413" s="278" t="s">
        <v>1431</v>
      </c>
      <c r="F413" s="278"/>
      <c r="G413" s="278" t="s">
        <v>15</v>
      </c>
      <c r="H413" s="328">
        <f t="shared" si="189"/>
        <v>0.315</v>
      </c>
      <c r="I413" s="280">
        <f t="shared" si="194"/>
        <v>25.395300000000002</v>
      </c>
      <c r="J413" s="281">
        <f t="shared" si="195"/>
        <v>28.800450000000001</v>
      </c>
      <c r="K413" s="282">
        <f>IF(Notes!$B$9="Domestic",I413, IF(Notes!$B$9="Commercial",J413))*$K$394</f>
        <v>28.800450000000001</v>
      </c>
      <c r="L413" s="283">
        <f>(SUM(O413:Q413)+(K413+SUM(M413:Q413))*(INDEX($U$394:$AB$394,MATCH(Notes!$C$16,$U$3:$AB$3,0))-100%))*$L$394</f>
        <v>157.536</v>
      </c>
      <c r="M413" s="286"/>
      <c r="N413" s="286"/>
      <c r="O413" s="311">
        <f t="shared" si="192"/>
        <v>45.314999999999998</v>
      </c>
      <c r="P413" s="311">
        <f t="shared" si="192"/>
        <v>112.22100000000002</v>
      </c>
      <c r="Q413" s="285"/>
      <c r="R413" s="278"/>
      <c r="S413" s="278"/>
      <c r="T413" s="278"/>
    </row>
    <row r="414" spans="1:28" ht="21" hidden="1" outlineLevel="1" x14ac:dyDescent="0.25">
      <c r="A414" s="299" t="s">
        <v>1859</v>
      </c>
      <c r="B414" s="299"/>
      <c r="C414" s="299"/>
      <c r="D414" s="299"/>
      <c r="E414" s="299"/>
      <c r="F414" s="299"/>
      <c r="G414" s="299"/>
      <c r="H414" s="299"/>
      <c r="I414" s="299"/>
      <c r="J414" s="299"/>
      <c r="K414" s="299"/>
      <c r="L414" s="299"/>
      <c r="M414" s="299"/>
      <c r="N414" s="299"/>
      <c r="O414" s="299"/>
      <c r="P414" s="299"/>
      <c r="Q414" s="299"/>
      <c r="R414" s="299"/>
      <c r="S414" s="299"/>
      <c r="T414" s="299"/>
      <c r="U414" s="299"/>
      <c r="V414" s="299"/>
      <c r="W414" s="299"/>
      <c r="X414" s="299"/>
      <c r="Y414" s="299"/>
      <c r="Z414" s="299"/>
      <c r="AA414" s="299"/>
      <c r="AB414" s="299"/>
    </row>
    <row r="415" spans="1:28" ht="15.75" hidden="1" outlineLevel="1" x14ac:dyDescent="0.25">
      <c r="A415" s="303" t="s">
        <v>1044</v>
      </c>
      <c r="B415" s="291"/>
      <c r="C415" s="291"/>
      <c r="D415" s="291"/>
      <c r="E415" s="291"/>
      <c r="F415" s="291"/>
      <c r="G415" s="291"/>
      <c r="H415" s="325">
        <f>7*2</f>
        <v>14</v>
      </c>
      <c r="I415" s="291"/>
      <c r="J415" s="291"/>
      <c r="K415" s="291">
        <f>K$2</f>
        <v>1</v>
      </c>
      <c r="L415" s="291">
        <f>L$2</f>
        <v>1</v>
      </c>
      <c r="M415" s="291"/>
      <c r="N415" s="291"/>
      <c r="O415" s="324">
        <v>2400</v>
      </c>
      <c r="P415" s="324">
        <f>40*$P$2</f>
        <v>4987.6000000000004</v>
      </c>
      <c r="Q415" s="303"/>
      <c r="R415" s="291"/>
      <c r="S415" s="291"/>
      <c r="T415" s="291"/>
      <c r="U415" s="291">
        <f>(2400+$P415)/($O415+$P415)</f>
        <v>1</v>
      </c>
      <c r="V415" s="291">
        <f>(2400+$P415)/($O415+$P415)</f>
        <v>1</v>
      </c>
      <c r="W415" s="291">
        <f>(2270+$P415)/($O415+$P415)</f>
        <v>0.98240294547620333</v>
      </c>
      <c r="X415" s="291">
        <f>(2400+$P415)/($O415+$P415)</f>
        <v>1</v>
      </c>
      <c r="Y415" s="291">
        <f>(2315+$P415)/($O415+$P415)</f>
        <v>0.98849423358059452</v>
      </c>
      <c r="Z415" s="291">
        <f>(3800+$P415)/($O415+$P415)</f>
        <v>1.1895067410255022</v>
      </c>
      <c r="AA415" s="291">
        <f>(4800+$P415)/($O415+$P415)</f>
        <v>1.3248686989008609</v>
      </c>
      <c r="AB415" s="291">
        <f>(2500+$P415)/($O415+$P415)</f>
        <v>1.013536195787536</v>
      </c>
    </row>
    <row r="416" spans="1:28" s="305" customFormat="1" hidden="1" outlineLevel="1" x14ac:dyDescent="0.25">
      <c r="A416" s="344">
        <v>0.23549999999999999</v>
      </c>
      <c r="B416" s="279" t="str">
        <f>C416&amp;D416&amp;E416&amp;F416</f>
        <v>10x3PL</v>
      </c>
      <c r="C416" s="278" t="s">
        <v>1472</v>
      </c>
      <c r="D416" s="278"/>
      <c r="E416" s="278" t="s">
        <v>1860</v>
      </c>
      <c r="F416" s="278"/>
      <c r="G416" s="278" t="s">
        <v>15</v>
      </c>
      <c r="H416" s="328">
        <f>$H$415*$A416/1000</f>
        <v>3.2969999999999996E-3</v>
      </c>
      <c r="I416" s="280">
        <f>$I$2*H416</f>
        <v>0.26580413999999997</v>
      </c>
      <c r="J416" s="281">
        <f>$J$2*H416</f>
        <v>0.30144471</v>
      </c>
      <c r="K416" s="282">
        <f>IF(Notes!$B$9="Domestic",I416, IF(Notes!$B$9="Commercial",J416))*$K$415</f>
        <v>0.30144471</v>
      </c>
      <c r="L416" s="283">
        <f>(SUM(O416:Q416)+(K416+SUM(M416:Q416))*(INDEX($U$415:$AB$415,MATCH(Notes!$C$16,$U$3:$AB$3,0))-100%))*$L$415</f>
        <v>1.7397798</v>
      </c>
      <c r="M416" s="286"/>
      <c r="N416" s="286"/>
      <c r="O416" s="311">
        <f>O$415*$A416/1000</f>
        <v>0.56519999999999992</v>
      </c>
      <c r="P416" s="311">
        <f>P$415*$A416/1000</f>
        <v>1.1745798000000001</v>
      </c>
      <c r="Q416" s="285"/>
      <c r="R416" s="278"/>
      <c r="S416" s="278"/>
      <c r="T416" s="278"/>
    </row>
    <row r="417" spans="1:20" s="305" customFormat="1" hidden="1" outlineLevel="1" x14ac:dyDescent="0.25">
      <c r="A417" s="344">
        <v>0.314</v>
      </c>
      <c r="B417" s="279" t="str">
        <f t="shared" ref="B417" si="196">C417&amp;D417&amp;E417&amp;F417</f>
        <v>10x4PL</v>
      </c>
      <c r="C417" s="278" t="s">
        <v>1473</v>
      </c>
      <c r="D417" s="278"/>
      <c r="E417" s="278" t="s">
        <v>1860</v>
      </c>
      <c r="F417" s="278"/>
      <c r="G417" s="278" t="s">
        <v>15</v>
      </c>
      <c r="H417" s="328">
        <f t="shared" ref="H417:H779" si="197">$H$415*$A417/1000</f>
        <v>4.3959999999999997E-3</v>
      </c>
      <c r="I417" s="280">
        <f t="shared" ref="I417" si="198">$I$2*H417</f>
        <v>0.35440551999999997</v>
      </c>
      <c r="J417" s="281">
        <f t="shared" ref="J417" si="199">$J$2*H417</f>
        <v>0.40192628000000002</v>
      </c>
      <c r="K417" s="282">
        <f>IF(Notes!$B$9="Domestic",I417, IF(Notes!$B$9="Commercial",J417))*$K$415</f>
        <v>0.40192628000000002</v>
      </c>
      <c r="L417" s="283">
        <f>(SUM(O417:Q417)+(K417+SUM(M417:Q417))*(INDEX($U$415:$AB$415,MATCH(Notes!$C$16,$U$3:$AB$3,0))-100%))*$L$415</f>
        <v>2.3197064000000003</v>
      </c>
      <c r="M417" s="286"/>
      <c r="N417" s="286"/>
      <c r="O417" s="311">
        <f t="shared" ref="O417:P518" si="200">O$415*$A417/1000</f>
        <v>0.75360000000000005</v>
      </c>
      <c r="P417" s="311">
        <f t="shared" si="200"/>
        <v>1.5661064000000002</v>
      </c>
      <c r="Q417" s="285"/>
      <c r="R417" s="278"/>
      <c r="S417" s="278"/>
      <c r="T417" s="278"/>
    </row>
    <row r="418" spans="1:20" s="305" customFormat="1" hidden="1" outlineLevel="1" x14ac:dyDescent="0.25">
      <c r="A418" s="344">
        <v>0.39250000000000002</v>
      </c>
      <c r="B418" s="279" t="str">
        <f t="shared" ref="B418:B452" si="201">C418&amp;D418&amp;E418&amp;F418</f>
        <v>10x5PL</v>
      </c>
      <c r="C418" s="278" t="s">
        <v>1474</v>
      </c>
      <c r="D418" s="278"/>
      <c r="E418" s="278" t="s">
        <v>1860</v>
      </c>
      <c r="F418" s="278"/>
      <c r="G418" s="278" t="s">
        <v>15</v>
      </c>
      <c r="H418" s="328">
        <f t="shared" si="197"/>
        <v>5.4949999999999999E-3</v>
      </c>
      <c r="I418" s="280">
        <f t="shared" ref="I418:I452" si="202">$I$2*H418</f>
        <v>0.44300690000000004</v>
      </c>
      <c r="J418" s="281">
        <f t="shared" ref="J418:J452" si="203">$J$2*H418</f>
        <v>0.50240784999999999</v>
      </c>
      <c r="K418" s="282">
        <f>IF(Notes!$B$9="Domestic",I418, IF(Notes!$B$9="Commercial",J418))*$K$415</f>
        <v>0.50240784999999999</v>
      </c>
      <c r="L418" s="283">
        <f>(SUM(O418:Q418)+(K418+SUM(M418:Q418))*(INDEX($U$415:$AB$415,MATCH(Notes!$C$16,$U$3:$AB$3,0))-100%))*$L$415</f>
        <v>2.8996330000000001</v>
      </c>
      <c r="M418" s="286"/>
      <c r="N418" s="286"/>
      <c r="O418" s="311">
        <f t="shared" si="200"/>
        <v>0.94199999999999995</v>
      </c>
      <c r="P418" s="311">
        <f t="shared" si="200"/>
        <v>1.9576330000000002</v>
      </c>
      <c r="Q418" s="285"/>
      <c r="R418" s="278"/>
      <c r="S418" s="278"/>
      <c r="T418" s="278"/>
    </row>
    <row r="419" spans="1:20" s="305" customFormat="1" hidden="1" outlineLevel="1" x14ac:dyDescent="0.25">
      <c r="A419" s="344">
        <v>0.47099999999999997</v>
      </c>
      <c r="B419" s="279" t="str">
        <f t="shared" si="201"/>
        <v>10x6PL</v>
      </c>
      <c r="C419" s="278" t="s">
        <v>1475</v>
      </c>
      <c r="D419" s="278"/>
      <c r="E419" s="278" t="s">
        <v>1860</v>
      </c>
      <c r="F419" s="278"/>
      <c r="G419" s="278" t="s">
        <v>15</v>
      </c>
      <c r="H419" s="328">
        <f t="shared" si="197"/>
        <v>6.5939999999999992E-3</v>
      </c>
      <c r="I419" s="280">
        <f t="shared" si="202"/>
        <v>0.53160827999999993</v>
      </c>
      <c r="J419" s="281">
        <f t="shared" si="203"/>
        <v>0.60288942000000001</v>
      </c>
      <c r="K419" s="282">
        <f>IF(Notes!$B$9="Domestic",I419, IF(Notes!$B$9="Commercial",J419))*$K$415</f>
        <v>0.60288942000000001</v>
      </c>
      <c r="L419" s="283">
        <f>(SUM(O419:Q419)+(K419+SUM(M419:Q419))*(INDEX($U$415:$AB$415,MATCH(Notes!$C$16,$U$3:$AB$3,0))-100%))*$L$415</f>
        <v>3.4795596</v>
      </c>
      <c r="M419" s="286"/>
      <c r="N419" s="286"/>
      <c r="O419" s="311">
        <f t="shared" si="200"/>
        <v>1.1303999999999998</v>
      </c>
      <c r="P419" s="311">
        <f t="shared" si="200"/>
        <v>2.3491596000000001</v>
      </c>
      <c r="Q419" s="285"/>
      <c r="R419" s="278"/>
      <c r="S419" s="278"/>
      <c r="T419" s="278"/>
    </row>
    <row r="420" spans="1:20" s="305" customFormat="1" hidden="1" outlineLevel="1" x14ac:dyDescent="0.25">
      <c r="A420" s="344">
        <v>0.628</v>
      </c>
      <c r="B420" s="279" t="str">
        <f t="shared" si="201"/>
        <v>10x8PL</v>
      </c>
      <c r="C420" s="278" t="s">
        <v>1476</v>
      </c>
      <c r="D420" s="278"/>
      <c r="E420" s="278" t="s">
        <v>1860</v>
      </c>
      <c r="F420" s="278"/>
      <c r="G420" s="278" t="s">
        <v>15</v>
      </c>
      <c r="H420" s="328">
        <f t="shared" si="197"/>
        <v>8.7919999999999995E-3</v>
      </c>
      <c r="I420" s="280">
        <f t="shared" si="202"/>
        <v>0.70881103999999995</v>
      </c>
      <c r="J420" s="281">
        <f t="shared" si="203"/>
        <v>0.80385256000000005</v>
      </c>
      <c r="K420" s="282">
        <f>IF(Notes!$B$9="Domestic",I420, IF(Notes!$B$9="Commercial",J420))*$K$415</f>
        <v>0.80385256000000005</v>
      </c>
      <c r="L420" s="283">
        <f>(SUM(O420:Q420)+(K420+SUM(M420:Q420))*(INDEX($U$415:$AB$415,MATCH(Notes!$C$16,$U$3:$AB$3,0))-100%))*$L$415</f>
        <v>4.6394128000000006</v>
      </c>
      <c r="M420" s="286"/>
      <c r="N420" s="286"/>
      <c r="O420" s="311">
        <f t="shared" si="200"/>
        <v>1.5072000000000001</v>
      </c>
      <c r="P420" s="311">
        <f t="shared" si="200"/>
        <v>3.1322128000000005</v>
      </c>
      <c r="Q420" s="285"/>
      <c r="R420" s="278"/>
      <c r="S420" s="278"/>
      <c r="T420" s="278"/>
    </row>
    <row r="421" spans="1:20" s="305" customFormat="1" hidden="1" outlineLevel="1" x14ac:dyDescent="0.25">
      <c r="A421" s="344">
        <v>0.78500000000000003</v>
      </c>
      <c r="B421" s="279" t="str">
        <f t="shared" si="201"/>
        <v>10x10PL</v>
      </c>
      <c r="C421" s="278" t="s">
        <v>1477</v>
      </c>
      <c r="D421" s="278"/>
      <c r="E421" s="278" t="s">
        <v>1860</v>
      </c>
      <c r="F421" s="278"/>
      <c r="G421" s="278" t="s">
        <v>15</v>
      </c>
      <c r="H421" s="328">
        <f t="shared" si="197"/>
        <v>1.099E-2</v>
      </c>
      <c r="I421" s="280">
        <f t="shared" si="202"/>
        <v>0.88601380000000007</v>
      </c>
      <c r="J421" s="281">
        <f t="shared" si="203"/>
        <v>1.0048157</v>
      </c>
      <c r="K421" s="282">
        <f>IF(Notes!$B$9="Domestic",I421, IF(Notes!$B$9="Commercial",J421))*$K$415</f>
        <v>1.0048157</v>
      </c>
      <c r="L421" s="283">
        <f>(SUM(O421:Q421)+(K421+SUM(M421:Q421))*(INDEX($U$415:$AB$415,MATCH(Notes!$C$16,$U$3:$AB$3,0))-100%))*$L$415</f>
        <v>5.7992660000000003</v>
      </c>
      <c r="M421" s="286"/>
      <c r="N421" s="286"/>
      <c r="O421" s="311">
        <f t="shared" si="200"/>
        <v>1.8839999999999999</v>
      </c>
      <c r="P421" s="311">
        <f t="shared" si="200"/>
        <v>3.9152660000000004</v>
      </c>
      <c r="Q421" s="285"/>
      <c r="R421" s="278"/>
      <c r="S421" s="278"/>
      <c r="T421" s="278"/>
    </row>
    <row r="422" spans="1:20" s="305" customFormat="1" hidden="1" outlineLevel="1" x14ac:dyDescent="0.25">
      <c r="A422" s="344">
        <v>0.94199999999999995</v>
      </c>
      <c r="B422" s="279" t="str">
        <f t="shared" si="201"/>
        <v>10x12PL</v>
      </c>
      <c r="C422" s="278" t="s">
        <v>1478</v>
      </c>
      <c r="D422" s="278"/>
      <c r="E422" s="278" t="s">
        <v>1860</v>
      </c>
      <c r="F422" s="278"/>
      <c r="G422" s="278" t="s">
        <v>15</v>
      </c>
      <c r="H422" s="328">
        <f t="shared" si="197"/>
        <v>1.3187999999999998E-2</v>
      </c>
      <c r="I422" s="280">
        <f t="shared" si="202"/>
        <v>1.0632165599999999</v>
      </c>
      <c r="J422" s="281">
        <f t="shared" si="203"/>
        <v>1.20577884</v>
      </c>
      <c r="K422" s="282">
        <f>IF(Notes!$B$9="Domestic",I422, IF(Notes!$B$9="Commercial",J422))*$K$415</f>
        <v>1.20577884</v>
      </c>
      <c r="L422" s="283">
        <f>(SUM(O422:Q422)+(K422+SUM(M422:Q422))*(INDEX($U$415:$AB$415,MATCH(Notes!$C$16,$U$3:$AB$3,0))-100%))*$L$415</f>
        <v>6.9591191999999999</v>
      </c>
      <c r="M422" s="286"/>
      <c r="N422" s="286"/>
      <c r="O422" s="311">
        <f t="shared" si="200"/>
        <v>2.2607999999999997</v>
      </c>
      <c r="P422" s="311">
        <f t="shared" si="200"/>
        <v>4.6983192000000003</v>
      </c>
      <c r="Q422" s="285"/>
      <c r="R422" s="278"/>
      <c r="S422" s="278"/>
      <c r="T422" s="278"/>
    </row>
    <row r="423" spans="1:20" s="305" customFormat="1" hidden="1" outlineLevel="1" x14ac:dyDescent="0.25">
      <c r="A423" s="344">
        <v>1.256</v>
      </c>
      <c r="B423" s="279" t="str">
        <f t="shared" si="201"/>
        <v>10x16PL</v>
      </c>
      <c r="C423" s="278" t="s">
        <v>1479</v>
      </c>
      <c r="D423" s="278"/>
      <c r="E423" s="278" t="s">
        <v>1860</v>
      </c>
      <c r="F423" s="278"/>
      <c r="G423" s="278" t="s">
        <v>15</v>
      </c>
      <c r="H423" s="328">
        <f t="shared" si="197"/>
        <v>1.7583999999999999E-2</v>
      </c>
      <c r="I423" s="280">
        <f t="shared" si="202"/>
        <v>1.4176220799999999</v>
      </c>
      <c r="J423" s="281">
        <f t="shared" si="203"/>
        <v>1.6077051200000001</v>
      </c>
      <c r="K423" s="282">
        <f>IF(Notes!$B$9="Domestic",I423, IF(Notes!$B$9="Commercial",J423))*$K$415</f>
        <v>1.6077051200000001</v>
      </c>
      <c r="L423" s="283">
        <f>(SUM(O423:Q423)+(K423+SUM(M423:Q423))*(INDEX($U$415:$AB$415,MATCH(Notes!$C$16,$U$3:$AB$3,0))-100%))*$L$415</f>
        <v>9.2788256000000011</v>
      </c>
      <c r="M423" s="286"/>
      <c r="N423" s="286"/>
      <c r="O423" s="311">
        <f t="shared" si="200"/>
        <v>3.0144000000000002</v>
      </c>
      <c r="P423" s="311">
        <f t="shared" si="200"/>
        <v>6.2644256000000009</v>
      </c>
      <c r="Q423" s="285"/>
      <c r="R423" s="278"/>
      <c r="S423" s="278"/>
      <c r="T423" s="278"/>
    </row>
    <row r="424" spans="1:20" s="305" customFormat="1" hidden="1" outlineLevel="1" x14ac:dyDescent="0.25">
      <c r="A424" s="344">
        <v>1.57</v>
      </c>
      <c r="B424" s="279" t="str">
        <f t="shared" si="201"/>
        <v>10x20PL</v>
      </c>
      <c r="C424" s="278" t="s">
        <v>1480</v>
      </c>
      <c r="D424" s="278"/>
      <c r="E424" s="278" t="s">
        <v>1860</v>
      </c>
      <c r="F424" s="278"/>
      <c r="G424" s="278" t="s">
        <v>15</v>
      </c>
      <c r="H424" s="328">
        <f t="shared" si="197"/>
        <v>2.198E-2</v>
      </c>
      <c r="I424" s="280">
        <f t="shared" si="202"/>
        <v>1.7720276000000001</v>
      </c>
      <c r="J424" s="281">
        <f t="shared" si="203"/>
        <v>2.0096314</v>
      </c>
      <c r="K424" s="282">
        <f>IF(Notes!$B$9="Domestic",I424, IF(Notes!$B$9="Commercial",J424))*$K$415</f>
        <v>2.0096314</v>
      </c>
      <c r="L424" s="283">
        <f>(SUM(O424:Q424)+(K424+SUM(M424:Q424))*(INDEX($U$415:$AB$415,MATCH(Notes!$C$16,$U$3:$AB$3,0))-100%))*$L$415</f>
        <v>11.598532000000001</v>
      </c>
      <c r="M424" s="286"/>
      <c r="N424" s="286"/>
      <c r="O424" s="311">
        <f t="shared" si="200"/>
        <v>3.7679999999999998</v>
      </c>
      <c r="P424" s="311">
        <f t="shared" si="200"/>
        <v>7.8305320000000007</v>
      </c>
      <c r="Q424" s="285"/>
      <c r="R424" s="278"/>
      <c r="S424" s="278"/>
      <c r="T424" s="278"/>
    </row>
    <row r="425" spans="1:20" s="305" customFormat="1" hidden="1" outlineLevel="1" x14ac:dyDescent="0.25">
      <c r="A425" s="344">
        <v>1.7270000000000001</v>
      </c>
      <c r="B425" s="279" t="str">
        <f t="shared" si="201"/>
        <v>10x22PL</v>
      </c>
      <c r="C425" s="278" t="s">
        <v>1481</v>
      </c>
      <c r="D425" s="278"/>
      <c r="E425" s="278" t="s">
        <v>1860</v>
      </c>
      <c r="F425" s="278"/>
      <c r="G425" s="278" t="s">
        <v>15</v>
      </c>
      <c r="H425" s="328">
        <f t="shared" si="197"/>
        <v>2.4178000000000002E-2</v>
      </c>
      <c r="I425" s="280">
        <f t="shared" si="202"/>
        <v>1.9492303600000003</v>
      </c>
      <c r="J425" s="281">
        <f t="shared" si="203"/>
        <v>2.2105945400000002</v>
      </c>
      <c r="K425" s="282">
        <f>IF(Notes!$B$9="Domestic",I425, IF(Notes!$B$9="Commercial",J425))*$K$415</f>
        <v>2.2105945400000002</v>
      </c>
      <c r="L425" s="283">
        <f>(SUM(O425:Q425)+(K425+SUM(M425:Q425))*(INDEX($U$415:$AB$415,MATCH(Notes!$C$16,$U$3:$AB$3,0))-100%))*$L$415</f>
        <v>12.758385200000001</v>
      </c>
      <c r="M425" s="286"/>
      <c r="N425" s="286"/>
      <c r="O425" s="311">
        <f t="shared" si="200"/>
        <v>4.1448</v>
      </c>
      <c r="P425" s="311">
        <f t="shared" si="200"/>
        <v>8.6135852000000011</v>
      </c>
      <c r="Q425" s="285"/>
      <c r="R425" s="278"/>
      <c r="S425" s="278"/>
      <c r="T425" s="278"/>
    </row>
    <row r="426" spans="1:20" s="305" customFormat="1" hidden="1" outlineLevel="1" x14ac:dyDescent="0.25">
      <c r="A426" s="344">
        <v>1.9624999999999999</v>
      </c>
      <c r="B426" s="279" t="str">
        <f t="shared" si="201"/>
        <v>10x25PL</v>
      </c>
      <c r="C426" s="278" t="s">
        <v>1482</v>
      </c>
      <c r="D426" s="278"/>
      <c r="E426" s="278" t="s">
        <v>1860</v>
      </c>
      <c r="F426" s="278"/>
      <c r="G426" s="278" t="s">
        <v>15</v>
      </c>
      <c r="H426" s="328">
        <f t="shared" si="197"/>
        <v>2.7474999999999999E-2</v>
      </c>
      <c r="I426" s="280">
        <f t="shared" si="202"/>
        <v>2.2150345000000002</v>
      </c>
      <c r="J426" s="281">
        <f t="shared" si="203"/>
        <v>2.5120392499999999</v>
      </c>
      <c r="K426" s="282">
        <f>IF(Notes!$B$9="Domestic",I426, IF(Notes!$B$9="Commercial",J426))*$K$415</f>
        <v>2.5120392499999999</v>
      </c>
      <c r="L426" s="283">
        <f>(SUM(O426:Q426)+(K426+SUM(M426:Q426))*(INDEX($U$415:$AB$415,MATCH(Notes!$C$16,$U$3:$AB$3,0))-100%))*$L$415</f>
        <v>14.498165</v>
      </c>
      <c r="M426" s="286"/>
      <c r="N426" s="286"/>
      <c r="O426" s="311">
        <f t="shared" si="200"/>
        <v>4.71</v>
      </c>
      <c r="P426" s="311">
        <f t="shared" si="200"/>
        <v>9.7881650000000011</v>
      </c>
      <c r="Q426" s="285"/>
      <c r="R426" s="278"/>
      <c r="S426" s="278"/>
      <c r="T426" s="278"/>
    </row>
    <row r="427" spans="1:20" s="305" customFormat="1" hidden="1" outlineLevel="1" x14ac:dyDescent="0.25">
      <c r="A427" s="344">
        <v>2.198</v>
      </c>
      <c r="B427" s="279" t="str">
        <f t="shared" si="201"/>
        <v>10x28PL</v>
      </c>
      <c r="C427" s="278" t="s">
        <v>1483</v>
      </c>
      <c r="D427" s="278"/>
      <c r="E427" s="278" t="s">
        <v>1860</v>
      </c>
      <c r="F427" s="278"/>
      <c r="G427" s="278" t="s">
        <v>15</v>
      </c>
      <c r="H427" s="328">
        <f t="shared" si="197"/>
        <v>3.0771999999999997E-2</v>
      </c>
      <c r="I427" s="280">
        <f t="shared" si="202"/>
        <v>2.48083864</v>
      </c>
      <c r="J427" s="281">
        <f t="shared" si="203"/>
        <v>2.8134839600000001</v>
      </c>
      <c r="K427" s="282">
        <f>IF(Notes!$B$9="Domestic",I427, IF(Notes!$B$9="Commercial",J427))*$K$415</f>
        <v>2.8134839600000001</v>
      </c>
      <c r="L427" s="283">
        <f>(SUM(O427:Q427)+(K427+SUM(M427:Q427))*(INDEX($U$415:$AB$415,MATCH(Notes!$C$16,$U$3:$AB$3,0))-100%))*$L$415</f>
        <v>16.237944800000001</v>
      </c>
      <c r="M427" s="286"/>
      <c r="N427" s="286"/>
      <c r="O427" s="311">
        <f t="shared" si="200"/>
        <v>5.2751999999999999</v>
      </c>
      <c r="P427" s="311">
        <f t="shared" si="200"/>
        <v>10.962744800000001</v>
      </c>
      <c r="Q427" s="285"/>
      <c r="R427" s="278"/>
      <c r="S427" s="278"/>
      <c r="T427" s="278"/>
    </row>
    <row r="428" spans="1:20" s="305" customFormat="1" hidden="1" outlineLevel="1" x14ac:dyDescent="0.25">
      <c r="A428" s="344">
        <v>2.512</v>
      </c>
      <c r="B428" s="279" t="str">
        <f t="shared" si="201"/>
        <v>10x32PL</v>
      </c>
      <c r="C428" s="278" t="s">
        <v>1484</v>
      </c>
      <c r="D428" s="278"/>
      <c r="E428" s="278" t="s">
        <v>1860</v>
      </c>
      <c r="F428" s="278"/>
      <c r="G428" s="278" t="s">
        <v>15</v>
      </c>
      <c r="H428" s="328">
        <f t="shared" si="197"/>
        <v>3.5167999999999998E-2</v>
      </c>
      <c r="I428" s="280">
        <f t="shared" si="202"/>
        <v>2.8352441599999998</v>
      </c>
      <c r="J428" s="281">
        <f t="shared" si="203"/>
        <v>3.2154102400000002</v>
      </c>
      <c r="K428" s="282">
        <f>IF(Notes!$B$9="Domestic",I428, IF(Notes!$B$9="Commercial",J428))*$K$415</f>
        <v>3.2154102400000002</v>
      </c>
      <c r="L428" s="283">
        <f>(SUM(O428:Q428)+(K428+SUM(M428:Q428))*(INDEX($U$415:$AB$415,MATCH(Notes!$C$16,$U$3:$AB$3,0))-100%))*$L$415</f>
        <v>18.557651200000002</v>
      </c>
      <c r="M428" s="286"/>
      <c r="N428" s="286"/>
      <c r="O428" s="311">
        <f t="shared" si="200"/>
        <v>6.0288000000000004</v>
      </c>
      <c r="P428" s="311">
        <f t="shared" si="200"/>
        <v>12.528851200000002</v>
      </c>
      <c r="Q428" s="285"/>
      <c r="R428" s="278"/>
      <c r="S428" s="278"/>
      <c r="T428" s="278"/>
    </row>
    <row r="429" spans="1:20" s="305" customFormat="1" hidden="1" outlineLevel="1" x14ac:dyDescent="0.25">
      <c r="A429" s="344">
        <v>2.8260000000000001</v>
      </c>
      <c r="B429" s="279" t="str">
        <f t="shared" si="201"/>
        <v>10x36PL</v>
      </c>
      <c r="C429" s="278" t="s">
        <v>1485</v>
      </c>
      <c r="D429" s="278"/>
      <c r="E429" s="278" t="s">
        <v>1860</v>
      </c>
      <c r="F429" s="278"/>
      <c r="G429" s="278" t="s">
        <v>15</v>
      </c>
      <c r="H429" s="328">
        <f t="shared" si="197"/>
        <v>3.9564000000000002E-2</v>
      </c>
      <c r="I429" s="280">
        <f t="shared" si="202"/>
        <v>3.1896496800000005</v>
      </c>
      <c r="J429" s="281">
        <f t="shared" si="203"/>
        <v>3.6173365200000003</v>
      </c>
      <c r="K429" s="282">
        <f>IF(Notes!$B$9="Domestic",I429, IF(Notes!$B$9="Commercial",J429))*$K$415</f>
        <v>3.6173365200000003</v>
      </c>
      <c r="L429" s="283">
        <f>(SUM(O429:Q429)+(K429+SUM(M429:Q429))*(INDEX($U$415:$AB$415,MATCH(Notes!$C$16,$U$3:$AB$3,0))-100%))*$L$415</f>
        <v>20.877357600000003</v>
      </c>
      <c r="M429" s="286"/>
      <c r="N429" s="286"/>
      <c r="O429" s="311">
        <f t="shared" si="200"/>
        <v>6.7824000000000009</v>
      </c>
      <c r="P429" s="311">
        <f t="shared" si="200"/>
        <v>14.094957600000001</v>
      </c>
      <c r="Q429" s="285"/>
      <c r="R429" s="278"/>
      <c r="S429" s="278"/>
      <c r="T429" s="278"/>
    </row>
    <row r="430" spans="1:20" s="305" customFormat="1" hidden="1" outlineLevel="1" x14ac:dyDescent="0.25">
      <c r="A430" s="344">
        <v>3.14</v>
      </c>
      <c r="B430" s="279" t="str">
        <f t="shared" si="201"/>
        <v>10x40PL</v>
      </c>
      <c r="C430" s="278" t="s">
        <v>1486</v>
      </c>
      <c r="D430" s="278"/>
      <c r="E430" s="278" t="s">
        <v>1860</v>
      </c>
      <c r="F430" s="278"/>
      <c r="G430" s="278" t="s">
        <v>15</v>
      </c>
      <c r="H430" s="328">
        <f t="shared" si="197"/>
        <v>4.3959999999999999E-2</v>
      </c>
      <c r="I430" s="280">
        <f t="shared" si="202"/>
        <v>3.5440552000000003</v>
      </c>
      <c r="J430" s="281">
        <f t="shared" si="203"/>
        <v>4.0192627999999999</v>
      </c>
      <c r="K430" s="282">
        <f>IF(Notes!$B$9="Domestic",I430, IF(Notes!$B$9="Commercial",J430))*$K$415</f>
        <v>4.0192627999999999</v>
      </c>
      <c r="L430" s="283">
        <f>(SUM(O430:Q430)+(K430+SUM(M430:Q430))*(INDEX($U$415:$AB$415,MATCH(Notes!$C$16,$U$3:$AB$3,0))-100%))*$L$415</f>
        <v>23.197064000000001</v>
      </c>
      <c r="M430" s="286"/>
      <c r="N430" s="286"/>
      <c r="O430" s="311">
        <f t="shared" si="200"/>
        <v>7.5359999999999996</v>
      </c>
      <c r="P430" s="311">
        <f t="shared" si="200"/>
        <v>15.661064000000001</v>
      </c>
      <c r="Q430" s="285"/>
      <c r="R430" s="278"/>
      <c r="S430" s="278"/>
      <c r="T430" s="278"/>
    </row>
    <row r="431" spans="1:20" s="305" customFormat="1" hidden="1" outlineLevel="1" x14ac:dyDescent="0.25">
      <c r="A431" s="344">
        <v>3.5325000000000002</v>
      </c>
      <c r="B431" s="279" t="str">
        <f t="shared" si="201"/>
        <v>10x45PL</v>
      </c>
      <c r="C431" s="278" t="s">
        <v>1487</v>
      </c>
      <c r="D431" s="278"/>
      <c r="E431" s="278" t="s">
        <v>1860</v>
      </c>
      <c r="F431" s="278"/>
      <c r="G431" s="278" t="s">
        <v>15</v>
      </c>
      <c r="H431" s="328">
        <f t="shared" si="197"/>
        <v>4.9455000000000006E-2</v>
      </c>
      <c r="I431" s="280">
        <f t="shared" si="202"/>
        <v>3.9870621000000006</v>
      </c>
      <c r="J431" s="281">
        <f t="shared" si="203"/>
        <v>4.5216706500000008</v>
      </c>
      <c r="K431" s="282">
        <f>IF(Notes!$B$9="Domestic",I431, IF(Notes!$B$9="Commercial",J431))*$K$415</f>
        <v>4.5216706500000008</v>
      </c>
      <c r="L431" s="283">
        <f>(SUM(O431:Q431)+(K431+SUM(M431:Q431))*(INDEX($U$415:$AB$415,MATCH(Notes!$C$16,$U$3:$AB$3,0))-100%))*$L$415</f>
        <v>26.096697000000006</v>
      </c>
      <c r="M431" s="286"/>
      <c r="N431" s="286"/>
      <c r="O431" s="311">
        <f t="shared" si="200"/>
        <v>8.4779999999999998</v>
      </c>
      <c r="P431" s="311">
        <f t="shared" si="200"/>
        <v>17.618697000000004</v>
      </c>
      <c r="Q431" s="285"/>
      <c r="R431" s="278"/>
      <c r="S431" s="278"/>
      <c r="T431" s="278"/>
    </row>
    <row r="432" spans="1:20" s="305" customFormat="1" hidden="1" outlineLevel="1" x14ac:dyDescent="0.25">
      <c r="A432" s="344">
        <v>3.9249999999999998</v>
      </c>
      <c r="B432" s="279" t="str">
        <f t="shared" si="201"/>
        <v>10x50PL</v>
      </c>
      <c r="C432" s="278" t="s">
        <v>1488</v>
      </c>
      <c r="D432" s="278"/>
      <c r="E432" s="278" t="s">
        <v>1860</v>
      </c>
      <c r="F432" s="278"/>
      <c r="G432" s="278" t="s">
        <v>15</v>
      </c>
      <c r="H432" s="328">
        <f t="shared" si="197"/>
        <v>5.4949999999999999E-2</v>
      </c>
      <c r="I432" s="280">
        <f t="shared" si="202"/>
        <v>4.4300690000000005</v>
      </c>
      <c r="J432" s="281">
        <f t="shared" si="203"/>
        <v>5.0240784999999999</v>
      </c>
      <c r="K432" s="282">
        <f>IF(Notes!$B$9="Domestic",I432, IF(Notes!$B$9="Commercial",J432))*$K$415</f>
        <v>5.0240784999999999</v>
      </c>
      <c r="L432" s="283">
        <f>(SUM(O432:Q432)+(K432+SUM(M432:Q432))*(INDEX($U$415:$AB$415,MATCH(Notes!$C$16,$U$3:$AB$3,0))-100%))*$L$415</f>
        <v>28.99633</v>
      </c>
      <c r="M432" s="286"/>
      <c r="N432" s="286"/>
      <c r="O432" s="311">
        <f t="shared" si="200"/>
        <v>9.42</v>
      </c>
      <c r="P432" s="311">
        <f t="shared" si="200"/>
        <v>19.576330000000002</v>
      </c>
      <c r="Q432" s="285"/>
      <c r="R432" s="278"/>
      <c r="S432" s="278"/>
      <c r="T432" s="278"/>
    </row>
    <row r="433" spans="1:20" s="305" customFormat="1" hidden="1" outlineLevel="1" x14ac:dyDescent="0.25">
      <c r="A433" s="344">
        <v>4.3174999999999999</v>
      </c>
      <c r="B433" s="279" t="str">
        <f t="shared" si="201"/>
        <v>10x55PL</v>
      </c>
      <c r="C433" s="278" t="s">
        <v>1489</v>
      </c>
      <c r="D433" s="278"/>
      <c r="E433" s="278" t="s">
        <v>1860</v>
      </c>
      <c r="F433" s="278"/>
      <c r="G433" s="278" t="s">
        <v>15</v>
      </c>
      <c r="H433" s="328">
        <f t="shared" si="197"/>
        <v>6.0444999999999999E-2</v>
      </c>
      <c r="I433" s="280">
        <f t="shared" si="202"/>
        <v>4.8730758999999999</v>
      </c>
      <c r="J433" s="281">
        <f t="shared" si="203"/>
        <v>5.5264863499999999</v>
      </c>
      <c r="K433" s="282">
        <f>IF(Notes!$B$9="Domestic",I433, IF(Notes!$B$9="Commercial",J433))*$K$415</f>
        <v>5.5264863499999999</v>
      </c>
      <c r="L433" s="283">
        <f>(SUM(O433:Q433)+(K433+SUM(M433:Q433))*(INDEX($U$415:$AB$415,MATCH(Notes!$C$16,$U$3:$AB$3,0))-100%))*$L$415</f>
        <v>31.895963000000002</v>
      </c>
      <c r="M433" s="286"/>
      <c r="N433" s="286"/>
      <c r="O433" s="311">
        <f t="shared" si="200"/>
        <v>10.362</v>
      </c>
      <c r="P433" s="311">
        <f t="shared" si="200"/>
        <v>21.533963</v>
      </c>
      <c r="Q433" s="285"/>
      <c r="R433" s="278"/>
      <c r="S433" s="278"/>
      <c r="T433" s="278"/>
    </row>
    <row r="434" spans="1:20" s="305" customFormat="1" hidden="1" outlineLevel="1" x14ac:dyDescent="0.25">
      <c r="A434" s="344">
        <v>4.71</v>
      </c>
      <c r="B434" s="279" t="str">
        <f t="shared" si="201"/>
        <v>10x60PL</v>
      </c>
      <c r="C434" s="278" t="s">
        <v>1490</v>
      </c>
      <c r="D434" s="278"/>
      <c r="E434" s="278" t="s">
        <v>1860</v>
      </c>
      <c r="F434" s="278"/>
      <c r="G434" s="278" t="s">
        <v>15</v>
      </c>
      <c r="H434" s="328">
        <f t="shared" si="197"/>
        <v>6.5939999999999999E-2</v>
      </c>
      <c r="I434" s="280">
        <f t="shared" si="202"/>
        <v>5.3160828000000002</v>
      </c>
      <c r="J434" s="281">
        <f t="shared" si="203"/>
        <v>6.0288942000000008</v>
      </c>
      <c r="K434" s="282">
        <f>IF(Notes!$B$9="Domestic",I434, IF(Notes!$B$9="Commercial",J434))*$K$415</f>
        <v>6.0288942000000008</v>
      </c>
      <c r="L434" s="283">
        <f>(SUM(O434:Q434)+(K434+SUM(M434:Q434))*(INDEX($U$415:$AB$415,MATCH(Notes!$C$16,$U$3:$AB$3,0))-100%))*$L$415</f>
        <v>34.795596000000003</v>
      </c>
      <c r="M434" s="286"/>
      <c r="N434" s="286"/>
      <c r="O434" s="311">
        <f t="shared" si="200"/>
        <v>11.304</v>
      </c>
      <c r="P434" s="311">
        <f t="shared" si="200"/>
        <v>23.491596000000001</v>
      </c>
      <c r="Q434" s="285"/>
      <c r="R434" s="278"/>
      <c r="S434" s="278"/>
      <c r="T434" s="278"/>
    </row>
    <row r="435" spans="1:20" s="305" customFormat="1" hidden="1" outlineLevel="1" x14ac:dyDescent="0.25">
      <c r="A435" s="344">
        <v>5.0999999999999996</v>
      </c>
      <c r="B435" s="279" t="str">
        <f t="shared" si="201"/>
        <v>10x65PL</v>
      </c>
      <c r="C435" s="278" t="s">
        <v>1491</v>
      </c>
      <c r="D435" s="278"/>
      <c r="E435" s="278" t="s">
        <v>1860</v>
      </c>
      <c r="F435" s="278"/>
      <c r="G435" s="278" t="s">
        <v>15</v>
      </c>
      <c r="H435" s="328">
        <f t="shared" si="197"/>
        <v>7.1399999999999991E-2</v>
      </c>
      <c r="I435" s="280">
        <f t="shared" si="202"/>
        <v>5.7562679999999995</v>
      </c>
      <c r="J435" s="281">
        <f t="shared" si="203"/>
        <v>6.5281019999999996</v>
      </c>
      <c r="K435" s="282">
        <f>IF(Notes!$B$9="Domestic",I435, IF(Notes!$B$9="Commercial",J435))*$K$415</f>
        <v>6.5281019999999996</v>
      </c>
      <c r="L435" s="283">
        <f>(SUM(O435:Q435)+(K435+SUM(M435:Q435))*(INDEX($U$415:$AB$415,MATCH(Notes!$C$16,$U$3:$AB$3,0))-100%))*$L$415</f>
        <v>37.676760000000002</v>
      </c>
      <c r="M435" s="286"/>
      <c r="N435" s="286"/>
      <c r="O435" s="311">
        <f t="shared" si="200"/>
        <v>12.24</v>
      </c>
      <c r="P435" s="311">
        <f t="shared" si="200"/>
        <v>25.43676</v>
      </c>
      <c r="Q435" s="285"/>
      <c r="R435" s="278"/>
      <c r="S435" s="278"/>
      <c r="T435" s="278"/>
    </row>
    <row r="436" spans="1:20" s="305" customFormat="1" hidden="1" outlineLevel="1" x14ac:dyDescent="0.25">
      <c r="A436" s="344">
        <v>5.4950000000000001</v>
      </c>
      <c r="B436" s="279" t="str">
        <f t="shared" si="201"/>
        <v>10x70PL</v>
      </c>
      <c r="C436" s="278" t="s">
        <v>1492</v>
      </c>
      <c r="D436" s="278"/>
      <c r="E436" s="278" t="s">
        <v>1860</v>
      </c>
      <c r="F436" s="278"/>
      <c r="G436" s="278" t="s">
        <v>15</v>
      </c>
      <c r="H436" s="328">
        <f t="shared" si="197"/>
        <v>7.6930000000000012E-2</v>
      </c>
      <c r="I436" s="280">
        <f t="shared" si="202"/>
        <v>6.2020966000000017</v>
      </c>
      <c r="J436" s="281">
        <f t="shared" si="203"/>
        <v>7.0337099000000016</v>
      </c>
      <c r="K436" s="282">
        <f>IF(Notes!$B$9="Domestic",I436, IF(Notes!$B$9="Commercial",J436))*$K$415</f>
        <v>7.0337099000000016</v>
      </c>
      <c r="L436" s="283">
        <f>(SUM(O436:Q436)+(K436+SUM(M436:Q436))*(INDEX($U$415:$AB$415,MATCH(Notes!$C$16,$U$3:$AB$3,0))-100%))*$L$415</f>
        <v>40.594861999999999</v>
      </c>
      <c r="M436" s="286"/>
      <c r="N436" s="286"/>
      <c r="O436" s="311">
        <f t="shared" si="200"/>
        <v>13.188000000000001</v>
      </c>
      <c r="P436" s="311">
        <f t="shared" si="200"/>
        <v>27.406862</v>
      </c>
      <c r="Q436" s="285"/>
      <c r="R436" s="278"/>
      <c r="S436" s="278"/>
      <c r="T436" s="278"/>
    </row>
    <row r="437" spans="1:20" s="305" customFormat="1" hidden="1" outlineLevel="1" x14ac:dyDescent="0.25">
      <c r="A437" s="344">
        <v>5.8875000000000002</v>
      </c>
      <c r="B437" s="279" t="str">
        <f t="shared" si="201"/>
        <v>10x75PL</v>
      </c>
      <c r="C437" s="278" t="s">
        <v>1493</v>
      </c>
      <c r="D437" s="278"/>
      <c r="E437" s="278" t="s">
        <v>1860</v>
      </c>
      <c r="F437" s="278"/>
      <c r="G437" s="278" t="s">
        <v>15</v>
      </c>
      <c r="H437" s="328">
        <f t="shared" si="197"/>
        <v>8.2424999999999998E-2</v>
      </c>
      <c r="I437" s="280">
        <f t="shared" si="202"/>
        <v>6.6451035000000003</v>
      </c>
      <c r="J437" s="281">
        <f t="shared" si="203"/>
        <v>7.5361177500000007</v>
      </c>
      <c r="K437" s="282">
        <f>IF(Notes!$B$9="Domestic",I437, IF(Notes!$B$9="Commercial",J437))*$K$415</f>
        <v>7.5361177500000007</v>
      </c>
      <c r="L437" s="283">
        <f>(SUM(O437:Q437)+(K437+SUM(M437:Q437))*(INDEX($U$415:$AB$415,MATCH(Notes!$C$16,$U$3:$AB$3,0))-100%))*$L$415</f>
        <v>43.494495000000001</v>
      </c>
      <c r="M437" s="286"/>
      <c r="N437" s="286"/>
      <c r="O437" s="311">
        <f t="shared" si="200"/>
        <v>14.13</v>
      </c>
      <c r="P437" s="311">
        <f t="shared" si="200"/>
        <v>29.364495000000002</v>
      </c>
      <c r="Q437" s="285"/>
      <c r="R437" s="278"/>
      <c r="S437" s="278"/>
      <c r="T437" s="278"/>
    </row>
    <row r="438" spans="1:20" s="305" customFormat="1" hidden="1" outlineLevel="1" x14ac:dyDescent="0.25">
      <c r="A438" s="344">
        <v>6.28</v>
      </c>
      <c r="B438" s="279" t="str">
        <f t="shared" si="201"/>
        <v>10x80PL</v>
      </c>
      <c r="C438" s="278" t="s">
        <v>1494</v>
      </c>
      <c r="D438" s="278"/>
      <c r="E438" s="278" t="s">
        <v>1860</v>
      </c>
      <c r="F438" s="278"/>
      <c r="G438" s="278" t="s">
        <v>15</v>
      </c>
      <c r="H438" s="328">
        <f t="shared" si="197"/>
        <v>8.7919999999999998E-2</v>
      </c>
      <c r="I438" s="280">
        <f t="shared" si="202"/>
        <v>7.0881104000000006</v>
      </c>
      <c r="J438" s="281">
        <f t="shared" si="203"/>
        <v>8.0385255999999998</v>
      </c>
      <c r="K438" s="282">
        <f>IF(Notes!$B$9="Domestic",I438, IF(Notes!$B$9="Commercial",J438))*$K$415</f>
        <v>8.0385255999999998</v>
      </c>
      <c r="L438" s="283">
        <f>(SUM(O438:Q438)+(K438+SUM(M438:Q438))*(INDEX($U$415:$AB$415,MATCH(Notes!$C$16,$U$3:$AB$3,0))-100%))*$L$415</f>
        <v>46.394128000000002</v>
      </c>
      <c r="M438" s="286"/>
      <c r="N438" s="286"/>
      <c r="O438" s="311">
        <f t="shared" si="200"/>
        <v>15.071999999999999</v>
      </c>
      <c r="P438" s="311">
        <f t="shared" si="200"/>
        <v>31.322128000000003</v>
      </c>
      <c r="Q438" s="285"/>
      <c r="R438" s="278"/>
      <c r="S438" s="278"/>
      <c r="T438" s="278"/>
    </row>
    <row r="439" spans="1:20" s="305" customFormat="1" hidden="1" outlineLevel="1" x14ac:dyDescent="0.25">
      <c r="A439" s="344">
        <v>7.0650000000000004</v>
      </c>
      <c r="B439" s="279" t="str">
        <f t="shared" si="201"/>
        <v>10x90PL</v>
      </c>
      <c r="C439" s="278" t="s">
        <v>1495</v>
      </c>
      <c r="D439" s="278"/>
      <c r="E439" s="278" t="s">
        <v>1860</v>
      </c>
      <c r="F439" s="278"/>
      <c r="G439" s="278" t="s">
        <v>15</v>
      </c>
      <c r="H439" s="328">
        <f t="shared" si="197"/>
        <v>9.8910000000000012E-2</v>
      </c>
      <c r="I439" s="280">
        <f t="shared" si="202"/>
        <v>7.9741242000000012</v>
      </c>
      <c r="J439" s="281">
        <f t="shared" si="203"/>
        <v>9.0433413000000016</v>
      </c>
      <c r="K439" s="282">
        <f>IF(Notes!$B$9="Domestic",I439, IF(Notes!$B$9="Commercial",J439))*$K$415</f>
        <v>9.0433413000000016</v>
      </c>
      <c r="L439" s="283">
        <f>(SUM(O439:Q439)+(K439+SUM(M439:Q439))*(INDEX($U$415:$AB$415,MATCH(Notes!$C$16,$U$3:$AB$3,0))-100%))*$L$415</f>
        <v>52.193394000000012</v>
      </c>
      <c r="M439" s="286"/>
      <c r="N439" s="286"/>
      <c r="O439" s="311">
        <f t="shared" si="200"/>
        <v>16.956</v>
      </c>
      <c r="P439" s="311">
        <f t="shared" si="200"/>
        <v>35.237394000000009</v>
      </c>
      <c r="Q439" s="285"/>
      <c r="R439" s="278"/>
      <c r="S439" s="278"/>
      <c r="T439" s="278"/>
    </row>
    <row r="440" spans="1:20" s="305" customFormat="1" hidden="1" outlineLevel="1" x14ac:dyDescent="0.25">
      <c r="A440" s="344">
        <v>7.85</v>
      </c>
      <c r="B440" s="279" t="str">
        <f t="shared" si="201"/>
        <v>10x100PL</v>
      </c>
      <c r="C440" s="278" t="s">
        <v>1496</v>
      </c>
      <c r="D440" s="278"/>
      <c r="E440" s="278" t="s">
        <v>1860</v>
      </c>
      <c r="F440" s="278"/>
      <c r="G440" s="278" t="s">
        <v>15</v>
      </c>
      <c r="H440" s="328">
        <f t="shared" si="197"/>
        <v>0.1099</v>
      </c>
      <c r="I440" s="280">
        <f t="shared" si="202"/>
        <v>8.860138000000001</v>
      </c>
      <c r="J440" s="281">
        <f t="shared" si="203"/>
        <v>10.048157</v>
      </c>
      <c r="K440" s="282">
        <f>IF(Notes!$B$9="Domestic",I440, IF(Notes!$B$9="Commercial",J440))*$K$415</f>
        <v>10.048157</v>
      </c>
      <c r="L440" s="283">
        <f>(SUM(O440:Q440)+(K440+SUM(M440:Q440))*(INDEX($U$415:$AB$415,MATCH(Notes!$C$16,$U$3:$AB$3,0))-100%))*$L$415</f>
        <v>57.992660000000001</v>
      </c>
      <c r="M440" s="286"/>
      <c r="N440" s="286"/>
      <c r="O440" s="311">
        <f t="shared" si="200"/>
        <v>18.84</v>
      </c>
      <c r="P440" s="311">
        <f t="shared" si="200"/>
        <v>39.152660000000004</v>
      </c>
      <c r="Q440" s="285"/>
      <c r="R440" s="278"/>
      <c r="S440" s="278"/>
      <c r="T440" s="278"/>
    </row>
    <row r="441" spans="1:20" s="305" customFormat="1" hidden="1" outlineLevel="1" x14ac:dyDescent="0.25">
      <c r="A441" s="344">
        <v>0.47099999999999997</v>
      </c>
      <c r="B441" s="279" t="str">
        <f t="shared" si="201"/>
        <v>20x3PL</v>
      </c>
      <c r="C441" s="278" t="s">
        <v>1497</v>
      </c>
      <c r="D441" s="278"/>
      <c r="E441" s="278" t="s">
        <v>1860</v>
      </c>
      <c r="F441" s="278"/>
      <c r="G441" s="278" t="s">
        <v>15</v>
      </c>
      <c r="H441" s="328">
        <f t="shared" si="197"/>
        <v>6.5939999999999992E-3</v>
      </c>
      <c r="I441" s="280">
        <f t="shared" si="202"/>
        <v>0.53160827999999993</v>
      </c>
      <c r="J441" s="281">
        <f t="shared" si="203"/>
        <v>0.60288942000000001</v>
      </c>
      <c r="K441" s="282">
        <f>IF(Notes!$B$9="Domestic",I441, IF(Notes!$B$9="Commercial",J441))*$K$415</f>
        <v>0.60288942000000001</v>
      </c>
      <c r="L441" s="283">
        <f>(SUM(O441:Q441)+(K441+SUM(M441:Q441))*(INDEX($U$415:$AB$415,MATCH(Notes!$C$16,$U$3:$AB$3,0))-100%))*$L$415</f>
        <v>3.4795596</v>
      </c>
      <c r="M441" s="286"/>
      <c r="N441" s="286"/>
      <c r="O441" s="311">
        <f t="shared" si="200"/>
        <v>1.1303999999999998</v>
      </c>
      <c r="P441" s="311">
        <f t="shared" si="200"/>
        <v>2.3491596000000001</v>
      </c>
      <c r="Q441" s="285"/>
      <c r="R441" s="278"/>
      <c r="S441" s="278"/>
      <c r="T441" s="278"/>
    </row>
    <row r="442" spans="1:20" s="305" customFormat="1" hidden="1" outlineLevel="1" x14ac:dyDescent="0.25">
      <c r="A442" s="344">
        <v>0.628</v>
      </c>
      <c r="B442" s="279" t="str">
        <f t="shared" si="201"/>
        <v>20x4PL</v>
      </c>
      <c r="C442" s="278" t="s">
        <v>1498</v>
      </c>
      <c r="D442" s="278"/>
      <c r="E442" s="278" t="s">
        <v>1860</v>
      </c>
      <c r="F442" s="278"/>
      <c r="G442" s="278" t="s">
        <v>15</v>
      </c>
      <c r="H442" s="328">
        <f t="shared" si="197"/>
        <v>8.7919999999999995E-3</v>
      </c>
      <c r="I442" s="280">
        <f t="shared" si="202"/>
        <v>0.70881103999999995</v>
      </c>
      <c r="J442" s="281">
        <f t="shared" si="203"/>
        <v>0.80385256000000005</v>
      </c>
      <c r="K442" s="282">
        <f>IF(Notes!$B$9="Domestic",I442, IF(Notes!$B$9="Commercial",J442))*$K$415</f>
        <v>0.80385256000000005</v>
      </c>
      <c r="L442" s="283">
        <f>(SUM(O442:Q442)+(K442+SUM(M442:Q442))*(INDEX($U$415:$AB$415,MATCH(Notes!$C$16,$U$3:$AB$3,0))-100%))*$L$415</f>
        <v>4.6394128000000006</v>
      </c>
      <c r="M442" s="286"/>
      <c r="N442" s="286"/>
      <c r="O442" s="311">
        <f t="shared" si="200"/>
        <v>1.5072000000000001</v>
      </c>
      <c r="P442" s="311">
        <f t="shared" si="200"/>
        <v>3.1322128000000005</v>
      </c>
      <c r="Q442" s="285"/>
      <c r="R442" s="278"/>
      <c r="S442" s="278"/>
      <c r="T442" s="278"/>
    </row>
    <row r="443" spans="1:20" s="305" customFormat="1" hidden="1" outlineLevel="1" x14ac:dyDescent="0.25">
      <c r="A443" s="344">
        <v>0.78500000000000003</v>
      </c>
      <c r="B443" s="279" t="str">
        <f t="shared" si="201"/>
        <v>20x5PL</v>
      </c>
      <c r="C443" s="278" t="s">
        <v>1499</v>
      </c>
      <c r="D443" s="278"/>
      <c r="E443" s="278" t="s">
        <v>1860</v>
      </c>
      <c r="F443" s="278"/>
      <c r="G443" s="278" t="s">
        <v>15</v>
      </c>
      <c r="H443" s="328">
        <f t="shared" si="197"/>
        <v>1.099E-2</v>
      </c>
      <c r="I443" s="280">
        <f t="shared" si="202"/>
        <v>0.88601380000000007</v>
      </c>
      <c r="J443" s="281">
        <f t="shared" si="203"/>
        <v>1.0048157</v>
      </c>
      <c r="K443" s="282">
        <f>IF(Notes!$B$9="Domestic",I443, IF(Notes!$B$9="Commercial",J443))*$K$415</f>
        <v>1.0048157</v>
      </c>
      <c r="L443" s="283">
        <f>(SUM(O443:Q443)+(K443+SUM(M443:Q443))*(INDEX($U$415:$AB$415,MATCH(Notes!$C$16,$U$3:$AB$3,0))-100%))*$L$415</f>
        <v>5.7992660000000003</v>
      </c>
      <c r="M443" s="286"/>
      <c r="N443" s="286"/>
      <c r="O443" s="311">
        <f t="shared" si="200"/>
        <v>1.8839999999999999</v>
      </c>
      <c r="P443" s="311">
        <f t="shared" si="200"/>
        <v>3.9152660000000004</v>
      </c>
      <c r="Q443" s="285"/>
      <c r="R443" s="278"/>
      <c r="S443" s="278"/>
      <c r="T443" s="278"/>
    </row>
    <row r="444" spans="1:20" s="305" customFormat="1" hidden="1" outlineLevel="1" x14ac:dyDescent="0.25">
      <c r="A444" s="344">
        <v>0.94199999999999995</v>
      </c>
      <c r="B444" s="279" t="str">
        <f t="shared" si="201"/>
        <v>20x6PL</v>
      </c>
      <c r="C444" s="278" t="s">
        <v>1500</v>
      </c>
      <c r="D444" s="278"/>
      <c r="E444" s="278" t="s">
        <v>1860</v>
      </c>
      <c r="F444" s="278"/>
      <c r="G444" s="278" t="s">
        <v>15</v>
      </c>
      <c r="H444" s="328">
        <f t="shared" si="197"/>
        <v>1.3187999999999998E-2</v>
      </c>
      <c r="I444" s="280">
        <f t="shared" si="202"/>
        <v>1.0632165599999999</v>
      </c>
      <c r="J444" s="281">
        <f t="shared" si="203"/>
        <v>1.20577884</v>
      </c>
      <c r="K444" s="282">
        <f>IF(Notes!$B$9="Domestic",I444, IF(Notes!$B$9="Commercial",J444))*$K$415</f>
        <v>1.20577884</v>
      </c>
      <c r="L444" s="283">
        <f>(SUM(O444:Q444)+(K444+SUM(M444:Q444))*(INDEX($U$415:$AB$415,MATCH(Notes!$C$16,$U$3:$AB$3,0))-100%))*$L$415</f>
        <v>6.9591191999999999</v>
      </c>
      <c r="M444" s="286"/>
      <c r="N444" s="286"/>
      <c r="O444" s="311">
        <f t="shared" si="200"/>
        <v>2.2607999999999997</v>
      </c>
      <c r="P444" s="311">
        <f t="shared" si="200"/>
        <v>4.6983192000000003</v>
      </c>
      <c r="Q444" s="285"/>
      <c r="R444" s="278"/>
      <c r="S444" s="278"/>
      <c r="T444" s="278"/>
    </row>
    <row r="445" spans="1:20" s="305" customFormat="1" hidden="1" outlineLevel="1" x14ac:dyDescent="0.25">
      <c r="A445" s="344">
        <v>1.256</v>
      </c>
      <c r="B445" s="279" t="str">
        <f t="shared" si="201"/>
        <v>20x8PL</v>
      </c>
      <c r="C445" s="278" t="s">
        <v>1501</v>
      </c>
      <c r="D445" s="278"/>
      <c r="E445" s="278" t="s">
        <v>1860</v>
      </c>
      <c r="F445" s="278"/>
      <c r="G445" s="278" t="s">
        <v>15</v>
      </c>
      <c r="H445" s="328">
        <f t="shared" si="197"/>
        <v>1.7583999999999999E-2</v>
      </c>
      <c r="I445" s="280">
        <f t="shared" si="202"/>
        <v>1.4176220799999999</v>
      </c>
      <c r="J445" s="281">
        <f t="shared" si="203"/>
        <v>1.6077051200000001</v>
      </c>
      <c r="K445" s="282">
        <f>IF(Notes!$B$9="Domestic",I445, IF(Notes!$B$9="Commercial",J445))*$K$415</f>
        <v>1.6077051200000001</v>
      </c>
      <c r="L445" s="283">
        <f>(SUM(O445:Q445)+(K445+SUM(M445:Q445))*(INDEX($U$415:$AB$415,MATCH(Notes!$C$16,$U$3:$AB$3,0))-100%))*$L$415</f>
        <v>9.2788256000000011</v>
      </c>
      <c r="M445" s="286"/>
      <c r="N445" s="286"/>
      <c r="O445" s="311">
        <f t="shared" si="200"/>
        <v>3.0144000000000002</v>
      </c>
      <c r="P445" s="311">
        <f t="shared" si="200"/>
        <v>6.2644256000000009</v>
      </c>
      <c r="Q445" s="285"/>
      <c r="R445" s="278"/>
      <c r="S445" s="278"/>
      <c r="T445" s="278"/>
    </row>
    <row r="446" spans="1:20" s="305" customFormat="1" hidden="1" outlineLevel="1" x14ac:dyDescent="0.25">
      <c r="A446" s="344">
        <v>1.57</v>
      </c>
      <c r="B446" s="279" t="str">
        <f t="shared" si="201"/>
        <v>20x10PL</v>
      </c>
      <c r="C446" s="278" t="s">
        <v>1502</v>
      </c>
      <c r="D446" s="278"/>
      <c r="E446" s="278" t="s">
        <v>1860</v>
      </c>
      <c r="F446" s="278"/>
      <c r="G446" s="278" t="s">
        <v>15</v>
      </c>
      <c r="H446" s="328">
        <f t="shared" si="197"/>
        <v>2.198E-2</v>
      </c>
      <c r="I446" s="280">
        <f t="shared" si="202"/>
        <v>1.7720276000000001</v>
      </c>
      <c r="J446" s="281">
        <f t="shared" si="203"/>
        <v>2.0096314</v>
      </c>
      <c r="K446" s="282">
        <f>IF(Notes!$B$9="Domestic",I446, IF(Notes!$B$9="Commercial",J446))*$K$415</f>
        <v>2.0096314</v>
      </c>
      <c r="L446" s="283">
        <f>(SUM(O446:Q446)+(K446+SUM(M446:Q446))*(INDEX($U$415:$AB$415,MATCH(Notes!$C$16,$U$3:$AB$3,0))-100%))*$L$415</f>
        <v>11.598532000000001</v>
      </c>
      <c r="M446" s="286"/>
      <c r="N446" s="286"/>
      <c r="O446" s="311">
        <f t="shared" si="200"/>
        <v>3.7679999999999998</v>
      </c>
      <c r="P446" s="311">
        <f t="shared" si="200"/>
        <v>7.8305320000000007</v>
      </c>
      <c r="Q446" s="285"/>
      <c r="R446" s="278"/>
      <c r="S446" s="278"/>
      <c r="T446" s="278"/>
    </row>
    <row r="447" spans="1:20" s="305" customFormat="1" hidden="1" outlineLevel="1" x14ac:dyDescent="0.25">
      <c r="A447" s="344">
        <v>1.8839999999999999</v>
      </c>
      <c r="B447" s="279" t="str">
        <f t="shared" si="201"/>
        <v>20x12PL</v>
      </c>
      <c r="C447" s="278" t="s">
        <v>1503</v>
      </c>
      <c r="D447" s="278"/>
      <c r="E447" s="278" t="s">
        <v>1860</v>
      </c>
      <c r="F447" s="278"/>
      <c r="G447" s="278" t="s">
        <v>15</v>
      </c>
      <c r="H447" s="328">
        <f t="shared" si="197"/>
        <v>2.6375999999999997E-2</v>
      </c>
      <c r="I447" s="280">
        <f t="shared" si="202"/>
        <v>2.1264331199999997</v>
      </c>
      <c r="J447" s="281">
        <f t="shared" si="203"/>
        <v>2.41155768</v>
      </c>
      <c r="K447" s="282">
        <f>IF(Notes!$B$9="Domestic",I447, IF(Notes!$B$9="Commercial",J447))*$K$415</f>
        <v>2.41155768</v>
      </c>
      <c r="L447" s="283">
        <f>(SUM(O447:Q447)+(K447+SUM(M447:Q447))*(INDEX($U$415:$AB$415,MATCH(Notes!$C$16,$U$3:$AB$3,0))-100%))*$L$415</f>
        <v>13.9182384</v>
      </c>
      <c r="M447" s="286"/>
      <c r="N447" s="286"/>
      <c r="O447" s="311">
        <f t="shared" si="200"/>
        <v>4.5215999999999994</v>
      </c>
      <c r="P447" s="311">
        <f t="shared" si="200"/>
        <v>9.3966384000000005</v>
      </c>
      <c r="Q447" s="285"/>
      <c r="R447" s="278"/>
      <c r="S447" s="278"/>
      <c r="T447" s="278"/>
    </row>
    <row r="448" spans="1:20" s="305" customFormat="1" hidden="1" outlineLevel="1" x14ac:dyDescent="0.25">
      <c r="A448" s="344">
        <v>2.512</v>
      </c>
      <c r="B448" s="279" t="str">
        <f t="shared" si="201"/>
        <v>20x16PL</v>
      </c>
      <c r="C448" s="278" t="s">
        <v>1504</v>
      </c>
      <c r="D448" s="278"/>
      <c r="E448" s="278" t="s">
        <v>1860</v>
      </c>
      <c r="F448" s="278"/>
      <c r="G448" s="278" t="s">
        <v>15</v>
      </c>
      <c r="H448" s="328">
        <f t="shared" si="197"/>
        <v>3.5167999999999998E-2</v>
      </c>
      <c r="I448" s="280">
        <f t="shared" si="202"/>
        <v>2.8352441599999998</v>
      </c>
      <c r="J448" s="281">
        <f t="shared" si="203"/>
        <v>3.2154102400000002</v>
      </c>
      <c r="K448" s="282">
        <f>IF(Notes!$B$9="Domestic",I448, IF(Notes!$B$9="Commercial",J448))*$K$415</f>
        <v>3.2154102400000002</v>
      </c>
      <c r="L448" s="283">
        <f>(SUM(O448:Q448)+(K448+SUM(M448:Q448))*(INDEX($U$415:$AB$415,MATCH(Notes!$C$16,$U$3:$AB$3,0))-100%))*$L$415</f>
        <v>18.557651200000002</v>
      </c>
      <c r="M448" s="286"/>
      <c r="N448" s="286"/>
      <c r="O448" s="311">
        <f t="shared" si="200"/>
        <v>6.0288000000000004</v>
      </c>
      <c r="P448" s="311">
        <f t="shared" si="200"/>
        <v>12.528851200000002</v>
      </c>
      <c r="Q448" s="285"/>
      <c r="R448" s="278"/>
      <c r="S448" s="278"/>
      <c r="T448" s="278"/>
    </row>
    <row r="449" spans="1:20" s="305" customFormat="1" hidden="1" outlineLevel="1" x14ac:dyDescent="0.25">
      <c r="A449" s="344">
        <v>3.14</v>
      </c>
      <c r="B449" s="279" t="str">
        <f t="shared" si="201"/>
        <v>20x20PL</v>
      </c>
      <c r="C449" s="278" t="s">
        <v>1505</v>
      </c>
      <c r="D449" s="278"/>
      <c r="E449" s="278" t="s">
        <v>1860</v>
      </c>
      <c r="F449" s="278"/>
      <c r="G449" s="278" t="s">
        <v>15</v>
      </c>
      <c r="H449" s="328">
        <f t="shared" si="197"/>
        <v>4.3959999999999999E-2</v>
      </c>
      <c r="I449" s="280">
        <f t="shared" si="202"/>
        <v>3.5440552000000003</v>
      </c>
      <c r="J449" s="281">
        <f t="shared" si="203"/>
        <v>4.0192627999999999</v>
      </c>
      <c r="K449" s="282">
        <f>IF(Notes!$B$9="Domestic",I449, IF(Notes!$B$9="Commercial",J449))*$K$415</f>
        <v>4.0192627999999999</v>
      </c>
      <c r="L449" s="283">
        <f>(SUM(O449:Q449)+(K449+SUM(M449:Q449))*(INDEX($U$415:$AB$415,MATCH(Notes!$C$16,$U$3:$AB$3,0))-100%))*$L$415</f>
        <v>23.197064000000001</v>
      </c>
      <c r="M449" s="286"/>
      <c r="N449" s="286"/>
      <c r="O449" s="311">
        <f t="shared" si="200"/>
        <v>7.5359999999999996</v>
      </c>
      <c r="P449" s="311">
        <f t="shared" si="200"/>
        <v>15.661064000000001</v>
      </c>
      <c r="Q449" s="285"/>
      <c r="R449" s="278"/>
      <c r="S449" s="278"/>
      <c r="T449" s="278"/>
    </row>
    <row r="450" spans="1:20" s="305" customFormat="1" hidden="1" outlineLevel="1" x14ac:dyDescent="0.25">
      <c r="A450" s="344">
        <v>3.4540000000000002</v>
      </c>
      <c r="B450" s="279" t="str">
        <f t="shared" si="201"/>
        <v>20x22PL</v>
      </c>
      <c r="C450" s="278" t="s">
        <v>1506</v>
      </c>
      <c r="D450" s="278"/>
      <c r="E450" s="278" t="s">
        <v>1860</v>
      </c>
      <c r="F450" s="278"/>
      <c r="G450" s="278" t="s">
        <v>15</v>
      </c>
      <c r="H450" s="328">
        <f t="shared" si="197"/>
        <v>4.8356000000000003E-2</v>
      </c>
      <c r="I450" s="280">
        <f t="shared" si="202"/>
        <v>3.8984607200000005</v>
      </c>
      <c r="J450" s="281">
        <f t="shared" si="203"/>
        <v>4.4211890800000004</v>
      </c>
      <c r="K450" s="282">
        <f>IF(Notes!$B$9="Domestic",I450, IF(Notes!$B$9="Commercial",J450))*$K$415</f>
        <v>4.4211890800000004</v>
      </c>
      <c r="L450" s="283">
        <f>(SUM(O450:Q450)+(K450+SUM(M450:Q450))*(INDEX($U$415:$AB$415,MATCH(Notes!$C$16,$U$3:$AB$3,0))-100%))*$L$415</f>
        <v>25.516770400000002</v>
      </c>
      <c r="M450" s="286"/>
      <c r="N450" s="286"/>
      <c r="O450" s="311">
        <f t="shared" si="200"/>
        <v>8.2896000000000001</v>
      </c>
      <c r="P450" s="311">
        <f t="shared" si="200"/>
        <v>17.227170400000002</v>
      </c>
      <c r="Q450" s="285"/>
      <c r="R450" s="278"/>
      <c r="S450" s="278"/>
      <c r="T450" s="278"/>
    </row>
    <row r="451" spans="1:20" s="305" customFormat="1" hidden="1" outlineLevel="1" x14ac:dyDescent="0.25">
      <c r="A451" s="344">
        <v>3.9249999999999998</v>
      </c>
      <c r="B451" s="279" t="str">
        <f t="shared" si="201"/>
        <v>20x25PL</v>
      </c>
      <c r="C451" s="278" t="s">
        <v>1507</v>
      </c>
      <c r="D451" s="278"/>
      <c r="E451" s="278" t="s">
        <v>1860</v>
      </c>
      <c r="F451" s="278"/>
      <c r="G451" s="278" t="s">
        <v>15</v>
      </c>
      <c r="H451" s="328">
        <f t="shared" si="197"/>
        <v>5.4949999999999999E-2</v>
      </c>
      <c r="I451" s="280">
        <f t="shared" si="202"/>
        <v>4.4300690000000005</v>
      </c>
      <c r="J451" s="281">
        <f t="shared" si="203"/>
        <v>5.0240784999999999</v>
      </c>
      <c r="K451" s="282">
        <f>IF(Notes!$B$9="Domestic",I451, IF(Notes!$B$9="Commercial",J451))*$K$415</f>
        <v>5.0240784999999999</v>
      </c>
      <c r="L451" s="283">
        <f>(SUM(O451:Q451)+(K451+SUM(M451:Q451))*(INDEX($U$415:$AB$415,MATCH(Notes!$C$16,$U$3:$AB$3,0))-100%))*$L$415</f>
        <v>28.99633</v>
      </c>
      <c r="M451" s="286"/>
      <c r="N451" s="286"/>
      <c r="O451" s="311">
        <f t="shared" si="200"/>
        <v>9.42</v>
      </c>
      <c r="P451" s="311">
        <f t="shared" si="200"/>
        <v>19.576330000000002</v>
      </c>
      <c r="Q451" s="285"/>
      <c r="R451" s="278"/>
      <c r="S451" s="278"/>
      <c r="T451" s="278"/>
    </row>
    <row r="452" spans="1:20" s="305" customFormat="1" hidden="1" outlineLevel="1" x14ac:dyDescent="0.25">
      <c r="A452" s="344">
        <v>4.3959999999999999</v>
      </c>
      <c r="B452" s="279" t="str">
        <f t="shared" si="201"/>
        <v>20x28PL</v>
      </c>
      <c r="C452" s="278" t="s">
        <v>1508</v>
      </c>
      <c r="D452" s="278"/>
      <c r="E452" s="278" t="s">
        <v>1860</v>
      </c>
      <c r="F452" s="278"/>
      <c r="G452" s="278" t="s">
        <v>15</v>
      </c>
      <c r="H452" s="328">
        <f t="shared" si="197"/>
        <v>6.1543999999999995E-2</v>
      </c>
      <c r="I452" s="280">
        <f t="shared" si="202"/>
        <v>4.96167728</v>
      </c>
      <c r="J452" s="281">
        <f t="shared" si="203"/>
        <v>5.6269679200000002</v>
      </c>
      <c r="K452" s="282">
        <f>IF(Notes!$B$9="Domestic",I452, IF(Notes!$B$9="Commercial",J452))*$K$415</f>
        <v>5.6269679200000002</v>
      </c>
      <c r="L452" s="283">
        <f>(SUM(O452:Q452)+(K452+SUM(M452:Q452))*(INDEX($U$415:$AB$415,MATCH(Notes!$C$16,$U$3:$AB$3,0))-100%))*$L$415</f>
        <v>32.475889600000002</v>
      </c>
      <c r="M452" s="286"/>
      <c r="N452" s="286"/>
      <c r="O452" s="311">
        <f t="shared" si="200"/>
        <v>10.5504</v>
      </c>
      <c r="P452" s="311">
        <f t="shared" si="200"/>
        <v>21.925489600000002</v>
      </c>
      <c r="Q452" s="285"/>
      <c r="R452" s="278"/>
      <c r="S452" s="278"/>
      <c r="T452" s="278"/>
    </row>
    <row r="453" spans="1:20" s="305" customFormat="1" hidden="1" outlineLevel="1" x14ac:dyDescent="0.25">
      <c r="A453" s="344">
        <v>5.024</v>
      </c>
      <c r="B453" s="279" t="str">
        <f t="shared" ref="B453:B516" si="204">C453&amp;D453&amp;E453&amp;F453</f>
        <v>20x32PL</v>
      </c>
      <c r="C453" s="278" t="s">
        <v>1509</v>
      </c>
      <c r="D453" s="278"/>
      <c r="E453" s="278" t="s">
        <v>1860</v>
      </c>
      <c r="F453" s="278"/>
      <c r="G453" s="278" t="s">
        <v>15</v>
      </c>
      <c r="H453" s="328">
        <f t="shared" si="197"/>
        <v>7.0335999999999996E-2</v>
      </c>
      <c r="I453" s="280">
        <f t="shared" ref="I453:I516" si="205">$I$2*H453</f>
        <v>5.6704883199999996</v>
      </c>
      <c r="J453" s="281">
        <f t="shared" ref="J453:J516" si="206">$J$2*H453</f>
        <v>6.4308204800000004</v>
      </c>
      <c r="K453" s="282">
        <f>IF(Notes!$B$9="Domestic",I453, IF(Notes!$B$9="Commercial",J453))*$K$415</f>
        <v>6.4308204800000004</v>
      </c>
      <c r="L453" s="283">
        <f>(SUM(O453:Q453)+(K453+SUM(M453:Q453))*(INDEX($U$415:$AB$415,MATCH(Notes!$C$16,$U$3:$AB$3,0))-100%))*$L$415</f>
        <v>37.115302400000004</v>
      </c>
      <c r="M453" s="286"/>
      <c r="N453" s="286"/>
      <c r="O453" s="311">
        <f t="shared" si="200"/>
        <v>12.057600000000001</v>
      </c>
      <c r="P453" s="311">
        <f t="shared" si="200"/>
        <v>25.057702400000004</v>
      </c>
      <c r="Q453" s="285"/>
      <c r="R453" s="278"/>
      <c r="S453" s="278"/>
      <c r="T453" s="278"/>
    </row>
    <row r="454" spans="1:20" s="305" customFormat="1" hidden="1" outlineLevel="1" x14ac:dyDescent="0.25">
      <c r="A454" s="344">
        <v>5.6520000000000001</v>
      </c>
      <c r="B454" s="279" t="str">
        <f t="shared" si="204"/>
        <v>20x36PL</v>
      </c>
      <c r="C454" s="278" t="s">
        <v>1510</v>
      </c>
      <c r="D454" s="278"/>
      <c r="E454" s="278" t="s">
        <v>1860</v>
      </c>
      <c r="F454" s="278"/>
      <c r="G454" s="278" t="s">
        <v>15</v>
      </c>
      <c r="H454" s="328">
        <f t="shared" si="197"/>
        <v>7.9128000000000004E-2</v>
      </c>
      <c r="I454" s="280">
        <f t="shared" si="205"/>
        <v>6.379299360000001</v>
      </c>
      <c r="J454" s="281">
        <f t="shared" si="206"/>
        <v>7.2346730400000006</v>
      </c>
      <c r="K454" s="282">
        <f>IF(Notes!$B$9="Domestic",I454, IF(Notes!$B$9="Commercial",J454))*$K$415</f>
        <v>7.2346730400000006</v>
      </c>
      <c r="L454" s="283">
        <f>(SUM(O454:Q454)+(K454+SUM(M454:Q454))*(INDEX($U$415:$AB$415,MATCH(Notes!$C$16,$U$3:$AB$3,0))-100%))*$L$415</f>
        <v>41.754715200000007</v>
      </c>
      <c r="M454" s="286"/>
      <c r="N454" s="286"/>
      <c r="O454" s="311">
        <f t="shared" si="200"/>
        <v>13.564800000000002</v>
      </c>
      <c r="P454" s="311">
        <f t="shared" si="200"/>
        <v>28.189915200000002</v>
      </c>
      <c r="Q454" s="285"/>
      <c r="R454" s="278"/>
      <c r="S454" s="278"/>
      <c r="T454" s="278"/>
    </row>
    <row r="455" spans="1:20" s="305" customFormat="1" hidden="1" outlineLevel="1" x14ac:dyDescent="0.25">
      <c r="A455" s="344">
        <v>6.28</v>
      </c>
      <c r="B455" s="279" t="str">
        <f t="shared" si="204"/>
        <v>20x40PL</v>
      </c>
      <c r="C455" s="278" t="s">
        <v>1511</v>
      </c>
      <c r="D455" s="278"/>
      <c r="E455" s="278" t="s">
        <v>1860</v>
      </c>
      <c r="F455" s="278"/>
      <c r="G455" s="278" t="s">
        <v>15</v>
      </c>
      <c r="H455" s="328">
        <f t="shared" si="197"/>
        <v>8.7919999999999998E-2</v>
      </c>
      <c r="I455" s="280">
        <f t="shared" si="205"/>
        <v>7.0881104000000006</v>
      </c>
      <c r="J455" s="281">
        <f t="shared" si="206"/>
        <v>8.0385255999999998</v>
      </c>
      <c r="K455" s="282">
        <f>IF(Notes!$B$9="Domestic",I455, IF(Notes!$B$9="Commercial",J455))*$K$415</f>
        <v>8.0385255999999998</v>
      </c>
      <c r="L455" s="283">
        <f>(SUM(O455:Q455)+(K455+SUM(M455:Q455))*(INDEX($U$415:$AB$415,MATCH(Notes!$C$16,$U$3:$AB$3,0))-100%))*$L$415</f>
        <v>46.394128000000002</v>
      </c>
      <c r="M455" s="286"/>
      <c r="N455" s="286"/>
      <c r="O455" s="311">
        <f t="shared" si="200"/>
        <v>15.071999999999999</v>
      </c>
      <c r="P455" s="311">
        <f t="shared" si="200"/>
        <v>31.322128000000003</v>
      </c>
      <c r="Q455" s="285"/>
      <c r="R455" s="278"/>
      <c r="S455" s="278"/>
      <c r="T455" s="278"/>
    </row>
    <row r="456" spans="1:20" s="305" customFormat="1" hidden="1" outlineLevel="1" x14ac:dyDescent="0.25">
      <c r="A456" s="344">
        <v>7.0650000000000004</v>
      </c>
      <c r="B456" s="279" t="str">
        <f t="shared" si="204"/>
        <v>20x45PL</v>
      </c>
      <c r="C456" s="278" t="s">
        <v>1512</v>
      </c>
      <c r="D456" s="278"/>
      <c r="E456" s="278" t="s">
        <v>1860</v>
      </c>
      <c r="F456" s="278"/>
      <c r="G456" s="278" t="s">
        <v>15</v>
      </c>
      <c r="H456" s="328">
        <f t="shared" si="197"/>
        <v>9.8910000000000012E-2</v>
      </c>
      <c r="I456" s="280">
        <f t="shared" si="205"/>
        <v>7.9741242000000012</v>
      </c>
      <c r="J456" s="281">
        <f t="shared" si="206"/>
        <v>9.0433413000000016</v>
      </c>
      <c r="K456" s="282">
        <f>IF(Notes!$B$9="Domestic",I456, IF(Notes!$B$9="Commercial",J456))*$K$415</f>
        <v>9.0433413000000016</v>
      </c>
      <c r="L456" s="283">
        <f>(SUM(O456:Q456)+(K456+SUM(M456:Q456))*(INDEX($U$415:$AB$415,MATCH(Notes!$C$16,$U$3:$AB$3,0))-100%))*$L$415</f>
        <v>52.193394000000012</v>
      </c>
      <c r="M456" s="286"/>
      <c r="N456" s="286"/>
      <c r="O456" s="311">
        <f t="shared" si="200"/>
        <v>16.956</v>
      </c>
      <c r="P456" s="311">
        <f t="shared" si="200"/>
        <v>35.237394000000009</v>
      </c>
      <c r="Q456" s="285"/>
      <c r="R456" s="278"/>
      <c r="S456" s="278"/>
      <c r="T456" s="278"/>
    </row>
    <row r="457" spans="1:20" s="305" customFormat="1" hidden="1" outlineLevel="1" x14ac:dyDescent="0.25">
      <c r="A457" s="344">
        <v>7.85</v>
      </c>
      <c r="B457" s="279" t="str">
        <f t="shared" si="204"/>
        <v>20x50PL</v>
      </c>
      <c r="C457" s="278" t="s">
        <v>1513</v>
      </c>
      <c r="D457" s="278"/>
      <c r="E457" s="278" t="s">
        <v>1860</v>
      </c>
      <c r="F457" s="278"/>
      <c r="G457" s="278" t="s">
        <v>15</v>
      </c>
      <c r="H457" s="328">
        <f t="shared" si="197"/>
        <v>0.1099</v>
      </c>
      <c r="I457" s="280">
        <f t="shared" si="205"/>
        <v>8.860138000000001</v>
      </c>
      <c r="J457" s="281">
        <f t="shared" si="206"/>
        <v>10.048157</v>
      </c>
      <c r="K457" s="282">
        <f>IF(Notes!$B$9="Domestic",I457, IF(Notes!$B$9="Commercial",J457))*$K$415</f>
        <v>10.048157</v>
      </c>
      <c r="L457" s="283">
        <f>(SUM(O457:Q457)+(K457+SUM(M457:Q457))*(INDEX($U$415:$AB$415,MATCH(Notes!$C$16,$U$3:$AB$3,0))-100%))*$L$415</f>
        <v>57.992660000000001</v>
      </c>
      <c r="M457" s="286"/>
      <c r="N457" s="286"/>
      <c r="O457" s="311">
        <f t="shared" si="200"/>
        <v>18.84</v>
      </c>
      <c r="P457" s="311">
        <f t="shared" si="200"/>
        <v>39.152660000000004</v>
      </c>
      <c r="Q457" s="285"/>
      <c r="R457" s="278"/>
      <c r="S457" s="278"/>
      <c r="T457" s="278"/>
    </row>
    <row r="458" spans="1:20" s="305" customFormat="1" hidden="1" outlineLevel="1" x14ac:dyDescent="0.25">
      <c r="A458" s="344">
        <v>8.6349999999999998</v>
      </c>
      <c r="B458" s="279" t="str">
        <f t="shared" si="204"/>
        <v>20x55PL</v>
      </c>
      <c r="C458" s="278" t="s">
        <v>1514</v>
      </c>
      <c r="D458" s="278"/>
      <c r="E458" s="278" t="s">
        <v>1860</v>
      </c>
      <c r="F458" s="278"/>
      <c r="G458" s="278" t="s">
        <v>15</v>
      </c>
      <c r="H458" s="328">
        <f t="shared" si="197"/>
        <v>0.12089</v>
      </c>
      <c r="I458" s="280">
        <f t="shared" si="205"/>
        <v>9.7461517999999998</v>
      </c>
      <c r="J458" s="281">
        <f t="shared" si="206"/>
        <v>11.0529727</v>
      </c>
      <c r="K458" s="282">
        <f>IF(Notes!$B$9="Domestic",I458, IF(Notes!$B$9="Commercial",J458))*$K$415</f>
        <v>11.0529727</v>
      </c>
      <c r="L458" s="283">
        <f>(SUM(O458:Q458)+(K458+SUM(M458:Q458))*(INDEX($U$415:$AB$415,MATCH(Notes!$C$16,$U$3:$AB$3,0))-100%))*$L$415</f>
        <v>63.791926000000004</v>
      </c>
      <c r="M458" s="286"/>
      <c r="N458" s="286"/>
      <c r="O458" s="311">
        <f t="shared" si="200"/>
        <v>20.724</v>
      </c>
      <c r="P458" s="311">
        <f t="shared" si="200"/>
        <v>43.067926</v>
      </c>
      <c r="Q458" s="285"/>
      <c r="R458" s="278"/>
      <c r="S458" s="278"/>
      <c r="T458" s="278"/>
    </row>
    <row r="459" spans="1:20" s="305" customFormat="1" hidden="1" outlineLevel="1" x14ac:dyDescent="0.25">
      <c r="A459" s="344">
        <v>9.42</v>
      </c>
      <c r="B459" s="279" t="str">
        <f t="shared" si="204"/>
        <v>20x60PL</v>
      </c>
      <c r="C459" s="278" t="s">
        <v>1515</v>
      </c>
      <c r="D459" s="278"/>
      <c r="E459" s="278" t="s">
        <v>1860</v>
      </c>
      <c r="F459" s="278"/>
      <c r="G459" s="278" t="s">
        <v>15</v>
      </c>
      <c r="H459" s="328">
        <f t="shared" si="197"/>
        <v>0.13188</v>
      </c>
      <c r="I459" s="280">
        <f t="shared" si="205"/>
        <v>10.6321656</v>
      </c>
      <c r="J459" s="281">
        <f t="shared" si="206"/>
        <v>12.057788400000002</v>
      </c>
      <c r="K459" s="282">
        <f>IF(Notes!$B$9="Domestic",I459, IF(Notes!$B$9="Commercial",J459))*$K$415</f>
        <v>12.057788400000002</v>
      </c>
      <c r="L459" s="283">
        <f>(SUM(O459:Q459)+(K459+SUM(M459:Q459))*(INDEX($U$415:$AB$415,MATCH(Notes!$C$16,$U$3:$AB$3,0))-100%))*$L$415</f>
        <v>69.591192000000007</v>
      </c>
      <c r="M459" s="286"/>
      <c r="N459" s="286"/>
      <c r="O459" s="311">
        <f t="shared" si="200"/>
        <v>22.608000000000001</v>
      </c>
      <c r="P459" s="311">
        <f t="shared" si="200"/>
        <v>46.983192000000003</v>
      </c>
      <c r="Q459" s="285"/>
      <c r="R459" s="278"/>
      <c r="S459" s="278"/>
      <c r="T459" s="278"/>
    </row>
    <row r="460" spans="1:20" s="305" customFormat="1" hidden="1" outlineLevel="1" x14ac:dyDescent="0.25">
      <c r="A460" s="344">
        <v>10.199999999999999</v>
      </c>
      <c r="B460" s="279" t="str">
        <f t="shared" si="204"/>
        <v>20x65PL</v>
      </c>
      <c r="C460" s="278" t="s">
        <v>1516</v>
      </c>
      <c r="D460" s="278"/>
      <c r="E460" s="278" t="s">
        <v>1860</v>
      </c>
      <c r="F460" s="278"/>
      <c r="G460" s="278" t="s">
        <v>15</v>
      </c>
      <c r="H460" s="328">
        <f t="shared" si="197"/>
        <v>0.14279999999999998</v>
      </c>
      <c r="I460" s="280">
        <f t="shared" si="205"/>
        <v>11.512535999999999</v>
      </c>
      <c r="J460" s="281">
        <f t="shared" si="206"/>
        <v>13.056203999999999</v>
      </c>
      <c r="K460" s="282">
        <f>IF(Notes!$B$9="Domestic",I460, IF(Notes!$B$9="Commercial",J460))*$K$415</f>
        <v>13.056203999999999</v>
      </c>
      <c r="L460" s="283">
        <f>(SUM(O460:Q460)+(K460+SUM(M460:Q460))*(INDEX($U$415:$AB$415,MATCH(Notes!$C$16,$U$3:$AB$3,0))-100%))*$L$415</f>
        <v>75.353520000000003</v>
      </c>
      <c r="M460" s="286"/>
      <c r="N460" s="286"/>
      <c r="O460" s="311">
        <f t="shared" si="200"/>
        <v>24.48</v>
      </c>
      <c r="P460" s="311">
        <f t="shared" si="200"/>
        <v>50.873519999999999</v>
      </c>
      <c r="Q460" s="285"/>
      <c r="R460" s="278"/>
      <c r="S460" s="278"/>
      <c r="T460" s="278"/>
    </row>
    <row r="461" spans="1:20" s="305" customFormat="1" hidden="1" outlineLevel="1" x14ac:dyDescent="0.25">
      <c r="A461" s="344">
        <v>10.99</v>
      </c>
      <c r="B461" s="279" t="str">
        <f t="shared" si="204"/>
        <v>20x70PL</v>
      </c>
      <c r="C461" s="278" t="s">
        <v>1517</v>
      </c>
      <c r="D461" s="278"/>
      <c r="E461" s="278" t="s">
        <v>1860</v>
      </c>
      <c r="F461" s="278"/>
      <c r="G461" s="278" t="s">
        <v>15</v>
      </c>
      <c r="H461" s="328">
        <f t="shared" si="197"/>
        <v>0.15386000000000002</v>
      </c>
      <c r="I461" s="280">
        <f t="shared" si="205"/>
        <v>12.404193200000003</v>
      </c>
      <c r="J461" s="281">
        <f t="shared" si="206"/>
        <v>14.067419800000003</v>
      </c>
      <c r="K461" s="282">
        <f>IF(Notes!$B$9="Domestic",I461, IF(Notes!$B$9="Commercial",J461))*$K$415</f>
        <v>14.067419800000003</v>
      </c>
      <c r="L461" s="283">
        <f>(SUM(O461:Q461)+(K461+SUM(M461:Q461))*(INDEX($U$415:$AB$415,MATCH(Notes!$C$16,$U$3:$AB$3,0))-100%))*$L$415</f>
        <v>81.189723999999998</v>
      </c>
      <c r="M461" s="286"/>
      <c r="N461" s="286"/>
      <c r="O461" s="311">
        <f t="shared" si="200"/>
        <v>26.376000000000001</v>
      </c>
      <c r="P461" s="311">
        <f t="shared" si="200"/>
        <v>54.813724000000001</v>
      </c>
      <c r="Q461" s="285"/>
      <c r="R461" s="278"/>
      <c r="S461" s="278"/>
      <c r="T461" s="278"/>
    </row>
    <row r="462" spans="1:20" s="305" customFormat="1" hidden="1" outlineLevel="1" x14ac:dyDescent="0.25">
      <c r="A462" s="344">
        <v>11.775</v>
      </c>
      <c r="B462" s="279" t="str">
        <f t="shared" si="204"/>
        <v>20x75PL</v>
      </c>
      <c r="C462" s="278" t="s">
        <v>1518</v>
      </c>
      <c r="D462" s="278"/>
      <c r="E462" s="278" t="s">
        <v>1860</v>
      </c>
      <c r="F462" s="278"/>
      <c r="G462" s="278" t="s">
        <v>15</v>
      </c>
      <c r="H462" s="328">
        <f t="shared" si="197"/>
        <v>0.16485</v>
      </c>
      <c r="I462" s="280">
        <f t="shared" si="205"/>
        <v>13.290207000000001</v>
      </c>
      <c r="J462" s="281">
        <f t="shared" si="206"/>
        <v>15.072235500000001</v>
      </c>
      <c r="K462" s="282">
        <f>IF(Notes!$B$9="Domestic",I462, IF(Notes!$B$9="Commercial",J462))*$K$415</f>
        <v>15.072235500000001</v>
      </c>
      <c r="L462" s="283">
        <f>(SUM(O462:Q462)+(K462+SUM(M462:Q462))*(INDEX($U$415:$AB$415,MATCH(Notes!$C$16,$U$3:$AB$3,0))-100%))*$L$415</f>
        <v>86.988990000000001</v>
      </c>
      <c r="M462" s="286"/>
      <c r="N462" s="286"/>
      <c r="O462" s="311">
        <f t="shared" si="200"/>
        <v>28.26</v>
      </c>
      <c r="P462" s="311">
        <f t="shared" si="200"/>
        <v>58.728990000000003</v>
      </c>
      <c r="Q462" s="285"/>
      <c r="R462" s="278"/>
      <c r="S462" s="278"/>
      <c r="T462" s="278"/>
    </row>
    <row r="463" spans="1:20" s="305" customFormat="1" hidden="1" outlineLevel="1" x14ac:dyDescent="0.25">
      <c r="A463" s="344">
        <v>12.56</v>
      </c>
      <c r="B463" s="279" t="str">
        <f t="shared" si="204"/>
        <v>20x80PL</v>
      </c>
      <c r="C463" s="278" t="s">
        <v>1519</v>
      </c>
      <c r="D463" s="278"/>
      <c r="E463" s="278" t="s">
        <v>1860</v>
      </c>
      <c r="F463" s="278"/>
      <c r="G463" s="278" t="s">
        <v>15</v>
      </c>
      <c r="H463" s="328">
        <f t="shared" si="197"/>
        <v>0.17584</v>
      </c>
      <c r="I463" s="280">
        <f t="shared" si="205"/>
        <v>14.176220800000001</v>
      </c>
      <c r="J463" s="281">
        <f t="shared" si="206"/>
        <v>16.0770512</v>
      </c>
      <c r="K463" s="282">
        <f>IF(Notes!$B$9="Domestic",I463, IF(Notes!$B$9="Commercial",J463))*$K$415</f>
        <v>16.0770512</v>
      </c>
      <c r="L463" s="283">
        <f>(SUM(O463:Q463)+(K463+SUM(M463:Q463))*(INDEX($U$415:$AB$415,MATCH(Notes!$C$16,$U$3:$AB$3,0))-100%))*$L$415</f>
        <v>92.788256000000004</v>
      </c>
      <c r="M463" s="286"/>
      <c r="N463" s="286"/>
      <c r="O463" s="311">
        <f t="shared" si="200"/>
        <v>30.143999999999998</v>
      </c>
      <c r="P463" s="311">
        <f t="shared" si="200"/>
        <v>62.644256000000006</v>
      </c>
      <c r="Q463" s="285"/>
      <c r="R463" s="278"/>
      <c r="S463" s="278"/>
      <c r="T463" s="278"/>
    </row>
    <row r="464" spans="1:20" s="305" customFormat="1" hidden="1" outlineLevel="1" x14ac:dyDescent="0.25">
      <c r="A464" s="344">
        <v>14.13</v>
      </c>
      <c r="B464" s="279" t="str">
        <f t="shared" si="204"/>
        <v>20x90PL</v>
      </c>
      <c r="C464" s="278" t="s">
        <v>1520</v>
      </c>
      <c r="D464" s="278"/>
      <c r="E464" s="278" t="s">
        <v>1860</v>
      </c>
      <c r="F464" s="278"/>
      <c r="G464" s="278" t="s">
        <v>15</v>
      </c>
      <c r="H464" s="328">
        <f t="shared" si="197"/>
        <v>0.19782000000000002</v>
      </c>
      <c r="I464" s="280">
        <f t="shared" si="205"/>
        <v>15.948248400000002</v>
      </c>
      <c r="J464" s="281">
        <f t="shared" si="206"/>
        <v>18.086682600000003</v>
      </c>
      <c r="K464" s="282">
        <f>IF(Notes!$B$9="Domestic",I464, IF(Notes!$B$9="Commercial",J464))*$K$415</f>
        <v>18.086682600000003</v>
      </c>
      <c r="L464" s="283">
        <f>(SUM(O464:Q464)+(K464+SUM(M464:Q464))*(INDEX($U$415:$AB$415,MATCH(Notes!$C$16,$U$3:$AB$3,0))-100%))*$L$415</f>
        <v>104.38678800000002</v>
      </c>
      <c r="M464" s="286"/>
      <c r="N464" s="286"/>
      <c r="O464" s="311">
        <f t="shared" si="200"/>
        <v>33.911999999999999</v>
      </c>
      <c r="P464" s="311">
        <f t="shared" si="200"/>
        <v>70.474788000000018</v>
      </c>
      <c r="Q464" s="285"/>
      <c r="R464" s="278"/>
      <c r="S464" s="278"/>
      <c r="T464" s="278"/>
    </row>
    <row r="465" spans="1:20" s="305" customFormat="1" hidden="1" outlineLevel="1" x14ac:dyDescent="0.25">
      <c r="A465" s="344">
        <v>15.7</v>
      </c>
      <c r="B465" s="279" t="str">
        <f t="shared" si="204"/>
        <v>20x100PL</v>
      </c>
      <c r="C465" s="278" t="s">
        <v>1521</v>
      </c>
      <c r="D465" s="278"/>
      <c r="E465" s="278" t="s">
        <v>1860</v>
      </c>
      <c r="F465" s="278"/>
      <c r="G465" s="278" t="s">
        <v>15</v>
      </c>
      <c r="H465" s="328">
        <f t="shared" si="197"/>
        <v>0.2198</v>
      </c>
      <c r="I465" s="280">
        <f t="shared" si="205"/>
        <v>17.720276000000002</v>
      </c>
      <c r="J465" s="281">
        <f t="shared" si="206"/>
        <v>20.096314</v>
      </c>
      <c r="K465" s="282">
        <f>IF(Notes!$B$9="Domestic",I465, IF(Notes!$B$9="Commercial",J465))*$K$415</f>
        <v>20.096314</v>
      </c>
      <c r="L465" s="283">
        <f>(SUM(O465:Q465)+(K465+SUM(M465:Q465))*(INDEX($U$415:$AB$415,MATCH(Notes!$C$16,$U$3:$AB$3,0))-100%))*$L$415</f>
        <v>115.98532</v>
      </c>
      <c r="M465" s="286"/>
      <c r="N465" s="286"/>
      <c r="O465" s="311">
        <f t="shared" si="200"/>
        <v>37.68</v>
      </c>
      <c r="P465" s="311">
        <f t="shared" si="200"/>
        <v>78.305320000000009</v>
      </c>
      <c r="Q465" s="285"/>
      <c r="R465" s="278"/>
      <c r="S465" s="278"/>
      <c r="T465" s="278"/>
    </row>
    <row r="466" spans="1:20" s="305" customFormat="1" hidden="1" outlineLevel="1" x14ac:dyDescent="0.25">
      <c r="A466" s="344">
        <v>0.70650000000000002</v>
      </c>
      <c r="B466" s="279" t="str">
        <f t="shared" si="204"/>
        <v>30x3PL</v>
      </c>
      <c r="C466" s="278" t="s">
        <v>1522</v>
      </c>
      <c r="D466" s="278"/>
      <c r="E466" s="278" t="s">
        <v>1860</v>
      </c>
      <c r="F466" s="278"/>
      <c r="G466" s="278" t="s">
        <v>15</v>
      </c>
      <c r="H466" s="328">
        <f t="shared" si="197"/>
        <v>9.8910000000000005E-3</v>
      </c>
      <c r="I466" s="280">
        <f t="shared" si="205"/>
        <v>0.79741242000000012</v>
      </c>
      <c r="J466" s="281">
        <f t="shared" si="206"/>
        <v>0.90433413000000007</v>
      </c>
      <c r="K466" s="282">
        <f>IF(Notes!$B$9="Domestic",I466, IF(Notes!$B$9="Commercial",J466))*$K$415</f>
        <v>0.90433413000000007</v>
      </c>
      <c r="L466" s="283">
        <f>(SUM(O466:Q466)+(K466+SUM(M466:Q466))*(INDEX($U$415:$AB$415,MATCH(Notes!$C$16,$U$3:$AB$3,0))-100%))*$L$415</f>
        <v>5.2193394000000009</v>
      </c>
      <c r="M466" s="286"/>
      <c r="N466" s="286"/>
      <c r="O466" s="311">
        <f t="shared" si="200"/>
        <v>1.6956000000000002</v>
      </c>
      <c r="P466" s="311">
        <f t="shared" si="200"/>
        <v>3.5237394000000002</v>
      </c>
      <c r="Q466" s="285"/>
      <c r="R466" s="278"/>
      <c r="S466" s="278"/>
      <c r="T466" s="278"/>
    </row>
    <row r="467" spans="1:20" s="305" customFormat="1" hidden="1" outlineLevel="1" x14ac:dyDescent="0.25">
      <c r="A467" s="344">
        <v>0.94199999999999995</v>
      </c>
      <c r="B467" s="279" t="str">
        <f t="shared" si="204"/>
        <v>30x4PL</v>
      </c>
      <c r="C467" s="278" t="s">
        <v>1523</v>
      </c>
      <c r="D467" s="278"/>
      <c r="E467" s="278" t="s">
        <v>1860</v>
      </c>
      <c r="F467" s="278"/>
      <c r="G467" s="278" t="s">
        <v>15</v>
      </c>
      <c r="H467" s="328">
        <f t="shared" si="197"/>
        <v>1.3187999999999998E-2</v>
      </c>
      <c r="I467" s="280">
        <f t="shared" si="205"/>
        <v>1.0632165599999999</v>
      </c>
      <c r="J467" s="281">
        <f t="shared" si="206"/>
        <v>1.20577884</v>
      </c>
      <c r="K467" s="282">
        <f>IF(Notes!$B$9="Domestic",I467, IF(Notes!$B$9="Commercial",J467))*$K$415</f>
        <v>1.20577884</v>
      </c>
      <c r="L467" s="283">
        <f>(SUM(O467:Q467)+(K467+SUM(M467:Q467))*(INDEX($U$415:$AB$415,MATCH(Notes!$C$16,$U$3:$AB$3,0))-100%))*$L$415</f>
        <v>6.9591191999999999</v>
      </c>
      <c r="M467" s="286"/>
      <c r="N467" s="286"/>
      <c r="O467" s="311">
        <f t="shared" si="200"/>
        <v>2.2607999999999997</v>
      </c>
      <c r="P467" s="311">
        <f t="shared" si="200"/>
        <v>4.6983192000000003</v>
      </c>
      <c r="Q467" s="285"/>
      <c r="R467" s="278"/>
      <c r="S467" s="278"/>
      <c r="T467" s="278"/>
    </row>
    <row r="468" spans="1:20" s="305" customFormat="1" hidden="1" outlineLevel="1" x14ac:dyDescent="0.25">
      <c r="A468" s="344">
        <v>1.1775</v>
      </c>
      <c r="B468" s="279" t="str">
        <f t="shared" si="204"/>
        <v>30x5PL</v>
      </c>
      <c r="C468" s="278" t="s">
        <v>1524</v>
      </c>
      <c r="D468" s="278"/>
      <c r="E468" s="278" t="s">
        <v>1860</v>
      </c>
      <c r="F468" s="278"/>
      <c r="G468" s="278" t="s">
        <v>15</v>
      </c>
      <c r="H468" s="328">
        <f t="shared" si="197"/>
        <v>1.6485E-2</v>
      </c>
      <c r="I468" s="280">
        <f t="shared" si="205"/>
        <v>1.3290207000000001</v>
      </c>
      <c r="J468" s="281">
        <f t="shared" si="206"/>
        <v>1.5072235500000002</v>
      </c>
      <c r="K468" s="282">
        <f>IF(Notes!$B$9="Domestic",I468, IF(Notes!$B$9="Commercial",J468))*$K$415</f>
        <v>1.5072235500000002</v>
      </c>
      <c r="L468" s="283">
        <f>(SUM(O468:Q468)+(K468+SUM(M468:Q468))*(INDEX($U$415:$AB$415,MATCH(Notes!$C$16,$U$3:$AB$3,0))-100%))*$L$415</f>
        <v>8.6988990000000008</v>
      </c>
      <c r="M468" s="286"/>
      <c r="N468" s="286"/>
      <c r="O468" s="311">
        <f t="shared" si="200"/>
        <v>2.8260000000000001</v>
      </c>
      <c r="P468" s="311">
        <f t="shared" si="200"/>
        <v>5.8728990000000003</v>
      </c>
      <c r="Q468" s="285"/>
      <c r="R468" s="278"/>
      <c r="S468" s="278"/>
      <c r="T468" s="278"/>
    </row>
    <row r="469" spans="1:20" s="305" customFormat="1" hidden="1" outlineLevel="1" x14ac:dyDescent="0.25">
      <c r="A469" s="344">
        <v>1.413</v>
      </c>
      <c r="B469" s="279" t="str">
        <f t="shared" si="204"/>
        <v>30x6PL</v>
      </c>
      <c r="C469" s="278" t="s">
        <v>1525</v>
      </c>
      <c r="D469" s="278"/>
      <c r="E469" s="278" t="s">
        <v>1860</v>
      </c>
      <c r="F469" s="278"/>
      <c r="G469" s="278" t="s">
        <v>15</v>
      </c>
      <c r="H469" s="328">
        <f t="shared" si="197"/>
        <v>1.9782000000000001E-2</v>
      </c>
      <c r="I469" s="280">
        <f t="shared" si="205"/>
        <v>1.5948248400000002</v>
      </c>
      <c r="J469" s="281">
        <f t="shared" si="206"/>
        <v>1.8086682600000001</v>
      </c>
      <c r="K469" s="282">
        <f>IF(Notes!$B$9="Domestic",I469, IF(Notes!$B$9="Commercial",J469))*$K$415</f>
        <v>1.8086682600000001</v>
      </c>
      <c r="L469" s="283">
        <f>(SUM(O469:Q469)+(K469+SUM(M469:Q469))*(INDEX($U$415:$AB$415,MATCH(Notes!$C$16,$U$3:$AB$3,0))-100%))*$L$415</f>
        <v>10.438678800000002</v>
      </c>
      <c r="M469" s="286"/>
      <c r="N469" s="286"/>
      <c r="O469" s="311">
        <f t="shared" si="200"/>
        <v>3.3912000000000004</v>
      </c>
      <c r="P469" s="311">
        <f t="shared" si="200"/>
        <v>7.0474788000000004</v>
      </c>
      <c r="Q469" s="285"/>
      <c r="R469" s="278"/>
      <c r="S469" s="278"/>
      <c r="T469" s="278"/>
    </row>
    <row r="470" spans="1:20" s="305" customFormat="1" hidden="1" outlineLevel="1" x14ac:dyDescent="0.25">
      <c r="A470" s="344">
        <v>1.8839999999999999</v>
      </c>
      <c r="B470" s="279" t="str">
        <f t="shared" si="204"/>
        <v>30x8PL</v>
      </c>
      <c r="C470" s="278" t="s">
        <v>1526</v>
      </c>
      <c r="D470" s="278"/>
      <c r="E470" s="278" t="s">
        <v>1860</v>
      </c>
      <c r="F470" s="278"/>
      <c r="G470" s="278" t="s">
        <v>15</v>
      </c>
      <c r="H470" s="328">
        <f t="shared" si="197"/>
        <v>2.6375999999999997E-2</v>
      </c>
      <c r="I470" s="280">
        <f t="shared" si="205"/>
        <v>2.1264331199999997</v>
      </c>
      <c r="J470" s="281">
        <f t="shared" si="206"/>
        <v>2.41155768</v>
      </c>
      <c r="K470" s="282">
        <f>IF(Notes!$B$9="Domestic",I470, IF(Notes!$B$9="Commercial",J470))*$K$415</f>
        <v>2.41155768</v>
      </c>
      <c r="L470" s="283">
        <f>(SUM(O470:Q470)+(K470+SUM(M470:Q470))*(INDEX($U$415:$AB$415,MATCH(Notes!$C$16,$U$3:$AB$3,0))-100%))*$L$415</f>
        <v>13.9182384</v>
      </c>
      <c r="M470" s="286"/>
      <c r="N470" s="286"/>
      <c r="O470" s="311">
        <f t="shared" si="200"/>
        <v>4.5215999999999994</v>
      </c>
      <c r="P470" s="311">
        <f t="shared" si="200"/>
        <v>9.3966384000000005</v>
      </c>
      <c r="Q470" s="285"/>
      <c r="R470" s="278"/>
      <c r="S470" s="278"/>
      <c r="T470" s="278"/>
    </row>
    <row r="471" spans="1:20" s="305" customFormat="1" hidden="1" outlineLevel="1" x14ac:dyDescent="0.25">
      <c r="A471" s="344">
        <v>2.355</v>
      </c>
      <c r="B471" s="279" t="str">
        <f t="shared" si="204"/>
        <v>30x10PL</v>
      </c>
      <c r="C471" s="278" t="s">
        <v>1527</v>
      </c>
      <c r="D471" s="278"/>
      <c r="E471" s="278" t="s">
        <v>1860</v>
      </c>
      <c r="F471" s="278"/>
      <c r="G471" s="278" t="s">
        <v>15</v>
      </c>
      <c r="H471" s="328">
        <f t="shared" si="197"/>
        <v>3.2969999999999999E-2</v>
      </c>
      <c r="I471" s="280">
        <f t="shared" si="205"/>
        <v>2.6580414000000001</v>
      </c>
      <c r="J471" s="281">
        <f t="shared" si="206"/>
        <v>3.0144471000000004</v>
      </c>
      <c r="K471" s="282">
        <f>IF(Notes!$B$9="Domestic",I471, IF(Notes!$B$9="Commercial",J471))*$K$415</f>
        <v>3.0144471000000004</v>
      </c>
      <c r="L471" s="283">
        <f>(SUM(O471:Q471)+(K471+SUM(M471:Q471))*(INDEX($U$415:$AB$415,MATCH(Notes!$C$16,$U$3:$AB$3,0))-100%))*$L$415</f>
        <v>17.397798000000002</v>
      </c>
      <c r="M471" s="286"/>
      <c r="N471" s="286"/>
      <c r="O471" s="311">
        <f t="shared" si="200"/>
        <v>5.6520000000000001</v>
      </c>
      <c r="P471" s="311">
        <f t="shared" si="200"/>
        <v>11.745798000000001</v>
      </c>
      <c r="Q471" s="285"/>
      <c r="R471" s="278"/>
      <c r="S471" s="278"/>
      <c r="T471" s="278"/>
    </row>
    <row r="472" spans="1:20" s="305" customFormat="1" hidden="1" outlineLevel="1" x14ac:dyDescent="0.25">
      <c r="A472" s="344">
        <v>2.8260000000000001</v>
      </c>
      <c r="B472" s="279" t="str">
        <f t="shared" si="204"/>
        <v>30x12PL</v>
      </c>
      <c r="C472" s="278" t="s">
        <v>1528</v>
      </c>
      <c r="D472" s="278"/>
      <c r="E472" s="278" t="s">
        <v>1860</v>
      </c>
      <c r="F472" s="278"/>
      <c r="G472" s="278" t="s">
        <v>15</v>
      </c>
      <c r="H472" s="328">
        <f t="shared" si="197"/>
        <v>3.9564000000000002E-2</v>
      </c>
      <c r="I472" s="280">
        <f t="shared" si="205"/>
        <v>3.1896496800000005</v>
      </c>
      <c r="J472" s="281">
        <f t="shared" si="206"/>
        <v>3.6173365200000003</v>
      </c>
      <c r="K472" s="282">
        <f>IF(Notes!$B$9="Domestic",I472, IF(Notes!$B$9="Commercial",J472))*$K$415</f>
        <v>3.6173365200000003</v>
      </c>
      <c r="L472" s="283">
        <f>(SUM(O472:Q472)+(K472+SUM(M472:Q472))*(INDEX($U$415:$AB$415,MATCH(Notes!$C$16,$U$3:$AB$3,0))-100%))*$L$415</f>
        <v>20.877357600000003</v>
      </c>
      <c r="M472" s="286"/>
      <c r="N472" s="286"/>
      <c r="O472" s="311">
        <f t="shared" si="200"/>
        <v>6.7824000000000009</v>
      </c>
      <c r="P472" s="311">
        <f t="shared" si="200"/>
        <v>14.094957600000001</v>
      </c>
      <c r="Q472" s="285"/>
      <c r="R472" s="278"/>
      <c r="S472" s="278"/>
      <c r="T472" s="278"/>
    </row>
    <row r="473" spans="1:20" s="305" customFormat="1" hidden="1" outlineLevel="1" x14ac:dyDescent="0.25">
      <c r="A473" s="344">
        <v>3.7679999999999998</v>
      </c>
      <c r="B473" s="279" t="str">
        <f t="shared" si="204"/>
        <v>30x16PL</v>
      </c>
      <c r="C473" s="278" t="s">
        <v>1529</v>
      </c>
      <c r="D473" s="278"/>
      <c r="E473" s="278" t="s">
        <v>1860</v>
      </c>
      <c r="F473" s="278"/>
      <c r="G473" s="278" t="s">
        <v>15</v>
      </c>
      <c r="H473" s="328">
        <f t="shared" si="197"/>
        <v>5.2751999999999993E-2</v>
      </c>
      <c r="I473" s="280">
        <f t="shared" si="205"/>
        <v>4.2528662399999995</v>
      </c>
      <c r="J473" s="281">
        <f t="shared" si="206"/>
        <v>4.8231153600000001</v>
      </c>
      <c r="K473" s="282">
        <f>IF(Notes!$B$9="Domestic",I473, IF(Notes!$B$9="Commercial",J473))*$K$415</f>
        <v>4.8231153600000001</v>
      </c>
      <c r="L473" s="283">
        <f>(SUM(O473:Q473)+(K473+SUM(M473:Q473))*(INDEX($U$415:$AB$415,MATCH(Notes!$C$16,$U$3:$AB$3,0))-100%))*$L$415</f>
        <v>27.8364768</v>
      </c>
      <c r="M473" s="286"/>
      <c r="N473" s="286"/>
      <c r="O473" s="311">
        <f t="shared" si="200"/>
        <v>9.0431999999999988</v>
      </c>
      <c r="P473" s="311">
        <f t="shared" si="200"/>
        <v>18.793276800000001</v>
      </c>
      <c r="Q473" s="285"/>
      <c r="R473" s="278"/>
      <c r="S473" s="278"/>
      <c r="T473" s="278"/>
    </row>
    <row r="474" spans="1:20" s="305" customFormat="1" hidden="1" outlineLevel="1" x14ac:dyDescent="0.25">
      <c r="A474" s="344">
        <v>4.71</v>
      </c>
      <c r="B474" s="279" t="str">
        <f t="shared" si="204"/>
        <v>30x20PL</v>
      </c>
      <c r="C474" s="278" t="s">
        <v>1530</v>
      </c>
      <c r="D474" s="278"/>
      <c r="E474" s="278" t="s">
        <v>1860</v>
      </c>
      <c r="F474" s="278"/>
      <c r="G474" s="278" t="s">
        <v>15</v>
      </c>
      <c r="H474" s="328">
        <f t="shared" si="197"/>
        <v>6.5939999999999999E-2</v>
      </c>
      <c r="I474" s="280">
        <f t="shared" si="205"/>
        <v>5.3160828000000002</v>
      </c>
      <c r="J474" s="281">
        <f t="shared" si="206"/>
        <v>6.0288942000000008</v>
      </c>
      <c r="K474" s="282">
        <f>IF(Notes!$B$9="Domestic",I474, IF(Notes!$B$9="Commercial",J474))*$K$415</f>
        <v>6.0288942000000008</v>
      </c>
      <c r="L474" s="283">
        <f>(SUM(O474:Q474)+(K474+SUM(M474:Q474))*(INDEX($U$415:$AB$415,MATCH(Notes!$C$16,$U$3:$AB$3,0))-100%))*$L$415</f>
        <v>34.795596000000003</v>
      </c>
      <c r="M474" s="286"/>
      <c r="N474" s="286"/>
      <c r="O474" s="311">
        <f t="shared" si="200"/>
        <v>11.304</v>
      </c>
      <c r="P474" s="311">
        <f t="shared" si="200"/>
        <v>23.491596000000001</v>
      </c>
      <c r="Q474" s="285"/>
      <c r="R474" s="278"/>
      <c r="S474" s="278"/>
      <c r="T474" s="278"/>
    </row>
    <row r="475" spans="1:20" s="305" customFormat="1" hidden="1" outlineLevel="1" x14ac:dyDescent="0.25">
      <c r="A475" s="344">
        <v>5.181</v>
      </c>
      <c r="B475" s="279" t="str">
        <f t="shared" si="204"/>
        <v>30x22PL</v>
      </c>
      <c r="C475" s="278" t="s">
        <v>1531</v>
      </c>
      <c r="D475" s="278"/>
      <c r="E475" s="278" t="s">
        <v>1860</v>
      </c>
      <c r="F475" s="278"/>
      <c r="G475" s="278" t="s">
        <v>15</v>
      </c>
      <c r="H475" s="328">
        <f t="shared" si="197"/>
        <v>7.2534000000000001E-2</v>
      </c>
      <c r="I475" s="280">
        <f t="shared" si="205"/>
        <v>5.8476910800000006</v>
      </c>
      <c r="J475" s="281">
        <f t="shared" si="206"/>
        <v>6.6317836200000002</v>
      </c>
      <c r="K475" s="282">
        <f>IF(Notes!$B$9="Domestic",I475, IF(Notes!$B$9="Commercial",J475))*$K$415</f>
        <v>6.6317836200000002</v>
      </c>
      <c r="L475" s="283">
        <f>(SUM(O475:Q475)+(K475+SUM(M475:Q475))*(INDEX($U$415:$AB$415,MATCH(Notes!$C$16,$U$3:$AB$3,0))-100%))*$L$415</f>
        <v>38.275155600000005</v>
      </c>
      <c r="M475" s="286"/>
      <c r="N475" s="286"/>
      <c r="O475" s="311">
        <f t="shared" si="200"/>
        <v>12.4344</v>
      </c>
      <c r="P475" s="311">
        <f t="shared" si="200"/>
        <v>25.840755600000001</v>
      </c>
      <c r="Q475" s="285"/>
      <c r="R475" s="278"/>
      <c r="S475" s="278"/>
      <c r="T475" s="278"/>
    </row>
    <row r="476" spans="1:20" s="305" customFormat="1" hidden="1" outlineLevel="1" x14ac:dyDescent="0.25">
      <c r="A476" s="344">
        <v>5.8875000000000002</v>
      </c>
      <c r="B476" s="279" t="str">
        <f t="shared" si="204"/>
        <v>30x25PL</v>
      </c>
      <c r="C476" s="278" t="s">
        <v>1532</v>
      </c>
      <c r="D476" s="278"/>
      <c r="E476" s="278" t="s">
        <v>1860</v>
      </c>
      <c r="F476" s="278"/>
      <c r="G476" s="278" t="s">
        <v>15</v>
      </c>
      <c r="H476" s="328">
        <f t="shared" si="197"/>
        <v>8.2424999999999998E-2</v>
      </c>
      <c r="I476" s="280">
        <f t="shared" si="205"/>
        <v>6.6451035000000003</v>
      </c>
      <c r="J476" s="281">
        <f t="shared" si="206"/>
        <v>7.5361177500000007</v>
      </c>
      <c r="K476" s="282">
        <f>IF(Notes!$B$9="Domestic",I476, IF(Notes!$B$9="Commercial",J476))*$K$415</f>
        <v>7.5361177500000007</v>
      </c>
      <c r="L476" s="283">
        <f>(SUM(O476:Q476)+(K476+SUM(M476:Q476))*(INDEX($U$415:$AB$415,MATCH(Notes!$C$16,$U$3:$AB$3,0))-100%))*$L$415</f>
        <v>43.494495000000001</v>
      </c>
      <c r="M476" s="286"/>
      <c r="N476" s="286"/>
      <c r="O476" s="311">
        <f t="shared" si="200"/>
        <v>14.13</v>
      </c>
      <c r="P476" s="311">
        <f t="shared" si="200"/>
        <v>29.364495000000002</v>
      </c>
      <c r="Q476" s="285"/>
      <c r="R476" s="278"/>
      <c r="S476" s="278"/>
      <c r="T476" s="278"/>
    </row>
    <row r="477" spans="1:20" s="305" customFormat="1" hidden="1" outlineLevel="1" x14ac:dyDescent="0.25">
      <c r="A477" s="344">
        <v>6.5940000000000003</v>
      </c>
      <c r="B477" s="279" t="str">
        <f t="shared" si="204"/>
        <v>30x28PL</v>
      </c>
      <c r="C477" s="278" t="s">
        <v>1533</v>
      </c>
      <c r="D477" s="278"/>
      <c r="E477" s="278" t="s">
        <v>1860</v>
      </c>
      <c r="F477" s="278"/>
      <c r="G477" s="278" t="s">
        <v>15</v>
      </c>
      <c r="H477" s="328">
        <f t="shared" si="197"/>
        <v>9.2316000000000009E-2</v>
      </c>
      <c r="I477" s="280">
        <f t="shared" si="205"/>
        <v>7.4425159200000008</v>
      </c>
      <c r="J477" s="281">
        <f t="shared" si="206"/>
        <v>8.4404518800000012</v>
      </c>
      <c r="K477" s="282">
        <f>IF(Notes!$B$9="Domestic",I477, IF(Notes!$B$9="Commercial",J477))*$K$415</f>
        <v>8.4404518800000012</v>
      </c>
      <c r="L477" s="283">
        <f>(SUM(O477:Q477)+(K477+SUM(M477:Q477))*(INDEX($U$415:$AB$415,MATCH(Notes!$C$16,$U$3:$AB$3,0))-100%))*$L$415</f>
        <v>48.713834400000003</v>
      </c>
      <c r="M477" s="286"/>
      <c r="N477" s="286"/>
      <c r="O477" s="311">
        <f t="shared" si="200"/>
        <v>15.8256</v>
      </c>
      <c r="P477" s="311">
        <f t="shared" si="200"/>
        <v>32.888234400000002</v>
      </c>
      <c r="Q477" s="285"/>
      <c r="R477" s="278"/>
      <c r="S477" s="278"/>
      <c r="T477" s="278"/>
    </row>
    <row r="478" spans="1:20" s="305" customFormat="1" hidden="1" outlineLevel="1" x14ac:dyDescent="0.25">
      <c r="A478" s="344">
        <v>7.5359999999999996</v>
      </c>
      <c r="B478" s="279" t="str">
        <f t="shared" si="204"/>
        <v>30x32PL</v>
      </c>
      <c r="C478" s="278" t="s">
        <v>1534</v>
      </c>
      <c r="D478" s="278"/>
      <c r="E478" s="278" t="s">
        <v>1860</v>
      </c>
      <c r="F478" s="278"/>
      <c r="G478" s="278" t="s">
        <v>15</v>
      </c>
      <c r="H478" s="328">
        <f t="shared" si="197"/>
        <v>0.10550399999999999</v>
      </c>
      <c r="I478" s="280">
        <f t="shared" si="205"/>
        <v>8.5057324799999989</v>
      </c>
      <c r="J478" s="281">
        <f t="shared" si="206"/>
        <v>9.6462307200000001</v>
      </c>
      <c r="K478" s="282">
        <f>IF(Notes!$B$9="Domestic",I478, IF(Notes!$B$9="Commercial",J478))*$K$415</f>
        <v>9.6462307200000001</v>
      </c>
      <c r="L478" s="283">
        <f>(SUM(O478:Q478)+(K478+SUM(M478:Q478))*(INDEX($U$415:$AB$415,MATCH(Notes!$C$16,$U$3:$AB$3,0))-100%))*$L$415</f>
        <v>55.6729536</v>
      </c>
      <c r="M478" s="286"/>
      <c r="N478" s="286"/>
      <c r="O478" s="311">
        <f t="shared" si="200"/>
        <v>18.086399999999998</v>
      </c>
      <c r="P478" s="311">
        <f t="shared" si="200"/>
        <v>37.586553600000002</v>
      </c>
      <c r="Q478" s="285"/>
      <c r="R478" s="278"/>
      <c r="S478" s="278"/>
      <c r="T478" s="278"/>
    </row>
    <row r="479" spans="1:20" s="305" customFormat="1" hidden="1" outlineLevel="1" x14ac:dyDescent="0.25">
      <c r="A479" s="344">
        <v>8.4779999999999998</v>
      </c>
      <c r="B479" s="279" t="str">
        <f t="shared" si="204"/>
        <v>30x36PL</v>
      </c>
      <c r="C479" s="278" t="s">
        <v>1535</v>
      </c>
      <c r="D479" s="278"/>
      <c r="E479" s="278" t="s">
        <v>1860</v>
      </c>
      <c r="F479" s="278"/>
      <c r="G479" s="278" t="s">
        <v>15</v>
      </c>
      <c r="H479" s="328">
        <f t="shared" si="197"/>
        <v>0.11869199999999999</v>
      </c>
      <c r="I479" s="280">
        <f t="shared" si="205"/>
        <v>9.5689490399999997</v>
      </c>
      <c r="J479" s="281">
        <f t="shared" si="206"/>
        <v>10.852009560000001</v>
      </c>
      <c r="K479" s="282">
        <f>IF(Notes!$B$9="Domestic",I479, IF(Notes!$B$9="Commercial",J479))*$K$415</f>
        <v>10.852009560000001</v>
      </c>
      <c r="L479" s="283">
        <f>(SUM(O479:Q479)+(K479+SUM(M479:Q479))*(INDEX($U$415:$AB$415,MATCH(Notes!$C$16,$U$3:$AB$3,0))-100%))*$L$415</f>
        <v>62.632072800000003</v>
      </c>
      <c r="M479" s="286"/>
      <c r="N479" s="286"/>
      <c r="O479" s="311">
        <f t="shared" si="200"/>
        <v>20.347200000000001</v>
      </c>
      <c r="P479" s="311">
        <f t="shared" si="200"/>
        <v>42.284872800000002</v>
      </c>
      <c r="Q479" s="285"/>
      <c r="R479" s="278"/>
      <c r="S479" s="278"/>
      <c r="T479" s="278"/>
    </row>
    <row r="480" spans="1:20" s="305" customFormat="1" hidden="1" outlineLevel="1" x14ac:dyDescent="0.25">
      <c r="A480" s="344">
        <v>9.42</v>
      </c>
      <c r="B480" s="279" t="str">
        <f t="shared" si="204"/>
        <v>30x40PL</v>
      </c>
      <c r="C480" s="278" t="s">
        <v>1536</v>
      </c>
      <c r="D480" s="278"/>
      <c r="E480" s="278" t="s">
        <v>1860</v>
      </c>
      <c r="F480" s="278"/>
      <c r="G480" s="278" t="s">
        <v>15</v>
      </c>
      <c r="H480" s="328">
        <f t="shared" si="197"/>
        <v>0.13188</v>
      </c>
      <c r="I480" s="280">
        <f t="shared" si="205"/>
        <v>10.6321656</v>
      </c>
      <c r="J480" s="281">
        <f t="shared" si="206"/>
        <v>12.057788400000002</v>
      </c>
      <c r="K480" s="282">
        <f>IF(Notes!$B$9="Domestic",I480, IF(Notes!$B$9="Commercial",J480))*$K$415</f>
        <v>12.057788400000002</v>
      </c>
      <c r="L480" s="283">
        <f>(SUM(O480:Q480)+(K480+SUM(M480:Q480))*(INDEX($U$415:$AB$415,MATCH(Notes!$C$16,$U$3:$AB$3,0))-100%))*$L$415</f>
        <v>69.591192000000007</v>
      </c>
      <c r="M480" s="286"/>
      <c r="N480" s="286"/>
      <c r="O480" s="311">
        <f t="shared" si="200"/>
        <v>22.608000000000001</v>
      </c>
      <c r="P480" s="311">
        <f t="shared" si="200"/>
        <v>46.983192000000003</v>
      </c>
      <c r="Q480" s="285"/>
      <c r="R480" s="278"/>
      <c r="S480" s="278"/>
      <c r="T480" s="278"/>
    </row>
    <row r="481" spans="1:20" s="305" customFormat="1" hidden="1" outlineLevel="1" x14ac:dyDescent="0.25">
      <c r="A481" s="344">
        <v>10.5975</v>
      </c>
      <c r="B481" s="279" t="str">
        <f t="shared" si="204"/>
        <v>30x45PL</v>
      </c>
      <c r="C481" s="278" t="s">
        <v>1537</v>
      </c>
      <c r="D481" s="278"/>
      <c r="E481" s="278" t="s">
        <v>1860</v>
      </c>
      <c r="F481" s="278"/>
      <c r="G481" s="278" t="s">
        <v>15</v>
      </c>
      <c r="H481" s="328">
        <f t="shared" si="197"/>
        <v>0.148365</v>
      </c>
      <c r="I481" s="280">
        <f t="shared" si="205"/>
        <v>11.9611863</v>
      </c>
      <c r="J481" s="281">
        <f t="shared" si="206"/>
        <v>13.565011950000001</v>
      </c>
      <c r="K481" s="282">
        <f>IF(Notes!$B$9="Domestic",I481, IF(Notes!$B$9="Commercial",J481))*$K$415</f>
        <v>13.565011950000001</v>
      </c>
      <c r="L481" s="283">
        <f>(SUM(O481:Q481)+(K481+SUM(M481:Q481))*(INDEX($U$415:$AB$415,MATCH(Notes!$C$16,$U$3:$AB$3,0))-100%))*$L$415</f>
        <v>78.290091000000004</v>
      </c>
      <c r="M481" s="286"/>
      <c r="N481" s="286"/>
      <c r="O481" s="311">
        <f t="shared" si="200"/>
        <v>25.434000000000001</v>
      </c>
      <c r="P481" s="311">
        <f t="shared" si="200"/>
        <v>52.856091000000006</v>
      </c>
      <c r="Q481" s="285"/>
      <c r="R481" s="278"/>
      <c r="S481" s="278"/>
      <c r="T481" s="278"/>
    </row>
    <row r="482" spans="1:20" s="305" customFormat="1" hidden="1" outlineLevel="1" x14ac:dyDescent="0.25">
      <c r="A482" s="344">
        <v>11.775</v>
      </c>
      <c r="B482" s="279" t="str">
        <f t="shared" si="204"/>
        <v>30x50PL</v>
      </c>
      <c r="C482" s="278" t="s">
        <v>1538</v>
      </c>
      <c r="D482" s="278"/>
      <c r="E482" s="278" t="s">
        <v>1860</v>
      </c>
      <c r="F482" s="278"/>
      <c r="G482" s="278" t="s">
        <v>15</v>
      </c>
      <c r="H482" s="328">
        <f t="shared" si="197"/>
        <v>0.16485</v>
      </c>
      <c r="I482" s="280">
        <f t="shared" si="205"/>
        <v>13.290207000000001</v>
      </c>
      <c r="J482" s="281">
        <f t="shared" si="206"/>
        <v>15.072235500000001</v>
      </c>
      <c r="K482" s="282">
        <f>IF(Notes!$B$9="Domestic",I482, IF(Notes!$B$9="Commercial",J482))*$K$415</f>
        <v>15.072235500000001</v>
      </c>
      <c r="L482" s="283">
        <f>(SUM(O482:Q482)+(K482+SUM(M482:Q482))*(INDEX($U$415:$AB$415,MATCH(Notes!$C$16,$U$3:$AB$3,0))-100%))*$L$415</f>
        <v>86.988990000000001</v>
      </c>
      <c r="M482" s="286"/>
      <c r="N482" s="286"/>
      <c r="O482" s="311">
        <f t="shared" si="200"/>
        <v>28.26</v>
      </c>
      <c r="P482" s="311">
        <f t="shared" si="200"/>
        <v>58.728990000000003</v>
      </c>
      <c r="Q482" s="285"/>
      <c r="R482" s="278"/>
      <c r="S482" s="278"/>
      <c r="T482" s="278"/>
    </row>
    <row r="483" spans="1:20" s="305" customFormat="1" hidden="1" outlineLevel="1" x14ac:dyDescent="0.25">
      <c r="A483" s="344">
        <v>12.952500000000001</v>
      </c>
      <c r="B483" s="279" t="str">
        <f t="shared" si="204"/>
        <v>30x55PL</v>
      </c>
      <c r="C483" s="278" t="s">
        <v>1539</v>
      </c>
      <c r="D483" s="278"/>
      <c r="E483" s="278" t="s">
        <v>1860</v>
      </c>
      <c r="F483" s="278"/>
      <c r="G483" s="278" t="s">
        <v>15</v>
      </c>
      <c r="H483" s="328">
        <f t="shared" si="197"/>
        <v>0.181335</v>
      </c>
      <c r="I483" s="280">
        <f t="shared" si="205"/>
        <v>14.6192277</v>
      </c>
      <c r="J483" s="281">
        <f t="shared" si="206"/>
        <v>16.579459050000001</v>
      </c>
      <c r="K483" s="282">
        <f>IF(Notes!$B$9="Domestic",I483, IF(Notes!$B$9="Commercial",J483))*$K$415</f>
        <v>16.579459050000001</v>
      </c>
      <c r="L483" s="283">
        <f>(SUM(O483:Q483)+(K483+SUM(M483:Q483))*(INDEX($U$415:$AB$415,MATCH(Notes!$C$16,$U$3:$AB$3,0))-100%))*$L$415</f>
        <v>95.687889000000013</v>
      </c>
      <c r="M483" s="286"/>
      <c r="N483" s="286"/>
      <c r="O483" s="311">
        <f t="shared" si="200"/>
        <v>31.085999999999999</v>
      </c>
      <c r="P483" s="311">
        <f t="shared" si="200"/>
        <v>64.601889000000014</v>
      </c>
      <c r="Q483" s="285"/>
      <c r="R483" s="278"/>
      <c r="S483" s="278"/>
      <c r="T483" s="278"/>
    </row>
    <row r="484" spans="1:20" s="305" customFormat="1" hidden="1" outlineLevel="1" x14ac:dyDescent="0.25">
      <c r="A484" s="344">
        <v>14.13</v>
      </c>
      <c r="B484" s="279" t="str">
        <f t="shared" si="204"/>
        <v>30x60PL</v>
      </c>
      <c r="C484" s="278" t="s">
        <v>1540</v>
      </c>
      <c r="D484" s="278"/>
      <c r="E484" s="278" t="s">
        <v>1860</v>
      </c>
      <c r="F484" s="278"/>
      <c r="G484" s="278" t="s">
        <v>15</v>
      </c>
      <c r="H484" s="328">
        <f t="shared" si="197"/>
        <v>0.19782000000000002</v>
      </c>
      <c r="I484" s="280">
        <f t="shared" si="205"/>
        <v>15.948248400000002</v>
      </c>
      <c r="J484" s="281">
        <f t="shared" si="206"/>
        <v>18.086682600000003</v>
      </c>
      <c r="K484" s="282">
        <f>IF(Notes!$B$9="Domestic",I484, IF(Notes!$B$9="Commercial",J484))*$K$415</f>
        <v>18.086682600000003</v>
      </c>
      <c r="L484" s="283">
        <f>(SUM(O484:Q484)+(K484+SUM(M484:Q484))*(INDEX($U$415:$AB$415,MATCH(Notes!$C$16,$U$3:$AB$3,0))-100%))*$L$415</f>
        <v>104.38678800000002</v>
      </c>
      <c r="M484" s="286"/>
      <c r="N484" s="286"/>
      <c r="O484" s="311">
        <f t="shared" si="200"/>
        <v>33.911999999999999</v>
      </c>
      <c r="P484" s="311">
        <f t="shared" si="200"/>
        <v>70.474788000000018</v>
      </c>
      <c r="Q484" s="285"/>
      <c r="R484" s="278"/>
      <c r="S484" s="278"/>
      <c r="T484" s="278"/>
    </row>
    <row r="485" spans="1:20" s="305" customFormat="1" hidden="1" outlineLevel="1" x14ac:dyDescent="0.25">
      <c r="A485" s="344">
        <v>15.3</v>
      </c>
      <c r="B485" s="279" t="str">
        <f t="shared" si="204"/>
        <v>30x65PL</v>
      </c>
      <c r="C485" s="278" t="s">
        <v>1541</v>
      </c>
      <c r="D485" s="278"/>
      <c r="E485" s="278" t="s">
        <v>1860</v>
      </c>
      <c r="F485" s="278"/>
      <c r="G485" s="278" t="s">
        <v>15</v>
      </c>
      <c r="H485" s="328">
        <f t="shared" si="197"/>
        <v>0.21420000000000003</v>
      </c>
      <c r="I485" s="280">
        <f t="shared" si="205"/>
        <v>17.268804000000003</v>
      </c>
      <c r="J485" s="281">
        <f t="shared" si="206"/>
        <v>19.584306000000005</v>
      </c>
      <c r="K485" s="282">
        <f>IF(Notes!$B$9="Domestic",I485, IF(Notes!$B$9="Commercial",J485))*$K$415</f>
        <v>19.584306000000005</v>
      </c>
      <c r="L485" s="283">
        <f>(SUM(O485:Q485)+(K485+SUM(M485:Q485))*(INDEX($U$415:$AB$415,MATCH(Notes!$C$16,$U$3:$AB$3,0))-100%))*$L$415</f>
        <v>113.03028000000002</v>
      </c>
      <c r="M485" s="286"/>
      <c r="N485" s="286"/>
      <c r="O485" s="311">
        <f t="shared" si="200"/>
        <v>36.72</v>
      </c>
      <c r="P485" s="311">
        <f t="shared" si="200"/>
        <v>76.31028000000002</v>
      </c>
      <c r="Q485" s="285"/>
      <c r="R485" s="278"/>
      <c r="S485" s="278"/>
      <c r="T485" s="278"/>
    </row>
    <row r="486" spans="1:20" s="305" customFormat="1" hidden="1" outlineLevel="1" x14ac:dyDescent="0.25">
      <c r="A486" s="344">
        <v>16.484999999999999</v>
      </c>
      <c r="B486" s="279" t="str">
        <f t="shared" si="204"/>
        <v>30x70PL</v>
      </c>
      <c r="C486" s="278" t="s">
        <v>1542</v>
      </c>
      <c r="D486" s="278"/>
      <c r="E486" s="278" t="s">
        <v>1860</v>
      </c>
      <c r="F486" s="278"/>
      <c r="G486" s="278" t="s">
        <v>15</v>
      </c>
      <c r="H486" s="328">
        <f t="shared" si="197"/>
        <v>0.23079</v>
      </c>
      <c r="I486" s="280">
        <f t="shared" si="205"/>
        <v>18.606289799999999</v>
      </c>
      <c r="J486" s="281">
        <f t="shared" si="206"/>
        <v>21.101129700000001</v>
      </c>
      <c r="K486" s="282">
        <f>IF(Notes!$B$9="Domestic",I486, IF(Notes!$B$9="Commercial",J486))*$K$415</f>
        <v>21.101129700000001</v>
      </c>
      <c r="L486" s="283">
        <f>(SUM(O486:Q486)+(K486+SUM(M486:Q486))*(INDEX($U$415:$AB$415,MATCH(Notes!$C$16,$U$3:$AB$3,0))-100%))*$L$415</f>
        <v>121.78458600000002</v>
      </c>
      <c r="M486" s="286"/>
      <c r="N486" s="286"/>
      <c r="O486" s="311">
        <f t="shared" si="200"/>
        <v>39.564</v>
      </c>
      <c r="P486" s="311">
        <f t="shared" si="200"/>
        <v>82.220586000000011</v>
      </c>
      <c r="Q486" s="285"/>
      <c r="R486" s="278"/>
      <c r="S486" s="278"/>
      <c r="T486" s="278"/>
    </row>
    <row r="487" spans="1:20" s="305" customFormat="1" hidden="1" outlineLevel="1" x14ac:dyDescent="0.25">
      <c r="A487" s="344">
        <v>17.662500000000001</v>
      </c>
      <c r="B487" s="279" t="str">
        <f t="shared" si="204"/>
        <v>30x75PL</v>
      </c>
      <c r="C487" s="278" t="s">
        <v>1543</v>
      </c>
      <c r="D487" s="278"/>
      <c r="E487" s="278" t="s">
        <v>1860</v>
      </c>
      <c r="F487" s="278"/>
      <c r="G487" s="278" t="s">
        <v>15</v>
      </c>
      <c r="H487" s="328">
        <f t="shared" si="197"/>
        <v>0.24727500000000002</v>
      </c>
      <c r="I487" s="280">
        <f t="shared" si="205"/>
        <v>19.935310500000003</v>
      </c>
      <c r="J487" s="281">
        <f t="shared" si="206"/>
        <v>22.608353250000004</v>
      </c>
      <c r="K487" s="282">
        <f>IF(Notes!$B$9="Domestic",I487, IF(Notes!$B$9="Commercial",J487))*$K$415</f>
        <v>22.608353250000004</v>
      </c>
      <c r="L487" s="283">
        <f>(SUM(O487:Q487)+(K487+SUM(M487:Q487))*(INDEX($U$415:$AB$415,MATCH(Notes!$C$16,$U$3:$AB$3,0))-100%))*$L$415</f>
        <v>130.48348500000003</v>
      </c>
      <c r="M487" s="286"/>
      <c r="N487" s="286"/>
      <c r="O487" s="311">
        <f t="shared" si="200"/>
        <v>42.39</v>
      </c>
      <c r="P487" s="311">
        <f t="shared" si="200"/>
        <v>88.093485000000015</v>
      </c>
      <c r="Q487" s="285"/>
      <c r="R487" s="278"/>
      <c r="S487" s="278"/>
      <c r="T487" s="278"/>
    </row>
    <row r="488" spans="1:20" s="305" customFormat="1" hidden="1" outlineLevel="1" x14ac:dyDescent="0.25">
      <c r="A488" s="344">
        <v>18.84</v>
      </c>
      <c r="B488" s="279" t="str">
        <f t="shared" si="204"/>
        <v>30x80PL</v>
      </c>
      <c r="C488" s="278" t="s">
        <v>1544</v>
      </c>
      <c r="D488" s="278"/>
      <c r="E488" s="278" t="s">
        <v>1860</v>
      </c>
      <c r="F488" s="278"/>
      <c r="G488" s="278" t="s">
        <v>15</v>
      </c>
      <c r="H488" s="328">
        <f t="shared" si="197"/>
        <v>0.26375999999999999</v>
      </c>
      <c r="I488" s="280">
        <f t="shared" si="205"/>
        <v>21.264331200000001</v>
      </c>
      <c r="J488" s="281">
        <f t="shared" si="206"/>
        <v>24.115576800000003</v>
      </c>
      <c r="K488" s="282">
        <f>IF(Notes!$B$9="Domestic",I488, IF(Notes!$B$9="Commercial",J488))*$K$415</f>
        <v>24.115576800000003</v>
      </c>
      <c r="L488" s="283">
        <f>(SUM(O488:Q488)+(K488+SUM(M488:Q488))*(INDEX($U$415:$AB$415,MATCH(Notes!$C$16,$U$3:$AB$3,0))-100%))*$L$415</f>
        <v>139.18238400000001</v>
      </c>
      <c r="M488" s="286"/>
      <c r="N488" s="286"/>
      <c r="O488" s="311">
        <f t="shared" si="200"/>
        <v>45.216000000000001</v>
      </c>
      <c r="P488" s="311">
        <f t="shared" si="200"/>
        <v>93.966384000000005</v>
      </c>
      <c r="Q488" s="285"/>
      <c r="R488" s="278"/>
      <c r="S488" s="278"/>
      <c r="T488" s="278"/>
    </row>
    <row r="489" spans="1:20" s="305" customFormat="1" hidden="1" outlineLevel="1" x14ac:dyDescent="0.25">
      <c r="A489" s="344">
        <v>21.195</v>
      </c>
      <c r="B489" s="279" t="str">
        <f t="shared" si="204"/>
        <v>30x90PL</v>
      </c>
      <c r="C489" s="278" t="s">
        <v>1545</v>
      </c>
      <c r="D489" s="278"/>
      <c r="E489" s="278" t="s">
        <v>1860</v>
      </c>
      <c r="F489" s="278"/>
      <c r="G489" s="278" t="s">
        <v>15</v>
      </c>
      <c r="H489" s="328">
        <f t="shared" si="197"/>
        <v>0.29672999999999999</v>
      </c>
      <c r="I489" s="280">
        <f t="shared" si="205"/>
        <v>23.922372599999999</v>
      </c>
      <c r="J489" s="281">
        <f t="shared" si="206"/>
        <v>27.130023900000001</v>
      </c>
      <c r="K489" s="282">
        <f>IF(Notes!$B$9="Domestic",I489, IF(Notes!$B$9="Commercial",J489))*$K$415</f>
        <v>27.130023900000001</v>
      </c>
      <c r="L489" s="283">
        <f>(SUM(O489:Q489)+(K489+SUM(M489:Q489))*(INDEX($U$415:$AB$415,MATCH(Notes!$C$16,$U$3:$AB$3,0))-100%))*$L$415</f>
        <v>156.58018200000001</v>
      </c>
      <c r="M489" s="286"/>
      <c r="N489" s="286"/>
      <c r="O489" s="311">
        <f t="shared" si="200"/>
        <v>50.868000000000002</v>
      </c>
      <c r="P489" s="311">
        <f t="shared" si="200"/>
        <v>105.71218200000001</v>
      </c>
      <c r="Q489" s="285"/>
      <c r="R489" s="278"/>
      <c r="S489" s="278"/>
      <c r="T489" s="278"/>
    </row>
    <row r="490" spans="1:20" s="305" customFormat="1" hidden="1" outlineLevel="1" x14ac:dyDescent="0.25">
      <c r="A490" s="344">
        <v>23.55</v>
      </c>
      <c r="B490" s="279" t="str">
        <f t="shared" si="204"/>
        <v>30x100PL</v>
      </c>
      <c r="C490" s="278" t="s">
        <v>1546</v>
      </c>
      <c r="D490" s="278"/>
      <c r="E490" s="278" t="s">
        <v>1860</v>
      </c>
      <c r="F490" s="278"/>
      <c r="G490" s="278" t="s">
        <v>15</v>
      </c>
      <c r="H490" s="328">
        <f t="shared" si="197"/>
        <v>0.32969999999999999</v>
      </c>
      <c r="I490" s="280">
        <f t="shared" si="205"/>
        <v>26.580414000000001</v>
      </c>
      <c r="J490" s="281">
        <f t="shared" si="206"/>
        <v>30.144471000000003</v>
      </c>
      <c r="K490" s="282">
        <f>IF(Notes!$B$9="Domestic",I490, IF(Notes!$B$9="Commercial",J490))*$K$415</f>
        <v>30.144471000000003</v>
      </c>
      <c r="L490" s="283">
        <f>(SUM(O490:Q490)+(K490+SUM(M490:Q490))*(INDEX($U$415:$AB$415,MATCH(Notes!$C$16,$U$3:$AB$3,0))-100%))*$L$415</f>
        <v>173.97798</v>
      </c>
      <c r="M490" s="286"/>
      <c r="N490" s="286"/>
      <c r="O490" s="311">
        <f t="shared" si="200"/>
        <v>56.52</v>
      </c>
      <c r="P490" s="311">
        <f t="shared" si="200"/>
        <v>117.45798000000001</v>
      </c>
      <c r="Q490" s="285"/>
      <c r="R490" s="278"/>
      <c r="S490" s="278"/>
      <c r="T490" s="278"/>
    </row>
    <row r="491" spans="1:20" s="305" customFormat="1" hidden="1" outlineLevel="1" x14ac:dyDescent="0.25">
      <c r="A491" s="344">
        <v>0.94199999999999995</v>
      </c>
      <c r="B491" s="279" t="str">
        <f t="shared" si="204"/>
        <v>40x3PL</v>
      </c>
      <c r="C491" s="278" t="s">
        <v>1547</v>
      </c>
      <c r="D491" s="278"/>
      <c r="E491" s="278" t="s">
        <v>1860</v>
      </c>
      <c r="F491" s="278"/>
      <c r="G491" s="278" t="s">
        <v>15</v>
      </c>
      <c r="H491" s="328">
        <f t="shared" si="197"/>
        <v>1.3187999999999998E-2</v>
      </c>
      <c r="I491" s="280">
        <f t="shared" si="205"/>
        <v>1.0632165599999999</v>
      </c>
      <c r="J491" s="281">
        <f t="shared" si="206"/>
        <v>1.20577884</v>
      </c>
      <c r="K491" s="282">
        <f>IF(Notes!$B$9="Domestic",I491, IF(Notes!$B$9="Commercial",J491))*$K$415</f>
        <v>1.20577884</v>
      </c>
      <c r="L491" s="283">
        <f>(SUM(O491:Q491)+(K491+SUM(M491:Q491))*(INDEX($U$415:$AB$415,MATCH(Notes!$C$16,$U$3:$AB$3,0))-100%))*$L$415</f>
        <v>6.9591191999999999</v>
      </c>
      <c r="M491" s="286"/>
      <c r="N491" s="286"/>
      <c r="O491" s="311">
        <f t="shared" si="200"/>
        <v>2.2607999999999997</v>
      </c>
      <c r="P491" s="311">
        <f t="shared" si="200"/>
        <v>4.6983192000000003</v>
      </c>
      <c r="Q491" s="285"/>
      <c r="R491" s="278"/>
      <c r="S491" s="278"/>
      <c r="T491" s="278"/>
    </row>
    <row r="492" spans="1:20" s="305" customFormat="1" hidden="1" outlineLevel="1" x14ac:dyDescent="0.25">
      <c r="A492" s="344">
        <v>1.256</v>
      </c>
      <c r="B492" s="279" t="str">
        <f t="shared" si="204"/>
        <v>40x4PL</v>
      </c>
      <c r="C492" s="278" t="s">
        <v>1548</v>
      </c>
      <c r="D492" s="278"/>
      <c r="E492" s="278" t="s">
        <v>1860</v>
      </c>
      <c r="F492" s="278"/>
      <c r="G492" s="278" t="s">
        <v>15</v>
      </c>
      <c r="H492" s="328">
        <f t="shared" si="197"/>
        <v>1.7583999999999999E-2</v>
      </c>
      <c r="I492" s="280">
        <f t="shared" si="205"/>
        <v>1.4176220799999999</v>
      </c>
      <c r="J492" s="281">
        <f t="shared" si="206"/>
        <v>1.6077051200000001</v>
      </c>
      <c r="K492" s="282">
        <f>IF(Notes!$B$9="Domestic",I492, IF(Notes!$B$9="Commercial",J492))*$K$415</f>
        <v>1.6077051200000001</v>
      </c>
      <c r="L492" s="283">
        <f>(SUM(O492:Q492)+(K492+SUM(M492:Q492))*(INDEX($U$415:$AB$415,MATCH(Notes!$C$16,$U$3:$AB$3,0))-100%))*$L$415</f>
        <v>9.2788256000000011</v>
      </c>
      <c r="M492" s="286"/>
      <c r="N492" s="286"/>
      <c r="O492" s="311">
        <f t="shared" si="200"/>
        <v>3.0144000000000002</v>
      </c>
      <c r="P492" s="311">
        <f t="shared" si="200"/>
        <v>6.2644256000000009</v>
      </c>
      <c r="Q492" s="285"/>
      <c r="R492" s="278"/>
      <c r="S492" s="278"/>
      <c r="T492" s="278"/>
    </row>
    <row r="493" spans="1:20" s="305" customFormat="1" hidden="1" outlineLevel="1" x14ac:dyDescent="0.25">
      <c r="A493" s="344">
        <v>1.57</v>
      </c>
      <c r="B493" s="279" t="str">
        <f t="shared" si="204"/>
        <v>40x5PL</v>
      </c>
      <c r="C493" s="278" t="s">
        <v>1549</v>
      </c>
      <c r="D493" s="278"/>
      <c r="E493" s="278" t="s">
        <v>1860</v>
      </c>
      <c r="F493" s="278"/>
      <c r="G493" s="278" t="s">
        <v>15</v>
      </c>
      <c r="H493" s="328">
        <f t="shared" si="197"/>
        <v>2.198E-2</v>
      </c>
      <c r="I493" s="280">
        <f t="shared" si="205"/>
        <v>1.7720276000000001</v>
      </c>
      <c r="J493" s="281">
        <f t="shared" si="206"/>
        <v>2.0096314</v>
      </c>
      <c r="K493" s="282">
        <f>IF(Notes!$B$9="Domestic",I493, IF(Notes!$B$9="Commercial",J493))*$K$415</f>
        <v>2.0096314</v>
      </c>
      <c r="L493" s="283">
        <f>(SUM(O493:Q493)+(K493+SUM(M493:Q493))*(INDEX($U$415:$AB$415,MATCH(Notes!$C$16,$U$3:$AB$3,0))-100%))*$L$415</f>
        <v>11.598532000000001</v>
      </c>
      <c r="M493" s="286"/>
      <c r="N493" s="286"/>
      <c r="O493" s="311">
        <f t="shared" si="200"/>
        <v>3.7679999999999998</v>
      </c>
      <c r="P493" s="311">
        <f t="shared" si="200"/>
        <v>7.8305320000000007</v>
      </c>
      <c r="Q493" s="285"/>
      <c r="R493" s="278"/>
      <c r="S493" s="278"/>
      <c r="T493" s="278"/>
    </row>
    <row r="494" spans="1:20" s="305" customFormat="1" hidden="1" outlineLevel="1" x14ac:dyDescent="0.25">
      <c r="A494" s="344">
        <v>1.8839999999999999</v>
      </c>
      <c r="B494" s="279" t="str">
        <f t="shared" si="204"/>
        <v>40x6PL</v>
      </c>
      <c r="C494" s="278" t="s">
        <v>1550</v>
      </c>
      <c r="D494" s="278"/>
      <c r="E494" s="278" t="s">
        <v>1860</v>
      </c>
      <c r="F494" s="278"/>
      <c r="G494" s="278" t="s">
        <v>15</v>
      </c>
      <c r="H494" s="328">
        <f t="shared" si="197"/>
        <v>2.6375999999999997E-2</v>
      </c>
      <c r="I494" s="280">
        <f t="shared" si="205"/>
        <v>2.1264331199999997</v>
      </c>
      <c r="J494" s="281">
        <f t="shared" si="206"/>
        <v>2.41155768</v>
      </c>
      <c r="K494" s="282">
        <f>IF(Notes!$B$9="Domestic",I494, IF(Notes!$B$9="Commercial",J494))*$K$415</f>
        <v>2.41155768</v>
      </c>
      <c r="L494" s="283">
        <f>(SUM(O494:Q494)+(K494+SUM(M494:Q494))*(INDEX($U$415:$AB$415,MATCH(Notes!$C$16,$U$3:$AB$3,0))-100%))*$L$415</f>
        <v>13.9182384</v>
      </c>
      <c r="M494" s="286"/>
      <c r="N494" s="286"/>
      <c r="O494" s="311">
        <f t="shared" si="200"/>
        <v>4.5215999999999994</v>
      </c>
      <c r="P494" s="311">
        <f t="shared" si="200"/>
        <v>9.3966384000000005</v>
      </c>
      <c r="Q494" s="285"/>
      <c r="R494" s="278"/>
      <c r="S494" s="278"/>
      <c r="T494" s="278"/>
    </row>
    <row r="495" spans="1:20" s="305" customFormat="1" hidden="1" outlineLevel="1" x14ac:dyDescent="0.25">
      <c r="A495" s="344">
        <v>2.512</v>
      </c>
      <c r="B495" s="279" t="str">
        <f t="shared" si="204"/>
        <v>40x8PL</v>
      </c>
      <c r="C495" s="278" t="s">
        <v>1551</v>
      </c>
      <c r="D495" s="278"/>
      <c r="E495" s="278" t="s">
        <v>1860</v>
      </c>
      <c r="F495" s="278"/>
      <c r="G495" s="278" t="s">
        <v>15</v>
      </c>
      <c r="H495" s="328">
        <f t="shared" si="197"/>
        <v>3.5167999999999998E-2</v>
      </c>
      <c r="I495" s="280">
        <f t="shared" si="205"/>
        <v>2.8352441599999998</v>
      </c>
      <c r="J495" s="281">
        <f t="shared" si="206"/>
        <v>3.2154102400000002</v>
      </c>
      <c r="K495" s="282">
        <f>IF(Notes!$B$9="Domestic",I495, IF(Notes!$B$9="Commercial",J495))*$K$415</f>
        <v>3.2154102400000002</v>
      </c>
      <c r="L495" s="283">
        <f>(SUM(O495:Q495)+(K495+SUM(M495:Q495))*(INDEX($U$415:$AB$415,MATCH(Notes!$C$16,$U$3:$AB$3,0))-100%))*$L$415</f>
        <v>18.557651200000002</v>
      </c>
      <c r="M495" s="286"/>
      <c r="N495" s="286"/>
      <c r="O495" s="311">
        <f t="shared" si="200"/>
        <v>6.0288000000000004</v>
      </c>
      <c r="P495" s="311">
        <f t="shared" si="200"/>
        <v>12.528851200000002</v>
      </c>
      <c r="Q495" s="285"/>
      <c r="R495" s="278"/>
      <c r="S495" s="278"/>
      <c r="T495" s="278"/>
    </row>
    <row r="496" spans="1:20" s="305" customFormat="1" hidden="1" outlineLevel="1" x14ac:dyDescent="0.25">
      <c r="A496" s="344">
        <v>3.14</v>
      </c>
      <c r="B496" s="279" t="str">
        <f t="shared" si="204"/>
        <v>40x10PL</v>
      </c>
      <c r="C496" s="278" t="s">
        <v>1552</v>
      </c>
      <c r="D496" s="278"/>
      <c r="E496" s="278" t="s">
        <v>1860</v>
      </c>
      <c r="F496" s="278"/>
      <c r="G496" s="278" t="s">
        <v>15</v>
      </c>
      <c r="H496" s="328">
        <f t="shared" si="197"/>
        <v>4.3959999999999999E-2</v>
      </c>
      <c r="I496" s="280">
        <f t="shared" si="205"/>
        <v>3.5440552000000003</v>
      </c>
      <c r="J496" s="281">
        <f t="shared" si="206"/>
        <v>4.0192627999999999</v>
      </c>
      <c r="K496" s="282">
        <f>IF(Notes!$B$9="Domestic",I496, IF(Notes!$B$9="Commercial",J496))*$K$415</f>
        <v>4.0192627999999999</v>
      </c>
      <c r="L496" s="283">
        <f>(SUM(O496:Q496)+(K496+SUM(M496:Q496))*(INDEX($U$415:$AB$415,MATCH(Notes!$C$16,$U$3:$AB$3,0))-100%))*$L$415</f>
        <v>23.197064000000001</v>
      </c>
      <c r="M496" s="286"/>
      <c r="N496" s="286"/>
      <c r="O496" s="311">
        <f t="shared" si="200"/>
        <v>7.5359999999999996</v>
      </c>
      <c r="P496" s="311">
        <f t="shared" si="200"/>
        <v>15.661064000000001</v>
      </c>
      <c r="Q496" s="285"/>
      <c r="R496" s="278"/>
      <c r="S496" s="278"/>
      <c r="T496" s="278"/>
    </row>
    <row r="497" spans="1:20" s="305" customFormat="1" hidden="1" outlineLevel="1" x14ac:dyDescent="0.25">
      <c r="A497" s="344">
        <v>3.7679999999999998</v>
      </c>
      <c r="B497" s="279" t="str">
        <f t="shared" si="204"/>
        <v>40x12PL</v>
      </c>
      <c r="C497" s="278" t="s">
        <v>1553</v>
      </c>
      <c r="D497" s="278"/>
      <c r="E497" s="278" t="s">
        <v>1860</v>
      </c>
      <c r="F497" s="278"/>
      <c r="G497" s="278" t="s">
        <v>15</v>
      </c>
      <c r="H497" s="328">
        <f t="shared" si="197"/>
        <v>5.2751999999999993E-2</v>
      </c>
      <c r="I497" s="280">
        <f t="shared" si="205"/>
        <v>4.2528662399999995</v>
      </c>
      <c r="J497" s="281">
        <f t="shared" si="206"/>
        <v>4.8231153600000001</v>
      </c>
      <c r="K497" s="282">
        <f>IF(Notes!$B$9="Domestic",I497, IF(Notes!$B$9="Commercial",J497))*$K$415</f>
        <v>4.8231153600000001</v>
      </c>
      <c r="L497" s="283">
        <f>(SUM(O497:Q497)+(K497+SUM(M497:Q497))*(INDEX($U$415:$AB$415,MATCH(Notes!$C$16,$U$3:$AB$3,0))-100%))*$L$415</f>
        <v>27.8364768</v>
      </c>
      <c r="M497" s="286"/>
      <c r="N497" s="286"/>
      <c r="O497" s="311">
        <f t="shared" si="200"/>
        <v>9.0431999999999988</v>
      </c>
      <c r="P497" s="311">
        <f t="shared" si="200"/>
        <v>18.793276800000001</v>
      </c>
      <c r="Q497" s="285"/>
      <c r="R497" s="278"/>
      <c r="S497" s="278"/>
      <c r="T497" s="278"/>
    </row>
    <row r="498" spans="1:20" s="305" customFormat="1" hidden="1" outlineLevel="1" x14ac:dyDescent="0.25">
      <c r="A498" s="344">
        <v>5.024</v>
      </c>
      <c r="B498" s="279" t="str">
        <f t="shared" si="204"/>
        <v>40x16PL</v>
      </c>
      <c r="C498" s="278" t="s">
        <v>1554</v>
      </c>
      <c r="D498" s="278"/>
      <c r="E498" s="278" t="s">
        <v>1860</v>
      </c>
      <c r="F498" s="278"/>
      <c r="G498" s="278" t="s">
        <v>15</v>
      </c>
      <c r="H498" s="328">
        <f t="shared" si="197"/>
        <v>7.0335999999999996E-2</v>
      </c>
      <c r="I498" s="280">
        <f t="shared" si="205"/>
        <v>5.6704883199999996</v>
      </c>
      <c r="J498" s="281">
        <f t="shared" si="206"/>
        <v>6.4308204800000004</v>
      </c>
      <c r="K498" s="282">
        <f>IF(Notes!$B$9="Domestic",I498, IF(Notes!$B$9="Commercial",J498))*$K$415</f>
        <v>6.4308204800000004</v>
      </c>
      <c r="L498" s="283">
        <f>(SUM(O498:Q498)+(K498+SUM(M498:Q498))*(INDEX($U$415:$AB$415,MATCH(Notes!$C$16,$U$3:$AB$3,0))-100%))*$L$415</f>
        <v>37.115302400000004</v>
      </c>
      <c r="M498" s="286"/>
      <c r="N498" s="286"/>
      <c r="O498" s="311">
        <f t="shared" si="200"/>
        <v>12.057600000000001</v>
      </c>
      <c r="P498" s="311">
        <f t="shared" si="200"/>
        <v>25.057702400000004</v>
      </c>
      <c r="Q498" s="285"/>
      <c r="R498" s="278"/>
      <c r="S498" s="278"/>
      <c r="T498" s="278"/>
    </row>
    <row r="499" spans="1:20" s="305" customFormat="1" hidden="1" outlineLevel="1" x14ac:dyDescent="0.25">
      <c r="A499" s="344">
        <v>6.28</v>
      </c>
      <c r="B499" s="279" t="str">
        <f t="shared" si="204"/>
        <v>40x20PL</v>
      </c>
      <c r="C499" s="278" t="s">
        <v>1555</v>
      </c>
      <c r="D499" s="278"/>
      <c r="E499" s="278" t="s">
        <v>1860</v>
      </c>
      <c r="F499" s="278"/>
      <c r="G499" s="278" t="s">
        <v>15</v>
      </c>
      <c r="H499" s="328">
        <f t="shared" si="197"/>
        <v>8.7919999999999998E-2</v>
      </c>
      <c r="I499" s="280">
        <f t="shared" si="205"/>
        <v>7.0881104000000006</v>
      </c>
      <c r="J499" s="281">
        <f t="shared" si="206"/>
        <v>8.0385255999999998</v>
      </c>
      <c r="K499" s="282">
        <f>IF(Notes!$B$9="Domestic",I499, IF(Notes!$B$9="Commercial",J499))*$K$415</f>
        <v>8.0385255999999998</v>
      </c>
      <c r="L499" s="283">
        <f>(SUM(O499:Q499)+(K499+SUM(M499:Q499))*(INDEX($U$415:$AB$415,MATCH(Notes!$C$16,$U$3:$AB$3,0))-100%))*$L$415</f>
        <v>46.394128000000002</v>
      </c>
      <c r="M499" s="286"/>
      <c r="N499" s="286"/>
      <c r="O499" s="311">
        <f t="shared" si="200"/>
        <v>15.071999999999999</v>
      </c>
      <c r="P499" s="311">
        <f t="shared" si="200"/>
        <v>31.322128000000003</v>
      </c>
      <c r="Q499" s="285"/>
      <c r="R499" s="278"/>
      <c r="S499" s="278"/>
      <c r="T499" s="278"/>
    </row>
    <row r="500" spans="1:20" s="305" customFormat="1" hidden="1" outlineLevel="1" x14ac:dyDescent="0.25">
      <c r="A500" s="344">
        <v>6.9080000000000004</v>
      </c>
      <c r="B500" s="279" t="str">
        <f t="shared" si="204"/>
        <v>40x22PL</v>
      </c>
      <c r="C500" s="278" t="s">
        <v>1556</v>
      </c>
      <c r="D500" s="278"/>
      <c r="E500" s="278" t="s">
        <v>1860</v>
      </c>
      <c r="F500" s="278"/>
      <c r="G500" s="278" t="s">
        <v>15</v>
      </c>
      <c r="H500" s="328">
        <f t="shared" si="197"/>
        <v>9.6712000000000006E-2</v>
      </c>
      <c r="I500" s="280">
        <f t="shared" si="205"/>
        <v>7.7969214400000011</v>
      </c>
      <c r="J500" s="281">
        <f t="shared" si="206"/>
        <v>8.8423781600000009</v>
      </c>
      <c r="K500" s="282">
        <f>IF(Notes!$B$9="Domestic",I500, IF(Notes!$B$9="Commercial",J500))*$K$415</f>
        <v>8.8423781600000009</v>
      </c>
      <c r="L500" s="283">
        <f>(SUM(O500:Q500)+(K500+SUM(M500:Q500))*(INDEX($U$415:$AB$415,MATCH(Notes!$C$16,$U$3:$AB$3,0))-100%))*$L$415</f>
        <v>51.033540800000004</v>
      </c>
      <c r="M500" s="286"/>
      <c r="N500" s="286"/>
      <c r="O500" s="311">
        <f t="shared" si="200"/>
        <v>16.5792</v>
      </c>
      <c r="P500" s="311">
        <f t="shared" si="200"/>
        <v>34.454340800000004</v>
      </c>
      <c r="Q500" s="285"/>
      <c r="R500" s="278"/>
      <c r="S500" s="278"/>
      <c r="T500" s="278"/>
    </row>
    <row r="501" spans="1:20" s="305" customFormat="1" hidden="1" outlineLevel="1" x14ac:dyDescent="0.25">
      <c r="A501" s="344">
        <v>7.85</v>
      </c>
      <c r="B501" s="279" t="str">
        <f t="shared" si="204"/>
        <v>40x25PL</v>
      </c>
      <c r="C501" s="278" t="s">
        <v>1557</v>
      </c>
      <c r="D501" s="278"/>
      <c r="E501" s="278" t="s">
        <v>1860</v>
      </c>
      <c r="F501" s="278"/>
      <c r="G501" s="278" t="s">
        <v>15</v>
      </c>
      <c r="H501" s="328">
        <f t="shared" si="197"/>
        <v>0.1099</v>
      </c>
      <c r="I501" s="280">
        <f t="shared" si="205"/>
        <v>8.860138000000001</v>
      </c>
      <c r="J501" s="281">
        <f t="shared" si="206"/>
        <v>10.048157</v>
      </c>
      <c r="K501" s="282">
        <f>IF(Notes!$B$9="Domestic",I501, IF(Notes!$B$9="Commercial",J501))*$K$415</f>
        <v>10.048157</v>
      </c>
      <c r="L501" s="283">
        <f>(SUM(O501:Q501)+(K501+SUM(M501:Q501))*(INDEX($U$415:$AB$415,MATCH(Notes!$C$16,$U$3:$AB$3,0))-100%))*$L$415</f>
        <v>57.992660000000001</v>
      </c>
      <c r="M501" s="286"/>
      <c r="N501" s="286"/>
      <c r="O501" s="311">
        <f t="shared" si="200"/>
        <v>18.84</v>
      </c>
      <c r="P501" s="311">
        <f t="shared" si="200"/>
        <v>39.152660000000004</v>
      </c>
      <c r="Q501" s="285"/>
      <c r="R501" s="278"/>
      <c r="S501" s="278"/>
      <c r="T501" s="278"/>
    </row>
    <row r="502" spans="1:20" s="305" customFormat="1" hidden="1" outlineLevel="1" x14ac:dyDescent="0.25">
      <c r="A502" s="344">
        <v>8.7919999999999998</v>
      </c>
      <c r="B502" s="279" t="str">
        <f t="shared" si="204"/>
        <v>40x28PL</v>
      </c>
      <c r="C502" s="278" t="s">
        <v>1558</v>
      </c>
      <c r="D502" s="278"/>
      <c r="E502" s="278" t="s">
        <v>1860</v>
      </c>
      <c r="F502" s="278"/>
      <c r="G502" s="278" t="s">
        <v>15</v>
      </c>
      <c r="H502" s="328">
        <f t="shared" si="197"/>
        <v>0.12308799999999999</v>
      </c>
      <c r="I502" s="280">
        <f t="shared" si="205"/>
        <v>9.9233545599999999</v>
      </c>
      <c r="J502" s="281">
        <f t="shared" si="206"/>
        <v>11.25393584</v>
      </c>
      <c r="K502" s="282">
        <f>IF(Notes!$B$9="Domestic",I502, IF(Notes!$B$9="Commercial",J502))*$K$415</f>
        <v>11.25393584</v>
      </c>
      <c r="L502" s="283">
        <f>(SUM(O502:Q502)+(K502+SUM(M502:Q502))*(INDEX($U$415:$AB$415,MATCH(Notes!$C$16,$U$3:$AB$3,0))-100%))*$L$415</f>
        <v>64.951779200000004</v>
      </c>
      <c r="M502" s="286"/>
      <c r="N502" s="286"/>
      <c r="O502" s="311">
        <f t="shared" si="200"/>
        <v>21.1008</v>
      </c>
      <c r="P502" s="311">
        <f t="shared" si="200"/>
        <v>43.850979200000005</v>
      </c>
      <c r="Q502" s="285"/>
      <c r="R502" s="278"/>
      <c r="S502" s="278"/>
      <c r="T502" s="278"/>
    </row>
    <row r="503" spans="1:20" s="305" customFormat="1" hidden="1" outlineLevel="1" x14ac:dyDescent="0.25">
      <c r="A503" s="344">
        <v>10.048</v>
      </c>
      <c r="B503" s="279" t="str">
        <f t="shared" si="204"/>
        <v>40x32PL</v>
      </c>
      <c r="C503" s="278" t="s">
        <v>1559</v>
      </c>
      <c r="D503" s="278"/>
      <c r="E503" s="278" t="s">
        <v>1860</v>
      </c>
      <c r="F503" s="278"/>
      <c r="G503" s="278" t="s">
        <v>15</v>
      </c>
      <c r="H503" s="328">
        <f t="shared" si="197"/>
        <v>0.14067199999999999</v>
      </c>
      <c r="I503" s="280">
        <f t="shared" si="205"/>
        <v>11.340976639999999</v>
      </c>
      <c r="J503" s="281">
        <f t="shared" si="206"/>
        <v>12.861640960000001</v>
      </c>
      <c r="K503" s="282">
        <f>IF(Notes!$B$9="Domestic",I503, IF(Notes!$B$9="Commercial",J503))*$K$415</f>
        <v>12.861640960000001</v>
      </c>
      <c r="L503" s="283">
        <f>(SUM(O503:Q503)+(K503+SUM(M503:Q503))*(INDEX($U$415:$AB$415,MATCH(Notes!$C$16,$U$3:$AB$3,0))-100%))*$L$415</f>
        <v>74.230604800000009</v>
      </c>
      <c r="M503" s="286"/>
      <c r="N503" s="286"/>
      <c r="O503" s="311">
        <f t="shared" si="200"/>
        <v>24.115200000000002</v>
      </c>
      <c r="P503" s="311">
        <f t="shared" si="200"/>
        <v>50.115404800000007</v>
      </c>
      <c r="Q503" s="285"/>
      <c r="R503" s="278"/>
      <c r="S503" s="278"/>
      <c r="T503" s="278"/>
    </row>
    <row r="504" spans="1:20" s="305" customFormat="1" hidden="1" outlineLevel="1" x14ac:dyDescent="0.25">
      <c r="A504" s="344">
        <v>11.304</v>
      </c>
      <c r="B504" s="279" t="str">
        <f t="shared" si="204"/>
        <v>40x36PL</v>
      </c>
      <c r="C504" s="278" t="s">
        <v>1560</v>
      </c>
      <c r="D504" s="278"/>
      <c r="E504" s="278" t="s">
        <v>1860</v>
      </c>
      <c r="F504" s="278"/>
      <c r="G504" s="278" t="s">
        <v>15</v>
      </c>
      <c r="H504" s="328">
        <f t="shared" si="197"/>
        <v>0.15825600000000001</v>
      </c>
      <c r="I504" s="280">
        <f t="shared" si="205"/>
        <v>12.758598720000002</v>
      </c>
      <c r="J504" s="281">
        <f t="shared" si="206"/>
        <v>14.469346080000001</v>
      </c>
      <c r="K504" s="282">
        <f>IF(Notes!$B$9="Domestic",I504, IF(Notes!$B$9="Commercial",J504))*$K$415</f>
        <v>14.469346080000001</v>
      </c>
      <c r="L504" s="283">
        <f>(SUM(O504:Q504)+(K504+SUM(M504:Q504))*(INDEX($U$415:$AB$415,MATCH(Notes!$C$16,$U$3:$AB$3,0))-100%))*$L$415</f>
        <v>83.509430400000014</v>
      </c>
      <c r="M504" s="286"/>
      <c r="N504" s="286"/>
      <c r="O504" s="311">
        <f t="shared" si="200"/>
        <v>27.129600000000003</v>
      </c>
      <c r="P504" s="311">
        <f t="shared" si="200"/>
        <v>56.379830400000003</v>
      </c>
      <c r="Q504" s="285"/>
      <c r="R504" s="278"/>
      <c r="S504" s="278"/>
      <c r="T504" s="278"/>
    </row>
    <row r="505" spans="1:20" s="305" customFormat="1" hidden="1" outlineLevel="1" x14ac:dyDescent="0.25">
      <c r="A505" s="344">
        <v>12.56</v>
      </c>
      <c r="B505" s="279" t="str">
        <f t="shared" si="204"/>
        <v>40x40PL</v>
      </c>
      <c r="C505" s="278" t="s">
        <v>1561</v>
      </c>
      <c r="D505" s="278"/>
      <c r="E505" s="278" t="s">
        <v>1860</v>
      </c>
      <c r="F505" s="278"/>
      <c r="G505" s="278" t="s">
        <v>15</v>
      </c>
      <c r="H505" s="328">
        <f t="shared" si="197"/>
        <v>0.17584</v>
      </c>
      <c r="I505" s="280">
        <f t="shared" si="205"/>
        <v>14.176220800000001</v>
      </c>
      <c r="J505" s="281">
        <f t="shared" si="206"/>
        <v>16.0770512</v>
      </c>
      <c r="K505" s="282">
        <f>IF(Notes!$B$9="Domestic",I505, IF(Notes!$B$9="Commercial",J505))*$K$415</f>
        <v>16.0770512</v>
      </c>
      <c r="L505" s="283">
        <f>(SUM(O505:Q505)+(K505+SUM(M505:Q505))*(INDEX($U$415:$AB$415,MATCH(Notes!$C$16,$U$3:$AB$3,0))-100%))*$L$415</f>
        <v>92.788256000000004</v>
      </c>
      <c r="M505" s="286"/>
      <c r="N505" s="286"/>
      <c r="O505" s="311">
        <f t="shared" si="200"/>
        <v>30.143999999999998</v>
      </c>
      <c r="P505" s="311">
        <f t="shared" si="200"/>
        <v>62.644256000000006</v>
      </c>
      <c r="Q505" s="285"/>
      <c r="R505" s="278"/>
      <c r="S505" s="278"/>
      <c r="T505" s="278"/>
    </row>
    <row r="506" spans="1:20" s="305" customFormat="1" hidden="1" outlineLevel="1" x14ac:dyDescent="0.25">
      <c r="A506" s="344">
        <v>14.13</v>
      </c>
      <c r="B506" s="279" t="str">
        <f t="shared" si="204"/>
        <v>40x45PL</v>
      </c>
      <c r="C506" s="278" t="s">
        <v>1562</v>
      </c>
      <c r="D506" s="278"/>
      <c r="E506" s="278" t="s">
        <v>1860</v>
      </c>
      <c r="F506" s="278"/>
      <c r="G506" s="278" t="s">
        <v>15</v>
      </c>
      <c r="H506" s="328">
        <f t="shared" si="197"/>
        <v>0.19782000000000002</v>
      </c>
      <c r="I506" s="280">
        <f t="shared" si="205"/>
        <v>15.948248400000002</v>
      </c>
      <c r="J506" s="281">
        <f t="shared" si="206"/>
        <v>18.086682600000003</v>
      </c>
      <c r="K506" s="282">
        <f>IF(Notes!$B$9="Domestic",I506, IF(Notes!$B$9="Commercial",J506))*$K$415</f>
        <v>18.086682600000003</v>
      </c>
      <c r="L506" s="283">
        <f>(SUM(O506:Q506)+(K506+SUM(M506:Q506))*(INDEX($U$415:$AB$415,MATCH(Notes!$C$16,$U$3:$AB$3,0))-100%))*$L$415</f>
        <v>104.38678800000002</v>
      </c>
      <c r="M506" s="286"/>
      <c r="N506" s="286"/>
      <c r="O506" s="311">
        <f t="shared" si="200"/>
        <v>33.911999999999999</v>
      </c>
      <c r="P506" s="311">
        <f t="shared" si="200"/>
        <v>70.474788000000018</v>
      </c>
      <c r="Q506" s="285"/>
      <c r="R506" s="278"/>
      <c r="S506" s="278"/>
      <c r="T506" s="278"/>
    </row>
    <row r="507" spans="1:20" s="305" customFormat="1" hidden="1" outlineLevel="1" x14ac:dyDescent="0.25">
      <c r="A507" s="344">
        <v>15.7</v>
      </c>
      <c r="B507" s="279" t="str">
        <f t="shared" si="204"/>
        <v>40x50PL</v>
      </c>
      <c r="C507" s="278" t="s">
        <v>1563</v>
      </c>
      <c r="D507" s="278"/>
      <c r="E507" s="278" t="s">
        <v>1860</v>
      </c>
      <c r="F507" s="278"/>
      <c r="G507" s="278" t="s">
        <v>15</v>
      </c>
      <c r="H507" s="328">
        <f t="shared" si="197"/>
        <v>0.2198</v>
      </c>
      <c r="I507" s="280">
        <f t="shared" si="205"/>
        <v>17.720276000000002</v>
      </c>
      <c r="J507" s="281">
        <f t="shared" si="206"/>
        <v>20.096314</v>
      </c>
      <c r="K507" s="282">
        <f>IF(Notes!$B$9="Domestic",I507, IF(Notes!$B$9="Commercial",J507))*$K$415</f>
        <v>20.096314</v>
      </c>
      <c r="L507" s="283">
        <f>(SUM(O507:Q507)+(K507+SUM(M507:Q507))*(INDEX($U$415:$AB$415,MATCH(Notes!$C$16,$U$3:$AB$3,0))-100%))*$L$415</f>
        <v>115.98532</v>
      </c>
      <c r="M507" s="286"/>
      <c r="N507" s="286"/>
      <c r="O507" s="311">
        <f t="shared" si="200"/>
        <v>37.68</v>
      </c>
      <c r="P507" s="311">
        <f t="shared" si="200"/>
        <v>78.305320000000009</v>
      </c>
      <c r="Q507" s="285"/>
      <c r="R507" s="278"/>
      <c r="S507" s="278"/>
      <c r="T507" s="278"/>
    </row>
    <row r="508" spans="1:20" s="305" customFormat="1" hidden="1" outlineLevel="1" x14ac:dyDescent="0.25">
      <c r="A508" s="344">
        <v>17.27</v>
      </c>
      <c r="B508" s="279" t="str">
        <f t="shared" si="204"/>
        <v>40x55PL</v>
      </c>
      <c r="C508" s="278" t="s">
        <v>1564</v>
      </c>
      <c r="D508" s="278"/>
      <c r="E508" s="278" t="s">
        <v>1860</v>
      </c>
      <c r="F508" s="278"/>
      <c r="G508" s="278" t="s">
        <v>15</v>
      </c>
      <c r="H508" s="328">
        <f t="shared" si="197"/>
        <v>0.24177999999999999</v>
      </c>
      <c r="I508" s="280">
        <f t="shared" si="205"/>
        <v>19.4923036</v>
      </c>
      <c r="J508" s="281">
        <f t="shared" si="206"/>
        <v>22.1059454</v>
      </c>
      <c r="K508" s="282">
        <f>IF(Notes!$B$9="Domestic",I508, IF(Notes!$B$9="Commercial",J508))*$K$415</f>
        <v>22.1059454</v>
      </c>
      <c r="L508" s="283">
        <f>(SUM(O508:Q508)+(K508+SUM(M508:Q508))*(INDEX($U$415:$AB$415,MATCH(Notes!$C$16,$U$3:$AB$3,0))-100%))*$L$415</f>
        <v>127.58385200000001</v>
      </c>
      <c r="M508" s="286"/>
      <c r="N508" s="286"/>
      <c r="O508" s="311">
        <f t="shared" si="200"/>
        <v>41.448</v>
      </c>
      <c r="P508" s="311">
        <f t="shared" si="200"/>
        <v>86.135852</v>
      </c>
      <c r="Q508" s="285"/>
      <c r="R508" s="278"/>
      <c r="S508" s="278"/>
      <c r="T508" s="278"/>
    </row>
    <row r="509" spans="1:20" s="305" customFormat="1" hidden="1" outlineLevel="1" x14ac:dyDescent="0.25">
      <c r="A509" s="344">
        <v>18.84</v>
      </c>
      <c r="B509" s="279" t="str">
        <f t="shared" si="204"/>
        <v>40x60PL</v>
      </c>
      <c r="C509" s="278" t="s">
        <v>1565</v>
      </c>
      <c r="D509" s="278"/>
      <c r="E509" s="278" t="s">
        <v>1860</v>
      </c>
      <c r="F509" s="278"/>
      <c r="G509" s="278" t="s">
        <v>15</v>
      </c>
      <c r="H509" s="328">
        <f t="shared" si="197"/>
        <v>0.26375999999999999</v>
      </c>
      <c r="I509" s="280">
        <f t="shared" si="205"/>
        <v>21.264331200000001</v>
      </c>
      <c r="J509" s="281">
        <f t="shared" si="206"/>
        <v>24.115576800000003</v>
      </c>
      <c r="K509" s="282">
        <f>IF(Notes!$B$9="Domestic",I509, IF(Notes!$B$9="Commercial",J509))*$K$415</f>
        <v>24.115576800000003</v>
      </c>
      <c r="L509" s="283">
        <f>(SUM(O509:Q509)+(K509+SUM(M509:Q509))*(INDEX($U$415:$AB$415,MATCH(Notes!$C$16,$U$3:$AB$3,0))-100%))*$L$415</f>
        <v>139.18238400000001</v>
      </c>
      <c r="M509" s="286"/>
      <c r="N509" s="286"/>
      <c r="O509" s="311">
        <f t="shared" si="200"/>
        <v>45.216000000000001</v>
      </c>
      <c r="P509" s="311">
        <f t="shared" si="200"/>
        <v>93.966384000000005</v>
      </c>
      <c r="Q509" s="285"/>
      <c r="R509" s="278"/>
      <c r="S509" s="278"/>
      <c r="T509" s="278"/>
    </row>
    <row r="510" spans="1:20" s="305" customFormat="1" hidden="1" outlineLevel="1" x14ac:dyDescent="0.25">
      <c r="A510" s="344">
        <v>20.399999999999999</v>
      </c>
      <c r="B510" s="279" t="str">
        <f t="shared" si="204"/>
        <v>40x65PL</v>
      </c>
      <c r="C510" s="278" t="s">
        <v>1566</v>
      </c>
      <c r="D510" s="278"/>
      <c r="E510" s="278" t="s">
        <v>1860</v>
      </c>
      <c r="F510" s="278"/>
      <c r="G510" s="278" t="s">
        <v>15</v>
      </c>
      <c r="H510" s="328">
        <f t="shared" si="197"/>
        <v>0.28559999999999997</v>
      </c>
      <c r="I510" s="280">
        <f t="shared" si="205"/>
        <v>23.025071999999998</v>
      </c>
      <c r="J510" s="281">
        <f t="shared" si="206"/>
        <v>26.112407999999999</v>
      </c>
      <c r="K510" s="282">
        <f>IF(Notes!$B$9="Domestic",I510, IF(Notes!$B$9="Commercial",J510))*$K$415</f>
        <v>26.112407999999999</v>
      </c>
      <c r="L510" s="283">
        <f>(SUM(O510:Q510)+(K510+SUM(M510:Q510))*(INDEX($U$415:$AB$415,MATCH(Notes!$C$16,$U$3:$AB$3,0))-100%))*$L$415</f>
        <v>150.70704000000001</v>
      </c>
      <c r="M510" s="286"/>
      <c r="N510" s="286"/>
      <c r="O510" s="311">
        <f t="shared" si="200"/>
        <v>48.96</v>
      </c>
      <c r="P510" s="311">
        <f t="shared" si="200"/>
        <v>101.74704</v>
      </c>
      <c r="Q510" s="285"/>
      <c r="R510" s="278"/>
      <c r="S510" s="278"/>
      <c r="T510" s="278"/>
    </row>
    <row r="511" spans="1:20" s="305" customFormat="1" hidden="1" outlineLevel="1" x14ac:dyDescent="0.25">
      <c r="A511" s="344">
        <v>21.98</v>
      </c>
      <c r="B511" s="279" t="str">
        <f t="shared" si="204"/>
        <v>40x70PL</v>
      </c>
      <c r="C511" s="278" t="s">
        <v>1567</v>
      </c>
      <c r="D511" s="278"/>
      <c r="E511" s="278" t="s">
        <v>1860</v>
      </c>
      <c r="F511" s="278"/>
      <c r="G511" s="278" t="s">
        <v>15</v>
      </c>
      <c r="H511" s="328">
        <f t="shared" si="197"/>
        <v>0.30772000000000005</v>
      </c>
      <c r="I511" s="280">
        <f t="shared" si="205"/>
        <v>24.808386400000007</v>
      </c>
      <c r="J511" s="281">
        <f t="shared" si="206"/>
        <v>28.134839600000006</v>
      </c>
      <c r="K511" s="282">
        <f>IF(Notes!$B$9="Domestic",I511, IF(Notes!$B$9="Commercial",J511))*$K$415</f>
        <v>28.134839600000006</v>
      </c>
      <c r="L511" s="283">
        <f>(SUM(O511:Q511)+(K511+SUM(M511:Q511))*(INDEX($U$415:$AB$415,MATCH(Notes!$C$16,$U$3:$AB$3,0))-100%))*$L$415</f>
        <v>162.379448</v>
      </c>
      <c r="M511" s="286"/>
      <c r="N511" s="286"/>
      <c r="O511" s="311">
        <f t="shared" si="200"/>
        <v>52.752000000000002</v>
      </c>
      <c r="P511" s="311">
        <f t="shared" si="200"/>
        <v>109.627448</v>
      </c>
      <c r="Q511" s="285"/>
      <c r="R511" s="278"/>
      <c r="S511" s="278"/>
      <c r="T511" s="278"/>
    </row>
    <row r="512" spans="1:20" s="305" customFormat="1" hidden="1" outlineLevel="1" x14ac:dyDescent="0.25">
      <c r="A512" s="344">
        <v>23.55</v>
      </c>
      <c r="B512" s="279" t="str">
        <f t="shared" si="204"/>
        <v>40x75PL</v>
      </c>
      <c r="C512" s="278" t="s">
        <v>1568</v>
      </c>
      <c r="D512" s="278"/>
      <c r="E512" s="278" t="s">
        <v>1860</v>
      </c>
      <c r="F512" s="278"/>
      <c r="G512" s="278" t="s">
        <v>15</v>
      </c>
      <c r="H512" s="328">
        <f t="shared" si="197"/>
        <v>0.32969999999999999</v>
      </c>
      <c r="I512" s="280">
        <f t="shared" si="205"/>
        <v>26.580414000000001</v>
      </c>
      <c r="J512" s="281">
        <f t="shared" si="206"/>
        <v>30.144471000000003</v>
      </c>
      <c r="K512" s="282">
        <f>IF(Notes!$B$9="Domestic",I512, IF(Notes!$B$9="Commercial",J512))*$K$415</f>
        <v>30.144471000000003</v>
      </c>
      <c r="L512" s="283">
        <f>(SUM(O512:Q512)+(K512+SUM(M512:Q512))*(INDEX($U$415:$AB$415,MATCH(Notes!$C$16,$U$3:$AB$3,0))-100%))*$L$415</f>
        <v>173.97798</v>
      </c>
      <c r="M512" s="286"/>
      <c r="N512" s="286"/>
      <c r="O512" s="311">
        <f t="shared" si="200"/>
        <v>56.52</v>
      </c>
      <c r="P512" s="311">
        <f t="shared" si="200"/>
        <v>117.45798000000001</v>
      </c>
      <c r="Q512" s="285"/>
      <c r="R512" s="278"/>
      <c r="S512" s="278"/>
      <c r="T512" s="278"/>
    </row>
    <row r="513" spans="1:20" s="305" customFormat="1" hidden="1" outlineLevel="1" x14ac:dyDescent="0.25">
      <c r="A513" s="344">
        <v>25.12</v>
      </c>
      <c r="B513" s="279" t="str">
        <f t="shared" si="204"/>
        <v>40x80PL</v>
      </c>
      <c r="C513" s="278" t="s">
        <v>1569</v>
      </c>
      <c r="D513" s="278"/>
      <c r="E513" s="278" t="s">
        <v>1860</v>
      </c>
      <c r="F513" s="278"/>
      <c r="G513" s="278" t="s">
        <v>15</v>
      </c>
      <c r="H513" s="328">
        <f t="shared" si="197"/>
        <v>0.35167999999999999</v>
      </c>
      <c r="I513" s="280">
        <f t="shared" si="205"/>
        <v>28.352441600000002</v>
      </c>
      <c r="J513" s="281">
        <f t="shared" si="206"/>
        <v>32.154102399999999</v>
      </c>
      <c r="K513" s="282">
        <f>IF(Notes!$B$9="Domestic",I513, IF(Notes!$B$9="Commercial",J513))*$K$415</f>
        <v>32.154102399999999</v>
      </c>
      <c r="L513" s="283">
        <f>(SUM(O513:Q513)+(K513+SUM(M513:Q513))*(INDEX($U$415:$AB$415,MATCH(Notes!$C$16,$U$3:$AB$3,0))-100%))*$L$415</f>
        <v>185.57651200000001</v>
      </c>
      <c r="M513" s="286"/>
      <c r="N513" s="286"/>
      <c r="O513" s="311">
        <f t="shared" si="200"/>
        <v>60.287999999999997</v>
      </c>
      <c r="P513" s="311">
        <f t="shared" si="200"/>
        <v>125.28851200000001</v>
      </c>
      <c r="Q513" s="285"/>
      <c r="R513" s="278"/>
      <c r="S513" s="278"/>
      <c r="T513" s="278"/>
    </row>
    <row r="514" spans="1:20" s="305" customFormat="1" hidden="1" outlineLevel="1" x14ac:dyDescent="0.25">
      <c r="A514" s="344">
        <v>28.26</v>
      </c>
      <c r="B514" s="279" t="str">
        <f t="shared" si="204"/>
        <v>40x90PL</v>
      </c>
      <c r="C514" s="278" t="s">
        <v>1570</v>
      </c>
      <c r="D514" s="278"/>
      <c r="E514" s="278" t="s">
        <v>1860</v>
      </c>
      <c r="F514" s="278"/>
      <c r="G514" s="278" t="s">
        <v>15</v>
      </c>
      <c r="H514" s="328">
        <f t="shared" si="197"/>
        <v>0.39564000000000005</v>
      </c>
      <c r="I514" s="280">
        <f t="shared" si="205"/>
        <v>31.896496800000005</v>
      </c>
      <c r="J514" s="281">
        <f t="shared" si="206"/>
        <v>36.173365200000006</v>
      </c>
      <c r="K514" s="282">
        <f>IF(Notes!$B$9="Domestic",I514, IF(Notes!$B$9="Commercial",J514))*$K$415</f>
        <v>36.173365200000006</v>
      </c>
      <c r="L514" s="283">
        <f>(SUM(O514:Q514)+(K514+SUM(M514:Q514))*(INDEX($U$415:$AB$415,MATCH(Notes!$C$16,$U$3:$AB$3,0))-100%))*$L$415</f>
        <v>208.77357600000005</v>
      </c>
      <c r="M514" s="286"/>
      <c r="N514" s="286"/>
      <c r="O514" s="311">
        <f t="shared" si="200"/>
        <v>67.823999999999998</v>
      </c>
      <c r="P514" s="311">
        <f t="shared" si="200"/>
        <v>140.94957600000004</v>
      </c>
      <c r="Q514" s="285"/>
      <c r="R514" s="278"/>
      <c r="S514" s="278"/>
      <c r="T514" s="278"/>
    </row>
    <row r="515" spans="1:20" s="305" customFormat="1" hidden="1" outlineLevel="1" x14ac:dyDescent="0.25">
      <c r="A515" s="344">
        <v>31.4</v>
      </c>
      <c r="B515" s="279" t="str">
        <f t="shared" si="204"/>
        <v>40x100PL</v>
      </c>
      <c r="C515" s="278" t="s">
        <v>1571</v>
      </c>
      <c r="D515" s="278"/>
      <c r="E515" s="278" t="s">
        <v>1860</v>
      </c>
      <c r="F515" s="278"/>
      <c r="G515" s="278" t="s">
        <v>15</v>
      </c>
      <c r="H515" s="328">
        <f t="shared" si="197"/>
        <v>0.43959999999999999</v>
      </c>
      <c r="I515" s="280">
        <f t="shared" si="205"/>
        <v>35.440552000000004</v>
      </c>
      <c r="J515" s="281">
        <f t="shared" si="206"/>
        <v>40.192627999999999</v>
      </c>
      <c r="K515" s="282">
        <f>IF(Notes!$B$9="Domestic",I515, IF(Notes!$B$9="Commercial",J515))*$K$415</f>
        <v>40.192627999999999</v>
      </c>
      <c r="L515" s="283">
        <f>(SUM(O515:Q515)+(K515+SUM(M515:Q515))*(INDEX($U$415:$AB$415,MATCH(Notes!$C$16,$U$3:$AB$3,0))-100%))*$L$415</f>
        <v>231.97064</v>
      </c>
      <c r="M515" s="286"/>
      <c r="N515" s="286"/>
      <c r="O515" s="311">
        <f t="shared" si="200"/>
        <v>75.36</v>
      </c>
      <c r="P515" s="311">
        <f t="shared" si="200"/>
        <v>156.61064000000002</v>
      </c>
      <c r="Q515" s="285"/>
      <c r="R515" s="278"/>
      <c r="S515" s="278"/>
      <c r="T515" s="278"/>
    </row>
    <row r="516" spans="1:20" s="305" customFormat="1" hidden="1" outlineLevel="1" x14ac:dyDescent="0.25">
      <c r="A516" s="344">
        <v>1.1775</v>
      </c>
      <c r="B516" s="279" t="str">
        <f t="shared" si="204"/>
        <v>50x3PL</v>
      </c>
      <c r="C516" s="278" t="s">
        <v>1572</v>
      </c>
      <c r="D516" s="278"/>
      <c r="E516" s="278" t="s">
        <v>1860</v>
      </c>
      <c r="F516" s="278"/>
      <c r="G516" s="278" t="s">
        <v>15</v>
      </c>
      <c r="H516" s="328">
        <f t="shared" si="197"/>
        <v>1.6485E-2</v>
      </c>
      <c r="I516" s="280">
        <f t="shared" si="205"/>
        <v>1.3290207000000001</v>
      </c>
      <c r="J516" s="281">
        <f t="shared" si="206"/>
        <v>1.5072235500000002</v>
      </c>
      <c r="K516" s="282">
        <f>IF(Notes!$B$9="Domestic",I516, IF(Notes!$B$9="Commercial",J516))*$K$415</f>
        <v>1.5072235500000002</v>
      </c>
      <c r="L516" s="283">
        <f>(SUM(O516:Q516)+(K516+SUM(M516:Q516))*(INDEX($U$415:$AB$415,MATCH(Notes!$C$16,$U$3:$AB$3,0))-100%))*$L$415</f>
        <v>8.6988990000000008</v>
      </c>
      <c r="M516" s="286"/>
      <c r="N516" s="286"/>
      <c r="O516" s="311">
        <f t="shared" si="200"/>
        <v>2.8260000000000001</v>
      </c>
      <c r="P516" s="311">
        <f t="shared" si="200"/>
        <v>5.8728990000000003</v>
      </c>
      <c r="Q516" s="285"/>
      <c r="R516" s="278"/>
      <c r="S516" s="278"/>
      <c r="T516" s="278"/>
    </row>
    <row r="517" spans="1:20" s="305" customFormat="1" hidden="1" outlineLevel="1" x14ac:dyDescent="0.25">
      <c r="A517" s="344">
        <v>1.57</v>
      </c>
      <c r="B517" s="279" t="str">
        <f t="shared" ref="B517:B710" si="207">C517&amp;D517&amp;E517&amp;F517</f>
        <v>50x4PL</v>
      </c>
      <c r="C517" s="278" t="s">
        <v>1573</v>
      </c>
      <c r="D517" s="278"/>
      <c r="E517" s="278" t="s">
        <v>1860</v>
      </c>
      <c r="F517" s="278"/>
      <c r="G517" s="278" t="s">
        <v>15</v>
      </c>
      <c r="H517" s="328">
        <f t="shared" si="197"/>
        <v>2.198E-2</v>
      </c>
      <c r="I517" s="280">
        <f t="shared" ref="I517:I710" si="208">$I$2*H517</f>
        <v>1.7720276000000001</v>
      </c>
      <c r="J517" s="281">
        <f t="shared" ref="J517:J710" si="209">$J$2*H517</f>
        <v>2.0096314</v>
      </c>
      <c r="K517" s="282">
        <f>IF(Notes!$B$9="Domestic",I517, IF(Notes!$B$9="Commercial",J517))*$K$415</f>
        <v>2.0096314</v>
      </c>
      <c r="L517" s="283">
        <f>(SUM(O517:Q517)+(K517+SUM(M517:Q517))*(INDEX($U$415:$AB$415,MATCH(Notes!$C$16,$U$3:$AB$3,0))-100%))*$L$415</f>
        <v>11.598532000000001</v>
      </c>
      <c r="M517" s="286"/>
      <c r="N517" s="286"/>
      <c r="O517" s="311">
        <f t="shared" si="200"/>
        <v>3.7679999999999998</v>
      </c>
      <c r="P517" s="311">
        <f t="shared" si="200"/>
        <v>7.8305320000000007</v>
      </c>
      <c r="Q517" s="285"/>
      <c r="R517" s="278"/>
      <c r="S517" s="278"/>
      <c r="T517" s="278"/>
    </row>
    <row r="518" spans="1:20" s="305" customFormat="1" hidden="1" outlineLevel="1" x14ac:dyDescent="0.25">
      <c r="A518" s="344">
        <v>1.9624999999999999</v>
      </c>
      <c r="B518" s="279" t="str">
        <f t="shared" si="207"/>
        <v>50x5PL</v>
      </c>
      <c r="C518" s="278" t="s">
        <v>1574</v>
      </c>
      <c r="D518" s="278"/>
      <c r="E518" s="278" t="s">
        <v>1860</v>
      </c>
      <c r="F518" s="278"/>
      <c r="G518" s="278" t="s">
        <v>15</v>
      </c>
      <c r="H518" s="328">
        <f t="shared" si="197"/>
        <v>2.7474999999999999E-2</v>
      </c>
      <c r="I518" s="280">
        <f t="shared" si="208"/>
        <v>2.2150345000000002</v>
      </c>
      <c r="J518" s="281">
        <f t="shared" si="209"/>
        <v>2.5120392499999999</v>
      </c>
      <c r="K518" s="282">
        <f>IF(Notes!$B$9="Domestic",I518, IF(Notes!$B$9="Commercial",J518))*$K$415</f>
        <v>2.5120392499999999</v>
      </c>
      <c r="L518" s="283">
        <f>(SUM(O518:Q518)+(K518+SUM(M518:Q518))*(INDEX($U$415:$AB$415,MATCH(Notes!$C$16,$U$3:$AB$3,0))-100%))*$L$415</f>
        <v>14.498165</v>
      </c>
      <c r="M518" s="286"/>
      <c r="N518" s="286"/>
      <c r="O518" s="311">
        <f t="shared" si="200"/>
        <v>4.71</v>
      </c>
      <c r="P518" s="311">
        <f t="shared" ref="O518:P711" si="210">P$415*$A518/1000</f>
        <v>9.7881650000000011</v>
      </c>
      <c r="Q518" s="285"/>
      <c r="R518" s="278"/>
      <c r="S518" s="278"/>
      <c r="T518" s="278"/>
    </row>
    <row r="519" spans="1:20" s="305" customFormat="1" hidden="1" outlineLevel="1" x14ac:dyDescent="0.25">
      <c r="A519" s="344">
        <v>2.355</v>
      </c>
      <c r="B519" s="279" t="str">
        <f t="shared" si="207"/>
        <v>50x6PL</v>
      </c>
      <c r="C519" s="278" t="s">
        <v>1575</v>
      </c>
      <c r="D519" s="278"/>
      <c r="E519" s="278" t="s">
        <v>1860</v>
      </c>
      <c r="F519" s="278"/>
      <c r="G519" s="278" t="s">
        <v>15</v>
      </c>
      <c r="H519" s="328">
        <f t="shared" si="197"/>
        <v>3.2969999999999999E-2</v>
      </c>
      <c r="I519" s="280">
        <f t="shared" si="208"/>
        <v>2.6580414000000001</v>
      </c>
      <c r="J519" s="281">
        <f t="shared" si="209"/>
        <v>3.0144471000000004</v>
      </c>
      <c r="K519" s="282">
        <f>IF(Notes!$B$9="Domestic",I519, IF(Notes!$B$9="Commercial",J519))*$K$415</f>
        <v>3.0144471000000004</v>
      </c>
      <c r="L519" s="283">
        <f>(SUM(O519:Q519)+(K519+SUM(M519:Q519))*(INDEX($U$415:$AB$415,MATCH(Notes!$C$16,$U$3:$AB$3,0))-100%))*$L$415</f>
        <v>17.397798000000002</v>
      </c>
      <c r="M519" s="286"/>
      <c r="N519" s="286"/>
      <c r="O519" s="311">
        <f t="shared" si="210"/>
        <v>5.6520000000000001</v>
      </c>
      <c r="P519" s="311">
        <f t="shared" si="210"/>
        <v>11.745798000000001</v>
      </c>
      <c r="Q519" s="285"/>
      <c r="R519" s="278"/>
      <c r="S519" s="278"/>
      <c r="T519" s="278"/>
    </row>
    <row r="520" spans="1:20" s="305" customFormat="1" hidden="1" outlineLevel="1" x14ac:dyDescent="0.25">
      <c r="A520" s="344">
        <v>3.14</v>
      </c>
      <c r="B520" s="279" t="str">
        <f t="shared" si="207"/>
        <v>50x8PL</v>
      </c>
      <c r="C520" s="278" t="s">
        <v>1576</v>
      </c>
      <c r="D520" s="278"/>
      <c r="E520" s="278" t="s">
        <v>1860</v>
      </c>
      <c r="F520" s="278"/>
      <c r="G520" s="278" t="s">
        <v>15</v>
      </c>
      <c r="H520" s="328">
        <f t="shared" si="197"/>
        <v>4.3959999999999999E-2</v>
      </c>
      <c r="I520" s="280">
        <f t="shared" si="208"/>
        <v>3.5440552000000003</v>
      </c>
      <c r="J520" s="281">
        <f t="shared" si="209"/>
        <v>4.0192627999999999</v>
      </c>
      <c r="K520" s="282">
        <f>IF(Notes!$B$9="Domestic",I520, IF(Notes!$B$9="Commercial",J520))*$K$415</f>
        <v>4.0192627999999999</v>
      </c>
      <c r="L520" s="283">
        <f>(SUM(O520:Q520)+(K520+SUM(M520:Q520))*(INDEX($U$415:$AB$415,MATCH(Notes!$C$16,$U$3:$AB$3,0))-100%))*$L$415</f>
        <v>23.197064000000001</v>
      </c>
      <c r="M520" s="286"/>
      <c r="N520" s="286"/>
      <c r="O520" s="311">
        <f t="shared" si="210"/>
        <v>7.5359999999999996</v>
      </c>
      <c r="P520" s="311">
        <f t="shared" si="210"/>
        <v>15.661064000000001</v>
      </c>
      <c r="Q520" s="285"/>
      <c r="R520" s="278"/>
      <c r="S520" s="278"/>
      <c r="T520" s="278"/>
    </row>
    <row r="521" spans="1:20" s="305" customFormat="1" hidden="1" outlineLevel="1" x14ac:dyDescent="0.25">
      <c r="A521" s="344">
        <v>3.9249999999999998</v>
      </c>
      <c r="B521" s="279" t="str">
        <f t="shared" si="207"/>
        <v>50x10PL</v>
      </c>
      <c r="C521" s="278" t="s">
        <v>1577</v>
      </c>
      <c r="D521" s="278"/>
      <c r="E521" s="278" t="s">
        <v>1860</v>
      </c>
      <c r="F521" s="278"/>
      <c r="G521" s="278" t="s">
        <v>15</v>
      </c>
      <c r="H521" s="328">
        <f t="shared" si="197"/>
        <v>5.4949999999999999E-2</v>
      </c>
      <c r="I521" s="280">
        <f t="shared" si="208"/>
        <v>4.4300690000000005</v>
      </c>
      <c r="J521" s="281">
        <f t="shared" si="209"/>
        <v>5.0240784999999999</v>
      </c>
      <c r="K521" s="282">
        <f>IF(Notes!$B$9="Domestic",I521, IF(Notes!$B$9="Commercial",J521))*$K$415</f>
        <v>5.0240784999999999</v>
      </c>
      <c r="L521" s="283">
        <f>(SUM(O521:Q521)+(K521+SUM(M521:Q521))*(INDEX($U$415:$AB$415,MATCH(Notes!$C$16,$U$3:$AB$3,0))-100%))*$L$415</f>
        <v>28.99633</v>
      </c>
      <c r="M521" s="286"/>
      <c r="N521" s="286"/>
      <c r="O521" s="311">
        <f t="shared" si="210"/>
        <v>9.42</v>
      </c>
      <c r="P521" s="311">
        <f t="shared" si="210"/>
        <v>19.576330000000002</v>
      </c>
      <c r="Q521" s="285"/>
      <c r="R521" s="278"/>
      <c r="S521" s="278"/>
      <c r="T521" s="278"/>
    </row>
    <row r="522" spans="1:20" s="305" customFormat="1" hidden="1" outlineLevel="1" x14ac:dyDescent="0.25">
      <c r="A522" s="344">
        <v>4.71</v>
      </c>
      <c r="B522" s="279" t="str">
        <f t="shared" si="207"/>
        <v>50x12PL</v>
      </c>
      <c r="C522" s="278" t="s">
        <v>1578</v>
      </c>
      <c r="D522" s="278"/>
      <c r="E522" s="278" t="s">
        <v>1860</v>
      </c>
      <c r="F522" s="278"/>
      <c r="G522" s="278" t="s">
        <v>15</v>
      </c>
      <c r="H522" s="328">
        <f t="shared" si="197"/>
        <v>6.5939999999999999E-2</v>
      </c>
      <c r="I522" s="280">
        <f t="shared" si="208"/>
        <v>5.3160828000000002</v>
      </c>
      <c r="J522" s="281">
        <f t="shared" si="209"/>
        <v>6.0288942000000008</v>
      </c>
      <c r="K522" s="282">
        <f>IF(Notes!$B$9="Domestic",I522, IF(Notes!$B$9="Commercial",J522))*$K$415</f>
        <v>6.0288942000000008</v>
      </c>
      <c r="L522" s="283">
        <f>(SUM(O522:Q522)+(K522+SUM(M522:Q522))*(INDEX($U$415:$AB$415,MATCH(Notes!$C$16,$U$3:$AB$3,0))-100%))*$L$415</f>
        <v>34.795596000000003</v>
      </c>
      <c r="M522" s="286"/>
      <c r="N522" s="286"/>
      <c r="O522" s="311">
        <f t="shared" si="210"/>
        <v>11.304</v>
      </c>
      <c r="P522" s="311">
        <f t="shared" si="210"/>
        <v>23.491596000000001</v>
      </c>
      <c r="Q522" s="285"/>
      <c r="R522" s="278"/>
      <c r="S522" s="278"/>
      <c r="T522" s="278"/>
    </row>
    <row r="523" spans="1:20" s="305" customFormat="1" hidden="1" outlineLevel="1" x14ac:dyDescent="0.25">
      <c r="A523" s="344">
        <v>6.28</v>
      </c>
      <c r="B523" s="279" t="str">
        <f t="shared" si="207"/>
        <v>50x16PL</v>
      </c>
      <c r="C523" s="278" t="s">
        <v>1579</v>
      </c>
      <c r="D523" s="278"/>
      <c r="E523" s="278" t="s">
        <v>1860</v>
      </c>
      <c r="F523" s="278"/>
      <c r="G523" s="278" t="s">
        <v>15</v>
      </c>
      <c r="H523" s="328">
        <f t="shared" si="197"/>
        <v>8.7919999999999998E-2</v>
      </c>
      <c r="I523" s="280">
        <f t="shared" si="208"/>
        <v>7.0881104000000006</v>
      </c>
      <c r="J523" s="281">
        <f t="shared" si="209"/>
        <v>8.0385255999999998</v>
      </c>
      <c r="K523" s="282">
        <f>IF(Notes!$B$9="Domestic",I523, IF(Notes!$B$9="Commercial",J523))*$K$415</f>
        <v>8.0385255999999998</v>
      </c>
      <c r="L523" s="283">
        <f>(SUM(O523:Q523)+(K523+SUM(M523:Q523))*(INDEX($U$415:$AB$415,MATCH(Notes!$C$16,$U$3:$AB$3,0))-100%))*$L$415</f>
        <v>46.394128000000002</v>
      </c>
      <c r="M523" s="286"/>
      <c r="N523" s="286"/>
      <c r="O523" s="311">
        <f t="shared" si="210"/>
        <v>15.071999999999999</v>
      </c>
      <c r="P523" s="311">
        <f t="shared" si="210"/>
        <v>31.322128000000003</v>
      </c>
      <c r="Q523" s="285"/>
      <c r="R523" s="278"/>
      <c r="S523" s="278"/>
      <c r="T523" s="278"/>
    </row>
    <row r="524" spans="1:20" s="305" customFormat="1" hidden="1" outlineLevel="1" x14ac:dyDescent="0.25">
      <c r="A524" s="344">
        <v>7.85</v>
      </c>
      <c r="B524" s="279" t="str">
        <f t="shared" si="207"/>
        <v>50x20PL</v>
      </c>
      <c r="C524" s="278" t="s">
        <v>1580</v>
      </c>
      <c r="D524" s="278"/>
      <c r="E524" s="278" t="s">
        <v>1860</v>
      </c>
      <c r="F524" s="278"/>
      <c r="G524" s="278" t="s">
        <v>15</v>
      </c>
      <c r="H524" s="328">
        <f t="shared" si="197"/>
        <v>0.1099</v>
      </c>
      <c r="I524" s="280">
        <f t="shared" si="208"/>
        <v>8.860138000000001</v>
      </c>
      <c r="J524" s="281">
        <f t="shared" si="209"/>
        <v>10.048157</v>
      </c>
      <c r="K524" s="282">
        <f>IF(Notes!$B$9="Domestic",I524, IF(Notes!$B$9="Commercial",J524))*$K$415</f>
        <v>10.048157</v>
      </c>
      <c r="L524" s="283">
        <f>(SUM(O524:Q524)+(K524+SUM(M524:Q524))*(INDEX($U$415:$AB$415,MATCH(Notes!$C$16,$U$3:$AB$3,0))-100%))*$L$415</f>
        <v>57.992660000000001</v>
      </c>
      <c r="M524" s="286"/>
      <c r="N524" s="286"/>
      <c r="O524" s="311">
        <f t="shared" si="210"/>
        <v>18.84</v>
      </c>
      <c r="P524" s="311">
        <f t="shared" si="210"/>
        <v>39.152660000000004</v>
      </c>
      <c r="Q524" s="285"/>
      <c r="R524" s="278"/>
      <c r="S524" s="278"/>
      <c r="T524" s="278"/>
    </row>
    <row r="525" spans="1:20" s="305" customFormat="1" hidden="1" outlineLevel="1" x14ac:dyDescent="0.25">
      <c r="A525" s="344">
        <v>8.6349999999999998</v>
      </c>
      <c r="B525" s="279" t="str">
        <f t="shared" si="207"/>
        <v>50x22PL</v>
      </c>
      <c r="C525" s="278" t="s">
        <v>1581</v>
      </c>
      <c r="D525" s="278"/>
      <c r="E525" s="278" t="s">
        <v>1860</v>
      </c>
      <c r="F525" s="278"/>
      <c r="G525" s="278" t="s">
        <v>15</v>
      </c>
      <c r="H525" s="328">
        <f t="shared" si="197"/>
        <v>0.12089</v>
      </c>
      <c r="I525" s="280">
        <f t="shared" si="208"/>
        <v>9.7461517999999998</v>
      </c>
      <c r="J525" s="281">
        <f t="shared" si="209"/>
        <v>11.0529727</v>
      </c>
      <c r="K525" s="282">
        <f>IF(Notes!$B$9="Domestic",I525, IF(Notes!$B$9="Commercial",J525))*$K$415</f>
        <v>11.0529727</v>
      </c>
      <c r="L525" s="283">
        <f>(SUM(O525:Q525)+(K525+SUM(M525:Q525))*(INDEX($U$415:$AB$415,MATCH(Notes!$C$16,$U$3:$AB$3,0))-100%))*$L$415</f>
        <v>63.791926000000004</v>
      </c>
      <c r="M525" s="286"/>
      <c r="N525" s="286"/>
      <c r="O525" s="311">
        <f t="shared" si="210"/>
        <v>20.724</v>
      </c>
      <c r="P525" s="311">
        <f t="shared" si="210"/>
        <v>43.067926</v>
      </c>
      <c r="Q525" s="285"/>
      <c r="R525" s="278"/>
      <c r="S525" s="278"/>
      <c r="T525" s="278"/>
    </row>
    <row r="526" spans="1:20" s="305" customFormat="1" hidden="1" outlineLevel="1" x14ac:dyDescent="0.25">
      <c r="A526" s="344">
        <v>9.8125</v>
      </c>
      <c r="B526" s="279" t="str">
        <f t="shared" si="207"/>
        <v>50x25PL</v>
      </c>
      <c r="C526" s="278" t="s">
        <v>1582</v>
      </c>
      <c r="D526" s="278"/>
      <c r="E526" s="278" t="s">
        <v>1860</v>
      </c>
      <c r="F526" s="278"/>
      <c r="G526" s="278" t="s">
        <v>15</v>
      </c>
      <c r="H526" s="328">
        <f t="shared" si="197"/>
        <v>0.137375</v>
      </c>
      <c r="I526" s="280">
        <f t="shared" si="208"/>
        <v>11.075172500000001</v>
      </c>
      <c r="J526" s="281">
        <f t="shared" si="209"/>
        <v>12.560196250000001</v>
      </c>
      <c r="K526" s="282">
        <f>IF(Notes!$B$9="Domestic",I526, IF(Notes!$B$9="Commercial",J526))*$K$415</f>
        <v>12.560196250000001</v>
      </c>
      <c r="L526" s="283">
        <f>(SUM(O526:Q526)+(K526+SUM(M526:Q526))*(INDEX($U$415:$AB$415,MATCH(Notes!$C$16,$U$3:$AB$3,0))-100%))*$L$415</f>
        <v>72.490825000000001</v>
      </c>
      <c r="M526" s="286"/>
      <c r="N526" s="286"/>
      <c r="O526" s="311">
        <f t="shared" si="210"/>
        <v>23.55</v>
      </c>
      <c r="P526" s="311">
        <f t="shared" si="210"/>
        <v>48.940825000000004</v>
      </c>
      <c r="Q526" s="285"/>
      <c r="R526" s="278"/>
      <c r="S526" s="278"/>
      <c r="T526" s="278"/>
    </row>
    <row r="527" spans="1:20" s="305" customFormat="1" hidden="1" outlineLevel="1" x14ac:dyDescent="0.25">
      <c r="A527" s="344">
        <v>10.99</v>
      </c>
      <c r="B527" s="279" t="str">
        <f t="shared" si="207"/>
        <v>50x28PL</v>
      </c>
      <c r="C527" s="278" t="s">
        <v>1583</v>
      </c>
      <c r="D527" s="278"/>
      <c r="E527" s="278" t="s">
        <v>1860</v>
      </c>
      <c r="F527" s="278"/>
      <c r="G527" s="278" t="s">
        <v>15</v>
      </c>
      <c r="H527" s="328">
        <f t="shared" si="197"/>
        <v>0.15386000000000002</v>
      </c>
      <c r="I527" s="280">
        <f t="shared" si="208"/>
        <v>12.404193200000003</v>
      </c>
      <c r="J527" s="281">
        <f t="shared" si="209"/>
        <v>14.067419800000003</v>
      </c>
      <c r="K527" s="282">
        <f>IF(Notes!$B$9="Domestic",I527, IF(Notes!$B$9="Commercial",J527))*$K$415</f>
        <v>14.067419800000003</v>
      </c>
      <c r="L527" s="283">
        <f>(SUM(O527:Q527)+(K527+SUM(M527:Q527))*(INDEX($U$415:$AB$415,MATCH(Notes!$C$16,$U$3:$AB$3,0))-100%))*$L$415</f>
        <v>81.189723999999998</v>
      </c>
      <c r="M527" s="286"/>
      <c r="N527" s="286"/>
      <c r="O527" s="311">
        <f t="shared" si="210"/>
        <v>26.376000000000001</v>
      </c>
      <c r="P527" s="311">
        <f t="shared" si="210"/>
        <v>54.813724000000001</v>
      </c>
      <c r="Q527" s="285"/>
      <c r="R527" s="278"/>
      <c r="S527" s="278"/>
      <c r="T527" s="278"/>
    </row>
    <row r="528" spans="1:20" s="305" customFormat="1" hidden="1" outlineLevel="1" x14ac:dyDescent="0.25">
      <c r="A528" s="344">
        <v>12.56</v>
      </c>
      <c r="B528" s="279" t="str">
        <f t="shared" si="207"/>
        <v>50x32PL</v>
      </c>
      <c r="C528" s="278" t="s">
        <v>1584</v>
      </c>
      <c r="D528" s="278"/>
      <c r="E528" s="278" t="s">
        <v>1860</v>
      </c>
      <c r="F528" s="278"/>
      <c r="G528" s="278" t="s">
        <v>15</v>
      </c>
      <c r="H528" s="328">
        <f t="shared" si="197"/>
        <v>0.17584</v>
      </c>
      <c r="I528" s="280">
        <f t="shared" si="208"/>
        <v>14.176220800000001</v>
      </c>
      <c r="J528" s="281">
        <f t="shared" si="209"/>
        <v>16.0770512</v>
      </c>
      <c r="K528" s="282">
        <f>IF(Notes!$B$9="Domestic",I528, IF(Notes!$B$9="Commercial",J528))*$K$415</f>
        <v>16.0770512</v>
      </c>
      <c r="L528" s="283">
        <f>(SUM(O528:Q528)+(K528+SUM(M528:Q528))*(INDEX($U$415:$AB$415,MATCH(Notes!$C$16,$U$3:$AB$3,0))-100%))*$L$415</f>
        <v>92.788256000000004</v>
      </c>
      <c r="M528" s="286"/>
      <c r="N528" s="286"/>
      <c r="O528" s="311">
        <f t="shared" si="210"/>
        <v>30.143999999999998</v>
      </c>
      <c r="P528" s="311">
        <f t="shared" si="210"/>
        <v>62.644256000000006</v>
      </c>
      <c r="Q528" s="285"/>
      <c r="R528" s="278"/>
      <c r="S528" s="278"/>
      <c r="T528" s="278"/>
    </row>
    <row r="529" spans="1:20" s="305" customFormat="1" hidden="1" outlineLevel="1" x14ac:dyDescent="0.25">
      <c r="A529" s="344">
        <v>14.130000000000003</v>
      </c>
      <c r="B529" s="279" t="str">
        <f t="shared" si="207"/>
        <v>50x36PL</v>
      </c>
      <c r="C529" s="278" t="s">
        <v>1585</v>
      </c>
      <c r="D529" s="278"/>
      <c r="E529" s="278" t="s">
        <v>1860</v>
      </c>
      <c r="F529" s="278"/>
      <c r="G529" s="278" t="s">
        <v>15</v>
      </c>
      <c r="H529" s="328">
        <f t="shared" si="197"/>
        <v>0.19782000000000005</v>
      </c>
      <c r="I529" s="280">
        <f t="shared" si="208"/>
        <v>15.948248400000004</v>
      </c>
      <c r="J529" s="281">
        <f t="shared" si="209"/>
        <v>18.086682600000007</v>
      </c>
      <c r="K529" s="282">
        <f>IF(Notes!$B$9="Domestic",I529, IF(Notes!$B$9="Commercial",J529))*$K$415</f>
        <v>18.086682600000007</v>
      </c>
      <c r="L529" s="283">
        <f>(SUM(O529:Q529)+(K529+SUM(M529:Q529))*(INDEX($U$415:$AB$415,MATCH(Notes!$C$16,$U$3:$AB$3,0))-100%))*$L$415</f>
        <v>104.38678800000002</v>
      </c>
      <c r="M529" s="286"/>
      <c r="N529" s="286"/>
      <c r="O529" s="311">
        <f t="shared" si="210"/>
        <v>33.912000000000006</v>
      </c>
      <c r="P529" s="311">
        <f t="shared" si="210"/>
        <v>70.474788000000018</v>
      </c>
      <c r="Q529" s="285"/>
      <c r="R529" s="278"/>
      <c r="S529" s="278"/>
      <c r="T529" s="278"/>
    </row>
    <row r="530" spans="1:20" s="305" customFormat="1" hidden="1" outlineLevel="1" x14ac:dyDescent="0.25">
      <c r="A530" s="344">
        <v>15.7</v>
      </c>
      <c r="B530" s="279" t="str">
        <f t="shared" si="207"/>
        <v>50x40PL</v>
      </c>
      <c r="C530" s="278" t="s">
        <v>1586</v>
      </c>
      <c r="D530" s="278"/>
      <c r="E530" s="278" t="s">
        <v>1860</v>
      </c>
      <c r="F530" s="278"/>
      <c r="G530" s="278" t="s">
        <v>15</v>
      </c>
      <c r="H530" s="328">
        <f t="shared" si="197"/>
        <v>0.2198</v>
      </c>
      <c r="I530" s="280">
        <f t="shared" si="208"/>
        <v>17.720276000000002</v>
      </c>
      <c r="J530" s="281">
        <f t="shared" si="209"/>
        <v>20.096314</v>
      </c>
      <c r="K530" s="282">
        <f>IF(Notes!$B$9="Domestic",I530, IF(Notes!$B$9="Commercial",J530))*$K$415</f>
        <v>20.096314</v>
      </c>
      <c r="L530" s="283">
        <f>(SUM(O530:Q530)+(K530+SUM(M530:Q530))*(INDEX($U$415:$AB$415,MATCH(Notes!$C$16,$U$3:$AB$3,0))-100%))*$L$415</f>
        <v>115.98532</v>
      </c>
      <c r="M530" s="286"/>
      <c r="N530" s="286"/>
      <c r="O530" s="311">
        <f t="shared" si="210"/>
        <v>37.68</v>
      </c>
      <c r="P530" s="311">
        <f t="shared" si="210"/>
        <v>78.305320000000009</v>
      </c>
      <c r="Q530" s="285"/>
      <c r="R530" s="278"/>
      <c r="S530" s="278"/>
      <c r="T530" s="278"/>
    </row>
    <row r="531" spans="1:20" s="305" customFormat="1" hidden="1" outlineLevel="1" x14ac:dyDescent="0.25">
      <c r="A531" s="344">
        <v>17.662500000000001</v>
      </c>
      <c r="B531" s="279" t="str">
        <f t="shared" si="207"/>
        <v>50x45PL</v>
      </c>
      <c r="C531" s="278" t="s">
        <v>1587</v>
      </c>
      <c r="D531" s="278"/>
      <c r="E531" s="278" t="s">
        <v>1860</v>
      </c>
      <c r="F531" s="278"/>
      <c r="G531" s="278" t="s">
        <v>15</v>
      </c>
      <c r="H531" s="328">
        <f t="shared" si="197"/>
        <v>0.24727500000000002</v>
      </c>
      <c r="I531" s="280">
        <f t="shared" si="208"/>
        <v>19.935310500000003</v>
      </c>
      <c r="J531" s="281">
        <f t="shared" si="209"/>
        <v>22.608353250000004</v>
      </c>
      <c r="K531" s="282">
        <f>IF(Notes!$B$9="Domestic",I531, IF(Notes!$B$9="Commercial",J531))*$K$415</f>
        <v>22.608353250000004</v>
      </c>
      <c r="L531" s="283">
        <f>(SUM(O531:Q531)+(K531+SUM(M531:Q531))*(INDEX($U$415:$AB$415,MATCH(Notes!$C$16,$U$3:$AB$3,0))-100%))*$L$415</f>
        <v>130.48348500000003</v>
      </c>
      <c r="M531" s="286"/>
      <c r="N531" s="286"/>
      <c r="O531" s="311">
        <f t="shared" si="210"/>
        <v>42.39</v>
      </c>
      <c r="P531" s="311">
        <f t="shared" si="210"/>
        <v>88.093485000000015</v>
      </c>
      <c r="Q531" s="285"/>
      <c r="R531" s="278"/>
      <c r="S531" s="278"/>
      <c r="T531" s="278"/>
    </row>
    <row r="532" spans="1:20" s="305" customFormat="1" hidden="1" outlineLevel="1" x14ac:dyDescent="0.25">
      <c r="A532" s="344">
        <v>19.625</v>
      </c>
      <c r="B532" s="279" t="str">
        <f t="shared" si="207"/>
        <v>50x50PL</v>
      </c>
      <c r="C532" s="278" t="s">
        <v>1588</v>
      </c>
      <c r="D532" s="278"/>
      <c r="E532" s="278" t="s">
        <v>1860</v>
      </c>
      <c r="F532" s="278"/>
      <c r="G532" s="278" t="s">
        <v>15</v>
      </c>
      <c r="H532" s="328">
        <f t="shared" si="197"/>
        <v>0.27474999999999999</v>
      </c>
      <c r="I532" s="280">
        <f t="shared" si="208"/>
        <v>22.150345000000002</v>
      </c>
      <c r="J532" s="281">
        <f t="shared" si="209"/>
        <v>25.120392500000001</v>
      </c>
      <c r="K532" s="282">
        <f>IF(Notes!$B$9="Domestic",I532, IF(Notes!$B$9="Commercial",J532))*$K$415</f>
        <v>25.120392500000001</v>
      </c>
      <c r="L532" s="283">
        <f>(SUM(O532:Q532)+(K532+SUM(M532:Q532))*(INDEX($U$415:$AB$415,MATCH(Notes!$C$16,$U$3:$AB$3,0))-100%))*$L$415</f>
        <v>144.98165</v>
      </c>
      <c r="M532" s="286"/>
      <c r="N532" s="286"/>
      <c r="O532" s="311">
        <f t="shared" si="210"/>
        <v>47.1</v>
      </c>
      <c r="P532" s="311">
        <f t="shared" si="210"/>
        <v>97.881650000000008</v>
      </c>
      <c r="Q532" s="285"/>
      <c r="R532" s="278"/>
      <c r="S532" s="278"/>
      <c r="T532" s="278"/>
    </row>
    <row r="533" spans="1:20" s="305" customFormat="1" hidden="1" outlineLevel="1" x14ac:dyDescent="0.25">
      <c r="A533" s="344">
        <v>21.587499999999999</v>
      </c>
      <c r="B533" s="279" t="str">
        <f t="shared" si="207"/>
        <v>50x55PL</v>
      </c>
      <c r="C533" s="278" t="s">
        <v>1589</v>
      </c>
      <c r="D533" s="278"/>
      <c r="E533" s="278" t="s">
        <v>1860</v>
      </c>
      <c r="F533" s="278"/>
      <c r="G533" s="278" t="s">
        <v>15</v>
      </c>
      <c r="H533" s="328">
        <f t="shared" si="197"/>
        <v>0.30222499999999997</v>
      </c>
      <c r="I533" s="280">
        <f t="shared" si="208"/>
        <v>24.3653795</v>
      </c>
      <c r="J533" s="281">
        <f t="shared" si="209"/>
        <v>27.632431749999999</v>
      </c>
      <c r="K533" s="282">
        <f>IF(Notes!$B$9="Domestic",I533, IF(Notes!$B$9="Commercial",J533))*$K$415</f>
        <v>27.632431749999999</v>
      </c>
      <c r="L533" s="283">
        <f>(SUM(O533:Q533)+(K533+SUM(M533:Q533))*(INDEX($U$415:$AB$415,MATCH(Notes!$C$16,$U$3:$AB$3,0))-100%))*$L$415</f>
        <v>159.479815</v>
      </c>
      <c r="M533" s="286"/>
      <c r="N533" s="286"/>
      <c r="O533" s="311">
        <f t="shared" si="210"/>
        <v>51.81</v>
      </c>
      <c r="P533" s="311">
        <f t="shared" si="210"/>
        <v>107.669815</v>
      </c>
      <c r="Q533" s="285"/>
      <c r="R533" s="278"/>
      <c r="S533" s="278"/>
      <c r="T533" s="278"/>
    </row>
    <row r="534" spans="1:20" s="305" customFormat="1" hidden="1" outlineLevel="1" x14ac:dyDescent="0.25">
      <c r="A534" s="344">
        <v>23.55</v>
      </c>
      <c r="B534" s="279" t="str">
        <f t="shared" si="207"/>
        <v>50x60PL</v>
      </c>
      <c r="C534" s="278" t="s">
        <v>1590</v>
      </c>
      <c r="D534" s="278"/>
      <c r="E534" s="278" t="s">
        <v>1860</v>
      </c>
      <c r="F534" s="278"/>
      <c r="G534" s="278" t="s">
        <v>15</v>
      </c>
      <c r="H534" s="328">
        <f t="shared" si="197"/>
        <v>0.32969999999999999</v>
      </c>
      <c r="I534" s="280">
        <f t="shared" si="208"/>
        <v>26.580414000000001</v>
      </c>
      <c r="J534" s="281">
        <f t="shared" si="209"/>
        <v>30.144471000000003</v>
      </c>
      <c r="K534" s="282">
        <f>IF(Notes!$B$9="Domestic",I534, IF(Notes!$B$9="Commercial",J534))*$K$415</f>
        <v>30.144471000000003</v>
      </c>
      <c r="L534" s="283">
        <f>(SUM(O534:Q534)+(K534+SUM(M534:Q534))*(INDEX($U$415:$AB$415,MATCH(Notes!$C$16,$U$3:$AB$3,0))-100%))*$L$415</f>
        <v>173.97798</v>
      </c>
      <c r="M534" s="286"/>
      <c r="N534" s="286"/>
      <c r="O534" s="311">
        <f t="shared" si="210"/>
        <v>56.52</v>
      </c>
      <c r="P534" s="311">
        <f t="shared" si="210"/>
        <v>117.45798000000001</v>
      </c>
      <c r="Q534" s="285"/>
      <c r="R534" s="278"/>
      <c r="S534" s="278"/>
      <c r="T534" s="278"/>
    </row>
    <row r="535" spans="1:20" s="305" customFormat="1" hidden="1" outlineLevel="1" x14ac:dyDescent="0.25">
      <c r="A535" s="344">
        <v>25.5</v>
      </c>
      <c r="B535" s="279" t="str">
        <f t="shared" si="207"/>
        <v>50x65PL</v>
      </c>
      <c r="C535" s="278" t="s">
        <v>1591</v>
      </c>
      <c r="D535" s="278"/>
      <c r="E535" s="278" t="s">
        <v>1860</v>
      </c>
      <c r="F535" s="278"/>
      <c r="G535" s="278" t="s">
        <v>15</v>
      </c>
      <c r="H535" s="328">
        <f t="shared" si="197"/>
        <v>0.35699999999999998</v>
      </c>
      <c r="I535" s="280">
        <f t="shared" si="208"/>
        <v>28.78134</v>
      </c>
      <c r="J535" s="281">
        <f t="shared" si="209"/>
        <v>32.640509999999999</v>
      </c>
      <c r="K535" s="282">
        <f>IF(Notes!$B$9="Domestic",I535, IF(Notes!$B$9="Commercial",J535))*$K$415</f>
        <v>32.640509999999999</v>
      </c>
      <c r="L535" s="283">
        <f>(SUM(O535:Q535)+(K535+SUM(M535:Q535))*(INDEX($U$415:$AB$415,MATCH(Notes!$C$16,$U$3:$AB$3,0))-100%))*$L$415</f>
        <v>188.38380000000001</v>
      </c>
      <c r="M535" s="286"/>
      <c r="N535" s="286"/>
      <c r="O535" s="311">
        <f t="shared" si="210"/>
        <v>61.2</v>
      </c>
      <c r="P535" s="311">
        <f t="shared" si="210"/>
        <v>127.18380000000001</v>
      </c>
      <c r="Q535" s="285"/>
      <c r="R535" s="278"/>
      <c r="S535" s="278"/>
      <c r="T535" s="278"/>
    </row>
    <row r="536" spans="1:20" s="305" customFormat="1" hidden="1" outlineLevel="1" x14ac:dyDescent="0.25">
      <c r="A536" s="344">
        <v>27.475000000000001</v>
      </c>
      <c r="B536" s="279" t="str">
        <f t="shared" si="207"/>
        <v>50x70PL</v>
      </c>
      <c r="C536" s="278" t="s">
        <v>1592</v>
      </c>
      <c r="D536" s="278"/>
      <c r="E536" s="278" t="s">
        <v>1860</v>
      </c>
      <c r="F536" s="278"/>
      <c r="G536" s="278" t="s">
        <v>15</v>
      </c>
      <c r="H536" s="328">
        <f t="shared" si="197"/>
        <v>0.38465000000000005</v>
      </c>
      <c r="I536" s="280">
        <f t="shared" si="208"/>
        <v>31.010483000000004</v>
      </c>
      <c r="J536" s="281">
        <f t="shared" si="209"/>
        <v>35.168549500000005</v>
      </c>
      <c r="K536" s="282">
        <f>IF(Notes!$B$9="Domestic",I536, IF(Notes!$B$9="Commercial",J536))*$K$415</f>
        <v>35.168549500000005</v>
      </c>
      <c r="L536" s="283">
        <f>(SUM(O536:Q536)+(K536+SUM(M536:Q536))*(INDEX($U$415:$AB$415,MATCH(Notes!$C$16,$U$3:$AB$3,0))-100%))*$L$415</f>
        <v>202.97431000000003</v>
      </c>
      <c r="M536" s="286"/>
      <c r="N536" s="286"/>
      <c r="O536" s="311">
        <f t="shared" si="210"/>
        <v>65.94</v>
      </c>
      <c r="P536" s="311">
        <f t="shared" si="210"/>
        <v>137.03431000000003</v>
      </c>
      <c r="Q536" s="285"/>
      <c r="R536" s="278"/>
      <c r="S536" s="278"/>
      <c r="T536" s="278"/>
    </row>
    <row r="537" spans="1:20" s="305" customFormat="1" hidden="1" outlineLevel="1" x14ac:dyDescent="0.25">
      <c r="A537" s="344">
        <v>29.4375</v>
      </c>
      <c r="B537" s="279" t="str">
        <f t="shared" si="207"/>
        <v>50x75PL</v>
      </c>
      <c r="C537" s="278" t="s">
        <v>1593</v>
      </c>
      <c r="D537" s="278"/>
      <c r="E537" s="278" t="s">
        <v>1860</v>
      </c>
      <c r="F537" s="278"/>
      <c r="G537" s="278" t="s">
        <v>15</v>
      </c>
      <c r="H537" s="328">
        <f t="shared" si="197"/>
        <v>0.41212500000000002</v>
      </c>
      <c r="I537" s="280">
        <f t="shared" si="208"/>
        <v>33.225517500000002</v>
      </c>
      <c r="J537" s="281">
        <f t="shared" si="209"/>
        <v>37.680588750000005</v>
      </c>
      <c r="K537" s="282">
        <f>IF(Notes!$B$9="Domestic",I537, IF(Notes!$B$9="Commercial",J537))*$K$415</f>
        <v>37.680588750000005</v>
      </c>
      <c r="L537" s="283">
        <f>(SUM(O537:Q537)+(K537+SUM(M537:Q537))*(INDEX($U$415:$AB$415,MATCH(Notes!$C$16,$U$3:$AB$3,0))-100%))*$L$415</f>
        <v>217.472475</v>
      </c>
      <c r="M537" s="286"/>
      <c r="N537" s="286"/>
      <c r="O537" s="311">
        <f t="shared" si="210"/>
        <v>70.650000000000006</v>
      </c>
      <c r="P537" s="311">
        <f t="shared" si="210"/>
        <v>146.822475</v>
      </c>
      <c r="Q537" s="285"/>
      <c r="R537" s="278"/>
      <c r="S537" s="278"/>
      <c r="T537" s="278"/>
    </row>
    <row r="538" spans="1:20" s="305" customFormat="1" hidden="1" outlineLevel="1" x14ac:dyDescent="0.25">
      <c r="A538" s="344">
        <v>31.4</v>
      </c>
      <c r="B538" s="279" t="str">
        <f t="shared" si="207"/>
        <v>50x80PL</v>
      </c>
      <c r="C538" s="278" t="s">
        <v>1594</v>
      </c>
      <c r="D538" s="278"/>
      <c r="E538" s="278" t="s">
        <v>1860</v>
      </c>
      <c r="F538" s="278"/>
      <c r="G538" s="278" t="s">
        <v>15</v>
      </c>
      <c r="H538" s="328">
        <f t="shared" si="197"/>
        <v>0.43959999999999999</v>
      </c>
      <c r="I538" s="280">
        <f t="shared" si="208"/>
        <v>35.440552000000004</v>
      </c>
      <c r="J538" s="281">
        <f t="shared" si="209"/>
        <v>40.192627999999999</v>
      </c>
      <c r="K538" s="282">
        <f>IF(Notes!$B$9="Domestic",I538, IF(Notes!$B$9="Commercial",J538))*$K$415</f>
        <v>40.192627999999999</v>
      </c>
      <c r="L538" s="283">
        <f>(SUM(O538:Q538)+(K538+SUM(M538:Q538))*(INDEX($U$415:$AB$415,MATCH(Notes!$C$16,$U$3:$AB$3,0))-100%))*$L$415</f>
        <v>231.97064</v>
      </c>
      <c r="M538" s="286"/>
      <c r="N538" s="286"/>
      <c r="O538" s="311">
        <f t="shared" si="210"/>
        <v>75.36</v>
      </c>
      <c r="P538" s="311">
        <f t="shared" si="210"/>
        <v>156.61064000000002</v>
      </c>
      <c r="Q538" s="285"/>
      <c r="R538" s="278"/>
      <c r="S538" s="278"/>
      <c r="T538" s="278"/>
    </row>
    <row r="539" spans="1:20" s="305" customFormat="1" hidden="1" outlineLevel="1" x14ac:dyDescent="0.25">
      <c r="A539" s="344">
        <v>35.325000000000003</v>
      </c>
      <c r="B539" s="279" t="str">
        <f t="shared" si="207"/>
        <v>50x90PL</v>
      </c>
      <c r="C539" s="278" t="s">
        <v>1595</v>
      </c>
      <c r="D539" s="278"/>
      <c r="E539" s="278" t="s">
        <v>1860</v>
      </c>
      <c r="F539" s="278"/>
      <c r="G539" s="278" t="s">
        <v>15</v>
      </c>
      <c r="H539" s="328">
        <f t="shared" si="197"/>
        <v>0.49455000000000005</v>
      </c>
      <c r="I539" s="280">
        <f t="shared" si="208"/>
        <v>39.870621000000007</v>
      </c>
      <c r="J539" s="281">
        <f t="shared" si="209"/>
        <v>45.216706500000008</v>
      </c>
      <c r="K539" s="282">
        <f>IF(Notes!$B$9="Domestic",I539, IF(Notes!$B$9="Commercial",J539))*$K$415</f>
        <v>45.216706500000008</v>
      </c>
      <c r="L539" s="283">
        <f>(SUM(O539:Q539)+(K539+SUM(M539:Q539))*(INDEX($U$415:$AB$415,MATCH(Notes!$C$16,$U$3:$AB$3,0))-100%))*$L$415</f>
        <v>260.96697000000006</v>
      </c>
      <c r="M539" s="286"/>
      <c r="N539" s="286"/>
      <c r="O539" s="311">
        <f t="shared" si="210"/>
        <v>84.78</v>
      </c>
      <c r="P539" s="311">
        <f t="shared" si="210"/>
        <v>176.18697000000003</v>
      </c>
      <c r="Q539" s="285"/>
      <c r="R539" s="278"/>
      <c r="S539" s="278"/>
      <c r="T539" s="278"/>
    </row>
    <row r="540" spans="1:20" s="305" customFormat="1" hidden="1" outlineLevel="1" x14ac:dyDescent="0.25">
      <c r="A540" s="344">
        <v>39.25</v>
      </c>
      <c r="B540" s="279" t="str">
        <f t="shared" si="207"/>
        <v>50x100PL</v>
      </c>
      <c r="C540" s="278" t="s">
        <v>1596</v>
      </c>
      <c r="D540" s="278"/>
      <c r="E540" s="278" t="s">
        <v>1860</v>
      </c>
      <c r="F540" s="278"/>
      <c r="G540" s="278" t="s">
        <v>15</v>
      </c>
      <c r="H540" s="328">
        <f t="shared" si="197"/>
        <v>0.54949999999999999</v>
      </c>
      <c r="I540" s="280">
        <f t="shared" si="208"/>
        <v>44.300690000000003</v>
      </c>
      <c r="J540" s="281">
        <f t="shared" si="209"/>
        <v>50.240785000000002</v>
      </c>
      <c r="K540" s="282">
        <f>IF(Notes!$B$9="Domestic",I540, IF(Notes!$B$9="Commercial",J540))*$K$415</f>
        <v>50.240785000000002</v>
      </c>
      <c r="L540" s="283">
        <f>(SUM(O540:Q540)+(K540+SUM(M540:Q540))*(INDEX($U$415:$AB$415,MATCH(Notes!$C$16,$U$3:$AB$3,0))-100%))*$L$415</f>
        <v>289.9633</v>
      </c>
      <c r="M540" s="286"/>
      <c r="N540" s="286"/>
      <c r="O540" s="311">
        <f t="shared" si="210"/>
        <v>94.2</v>
      </c>
      <c r="P540" s="311">
        <f t="shared" si="210"/>
        <v>195.76330000000002</v>
      </c>
      <c r="Q540" s="285"/>
      <c r="R540" s="278"/>
      <c r="S540" s="278"/>
      <c r="T540" s="278"/>
    </row>
    <row r="541" spans="1:20" s="305" customFormat="1" hidden="1" outlineLevel="1" x14ac:dyDescent="0.25">
      <c r="A541" s="344">
        <v>1.413</v>
      </c>
      <c r="B541" s="279" t="str">
        <f t="shared" si="207"/>
        <v>60x3PL</v>
      </c>
      <c r="C541" s="278" t="s">
        <v>1597</v>
      </c>
      <c r="D541" s="278"/>
      <c r="E541" s="278" t="s">
        <v>1860</v>
      </c>
      <c r="F541" s="278"/>
      <c r="G541" s="278" t="s">
        <v>15</v>
      </c>
      <c r="H541" s="328">
        <f t="shared" si="197"/>
        <v>1.9782000000000001E-2</v>
      </c>
      <c r="I541" s="280">
        <f t="shared" si="208"/>
        <v>1.5948248400000002</v>
      </c>
      <c r="J541" s="281">
        <f t="shared" si="209"/>
        <v>1.8086682600000001</v>
      </c>
      <c r="K541" s="282">
        <f>IF(Notes!$B$9="Domestic",I541, IF(Notes!$B$9="Commercial",J541))*$K$415</f>
        <v>1.8086682600000001</v>
      </c>
      <c r="L541" s="283">
        <f>(SUM(O541:Q541)+(K541+SUM(M541:Q541))*(INDEX($U$415:$AB$415,MATCH(Notes!$C$16,$U$3:$AB$3,0))-100%))*$L$415</f>
        <v>10.438678800000002</v>
      </c>
      <c r="M541" s="286"/>
      <c r="N541" s="286"/>
      <c r="O541" s="311">
        <f t="shared" si="210"/>
        <v>3.3912000000000004</v>
      </c>
      <c r="P541" s="311">
        <f t="shared" si="210"/>
        <v>7.0474788000000004</v>
      </c>
      <c r="Q541" s="285"/>
      <c r="R541" s="278"/>
      <c r="S541" s="278"/>
      <c r="T541" s="278"/>
    </row>
    <row r="542" spans="1:20" s="305" customFormat="1" hidden="1" outlineLevel="1" x14ac:dyDescent="0.25">
      <c r="A542" s="344">
        <v>1.8839999999999999</v>
      </c>
      <c r="B542" s="279" t="str">
        <f t="shared" si="207"/>
        <v>60x4PL</v>
      </c>
      <c r="C542" s="278" t="s">
        <v>1598</v>
      </c>
      <c r="D542" s="278"/>
      <c r="E542" s="278" t="s">
        <v>1860</v>
      </c>
      <c r="F542" s="278"/>
      <c r="G542" s="278" t="s">
        <v>15</v>
      </c>
      <c r="H542" s="328">
        <f t="shared" si="197"/>
        <v>2.6375999999999997E-2</v>
      </c>
      <c r="I542" s="280">
        <f t="shared" si="208"/>
        <v>2.1264331199999997</v>
      </c>
      <c r="J542" s="281">
        <f t="shared" si="209"/>
        <v>2.41155768</v>
      </c>
      <c r="K542" s="282">
        <f>IF(Notes!$B$9="Domestic",I542, IF(Notes!$B$9="Commercial",J542))*$K$415</f>
        <v>2.41155768</v>
      </c>
      <c r="L542" s="283">
        <f>(SUM(O542:Q542)+(K542+SUM(M542:Q542))*(INDEX($U$415:$AB$415,MATCH(Notes!$C$16,$U$3:$AB$3,0))-100%))*$L$415</f>
        <v>13.9182384</v>
      </c>
      <c r="M542" s="286"/>
      <c r="N542" s="286"/>
      <c r="O542" s="311">
        <f t="shared" si="210"/>
        <v>4.5215999999999994</v>
      </c>
      <c r="P542" s="311">
        <f t="shared" si="210"/>
        <v>9.3966384000000005</v>
      </c>
      <c r="Q542" s="285"/>
      <c r="R542" s="278"/>
      <c r="S542" s="278"/>
      <c r="T542" s="278"/>
    </row>
    <row r="543" spans="1:20" s="305" customFormat="1" hidden="1" outlineLevel="1" x14ac:dyDescent="0.25">
      <c r="A543" s="344">
        <v>2.355</v>
      </c>
      <c r="B543" s="279" t="str">
        <f t="shared" si="207"/>
        <v>60x5PL</v>
      </c>
      <c r="C543" s="278" t="s">
        <v>1599</v>
      </c>
      <c r="D543" s="278"/>
      <c r="E543" s="278" t="s">
        <v>1860</v>
      </c>
      <c r="F543" s="278"/>
      <c r="G543" s="278" t="s">
        <v>15</v>
      </c>
      <c r="H543" s="328">
        <f t="shared" si="197"/>
        <v>3.2969999999999999E-2</v>
      </c>
      <c r="I543" s="280">
        <f t="shared" si="208"/>
        <v>2.6580414000000001</v>
      </c>
      <c r="J543" s="281">
        <f t="shared" si="209"/>
        <v>3.0144471000000004</v>
      </c>
      <c r="K543" s="282">
        <f>IF(Notes!$B$9="Domestic",I543, IF(Notes!$B$9="Commercial",J543))*$K$415</f>
        <v>3.0144471000000004</v>
      </c>
      <c r="L543" s="283">
        <f>(SUM(O543:Q543)+(K543+SUM(M543:Q543))*(INDEX($U$415:$AB$415,MATCH(Notes!$C$16,$U$3:$AB$3,0))-100%))*$L$415</f>
        <v>17.397798000000002</v>
      </c>
      <c r="M543" s="286"/>
      <c r="N543" s="286"/>
      <c r="O543" s="311">
        <f t="shared" si="210"/>
        <v>5.6520000000000001</v>
      </c>
      <c r="P543" s="311">
        <f t="shared" si="210"/>
        <v>11.745798000000001</v>
      </c>
      <c r="Q543" s="285"/>
      <c r="R543" s="278"/>
      <c r="S543" s="278"/>
      <c r="T543" s="278"/>
    </row>
    <row r="544" spans="1:20" s="305" customFormat="1" hidden="1" outlineLevel="1" x14ac:dyDescent="0.25">
      <c r="A544" s="344">
        <v>2.8260000000000001</v>
      </c>
      <c r="B544" s="279" t="str">
        <f t="shared" si="207"/>
        <v>60x6PL</v>
      </c>
      <c r="C544" s="278" t="s">
        <v>1600</v>
      </c>
      <c r="D544" s="278"/>
      <c r="E544" s="278" t="s">
        <v>1860</v>
      </c>
      <c r="F544" s="278"/>
      <c r="G544" s="278" t="s">
        <v>15</v>
      </c>
      <c r="H544" s="328">
        <f t="shared" si="197"/>
        <v>3.9564000000000002E-2</v>
      </c>
      <c r="I544" s="280">
        <f t="shared" si="208"/>
        <v>3.1896496800000005</v>
      </c>
      <c r="J544" s="281">
        <f t="shared" si="209"/>
        <v>3.6173365200000003</v>
      </c>
      <c r="K544" s="282">
        <f>IF(Notes!$B$9="Domestic",I544, IF(Notes!$B$9="Commercial",J544))*$K$415</f>
        <v>3.6173365200000003</v>
      </c>
      <c r="L544" s="283">
        <f>(SUM(O544:Q544)+(K544+SUM(M544:Q544))*(INDEX($U$415:$AB$415,MATCH(Notes!$C$16,$U$3:$AB$3,0))-100%))*$L$415</f>
        <v>20.877357600000003</v>
      </c>
      <c r="M544" s="286"/>
      <c r="N544" s="286"/>
      <c r="O544" s="311">
        <f t="shared" si="210"/>
        <v>6.7824000000000009</v>
      </c>
      <c r="P544" s="311">
        <f t="shared" si="210"/>
        <v>14.094957600000001</v>
      </c>
      <c r="Q544" s="285"/>
      <c r="R544" s="278"/>
      <c r="S544" s="278"/>
      <c r="T544" s="278"/>
    </row>
    <row r="545" spans="1:20" s="305" customFormat="1" hidden="1" outlineLevel="1" x14ac:dyDescent="0.25">
      <c r="A545" s="344">
        <v>3.7679999999999998</v>
      </c>
      <c r="B545" s="279" t="str">
        <f t="shared" si="207"/>
        <v>60x8PL</v>
      </c>
      <c r="C545" s="278" t="s">
        <v>1601</v>
      </c>
      <c r="D545" s="278"/>
      <c r="E545" s="278" t="s">
        <v>1860</v>
      </c>
      <c r="F545" s="278"/>
      <c r="G545" s="278" t="s">
        <v>15</v>
      </c>
      <c r="H545" s="328">
        <f t="shared" si="197"/>
        <v>5.2751999999999993E-2</v>
      </c>
      <c r="I545" s="280">
        <f t="shared" si="208"/>
        <v>4.2528662399999995</v>
      </c>
      <c r="J545" s="281">
        <f t="shared" si="209"/>
        <v>4.8231153600000001</v>
      </c>
      <c r="K545" s="282">
        <f>IF(Notes!$B$9="Domestic",I545, IF(Notes!$B$9="Commercial",J545))*$K$415</f>
        <v>4.8231153600000001</v>
      </c>
      <c r="L545" s="283">
        <f>(SUM(O545:Q545)+(K545+SUM(M545:Q545))*(INDEX($U$415:$AB$415,MATCH(Notes!$C$16,$U$3:$AB$3,0))-100%))*$L$415</f>
        <v>27.8364768</v>
      </c>
      <c r="M545" s="286"/>
      <c r="N545" s="286"/>
      <c r="O545" s="311">
        <f t="shared" si="210"/>
        <v>9.0431999999999988</v>
      </c>
      <c r="P545" s="311">
        <f t="shared" si="210"/>
        <v>18.793276800000001</v>
      </c>
      <c r="Q545" s="285"/>
      <c r="R545" s="278"/>
      <c r="S545" s="278"/>
      <c r="T545" s="278"/>
    </row>
    <row r="546" spans="1:20" s="305" customFormat="1" hidden="1" outlineLevel="1" x14ac:dyDescent="0.25">
      <c r="A546" s="344">
        <v>4.71</v>
      </c>
      <c r="B546" s="279" t="str">
        <f t="shared" si="207"/>
        <v>60x10PL</v>
      </c>
      <c r="C546" s="278" t="s">
        <v>1602</v>
      </c>
      <c r="D546" s="278"/>
      <c r="E546" s="278" t="s">
        <v>1860</v>
      </c>
      <c r="F546" s="278"/>
      <c r="G546" s="278" t="s">
        <v>15</v>
      </c>
      <c r="H546" s="328">
        <f t="shared" si="197"/>
        <v>6.5939999999999999E-2</v>
      </c>
      <c r="I546" s="280">
        <f t="shared" si="208"/>
        <v>5.3160828000000002</v>
      </c>
      <c r="J546" s="281">
        <f t="shared" si="209"/>
        <v>6.0288942000000008</v>
      </c>
      <c r="K546" s="282">
        <f>IF(Notes!$B$9="Domestic",I546, IF(Notes!$B$9="Commercial",J546))*$K$415</f>
        <v>6.0288942000000008</v>
      </c>
      <c r="L546" s="283">
        <f>(SUM(O546:Q546)+(K546+SUM(M546:Q546))*(INDEX($U$415:$AB$415,MATCH(Notes!$C$16,$U$3:$AB$3,0))-100%))*$L$415</f>
        <v>34.795596000000003</v>
      </c>
      <c r="M546" s="286"/>
      <c r="N546" s="286"/>
      <c r="O546" s="311">
        <f t="shared" si="210"/>
        <v>11.304</v>
      </c>
      <c r="P546" s="311">
        <f t="shared" si="210"/>
        <v>23.491596000000001</v>
      </c>
      <c r="Q546" s="285"/>
      <c r="R546" s="278"/>
      <c r="S546" s="278"/>
      <c r="T546" s="278"/>
    </row>
    <row r="547" spans="1:20" s="305" customFormat="1" hidden="1" outlineLevel="1" x14ac:dyDescent="0.25">
      <c r="A547" s="344">
        <v>5.6520000000000001</v>
      </c>
      <c r="B547" s="279" t="str">
        <f t="shared" si="207"/>
        <v>60x12PL</v>
      </c>
      <c r="C547" s="278" t="s">
        <v>1603</v>
      </c>
      <c r="D547" s="278"/>
      <c r="E547" s="278" t="s">
        <v>1860</v>
      </c>
      <c r="F547" s="278"/>
      <c r="G547" s="278" t="s">
        <v>15</v>
      </c>
      <c r="H547" s="328">
        <f t="shared" si="197"/>
        <v>7.9128000000000004E-2</v>
      </c>
      <c r="I547" s="280">
        <f t="shared" si="208"/>
        <v>6.379299360000001</v>
      </c>
      <c r="J547" s="281">
        <f t="shared" si="209"/>
        <v>7.2346730400000006</v>
      </c>
      <c r="K547" s="282">
        <f>IF(Notes!$B$9="Domestic",I547, IF(Notes!$B$9="Commercial",J547))*$K$415</f>
        <v>7.2346730400000006</v>
      </c>
      <c r="L547" s="283">
        <f>(SUM(O547:Q547)+(K547+SUM(M547:Q547))*(INDEX($U$415:$AB$415,MATCH(Notes!$C$16,$U$3:$AB$3,0))-100%))*$L$415</f>
        <v>41.754715200000007</v>
      </c>
      <c r="M547" s="286"/>
      <c r="N547" s="286"/>
      <c r="O547" s="311">
        <f t="shared" si="210"/>
        <v>13.564800000000002</v>
      </c>
      <c r="P547" s="311">
        <f t="shared" si="210"/>
        <v>28.189915200000002</v>
      </c>
      <c r="Q547" s="285"/>
      <c r="R547" s="278"/>
      <c r="S547" s="278"/>
      <c r="T547" s="278"/>
    </row>
    <row r="548" spans="1:20" s="305" customFormat="1" hidden="1" outlineLevel="1" x14ac:dyDescent="0.25">
      <c r="A548" s="344">
        <v>7.5359999999999996</v>
      </c>
      <c r="B548" s="279" t="str">
        <f t="shared" si="207"/>
        <v>60x16PL</v>
      </c>
      <c r="C548" s="278" t="s">
        <v>1604</v>
      </c>
      <c r="D548" s="278"/>
      <c r="E548" s="278" t="s">
        <v>1860</v>
      </c>
      <c r="F548" s="278"/>
      <c r="G548" s="278" t="s">
        <v>15</v>
      </c>
      <c r="H548" s="328">
        <f t="shared" si="197"/>
        <v>0.10550399999999999</v>
      </c>
      <c r="I548" s="280">
        <f t="shared" si="208"/>
        <v>8.5057324799999989</v>
      </c>
      <c r="J548" s="281">
        <f t="shared" si="209"/>
        <v>9.6462307200000001</v>
      </c>
      <c r="K548" s="282">
        <f>IF(Notes!$B$9="Domestic",I548, IF(Notes!$B$9="Commercial",J548))*$K$415</f>
        <v>9.6462307200000001</v>
      </c>
      <c r="L548" s="283">
        <f>(SUM(O548:Q548)+(K548+SUM(M548:Q548))*(INDEX($U$415:$AB$415,MATCH(Notes!$C$16,$U$3:$AB$3,0))-100%))*$L$415</f>
        <v>55.6729536</v>
      </c>
      <c r="M548" s="286"/>
      <c r="N548" s="286"/>
      <c r="O548" s="311">
        <f t="shared" si="210"/>
        <v>18.086399999999998</v>
      </c>
      <c r="P548" s="311">
        <f t="shared" si="210"/>
        <v>37.586553600000002</v>
      </c>
      <c r="Q548" s="285"/>
      <c r="R548" s="278"/>
      <c r="S548" s="278"/>
      <c r="T548" s="278"/>
    </row>
    <row r="549" spans="1:20" s="305" customFormat="1" hidden="1" outlineLevel="1" x14ac:dyDescent="0.25">
      <c r="A549" s="344">
        <v>9.42</v>
      </c>
      <c r="B549" s="279" t="str">
        <f t="shared" si="207"/>
        <v>60x20PL</v>
      </c>
      <c r="C549" s="278" t="s">
        <v>1605</v>
      </c>
      <c r="D549" s="278"/>
      <c r="E549" s="278" t="s">
        <v>1860</v>
      </c>
      <c r="F549" s="278"/>
      <c r="G549" s="278" t="s">
        <v>15</v>
      </c>
      <c r="H549" s="328">
        <f t="shared" si="197"/>
        <v>0.13188</v>
      </c>
      <c r="I549" s="280">
        <f t="shared" si="208"/>
        <v>10.6321656</v>
      </c>
      <c r="J549" s="281">
        <f t="shared" si="209"/>
        <v>12.057788400000002</v>
      </c>
      <c r="K549" s="282">
        <f>IF(Notes!$B$9="Domestic",I549, IF(Notes!$B$9="Commercial",J549))*$K$415</f>
        <v>12.057788400000002</v>
      </c>
      <c r="L549" s="283">
        <f>(SUM(O549:Q549)+(K549+SUM(M549:Q549))*(INDEX($U$415:$AB$415,MATCH(Notes!$C$16,$U$3:$AB$3,0))-100%))*$L$415</f>
        <v>69.591192000000007</v>
      </c>
      <c r="M549" s="286"/>
      <c r="N549" s="286"/>
      <c r="O549" s="311">
        <f t="shared" si="210"/>
        <v>22.608000000000001</v>
      </c>
      <c r="P549" s="311">
        <f t="shared" si="210"/>
        <v>46.983192000000003</v>
      </c>
      <c r="Q549" s="285"/>
      <c r="R549" s="278"/>
      <c r="S549" s="278"/>
      <c r="T549" s="278"/>
    </row>
    <row r="550" spans="1:20" s="305" customFormat="1" hidden="1" outlineLevel="1" x14ac:dyDescent="0.25">
      <c r="A550" s="344">
        <v>10.362</v>
      </c>
      <c r="B550" s="279" t="str">
        <f t="shared" si="207"/>
        <v>60x22PL</v>
      </c>
      <c r="C550" s="278" t="s">
        <v>1606</v>
      </c>
      <c r="D550" s="278"/>
      <c r="E550" s="278" t="s">
        <v>1860</v>
      </c>
      <c r="F550" s="278"/>
      <c r="G550" s="278" t="s">
        <v>15</v>
      </c>
      <c r="H550" s="328">
        <f t="shared" si="197"/>
        <v>0.145068</v>
      </c>
      <c r="I550" s="280">
        <f t="shared" si="208"/>
        <v>11.695382160000001</v>
      </c>
      <c r="J550" s="281">
        <f t="shared" si="209"/>
        <v>13.26356724</v>
      </c>
      <c r="K550" s="282">
        <f>IF(Notes!$B$9="Domestic",I550, IF(Notes!$B$9="Commercial",J550))*$K$415</f>
        <v>13.26356724</v>
      </c>
      <c r="L550" s="283">
        <f>(SUM(O550:Q550)+(K550+SUM(M550:Q550))*(INDEX($U$415:$AB$415,MATCH(Notes!$C$16,$U$3:$AB$3,0))-100%))*$L$415</f>
        <v>76.55031120000001</v>
      </c>
      <c r="M550" s="286"/>
      <c r="N550" s="286"/>
      <c r="O550" s="311">
        <f t="shared" si="210"/>
        <v>24.8688</v>
      </c>
      <c r="P550" s="311">
        <f t="shared" si="210"/>
        <v>51.681511200000003</v>
      </c>
      <c r="Q550" s="285"/>
      <c r="R550" s="278"/>
      <c r="S550" s="278"/>
      <c r="T550" s="278"/>
    </row>
    <row r="551" spans="1:20" s="305" customFormat="1" hidden="1" outlineLevel="1" x14ac:dyDescent="0.25">
      <c r="A551" s="344">
        <v>11.775</v>
      </c>
      <c r="B551" s="279" t="str">
        <f t="shared" si="207"/>
        <v>60x25PL</v>
      </c>
      <c r="C551" s="278" t="s">
        <v>1607</v>
      </c>
      <c r="D551" s="278"/>
      <c r="E551" s="278" t="s">
        <v>1860</v>
      </c>
      <c r="F551" s="278"/>
      <c r="G551" s="278" t="s">
        <v>15</v>
      </c>
      <c r="H551" s="328">
        <f t="shared" si="197"/>
        <v>0.16485</v>
      </c>
      <c r="I551" s="280">
        <f t="shared" si="208"/>
        <v>13.290207000000001</v>
      </c>
      <c r="J551" s="281">
        <f t="shared" si="209"/>
        <v>15.072235500000001</v>
      </c>
      <c r="K551" s="282">
        <f>IF(Notes!$B$9="Domestic",I551, IF(Notes!$B$9="Commercial",J551))*$K$415</f>
        <v>15.072235500000001</v>
      </c>
      <c r="L551" s="283">
        <f>(SUM(O551:Q551)+(K551+SUM(M551:Q551))*(INDEX($U$415:$AB$415,MATCH(Notes!$C$16,$U$3:$AB$3,0))-100%))*$L$415</f>
        <v>86.988990000000001</v>
      </c>
      <c r="M551" s="286"/>
      <c r="N551" s="286"/>
      <c r="O551" s="311">
        <f t="shared" si="210"/>
        <v>28.26</v>
      </c>
      <c r="P551" s="311">
        <f t="shared" si="210"/>
        <v>58.728990000000003</v>
      </c>
      <c r="Q551" s="285"/>
      <c r="R551" s="278"/>
      <c r="S551" s="278"/>
      <c r="T551" s="278"/>
    </row>
    <row r="552" spans="1:20" s="305" customFormat="1" hidden="1" outlineLevel="1" x14ac:dyDescent="0.25">
      <c r="A552" s="344">
        <v>13.188000000000001</v>
      </c>
      <c r="B552" s="279" t="str">
        <f t="shared" si="207"/>
        <v>60x28PL</v>
      </c>
      <c r="C552" s="278" t="s">
        <v>1608</v>
      </c>
      <c r="D552" s="278"/>
      <c r="E552" s="278" t="s">
        <v>1860</v>
      </c>
      <c r="F552" s="278"/>
      <c r="G552" s="278" t="s">
        <v>15</v>
      </c>
      <c r="H552" s="328">
        <f t="shared" si="197"/>
        <v>0.18463200000000002</v>
      </c>
      <c r="I552" s="280">
        <f t="shared" si="208"/>
        <v>14.885031840000002</v>
      </c>
      <c r="J552" s="281">
        <f t="shared" si="209"/>
        <v>16.880903760000002</v>
      </c>
      <c r="K552" s="282">
        <f>IF(Notes!$B$9="Domestic",I552, IF(Notes!$B$9="Commercial",J552))*$K$415</f>
        <v>16.880903760000002</v>
      </c>
      <c r="L552" s="283">
        <f>(SUM(O552:Q552)+(K552+SUM(M552:Q552))*(INDEX($U$415:$AB$415,MATCH(Notes!$C$16,$U$3:$AB$3,0))-100%))*$L$415</f>
        <v>97.427668800000006</v>
      </c>
      <c r="M552" s="286"/>
      <c r="N552" s="286"/>
      <c r="O552" s="311">
        <f t="shared" si="210"/>
        <v>31.651199999999999</v>
      </c>
      <c r="P552" s="311">
        <f t="shared" si="210"/>
        <v>65.776468800000004</v>
      </c>
      <c r="Q552" s="285"/>
      <c r="R552" s="278"/>
      <c r="S552" s="278"/>
      <c r="T552" s="278"/>
    </row>
    <row r="553" spans="1:20" s="305" customFormat="1" hidden="1" outlineLevel="1" x14ac:dyDescent="0.25">
      <c r="A553" s="344">
        <v>15.071999999999999</v>
      </c>
      <c r="B553" s="279" t="str">
        <f t="shared" si="207"/>
        <v>60x32PL</v>
      </c>
      <c r="C553" s="278" t="s">
        <v>1609</v>
      </c>
      <c r="D553" s="278"/>
      <c r="E553" s="278" t="s">
        <v>1860</v>
      </c>
      <c r="F553" s="278"/>
      <c r="G553" s="278" t="s">
        <v>15</v>
      </c>
      <c r="H553" s="328">
        <f t="shared" si="197"/>
        <v>0.21100799999999997</v>
      </c>
      <c r="I553" s="280">
        <f t="shared" si="208"/>
        <v>17.011464959999998</v>
      </c>
      <c r="J553" s="281">
        <f t="shared" si="209"/>
        <v>19.29246144</v>
      </c>
      <c r="K553" s="282">
        <f>IF(Notes!$B$9="Domestic",I553, IF(Notes!$B$9="Commercial",J553))*$K$415</f>
        <v>19.29246144</v>
      </c>
      <c r="L553" s="283">
        <f>(SUM(O553:Q553)+(K553+SUM(M553:Q553))*(INDEX($U$415:$AB$415,MATCH(Notes!$C$16,$U$3:$AB$3,0))-100%))*$L$415</f>
        <v>111.3459072</v>
      </c>
      <c r="M553" s="286"/>
      <c r="N553" s="286"/>
      <c r="O553" s="311">
        <f t="shared" si="210"/>
        <v>36.172799999999995</v>
      </c>
      <c r="P553" s="311">
        <f t="shared" si="210"/>
        <v>75.173107200000004</v>
      </c>
      <c r="Q553" s="285"/>
      <c r="R553" s="278"/>
      <c r="S553" s="278"/>
      <c r="T553" s="278"/>
    </row>
    <row r="554" spans="1:20" s="305" customFormat="1" hidden="1" outlineLevel="1" x14ac:dyDescent="0.25">
      <c r="A554" s="344">
        <v>16.956</v>
      </c>
      <c r="B554" s="279" t="str">
        <f t="shared" si="207"/>
        <v>60x36PL</v>
      </c>
      <c r="C554" s="278" t="s">
        <v>1610</v>
      </c>
      <c r="D554" s="278"/>
      <c r="E554" s="278" t="s">
        <v>1860</v>
      </c>
      <c r="F554" s="278"/>
      <c r="G554" s="278" t="s">
        <v>15</v>
      </c>
      <c r="H554" s="328">
        <f t="shared" si="197"/>
        <v>0.23738399999999998</v>
      </c>
      <c r="I554" s="280">
        <f t="shared" si="208"/>
        <v>19.137898079999999</v>
      </c>
      <c r="J554" s="281">
        <f t="shared" si="209"/>
        <v>21.704019120000002</v>
      </c>
      <c r="K554" s="282">
        <f>IF(Notes!$B$9="Domestic",I554, IF(Notes!$B$9="Commercial",J554))*$K$415</f>
        <v>21.704019120000002</v>
      </c>
      <c r="L554" s="283">
        <f>(SUM(O554:Q554)+(K554+SUM(M554:Q554))*(INDEX($U$415:$AB$415,MATCH(Notes!$C$16,$U$3:$AB$3,0))-100%))*$L$415</f>
        <v>125.26414560000001</v>
      </c>
      <c r="M554" s="286"/>
      <c r="N554" s="286"/>
      <c r="O554" s="311">
        <f t="shared" si="210"/>
        <v>40.694400000000002</v>
      </c>
      <c r="P554" s="311">
        <f t="shared" si="210"/>
        <v>84.569745600000005</v>
      </c>
      <c r="Q554" s="285"/>
      <c r="R554" s="278"/>
      <c r="S554" s="278"/>
      <c r="T554" s="278"/>
    </row>
    <row r="555" spans="1:20" s="305" customFormat="1" hidden="1" outlineLevel="1" x14ac:dyDescent="0.25">
      <c r="A555" s="344">
        <v>18.84</v>
      </c>
      <c r="B555" s="279" t="str">
        <f t="shared" si="207"/>
        <v>60x40PL</v>
      </c>
      <c r="C555" s="278" t="s">
        <v>1611</v>
      </c>
      <c r="D555" s="278"/>
      <c r="E555" s="278" t="s">
        <v>1860</v>
      </c>
      <c r="F555" s="278"/>
      <c r="G555" s="278" t="s">
        <v>15</v>
      </c>
      <c r="H555" s="328">
        <f t="shared" si="197"/>
        <v>0.26375999999999999</v>
      </c>
      <c r="I555" s="280">
        <f t="shared" si="208"/>
        <v>21.264331200000001</v>
      </c>
      <c r="J555" s="281">
        <f t="shared" si="209"/>
        <v>24.115576800000003</v>
      </c>
      <c r="K555" s="282">
        <f>IF(Notes!$B$9="Domestic",I555, IF(Notes!$B$9="Commercial",J555))*$K$415</f>
        <v>24.115576800000003</v>
      </c>
      <c r="L555" s="283">
        <f>(SUM(O555:Q555)+(K555+SUM(M555:Q555))*(INDEX($U$415:$AB$415,MATCH(Notes!$C$16,$U$3:$AB$3,0))-100%))*$L$415</f>
        <v>139.18238400000001</v>
      </c>
      <c r="M555" s="286"/>
      <c r="N555" s="286"/>
      <c r="O555" s="311">
        <f t="shared" si="210"/>
        <v>45.216000000000001</v>
      </c>
      <c r="P555" s="311">
        <f t="shared" si="210"/>
        <v>93.966384000000005</v>
      </c>
      <c r="Q555" s="285"/>
      <c r="R555" s="278"/>
      <c r="S555" s="278"/>
      <c r="T555" s="278"/>
    </row>
    <row r="556" spans="1:20" s="305" customFormat="1" hidden="1" outlineLevel="1" x14ac:dyDescent="0.25">
      <c r="A556" s="344">
        <v>21.195</v>
      </c>
      <c r="B556" s="279" t="str">
        <f t="shared" si="207"/>
        <v>60x45PL</v>
      </c>
      <c r="C556" s="278" t="s">
        <v>1612</v>
      </c>
      <c r="D556" s="278"/>
      <c r="E556" s="278" t="s">
        <v>1860</v>
      </c>
      <c r="F556" s="278"/>
      <c r="G556" s="278" t="s">
        <v>15</v>
      </c>
      <c r="H556" s="328">
        <f t="shared" si="197"/>
        <v>0.29672999999999999</v>
      </c>
      <c r="I556" s="280">
        <f t="shared" si="208"/>
        <v>23.922372599999999</v>
      </c>
      <c r="J556" s="281">
        <f t="shared" si="209"/>
        <v>27.130023900000001</v>
      </c>
      <c r="K556" s="282">
        <f>IF(Notes!$B$9="Domestic",I556, IF(Notes!$B$9="Commercial",J556))*$K$415</f>
        <v>27.130023900000001</v>
      </c>
      <c r="L556" s="283">
        <f>(SUM(O556:Q556)+(K556+SUM(M556:Q556))*(INDEX($U$415:$AB$415,MATCH(Notes!$C$16,$U$3:$AB$3,0))-100%))*$L$415</f>
        <v>156.58018200000001</v>
      </c>
      <c r="M556" s="286"/>
      <c r="N556" s="286"/>
      <c r="O556" s="311">
        <f t="shared" si="210"/>
        <v>50.868000000000002</v>
      </c>
      <c r="P556" s="311">
        <f t="shared" si="210"/>
        <v>105.71218200000001</v>
      </c>
      <c r="Q556" s="285"/>
      <c r="R556" s="278"/>
      <c r="S556" s="278"/>
      <c r="T556" s="278"/>
    </row>
    <row r="557" spans="1:20" s="305" customFormat="1" hidden="1" outlineLevel="1" x14ac:dyDescent="0.25">
      <c r="A557" s="344">
        <v>23.55</v>
      </c>
      <c r="B557" s="279" t="str">
        <f t="shared" si="207"/>
        <v>60x50PL</v>
      </c>
      <c r="C557" s="278" t="s">
        <v>1613</v>
      </c>
      <c r="D557" s="278"/>
      <c r="E557" s="278" t="s">
        <v>1860</v>
      </c>
      <c r="F557" s="278"/>
      <c r="G557" s="278" t="s">
        <v>15</v>
      </c>
      <c r="H557" s="328">
        <f t="shared" si="197"/>
        <v>0.32969999999999999</v>
      </c>
      <c r="I557" s="280">
        <f t="shared" si="208"/>
        <v>26.580414000000001</v>
      </c>
      <c r="J557" s="281">
        <f t="shared" si="209"/>
        <v>30.144471000000003</v>
      </c>
      <c r="K557" s="282">
        <f>IF(Notes!$B$9="Domestic",I557, IF(Notes!$B$9="Commercial",J557))*$K$415</f>
        <v>30.144471000000003</v>
      </c>
      <c r="L557" s="283">
        <f>(SUM(O557:Q557)+(K557+SUM(M557:Q557))*(INDEX($U$415:$AB$415,MATCH(Notes!$C$16,$U$3:$AB$3,0))-100%))*$L$415</f>
        <v>173.97798</v>
      </c>
      <c r="M557" s="286"/>
      <c r="N557" s="286"/>
      <c r="O557" s="311">
        <f t="shared" si="210"/>
        <v>56.52</v>
      </c>
      <c r="P557" s="311">
        <f t="shared" si="210"/>
        <v>117.45798000000001</v>
      </c>
      <c r="Q557" s="285"/>
      <c r="R557" s="278"/>
      <c r="S557" s="278"/>
      <c r="T557" s="278"/>
    </row>
    <row r="558" spans="1:20" s="305" customFormat="1" hidden="1" outlineLevel="1" x14ac:dyDescent="0.25">
      <c r="A558" s="344">
        <v>25.905000000000001</v>
      </c>
      <c r="B558" s="279" t="str">
        <f t="shared" si="207"/>
        <v>60x55PL</v>
      </c>
      <c r="C558" s="278" t="s">
        <v>1614</v>
      </c>
      <c r="D558" s="278"/>
      <c r="E558" s="278" t="s">
        <v>1860</v>
      </c>
      <c r="F558" s="278"/>
      <c r="G558" s="278" t="s">
        <v>15</v>
      </c>
      <c r="H558" s="328">
        <f t="shared" si="197"/>
        <v>0.36266999999999999</v>
      </c>
      <c r="I558" s="280">
        <f t="shared" si="208"/>
        <v>29.238455399999999</v>
      </c>
      <c r="J558" s="281">
        <f t="shared" si="209"/>
        <v>33.158918100000001</v>
      </c>
      <c r="K558" s="282">
        <f>IF(Notes!$B$9="Domestic",I558, IF(Notes!$B$9="Commercial",J558))*$K$415</f>
        <v>33.158918100000001</v>
      </c>
      <c r="L558" s="283">
        <f>(SUM(O558:Q558)+(K558+SUM(M558:Q558))*(INDEX($U$415:$AB$415,MATCH(Notes!$C$16,$U$3:$AB$3,0))-100%))*$L$415</f>
        <v>191.37577800000003</v>
      </c>
      <c r="M558" s="286"/>
      <c r="N558" s="286"/>
      <c r="O558" s="311">
        <f t="shared" si="210"/>
        <v>62.171999999999997</v>
      </c>
      <c r="P558" s="311">
        <f t="shared" si="210"/>
        <v>129.20377800000003</v>
      </c>
      <c r="Q558" s="285"/>
      <c r="R558" s="278"/>
      <c r="S558" s="278"/>
      <c r="T558" s="278"/>
    </row>
    <row r="559" spans="1:20" s="305" customFormat="1" hidden="1" outlineLevel="1" x14ac:dyDescent="0.25">
      <c r="A559" s="344">
        <v>28.26</v>
      </c>
      <c r="B559" s="279" t="str">
        <f t="shared" si="207"/>
        <v>60x60PL</v>
      </c>
      <c r="C559" s="278" t="s">
        <v>1615</v>
      </c>
      <c r="D559" s="278"/>
      <c r="E559" s="278" t="s">
        <v>1860</v>
      </c>
      <c r="F559" s="278"/>
      <c r="G559" s="278" t="s">
        <v>15</v>
      </c>
      <c r="H559" s="328">
        <f t="shared" si="197"/>
        <v>0.39564000000000005</v>
      </c>
      <c r="I559" s="280">
        <f t="shared" si="208"/>
        <v>31.896496800000005</v>
      </c>
      <c r="J559" s="281">
        <f t="shared" si="209"/>
        <v>36.173365200000006</v>
      </c>
      <c r="K559" s="282">
        <f>IF(Notes!$B$9="Domestic",I559, IF(Notes!$B$9="Commercial",J559))*$K$415</f>
        <v>36.173365200000006</v>
      </c>
      <c r="L559" s="283">
        <f>(SUM(O559:Q559)+(K559+SUM(M559:Q559))*(INDEX($U$415:$AB$415,MATCH(Notes!$C$16,$U$3:$AB$3,0))-100%))*$L$415</f>
        <v>208.77357600000005</v>
      </c>
      <c r="M559" s="286"/>
      <c r="N559" s="286"/>
      <c r="O559" s="311">
        <f t="shared" si="210"/>
        <v>67.823999999999998</v>
      </c>
      <c r="P559" s="311">
        <f t="shared" si="210"/>
        <v>140.94957600000004</v>
      </c>
      <c r="Q559" s="285"/>
      <c r="R559" s="278"/>
      <c r="S559" s="278"/>
      <c r="T559" s="278"/>
    </row>
    <row r="560" spans="1:20" s="305" customFormat="1" hidden="1" outlineLevel="1" x14ac:dyDescent="0.25">
      <c r="A560" s="344">
        <v>30.6</v>
      </c>
      <c r="B560" s="279" t="str">
        <f t="shared" si="207"/>
        <v>60x65PL</v>
      </c>
      <c r="C560" s="278" t="s">
        <v>1616</v>
      </c>
      <c r="D560" s="278"/>
      <c r="E560" s="278" t="s">
        <v>1860</v>
      </c>
      <c r="F560" s="278"/>
      <c r="G560" s="278" t="s">
        <v>15</v>
      </c>
      <c r="H560" s="328">
        <f t="shared" si="197"/>
        <v>0.42840000000000006</v>
      </c>
      <c r="I560" s="280">
        <f t="shared" si="208"/>
        <v>34.537608000000006</v>
      </c>
      <c r="J560" s="281">
        <f t="shared" si="209"/>
        <v>39.16861200000001</v>
      </c>
      <c r="K560" s="282">
        <f>IF(Notes!$B$9="Domestic",I560, IF(Notes!$B$9="Commercial",J560))*$K$415</f>
        <v>39.16861200000001</v>
      </c>
      <c r="L560" s="283">
        <f>(SUM(O560:Q560)+(K560+SUM(M560:Q560))*(INDEX($U$415:$AB$415,MATCH(Notes!$C$16,$U$3:$AB$3,0))-100%))*$L$415</f>
        <v>226.06056000000004</v>
      </c>
      <c r="M560" s="286"/>
      <c r="N560" s="286"/>
      <c r="O560" s="311">
        <f t="shared" si="210"/>
        <v>73.44</v>
      </c>
      <c r="P560" s="311">
        <f t="shared" si="210"/>
        <v>152.62056000000004</v>
      </c>
      <c r="Q560" s="285"/>
      <c r="R560" s="278"/>
      <c r="S560" s="278"/>
      <c r="T560" s="278"/>
    </row>
    <row r="561" spans="1:20" s="305" customFormat="1" hidden="1" outlineLevel="1" x14ac:dyDescent="0.25">
      <c r="A561" s="344">
        <v>32.97</v>
      </c>
      <c r="B561" s="279" t="str">
        <f t="shared" si="207"/>
        <v>60x70PL</v>
      </c>
      <c r="C561" s="278" t="s">
        <v>1617</v>
      </c>
      <c r="D561" s="278"/>
      <c r="E561" s="278" t="s">
        <v>1860</v>
      </c>
      <c r="F561" s="278"/>
      <c r="G561" s="278" t="s">
        <v>15</v>
      </c>
      <c r="H561" s="328">
        <f t="shared" si="197"/>
        <v>0.46157999999999999</v>
      </c>
      <c r="I561" s="280">
        <f t="shared" si="208"/>
        <v>37.212579599999998</v>
      </c>
      <c r="J561" s="281">
        <f t="shared" si="209"/>
        <v>42.202259400000003</v>
      </c>
      <c r="K561" s="282">
        <f>IF(Notes!$B$9="Domestic",I561, IF(Notes!$B$9="Commercial",J561))*$K$415</f>
        <v>42.202259400000003</v>
      </c>
      <c r="L561" s="283">
        <f>(SUM(O561:Q561)+(K561+SUM(M561:Q561))*(INDEX($U$415:$AB$415,MATCH(Notes!$C$16,$U$3:$AB$3,0))-100%))*$L$415</f>
        <v>243.56917200000004</v>
      </c>
      <c r="M561" s="286"/>
      <c r="N561" s="286"/>
      <c r="O561" s="311">
        <f t="shared" si="210"/>
        <v>79.128</v>
      </c>
      <c r="P561" s="311">
        <f t="shared" si="210"/>
        <v>164.44117200000002</v>
      </c>
      <c r="Q561" s="285"/>
      <c r="R561" s="278"/>
      <c r="S561" s="278"/>
      <c r="T561" s="278"/>
    </row>
    <row r="562" spans="1:20" s="305" customFormat="1" hidden="1" outlineLevel="1" x14ac:dyDescent="0.25">
      <c r="A562" s="344">
        <v>35.325000000000003</v>
      </c>
      <c r="B562" s="279" t="str">
        <f t="shared" si="207"/>
        <v>60x75PL</v>
      </c>
      <c r="C562" s="278" t="s">
        <v>1618</v>
      </c>
      <c r="D562" s="278"/>
      <c r="E562" s="278" t="s">
        <v>1860</v>
      </c>
      <c r="F562" s="278"/>
      <c r="G562" s="278" t="s">
        <v>15</v>
      </c>
      <c r="H562" s="328">
        <f t="shared" si="197"/>
        <v>0.49455000000000005</v>
      </c>
      <c r="I562" s="280">
        <f t="shared" si="208"/>
        <v>39.870621000000007</v>
      </c>
      <c r="J562" s="281">
        <f t="shared" si="209"/>
        <v>45.216706500000008</v>
      </c>
      <c r="K562" s="282">
        <f>IF(Notes!$B$9="Domestic",I562, IF(Notes!$B$9="Commercial",J562))*$K$415</f>
        <v>45.216706500000008</v>
      </c>
      <c r="L562" s="283">
        <f>(SUM(O562:Q562)+(K562+SUM(M562:Q562))*(INDEX($U$415:$AB$415,MATCH(Notes!$C$16,$U$3:$AB$3,0))-100%))*$L$415</f>
        <v>260.96697000000006</v>
      </c>
      <c r="M562" s="286"/>
      <c r="N562" s="286"/>
      <c r="O562" s="311">
        <f t="shared" si="210"/>
        <v>84.78</v>
      </c>
      <c r="P562" s="311">
        <f t="shared" si="210"/>
        <v>176.18697000000003</v>
      </c>
      <c r="Q562" s="285"/>
      <c r="R562" s="278"/>
      <c r="S562" s="278"/>
      <c r="T562" s="278"/>
    </row>
    <row r="563" spans="1:20" s="305" customFormat="1" hidden="1" outlineLevel="1" x14ac:dyDescent="0.25">
      <c r="A563" s="344">
        <v>37.68</v>
      </c>
      <c r="B563" s="279" t="str">
        <f t="shared" si="207"/>
        <v>60x80PL</v>
      </c>
      <c r="C563" s="278" t="s">
        <v>1619</v>
      </c>
      <c r="D563" s="278"/>
      <c r="E563" s="278" t="s">
        <v>1860</v>
      </c>
      <c r="F563" s="278"/>
      <c r="G563" s="278" t="s">
        <v>15</v>
      </c>
      <c r="H563" s="328">
        <f t="shared" si="197"/>
        <v>0.52751999999999999</v>
      </c>
      <c r="I563" s="280">
        <f t="shared" si="208"/>
        <v>42.528662400000002</v>
      </c>
      <c r="J563" s="281">
        <f t="shared" si="209"/>
        <v>48.231153600000006</v>
      </c>
      <c r="K563" s="282">
        <f>IF(Notes!$B$9="Domestic",I563, IF(Notes!$B$9="Commercial",J563))*$K$415</f>
        <v>48.231153600000006</v>
      </c>
      <c r="L563" s="283">
        <f>(SUM(O563:Q563)+(K563+SUM(M563:Q563))*(INDEX($U$415:$AB$415,MATCH(Notes!$C$16,$U$3:$AB$3,0))-100%))*$L$415</f>
        <v>278.36476800000003</v>
      </c>
      <c r="M563" s="286"/>
      <c r="N563" s="286"/>
      <c r="O563" s="311">
        <f t="shared" si="210"/>
        <v>90.432000000000002</v>
      </c>
      <c r="P563" s="311">
        <f t="shared" si="210"/>
        <v>187.93276800000001</v>
      </c>
      <c r="Q563" s="285"/>
      <c r="R563" s="278"/>
      <c r="S563" s="278"/>
      <c r="T563" s="278"/>
    </row>
    <row r="564" spans="1:20" s="305" customFormat="1" hidden="1" outlineLevel="1" x14ac:dyDescent="0.25">
      <c r="A564" s="344">
        <v>42.39</v>
      </c>
      <c r="B564" s="279" t="str">
        <f t="shared" si="207"/>
        <v>60x90PL</v>
      </c>
      <c r="C564" s="278" t="s">
        <v>1620</v>
      </c>
      <c r="D564" s="278"/>
      <c r="E564" s="278" t="s">
        <v>1860</v>
      </c>
      <c r="F564" s="278"/>
      <c r="G564" s="278" t="s">
        <v>15</v>
      </c>
      <c r="H564" s="328">
        <f t="shared" si="197"/>
        <v>0.59345999999999999</v>
      </c>
      <c r="I564" s="280">
        <f t="shared" si="208"/>
        <v>47.844745199999998</v>
      </c>
      <c r="J564" s="281">
        <f t="shared" si="209"/>
        <v>54.260047800000002</v>
      </c>
      <c r="K564" s="282">
        <f>IF(Notes!$B$9="Domestic",I564, IF(Notes!$B$9="Commercial",J564))*$K$415</f>
        <v>54.260047800000002</v>
      </c>
      <c r="L564" s="283">
        <f>(SUM(O564:Q564)+(K564+SUM(M564:Q564))*(INDEX($U$415:$AB$415,MATCH(Notes!$C$16,$U$3:$AB$3,0))-100%))*$L$415</f>
        <v>313.16036400000002</v>
      </c>
      <c r="M564" s="286"/>
      <c r="N564" s="286"/>
      <c r="O564" s="311">
        <f t="shared" si="210"/>
        <v>101.736</v>
      </c>
      <c r="P564" s="311">
        <f t="shared" si="210"/>
        <v>211.42436400000003</v>
      </c>
      <c r="Q564" s="285"/>
      <c r="R564" s="278"/>
      <c r="S564" s="278"/>
      <c r="T564" s="278"/>
    </row>
    <row r="565" spans="1:20" s="305" customFormat="1" hidden="1" outlineLevel="1" x14ac:dyDescent="0.25">
      <c r="A565" s="344">
        <v>47.1</v>
      </c>
      <c r="B565" s="279" t="str">
        <f t="shared" si="207"/>
        <v>60x100PL</v>
      </c>
      <c r="C565" s="278" t="s">
        <v>1621</v>
      </c>
      <c r="D565" s="278"/>
      <c r="E565" s="278" t="s">
        <v>1860</v>
      </c>
      <c r="F565" s="278"/>
      <c r="G565" s="278" t="s">
        <v>15</v>
      </c>
      <c r="H565" s="328">
        <f t="shared" si="197"/>
        <v>0.65939999999999999</v>
      </c>
      <c r="I565" s="280">
        <f t="shared" si="208"/>
        <v>53.160828000000002</v>
      </c>
      <c r="J565" s="281">
        <f t="shared" si="209"/>
        <v>60.288942000000006</v>
      </c>
      <c r="K565" s="282">
        <f>IF(Notes!$B$9="Domestic",I565, IF(Notes!$B$9="Commercial",J565))*$K$415</f>
        <v>60.288942000000006</v>
      </c>
      <c r="L565" s="283">
        <f>(SUM(O565:Q565)+(K565+SUM(M565:Q565))*(INDEX($U$415:$AB$415,MATCH(Notes!$C$16,$U$3:$AB$3,0))-100%))*$L$415</f>
        <v>347.95596</v>
      </c>
      <c r="M565" s="286"/>
      <c r="N565" s="286"/>
      <c r="O565" s="311">
        <f t="shared" si="210"/>
        <v>113.04</v>
      </c>
      <c r="P565" s="311">
        <f t="shared" si="210"/>
        <v>234.91596000000001</v>
      </c>
      <c r="Q565" s="285"/>
      <c r="R565" s="278"/>
      <c r="S565" s="278"/>
      <c r="T565" s="278"/>
    </row>
    <row r="566" spans="1:20" s="305" customFormat="1" hidden="1" outlineLevel="1" x14ac:dyDescent="0.25">
      <c r="A566" s="344">
        <v>1.6485000000000001</v>
      </c>
      <c r="B566" s="279" t="str">
        <f t="shared" si="207"/>
        <v>70x3PL</v>
      </c>
      <c r="C566" s="278" t="s">
        <v>1622</v>
      </c>
      <c r="D566" s="278"/>
      <c r="E566" s="278" t="s">
        <v>1860</v>
      </c>
      <c r="F566" s="278"/>
      <c r="G566" s="278" t="s">
        <v>15</v>
      </c>
      <c r="H566" s="328">
        <f t="shared" si="197"/>
        <v>2.3079000000000002E-2</v>
      </c>
      <c r="I566" s="280">
        <f t="shared" si="208"/>
        <v>1.8606289800000002</v>
      </c>
      <c r="J566" s="281">
        <f t="shared" si="209"/>
        <v>2.1101129700000003</v>
      </c>
      <c r="K566" s="282">
        <f>IF(Notes!$B$9="Domestic",I566, IF(Notes!$B$9="Commercial",J566))*$K$415</f>
        <v>2.1101129700000003</v>
      </c>
      <c r="L566" s="283">
        <f>(SUM(O566:Q566)+(K566+SUM(M566:Q566))*(INDEX($U$415:$AB$415,MATCH(Notes!$C$16,$U$3:$AB$3,0))-100%))*$L$415</f>
        <v>12.178458600000001</v>
      </c>
      <c r="M566" s="286"/>
      <c r="N566" s="286"/>
      <c r="O566" s="311">
        <f t="shared" si="210"/>
        <v>3.9563999999999999</v>
      </c>
      <c r="P566" s="311">
        <f t="shared" si="210"/>
        <v>8.2220586000000004</v>
      </c>
      <c r="Q566" s="285"/>
      <c r="R566" s="278"/>
      <c r="S566" s="278"/>
      <c r="T566" s="278"/>
    </row>
    <row r="567" spans="1:20" s="305" customFormat="1" hidden="1" outlineLevel="1" x14ac:dyDescent="0.25">
      <c r="A567" s="344">
        <v>2.198</v>
      </c>
      <c r="B567" s="279" t="str">
        <f t="shared" si="207"/>
        <v>70x4PL</v>
      </c>
      <c r="C567" s="278" t="s">
        <v>1623</v>
      </c>
      <c r="D567" s="278"/>
      <c r="E567" s="278" t="s">
        <v>1860</v>
      </c>
      <c r="F567" s="278"/>
      <c r="G567" s="278" t="s">
        <v>15</v>
      </c>
      <c r="H567" s="328">
        <f t="shared" si="197"/>
        <v>3.0771999999999997E-2</v>
      </c>
      <c r="I567" s="280">
        <f t="shared" si="208"/>
        <v>2.48083864</v>
      </c>
      <c r="J567" s="281">
        <f t="shared" si="209"/>
        <v>2.8134839600000001</v>
      </c>
      <c r="K567" s="282">
        <f>IF(Notes!$B$9="Domestic",I567, IF(Notes!$B$9="Commercial",J567))*$K$415</f>
        <v>2.8134839600000001</v>
      </c>
      <c r="L567" s="283">
        <f>(SUM(O567:Q567)+(K567+SUM(M567:Q567))*(INDEX($U$415:$AB$415,MATCH(Notes!$C$16,$U$3:$AB$3,0))-100%))*$L$415</f>
        <v>16.237944800000001</v>
      </c>
      <c r="M567" s="286"/>
      <c r="N567" s="286"/>
      <c r="O567" s="311">
        <f t="shared" si="210"/>
        <v>5.2751999999999999</v>
      </c>
      <c r="P567" s="311">
        <f t="shared" si="210"/>
        <v>10.962744800000001</v>
      </c>
      <c r="Q567" s="285"/>
      <c r="R567" s="278"/>
      <c r="S567" s="278"/>
      <c r="T567" s="278"/>
    </row>
    <row r="568" spans="1:20" s="305" customFormat="1" hidden="1" outlineLevel="1" x14ac:dyDescent="0.25">
      <c r="A568" s="344">
        <v>2.7475000000000001</v>
      </c>
      <c r="B568" s="279" t="str">
        <f t="shared" si="207"/>
        <v>70x5PL</v>
      </c>
      <c r="C568" s="278" t="s">
        <v>1624</v>
      </c>
      <c r="D568" s="278"/>
      <c r="E568" s="278" t="s">
        <v>1860</v>
      </c>
      <c r="F568" s="278"/>
      <c r="G568" s="278" t="s">
        <v>15</v>
      </c>
      <c r="H568" s="328">
        <f t="shared" si="197"/>
        <v>3.8465000000000006E-2</v>
      </c>
      <c r="I568" s="280">
        <f t="shared" si="208"/>
        <v>3.1010483000000009</v>
      </c>
      <c r="J568" s="281">
        <f t="shared" si="209"/>
        <v>3.5168549500000008</v>
      </c>
      <c r="K568" s="282">
        <f>IF(Notes!$B$9="Domestic",I568, IF(Notes!$B$9="Commercial",J568))*$K$415</f>
        <v>3.5168549500000008</v>
      </c>
      <c r="L568" s="283">
        <f>(SUM(O568:Q568)+(K568+SUM(M568:Q568))*(INDEX($U$415:$AB$415,MATCH(Notes!$C$16,$U$3:$AB$3,0))-100%))*$L$415</f>
        <v>20.297431</v>
      </c>
      <c r="M568" s="286"/>
      <c r="N568" s="286"/>
      <c r="O568" s="311">
        <f t="shared" si="210"/>
        <v>6.5940000000000003</v>
      </c>
      <c r="P568" s="311">
        <f t="shared" si="210"/>
        <v>13.703431</v>
      </c>
      <c r="Q568" s="285"/>
      <c r="R568" s="278"/>
      <c r="S568" s="278"/>
      <c r="T568" s="278"/>
    </row>
    <row r="569" spans="1:20" s="305" customFormat="1" hidden="1" outlineLevel="1" x14ac:dyDescent="0.25">
      <c r="A569" s="344">
        <v>3.2970000000000002</v>
      </c>
      <c r="B569" s="279" t="str">
        <f t="shared" si="207"/>
        <v>70x6PL</v>
      </c>
      <c r="C569" s="278" t="s">
        <v>1625</v>
      </c>
      <c r="D569" s="278"/>
      <c r="E569" s="278" t="s">
        <v>1860</v>
      </c>
      <c r="F569" s="278"/>
      <c r="G569" s="278" t="s">
        <v>15</v>
      </c>
      <c r="H569" s="328">
        <f t="shared" si="197"/>
        <v>4.6158000000000005E-2</v>
      </c>
      <c r="I569" s="280">
        <f t="shared" si="208"/>
        <v>3.7212579600000004</v>
      </c>
      <c r="J569" s="281">
        <f t="shared" si="209"/>
        <v>4.2202259400000006</v>
      </c>
      <c r="K569" s="282">
        <f>IF(Notes!$B$9="Domestic",I569, IF(Notes!$B$9="Commercial",J569))*$K$415</f>
        <v>4.2202259400000006</v>
      </c>
      <c r="L569" s="283">
        <f>(SUM(O569:Q569)+(K569+SUM(M569:Q569))*(INDEX($U$415:$AB$415,MATCH(Notes!$C$16,$U$3:$AB$3,0))-100%))*$L$415</f>
        <v>24.356917200000002</v>
      </c>
      <c r="M569" s="286"/>
      <c r="N569" s="286"/>
      <c r="O569" s="311">
        <f t="shared" si="210"/>
        <v>7.9127999999999998</v>
      </c>
      <c r="P569" s="311">
        <f t="shared" si="210"/>
        <v>16.444117200000001</v>
      </c>
      <c r="Q569" s="285"/>
      <c r="R569" s="278"/>
      <c r="S569" s="278"/>
      <c r="T569" s="278"/>
    </row>
    <row r="570" spans="1:20" s="305" customFormat="1" hidden="1" outlineLevel="1" x14ac:dyDescent="0.25">
      <c r="A570" s="344">
        <v>4.3959999999999999</v>
      </c>
      <c r="B570" s="279" t="str">
        <f t="shared" si="207"/>
        <v>70x8PL</v>
      </c>
      <c r="C570" s="278" t="s">
        <v>1626</v>
      </c>
      <c r="D570" s="278"/>
      <c r="E570" s="278" t="s">
        <v>1860</v>
      </c>
      <c r="F570" s="278"/>
      <c r="G570" s="278" t="s">
        <v>15</v>
      </c>
      <c r="H570" s="328">
        <f t="shared" si="197"/>
        <v>6.1543999999999995E-2</v>
      </c>
      <c r="I570" s="280">
        <f t="shared" si="208"/>
        <v>4.96167728</v>
      </c>
      <c r="J570" s="281">
        <f t="shared" si="209"/>
        <v>5.6269679200000002</v>
      </c>
      <c r="K570" s="282">
        <f>IF(Notes!$B$9="Domestic",I570, IF(Notes!$B$9="Commercial",J570))*$K$415</f>
        <v>5.6269679200000002</v>
      </c>
      <c r="L570" s="283">
        <f>(SUM(O570:Q570)+(K570+SUM(M570:Q570))*(INDEX($U$415:$AB$415,MATCH(Notes!$C$16,$U$3:$AB$3,0))-100%))*$L$415</f>
        <v>32.475889600000002</v>
      </c>
      <c r="M570" s="286"/>
      <c r="N570" s="286"/>
      <c r="O570" s="311">
        <f t="shared" si="210"/>
        <v>10.5504</v>
      </c>
      <c r="P570" s="311">
        <f t="shared" si="210"/>
        <v>21.925489600000002</v>
      </c>
      <c r="Q570" s="285"/>
      <c r="R570" s="278"/>
      <c r="S570" s="278"/>
      <c r="T570" s="278"/>
    </row>
    <row r="571" spans="1:20" s="305" customFormat="1" hidden="1" outlineLevel="1" x14ac:dyDescent="0.25">
      <c r="A571" s="344">
        <v>5.4950000000000001</v>
      </c>
      <c r="B571" s="279" t="str">
        <f t="shared" ref="B571:B634" si="211">C571&amp;D571&amp;E571&amp;F571</f>
        <v>70x10PL</v>
      </c>
      <c r="C571" s="278" t="s">
        <v>1627</v>
      </c>
      <c r="D571" s="278"/>
      <c r="E571" s="278" t="s">
        <v>1860</v>
      </c>
      <c r="F571" s="278"/>
      <c r="G571" s="278" t="s">
        <v>15</v>
      </c>
      <c r="H571" s="328">
        <f t="shared" ref="H571:H634" si="212">$H$415*$A571/1000</f>
        <v>7.6930000000000012E-2</v>
      </c>
      <c r="I571" s="280">
        <f t="shared" ref="I571:I634" si="213">$I$2*H571</f>
        <v>6.2020966000000017</v>
      </c>
      <c r="J571" s="281">
        <f t="shared" ref="J571:J634" si="214">$J$2*H571</f>
        <v>7.0337099000000016</v>
      </c>
      <c r="K571" s="282">
        <f>IF(Notes!$B$9="Domestic",I571, IF(Notes!$B$9="Commercial",J571))*$K$415</f>
        <v>7.0337099000000016</v>
      </c>
      <c r="L571" s="283">
        <f>(SUM(O571:Q571)+(K571+SUM(M571:Q571))*(INDEX($U$415:$AB$415,MATCH(Notes!$C$16,$U$3:$AB$3,0))-100%))*$L$415</f>
        <v>40.594861999999999</v>
      </c>
      <c r="M571" s="286"/>
      <c r="N571" s="286"/>
      <c r="O571" s="311">
        <f t="shared" si="210"/>
        <v>13.188000000000001</v>
      </c>
      <c r="P571" s="311">
        <f t="shared" si="210"/>
        <v>27.406862</v>
      </c>
      <c r="Q571" s="285"/>
      <c r="R571" s="278"/>
      <c r="S571" s="278"/>
      <c r="T571" s="278"/>
    </row>
    <row r="572" spans="1:20" s="305" customFormat="1" hidden="1" outlineLevel="1" x14ac:dyDescent="0.25">
      <c r="A572" s="344">
        <v>6.5940000000000003</v>
      </c>
      <c r="B572" s="279" t="str">
        <f t="shared" si="211"/>
        <v>70x12PL</v>
      </c>
      <c r="C572" s="278" t="s">
        <v>1628</v>
      </c>
      <c r="D572" s="278"/>
      <c r="E572" s="278" t="s">
        <v>1860</v>
      </c>
      <c r="F572" s="278"/>
      <c r="G572" s="278" t="s">
        <v>15</v>
      </c>
      <c r="H572" s="328">
        <f t="shared" si="212"/>
        <v>9.2316000000000009E-2</v>
      </c>
      <c r="I572" s="280">
        <f t="shared" si="213"/>
        <v>7.4425159200000008</v>
      </c>
      <c r="J572" s="281">
        <f t="shared" si="214"/>
        <v>8.4404518800000012</v>
      </c>
      <c r="K572" s="282">
        <f>IF(Notes!$B$9="Domestic",I572, IF(Notes!$B$9="Commercial",J572))*$K$415</f>
        <v>8.4404518800000012</v>
      </c>
      <c r="L572" s="283">
        <f>(SUM(O572:Q572)+(K572+SUM(M572:Q572))*(INDEX($U$415:$AB$415,MATCH(Notes!$C$16,$U$3:$AB$3,0))-100%))*$L$415</f>
        <v>48.713834400000003</v>
      </c>
      <c r="M572" s="286"/>
      <c r="N572" s="286"/>
      <c r="O572" s="311">
        <f t="shared" si="210"/>
        <v>15.8256</v>
      </c>
      <c r="P572" s="311">
        <f t="shared" si="210"/>
        <v>32.888234400000002</v>
      </c>
      <c r="Q572" s="285"/>
      <c r="R572" s="278"/>
      <c r="S572" s="278"/>
      <c r="T572" s="278"/>
    </row>
    <row r="573" spans="1:20" s="305" customFormat="1" hidden="1" outlineLevel="1" x14ac:dyDescent="0.25">
      <c r="A573" s="344">
        <v>8.7919999999999998</v>
      </c>
      <c r="B573" s="279" t="str">
        <f t="shared" si="211"/>
        <v>70x16PL</v>
      </c>
      <c r="C573" s="278" t="s">
        <v>1629</v>
      </c>
      <c r="D573" s="278"/>
      <c r="E573" s="278" t="s">
        <v>1860</v>
      </c>
      <c r="F573" s="278"/>
      <c r="G573" s="278" t="s">
        <v>15</v>
      </c>
      <c r="H573" s="328">
        <f t="shared" si="212"/>
        <v>0.12308799999999999</v>
      </c>
      <c r="I573" s="280">
        <f t="shared" si="213"/>
        <v>9.9233545599999999</v>
      </c>
      <c r="J573" s="281">
        <f t="shared" si="214"/>
        <v>11.25393584</v>
      </c>
      <c r="K573" s="282">
        <f>IF(Notes!$B$9="Domestic",I573, IF(Notes!$B$9="Commercial",J573))*$K$415</f>
        <v>11.25393584</v>
      </c>
      <c r="L573" s="283">
        <f>(SUM(O573:Q573)+(K573+SUM(M573:Q573))*(INDEX($U$415:$AB$415,MATCH(Notes!$C$16,$U$3:$AB$3,0))-100%))*$L$415</f>
        <v>64.951779200000004</v>
      </c>
      <c r="M573" s="286"/>
      <c r="N573" s="286"/>
      <c r="O573" s="311">
        <f t="shared" si="210"/>
        <v>21.1008</v>
      </c>
      <c r="P573" s="311">
        <f t="shared" si="210"/>
        <v>43.850979200000005</v>
      </c>
      <c r="Q573" s="285"/>
      <c r="R573" s="278"/>
      <c r="S573" s="278"/>
      <c r="T573" s="278"/>
    </row>
    <row r="574" spans="1:20" s="305" customFormat="1" hidden="1" outlineLevel="1" x14ac:dyDescent="0.25">
      <c r="A574" s="344">
        <v>10.99</v>
      </c>
      <c r="B574" s="279" t="str">
        <f t="shared" si="211"/>
        <v>70x20PL</v>
      </c>
      <c r="C574" s="278" t="s">
        <v>1630</v>
      </c>
      <c r="D574" s="278"/>
      <c r="E574" s="278" t="s">
        <v>1860</v>
      </c>
      <c r="F574" s="278"/>
      <c r="G574" s="278" t="s">
        <v>15</v>
      </c>
      <c r="H574" s="328">
        <f t="shared" si="212"/>
        <v>0.15386000000000002</v>
      </c>
      <c r="I574" s="280">
        <f t="shared" si="213"/>
        <v>12.404193200000003</v>
      </c>
      <c r="J574" s="281">
        <f t="shared" si="214"/>
        <v>14.067419800000003</v>
      </c>
      <c r="K574" s="282">
        <f>IF(Notes!$B$9="Domestic",I574, IF(Notes!$B$9="Commercial",J574))*$K$415</f>
        <v>14.067419800000003</v>
      </c>
      <c r="L574" s="283">
        <f>(SUM(O574:Q574)+(K574+SUM(M574:Q574))*(INDEX($U$415:$AB$415,MATCH(Notes!$C$16,$U$3:$AB$3,0))-100%))*$L$415</f>
        <v>81.189723999999998</v>
      </c>
      <c r="M574" s="286"/>
      <c r="N574" s="286"/>
      <c r="O574" s="311">
        <f t="shared" si="210"/>
        <v>26.376000000000001</v>
      </c>
      <c r="P574" s="311">
        <f t="shared" si="210"/>
        <v>54.813724000000001</v>
      </c>
      <c r="Q574" s="285"/>
      <c r="R574" s="278"/>
      <c r="S574" s="278"/>
      <c r="T574" s="278"/>
    </row>
    <row r="575" spans="1:20" s="305" customFormat="1" hidden="1" outlineLevel="1" x14ac:dyDescent="0.25">
      <c r="A575" s="344">
        <v>12.089</v>
      </c>
      <c r="B575" s="279" t="str">
        <f t="shared" si="211"/>
        <v>70x22PL</v>
      </c>
      <c r="C575" s="278" t="s">
        <v>1631</v>
      </c>
      <c r="D575" s="278"/>
      <c r="E575" s="278" t="s">
        <v>1860</v>
      </c>
      <c r="F575" s="278"/>
      <c r="G575" s="278" t="s">
        <v>15</v>
      </c>
      <c r="H575" s="328">
        <f t="shared" si="212"/>
        <v>0.16924600000000001</v>
      </c>
      <c r="I575" s="280">
        <f t="shared" si="213"/>
        <v>13.644612520000001</v>
      </c>
      <c r="J575" s="281">
        <f t="shared" si="214"/>
        <v>15.474161780000001</v>
      </c>
      <c r="K575" s="282">
        <f>IF(Notes!$B$9="Domestic",I575, IF(Notes!$B$9="Commercial",J575))*$K$415</f>
        <v>15.474161780000001</v>
      </c>
      <c r="L575" s="283">
        <f>(SUM(O575:Q575)+(K575+SUM(M575:Q575))*(INDEX($U$415:$AB$415,MATCH(Notes!$C$16,$U$3:$AB$3,0))-100%))*$L$415</f>
        <v>89.308696400000017</v>
      </c>
      <c r="M575" s="286"/>
      <c r="N575" s="286"/>
      <c r="O575" s="311">
        <f t="shared" si="210"/>
        <v>29.013600000000004</v>
      </c>
      <c r="P575" s="311">
        <f t="shared" si="210"/>
        <v>60.295096400000013</v>
      </c>
      <c r="Q575" s="285"/>
      <c r="R575" s="278"/>
      <c r="S575" s="278"/>
      <c r="T575" s="278"/>
    </row>
    <row r="576" spans="1:20" s="305" customFormat="1" hidden="1" outlineLevel="1" x14ac:dyDescent="0.25">
      <c r="A576" s="344">
        <v>13.737500000000001</v>
      </c>
      <c r="B576" s="279" t="str">
        <f t="shared" si="211"/>
        <v>70x25PL</v>
      </c>
      <c r="C576" s="278" t="s">
        <v>1632</v>
      </c>
      <c r="D576" s="278"/>
      <c r="E576" s="278" t="s">
        <v>1860</v>
      </c>
      <c r="F576" s="278"/>
      <c r="G576" s="278" t="s">
        <v>15</v>
      </c>
      <c r="H576" s="328">
        <f t="shared" si="212"/>
        <v>0.19232500000000002</v>
      </c>
      <c r="I576" s="280">
        <f t="shared" si="213"/>
        <v>15.505241500000002</v>
      </c>
      <c r="J576" s="281">
        <f t="shared" si="214"/>
        <v>17.584274750000002</v>
      </c>
      <c r="K576" s="282">
        <f>IF(Notes!$B$9="Domestic",I576, IF(Notes!$B$9="Commercial",J576))*$K$415</f>
        <v>17.584274750000002</v>
      </c>
      <c r="L576" s="283">
        <f>(SUM(O576:Q576)+(K576+SUM(M576:Q576))*(INDEX($U$415:$AB$415,MATCH(Notes!$C$16,$U$3:$AB$3,0))-100%))*$L$415</f>
        <v>101.48715500000002</v>
      </c>
      <c r="M576" s="286"/>
      <c r="N576" s="286"/>
      <c r="O576" s="311">
        <f t="shared" si="210"/>
        <v>32.97</v>
      </c>
      <c r="P576" s="311">
        <f t="shared" si="210"/>
        <v>68.517155000000017</v>
      </c>
      <c r="Q576" s="285"/>
      <c r="R576" s="278"/>
      <c r="S576" s="278"/>
      <c r="T576" s="278"/>
    </row>
    <row r="577" spans="1:20" s="305" customFormat="1" hidden="1" outlineLevel="1" x14ac:dyDescent="0.25">
      <c r="A577" s="344">
        <v>15.385999999999999</v>
      </c>
      <c r="B577" s="279" t="str">
        <f t="shared" si="211"/>
        <v>70x28PL</v>
      </c>
      <c r="C577" s="278" t="s">
        <v>1633</v>
      </c>
      <c r="D577" s="278"/>
      <c r="E577" s="278" t="s">
        <v>1860</v>
      </c>
      <c r="F577" s="278"/>
      <c r="G577" s="278" t="s">
        <v>15</v>
      </c>
      <c r="H577" s="328">
        <f t="shared" si="212"/>
        <v>0.21540399999999998</v>
      </c>
      <c r="I577" s="280">
        <f t="shared" si="213"/>
        <v>17.365870479999998</v>
      </c>
      <c r="J577" s="281">
        <f t="shared" si="214"/>
        <v>19.694387720000002</v>
      </c>
      <c r="K577" s="282">
        <f>IF(Notes!$B$9="Domestic",I577, IF(Notes!$B$9="Commercial",J577))*$K$415</f>
        <v>19.694387720000002</v>
      </c>
      <c r="L577" s="283">
        <f>(SUM(O577:Q577)+(K577+SUM(M577:Q577))*(INDEX($U$415:$AB$415,MATCH(Notes!$C$16,$U$3:$AB$3,0))-100%))*$L$415</f>
        <v>113.6656136</v>
      </c>
      <c r="M577" s="286"/>
      <c r="N577" s="286"/>
      <c r="O577" s="311">
        <f t="shared" si="210"/>
        <v>36.926400000000001</v>
      </c>
      <c r="P577" s="311">
        <f t="shared" si="210"/>
        <v>76.739213599999999</v>
      </c>
      <c r="Q577" s="285"/>
      <c r="R577" s="278"/>
      <c r="S577" s="278"/>
      <c r="T577" s="278"/>
    </row>
    <row r="578" spans="1:20" s="305" customFormat="1" hidden="1" outlineLevel="1" x14ac:dyDescent="0.25">
      <c r="A578" s="344">
        <v>17.584</v>
      </c>
      <c r="B578" s="279" t="str">
        <f t="shared" si="211"/>
        <v>70x32PL</v>
      </c>
      <c r="C578" s="278" t="s">
        <v>1634</v>
      </c>
      <c r="D578" s="278"/>
      <c r="E578" s="278" t="s">
        <v>1860</v>
      </c>
      <c r="F578" s="278"/>
      <c r="G578" s="278" t="s">
        <v>15</v>
      </c>
      <c r="H578" s="328">
        <f t="shared" si="212"/>
        <v>0.24617599999999998</v>
      </c>
      <c r="I578" s="280">
        <f t="shared" si="213"/>
        <v>19.84670912</v>
      </c>
      <c r="J578" s="281">
        <f t="shared" si="214"/>
        <v>22.507871680000001</v>
      </c>
      <c r="K578" s="282">
        <f>IF(Notes!$B$9="Domestic",I578, IF(Notes!$B$9="Commercial",J578))*$K$415</f>
        <v>22.507871680000001</v>
      </c>
      <c r="L578" s="283">
        <f>(SUM(O578:Q578)+(K578+SUM(M578:Q578))*(INDEX($U$415:$AB$415,MATCH(Notes!$C$16,$U$3:$AB$3,0))-100%))*$L$415</f>
        <v>129.90355840000001</v>
      </c>
      <c r="M578" s="286"/>
      <c r="N578" s="286"/>
      <c r="O578" s="311">
        <f t="shared" si="210"/>
        <v>42.201599999999999</v>
      </c>
      <c r="P578" s="311">
        <f t="shared" si="210"/>
        <v>87.701958400000009</v>
      </c>
      <c r="Q578" s="285"/>
      <c r="R578" s="278"/>
      <c r="S578" s="278"/>
      <c r="T578" s="278"/>
    </row>
    <row r="579" spans="1:20" s="305" customFormat="1" hidden="1" outlineLevel="1" x14ac:dyDescent="0.25">
      <c r="A579" s="344">
        <v>19.782</v>
      </c>
      <c r="B579" s="279" t="str">
        <f t="shared" si="211"/>
        <v>70x36PL</v>
      </c>
      <c r="C579" s="278" t="s">
        <v>1635</v>
      </c>
      <c r="D579" s="278"/>
      <c r="E579" s="278" t="s">
        <v>1860</v>
      </c>
      <c r="F579" s="278"/>
      <c r="G579" s="278" t="s">
        <v>15</v>
      </c>
      <c r="H579" s="328">
        <f t="shared" si="212"/>
        <v>0.27694799999999997</v>
      </c>
      <c r="I579" s="280">
        <f t="shared" si="213"/>
        <v>22.327547759999998</v>
      </c>
      <c r="J579" s="281">
        <f t="shared" si="214"/>
        <v>25.32135564</v>
      </c>
      <c r="K579" s="282">
        <f>IF(Notes!$B$9="Domestic",I579, IF(Notes!$B$9="Commercial",J579))*$K$415</f>
        <v>25.32135564</v>
      </c>
      <c r="L579" s="283">
        <f>(SUM(O579:Q579)+(K579+SUM(M579:Q579))*(INDEX($U$415:$AB$415,MATCH(Notes!$C$16,$U$3:$AB$3,0))-100%))*$L$415</f>
        <v>146.14150320000002</v>
      </c>
      <c r="M579" s="286"/>
      <c r="N579" s="286"/>
      <c r="O579" s="311">
        <f t="shared" si="210"/>
        <v>47.476800000000004</v>
      </c>
      <c r="P579" s="311">
        <f t="shared" si="210"/>
        <v>98.664703200000005</v>
      </c>
      <c r="Q579" s="285"/>
      <c r="R579" s="278"/>
      <c r="S579" s="278"/>
      <c r="T579" s="278"/>
    </row>
    <row r="580" spans="1:20" s="305" customFormat="1" hidden="1" outlineLevel="1" x14ac:dyDescent="0.25">
      <c r="A580" s="344">
        <v>21.98</v>
      </c>
      <c r="B580" s="279" t="str">
        <f t="shared" si="211"/>
        <v>70x40PL</v>
      </c>
      <c r="C580" s="278" t="s">
        <v>1636</v>
      </c>
      <c r="D580" s="278"/>
      <c r="E580" s="278" t="s">
        <v>1860</v>
      </c>
      <c r="F580" s="278"/>
      <c r="G580" s="278" t="s">
        <v>15</v>
      </c>
      <c r="H580" s="328">
        <f t="shared" si="212"/>
        <v>0.30772000000000005</v>
      </c>
      <c r="I580" s="280">
        <f t="shared" si="213"/>
        <v>24.808386400000007</v>
      </c>
      <c r="J580" s="281">
        <f t="shared" si="214"/>
        <v>28.134839600000006</v>
      </c>
      <c r="K580" s="282">
        <f>IF(Notes!$B$9="Domestic",I580, IF(Notes!$B$9="Commercial",J580))*$K$415</f>
        <v>28.134839600000006</v>
      </c>
      <c r="L580" s="283">
        <f>(SUM(O580:Q580)+(K580+SUM(M580:Q580))*(INDEX($U$415:$AB$415,MATCH(Notes!$C$16,$U$3:$AB$3,0))-100%))*$L$415</f>
        <v>162.379448</v>
      </c>
      <c r="M580" s="286"/>
      <c r="N580" s="286"/>
      <c r="O580" s="311">
        <f t="shared" si="210"/>
        <v>52.752000000000002</v>
      </c>
      <c r="P580" s="311">
        <f t="shared" si="210"/>
        <v>109.627448</v>
      </c>
      <c r="Q580" s="285"/>
      <c r="R580" s="278"/>
      <c r="S580" s="278"/>
      <c r="T580" s="278"/>
    </row>
    <row r="581" spans="1:20" s="305" customFormat="1" hidden="1" outlineLevel="1" x14ac:dyDescent="0.25">
      <c r="A581" s="344">
        <v>24.727499999999999</v>
      </c>
      <c r="B581" s="279" t="str">
        <f t="shared" si="211"/>
        <v>70x45PL</v>
      </c>
      <c r="C581" s="278" t="s">
        <v>1637</v>
      </c>
      <c r="D581" s="278"/>
      <c r="E581" s="278" t="s">
        <v>1860</v>
      </c>
      <c r="F581" s="278"/>
      <c r="G581" s="278" t="s">
        <v>15</v>
      </c>
      <c r="H581" s="328">
        <f t="shared" si="212"/>
        <v>0.34618500000000002</v>
      </c>
      <c r="I581" s="280">
        <f t="shared" si="213"/>
        <v>27.909434700000002</v>
      </c>
      <c r="J581" s="281">
        <f t="shared" si="214"/>
        <v>31.651694550000006</v>
      </c>
      <c r="K581" s="282">
        <f>IF(Notes!$B$9="Domestic",I581, IF(Notes!$B$9="Commercial",J581))*$K$415</f>
        <v>31.651694550000006</v>
      </c>
      <c r="L581" s="283">
        <f>(SUM(O581:Q581)+(K581+SUM(M581:Q581))*(INDEX($U$415:$AB$415,MATCH(Notes!$C$16,$U$3:$AB$3,0))-100%))*$L$415</f>
        <v>182.67687899999999</v>
      </c>
      <c r="M581" s="286"/>
      <c r="N581" s="286"/>
      <c r="O581" s="311">
        <f t="shared" si="210"/>
        <v>59.345999999999997</v>
      </c>
      <c r="P581" s="311">
        <f t="shared" si="210"/>
        <v>123.330879</v>
      </c>
      <c r="Q581" s="285"/>
      <c r="R581" s="278"/>
      <c r="S581" s="278"/>
      <c r="T581" s="278"/>
    </row>
    <row r="582" spans="1:20" s="305" customFormat="1" hidden="1" outlineLevel="1" x14ac:dyDescent="0.25">
      <c r="A582" s="344">
        <v>27.475000000000001</v>
      </c>
      <c r="B582" s="279" t="str">
        <f t="shared" si="211"/>
        <v>70x50PL</v>
      </c>
      <c r="C582" s="278" t="s">
        <v>1638</v>
      </c>
      <c r="D582" s="278"/>
      <c r="E582" s="278" t="s">
        <v>1860</v>
      </c>
      <c r="F582" s="278"/>
      <c r="G582" s="278" t="s">
        <v>15</v>
      </c>
      <c r="H582" s="328">
        <f t="shared" si="212"/>
        <v>0.38465000000000005</v>
      </c>
      <c r="I582" s="280">
        <f t="shared" si="213"/>
        <v>31.010483000000004</v>
      </c>
      <c r="J582" s="281">
        <f t="shared" si="214"/>
        <v>35.168549500000005</v>
      </c>
      <c r="K582" s="282">
        <f>IF(Notes!$B$9="Domestic",I582, IF(Notes!$B$9="Commercial",J582))*$K$415</f>
        <v>35.168549500000005</v>
      </c>
      <c r="L582" s="283">
        <f>(SUM(O582:Q582)+(K582+SUM(M582:Q582))*(INDEX($U$415:$AB$415,MATCH(Notes!$C$16,$U$3:$AB$3,0))-100%))*$L$415</f>
        <v>202.97431000000003</v>
      </c>
      <c r="M582" s="286"/>
      <c r="N582" s="286"/>
      <c r="O582" s="311">
        <f t="shared" si="210"/>
        <v>65.94</v>
      </c>
      <c r="P582" s="311">
        <f t="shared" si="210"/>
        <v>137.03431000000003</v>
      </c>
      <c r="Q582" s="285"/>
      <c r="R582" s="278"/>
      <c r="S582" s="278"/>
      <c r="T582" s="278"/>
    </row>
    <row r="583" spans="1:20" s="305" customFormat="1" hidden="1" outlineLevel="1" x14ac:dyDescent="0.25">
      <c r="A583" s="344">
        <v>30.2225</v>
      </c>
      <c r="B583" s="279" t="str">
        <f t="shared" si="211"/>
        <v>70x55PL</v>
      </c>
      <c r="C583" s="278" t="s">
        <v>1639</v>
      </c>
      <c r="D583" s="278"/>
      <c r="E583" s="278" t="s">
        <v>1860</v>
      </c>
      <c r="F583" s="278"/>
      <c r="G583" s="278" t="s">
        <v>15</v>
      </c>
      <c r="H583" s="328">
        <f t="shared" si="212"/>
        <v>0.42311500000000002</v>
      </c>
      <c r="I583" s="280">
        <f t="shared" si="213"/>
        <v>34.111531300000003</v>
      </c>
      <c r="J583" s="281">
        <f t="shared" si="214"/>
        <v>38.685404450000007</v>
      </c>
      <c r="K583" s="282">
        <f>IF(Notes!$B$9="Domestic",I583, IF(Notes!$B$9="Commercial",J583))*$K$415</f>
        <v>38.685404450000007</v>
      </c>
      <c r="L583" s="283">
        <f>(SUM(O583:Q583)+(K583+SUM(M583:Q583))*(INDEX($U$415:$AB$415,MATCH(Notes!$C$16,$U$3:$AB$3,0))-100%))*$L$415</f>
        <v>223.27174100000002</v>
      </c>
      <c r="M583" s="286"/>
      <c r="N583" s="286"/>
      <c r="O583" s="311">
        <f t="shared" si="210"/>
        <v>72.534000000000006</v>
      </c>
      <c r="P583" s="311">
        <f t="shared" si="210"/>
        <v>150.737741</v>
      </c>
      <c r="Q583" s="285"/>
      <c r="R583" s="278"/>
      <c r="S583" s="278"/>
      <c r="T583" s="278"/>
    </row>
    <row r="584" spans="1:20" s="305" customFormat="1" hidden="1" outlineLevel="1" x14ac:dyDescent="0.25">
      <c r="A584" s="344">
        <v>32.97</v>
      </c>
      <c r="B584" s="279" t="str">
        <f t="shared" si="211"/>
        <v>70x60PL</v>
      </c>
      <c r="C584" s="278" t="s">
        <v>1640</v>
      </c>
      <c r="D584" s="278"/>
      <c r="E584" s="278" t="s">
        <v>1860</v>
      </c>
      <c r="F584" s="278"/>
      <c r="G584" s="278" t="s">
        <v>15</v>
      </c>
      <c r="H584" s="328">
        <f t="shared" si="212"/>
        <v>0.46157999999999999</v>
      </c>
      <c r="I584" s="280">
        <f t="shared" si="213"/>
        <v>37.212579599999998</v>
      </c>
      <c r="J584" s="281">
        <f t="shared" si="214"/>
        <v>42.202259400000003</v>
      </c>
      <c r="K584" s="282">
        <f>IF(Notes!$B$9="Domestic",I584, IF(Notes!$B$9="Commercial",J584))*$K$415</f>
        <v>42.202259400000003</v>
      </c>
      <c r="L584" s="283">
        <f>(SUM(O584:Q584)+(K584+SUM(M584:Q584))*(INDEX($U$415:$AB$415,MATCH(Notes!$C$16,$U$3:$AB$3,0))-100%))*$L$415</f>
        <v>243.56917200000004</v>
      </c>
      <c r="M584" s="286"/>
      <c r="N584" s="286"/>
      <c r="O584" s="311">
        <f t="shared" si="210"/>
        <v>79.128</v>
      </c>
      <c r="P584" s="311">
        <f t="shared" si="210"/>
        <v>164.44117200000002</v>
      </c>
      <c r="Q584" s="285"/>
      <c r="R584" s="278"/>
      <c r="S584" s="278"/>
      <c r="T584" s="278"/>
    </row>
    <row r="585" spans="1:20" s="305" customFormat="1" hidden="1" outlineLevel="1" x14ac:dyDescent="0.25">
      <c r="A585" s="344">
        <v>35.700000000000003</v>
      </c>
      <c r="B585" s="279" t="str">
        <f t="shared" si="211"/>
        <v>70x65PL</v>
      </c>
      <c r="C585" s="278" t="s">
        <v>1641</v>
      </c>
      <c r="D585" s="278"/>
      <c r="E585" s="278" t="s">
        <v>1860</v>
      </c>
      <c r="F585" s="278"/>
      <c r="G585" s="278" t="s">
        <v>15</v>
      </c>
      <c r="H585" s="328">
        <f t="shared" si="212"/>
        <v>0.49980000000000008</v>
      </c>
      <c r="I585" s="280">
        <f t="shared" si="213"/>
        <v>40.293876000000012</v>
      </c>
      <c r="J585" s="281">
        <f t="shared" si="214"/>
        <v>45.696714000000007</v>
      </c>
      <c r="K585" s="282">
        <f>IF(Notes!$B$9="Domestic",I585, IF(Notes!$B$9="Commercial",J585))*$K$415</f>
        <v>45.696714000000007</v>
      </c>
      <c r="L585" s="283">
        <f>(SUM(O585:Q585)+(K585+SUM(M585:Q585))*(INDEX($U$415:$AB$415,MATCH(Notes!$C$16,$U$3:$AB$3,0))-100%))*$L$415</f>
        <v>263.73732000000007</v>
      </c>
      <c r="M585" s="286"/>
      <c r="N585" s="286"/>
      <c r="O585" s="311">
        <f t="shared" si="210"/>
        <v>85.68</v>
      </c>
      <c r="P585" s="311">
        <f t="shared" si="210"/>
        <v>178.05732000000003</v>
      </c>
      <c r="Q585" s="285"/>
      <c r="R585" s="278"/>
      <c r="S585" s="278"/>
      <c r="T585" s="278"/>
    </row>
    <row r="586" spans="1:20" s="305" customFormat="1" hidden="1" outlineLevel="1" x14ac:dyDescent="0.25">
      <c r="A586" s="344">
        <v>38.465000000000003</v>
      </c>
      <c r="B586" s="279" t="str">
        <f t="shared" si="211"/>
        <v>70x70PL</v>
      </c>
      <c r="C586" s="278" t="s">
        <v>1642</v>
      </c>
      <c r="D586" s="278"/>
      <c r="E586" s="278" t="s">
        <v>1860</v>
      </c>
      <c r="F586" s="278"/>
      <c r="G586" s="278" t="s">
        <v>15</v>
      </c>
      <c r="H586" s="328">
        <f t="shared" si="212"/>
        <v>0.53851000000000004</v>
      </c>
      <c r="I586" s="280">
        <f t="shared" si="213"/>
        <v>43.414676200000009</v>
      </c>
      <c r="J586" s="281">
        <f t="shared" si="214"/>
        <v>49.235969300000008</v>
      </c>
      <c r="K586" s="282">
        <f>IF(Notes!$B$9="Domestic",I586, IF(Notes!$B$9="Commercial",J586))*$K$415</f>
        <v>49.235969300000008</v>
      </c>
      <c r="L586" s="283">
        <f>(SUM(O586:Q586)+(K586+SUM(M586:Q586))*(INDEX($U$415:$AB$415,MATCH(Notes!$C$16,$U$3:$AB$3,0))-100%))*$L$415</f>
        <v>284.16403400000007</v>
      </c>
      <c r="M586" s="286"/>
      <c r="N586" s="286"/>
      <c r="O586" s="311">
        <f t="shared" si="210"/>
        <v>92.316000000000017</v>
      </c>
      <c r="P586" s="311">
        <f t="shared" si="210"/>
        <v>191.84803400000004</v>
      </c>
      <c r="Q586" s="285"/>
      <c r="R586" s="278"/>
      <c r="S586" s="278"/>
      <c r="T586" s="278"/>
    </row>
    <row r="587" spans="1:20" s="305" customFormat="1" hidden="1" outlineLevel="1" x14ac:dyDescent="0.25">
      <c r="A587" s="344">
        <v>41.212499999999999</v>
      </c>
      <c r="B587" s="279" t="str">
        <f t="shared" si="211"/>
        <v>70x75PL</v>
      </c>
      <c r="C587" s="278" t="s">
        <v>1643</v>
      </c>
      <c r="D587" s="278"/>
      <c r="E587" s="278" t="s">
        <v>1860</v>
      </c>
      <c r="F587" s="278"/>
      <c r="G587" s="278" t="s">
        <v>15</v>
      </c>
      <c r="H587" s="328">
        <f t="shared" si="212"/>
        <v>0.57697500000000002</v>
      </c>
      <c r="I587" s="280">
        <f t="shared" si="213"/>
        <v>46.515724500000005</v>
      </c>
      <c r="J587" s="281">
        <f t="shared" si="214"/>
        <v>52.752824250000003</v>
      </c>
      <c r="K587" s="282">
        <f>IF(Notes!$B$9="Domestic",I587, IF(Notes!$B$9="Commercial",J587))*$K$415</f>
        <v>52.752824250000003</v>
      </c>
      <c r="L587" s="283">
        <f>(SUM(O587:Q587)+(K587+SUM(M587:Q587))*(INDEX($U$415:$AB$415,MATCH(Notes!$C$16,$U$3:$AB$3,0))-100%))*$L$415</f>
        <v>304.46146499999998</v>
      </c>
      <c r="M587" s="286"/>
      <c r="N587" s="286"/>
      <c r="O587" s="311">
        <f t="shared" si="210"/>
        <v>98.91</v>
      </c>
      <c r="P587" s="311">
        <f t="shared" si="210"/>
        <v>205.55146500000001</v>
      </c>
      <c r="Q587" s="285"/>
      <c r="R587" s="278"/>
      <c r="S587" s="278"/>
      <c r="T587" s="278"/>
    </row>
    <row r="588" spans="1:20" s="305" customFormat="1" hidden="1" outlineLevel="1" x14ac:dyDescent="0.25">
      <c r="A588" s="344">
        <v>43.96</v>
      </c>
      <c r="B588" s="279" t="str">
        <f t="shared" si="211"/>
        <v>70x80PL</v>
      </c>
      <c r="C588" s="278" t="s">
        <v>1644</v>
      </c>
      <c r="D588" s="278"/>
      <c r="E588" s="278" t="s">
        <v>1860</v>
      </c>
      <c r="F588" s="278"/>
      <c r="G588" s="278" t="s">
        <v>15</v>
      </c>
      <c r="H588" s="328">
        <f t="shared" si="212"/>
        <v>0.6154400000000001</v>
      </c>
      <c r="I588" s="280">
        <f t="shared" si="213"/>
        <v>49.616772800000014</v>
      </c>
      <c r="J588" s="281">
        <f t="shared" si="214"/>
        <v>56.269679200000013</v>
      </c>
      <c r="K588" s="282">
        <f>IF(Notes!$B$9="Domestic",I588, IF(Notes!$B$9="Commercial",J588))*$K$415</f>
        <v>56.269679200000013</v>
      </c>
      <c r="L588" s="283">
        <f>(SUM(O588:Q588)+(K588+SUM(M588:Q588))*(INDEX($U$415:$AB$415,MATCH(Notes!$C$16,$U$3:$AB$3,0))-100%))*$L$415</f>
        <v>324.75889599999999</v>
      </c>
      <c r="M588" s="286"/>
      <c r="N588" s="286"/>
      <c r="O588" s="311">
        <f t="shared" si="210"/>
        <v>105.504</v>
      </c>
      <c r="P588" s="311">
        <f t="shared" si="210"/>
        <v>219.254896</v>
      </c>
      <c r="Q588" s="285"/>
      <c r="R588" s="278"/>
      <c r="S588" s="278"/>
      <c r="T588" s="278"/>
    </row>
    <row r="589" spans="1:20" s="305" customFormat="1" hidden="1" outlineLevel="1" x14ac:dyDescent="0.25">
      <c r="A589" s="344">
        <v>49.454999999999998</v>
      </c>
      <c r="B589" s="279" t="str">
        <f t="shared" si="211"/>
        <v>70x90PL</v>
      </c>
      <c r="C589" s="278" t="s">
        <v>1645</v>
      </c>
      <c r="D589" s="278"/>
      <c r="E589" s="278" t="s">
        <v>1860</v>
      </c>
      <c r="F589" s="278"/>
      <c r="G589" s="278" t="s">
        <v>15</v>
      </c>
      <c r="H589" s="328">
        <f t="shared" si="212"/>
        <v>0.69237000000000004</v>
      </c>
      <c r="I589" s="280">
        <f t="shared" si="213"/>
        <v>55.818869400000004</v>
      </c>
      <c r="J589" s="281">
        <f t="shared" si="214"/>
        <v>63.303389100000011</v>
      </c>
      <c r="K589" s="282">
        <f>IF(Notes!$B$9="Domestic",I589, IF(Notes!$B$9="Commercial",J589))*$K$415</f>
        <v>63.303389100000011</v>
      </c>
      <c r="L589" s="283">
        <f>(SUM(O589:Q589)+(K589+SUM(M589:Q589))*(INDEX($U$415:$AB$415,MATCH(Notes!$C$16,$U$3:$AB$3,0))-100%))*$L$415</f>
        <v>365.35375799999997</v>
      </c>
      <c r="M589" s="286"/>
      <c r="N589" s="286"/>
      <c r="O589" s="311">
        <f t="shared" si="210"/>
        <v>118.69199999999999</v>
      </c>
      <c r="P589" s="311">
        <f t="shared" si="210"/>
        <v>246.66175799999999</v>
      </c>
      <c r="Q589" s="285"/>
      <c r="R589" s="278"/>
      <c r="S589" s="278"/>
      <c r="T589" s="278"/>
    </row>
    <row r="590" spans="1:20" s="305" customFormat="1" hidden="1" outlineLevel="1" x14ac:dyDescent="0.25">
      <c r="A590" s="344">
        <v>54.95</v>
      </c>
      <c r="B590" s="279" t="str">
        <f t="shared" si="211"/>
        <v>70x100PL</v>
      </c>
      <c r="C590" s="278" t="s">
        <v>1646</v>
      </c>
      <c r="D590" s="278"/>
      <c r="E590" s="278" t="s">
        <v>1860</v>
      </c>
      <c r="F590" s="278"/>
      <c r="G590" s="278" t="s">
        <v>15</v>
      </c>
      <c r="H590" s="328">
        <f t="shared" si="212"/>
        <v>0.76930000000000009</v>
      </c>
      <c r="I590" s="280">
        <f t="shared" si="213"/>
        <v>62.020966000000008</v>
      </c>
      <c r="J590" s="281">
        <f t="shared" si="214"/>
        <v>70.337099000000009</v>
      </c>
      <c r="K590" s="282">
        <f>IF(Notes!$B$9="Domestic",I590, IF(Notes!$B$9="Commercial",J590))*$K$415</f>
        <v>70.337099000000009</v>
      </c>
      <c r="L590" s="283">
        <f>(SUM(O590:Q590)+(K590+SUM(M590:Q590))*(INDEX($U$415:$AB$415,MATCH(Notes!$C$16,$U$3:$AB$3,0))-100%))*$L$415</f>
        <v>405.94862000000006</v>
      </c>
      <c r="M590" s="286"/>
      <c r="N590" s="286"/>
      <c r="O590" s="311">
        <f t="shared" si="210"/>
        <v>131.88</v>
      </c>
      <c r="P590" s="311">
        <f t="shared" si="210"/>
        <v>274.06862000000007</v>
      </c>
      <c r="Q590" s="285"/>
      <c r="R590" s="278"/>
      <c r="S590" s="278"/>
      <c r="T590" s="278"/>
    </row>
    <row r="591" spans="1:20" s="305" customFormat="1" hidden="1" outlineLevel="1" x14ac:dyDescent="0.25">
      <c r="A591" s="344">
        <v>1.8839999999999999</v>
      </c>
      <c r="B591" s="279" t="str">
        <f t="shared" si="211"/>
        <v>80x3PL</v>
      </c>
      <c r="C591" s="278" t="s">
        <v>1647</v>
      </c>
      <c r="D591" s="278"/>
      <c r="E591" s="278" t="s">
        <v>1860</v>
      </c>
      <c r="F591" s="278"/>
      <c r="G591" s="278" t="s">
        <v>15</v>
      </c>
      <c r="H591" s="328">
        <f t="shared" si="212"/>
        <v>2.6375999999999997E-2</v>
      </c>
      <c r="I591" s="280">
        <f t="shared" si="213"/>
        <v>2.1264331199999997</v>
      </c>
      <c r="J591" s="281">
        <f t="shared" si="214"/>
        <v>2.41155768</v>
      </c>
      <c r="K591" s="282">
        <f>IF(Notes!$B$9="Domestic",I591, IF(Notes!$B$9="Commercial",J591))*$K$415</f>
        <v>2.41155768</v>
      </c>
      <c r="L591" s="283">
        <f>(SUM(O591:Q591)+(K591+SUM(M591:Q591))*(INDEX($U$415:$AB$415,MATCH(Notes!$C$16,$U$3:$AB$3,0))-100%))*$L$415</f>
        <v>13.9182384</v>
      </c>
      <c r="M591" s="286"/>
      <c r="N591" s="286"/>
      <c r="O591" s="311">
        <f t="shared" si="210"/>
        <v>4.5215999999999994</v>
      </c>
      <c r="P591" s="311">
        <f t="shared" si="210"/>
        <v>9.3966384000000005</v>
      </c>
      <c r="Q591" s="285"/>
      <c r="R591" s="278"/>
      <c r="S591" s="278"/>
      <c r="T591" s="278"/>
    </row>
    <row r="592" spans="1:20" s="305" customFormat="1" hidden="1" outlineLevel="1" x14ac:dyDescent="0.25">
      <c r="A592" s="344">
        <v>2.512</v>
      </c>
      <c r="B592" s="279" t="str">
        <f t="shared" si="211"/>
        <v>80x4PL</v>
      </c>
      <c r="C592" s="278" t="s">
        <v>1648</v>
      </c>
      <c r="D592" s="278"/>
      <c r="E592" s="278" t="s">
        <v>1860</v>
      </c>
      <c r="F592" s="278"/>
      <c r="G592" s="278" t="s">
        <v>15</v>
      </c>
      <c r="H592" s="328">
        <f t="shared" si="212"/>
        <v>3.5167999999999998E-2</v>
      </c>
      <c r="I592" s="280">
        <f t="shared" si="213"/>
        <v>2.8352441599999998</v>
      </c>
      <c r="J592" s="281">
        <f t="shared" si="214"/>
        <v>3.2154102400000002</v>
      </c>
      <c r="K592" s="282">
        <f>IF(Notes!$B$9="Domestic",I592, IF(Notes!$B$9="Commercial",J592))*$K$415</f>
        <v>3.2154102400000002</v>
      </c>
      <c r="L592" s="283">
        <f>(SUM(O592:Q592)+(K592+SUM(M592:Q592))*(INDEX($U$415:$AB$415,MATCH(Notes!$C$16,$U$3:$AB$3,0))-100%))*$L$415</f>
        <v>18.557651200000002</v>
      </c>
      <c r="M592" s="286"/>
      <c r="N592" s="286"/>
      <c r="O592" s="311">
        <f t="shared" si="210"/>
        <v>6.0288000000000004</v>
      </c>
      <c r="P592" s="311">
        <f t="shared" si="210"/>
        <v>12.528851200000002</v>
      </c>
      <c r="Q592" s="285"/>
      <c r="R592" s="278"/>
      <c r="S592" s="278"/>
      <c r="T592" s="278"/>
    </row>
    <row r="593" spans="1:20" s="305" customFormat="1" hidden="1" outlineLevel="1" x14ac:dyDescent="0.25">
      <c r="A593" s="344">
        <v>3.14</v>
      </c>
      <c r="B593" s="279" t="str">
        <f t="shared" si="211"/>
        <v>80x5PL</v>
      </c>
      <c r="C593" s="278" t="s">
        <v>1649</v>
      </c>
      <c r="D593" s="278"/>
      <c r="E593" s="278" t="s">
        <v>1860</v>
      </c>
      <c r="F593" s="278"/>
      <c r="G593" s="278" t="s">
        <v>15</v>
      </c>
      <c r="H593" s="328">
        <f t="shared" si="212"/>
        <v>4.3959999999999999E-2</v>
      </c>
      <c r="I593" s="280">
        <f t="shared" si="213"/>
        <v>3.5440552000000003</v>
      </c>
      <c r="J593" s="281">
        <f t="shared" si="214"/>
        <v>4.0192627999999999</v>
      </c>
      <c r="K593" s="282">
        <f>IF(Notes!$B$9="Domestic",I593, IF(Notes!$B$9="Commercial",J593))*$K$415</f>
        <v>4.0192627999999999</v>
      </c>
      <c r="L593" s="283">
        <f>(SUM(O593:Q593)+(K593+SUM(M593:Q593))*(INDEX($U$415:$AB$415,MATCH(Notes!$C$16,$U$3:$AB$3,0))-100%))*$L$415</f>
        <v>23.197064000000001</v>
      </c>
      <c r="M593" s="286"/>
      <c r="N593" s="286"/>
      <c r="O593" s="311">
        <f t="shared" si="210"/>
        <v>7.5359999999999996</v>
      </c>
      <c r="P593" s="311">
        <f t="shared" si="210"/>
        <v>15.661064000000001</v>
      </c>
      <c r="Q593" s="285"/>
      <c r="R593" s="278"/>
      <c r="S593" s="278"/>
      <c r="T593" s="278"/>
    </row>
    <row r="594" spans="1:20" s="305" customFormat="1" hidden="1" outlineLevel="1" x14ac:dyDescent="0.25">
      <c r="A594" s="344">
        <v>3.7679999999999998</v>
      </c>
      <c r="B594" s="279" t="str">
        <f t="shared" si="211"/>
        <v>80x6PL</v>
      </c>
      <c r="C594" s="278" t="s">
        <v>1650</v>
      </c>
      <c r="D594" s="278"/>
      <c r="E594" s="278" t="s">
        <v>1860</v>
      </c>
      <c r="F594" s="278"/>
      <c r="G594" s="278" t="s">
        <v>15</v>
      </c>
      <c r="H594" s="328">
        <f t="shared" si="212"/>
        <v>5.2751999999999993E-2</v>
      </c>
      <c r="I594" s="280">
        <f t="shared" si="213"/>
        <v>4.2528662399999995</v>
      </c>
      <c r="J594" s="281">
        <f t="shared" si="214"/>
        <v>4.8231153600000001</v>
      </c>
      <c r="K594" s="282">
        <f>IF(Notes!$B$9="Domestic",I594, IF(Notes!$B$9="Commercial",J594))*$K$415</f>
        <v>4.8231153600000001</v>
      </c>
      <c r="L594" s="283">
        <f>(SUM(O594:Q594)+(K594+SUM(M594:Q594))*(INDEX($U$415:$AB$415,MATCH(Notes!$C$16,$U$3:$AB$3,0))-100%))*$L$415</f>
        <v>27.8364768</v>
      </c>
      <c r="M594" s="286"/>
      <c r="N594" s="286"/>
      <c r="O594" s="311">
        <f t="shared" si="210"/>
        <v>9.0431999999999988</v>
      </c>
      <c r="P594" s="311">
        <f t="shared" si="210"/>
        <v>18.793276800000001</v>
      </c>
      <c r="Q594" s="285"/>
      <c r="R594" s="278"/>
      <c r="S594" s="278"/>
      <c r="T594" s="278"/>
    </row>
    <row r="595" spans="1:20" s="305" customFormat="1" hidden="1" outlineLevel="1" x14ac:dyDescent="0.25">
      <c r="A595" s="344">
        <v>5.024</v>
      </c>
      <c r="B595" s="279" t="str">
        <f t="shared" si="211"/>
        <v>80x8PL</v>
      </c>
      <c r="C595" s="278" t="s">
        <v>1651</v>
      </c>
      <c r="D595" s="278"/>
      <c r="E595" s="278" t="s">
        <v>1860</v>
      </c>
      <c r="F595" s="278"/>
      <c r="G595" s="278" t="s">
        <v>15</v>
      </c>
      <c r="H595" s="328">
        <f t="shared" si="212"/>
        <v>7.0335999999999996E-2</v>
      </c>
      <c r="I595" s="280">
        <f t="shared" si="213"/>
        <v>5.6704883199999996</v>
      </c>
      <c r="J595" s="281">
        <f t="shared" si="214"/>
        <v>6.4308204800000004</v>
      </c>
      <c r="K595" s="282">
        <f>IF(Notes!$B$9="Domestic",I595, IF(Notes!$B$9="Commercial",J595))*$K$415</f>
        <v>6.4308204800000004</v>
      </c>
      <c r="L595" s="283">
        <f>(SUM(O595:Q595)+(K595+SUM(M595:Q595))*(INDEX($U$415:$AB$415,MATCH(Notes!$C$16,$U$3:$AB$3,0))-100%))*$L$415</f>
        <v>37.115302400000004</v>
      </c>
      <c r="M595" s="286"/>
      <c r="N595" s="286"/>
      <c r="O595" s="311">
        <f t="shared" si="210"/>
        <v>12.057600000000001</v>
      </c>
      <c r="P595" s="311">
        <f t="shared" si="210"/>
        <v>25.057702400000004</v>
      </c>
      <c r="Q595" s="285"/>
      <c r="R595" s="278"/>
      <c r="S595" s="278"/>
      <c r="T595" s="278"/>
    </row>
    <row r="596" spans="1:20" s="305" customFormat="1" hidden="1" outlineLevel="1" x14ac:dyDescent="0.25">
      <c r="A596" s="344">
        <v>6.28</v>
      </c>
      <c r="B596" s="279" t="str">
        <f t="shared" si="211"/>
        <v>80x10PL</v>
      </c>
      <c r="C596" s="278" t="s">
        <v>1652</v>
      </c>
      <c r="D596" s="278"/>
      <c r="E596" s="278" t="s">
        <v>1860</v>
      </c>
      <c r="F596" s="278"/>
      <c r="G596" s="278" t="s">
        <v>15</v>
      </c>
      <c r="H596" s="328">
        <f t="shared" si="212"/>
        <v>8.7919999999999998E-2</v>
      </c>
      <c r="I596" s="280">
        <f t="shared" si="213"/>
        <v>7.0881104000000006</v>
      </c>
      <c r="J596" s="281">
        <f t="shared" si="214"/>
        <v>8.0385255999999998</v>
      </c>
      <c r="K596" s="282">
        <f>IF(Notes!$B$9="Domestic",I596, IF(Notes!$B$9="Commercial",J596))*$K$415</f>
        <v>8.0385255999999998</v>
      </c>
      <c r="L596" s="283">
        <f>(SUM(O596:Q596)+(K596+SUM(M596:Q596))*(INDEX($U$415:$AB$415,MATCH(Notes!$C$16,$U$3:$AB$3,0))-100%))*$L$415</f>
        <v>46.394128000000002</v>
      </c>
      <c r="M596" s="286"/>
      <c r="N596" s="286"/>
      <c r="O596" s="311">
        <f t="shared" si="210"/>
        <v>15.071999999999999</v>
      </c>
      <c r="P596" s="311">
        <f t="shared" si="210"/>
        <v>31.322128000000003</v>
      </c>
      <c r="Q596" s="285"/>
      <c r="R596" s="278"/>
      <c r="S596" s="278"/>
      <c r="T596" s="278"/>
    </row>
    <row r="597" spans="1:20" s="305" customFormat="1" hidden="1" outlineLevel="1" x14ac:dyDescent="0.25">
      <c r="A597" s="344">
        <v>7.5359999999999996</v>
      </c>
      <c r="B597" s="279" t="str">
        <f t="shared" si="211"/>
        <v>80x12PL</v>
      </c>
      <c r="C597" s="278" t="s">
        <v>1653</v>
      </c>
      <c r="D597" s="278"/>
      <c r="E597" s="278" t="s">
        <v>1860</v>
      </c>
      <c r="F597" s="278"/>
      <c r="G597" s="278" t="s">
        <v>15</v>
      </c>
      <c r="H597" s="328">
        <f t="shared" si="212"/>
        <v>0.10550399999999999</v>
      </c>
      <c r="I597" s="280">
        <f t="shared" si="213"/>
        <v>8.5057324799999989</v>
      </c>
      <c r="J597" s="281">
        <f t="shared" si="214"/>
        <v>9.6462307200000001</v>
      </c>
      <c r="K597" s="282">
        <f>IF(Notes!$B$9="Domestic",I597, IF(Notes!$B$9="Commercial",J597))*$K$415</f>
        <v>9.6462307200000001</v>
      </c>
      <c r="L597" s="283">
        <f>(SUM(O597:Q597)+(K597+SUM(M597:Q597))*(INDEX($U$415:$AB$415,MATCH(Notes!$C$16,$U$3:$AB$3,0))-100%))*$L$415</f>
        <v>55.6729536</v>
      </c>
      <c r="M597" s="286"/>
      <c r="N597" s="286"/>
      <c r="O597" s="311">
        <f t="shared" si="210"/>
        <v>18.086399999999998</v>
      </c>
      <c r="P597" s="311">
        <f t="shared" si="210"/>
        <v>37.586553600000002</v>
      </c>
      <c r="Q597" s="285"/>
      <c r="R597" s="278"/>
      <c r="S597" s="278"/>
      <c r="T597" s="278"/>
    </row>
    <row r="598" spans="1:20" s="305" customFormat="1" hidden="1" outlineLevel="1" x14ac:dyDescent="0.25">
      <c r="A598" s="344">
        <v>10.048</v>
      </c>
      <c r="B598" s="279" t="str">
        <f t="shared" si="211"/>
        <v>80x16PL</v>
      </c>
      <c r="C598" s="278" t="s">
        <v>1654</v>
      </c>
      <c r="D598" s="278"/>
      <c r="E598" s="278" t="s">
        <v>1860</v>
      </c>
      <c r="F598" s="278"/>
      <c r="G598" s="278" t="s">
        <v>15</v>
      </c>
      <c r="H598" s="328">
        <f t="shared" si="212"/>
        <v>0.14067199999999999</v>
      </c>
      <c r="I598" s="280">
        <f t="shared" si="213"/>
        <v>11.340976639999999</v>
      </c>
      <c r="J598" s="281">
        <f t="shared" si="214"/>
        <v>12.861640960000001</v>
      </c>
      <c r="K598" s="282">
        <f>IF(Notes!$B$9="Domestic",I598, IF(Notes!$B$9="Commercial",J598))*$K$415</f>
        <v>12.861640960000001</v>
      </c>
      <c r="L598" s="283">
        <f>(SUM(O598:Q598)+(K598+SUM(M598:Q598))*(INDEX($U$415:$AB$415,MATCH(Notes!$C$16,$U$3:$AB$3,0))-100%))*$L$415</f>
        <v>74.230604800000009</v>
      </c>
      <c r="M598" s="286"/>
      <c r="N598" s="286"/>
      <c r="O598" s="311">
        <f t="shared" si="210"/>
        <v>24.115200000000002</v>
      </c>
      <c r="P598" s="311">
        <f t="shared" si="210"/>
        <v>50.115404800000007</v>
      </c>
      <c r="Q598" s="285"/>
      <c r="R598" s="278"/>
      <c r="S598" s="278"/>
      <c r="T598" s="278"/>
    </row>
    <row r="599" spans="1:20" s="305" customFormat="1" hidden="1" outlineLevel="1" x14ac:dyDescent="0.25">
      <c r="A599" s="344">
        <v>12.56</v>
      </c>
      <c r="B599" s="279" t="str">
        <f t="shared" si="211"/>
        <v>80x20PL</v>
      </c>
      <c r="C599" s="278" t="s">
        <v>1655</v>
      </c>
      <c r="D599" s="278"/>
      <c r="E599" s="278" t="s">
        <v>1860</v>
      </c>
      <c r="F599" s="278"/>
      <c r="G599" s="278" t="s">
        <v>15</v>
      </c>
      <c r="H599" s="328">
        <f t="shared" si="212"/>
        <v>0.17584</v>
      </c>
      <c r="I599" s="280">
        <f t="shared" si="213"/>
        <v>14.176220800000001</v>
      </c>
      <c r="J599" s="281">
        <f t="shared" si="214"/>
        <v>16.0770512</v>
      </c>
      <c r="K599" s="282">
        <f>IF(Notes!$B$9="Domestic",I599, IF(Notes!$B$9="Commercial",J599))*$K$415</f>
        <v>16.0770512</v>
      </c>
      <c r="L599" s="283">
        <f>(SUM(O599:Q599)+(K599+SUM(M599:Q599))*(INDEX($U$415:$AB$415,MATCH(Notes!$C$16,$U$3:$AB$3,0))-100%))*$L$415</f>
        <v>92.788256000000004</v>
      </c>
      <c r="M599" s="286"/>
      <c r="N599" s="286"/>
      <c r="O599" s="311">
        <f t="shared" si="210"/>
        <v>30.143999999999998</v>
      </c>
      <c r="P599" s="311">
        <f t="shared" si="210"/>
        <v>62.644256000000006</v>
      </c>
      <c r="Q599" s="285"/>
      <c r="R599" s="278"/>
      <c r="S599" s="278"/>
      <c r="T599" s="278"/>
    </row>
    <row r="600" spans="1:20" s="305" customFormat="1" hidden="1" outlineLevel="1" x14ac:dyDescent="0.25">
      <c r="A600" s="344">
        <v>13.816000000000001</v>
      </c>
      <c r="B600" s="279" t="str">
        <f t="shared" si="211"/>
        <v>80x22PL</v>
      </c>
      <c r="C600" s="278" t="s">
        <v>1656</v>
      </c>
      <c r="D600" s="278"/>
      <c r="E600" s="278" t="s">
        <v>1860</v>
      </c>
      <c r="F600" s="278"/>
      <c r="G600" s="278" t="s">
        <v>15</v>
      </c>
      <c r="H600" s="328">
        <f t="shared" si="212"/>
        <v>0.19342400000000001</v>
      </c>
      <c r="I600" s="280">
        <f t="shared" si="213"/>
        <v>15.593842880000002</v>
      </c>
      <c r="J600" s="281">
        <f t="shared" si="214"/>
        <v>17.684756320000002</v>
      </c>
      <c r="K600" s="282">
        <f>IF(Notes!$B$9="Domestic",I600, IF(Notes!$B$9="Commercial",J600))*$K$415</f>
        <v>17.684756320000002</v>
      </c>
      <c r="L600" s="283">
        <f>(SUM(O600:Q600)+(K600+SUM(M600:Q600))*(INDEX($U$415:$AB$415,MATCH(Notes!$C$16,$U$3:$AB$3,0))-100%))*$L$415</f>
        <v>102.06708160000001</v>
      </c>
      <c r="M600" s="286"/>
      <c r="N600" s="286"/>
      <c r="O600" s="311">
        <f t="shared" si="210"/>
        <v>33.1584</v>
      </c>
      <c r="P600" s="311">
        <f t="shared" si="210"/>
        <v>68.908681600000008</v>
      </c>
      <c r="Q600" s="285"/>
      <c r="R600" s="278"/>
      <c r="S600" s="278"/>
      <c r="T600" s="278"/>
    </row>
    <row r="601" spans="1:20" s="305" customFormat="1" hidden="1" outlineLevel="1" x14ac:dyDescent="0.25">
      <c r="A601" s="344">
        <v>15.7</v>
      </c>
      <c r="B601" s="279" t="str">
        <f t="shared" si="211"/>
        <v>80x25PL</v>
      </c>
      <c r="C601" s="278" t="s">
        <v>1657</v>
      </c>
      <c r="D601" s="278"/>
      <c r="E601" s="278" t="s">
        <v>1860</v>
      </c>
      <c r="F601" s="278"/>
      <c r="G601" s="278" t="s">
        <v>15</v>
      </c>
      <c r="H601" s="328">
        <f t="shared" si="212"/>
        <v>0.2198</v>
      </c>
      <c r="I601" s="280">
        <f t="shared" si="213"/>
        <v>17.720276000000002</v>
      </c>
      <c r="J601" s="281">
        <f t="shared" si="214"/>
        <v>20.096314</v>
      </c>
      <c r="K601" s="282">
        <f>IF(Notes!$B$9="Domestic",I601, IF(Notes!$B$9="Commercial",J601))*$K$415</f>
        <v>20.096314</v>
      </c>
      <c r="L601" s="283">
        <f>(SUM(O601:Q601)+(K601+SUM(M601:Q601))*(INDEX($U$415:$AB$415,MATCH(Notes!$C$16,$U$3:$AB$3,0))-100%))*$L$415</f>
        <v>115.98532</v>
      </c>
      <c r="M601" s="286"/>
      <c r="N601" s="286"/>
      <c r="O601" s="311">
        <f t="shared" si="210"/>
        <v>37.68</v>
      </c>
      <c r="P601" s="311">
        <f t="shared" si="210"/>
        <v>78.305320000000009</v>
      </c>
      <c r="Q601" s="285"/>
      <c r="R601" s="278"/>
      <c r="S601" s="278"/>
      <c r="T601" s="278"/>
    </row>
    <row r="602" spans="1:20" s="305" customFormat="1" hidden="1" outlineLevel="1" x14ac:dyDescent="0.25">
      <c r="A602" s="344">
        <v>17.584</v>
      </c>
      <c r="B602" s="279" t="str">
        <f t="shared" si="211"/>
        <v>80x28PL</v>
      </c>
      <c r="C602" s="278" t="s">
        <v>1658</v>
      </c>
      <c r="D602" s="278"/>
      <c r="E602" s="278" t="s">
        <v>1860</v>
      </c>
      <c r="F602" s="278"/>
      <c r="G602" s="278" t="s">
        <v>15</v>
      </c>
      <c r="H602" s="328">
        <f t="shared" si="212"/>
        <v>0.24617599999999998</v>
      </c>
      <c r="I602" s="280">
        <f t="shared" si="213"/>
        <v>19.84670912</v>
      </c>
      <c r="J602" s="281">
        <f t="shared" si="214"/>
        <v>22.507871680000001</v>
      </c>
      <c r="K602" s="282">
        <f>IF(Notes!$B$9="Domestic",I602, IF(Notes!$B$9="Commercial",J602))*$K$415</f>
        <v>22.507871680000001</v>
      </c>
      <c r="L602" s="283">
        <f>(SUM(O602:Q602)+(K602+SUM(M602:Q602))*(INDEX($U$415:$AB$415,MATCH(Notes!$C$16,$U$3:$AB$3,0))-100%))*$L$415</f>
        <v>129.90355840000001</v>
      </c>
      <c r="M602" s="286"/>
      <c r="N602" s="286"/>
      <c r="O602" s="311">
        <f t="shared" si="210"/>
        <v>42.201599999999999</v>
      </c>
      <c r="P602" s="311">
        <f t="shared" si="210"/>
        <v>87.701958400000009</v>
      </c>
      <c r="Q602" s="285"/>
      <c r="R602" s="278"/>
      <c r="S602" s="278"/>
      <c r="T602" s="278"/>
    </row>
    <row r="603" spans="1:20" s="305" customFormat="1" hidden="1" outlineLevel="1" x14ac:dyDescent="0.25">
      <c r="A603" s="344">
        <v>20.096</v>
      </c>
      <c r="B603" s="279" t="str">
        <f t="shared" si="211"/>
        <v>80x32PL</v>
      </c>
      <c r="C603" s="278" t="s">
        <v>1659</v>
      </c>
      <c r="D603" s="278"/>
      <c r="E603" s="278" t="s">
        <v>1860</v>
      </c>
      <c r="F603" s="278"/>
      <c r="G603" s="278" t="s">
        <v>15</v>
      </c>
      <c r="H603" s="328">
        <f t="shared" si="212"/>
        <v>0.28134399999999998</v>
      </c>
      <c r="I603" s="280">
        <f t="shared" si="213"/>
        <v>22.681953279999998</v>
      </c>
      <c r="J603" s="281">
        <f t="shared" si="214"/>
        <v>25.723281920000002</v>
      </c>
      <c r="K603" s="282">
        <f>IF(Notes!$B$9="Domestic",I603, IF(Notes!$B$9="Commercial",J603))*$K$415</f>
        <v>25.723281920000002</v>
      </c>
      <c r="L603" s="283">
        <f>(SUM(O603:Q603)+(K603+SUM(M603:Q603))*(INDEX($U$415:$AB$415,MATCH(Notes!$C$16,$U$3:$AB$3,0))-100%))*$L$415</f>
        <v>148.46120960000002</v>
      </c>
      <c r="M603" s="286"/>
      <c r="N603" s="286"/>
      <c r="O603" s="311">
        <f t="shared" si="210"/>
        <v>48.230400000000003</v>
      </c>
      <c r="P603" s="311">
        <f t="shared" si="210"/>
        <v>100.23080960000001</v>
      </c>
      <c r="Q603" s="285"/>
      <c r="R603" s="278"/>
      <c r="S603" s="278"/>
      <c r="T603" s="278"/>
    </row>
    <row r="604" spans="1:20" s="305" customFormat="1" hidden="1" outlineLevel="1" x14ac:dyDescent="0.25">
      <c r="A604" s="344">
        <v>22.608000000000001</v>
      </c>
      <c r="B604" s="279" t="str">
        <f t="shared" si="211"/>
        <v>80x36PL</v>
      </c>
      <c r="C604" s="278" t="s">
        <v>1660</v>
      </c>
      <c r="D604" s="278"/>
      <c r="E604" s="278" t="s">
        <v>1860</v>
      </c>
      <c r="F604" s="278"/>
      <c r="G604" s="278" t="s">
        <v>15</v>
      </c>
      <c r="H604" s="328">
        <f t="shared" si="212"/>
        <v>0.31651200000000002</v>
      </c>
      <c r="I604" s="280">
        <f t="shared" si="213"/>
        <v>25.517197440000004</v>
      </c>
      <c r="J604" s="281">
        <f t="shared" si="214"/>
        <v>28.938692160000002</v>
      </c>
      <c r="K604" s="282">
        <f>IF(Notes!$B$9="Domestic",I604, IF(Notes!$B$9="Commercial",J604))*$K$415</f>
        <v>28.938692160000002</v>
      </c>
      <c r="L604" s="283">
        <f>(SUM(O604:Q604)+(K604+SUM(M604:Q604))*(INDEX($U$415:$AB$415,MATCH(Notes!$C$16,$U$3:$AB$3,0))-100%))*$L$415</f>
        <v>167.01886080000003</v>
      </c>
      <c r="M604" s="286"/>
      <c r="N604" s="286"/>
      <c r="O604" s="311">
        <f t="shared" si="210"/>
        <v>54.259200000000007</v>
      </c>
      <c r="P604" s="311">
        <f t="shared" si="210"/>
        <v>112.75966080000001</v>
      </c>
      <c r="Q604" s="285"/>
      <c r="R604" s="278"/>
      <c r="S604" s="278"/>
      <c r="T604" s="278"/>
    </row>
    <row r="605" spans="1:20" s="305" customFormat="1" hidden="1" outlineLevel="1" x14ac:dyDescent="0.25">
      <c r="A605" s="344">
        <v>25.12</v>
      </c>
      <c r="B605" s="279" t="str">
        <f t="shared" si="211"/>
        <v>80x40PL</v>
      </c>
      <c r="C605" s="278" t="s">
        <v>1661</v>
      </c>
      <c r="D605" s="278"/>
      <c r="E605" s="278" t="s">
        <v>1860</v>
      </c>
      <c r="F605" s="278"/>
      <c r="G605" s="278" t="s">
        <v>15</v>
      </c>
      <c r="H605" s="328">
        <f t="shared" si="212"/>
        <v>0.35167999999999999</v>
      </c>
      <c r="I605" s="280">
        <f t="shared" si="213"/>
        <v>28.352441600000002</v>
      </c>
      <c r="J605" s="281">
        <f t="shared" si="214"/>
        <v>32.154102399999999</v>
      </c>
      <c r="K605" s="282">
        <f>IF(Notes!$B$9="Domestic",I605, IF(Notes!$B$9="Commercial",J605))*$K$415</f>
        <v>32.154102399999999</v>
      </c>
      <c r="L605" s="283">
        <f>(SUM(O605:Q605)+(K605+SUM(M605:Q605))*(INDEX($U$415:$AB$415,MATCH(Notes!$C$16,$U$3:$AB$3,0))-100%))*$L$415</f>
        <v>185.57651200000001</v>
      </c>
      <c r="M605" s="286"/>
      <c r="N605" s="286"/>
      <c r="O605" s="311">
        <f t="shared" si="210"/>
        <v>60.287999999999997</v>
      </c>
      <c r="P605" s="311">
        <f t="shared" si="210"/>
        <v>125.28851200000001</v>
      </c>
      <c r="Q605" s="285"/>
      <c r="R605" s="278"/>
      <c r="S605" s="278"/>
      <c r="T605" s="278"/>
    </row>
    <row r="606" spans="1:20" s="305" customFormat="1" hidden="1" outlineLevel="1" x14ac:dyDescent="0.25">
      <c r="A606" s="344">
        <v>28.26</v>
      </c>
      <c r="B606" s="279" t="str">
        <f t="shared" si="211"/>
        <v>80x45PL</v>
      </c>
      <c r="C606" s="278" t="s">
        <v>1662</v>
      </c>
      <c r="D606" s="278"/>
      <c r="E606" s="278" t="s">
        <v>1860</v>
      </c>
      <c r="F606" s="278"/>
      <c r="G606" s="278" t="s">
        <v>15</v>
      </c>
      <c r="H606" s="328">
        <f t="shared" si="212"/>
        <v>0.39564000000000005</v>
      </c>
      <c r="I606" s="280">
        <f t="shared" si="213"/>
        <v>31.896496800000005</v>
      </c>
      <c r="J606" s="281">
        <f t="shared" si="214"/>
        <v>36.173365200000006</v>
      </c>
      <c r="K606" s="282">
        <f>IF(Notes!$B$9="Domestic",I606, IF(Notes!$B$9="Commercial",J606))*$K$415</f>
        <v>36.173365200000006</v>
      </c>
      <c r="L606" s="283">
        <f>(SUM(O606:Q606)+(K606+SUM(M606:Q606))*(INDEX($U$415:$AB$415,MATCH(Notes!$C$16,$U$3:$AB$3,0))-100%))*$L$415</f>
        <v>208.77357600000005</v>
      </c>
      <c r="M606" s="286"/>
      <c r="N606" s="286"/>
      <c r="O606" s="311">
        <f t="shared" si="210"/>
        <v>67.823999999999998</v>
      </c>
      <c r="P606" s="311">
        <f t="shared" si="210"/>
        <v>140.94957600000004</v>
      </c>
      <c r="Q606" s="285"/>
      <c r="R606" s="278"/>
      <c r="S606" s="278"/>
      <c r="T606" s="278"/>
    </row>
    <row r="607" spans="1:20" s="305" customFormat="1" hidden="1" outlineLevel="1" x14ac:dyDescent="0.25">
      <c r="A607" s="344">
        <v>31.4</v>
      </c>
      <c r="B607" s="279" t="str">
        <f t="shared" si="211"/>
        <v>80x50PL</v>
      </c>
      <c r="C607" s="278" t="s">
        <v>1663</v>
      </c>
      <c r="D607" s="278"/>
      <c r="E607" s="278" t="s">
        <v>1860</v>
      </c>
      <c r="F607" s="278"/>
      <c r="G607" s="278" t="s">
        <v>15</v>
      </c>
      <c r="H607" s="328">
        <f t="shared" si="212"/>
        <v>0.43959999999999999</v>
      </c>
      <c r="I607" s="280">
        <f t="shared" si="213"/>
        <v>35.440552000000004</v>
      </c>
      <c r="J607" s="281">
        <f t="shared" si="214"/>
        <v>40.192627999999999</v>
      </c>
      <c r="K607" s="282">
        <f>IF(Notes!$B$9="Domestic",I607, IF(Notes!$B$9="Commercial",J607))*$K$415</f>
        <v>40.192627999999999</v>
      </c>
      <c r="L607" s="283">
        <f>(SUM(O607:Q607)+(K607+SUM(M607:Q607))*(INDEX($U$415:$AB$415,MATCH(Notes!$C$16,$U$3:$AB$3,0))-100%))*$L$415</f>
        <v>231.97064</v>
      </c>
      <c r="M607" s="286"/>
      <c r="N607" s="286"/>
      <c r="O607" s="311">
        <f t="shared" si="210"/>
        <v>75.36</v>
      </c>
      <c r="P607" s="311">
        <f t="shared" si="210"/>
        <v>156.61064000000002</v>
      </c>
      <c r="Q607" s="285"/>
      <c r="R607" s="278"/>
      <c r="S607" s="278"/>
      <c r="T607" s="278"/>
    </row>
    <row r="608" spans="1:20" s="305" customFormat="1" hidden="1" outlineLevel="1" x14ac:dyDescent="0.25">
      <c r="A608" s="344">
        <v>34.54</v>
      </c>
      <c r="B608" s="279" t="str">
        <f t="shared" si="211"/>
        <v>80x55PL</v>
      </c>
      <c r="C608" s="278" t="s">
        <v>1664</v>
      </c>
      <c r="D608" s="278"/>
      <c r="E608" s="278" t="s">
        <v>1860</v>
      </c>
      <c r="F608" s="278"/>
      <c r="G608" s="278" t="s">
        <v>15</v>
      </c>
      <c r="H608" s="328">
        <f t="shared" si="212"/>
        <v>0.48355999999999999</v>
      </c>
      <c r="I608" s="280">
        <f t="shared" si="213"/>
        <v>38.984607199999999</v>
      </c>
      <c r="J608" s="281">
        <f t="shared" si="214"/>
        <v>44.211890799999999</v>
      </c>
      <c r="K608" s="282">
        <f>IF(Notes!$B$9="Domestic",I608, IF(Notes!$B$9="Commercial",J608))*$K$415</f>
        <v>44.211890799999999</v>
      </c>
      <c r="L608" s="283">
        <f>(SUM(O608:Q608)+(K608+SUM(M608:Q608))*(INDEX($U$415:$AB$415,MATCH(Notes!$C$16,$U$3:$AB$3,0))-100%))*$L$415</f>
        <v>255.16770400000001</v>
      </c>
      <c r="M608" s="286"/>
      <c r="N608" s="286"/>
      <c r="O608" s="311">
        <f t="shared" si="210"/>
        <v>82.896000000000001</v>
      </c>
      <c r="P608" s="311">
        <f t="shared" si="210"/>
        <v>172.271704</v>
      </c>
      <c r="Q608" s="285"/>
      <c r="R608" s="278"/>
      <c r="S608" s="278"/>
      <c r="T608" s="278"/>
    </row>
    <row r="609" spans="1:20" s="305" customFormat="1" hidden="1" outlineLevel="1" x14ac:dyDescent="0.25">
      <c r="A609" s="344">
        <v>37.68</v>
      </c>
      <c r="B609" s="279" t="str">
        <f t="shared" si="211"/>
        <v>80x60PL</v>
      </c>
      <c r="C609" s="278" t="s">
        <v>1665</v>
      </c>
      <c r="D609" s="278"/>
      <c r="E609" s="278" t="s">
        <v>1860</v>
      </c>
      <c r="F609" s="278"/>
      <c r="G609" s="278" t="s">
        <v>15</v>
      </c>
      <c r="H609" s="328">
        <f t="shared" si="212"/>
        <v>0.52751999999999999</v>
      </c>
      <c r="I609" s="280">
        <f t="shared" si="213"/>
        <v>42.528662400000002</v>
      </c>
      <c r="J609" s="281">
        <f t="shared" si="214"/>
        <v>48.231153600000006</v>
      </c>
      <c r="K609" s="282">
        <f>IF(Notes!$B$9="Domestic",I609, IF(Notes!$B$9="Commercial",J609))*$K$415</f>
        <v>48.231153600000006</v>
      </c>
      <c r="L609" s="283">
        <f>(SUM(O609:Q609)+(K609+SUM(M609:Q609))*(INDEX($U$415:$AB$415,MATCH(Notes!$C$16,$U$3:$AB$3,0))-100%))*$L$415</f>
        <v>278.36476800000003</v>
      </c>
      <c r="M609" s="286"/>
      <c r="N609" s="286"/>
      <c r="O609" s="311">
        <f t="shared" si="210"/>
        <v>90.432000000000002</v>
      </c>
      <c r="P609" s="311">
        <f t="shared" si="210"/>
        <v>187.93276800000001</v>
      </c>
      <c r="Q609" s="285"/>
      <c r="R609" s="278"/>
      <c r="S609" s="278"/>
      <c r="T609" s="278"/>
    </row>
    <row r="610" spans="1:20" s="305" customFormat="1" hidden="1" outlineLevel="1" x14ac:dyDescent="0.25">
      <c r="A610" s="344">
        <v>40.799999999999997</v>
      </c>
      <c r="B610" s="279" t="str">
        <f t="shared" si="211"/>
        <v>80x65PL</v>
      </c>
      <c r="C610" s="278" t="s">
        <v>1666</v>
      </c>
      <c r="D610" s="278"/>
      <c r="E610" s="278" t="s">
        <v>1860</v>
      </c>
      <c r="F610" s="278"/>
      <c r="G610" s="278" t="s">
        <v>15</v>
      </c>
      <c r="H610" s="328">
        <f t="shared" si="212"/>
        <v>0.57119999999999993</v>
      </c>
      <c r="I610" s="280">
        <f t="shared" si="213"/>
        <v>46.050143999999996</v>
      </c>
      <c r="J610" s="281">
        <f t="shared" si="214"/>
        <v>52.224815999999997</v>
      </c>
      <c r="K610" s="282">
        <f>IF(Notes!$B$9="Domestic",I610, IF(Notes!$B$9="Commercial",J610))*$K$415</f>
        <v>52.224815999999997</v>
      </c>
      <c r="L610" s="283">
        <f>(SUM(O610:Q610)+(K610+SUM(M610:Q610))*(INDEX($U$415:$AB$415,MATCH(Notes!$C$16,$U$3:$AB$3,0))-100%))*$L$415</f>
        <v>301.41408000000001</v>
      </c>
      <c r="M610" s="286"/>
      <c r="N610" s="286"/>
      <c r="O610" s="311">
        <f t="shared" si="210"/>
        <v>97.92</v>
      </c>
      <c r="P610" s="311">
        <f t="shared" si="210"/>
        <v>203.49408</v>
      </c>
      <c r="Q610" s="285"/>
      <c r="R610" s="278"/>
      <c r="S610" s="278"/>
      <c r="T610" s="278"/>
    </row>
    <row r="611" spans="1:20" s="305" customFormat="1" hidden="1" outlineLevel="1" x14ac:dyDescent="0.25">
      <c r="A611" s="344">
        <v>43.96</v>
      </c>
      <c r="B611" s="279" t="str">
        <f t="shared" si="211"/>
        <v>80x70PL</v>
      </c>
      <c r="C611" s="278" t="s">
        <v>1667</v>
      </c>
      <c r="D611" s="278"/>
      <c r="E611" s="278" t="s">
        <v>1860</v>
      </c>
      <c r="F611" s="278"/>
      <c r="G611" s="278" t="s">
        <v>15</v>
      </c>
      <c r="H611" s="328">
        <f t="shared" si="212"/>
        <v>0.6154400000000001</v>
      </c>
      <c r="I611" s="280">
        <f t="shared" si="213"/>
        <v>49.616772800000014</v>
      </c>
      <c r="J611" s="281">
        <f t="shared" si="214"/>
        <v>56.269679200000013</v>
      </c>
      <c r="K611" s="282">
        <f>IF(Notes!$B$9="Domestic",I611, IF(Notes!$B$9="Commercial",J611))*$K$415</f>
        <v>56.269679200000013</v>
      </c>
      <c r="L611" s="283">
        <f>(SUM(O611:Q611)+(K611+SUM(M611:Q611))*(INDEX($U$415:$AB$415,MATCH(Notes!$C$16,$U$3:$AB$3,0))-100%))*$L$415</f>
        <v>324.75889599999999</v>
      </c>
      <c r="M611" s="286"/>
      <c r="N611" s="286"/>
      <c r="O611" s="311">
        <f t="shared" si="210"/>
        <v>105.504</v>
      </c>
      <c r="P611" s="311">
        <f t="shared" si="210"/>
        <v>219.254896</v>
      </c>
      <c r="Q611" s="285"/>
      <c r="R611" s="278"/>
      <c r="S611" s="278"/>
      <c r="T611" s="278"/>
    </row>
    <row r="612" spans="1:20" s="305" customFormat="1" hidden="1" outlineLevel="1" x14ac:dyDescent="0.25">
      <c r="A612" s="344">
        <v>47.1</v>
      </c>
      <c r="B612" s="279" t="str">
        <f t="shared" si="211"/>
        <v>80x75PL</v>
      </c>
      <c r="C612" s="278" t="s">
        <v>1668</v>
      </c>
      <c r="D612" s="278"/>
      <c r="E612" s="278" t="s">
        <v>1860</v>
      </c>
      <c r="F612" s="278"/>
      <c r="G612" s="278" t="s">
        <v>15</v>
      </c>
      <c r="H612" s="328">
        <f t="shared" si="212"/>
        <v>0.65939999999999999</v>
      </c>
      <c r="I612" s="280">
        <f t="shared" si="213"/>
        <v>53.160828000000002</v>
      </c>
      <c r="J612" s="281">
        <f t="shared" si="214"/>
        <v>60.288942000000006</v>
      </c>
      <c r="K612" s="282">
        <f>IF(Notes!$B$9="Domestic",I612, IF(Notes!$B$9="Commercial",J612))*$K$415</f>
        <v>60.288942000000006</v>
      </c>
      <c r="L612" s="283">
        <f>(SUM(O612:Q612)+(K612+SUM(M612:Q612))*(INDEX($U$415:$AB$415,MATCH(Notes!$C$16,$U$3:$AB$3,0))-100%))*$L$415</f>
        <v>347.95596</v>
      </c>
      <c r="M612" s="286"/>
      <c r="N612" s="286"/>
      <c r="O612" s="311">
        <f t="shared" si="210"/>
        <v>113.04</v>
      </c>
      <c r="P612" s="311">
        <f t="shared" si="210"/>
        <v>234.91596000000001</v>
      </c>
      <c r="Q612" s="285"/>
      <c r="R612" s="278"/>
      <c r="S612" s="278"/>
      <c r="T612" s="278"/>
    </row>
    <row r="613" spans="1:20" s="305" customFormat="1" hidden="1" outlineLevel="1" x14ac:dyDescent="0.25">
      <c r="A613" s="344">
        <v>50.24</v>
      </c>
      <c r="B613" s="279" t="str">
        <f t="shared" si="211"/>
        <v>80x80PL</v>
      </c>
      <c r="C613" s="278" t="s">
        <v>1669</v>
      </c>
      <c r="D613" s="278"/>
      <c r="E613" s="278" t="s">
        <v>1860</v>
      </c>
      <c r="F613" s="278"/>
      <c r="G613" s="278" t="s">
        <v>15</v>
      </c>
      <c r="H613" s="328">
        <f t="shared" si="212"/>
        <v>0.70335999999999999</v>
      </c>
      <c r="I613" s="280">
        <f t="shared" si="213"/>
        <v>56.704883200000005</v>
      </c>
      <c r="J613" s="281">
        <f t="shared" si="214"/>
        <v>64.308204799999999</v>
      </c>
      <c r="K613" s="282">
        <f>IF(Notes!$B$9="Domestic",I613, IF(Notes!$B$9="Commercial",J613))*$K$415</f>
        <v>64.308204799999999</v>
      </c>
      <c r="L613" s="283">
        <f>(SUM(O613:Q613)+(K613+SUM(M613:Q613))*(INDEX($U$415:$AB$415,MATCH(Notes!$C$16,$U$3:$AB$3,0))-100%))*$L$415</f>
        <v>371.15302400000002</v>
      </c>
      <c r="M613" s="286"/>
      <c r="N613" s="286"/>
      <c r="O613" s="311">
        <f t="shared" si="210"/>
        <v>120.57599999999999</v>
      </c>
      <c r="P613" s="311">
        <f t="shared" si="210"/>
        <v>250.57702400000002</v>
      </c>
      <c r="Q613" s="285"/>
      <c r="R613" s="278"/>
      <c r="S613" s="278"/>
      <c r="T613" s="278"/>
    </row>
    <row r="614" spans="1:20" s="305" customFormat="1" hidden="1" outlineLevel="1" x14ac:dyDescent="0.25">
      <c r="A614" s="344">
        <v>56.52</v>
      </c>
      <c r="B614" s="279" t="str">
        <f t="shared" si="211"/>
        <v>80x90PL</v>
      </c>
      <c r="C614" s="278" t="s">
        <v>1670</v>
      </c>
      <c r="D614" s="278"/>
      <c r="E614" s="278" t="s">
        <v>1860</v>
      </c>
      <c r="F614" s="278"/>
      <c r="G614" s="278" t="s">
        <v>15</v>
      </c>
      <c r="H614" s="328">
        <f t="shared" si="212"/>
        <v>0.79128000000000009</v>
      </c>
      <c r="I614" s="280">
        <f t="shared" si="213"/>
        <v>63.79299360000001</v>
      </c>
      <c r="J614" s="281">
        <f t="shared" si="214"/>
        <v>72.346730400000013</v>
      </c>
      <c r="K614" s="282">
        <f>IF(Notes!$B$9="Domestic",I614, IF(Notes!$B$9="Commercial",J614))*$K$415</f>
        <v>72.346730400000013</v>
      </c>
      <c r="L614" s="283">
        <f>(SUM(O614:Q614)+(K614+SUM(M614:Q614))*(INDEX($U$415:$AB$415,MATCH(Notes!$C$16,$U$3:$AB$3,0))-100%))*$L$415</f>
        <v>417.5471520000001</v>
      </c>
      <c r="M614" s="286"/>
      <c r="N614" s="286"/>
      <c r="O614" s="311">
        <f t="shared" si="210"/>
        <v>135.648</v>
      </c>
      <c r="P614" s="311">
        <f t="shared" si="210"/>
        <v>281.89915200000007</v>
      </c>
      <c r="Q614" s="285"/>
      <c r="R614" s="278"/>
      <c r="S614" s="278"/>
      <c r="T614" s="278"/>
    </row>
    <row r="615" spans="1:20" s="305" customFormat="1" hidden="1" outlineLevel="1" x14ac:dyDescent="0.25">
      <c r="A615" s="344">
        <v>62.8</v>
      </c>
      <c r="B615" s="279" t="str">
        <f t="shared" si="211"/>
        <v>80x100PL</v>
      </c>
      <c r="C615" s="278" t="s">
        <v>1671</v>
      </c>
      <c r="D615" s="278"/>
      <c r="E615" s="278" t="s">
        <v>1860</v>
      </c>
      <c r="F615" s="278"/>
      <c r="G615" s="278" t="s">
        <v>15</v>
      </c>
      <c r="H615" s="328">
        <f t="shared" si="212"/>
        <v>0.87919999999999998</v>
      </c>
      <c r="I615" s="280">
        <f t="shared" si="213"/>
        <v>70.881104000000008</v>
      </c>
      <c r="J615" s="281">
        <f t="shared" si="214"/>
        <v>80.385255999999998</v>
      </c>
      <c r="K615" s="282">
        <f>IF(Notes!$B$9="Domestic",I615, IF(Notes!$B$9="Commercial",J615))*$K$415</f>
        <v>80.385255999999998</v>
      </c>
      <c r="L615" s="283">
        <f>(SUM(O615:Q615)+(K615+SUM(M615:Q615))*(INDEX($U$415:$AB$415,MATCH(Notes!$C$16,$U$3:$AB$3,0))-100%))*$L$415</f>
        <v>463.94128000000001</v>
      </c>
      <c r="M615" s="286"/>
      <c r="N615" s="286"/>
      <c r="O615" s="311">
        <f t="shared" si="210"/>
        <v>150.72</v>
      </c>
      <c r="P615" s="311">
        <f t="shared" si="210"/>
        <v>313.22128000000004</v>
      </c>
      <c r="Q615" s="285"/>
      <c r="R615" s="278"/>
      <c r="S615" s="278"/>
      <c r="T615" s="278"/>
    </row>
    <row r="616" spans="1:20" s="305" customFormat="1" hidden="1" outlineLevel="1" x14ac:dyDescent="0.25">
      <c r="A616" s="344">
        <v>2.1194999999999999</v>
      </c>
      <c r="B616" s="279" t="str">
        <f t="shared" si="211"/>
        <v>90x3PL</v>
      </c>
      <c r="C616" s="278" t="s">
        <v>1672</v>
      </c>
      <c r="D616" s="278"/>
      <c r="E616" s="278" t="s">
        <v>1860</v>
      </c>
      <c r="F616" s="278"/>
      <c r="G616" s="278" t="s">
        <v>15</v>
      </c>
      <c r="H616" s="328">
        <f t="shared" si="212"/>
        <v>2.9672999999999998E-2</v>
      </c>
      <c r="I616" s="280">
        <f t="shared" si="213"/>
        <v>2.3922372599999999</v>
      </c>
      <c r="J616" s="281">
        <f t="shared" si="214"/>
        <v>2.7130023900000002</v>
      </c>
      <c r="K616" s="282">
        <f>IF(Notes!$B$9="Domestic",I616, IF(Notes!$B$9="Commercial",J616))*$K$415</f>
        <v>2.7130023900000002</v>
      </c>
      <c r="L616" s="283">
        <f>(SUM(O616:Q616)+(K616+SUM(M616:Q616))*(INDEX($U$415:$AB$415,MATCH(Notes!$C$16,$U$3:$AB$3,0))-100%))*$L$415</f>
        <v>15.658018200000001</v>
      </c>
      <c r="M616" s="286"/>
      <c r="N616" s="286"/>
      <c r="O616" s="311">
        <f t="shared" si="210"/>
        <v>5.0868000000000002</v>
      </c>
      <c r="P616" s="311">
        <f t="shared" si="210"/>
        <v>10.571218200000001</v>
      </c>
      <c r="Q616" s="285"/>
      <c r="R616" s="278"/>
      <c r="S616" s="278"/>
      <c r="T616" s="278"/>
    </row>
    <row r="617" spans="1:20" s="305" customFormat="1" hidden="1" outlineLevel="1" x14ac:dyDescent="0.25">
      <c r="A617" s="344">
        <v>2.8260000000000001</v>
      </c>
      <c r="B617" s="279" t="str">
        <f t="shared" si="211"/>
        <v>90x4PL</v>
      </c>
      <c r="C617" s="278" t="s">
        <v>1673</v>
      </c>
      <c r="D617" s="278"/>
      <c r="E617" s="278" t="s">
        <v>1860</v>
      </c>
      <c r="F617" s="278"/>
      <c r="G617" s="278" t="s">
        <v>15</v>
      </c>
      <c r="H617" s="328">
        <f t="shared" si="212"/>
        <v>3.9564000000000002E-2</v>
      </c>
      <c r="I617" s="280">
        <f t="shared" si="213"/>
        <v>3.1896496800000005</v>
      </c>
      <c r="J617" s="281">
        <f t="shared" si="214"/>
        <v>3.6173365200000003</v>
      </c>
      <c r="K617" s="282">
        <f>IF(Notes!$B$9="Domestic",I617, IF(Notes!$B$9="Commercial",J617))*$K$415</f>
        <v>3.6173365200000003</v>
      </c>
      <c r="L617" s="283">
        <f>(SUM(O617:Q617)+(K617+SUM(M617:Q617))*(INDEX($U$415:$AB$415,MATCH(Notes!$C$16,$U$3:$AB$3,0))-100%))*$L$415</f>
        <v>20.877357600000003</v>
      </c>
      <c r="M617" s="286"/>
      <c r="N617" s="286"/>
      <c r="O617" s="311">
        <f t="shared" si="210"/>
        <v>6.7824000000000009</v>
      </c>
      <c r="P617" s="311">
        <f t="shared" si="210"/>
        <v>14.094957600000001</v>
      </c>
      <c r="Q617" s="285"/>
      <c r="R617" s="278"/>
      <c r="S617" s="278"/>
      <c r="T617" s="278"/>
    </row>
    <row r="618" spans="1:20" s="305" customFormat="1" hidden="1" outlineLevel="1" x14ac:dyDescent="0.25">
      <c r="A618" s="344">
        <v>3.5325000000000002</v>
      </c>
      <c r="B618" s="279" t="str">
        <f t="shared" si="211"/>
        <v>90x5PL</v>
      </c>
      <c r="C618" s="278" t="s">
        <v>1674</v>
      </c>
      <c r="D618" s="278"/>
      <c r="E618" s="278" t="s">
        <v>1860</v>
      </c>
      <c r="F618" s="278"/>
      <c r="G618" s="278" t="s">
        <v>15</v>
      </c>
      <c r="H618" s="328">
        <f t="shared" si="212"/>
        <v>4.9455000000000006E-2</v>
      </c>
      <c r="I618" s="280">
        <f t="shared" si="213"/>
        <v>3.9870621000000006</v>
      </c>
      <c r="J618" s="281">
        <f t="shared" si="214"/>
        <v>4.5216706500000008</v>
      </c>
      <c r="K618" s="282">
        <f>IF(Notes!$B$9="Domestic",I618, IF(Notes!$B$9="Commercial",J618))*$K$415</f>
        <v>4.5216706500000008</v>
      </c>
      <c r="L618" s="283">
        <f>(SUM(O618:Q618)+(K618+SUM(M618:Q618))*(INDEX($U$415:$AB$415,MATCH(Notes!$C$16,$U$3:$AB$3,0))-100%))*$L$415</f>
        <v>26.096697000000006</v>
      </c>
      <c r="M618" s="286"/>
      <c r="N618" s="286"/>
      <c r="O618" s="311">
        <f t="shared" si="210"/>
        <v>8.4779999999999998</v>
      </c>
      <c r="P618" s="311">
        <f t="shared" si="210"/>
        <v>17.618697000000004</v>
      </c>
      <c r="Q618" s="285"/>
      <c r="R618" s="278"/>
      <c r="S618" s="278"/>
      <c r="T618" s="278"/>
    </row>
    <row r="619" spans="1:20" s="305" customFormat="1" hidden="1" outlineLevel="1" x14ac:dyDescent="0.25">
      <c r="A619" s="344">
        <v>4.2389999999999999</v>
      </c>
      <c r="B619" s="279" t="str">
        <f t="shared" si="211"/>
        <v>90x6PL</v>
      </c>
      <c r="C619" s="278" t="s">
        <v>1675</v>
      </c>
      <c r="D619" s="278"/>
      <c r="E619" s="278" t="s">
        <v>1860</v>
      </c>
      <c r="F619" s="278"/>
      <c r="G619" s="278" t="s">
        <v>15</v>
      </c>
      <c r="H619" s="328">
        <f t="shared" si="212"/>
        <v>5.9345999999999996E-2</v>
      </c>
      <c r="I619" s="280">
        <f t="shared" si="213"/>
        <v>4.7844745199999998</v>
      </c>
      <c r="J619" s="281">
        <f t="shared" si="214"/>
        <v>5.4260047800000004</v>
      </c>
      <c r="K619" s="282">
        <f>IF(Notes!$B$9="Domestic",I619, IF(Notes!$B$9="Commercial",J619))*$K$415</f>
        <v>5.4260047800000004</v>
      </c>
      <c r="L619" s="283">
        <f>(SUM(O619:Q619)+(K619+SUM(M619:Q619))*(INDEX($U$415:$AB$415,MATCH(Notes!$C$16,$U$3:$AB$3,0))-100%))*$L$415</f>
        <v>31.316036400000002</v>
      </c>
      <c r="M619" s="286"/>
      <c r="N619" s="286"/>
      <c r="O619" s="311">
        <f t="shared" si="210"/>
        <v>10.1736</v>
      </c>
      <c r="P619" s="311">
        <f t="shared" si="210"/>
        <v>21.142436400000001</v>
      </c>
      <c r="Q619" s="285"/>
      <c r="R619" s="278"/>
      <c r="S619" s="278"/>
      <c r="T619" s="278"/>
    </row>
    <row r="620" spans="1:20" s="305" customFormat="1" hidden="1" outlineLevel="1" x14ac:dyDescent="0.25">
      <c r="A620" s="344">
        <v>5.6520000000000001</v>
      </c>
      <c r="B620" s="279" t="str">
        <f t="shared" si="211"/>
        <v>90x8PL</v>
      </c>
      <c r="C620" s="278" t="s">
        <v>1676</v>
      </c>
      <c r="D620" s="278"/>
      <c r="E620" s="278" t="s">
        <v>1860</v>
      </c>
      <c r="F620" s="278"/>
      <c r="G620" s="278" t="s">
        <v>15</v>
      </c>
      <c r="H620" s="328">
        <f t="shared" si="212"/>
        <v>7.9128000000000004E-2</v>
      </c>
      <c r="I620" s="280">
        <f t="shared" si="213"/>
        <v>6.379299360000001</v>
      </c>
      <c r="J620" s="281">
        <f t="shared" si="214"/>
        <v>7.2346730400000006</v>
      </c>
      <c r="K620" s="282">
        <f>IF(Notes!$B$9="Domestic",I620, IF(Notes!$B$9="Commercial",J620))*$K$415</f>
        <v>7.2346730400000006</v>
      </c>
      <c r="L620" s="283">
        <f>(SUM(O620:Q620)+(K620+SUM(M620:Q620))*(INDEX($U$415:$AB$415,MATCH(Notes!$C$16,$U$3:$AB$3,0))-100%))*$L$415</f>
        <v>41.754715200000007</v>
      </c>
      <c r="M620" s="286"/>
      <c r="N620" s="286"/>
      <c r="O620" s="311">
        <f t="shared" si="210"/>
        <v>13.564800000000002</v>
      </c>
      <c r="P620" s="311">
        <f t="shared" si="210"/>
        <v>28.189915200000002</v>
      </c>
      <c r="Q620" s="285"/>
      <c r="R620" s="278"/>
      <c r="S620" s="278"/>
      <c r="T620" s="278"/>
    </row>
    <row r="621" spans="1:20" s="305" customFormat="1" hidden="1" outlineLevel="1" x14ac:dyDescent="0.25">
      <c r="A621" s="344">
        <v>7.0650000000000004</v>
      </c>
      <c r="B621" s="279" t="str">
        <f t="shared" si="211"/>
        <v>90x10PL</v>
      </c>
      <c r="C621" s="278" t="s">
        <v>1677</v>
      </c>
      <c r="D621" s="278"/>
      <c r="E621" s="278" t="s">
        <v>1860</v>
      </c>
      <c r="F621" s="278"/>
      <c r="G621" s="278" t="s">
        <v>15</v>
      </c>
      <c r="H621" s="328">
        <f t="shared" si="212"/>
        <v>9.8910000000000012E-2</v>
      </c>
      <c r="I621" s="280">
        <f t="shared" si="213"/>
        <v>7.9741242000000012</v>
      </c>
      <c r="J621" s="281">
        <f t="shared" si="214"/>
        <v>9.0433413000000016</v>
      </c>
      <c r="K621" s="282">
        <f>IF(Notes!$B$9="Domestic",I621, IF(Notes!$B$9="Commercial",J621))*$K$415</f>
        <v>9.0433413000000016</v>
      </c>
      <c r="L621" s="283">
        <f>(SUM(O621:Q621)+(K621+SUM(M621:Q621))*(INDEX($U$415:$AB$415,MATCH(Notes!$C$16,$U$3:$AB$3,0))-100%))*$L$415</f>
        <v>52.193394000000012</v>
      </c>
      <c r="M621" s="286"/>
      <c r="N621" s="286"/>
      <c r="O621" s="311">
        <f t="shared" si="210"/>
        <v>16.956</v>
      </c>
      <c r="P621" s="311">
        <f t="shared" si="210"/>
        <v>35.237394000000009</v>
      </c>
      <c r="Q621" s="285"/>
      <c r="R621" s="278"/>
      <c r="S621" s="278"/>
      <c r="T621" s="278"/>
    </row>
    <row r="622" spans="1:20" s="305" customFormat="1" hidden="1" outlineLevel="1" x14ac:dyDescent="0.25">
      <c r="A622" s="344">
        <v>8.4779999999999998</v>
      </c>
      <c r="B622" s="279" t="str">
        <f t="shared" si="211"/>
        <v>90x12PL</v>
      </c>
      <c r="C622" s="278" t="s">
        <v>1678</v>
      </c>
      <c r="D622" s="278"/>
      <c r="E622" s="278" t="s">
        <v>1860</v>
      </c>
      <c r="F622" s="278"/>
      <c r="G622" s="278" t="s">
        <v>15</v>
      </c>
      <c r="H622" s="328">
        <f t="shared" si="212"/>
        <v>0.11869199999999999</v>
      </c>
      <c r="I622" s="280">
        <f t="shared" si="213"/>
        <v>9.5689490399999997</v>
      </c>
      <c r="J622" s="281">
        <f t="shared" si="214"/>
        <v>10.852009560000001</v>
      </c>
      <c r="K622" s="282">
        <f>IF(Notes!$B$9="Domestic",I622, IF(Notes!$B$9="Commercial",J622))*$K$415</f>
        <v>10.852009560000001</v>
      </c>
      <c r="L622" s="283">
        <f>(SUM(O622:Q622)+(K622+SUM(M622:Q622))*(INDEX($U$415:$AB$415,MATCH(Notes!$C$16,$U$3:$AB$3,0))-100%))*$L$415</f>
        <v>62.632072800000003</v>
      </c>
      <c r="M622" s="286"/>
      <c r="N622" s="286"/>
      <c r="O622" s="311">
        <f t="shared" si="210"/>
        <v>20.347200000000001</v>
      </c>
      <c r="P622" s="311">
        <f t="shared" si="210"/>
        <v>42.284872800000002</v>
      </c>
      <c r="Q622" s="285"/>
      <c r="R622" s="278"/>
      <c r="S622" s="278"/>
      <c r="T622" s="278"/>
    </row>
    <row r="623" spans="1:20" s="305" customFormat="1" hidden="1" outlineLevel="1" x14ac:dyDescent="0.25">
      <c r="A623" s="344">
        <v>11.304</v>
      </c>
      <c r="B623" s="279" t="str">
        <f t="shared" si="211"/>
        <v>90x16PL</v>
      </c>
      <c r="C623" s="278" t="s">
        <v>1679</v>
      </c>
      <c r="D623" s="278"/>
      <c r="E623" s="278" t="s">
        <v>1860</v>
      </c>
      <c r="F623" s="278"/>
      <c r="G623" s="278" t="s">
        <v>15</v>
      </c>
      <c r="H623" s="328">
        <f t="shared" si="212"/>
        <v>0.15825600000000001</v>
      </c>
      <c r="I623" s="280">
        <f t="shared" si="213"/>
        <v>12.758598720000002</v>
      </c>
      <c r="J623" s="281">
        <f t="shared" si="214"/>
        <v>14.469346080000001</v>
      </c>
      <c r="K623" s="282">
        <f>IF(Notes!$B$9="Domestic",I623, IF(Notes!$B$9="Commercial",J623))*$K$415</f>
        <v>14.469346080000001</v>
      </c>
      <c r="L623" s="283">
        <f>(SUM(O623:Q623)+(K623+SUM(M623:Q623))*(INDEX($U$415:$AB$415,MATCH(Notes!$C$16,$U$3:$AB$3,0))-100%))*$L$415</f>
        <v>83.509430400000014</v>
      </c>
      <c r="M623" s="286"/>
      <c r="N623" s="286"/>
      <c r="O623" s="311">
        <f t="shared" si="210"/>
        <v>27.129600000000003</v>
      </c>
      <c r="P623" s="311">
        <f t="shared" si="210"/>
        <v>56.379830400000003</v>
      </c>
      <c r="Q623" s="285"/>
      <c r="R623" s="278"/>
      <c r="S623" s="278"/>
      <c r="T623" s="278"/>
    </row>
    <row r="624" spans="1:20" s="305" customFormat="1" hidden="1" outlineLevel="1" x14ac:dyDescent="0.25">
      <c r="A624" s="344">
        <v>14.13</v>
      </c>
      <c r="B624" s="279" t="str">
        <f t="shared" si="211"/>
        <v>90x20PL</v>
      </c>
      <c r="C624" s="278" t="s">
        <v>1680</v>
      </c>
      <c r="D624" s="278"/>
      <c r="E624" s="278" t="s">
        <v>1860</v>
      </c>
      <c r="F624" s="278"/>
      <c r="G624" s="278" t="s">
        <v>15</v>
      </c>
      <c r="H624" s="328">
        <f t="shared" si="212"/>
        <v>0.19782000000000002</v>
      </c>
      <c r="I624" s="280">
        <f t="shared" si="213"/>
        <v>15.948248400000002</v>
      </c>
      <c r="J624" s="281">
        <f t="shared" si="214"/>
        <v>18.086682600000003</v>
      </c>
      <c r="K624" s="282">
        <f>IF(Notes!$B$9="Domestic",I624, IF(Notes!$B$9="Commercial",J624))*$K$415</f>
        <v>18.086682600000003</v>
      </c>
      <c r="L624" s="283">
        <f>(SUM(O624:Q624)+(K624+SUM(M624:Q624))*(INDEX($U$415:$AB$415,MATCH(Notes!$C$16,$U$3:$AB$3,0))-100%))*$L$415</f>
        <v>104.38678800000002</v>
      </c>
      <c r="M624" s="286"/>
      <c r="N624" s="286"/>
      <c r="O624" s="311">
        <f t="shared" si="210"/>
        <v>33.911999999999999</v>
      </c>
      <c r="P624" s="311">
        <f t="shared" si="210"/>
        <v>70.474788000000018</v>
      </c>
      <c r="Q624" s="285"/>
      <c r="R624" s="278"/>
      <c r="S624" s="278"/>
      <c r="T624" s="278"/>
    </row>
    <row r="625" spans="1:20" s="305" customFormat="1" hidden="1" outlineLevel="1" x14ac:dyDescent="0.25">
      <c r="A625" s="344">
        <v>15.542999999999997</v>
      </c>
      <c r="B625" s="279" t="str">
        <f t="shared" si="211"/>
        <v>90x22PL</v>
      </c>
      <c r="C625" s="278" t="s">
        <v>1681</v>
      </c>
      <c r="D625" s="278"/>
      <c r="E625" s="278" t="s">
        <v>1860</v>
      </c>
      <c r="F625" s="278"/>
      <c r="G625" s="278" t="s">
        <v>15</v>
      </c>
      <c r="H625" s="328">
        <f t="shared" si="212"/>
        <v>0.21760199999999996</v>
      </c>
      <c r="I625" s="280">
        <f t="shared" si="213"/>
        <v>17.543073239999998</v>
      </c>
      <c r="J625" s="281">
        <f t="shared" si="214"/>
        <v>19.895350859999997</v>
      </c>
      <c r="K625" s="282">
        <f>IF(Notes!$B$9="Domestic",I625, IF(Notes!$B$9="Commercial",J625))*$K$415</f>
        <v>19.895350859999997</v>
      </c>
      <c r="L625" s="283">
        <f>(SUM(O625:Q625)+(K625+SUM(M625:Q625))*(INDEX($U$415:$AB$415,MATCH(Notes!$C$16,$U$3:$AB$3,0))-100%))*$L$415</f>
        <v>114.82546679999999</v>
      </c>
      <c r="M625" s="286"/>
      <c r="N625" s="286"/>
      <c r="O625" s="311">
        <f t="shared" si="210"/>
        <v>37.303199999999997</v>
      </c>
      <c r="P625" s="311">
        <f t="shared" si="210"/>
        <v>77.522266799999997</v>
      </c>
      <c r="Q625" s="285"/>
      <c r="R625" s="278"/>
      <c r="S625" s="278"/>
      <c r="T625" s="278"/>
    </row>
    <row r="626" spans="1:20" s="305" customFormat="1" hidden="1" outlineLevel="1" x14ac:dyDescent="0.25">
      <c r="A626" s="344">
        <v>17.662500000000001</v>
      </c>
      <c r="B626" s="279" t="str">
        <f t="shared" si="211"/>
        <v>90x25PL</v>
      </c>
      <c r="C626" s="278" t="s">
        <v>1682</v>
      </c>
      <c r="D626" s="278"/>
      <c r="E626" s="278" t="s">
        <v>1860</v>
      </c>
      <c r="F626" s="278"/>
      <c r="G626" s="278" t="s">
        <v>15</v>
      </c>
      <c r="H626" s="328">
        <f t="shared" si="212"/>
        <v>0.24727500000000002</v>
      </c>
      <c r="I626" s="280">
        <f t="shared" si="213"/>
        <v>19.935310500000003</v>
      </c>
      <c r="J626" s="281">
        <f t="shared" si="214"/>
        <v>22.608353250000004</v>
      </c>
      <c r="K626" s="282">
        <f>IF(Notes!$B$9="Domestic",I626, IF(Notes!$B$9="Commercial",J626))*$K$415</f>
        <v>22.608353250000004</v>
      </c>
      <c r="L626" s="283">
        <f>(SUM(O626:Q626)+(K626+SUM(M626:Q626))*(INDEX($U$415:$AB$415,MATCH(Notes!$C$16,$U$3:$AB$3,0))-100%))*$L$415</f>
        <v>130.48348500000003</v>
      </c>
      <c r="M626" s="286"/>
      <c r="N626" s="286"/>
      <c r="O626" s="311">
        <f t="shared" si="210"/>
        <v>42.39</v>
      </c>
      <c r="P626" s="311">
        <f t="shared" si="210"/>
        <v>88.093485000000015</v>
      </c>
      <c r="Q626" s="285"/>
      <c r="R626" s="278"/>
      <c r="S626" s="278"/>
      <c r="T626" s="278"/>
    </row>
    <row r="627" spans="1:20" s="305" customFormat="1" hidden="1" outlineLevel="1" x14ac:dyDescent="0.25">
      <c r="A627" s="344">
        <v>19.782</v>
      </c>
      <c r="B627" s="279" t="str">
        <f t="shared" si="211"/>
        <v>90x28PL</v>
      </c>
      <c r="C627" s="278" t="s">
        <v>1683</v>
      </c>
      <c r="D627" s="278"/>
      <c r="E627" s="278" t="s">
        <v>1860</v>
      </c>
      <c r="F627" s="278"/>
      <c r="G627" s="278" t="s">
        <v>15</v>
      </c>
      <c r="H627" s="328">
        <f t="shared" si="212"/>
        <v>0.27694799999999997</v>
      </c>
      <c r="I627" s="280">
        <f t="shared" si="213"/>
        <v>22.327547759999998</v>
      </c>
      <c r="J627" s="281">
        <f t="shared" si="214"/>
        <v>25.32135564</v>
      </c>
      <c r="K627" s="282">
        <f>IF(Notes!$B$9="Domestic",I627, IF(Notes!$B$9="Commercial",J627))*$K$415</f>
        <v>25.32135564</v>
      </c>
      <c r="L627" s="283">
        <f>(SUM(O627:Q627)+(K627+SUM(M627:Q627))*(INDEX($U$415:$AB$415,MATCH(Notes!$C$16,$U$3:$AB$3,0))-100%))*$L$415</f>
        <v>146.14150320000002</v>
      </c>
      <c r="M627" s="286"/>
      <c r="N627" s="286"/>
      <c r="O627" s="311">
        <f t="shared" si="210"/>
        <v>47.476800000000004</v>
      </c>
      <c r="P627" s="311">
        <f t="shared" si="210"/>
        <v>98.664703200000005</v>
      </c>
      <c r="Q627" s="285"/>
      <c r="R627" s="278"/>
      <c r="S627" s="278"/>
      <c r="T627" s="278"/>
    </row>
    <row r="628" spans="1:20" s="305" customFormat="1" hidden="1" outlineLevel="1" x14ac:dyDescent="0.25">
      <c r="A628" s="344">
        <v>22.608000000000001</v>
      </c>
      <c r="B628" s="279" t="str">
        <f t="shared" si="211"/>
        <v>90x32PL</v>
      </c>
      <c r="C628" s="278" t="s">
        <v>1684</v>
      </c>
      <c r="D628" s="278"/>
      <c r="E628" s="278" t="s">
        <v>1860</v>
      </c>
      <c r="F628" s="278"/>
      <c r="G628" s="278" t="s">
        <v>15</v>
      </c>
      <c r="H628" s="328">
        <f t="shared" si="212"/>
        <v>0.31651200000000002</v>
      </c>
      <c r="I628" s="280">
        <f t="shared" si="213"/>
        <v>25.517197440000004</v>
      </c>
      <c r="J628" s="281">
        <f t="shared" si="214"/>
        <v>28.938692160000002</v>
      </c>
      <c r="K628" s="282">
        <f>IF(Notes!$B$9="Domestic",I628, IF(Notes!$B$9="Commercial",J628))*$K$415</f>
        <v>28.938692160000002</v>
      </c>
      <c r="L628" s="283">
        <f>(SUM(O628:Q628)+(K628+SUM(M628:Q628))*(INDEX($U$415:$AB$415,MATCH(Notes!$C$16,$U$3:$AB$3,0))-100%))*$L$415</f>
        <v>167.01886080000003</v>
      </c>
      <c r="M628" s="286"/>
      <c r="N628" s="286"/>
      <c r="O628" s="311">
        <f t="shared" si="210"/>
        <v>54.259200000000007</v>
      </c>
      <c r="P628" s="311">
        <f t="shared" si="210"/>
        <v>112.75966080000001</v>
      </c>
      <c r="Q628" s="285"/>
      <c r="R628" s="278"/>
      <c r="S628" s="278"/>
      <c r="T628" s="278"/>
    </row>
    <row r="629" spans="1:20" s="305" customFormat="1" hidden="1" outlineLevel="1" x14ac:dyDescent="0.25">
      <c r="A629" s="344">
        <v>25.434000000000005</v>
      </c>
      <c r="B629" s="279" t="str">
        <f t="shared" si="211"/>
        <v>90x36PL</v>
      </c>
      <c r="C629" s="278" t="s">
        <v>1685</v>
      </c>
      <c r="D629" s="278"/>
      <c r="E629" s="278" t="s">
        <v>1860</v>
      </c>
      <c r="F629" s="278"/>
      <c r="G629" s="278" t="s">
        <v>15</v>
      </c>
      <c r="H629" s="328">
        <f t="shared" si="212"/>
        <v>0.35607600000000006</v>
      </c>
      <c r="I629" s="280">
        <f t="shared" si="213"/>
        <v>28.706847120000006</v>
      </c>
      <c r="J629" s="281">
        <f t="shared" si="214"/>
        <v>32.556028680000011</v>
      </c>
      <c r="K629" s="282">
        <f>IF(Notes!$B$9="Domestic",I629, IF(Notes!$B$9="Commercial",J629))*$K$415</f>
        <v>32.556028680000011</v>
      </c>
      <c r="L629" s="283">
        <f>(SUM(O629:Q629)+(K629+SUM(M629:Q629))*(INDEX($U$415:$AB$415,MATCH(Notes!$C$16,$U$3:$AB$3,0))-100%))*$L$415</f>
        <v>187.89621840000004</v>
      </c>
      <c r="M629" s="286"/>
      <c r="N629" s="286"/>
      <c r="O629" s="311">
        <f t="shared" si="210"/>
        <v>61.04160000000001</v>
      </c>
      <c r="P629" s="311">
        <f t="shared" si="210"/>
        <v>126.85461840000004</v>
      </c>
      <c r="Q629" s="285"/>
      <c r="R629" s="278"/>
      <c r="S629" s="278"/>
      <c r="T629" s="278"/>
    </row>
    <row r="630" spans="1:20" s="305" customFormat="1" hidden="1" outlineLevel="1" x14ac:dyDescent="0.25">
      <c r="A630" s="344">
        <v>28.26</v>
      </c>
      <c r="B630" s="279" t="str">
        <f t="shared" si="211"/>
        <v>90x40PL</v>
      </c>
      <c r="C630" s="278" t="s">
        <v>1686</v>
      </c>
      <c r="D630" s="278"/>
      <c r="E630" s="278" t="s">
        <v>1860</v>
      </c>
      <c r="F630" s="278"/>
      <c r="G630" s="278" t="s">
        <v>15</v>
      </c>
      <c r="H630" s="328">
        <f t="shared" si="212"/>
        <v>0.39564000000000005</v>
      </c>
      <c r="I630" s="280">
        <f t="shared" si="213"/>
        <v>31.896496800000005</v>
      </c>
      <c r="J630" s="281">
        <f t="shared" si="214"/>
        <v>36.173365200000006</v>
      </c>
      <c r="K630" s="282">
        <f>IF(Notes!$B$9="Domestic",I630, IF(Notes!$B$9="Commercial",J630))*$K$415</f>
        <v>36.173365200000006</v>
      </c>
      <c r="L630" s="283">
        <f>(SUM(O630:Q630)+(K630+SUM(M630:Q630))*(INDEX($U$415:$AB$415,MATCH(Notes!$C$16,$U$3:$AB$3,0))-100%))*$L$415</f>
        <v>208.77357600000005</v>
      </c>
      <c r="M630" s="286"/>
      <c r="N630" s="286"/>
      <c r="O630" s="311">
        <f t="shared" si="210"/>
        <v>67.823999999999998</v>
      </c>
      <c r="P630" s="311">
        <f t="shared" si="210"/>
        <v>140.94957600000004</v>
      </c>
      <c r="Q630" s="285"/>
      <c r="R630" s="278"/>
      <c r="S630" s="278"/>
      <c r="T630" s="278"/>
    </row>
    <row r="631" spans="1:20" s="305" customFormat="1" hidden="1" outlineLevel="1" x14ac:dyDescent="0.25">
      <c r="A631" s="344">
        <v>31.7925</v>
      </c>
      <c r="B631" s="279" t="str">
        <f t="shared" si="211"/>
        <v>90x45PL</v>
      </c>
      <c r="C631" s="278" t="s">
        <v>831</v>
      </c>
      <c r="D631" s="278"/>
      <c r="E631" s="278" t="s">
        <v>1860</v>
      </c>
      <c r="F631" s="278"/>
      <c r="G631" s="278" t="s">
        <v>15</v>
      </c>
      <c r="H631" s="328">
        <f t="shared" si="212"/>
        <v>0.44509500000000002</v>
      </c>
      <c r="I631" s="280">
        <f t="shared" si="213"/>
        <v>35.883558900000004</v>
      </c>
      <c r="J631" s="281">
        <f t="shared" si="214"/>
        <v>40.695035850000004</v>
      </c>
      <c r="K631" s="282">
        <f>IF(Notes!$B$9="Domestic",I631, IF(Notes!$B$9="Commercial",J631))*$K$415</f>
        <v>40.695035850000004</v>
      </c>
      <c r="L631" s="283">
        <f>(SUM(O631:Q631)+(K631+SUM(M631:Q631))*(INDEX($U$415:$AB$415,MATCH(Notes!$C$16,$U$3:$AB$3,0))-100%))*$L$415</f>
        <v>234.870273</v>
      </c>
      <c r="M631" s="286"/>
      <c r="N631" s="286"/>
      <c r="O631" s="311">
        <f t="shared" si="210"/>
        <v>76.302000000000007</v>
      </c>
      <c r="P631" s="311">
        <f t="shared" si="210"/>
        <v>158.568273</v>
      </c>
      <c r="Q631" s="285"/>
      <c r="R631" s="278"/>
      <c r="S631" s="278"/>
      <c r="T631" s="278"/>
    </row>
    <row r="632" spans="1:20" s="305" customFormat="1" hidden="1" outlineLevel="1" x14ac:dyDescent="0.25">
      <c r="A632" s="344">
        <v>35.325000000000003</v>
      </c>
      <c r="B632" s="279" t="str">
        <f t="shared" si="211"/>
        <v>90x50PL</v>
      </c>
      <c r="C632" s="278" t="s">
        <v>1687</v>
      </c>
      <c r="D632" s="278"/>
      <c r="E632" s="278" t="s">
        <v>1860</v>
      </c>
      <c r="F632" s="278"/>
      <c r="G632" s="278" t="s">
        <v>15</v>
      </c>
      <c r="H632" s="328">
        <f t="shared" si="212"/>
        <v>0.49455000000000005</v>
      </c>
      <c r="I632" s="280">
        <f t="shared" si="213"/>
        <v>39.870621000000007</v>
      </c>
      <c r="J632" s="281">
        <f t="shared" si="214"/>
        <v>45.216706500000008</v>
      </c>
      <c r="K632" s="282">
        <f>IF(Notes!$B$9="Domestic",I632, IF(Notes!$B$9="Commercial",J632))*$K$415</f>
        <v>45.216706500000008</v>
      </c>
      <c r="L632" s="283">
        <f>(SUM(O632:Q632)+(K632+SUM(M632:Q632))*(INDEX($U$415:$AB$415,MATCH(Notes!$C$16,$U$3:$AB$3,0))-100%))*$L$415</f>
        <v>260.96697000000006</v>
      </c>
      <c r="M632" s="286"/>
      <c r="N632" s="286"/>
      <c r="O632" s="311">
        <f t="shared" si="210"/>
        <v>84.78</v>
      </c>
      <c r="P632" s="311">
        <f t="shared" si="210"/>
        <v>176.18697000000003</v>
      </c>
      <c r="Q632" s="285"/>
      <c r="R632" s="278"/>
      <c r="S632" s="278"/>
      <c r="T632" s="278"/>
    </row>
    <row r="633" spans="1:20" s="305" customFormat="1" hidden="1" outlineLevel="1" x14ac:dyDescent="0.25">
      <c r="A633" s="344">
        <v>38.857500000000002</v>
      </c>
      <c r="B633" s="279" t="str">
        <f t="shared" si="211"/>
        <v>90x55PL</v>
      </c>
      <c r="C633" s="278" t="s">
        <v>1688</v>
      </c>
      <c r="D633" s="278"/>
      <c r="E633" s="278" t="s">
        <v>1860</v>
      </c>
      <c r="F633" s="278"/>
      <c r="G633" s="278" t="s">
        <v>15</v>
      </c>
      <c r="H633" s="328">
        <f t="shared" si="212"/>
        <v>0.54400499999999996</v>
      </c>
      <c r="I633" s="280">
        <f t="shared" si="213"/>
        <v>43.857683100000003</v>
      </c>
      <c r="J633" s="281">
        <f t="shared" si="214"/>
        <v>49.738377149999998</v>
      </c>
      <c r="K633" s="282">
        <f>IF(Notes!$B$9="Domestic",I633, IF(Notes!$B$9="Commercial",J633))*$K$415</f>
        <v>49.738377149999998</v>
      </c>
      <c r="L633" s="283">
        <f>(SUM(O633:Q633)+(K633+SUM(M633:Q633))*(INDEX($U$415:$AB$415,MATCH(Notes!$C$16,$U$3:$AB$3,0))-100%))*$L$415</f>
        <v>287.06366700000001</v>
      </c>
      <c r="M633" s="286"/>
      <c r="N633" s="286"/>
      <c r="O633" s="311">
        <f t="shared" si="210"/>
        <v>93.257999999999996</v>
      </c>
      <c r="P633" s="311">
        <f t="shared" si="210"/>
        <v>193.80566700000003</v>
      </c>
      <c r="Q633" s="285"/>
      <c r="R633" s="278"/>
      <c r="S633" s="278"/>
      <c r="T633" s="278"/>
    </row>
    <row r="634" spans="1:20" s="305" customFormat="1" hidden="1" outlineLevel="1" x14ac:dyDescent="0.25">
      <c r="A634" s="344">
        <v>42.39</v>
      </c>
      <c r="B634" s="279" t="str">
        <f t="shared" si="211"/>
        <v>90x60PL</v>
      </c>
      <c r="C634" s="278" t="s">
        <v>1689</v>
      </c>
      <c r="D634" s="278"/>
      <c r="E634" s="278" t="s">
        <v>1860</v>
      </c>
      <c r="F634" s="278"/>
      <c r="G634" s="278" t="s">
        <v>15</v>
      </c>
      <c r="H634" s="328">
        <f t="shared" si="212"/>
        <v>0.59345999999999999</v>
      </c>
      <c r="I634" s="280">
        <f t="shared" si="213"/>
        <v>47.844745199999998</v>
      </c>
      <c r="J634" s="281">
        <f t="shared" si="214"/>
        <v>54.260047800000002</v>
      </c>
      <c r="K634" s="282">
        <f>IF(Notes!$B$9="Domestic",I634, IF(Notes!$B$9="Commercial",J634))*$K$415</f>
        <v>54.260047800000002</v>
      </c>
      <c r="L634" s="283">
        <f>(SUM(O634:Q634)+(K634+SUM(M634:Q634))*(INDEX($U$415:$AB$415,MATCH(Notes!$C$16,$U$3:$AB$3,0))-100%))*$L$415</f>
        <v>313.16036400000002</v>
      </c>
      <c r="M634" s="286"/>
      <c r="N634" s="286"/>
      <c r="O634" s="311">
        <f t="shared" si="210"/>
        <v>101.736</v>
      </c>
      <c r="P634" s="311">
        <f t="shared" si="210"/>
        <v>211.42436400000003</v>
      </c>
      <c r="Q634" s="285"/>
      <c r="R634" s="278"/>
      <c r="S634" s="278"/>
      <c r="T634" s="278"/>
    </row>
    <row r="635" spans="1:20" s="305" customFormat="1" hidden="1" outlineLevel="1" x14ac:dyDescent="0.25">
      <c r="A635" s="344">
        <v>45.9</v>
      </c>
      <c r="B635" s="279" t="str">
        <f t="shared" ref="B635:B698" si="215">C635&amp;D635&amp;E635&amp;F635</f>
        <v>90x65PL</v>
      </c>
      <c r="C635" s="278" t="s">
        <v>1690</v>
      </c>
      <c r="D635" s="278"/>
      <c r="E635" s="278" t="s">
        <v>1860</v>
      </c>
      <c r="F635" s="278"/>
      <c r="G635" s="278" t="s">
        <v>15</v>
      </c>
      <c r="H635" s="328">
        <f t="shared" ref="H635:H698" si="216">$H$415*$A635/1000</f>
        <v>0.64260000000000006</v>
      </c>
      <c r="I635" s="280">
        <f t="shared" ref="I635:I698" si="217">$I$2*H635</f>
        <v>51.806412000000009</v>
      </c>
      <c r="J635" s="281">
        <f t="shared" ref="J635:J698" si="218">$J$2*H635</f>
        <v>58.752918000000008</v>
      </c>
      <c r="K635" s="282">
        <f>IF(Notes!$B$9="Domestic",I635, IF(Notes!$B$9="Commercial",J635))*$K$415</f>
        <v>58.752918000000008</v>
      </c>
      <c r="L635" s="283">
        <f>(SUM(O635:Q635)+(K635+SUM(M635:Q635))*(INDEX($U$415:$AB$415,MATCH(Notes!$C$16,$U$3:$AB$3,0))-100%))*$L$415</f>
        <v>339.09083999999996</v>
      </c>
      <c r="M635" s="286"/>
      <c r="N635" s="286"/>
      <c r="O635" s="311">
        <f t="shared" ref="O635:P698" si="219">O$415*$A635/1000</f>
        <v>110.16</v>
      </c>
      <c r="P635" s="311">
        <f t="shared" si="219"/>
        <v>228.93083999999999</v>
      </c>
      <c r="Q635" s="285"/>
      <c r="R635" s="278"/>
      <c r="S635" s="278"/>
      <c r="T635" s="278"/>
    </row>
    <row r="636" spans="1:20" s="305" customFormat="1" hidden="1" outlineLevel="1" x14ac:dyDescent="0.25">
      <c r="A636" s="344">
        <v>49.454999999999998</v>
      </c>
      <c r="B636" s="279" t="str">
        <f t="shared" si="215"/>
        <v>90x70PL</v>
      </c>
      <c r="C636" s="278" t="s">
        <v>1691</v>
      </c>
      <c r="D636" s="278"/>
      <c r="E636" s="278" t="s">
        <v>1860</v>
      </c>
      <c r="F636" s="278"/>
      <c r="G636" s="278" t="s">
        <v>15</v>
      </c>
      <c r="H636" s="328">
        <f t="shared" si="216"/>
        <v>0.69237000000000004</v>
      </c>
      <c r="I636" s="280">
        <f t="shared" si="217"/>
        <v>55.818869400000004</v>
      </c>
      <c r="J636" s="281">
        <f t="shared" si="218"/>
        <v>63.303389100000011</v>
      </c>
      <c r="K636" s="282">
        <f>IF(Notes!$B$9="Domestic",I636, IF(Notes!$B$9="Commercial",J636))*$K$415</f>
        <v>63.303389100000011</v>
      </c>
      <c r="L636" s="283">
        <f>(SUM(O636:Q636)+(K636+SUM(M636:Q636))*(INDEX($U$415:$AB$415,MATCH(Notes!$C$16,$U$3:$AB$3,0))-100%))*$L$415</f>
        <v>365.35375799999997</v>
      </c>
      <c r="M636" s="286"/>
      <c r="N636" s="286"/>
      <c r="O636" s="311">
        <f t="shared" si="219"/>
        <v>118.69199999999999</v>
      </c>
      <c r="P636" s="311">
        <f t="shared" si="219"/>
        <v>246.66175799999999</v>
      </c>
      <c r="Q636" s="285"/>
      <c r="R636" s="278"/>
      <c r="S636" s="278"/>
      <c r="T636" s="278"/>
    </row>
    <row r="637" spans="1:20" s="305" customFormat="1" hidden="1" outlineLevel="1" x14ac:dyDescent="0.25">
      <c r="A637" s="344">
        <v>52.987499999999997</v>
      </c>
      <c r="B637" s="279" t="str">
        <f t="shared" si="215"/>
        <v>90x75PL</v>
      </c>
      <c r="C637" s="278" t="s">
        <v>1692</v>
      </c>
      <c r="D637" s="278"/>
      <c r="E637" s="278" t="s">
        <v>1860</v>
      </c>
      <c r="F637" s="278"/>
      <c r="G637" s="278" t="s">
        <v>15</v>
      </c>
      <c r="H637" s="328">
        <f t="shared" si="216"/>
        <v>0.74182499999999996</v>
      </c>
      <c r="I637" s="280">
        <f t="shared" si="217"/>
        <v>59.8059315</v>
      </c>
      <c r="J637" s="281">
        <f t="shared" si="218"/>
        <v>67.825059749999994</v>
      </c>
      <c r="K637" s="282">
        <f>IF(Notes!$B$9="Domestic",I637, IF(Notes!$B$9="Commercial",J637))*$K$415</f>
        <v>67.825059749999994</v>
      </c>
      <c r="L637" s="283">
        <f>(SUM(O637:Q637)+(K637+SUM(M637:Q637))*(INDEX($U$415:$AB$415,MATCH(Notes!$C$16,$U$3:$AB$3,0))-100%))*$L$415</f>
        <v>391.45045500000003</v>
      </c>
      <c r="M637" s="286"/>
      <c r="N637" s="286"/>
      <c r="O637" s="311">
        <f t="shared" si="219"/>
        <v>127.17</v>
      </c>
      <c r="P637" s="311">
        <f t="shared" si="219"/>
        <v>264.28045500000002</v>
      </c>
      <c r="Q637" s="285"/>
      <c r="R637" s="278"/>
      <c r="S637" s="278"/>
      <c r="T637" s="278"/>
    </row>
    <row r="638" spans="1:20" s="305" customFormat="1" hidden="1" outlineLevel="1" x14ac:dyDescent="0.25">
      <c r="A638" s="344">
        <v>56.52</v>
      </c>
      <c r="B638" s="279" t="str">
        <f t="shared" si="215"/>
        <v>90x80PL</v>
      </c>
      <c r="C638" s="278" t="s">
        <v>1693</v>
      </c>
      <c r="D638" s="278"/>
      <c r="E638" s="278" t="s">
        <v>1860</v>
      </c>
      <c r="F638" s="278"/>
      <c r="G638" s="278" t="s">
        <v>15</v>
      </c>
      <c r="H638" s="328">
        <f t="shared" si="216"/>
        <v>0.79128000000000009</v>
      </c>
      <c r="I638" s="280">
        <f t="shared" si="217"/>
        <v>63.79299360000001</v>
      </c>
      <c r="J638" s="281">
        <f t="shared" si="218"/>
        <v>72.346730400000013</v>
      </c>
      <c r="K638" s="282">
        <f>IF(Notes!$B$9="Domestic",I638, IF(Notes!$B$9="Commercial",J638))*$K$415</f>
        <v>72.346730400000013</v>
      </c>
      <c r="L638" s="283">
        <f>(SUM(O638:Q638)+(K638+SUM(M638:Q638))*(INDEX($U$415:$AB$415,MATCH(Notes!$C$16,$U$3:$AB$3,0))-100%))*$L$415</f>
        <v>417.5471520000001</v>
      </c>
      <c r="M638" s="286"/>
      <c r="N638" s="286"/>
      <c r="O638" s="311">
        <f t="shared" si="219"/>
        <v>135.648</v>
      </c>
      <c r="P638" s="311">
        <f t="shared" si="219"/>
        <v>281.89915200000007</v>
      </c>
      <c r="Q638" s="285"/>
      <c r="R638" s="278"/>
      <c r="S638" s="278"/>
      <c r="T638" s="278"/>
    </row>
    <row r="639" spans="1:20" s="305" customFormat="1" hidden="1" outlineLevel="1" x14ac:dyDescent="0.25">
      <c r="A639" s="344">
        <v>63.585000000000001</v>
      </c>
      <c r="B639" s="279" t="str">
        <f t="shared" si="215"/>
        <v>90x90PL</v>
      </c>
      <c r="C639" s="278" t="s">
        <v>1694</v>
      </c>
      <c r="D639" s="278"/>
      <c r="E639" s="278" t="s">
        <v>1860</v>
      </c>
      <c r="F639" s="278"/>
      <c r="G639" s="278" t="s">
        <v>15</v>
      </c>
      <c r="H639" s="328">
        <f t="shared" si="216"/>
        <v>0.89019000000000004</v>
      </c>
      <c r="I639" s="280">
        <f t="shared" si="217"/>
        <v>71.767117800000008</v>
      </c>
      <c r="J639" s="281">
        <f t="shared" si="218"/>
        <v>81.390071700000007</v>
      </c>
      <c r="K639" s="282">
        <f>IF(Notes!$B$9="Domestic",I639, IF(Notes!$B$9="Commercial",J639))*$K$415</f>
        <v>81.390071700000007</v>
      </c>
      <c r="L639" s="283">
        <f>(SUM(O639:Q639)+(K639+SUM(M639:Q639))*(INDEX($U$415:$AB$415,MATCH(Notes!$C$16,$U$3:$AB$3,0))-100%))*$L$415</f>
        <v>469.74054599999999</v>
      </c>
      <c r="M639" s="286"/>
      <c r="N639" s="286"/>
      <c r="O639" s="311">
        <f t="shared" si="219"/>
        <v>152.60400000000001</v>
      </c>
      <c r="P639" s="311">
        <f t="shared" si="219"/>
        <v>317.13654600000001</v>
      </c>
      <c r="Q639" s="285"/>
      <c r="R639" s="278"/>
      <c r="S639" s="278"/>
      <c r="T639" s="278"/>
    </row>
    <row r="640" spans="1:20" s="305" customFormat="1" hidden="1" outlineLevel="1" x14ac:dyDescent="0.25">
      <c r="A640" s="344">
        <v>70.650000000000006</v>
      </c>
      <c r="B640" s="279" t="str">
        <f t="shared" si="215"/>
        <v>90x100PL</v>
      </c>
      <c r="C640" s="278" t="s">
        <v>1695</v>
      </c>
      <c r="D640" s="278"/>
      <c r="E640" s="278" t="s">
        <v>1860</v>
      </c>
      <c r="F640" s="278"/>
      <c r="G640" s="278" t="s">
        <v>15</v>
      </c>
      <c r="H640" s="328">
        <f t="shared" si="216"/>
        <v>0.98910000000000009</v>
      </c>
      <c r="I640" s="280">
        <f t="shared" si="217"/>
        <v>79.741242000000014</v>
      </c>
      <c r="J640" s="281">
        <f t="shared" si="218"/>
        <v>90.433413000000016</v>
      </c>
      <c r="K640" s="282">
        <f>IF(Notes!$B$9="Domestic",I640, IF(Notes!$B$9="Commercial",J640))*$K$415</f>
        <v>90.433413000000016</v>
      </c>
      <c r="L640" s="283">
        <f>(SUM(O640:Q640)+(K640+SUM(M640:Q640))*(INDEX($U$415:$AB$415,MATCH(Notes!$C$16,$U$3:$AB$3,0))-100%))*$L$415</f>
        <v>521.93394000000012</v>
      </c>
      <c r="M640" s="286"/>
      <c r="N640" s="286"/>
      <c r="O640" s="311">
        <f t="shared" si="219"/>
        <v>169.56</v>
      </c>
      <c r="P640" s="311">
        <f t="shared" si="219"/>
        <v>352.37394000000006</v>
      </c>
      <c r="Q640" s="285"/>
      <c r="R640" s="278"/>
      <c r="S640" s="278"/>
      <c r="T640" s="278"/>
    </row>
    <row r="641" spans="1:20" s="305" customFormat="1" hidden="1" outlineLevel="1" x14ac:dyDescent="0.25">
      <c r="A641" s="344">
        <v>2.355</v>
      </c>
      <c r="B641" s="279" t="str">
        <f t="shared" si="215"/>
        <v>100x3PL</v>
      </c>
      <c r="C641" s="278" t="s">
        <v>1696</v>
      </c>
      <c r="D641" s="278"/>
      <c r="E641" s="278" t="s">
        <v>1860</v>
      </c>
      <c r="F641" s="278"/>
      <c r="G641" s="278" t="s">
        <v>15</v>
      </c>
      <c r="H641" s="328">
        <f t="shared" si="216"/>
        <v>3.2969999999999999E-2</v>
      </c>
      <c r="I641" s="280">
        <f t="shared" si="217"/>
        <v>2.6580414000000001</v>
      </c>
      <c r="J641" s="281">
        <f t="shared" si="218"/>
        <v>3.0144471000000004</v>
      </c>
      <c r="K641" s="282">
        <f>IF(Notes!$B$9="Domestic",I641, IF(Notes!$B$9="Commercial",J641))*$K$415</f>
        <v>3.0144471000000004</v>
      </c>
      <c r="L641" s="283">
        <f>(SUM(O641:Q641)+(K641+SUM(M641:Q641))*(INDEX($U$415:$AB$415,MATCH(Notes!$C$16,$U$3:$AB$3,0))-100%))*$L$415</f>
        <v>17.397798000000002</v>
      </c>
      <c r="M641" s="286"/>
      <c r="N641" s="286"/>
      <c r="O641" s="311">
        <f t="shared" si="219"/>
        <v>5.6520000000000001</v>
      </c>
      <c r="P641" s="311">
        <f t="shared" si="219"/>
        <v>11.745798000000001</v>
      </c>
      <c r="Q641" s="285"/>
      <c r="R641" s="278"/>
      <c r="S641" s="278"/>
      <c r="T641" s="278"/>
    </row>
    <row r="642" spans="1:20" s="305" customFormat="1" hidden="1" outlineLevel="1" x14ac:dyDescent="0.25">
      <c r="A642" s="344">
        <v>3.14</v>
      </c>
      <c r="B642" s="279" t="str">
        <f t="shared" si="215"/>
        <v>100x4PL</v>
      </c>
      <c r="C642" s="278" t="s">
        <v>1697</v>
      </c>
      <c r="D642" s="278"/>
      <c r="E642" s="278" t="s">
        <v>1860</v>
      </c>
      <c r="F642" s="278"/>
      <c r="G642" s="278" t="s">
        <v>15</v>
      </c>
      <c r="H642" s="328">
        <f t="shared" si="216"/>
        <v>4.3959999999999999E-2</v>
      </c>
      <c r="I642" s="280">
        <f t="shared" si="217"/>
        <v>3.5440552000000003</v>
      </c>
      <c r="J642" s="281">
        <f t="shared" si="218"/>
        <v>4.0192627999999999</v>
      </c>
      <c r="K642" s="282">
        <f>IF(Notes!$B$9="Domestic",I642, IF(Notes!$B$9="Commercial",J642))*$K$415</f>
        <v>4.0192627999999999</v>
      </c>
      <c r="L642" s="283">
        <f>(SUM(O642:Q642)+(K642+SUM(M642:Q642))*(INDEX($U$415:$AB$415,MATCH(Notes!$C$16,$U$3:$AB$3,0))-100%))*$L$415</f>
        <v>23.197064000000001</v>
      </c>
      <c r="M642" s="286"/>
      <c r="N642" s="286"/>
      <c r="O642" s="311">
        <f t="shared" si="219"/>
        <v>7.5359999999999996</v>
      </c>
      <c r="P642" s="311">
        <f t="shared" si="219"/>
        <v>15.661064000000001</v>
      </c>
      <c r="Q642" s="285"/>
      <c r="R642" s="278"/>
      <c r="S642" s="278"/>
      <c r="T642" s="278"/>
    </row>
    <row r="643" spans="1:20" s="305" customFormat="1" hidden="1" outlineLevel="1" x14ac:dyDescent="0.25">
      <c r="A643" s="344">
        <v>3.9249999999999998</v>
      </c>
      <c r="B643" s="279" t="str">
        <f t="shared" si="215"/>
        <v>100x5PL</v>
      </c>
      <c r="C643" s="278" t="s">
        <v>1698</v>
      </c>
      <c r="D643" s="278"/>
      <c r="E643" s="278" t="s">
        <v>1860</v>
      </c>
      <c r="F643" s="278"/>
      <c r="G643" s="278" t="s">
        <v>15</v>
      </c>
      <c r="H643" s="328">
        <f t="shared" si="216"/>
        <v>5.4949999999999999E-2</v>
      </c>
      <c r="I643" s="280">
        <f t="shared" si="217"/>
        <v>4.4300690000000005</v>
      </c>
      <c r="J643" s="281">
        <f t="shared" si="218"/>
        <v>5.0240784999999999</v>
      </c>
      <c r="K643" s="282">
        <f>IF(Notes!$B$9="Domestic",I643, IF(Notes!$B$9="Commercial",J643))*$K$415</f>
        <v>5.0240784999999999</v>
      </c>
      <c r="L643" s="283">
        <f>(SUM(O643:Q643)+(K643+SUM(M643:Q643))*(INDEX($U$415:$AB$415,MATCH(Notes!$C$16,$U$3:$AB$3,0))-100%))*$L$415</f>
        <v>28.99633</v>
      </c>
      <c r="M643" s="286"/>
      <c r="N643" s="286"/>
      <c r="O643" s="311">
        <f t="shared" si="219"/>
        <v>9.42</v>
      </c>
      <c r="P643" s="311">
        <f t="shared" si="219"/>
        <v>19.576330000000002</v>
      </c>
      <c r="Q643" s="285"/>
      <c r="R643" s="278"/>
      <c r="S643" s="278"/>
      <c r="T643" s="278"/>
    </row>
    <row r="644" spans="1:20" s="305" customFormat="1" hidden="1" outlineLevel="1" x14ac:dyDescent="0.25">
      <c r="A644" s="344">
        <v>4.71</v>
      </c>
      <c r="B644" s="279" t="str">
        <f t="shared" si="215"/>
        <v>100x6PL</v>
      </c>
      <c r="C644" s="278" t="s">
        <v>1699</v>
      </c>
      <c r="D644" s="278"/>
      <c r="E644" s="278" t="s">
        <v>1860</v>
      </c>
      <c r="F644" s="278"/>
      <c r="G644" s="278" t="s">
        <v>15</v>
      </c>
      <c r="H644" s="328">
        <f t="shared" si="216"/>
        <v>6.5939999999999999E-2</v>
      </c>
      <c r="I644" s="280">
        <f t="shared" si="217"/>
        <v>5.3160828000000002</v>
      </c>
      <c r="J644" s="281">
        <f t="shared" si="218"/>
        <v>6.0288942000000008</v>
      </c>
      <c r="K644" s="282">
        <f>IF(Notes!$B$9="Domestic",I644, IF(Notes!$B$9="Commercial",J644))*$K$415</f>
        <v>6.0288942000000008</v>
      </c>
      <c r="L644" s="283">
        <f>(SUM(O644:Q644)+(K644+SUM(M644:Q644))*(INDEX($U$415:$AB$415,MATCH(Notes!$C$16,$U$3:$AB$3,0))-100%))*$L$415</f>
        <v>34.795596000000003</v>
      </c>
      <c r="M644" s="286"/>
      <c r="N644" s="286"/>
      <c r="O644" s="311">
        <f t="shared" si="219"/>
        <v>11.304</v>
      </c>
      <c r="P644" s="311">
        <f t="shared" si="219"/>
        <v>23.491596000000001</v>
      </c>
      <c r="Q644" s="285"/>
      <c r="R644" s="278"/>
      <c r="S644" s="278"/>
      <c r="T644" s="278"/>
    </row>
    <row r="645" spans="1:20" s="305" customFormat="1" hidden="1" outlineLevel="1" x14ac:dyDescent="0.25">
      <c r="A645" s="344">
        <v>6.28</v>
      </c>
      <c r="B645" s="279" t="str">
        <f t="shared" si="215"/>
        <v>100x8PL</v>
      </c>
      <c r="C645" s="278" t="s">
        <v>1700</v>
      </c>
      <c r="D645" s="278"/>
      <c r="E645" s="278" t="s">
        <v>1860</v>
      </c>
      <c r="F645" s="278"/>
      <c r="G645" s="278" t="s">
        <v>15</v>
      </c>
      <c r="H645" s="328">
        <f t="shared" si="216"/>
        <v>8.7919999999999998E-2</v>
      </c>
      <c r="I645" s="280">
        <f t="shared" si="217"/>
        <v>7.0881104000000006</v>
      </c>
      <c r="J645" s="281">
        <f t="shared" si="218"/>
        <v>8.0385255999999998</v>
      </c>
      <c r="K645" s="282">
        <f>IF(Notes!$B$9="Domestic",I645, IF(Notes!$B$9="Commercial",J645))*$K$415</f>
        <v>8.0385255999999998</v>
      </c>
      <c r="L645" s="283">
        <f>(SUM(O645:Q645)+(K645+SUM(M645:Q645))*(INDEX($U$415:$AB$415,MATCH(Notes!$C$16,$U$3:$AB$3,0))-100%))*$L$415</f>
        <v>46.394128000000002</v>
      </c>
      <c r="M645" s="286"/>
      <c r="N645" s="286"/>
      <c r="O645" s="311">
        <f t="shared" si="219"/>
        <v>15.071999999999999</v>
      </c>
      <c r="P645" s="311">
        <f t="shared" si="219"/>
        <v>31.322128000000003</v>
      </c>
      <c r="Q645" s="285"/>
      <c r="R645" s="278"/>
      <c r="S645" s="278"/>
      <c r="T645" s="278"/>
    </row>
    <row r="646" spans="1:20" s="305" customFormat="1" hidden="1" outlineLevel="1" x14ac:dyDescent="0.25">
      <c r="A646" s="344">
        <v>7.85</v>
      </c>
      <c r="B646" s="279" t="str">
        <f t="shared" si="215"/>
        <v>100x10PL</v>
      </c>
      <c r="C646" s="278" t="s">
        <v>1701</v>
      </c>
      <c r="D646" s="278"/>
      <c r="E646" s="278" t="s">
        <v>1860</v>
      </c>
      <c r="F646" s="278"/>
      <c r="G646" s="278" t="s">
        <v>15</v>
      </c>
      <c r="H646" s="328">
        <f t="shared" si="216"/>
        <v>0.1099</v>
      </c>
      <c r="I646" s="280">
        <f t="shared" si="217"/>
        <v>8.860138000000001</v>
      </c>
      <c r="J646" s="281">
        <f t="shared" si="218"/>
        <v>10.048157</v>
      </c>
      <c r="K646" s="282">
        <f>IF(Notes!$B$9="Domestic",I646, IF(Notes!$B$9="Commercial",J646))*$K$415</f>
        <v>10.048157</v>
      </c>
      <c r="L646" s="283">
        <f>(SUM(O646:Q646)+(K646+SUM(M646:Q646))*(INDEX($U$415:$AB$415,MATCH(Notes!$C$16,$U$3:$AB$3,0))-100%))*$L$415</f>
        <v>57.992660000000001</v>
      </c>
      <c r="M646" s="286"/>
      <c r="N646" s="286"/>
      <c r="O646" s="311">
        <f t="shared" si="219"/>
        <v>18.84</v>
      </c>
      <c r="P646" s="311">
        <f t="shared" si="219"/>
        <v>39.152660000000004</v>
      </c>
      <c r="Q646" s="285"/>
      <c r="R646" s="278"/>
      <c r="S646" s="278"/>
      <c r="T646" s="278"/>
    </row>
    <row r="647" spans="1:20" s="305" customFormat="1" hidden="1" outlineLevel="1" x14ac:dyDescent="0.25">
      <c r="A647" s="344">
        <v>9.42</v>
      </c>
      <c r="B647" s="279" t="str">
        <f t="shared" si="215"/>
        <v>100x12PL</v>
      </c>
      <c r="C647" s="278" t="s">
        <v>1702</v>
      </c>
      <c r="D647" s="278"/>
      <c r="E647" s="278" t="s">
        <v>1860</v>
      </c>
      <c r="F647" s="278"/>
      <c r="G647" s="278" t="s">
        <v>15</v>
      </c>
      <c r="H647" s="328">
        <f t="shared" si="216"/>
        <v>0.13188</v>
      </c>
      <c r="I647" s="280">
        <f t="shared" si="217"/>
        <v>10.6321656</v>
      </c>
      <c r="J647" s="281">
        <f t="shared" si="218"/>
        <v>12.057788400000002</v>
      </c>
      <c r="K647" s="282">
        <f>IF(Notes!$B$9="Domestic",I647, IF(Notes!$B$9="Commercial",J647))*$K$415</f>
        <v>12.057788400000002</v>
      </c>
      <c r="L647" s="283">
        <f>(SUM(O647:Q647)+(K647+SUM(M647:Q647))*(INDEX($U$415:$AB$415,MATCH(Notes!$C$16,$U$3:$AB$3,0))-100%))*$L$415</f>
        <v>69.591192000000007</v>
      </c>
      <c r="M647" s="286"/>
      <c r="N647" s="286"/>
      <c r="O647" s="311">
        <f t="shared" si="219"/>
        <v>22.608000000000001</v>
      </c>
      <c r="P647" s="311">
        <f t="shared" si="219"/>
        <v>46.983192000000003</v>
      </c>
      <c r="Q647" s="285"/>
      <c r="R647" s="278"/>
      <c r="S647" s="278"/>
      <c r="T647" s="278"/>
    </row>
    <row r="648" spans="1:20" s="305" customFormat="1" hidden="1" outlineLevel="1" x14ac:dyDescent="0.25">
      <c r="A648" s="344">
        <v>12.56</v>
      </c>
      <c r="B648" s="279" t="str">
        <f t="shared" si="215"/>
        <v>100x16PL</v>
      </c>
      <c r="C648" s="278" t="s">
        <v>1703</v>
      </c>
      <c r="D648" s="278"/>
      <c r="E648" s="278" t="s">
        <v>1860</v>
      </c>
      <c r="F648" s="278"/>
      <c r="G648" s="278" t="s">
        <v>15</v>
      </c>
      <c r="H648" s="328">
        <f t="shared" si="216"/>
        <v>0.17584</v>
      </c>
      <c r="I648" s="280">
        <f t="shared" si="217"/>
        <v>14.176220800000001</v>
      </c>
      <c r="J648" s="281">
        <f t="shared" si="218"/>
        <v>16.0770512</v>
      </c>
      <c r="K648" s="282">
        <f>IF(Notes!$B$9="Domestic",I648, IF(Notes!$B$9="Commercial",J648))*$K$415</f>
        <v>16.0770512</v>
      </c>
      <c r="L648" s="283">
        <f>(SUM(O648:Q648)+(K648+SUM(M648:Q648))*(INDEX($U$415:$AB$415,MATCH(Notes!$C$16,$U$3:$AB$3,0))-100%))*$L$415</f>
        <v>92.788256000000004</v>
      </c>
      <c r="M648" s="286"/>
      <c r="N648" s="286"/>
      <c r="O648" s="311">
        <f t="shared" si="219"/>
        <v>30.143999999999998</v>
      </c>
      <c r="P648" s="311">
        <f t="shared" si="219"/>
        <v>62.644256000000006</v>
      </c>
      <c r="Q648" s="285"/>
      <c r="R648" s="278"/>
      <c r="S648" s="278"/>
      <c r="T648" s="278"/>
    </row>
    <row r="649" spans="1:20" s="305" customFormat="1" hidden="1" outlineLevel="1" x14ac:dyDescent="0.25">
      <c r="A649" s="344">
        <v>15.7</v>
      </c>
      <c r="B649" s="279" t="str">
        <f t="shared" si="215"/>
        <v>100x20PL</v>
      </c>
      <c r="C649" s="278" t="s">
        <v>1704</v>
      </c>
      <c r="D649" s="278"/>
      <c r="E649" s="278" t="s">
        <v>1860</v>
      </c>
      <c r="F649" s="278"/>
      <c r="G649" s="278" t="s">
        <v>15</v>
      </c>
      <c r="H649" s="328">
        <f t="shared" si="216"/>
        <v>0.2198</v>
      </c>
      <c r="I649" s="280">
        <f t="shared" si="217"/>
        <v>17.720276000000002</v>
      </c>
      <c r="J649" s="281">
        <f t="shared" si="218"/>
        <v>20.096314</v>
      </c>
      <c r="K649" s="282">
        <f>IF(Notes!$B$9="Domestic",I649, IF(Notes!$B$9="Commercial",J649))*$K$415</f>
        <v>20.096314</v>
      </c>
      <c r="L649" s="283">
        <f>(SUM(O649:Q649)+(K649+SUM(M649:Q649))*(INDEX($U$415:$AB$415,MATCH(Notes!$C$16,$U$3:$AB$3,0))-100%))*$L$415</f>
        <v>115.98532</v>
      </c>
      <c r="M649" s="286"/>
      <c r="N649" s="286"/>
      <c r="O649" s="311">
        <f t="shared" si="219"/>
        <v>37.68</v>
      </c>
      <c r="P649" s="311">
        <f t="shared" si="219"/>
        <v>78.305320000000009</v>
      </c>
      <c r="Q649" s="285"/>
      <c r="R649" s="278"/>
      <c r="S649" s="278"/>
      <c r="T649" s="278"/>
    </row>
    <row r="650" spans="1:20" s="305" customFormat="1" hidden="1" outlineLevel="1" x14ac:dyDescent="0.25">
      <c r="A650" s="344">
        <v>17.27</v>
      </c>
      <c r="B650" s="279" t="str">
        <f t="shared" si="215"/>
        <v>100x22PL</v>
      </c>
      <c r="C650" s="278" t="s">
        <v>1705</v>
      </c>
      <c r="D650" s="278"/>
      <c r="E650" s="278" t="s">
        <v>1860</v>
      </c>
      <c r="F650" s="278"/>
      <c r="G650" s="278" t="s">
        <v>15</v>
      </c>
      <c r="H650" s="328">
        <f t="shared" si="216"/>
        <v>0.24177999999999999</v>
      </c>
      <c r="I650" s="280">
        <f t="shared" si="217"/>
        <v>19.4923036</v>
      </c>
      <c r="J650" s="281">
        <f t="shared" si="218"/>
        <v>22.1059454</v>
      </c>
      <c r="K650" s="282">
        <f>IF(Notes!$B$9="Domestic",I650, IF(Notes!$B$9="Commercial",J650))*$K$415</f>
        <v>22.1059454</v>
      </c>
      <c r="L650" s="283">
        <f>(SUM(O650:Q650)+(K650+SUM(M650:Q650))*(INDEX($U$415:$AB$415,MATCH(Notes!$C$16,$U$3:$AB$3,0))-100%))*$L$415</f>
        <v>127.58385200000001</v>
      </c>
      <c r="M650" s="286"/>
      <c r="N650" s="286"/>
      <c r="O650" s="311">
        <f t="shared" si="219"/>
        <v>41.448</v>
      </c>
      <c r="P650" s="311">
        <f t="shared" si="219"/>
        <v>86.135852</v>
      </c>
      <c r="Q650" s="285"/>
      <c r="R650" s="278"/>
      <c r="S650" s="278"/>
      <c r="T650" s="278"/>
    </row>
    <row r="651" spans="1:20" s="305" customFormat="1" hidden="1" outlineLevel="1" x14ac:dyDescent="0.25">
      <c r="A651" s="344">
        <v>19.625</v>
      </c>
      <c r="B651" s="279" t="str">
        <f t="shared" si="215"/>
        <v>100x25PL</v>
      </c>
      <c r="C651" s="278" t="s">
        <v>1706</v>
      </c>
      <c r="D651" s="278"/>
      <c r="E651" s="278" t="s">
        <v>1860</v>
      </c>
      <c r="F651" s="278"/>
      <c r="G651" s="278" t="s">
        <v>15</v>
      </c>
      <c r="H651" s="328">
        <f t="shared" si="216"/>
        <v>0.27474999999999999</v>
      </c>
      <c r="I651" s="280">
        <f t="shared" si="217"/>
        <v>22.150345000000002</v>
      </c>
      <c r="J651" s="281">
        <f t="shared" si="218"/>
        <v>25.120392500000001</v>
      </c>
      <c r="K651" s="282">
        <f>IF(Notes!$B$9="Domestic",I651, IF(Notes!$B$9="Commercial",J651))*$K$415</f>
        <v>25.120392500000001</v>
      </c>
      <c r="L651" s="283">
        <f>(SUM(O651:Q651)+(K651+SUM(M651:Q651))*(INDEX($U$415:$AB$415,MATCH(Notes!$C$16,$U$3:$AB$3,0))-100%))*$L$415</f>
        <v>144.98165</v>
      </c>
      <c r="M651" s="286"/>
      <c r="N651" s="286"/>
      <c r="O651" s="311">
        <f t="shared" si="219"/>
        <v>47.1</v>
      </c>
      <c r="P651" s="311">
        <f t="shared" si="219"/>
        <v>97.881650000000008</v>
      </c>
      <c r="Q651" s="285"/>
      <c r="R651" s="278"/>
      <c r="S651" s="278"/>
      <c r="T651" s="278"/>
    </row>
    <row r="652" spans="1:20" s="305" customFormat="1" hidden="1" outlineLevel="1" x14ac:dyDescent="0.25">
      <c r="A652" s="344">
        <v>21.98</v>
      </c>
      <c r="B652" s="279" t="str">
        <f t="shared" si="215"/>
        <v>100x28PL</v>
      </c>
      <c r="C652" s="278" t="s">
        <v>1707</v>
      </c>
      <c r="D652" s="278"/>
      <c r="E652" s="278" t="s">
        <v>1860</v>
      </c>
      <c r="F652" s="278"/>
      <c r="G652" s="278" t="s">
        <v>15</v>
      </c>
      <c r="H652" s="328">
        <f t="shared" si="216"/>
        <v>0.30772000000000005</v>
      </c>
      <c r="I652" s="280">
        <f t="shared" si="217"/>
        <v>24.808386400000007</v>
      </c>
      <c r="J652" s="281">
        <f t="shared" si="218"/>
        <v>28.134839600000006</v>
      </c>
      <c r="K652" s="282">
        <f>IF(Notes!$B$9="Domestic",I652, IF(Notes!$B$9="Commercial",J652))*$K$415</f>
        <v>28.134839600000006</v>
      </c>
      <c r="L652" s="283">
        <f>(SUM(O652:Q652)+(K652+SUM(M652:Q652))*(INDEX($U$415:$AB$415,MATCH(Notes!$C$16,$U$3:$AB$3,0))-100%))*$L$415</f>
        <v>162.379448</v>
      </c>
      <c r="M652" s="286"/>
      <c r="N652" s="286"/>
      <c r="O652" s="311">
        <f t="shared" si="219"/>
        <v>52.752000000000002</v>
      </c>
      <c r="P652" s="311">
        <f t="shared" si="219"/>
        <v>109.627448</v>
      </c>
      <c r="Q652" s="285"/>
      <c r="R652" s="278"/>
      <c r="S652" s="278"/>
      <c r="T652" s="278"/>
    </row>
    <row r="653" spans="1:20" s="305" customFormat="1" hidden="1" outlineLevel="1" x14ac:dyDescent="0.25">
      <c r="A653" s="344">
        <v>25.12</v>
      </c>
      <c r="B653" s="279" t="str">
        <f t="shared" si="215"/>
        <v>100x32PL</v>
      </c>
      <c r="C653" s="278" t="s">
        <v>1708</v>
      </c>
      <c r="D653" s="278"/>
      <c r="E653" s="278" t="s">
        <v>1860</v>
      </c>
      <c r="F653" s="278"/>
      <c r="G653" s="278" t="s">
        <v>15</v>
      </c>
      <c r="H653" s="328">
        <f t="shared" si="216"/>
        <v>0.35167999999999999</v>
      </c>
      <c r="I653" s="280">
        <f t="shared" si="217"/>
        <v>28.352441600000002</v>
      </c>
      <c r="J653" s="281">
        <f t="shared" si="218"/>
        <v>32.154102399999999</v>
      </c>
      <c r="K653" s="282">
        <f>IF(Notes!$B$9="Domestic",I653, IF(Notes!$B$9="Commercial",J653))*$K$415</f>
        <v>32.154102399999999</v>
      </c>
      <c r="L653" s="283">
        <f>(SUM(O653:Q653)+(K653+SUM(M653:Q653))*(INDEX($U$415:$AB$415,MATCH(Notes!$C$16,$U$3:$AB$3,0))-100%))*$L$415</f>
        <v>185.57651200000001</v>
      </c>
      <c r="M653" s="286"/>
      <c r="N653" s="286"/>
      <c r="O653" s="311">
        <f t="shared" si="219"/>
        <v>60.287999999999997</v>
      </c>
      <c r="P653" s="311">
        <f t="shared" si="219"/>
        <v>125.28851200000001</v>
      </c>
      <c r="Q653" s="285"/>
      <c r="R653" s="278"/>
      <c r="S653" s="278"/>
      <c r="T653" s="278"/>
    </row>
    <row r="654" spans="1:20" s="305" customFormat="1" hidden="1" outlineLevel="1" x14ac:dyDescent="0.25">
      <c r="A654" s="344">
        <v>28.260000000000005</v>
      </c>
      <c r="B654" s="279" t="str">
        <f t="shared" si="215"/>
        <v>100x36PL</v>
      </c>
      <c r="C654" s="278" t="s">
        <v>1709</v>
      </c>
      <c r="D654" s="278"/>
      <c r="E654" s="278" t="s">
        <v>1860</v>
      </c>
      <c r="F654" s="278"/>
      <c r="G654" s="278" t="s">
        <v>15</v>
      </c>
      <c r="H654" s="328">
        <f t="shared" si="216"/>
        <v>0.3956400000000001</v>
      </c>
      <c r="I654" s="280">
        <f t="shared" si="217"/>
        <v>31.896496800000008</v>
      </c>
      <c r="J654" s="281">
        <f t="shared" si="218"/>
        <v>36.173365200000013</v>
      </c>
      <c r="K654" s="282">
        <f>IF(Notes!$B$9="Domestic",I654, IF(Notes!$B$9="Commercial",J654))*$K$415</f>
        <v>36.173365200000013</v>
      </c>
      <c r="L654" s="283">
        <f>(SUM(O654:Q654)+(K654+SUM(M654:Q654))*(INDEX($U$415:$AB$415,MATCH(Notes!$C$16,$U$3:$AB$3,0))-100%))*$L$415</f>
        <v>208.77357600000005</v>
      </c>
      <c r="M654" s="286"/>
      <c r="N654" s="286"/>
      <c r="O654" s="311">
        <f t="shared" si="219"/>
        <v>67.824000000000012</v>
      </c>
      <c r="P654" s="311">
        <f t="shared" si="219"/>
        <v>140.94957600000004</v>
      </c>
      <c r="Q654" s="285"/>
      <c r="R654" s="278"/>
      <c r="S654" s="278"/>
      <c r="T654" s="278"/>
    </row>
    <row r="655" spans="1:20" s="305" customFormat="1" hidden="1" outlineLevel="1" x14ac:dyDescent="0.25">
      <c r="A655" s="344">
        <v>31.4</v>
      </c>
      <c r="B655" s="279" t="str">
        <f t="shared" si="215"/>
        <v>100x40PL</v>
      </c>
      <c r="C655" s="278" t="s">
        <v>1710</v>
      </c>
      <c r="D655" s="278"/>
      <c r="E655" s="278" t="s">
        <v>1860</v>
      </c>
      <c r="F655" s="278"/>
      <c r="G655" s="278" t="s">
        <v>15</v>
      </c>
      <c r="H655" s="328">
        <f t="shared" si="216"/>
        <v>0.43959999999999999</v>
      </c>
      <c r="I655" s="280">
        <f t="shared" si="217"/>
        <v>35.440552000000004</v>
      </c>
      <c r="J655" s="281">
        <f t="shared" si="218"/>
        <v>40.192627999999999</v>
      </c>
      <c r="K655" s="282">
        <f>IF(Notes!$B$9="Domestic",I655, IF(Notes!$B$9="Commercial",J655))*$K$415</f>
        <v>40.192627999999999</v>
      </c>
      <c r="L655" s="283">
        <f>(SUM(O655:Q655)+(K655+SUM(M655:Q655))*(INDEX($U$415:$AB$415,MATCH(Notes!$C$16,$U$3:$AB$3,0))-100%))*$L$415</f>
        <v>231.97064</v>
      </c>
      <c r="M655" s="286"/>
      <c r="N655" s="286"/>
      <c r="O655" s="311">
        <f t="shared" si="219"/>
        <v>75.36</v>
      </c>
      <c r="P655" s="311">
        <f t="shared" si="219"/>
        <v>156.61064000000002</v>
      </c>
      <c r="Q655" s="285"/>
      <c r="R655" s="278"/>
      <c r="S655" s="278"/>
      <c r="T655" s="278"/>
    </row>
    <row r="656" spans="1:20" s="305" customFormat="1" hidden="1" outlineLevel="1" x14ac:dyDescent="0.25">
      <c r="A656" s="344">
        <v>35.325000000000003</v>
      </c>
      <c r="B656" s="279" t="str">
        <f t="shared" si="215"/>
        <v>100x45PL</v>
      </c>
      <c r="C656" s="278" t="s">
        <v>1711</v>
      </c>
      <c r="D656" s="278"/>
      <c r="E656" s="278" t="s">
        <v>1860</v>
      </c>
      <c r="F656" s="278"/>
      <c r="G656" s="278" t="s">
        <v>15</v>
      </c>
      <c r="H656" s="328">
        <f t="shared" si="216"/>
        <v>0.49455000000000005</v>
      </c>
      <c r="I656" s="280">
        <f t="shared" si="217"/>
        <v>39.870621000000007</v>
      </c>
      <c r="J656" s="281">
        <f t="shared" si="218"/>
        <v>45.216706500000008</v>
      </c>
      <c r="K656" s="282">
        <f>IF(Notes!$B$9="Domestic",I656, IF(Notes!$B$9="Commercial",J656))*$K$415</f>
        <v>45.216706500000008</v>
      </c>
      <c r="L656" s="283">
        <f>(SUM(O656:Q656)+(K656+SUM(M656:Q656))*(INDEX($U$415:$AB$415,MATCH(Notes!$C$16,$U$3:$AB$3,0))-100%))*$L$415</f>
        <v>260.96697000000006</v>
      </c>
      <c r="M656" s="286"/>
      <c r="N656" s="286"/>
      <c r="O656" s="311">
        <f t="shared" si="219"/>
        <v>84.78</v>
      </c>
      <c r="P656" s="311">
        <f t="shared" si="219"/>
        <v>176.18697000000003</v>
      </c>
      <c r="Q656" s="285"/>
      <c r="R656" s="278"/>
      <c r="S656" s="278"/>
      <c r="T656" s="278"/>
    </row>
    <row r="657" spans="1:20" s="305" customFormat="1" hidden="1" outlineLevel="1" x14ac:dyDescent="0.25">
      <c r="A657" s="344">
        <v>39.25</v>
      </c>
      <c r="B657" s="279" t="str">
        <f t="shared" si="215"/>
        <v>100x50PL</v>
      </c>
      <c r="C657" s="278" t="s">
        <v>832</v>
      </c>
      <c r="D657" s="278"/>
      <c r="E657" s="278" t="s">
        <v>1860</v>
      </c>
      <c r="F657" s="278"/>
      <c r="G657" s="278" t="s">
        <v>15</v>
      </c>
      <c r="H657" s="328">
        <f t="shared" si="216"/>
        <v>0.54949999999999999</v>
      </c>
      <c r="I657" s="280">
        <f t="shared" si="217"/>
        <v>44.300690000000003</v>
      </c>
      <c r="J657" s="281">
        <f t="shared" si="218"/>
        <v>50.240785000000002</v>
      </c>
      <c r="K657" s="282">
        <f>IF(Notes!$B$9="Domestic",I657, IF(Notes!$B$9="Commercial",J657))*$K$415</f>
        <v>50.240785000000002</v>
      </c>
      <c r="L657" s="283">
        <f>(SUM(O657:Q657)+(K657+SUM(M657:Q657))*(INDEX($U$415:$AB$415,MATCH(Notes!$C$16,$U$3:$AB$3,0))-100%))*$L$415</f>
        <v>289.9633</v>
      </c>
      <c r="M657" s="286"/>
      <c r="N657" s="286"/>
      <c r="O657" s="311">
        <f t="shared" si="219"/>
        <v>94.2</v>
      </c>
      <c r="P657" s="311">
        <f t="shared" si="219"/>
        <v>195.76330000000002</v>
      </c>
      <c r="Q657" s="285"/>
      <c r="R657" s="278"/>
      <c r="S657" s="278"/>
      <c r="T657" s="278"/>
    </row>
    <row r="658" spans="1:20" s="305" customFormat="1" hidden="1" outlineLevel="1" x14ac:dyDescent="0.25">
      <c r="A658" s="344">
        <v>43.174999999999997</v>
      </c>
      <c r="B658" s="279" t="str">
        <f t="shared" si="215"/>
        <v>100x55PL</v>
      </c>
      <c r="C658" s="278" t="s">
        <v>1712</v>
      </c>
      <c r="D658" s="278"/>
      <c r="E658" s="278" t="s">
        <v>1860</v>
      </c>
      <c r="F658" s="278"/>
      <c r="G658" s="278" t="s">
        <v>15</v>
      </c>
      <c r="H658" s="328">
        <f t="shared" si="216"/>
        <v>0.60444999999999993</v>
      </c>
      <c r="I658" s="280">
        <f t="shared" si="217"/>
        <v>48.730758999999999</v>
      </c>
      <c r="J658" s="281">
        <f t="shared" si="218"/>
        <v>55.264863499999997</v>
      </c>
      <c r="K658" s="282">
        <f>IF(Notes!$B$9="Domestic",I658, IF(Notes!$B$9="Commercial",J658))*$K$415</f>
        <v>55.264863499999997</v>
      </c>
      <c r="L658" s="283">
        <f>(SUM(O658:Q658)+(K658+SUM(M658:Q658))*(INDEX($U$415:$AB$415,MATCH(Notes!$C$16,$U$3:$AB$3,0))-100%))*$L$415</f>
        <v>318.95963</v>
      </c>
      <c r="M658" s="286"/>
      <c r="N658" s="286"/>
      <c r="O658" s="311">
        <f t="shared" si="219"/>
        <v>103.62</v>
      </c>
      <c r="P658" s="311">
        <f t="shared" si="219"/>
        <v>215.33963</v>
      </c>
      <c r="Q658" s="285"/>
      <c r="R658" s="278"/>
      <c r="S658" s="278"/>
      <c r="T658" s="278"/>
    </row>
    <row r="659" spans="1:20" s="305" customFormat="1" hidden="1" outlineLevel="1" x14ac:dyDescent="0.25">
      <c r="A659" s="344">
        <v>47.1</v>
      </c>
      <c r="B659" s="279" t="str">
        <f t="shared" si="215"/>
        <v>100x60PL</v>
      </c>
      <c r="C659" s="278" t="s">
        <v>1713</v>
      </c>
      <c r="D659" s="278"/>
      <c r="E659" s="278" t="s">
        <v>1860</v>
      </c>
      <c r="F659" s="278"/>
      <c r="G659" s="278" t="s">
        <v>15</v>
      </c>
      <c r="H659" s="328">
        <f t="shared" si="216"/>
        <v>0.65939999999999999</v>
      </c>
      <c r="I659" s="280">
        <f t="shared" si="217"/>
        <v>53.160828000000002</v>
      </c>
      <c r="J659" s="281">
        <f t="shared" si="218"/>
        <v>60.288942000000006</v>
      </c>
      <c r="K659" s="282">
        <f>IF(Notes!$B$9="Domestic",I659, IF(Notes!$B$9="Commercial",J659))*$K$415</f>
        <v>60.288942000000006</v>
      </c>
      <c r="L659" s="283">
        <f>(SUM(O659:Q659)+(K659+SUM(M659:Q659))*(INDEX($U$415:$AB$415,MATCH(Notes!$C$16,$U$3:$AB$3,0))-100%))*$L$415</f>
        <v>347.95596</v>
      </c>
      <c r="M659" s="286"/>
      <c r="N659" s="286"/>
      <c r="O659" s="311">
        <f t="shared" si="219"/>
        <v>113.04</v>
      </c>
      <c r="P659" s="311">
        <f t="shared" si="219"/>
        <v>234.91596000000001</v>
      </c>
      <c r="Q659" s="285"/>
      <c r="R659" s="278"/>
      <c r="S659" s="278"/>
      <c r="T659" s="278"/>
    </row>
    <row r="660" spans="1:20" s="305" customFormat="1" hidden="1" outlineLevel="1" x14ac:dyDescent="0.25">
      <c r="A660" s="344">
        <v>51</v>
      </c>
      <c r="B660" s="279" t="str">
        <f t="shared" si="215"/>
        <v>100x65PL</v>
      </c>
      <c r="C660" s="278" t="s">
        <v>1714</v>
      </c>
      <c r="D660" s="278"/>
      <c r="E660" s="278" t="s">
        <v>1860</v>
      </c>
      <c r="F660" s="278"/>
      <c r="G660" s="278" t="s">
        <v>15</v>
      </c>
      <c r="H660" s="328">
        <f t="shared" si="216"/>
        <v>0.71399999999999997</v>
      </c>
      <c r="I660" s="280">
        <f t="shared" si="217"/>
        <v>57.56268</v>
      </c>
      <c r="J660" s="281">
        <f t="shared" si="218"/>
        <v>65.281019999999998</v>
      </c>
      <c r="K660" s="282">
        <f>IF(Notes!$B$9="Domestic",I660, IF(Notes!$B$9="Commercial",J660))*$K$415</f>
        <v>65.281019999999998</v>
      </c>
      <c r="L660" s="283">
        <f>(SUM(O660:Q660)+(K660+SUM(M660:Q660))*(INDEX($U$415:$AB$415,MATCH(Notes!$C$16,$U$3:$AB$3,0))-100%))*$L$415</f>
        <v>376.76760000000002</v>
      </c>
      <c r="M660" s="286"/>
      <c r="N660" s="286"/>
      <c r="O660" s="311">
        <f t="shared" si="219"/>
        <v>122.4</v>
      </c>
      <c r="P660" s="311">
        <f t="shared" si="219"/>
        <v>254.36760000000001</v>
      </c>
      <c r="Q660" s="285"/>
      <c r="R660" s="278"/>
      <c r="S660" s="278"/>
      <c r="T660" s="278"/>
    </row>
    <row r="661" spans="1:20" s="305" customFormat="1" hidden="1" outlineLevel="1" x14ac:dyDescent="0.25">
      <c r="A661" s="344">
        <v>54.95</v>
      </c>
      <c r="B661" s="279" t="str">
        <f t="shared" si="215"/>
        <v>100x70PL</v>
      </c>
      <c r="C661" s="278" t="s">
        <v>1715</v>
      </c>
      <c r="D661" s="278"/>
      <c r="E661" s="278" t="s">
        <v>1860</v>
      </c>
      <c r="F661" s="278"/>
      <c r="G661" s="278" t="s">
        <v>15</v>
      </c>
      <c r="H661" s="328">
        <f t="shared" si="216"/>
        <v>0.76930000000000009</v>
      </c>
      <c r="I661" s="280">
        <f t="shared" si="217"/>
        <v>62.020966000000008</v>
      </c>
      <c r="J661" s="281">
        <f t="shared" si="218"/>
        <v>70.337099000000009</v>
      </c>
      <c r="K661" s="282">
        <f>IF(Notes!$B$9="Domestic",I661, IF(Notes!$B$9="Commercial",J661))*$K$415</f>
        <v>70.337099000000009</v>
      </c>
      <c r="L661" s="283">
        <f>(SUM(O661:Q661)+(K661+SUM(M661:Q661))*(INDEX($U$415:$AB$415,MATCH(Notes!$C$16,$U$3:$AB$3,0))-100%))*$L$415</f>
        <v>405.94862000000006</v>
      </c>
      <c r="M661" s="286"/>
      <c r="N661" s="286"/>
      <c r="O661" s="311">
        <f t="shared" si="219"/>
        <v>131.88</v>
      </c>
      <c r="P661" s="311">
        <f t="shared" si="219"/>
        <v>274.06862000000007</v>
      </c>
      <c r="Q661" s="285"/>
      <c r="R661" s="278"/>
      <c r="S661" s="278"/>
      <c r="T661" s="278"/>
    </row>
    <row r="662" spans="1:20" s="305" customFormat="1" hidden="1" outlineLevel="1" x14ac:dyDescent="0.25">
      <c r="A662" s="344">
        <v>58.875</v>
      </c>
      <c r="B662" s="279" t="str">
        <f t="shared" si="215"/>
        <v>100x75PL</v>
      </c>
      <c r="C662" s="278" t="s">
        <v>1716</v>
      </c>
      <c r="D662" s="278"/>
      <c r="E662" s="278" t="s">
        <v>1860</v>
      </c>
      <c r="F662" s="278"/>
      <c r="G662" s="278" t="s">
        <v>15</v>
      </c>
      <c r="H662" s="328">
        <f t="shared" si="216"/>
        <v>0.82425000000000004</v>
      </c>
      <c r="I662" s="280">
        <f t="shared" si="217"/>
        <v>66.451035000000005</v>
      </c>
      <c r="J662" s="281">
        <f t="shared" si="218"/>
        <v>75.361177500000011</v>
      </c>
      <c r="K662" s="282">
        <f>IF(Notes!$B$9="Domestic",I662, IF(Notes!$B$9="Commercial",J662))*$K$415</f>
        <v>75.361177500000011</v>
      </c>
      <c r="L662" s="283">
        <f>(SUM(O662:Q662)+(K662+SUM(M662:Q662))*(INDEX($U$415:$AB$415,MATCH(Notes!$C$16,$U$3:$AB$3,0))-100%))*$L$415</f>
        <v>434.94495000000001</v>
      </c>
      <c r="M662" s="286"/>
      <c r="N662" s="286"/>
      <c r="O662" s="311">
        <f t="shared" si="219"/>
        <v>141.30000000000001</v>
      </c>
      <c r="P662" s="311">
        <f t="shared" si="219"/>
        <v>293.64494999999999</v>
      </c>
      <c r="Q662" s="285"/>
      <c r="R662" s="278"/>
      <c r="S662" s="278"/>
      <c r="T662" s="278"/>
    </row>
    <row r="663" spans="1:20" s="305" customFormat="1" hidden="1" outlineLevel="1" x14ac:dyDescent="0.25">
      <c r="A663" s="344">
        <v>62.8</v>
      </c>
      <c r="B663" s="279" t="str">
        <f t="shared" si="215"/>
        <v>100x80PL</v>
      </c>
      <c r="C663" s="278" t="s">
        <v>1717</v>
      </c>
      <c r="D663" s="278"/>
      <c r="E663" s="278" t="s">
        <v>1860</v>
      </c>
      <c r="F663" s="278"/>
      <c r="G663" s="278" t="s">
        <v>15</v>
      </c>
      <c r="H663" s="328">
        <f t="shared" si="216"/>
        <v>0.87919999999999998</v>
      </c>
      <c r="I663" s="280">
        <f t="shared" si="217"/>
        <v>70.881104000000008</v>
      </c>
      <c r="J663" s="281">
        <f t="shared" si="218"/>
        <v>80.385255999999998</v>
      </c>
      <c r="K663" s="282">
        <f>IF(Notes!$B$9="Domestic",I663, IF(Notes!$B$9="Commercial",J663))*$K$415</f>
        <v>80.385255999999998</v>
      </c>
      <c r="L663" s="283">
        <f>(SUM(O663:Q663)+(K663+SUM(M663:Q663))*(INDEX($U$415:$AB$415,MATCH(Notes!$C$16,$U$3:$AB$3,0))-100%))*$L$415</f>
        <v>463.94128000000001</v>
      </c>
      <c r="M663" s="286"/>
      <c r="N663" s="286"/>
      <c r="O663" s="311">
        <f t="shared" si="219"/>
        <v>150.72</v>
      </c>
      <c r="P663" s="311">
        <f t="shared" si="219"/>
        <v>313.22128000000004</v>
      </c>
      <c r="Q663" s="285"/>
      <c r="R663" s="278"/>
      <c r="S663" s="278"/>
      <c r="T663" s="278"/>
    </row>
    <row r="664" spans="1:20" s="305" customFormat="1" hidden="1" outlineLevel="1" x14ac:dyDescent="0.25">
      <c r="A664" s="344">
        <v>70.650000000000006</v>
      </c>
      <c r="B664" s="279" t="str">
        <f t="shared" si="215"/>
        <v>100x90PL</v>
      </c>
      <c r="C664" s="278" t="s">
        <v>1718</v>
      </c>
      <c r="D664" s="278"/>
      <c r="E664" s="278" t="s">
        <v>1860</v>
      </c>
      <c r="F664" s="278"/>
      <c r="G664" s="278" t="s">
        <v>15</v>
      </c>
      <c r="H664" s="328">
        <f t="shared" si="216"/>
        <v>0.98910000000000009</v>
      </c>
      <c r="I664" s="280">
        <f t="shared" si="217"/>
        <v>79.741242000000014</v>
      </c>
      <c r="J664" s="281">
        <f t="shared" si="218"/>
        <v>90.433413000000016</v>
      </c>
      <c r="K664" s="282">
        <f>IF(Notes!$B$9="Domestic",I664, IF(Notes!$B$9="Commercial",J664))*$K$415</f>
        <v>90.433413000000016</v>
      </c>
      <c r="L664" s="283">
        <f>(SUM(O664:Q664)+(K664+SUM(M664:Q664))*(INDEX($U$415:$AB$415,MATCH(Notes!$C$16,$U$3:$AB$3,0))-100%))*$L$415</f>
        <v>521.93394000000012</v>
      </c>
      <c r="M664" s="286"/>
      <c r="N664" s="286"/>
      <c r="O664" s="311">
        <f t="shared" si="219"/>
        <v>169.56</v>
      </c>
      <c r="P664" s="311">
        <f t="shared" si="219"/>
        <v>352.37394000000006</v>
      </c>
      <c r="Q664" s="285"/>
      <c r="R664" s="278"/>
      <c r="S664" s="278"/>
      <c r="T664" s="278"/>
    </row>
    <row r="665" spans="1:20" s="305" customFormat="1" hidden="1" outlineLevel="1" x14ac:dyDescent="0.25">
      <c r="A665" s="344">
        <v>78.5</v>
      </c>
      <c r="B665" s="279" t="str">
        <f t="shared" si="215"/>
        <v>100x100PL</v>
      </c>
      <c r="C665" s="278" t="s">
        <v>1719</v>
      </c>
      <c r="D665" s="278"/>
      <c r="E665" s="278" t="s">
        <v>1860</v>
      </c>
      <c r="F665" s="278"/>
      <c r="G665" s="278" t="s">
        <v>15</v>
      </c>
      <c r="H665" s="328">
        <f t="shared" si="216"/>
        <v>1.099</v>
      </c>
      <c r="I665" s="280">
        <f t="shared" si="217"/>
        <v>88.601380000000006</v>
      </c>
      <c r="J665" s="281">
        <f t="shared" si="218"/>
        <v>100.48157</v>
      </c>
      <c r="K665" s="282">
        <f>IF(Notes!$B$9="Domestic",I665, IF(Notes!$B$9="Commercial",J665))*$K$415</f>
        <v>100.48157</v>
      </c>
      <c r="L665" s="283">
        <f>(SUM(O665:Q665)+(K665+SUM(M665:Q665))*(INDEX($U$415:$AB$415,MATCH(Notes!$C$16,$U$3:$AB$3,0))-100%))*$L$415</f>
        <v>579.92660000000001</v>
      </c>
      <c r="M665" s="286"/>
      <c r="N665" s="286"/>
      <c r="O665" s="311">
        <f t="shared" si="219"/>
        <v>188.4</v>
      </c>
      <c r="P665" s="311">
        <f t="shared" si="219"/>
        <v>391.52660000000003</v>
      </c>
      <c r="Q665" s="285"/>
      <c r="R665" s="278"/>
      <c r="S665" s="278"/>
      <c r="T665" s="278"/>
    </row>
    <row r="666" spans="1:20" s="305" customFormat="1" hidden="1" outlineLevel="1" x14ac:dyDescent="0.25">
      <c r="A666" s="344">
        <v>4.71</v>
      </c>
      <c r="B666" s="279" t="str">
        <f t="shared" si="215"/>
        <v>200x3PL</v>
      </c>
      <c r="C666" s="278" t="s">
        <v>1720</v>
      </c>
      <c r="D666" s="278"/>
      <c r="E666" s="278" t="s">
        <v>1860</v>
      </c>
      <c r="F666" s="278"/>
      <c r="G666" s="278" t="s">
        <v>15</v>
      </c>
      <c r="H666" s="328">
        <f t="shared" si="216"/>
        <v>6.5939999999999999E-2</v>
      </c>
      <c r="I666" s="280">
        <f t="shared" si="217"/>
        <v>5.3160828000000002</v>
      </c>
      <c r="J666" s="281">
        <f t="shared" si="218"/>
        <v>6.0288942000000008</v>
      </c>
      <c r="K666" s="282">
        <f>IF(Notes!$B$9="Domestic",I666, IF(Notes!$B$9="Commercial",J666))*$K$415</f>
        <v>6.0288942000000008</v>
      </c>
      <c r="L666" s="283">
        <f>(SUM(O666:Q666)+(K666+SUM(M666:Q666))*(INDEX($U$415:$AB$415,MATCH(Notes!$C$16,$U$3:$AB$3,0))-100%))*$L$415</f>
        <v>34.795596000000003</v>
      </c>
      <c r="M666" s="286"/>
      <c r="N666" s="286"/>
      <c r="O666" s="311">
        <f t="shared" si="219"/>
        <v>11.304</v>
      </c>
      <c r="P666" s="311">
        <f t="shared" si="219"/>
        <v>23.491596000000001</v>
      </c>
      <c r="Q666" s="285"/>
      <c r="R666" s="278"/>
      <c r="S666" s="278"/>
      <c r="T666" s="278"/>
    </row>
    <row r="667" spans="1:20" s="305" customFormat="1" hidden="1" outlineLevel="1" x14ac:dyDescent="0.25">
      <c r="A667" s="344">
        <v>6.28</v>
      </c>
      <c r="B667" s="279" t="str">
        <f t="shared" si="215"/>
        <v>200x4PL</v>
      </c>
      <c r="C667" s="278" t="s">
        <v>1721</v>
      </c>
      <c r="D667" s="278"/>
      <c r="E667" s="278" t="s">
        <v>1860</v>
      </c>
      <c r="F667" s="278"/>
      <c r="G667" s="278" t="s">
        <v>15</v>
      </c>
      <c r="H667" s="328">
        <f t="shared" si="216"/>
        <v>8.7919999999999998E-2</v>
      </c>
      <c r="I667" s="280">
        <f t="shared" si="217"/>
        <v>7.0881104000000006</v>
      </c>
      <c r="J667" s="281">
        <f t="shared" si="218"/>
        <v>8.0385255999999998</v>
      </c>
      <c r="K667" s="282">
        <f>IF(Notes!$B$9="Domestic",I667, IF(Notes!$B$9="Commercial",J667))*$K$415</f>
        <v>8.0385255999999998</v>
      </c>
      <c r="L667" s="283">
        <f>(SUM(O667:Q667)+(K667+SUM(M667:Q667))*(INDEX($U$415:$AB$415,MATCH(Notes!$C$16,$U$3:$AB$3,0))-100%))*$L$415</f>
        <v>46.394128000000002</v>
      </c>
      <c r="M667" s="286"/>
      <c r="N667" s="286"/>
      <c r="O667" s="311">
        <f t="shared" si="219"/>
        <v>15.071999999999999</v>
      </c>
      <c r="P667" s="311">
        <f t="shared" si="219"/>
        <v>31.322128000000003</v>
      </c>
      <c r="Q667" s="285"/>
      <c r="R667" s="278"/>
      <c r="S667" s="278"/>
      <c r="T667" s="278"/>
    </row>
    <row r="668" spans="1:20" s="305" customFormat="1" hidden="1" outlineLevel="1" x14ac:dyDescent="0.25">
      <c r="A668" s="344">
        <v>7.85</v>
      </c>
      <c r="B668" s="279" t="str">
        <f t="shared" si="215"/>
        <v>200x5PL</v>
      </c>
      <c r="C668" s="278" t="s">
        <v>1722</v>
      </c>
      <c r="D668" s="278"/>
      <c r="E668" s="278" t="s">
        <v>1860</v>
      </c>
      <c r="F668" s="278"/>
      <c r="G668" s="278" t="s">
        <v>15</v>
      </c>
      <c r="H668" s="328">
        <f t="shared" si="216"/>
        <v>0.1099</v>
      </c>
      <c r="I668" s="280">
        <f t="shared" si="217"/>
        <v>8.860138000000001</v>
      </c>
      <c r="J668" s="281">
        <f t="shared" si="218"/>
        <v>10.048157</v>
      </c>
      <c r="K668" s="282">
        <f>IF(Notes!$B$9="Domestic",I668, IF(Notes!$B$9="Commercial",J668))*$K$415</f>
        <v>10.048157</v>
      </c>
      <c r="L668" s="283">
        <f>(SUM(O668:Q668)+(K668+SUM(M668:Q668))*(INDEX($U$415:$AB$415,MATCH(Notes!$C$16,$U$3:$AB$3,0))-100%))*$L$415</f>
        <v>57.992660000000001</v>
      </c>
      <c r="M668" s="286"/>
      <c r="N668" s="286"/>
      <c r="O668" s="311">
        <f t="shared" si="219"/>
        <v>18.84</v>
      </c>
      <c r="P668" s="311">
        <f t="shared" si="219"/>
        <v>39.152660000000004</v>
      </c>
      <c r="Q668" s="285"/>
      <c r="R668" s="278"/>
      <c r="S668" s="278"/>
      <c r="T668" s="278"/>
    </row>
    <row r="669" spans="1:20" s="305" customFormat="1" hidden="1" outlineLevel="1" x14ac:dyDescent="0.25">
      <c r="A669" s="344">
        <v>9.42</v>
      </c>
      <c r="B669" s="279" t="str">
        <f t="shared" si="215"/>
        <v>200x6PL</v>
      </c>
      <c r="C669" s="278" t="s">
        <v>1723</v>
      </c>
      <c r="D669" s="278"/>
      <c r="E669" s="278" t="s">
        <v>1860</v>
      </c>
      <c r="F669" s="278"/>
      <c r="G669" s="278" t="s">
        <v>15</v>
      </c>
      <c r="H669" s="328">
        <f t="shared" si="216"/>
        <v>0.13188</v>
      </c>
      <c r="I669" s="280">
        <f t="shared" si="217"/>
        <v>10.6321656</v>
      </c>
      <c r="J669" s="281">
        <f t="shared" si="218"/>
        <v>12.057788400000002</v>
      </c>
      <c r="K669" s="282">
        <f>IF(Notes!$B$9="Domestic",I669, IF(Notes!$B$9="Commercial",J669))*$K$415</f>
        <v>12.057788400000002</v>
      </c>
      <c r="L669" s="283">
        <f>(SUM(O669:Q669)+(K669+SUM(M669:Q669))*(INDEX($U$415:$AB$415,MATCH(Notes!$C$16,$U$3:$AB$3,0))-100%))*$L$415</f>
        <v>69.591192000000007</v>
      </c>
      <c r="M669" s="286"/>
      <c r="N669" s="286"/>
      <c r="O669" s="311">
        <f t="shared" si="219"/>
        <v>22.608000000000001</v>
      </c>
      <c r="P669" s="311">
        <f t="shared" si="219"/>
        <v>46.983192000000003</v>
      </c>
      <c r="Q669" s="285"/>
      <c r="R669" s="278"/>
      <c r="S669" s="278"/>
      <c r="T669" s="278"/>
    </row>
    <row r="670" spans="1:20" s="305" customFormat="1" hidden="1" outlineLevel="1" x14ac:dyDescent="0.25">
      <c r="A670" s="344">
        <v>12.56</v>
      </c>
      <c r="B670" s="279" t="str">
        <f t="shared" si="215"/>
        <v>200x8PL</v>
      </c>
      <c r="C670" s="278" t="s">
        <v>1724</v>
      </c>
      <c r="D670" s="278"/>
      <c r="E670" s="278" t="s">
        <v>1860</v>
      </c>
      <c r="F670" s="278"/>
      <c r="G670" s="278" t="s">
        <v>15</v>
      </c>
      <c r="H670" s="328">
        <f t="shared" si="216"/>
        <v>0.17584</v>
      </c>
      <c r="I670" s="280">
        <f t="shared" si="217"/>
        <v>14.176220800000001</v>
      </c>
      <c r="J670" s="281">
        <f t="shared" si="218"/>
        <v>16.0770512</v>
      </c>
      <c r="K670" s="282">
        <f>IF(Notes!$B$9="Domestic",I670, IF(Notes!$B$9="Commercial",J670))*$K$415</f>
        <v>16.0770512</v>
      </c>
      <c r="L670" s="283">
        <f>(SUM(O670:Q670)+(K670+SUM(M670:Q670))*(INDEX($U$415:$AB$415,MATCH(Notes!$C$16,$U$3:$AB$3,0))-100%))*$L$415</f>
        <v>92.788256000000004</v>
      </c>
      <c r="M670" s="286"/>
      <c r="N670" s="286"/>
      <c r="O670" s="311">
        <f t="shared" si="219"/>
        <v>30.143999999999998</v>
      </c>
      <c r="P670" s="311">
        <f t="shared" si="219"/>
        <v>62.644256000000006</v>
      </c>
      <c r="Q670" s="285"/>
      <c r="R670" s="278"/>
      <c r="S670" s="278"/>
      <c r="T670" s="278"/>
    </row>
    <row r="671" spans="1:20" s="305" customFormat="1" hidden="1" outlineLevel="1" x14ac:dyDescent="0.25">
      <c r="A671" s="344">
        <v>15.7</v>
      </c>
      <c r="B671" s="279" t="str">
        <f t="shared" si="215"/>
        <v>200x10PL</v>
      </c>
      <c r="C671" s="278" t="s">
        <v>1725</v>
      </c>
      <c r="D671" s="278"/>
      <c r="E671" s="278" t="s">
        <v>1860</v>
      </c>
      <c r="F671" s="278"/>
      <c r="G671" s="278" t="s">
        <v>15</v>
      </c>
      <c r="H671" s="328">
        <f t="shared" si="216"/>
        <v>0.2198</v>
      </c>
      <c r="I671" s="280">
        <f t="shared" si="217"/>
        <v>17.720276000000002</v>
      </c>
      <c r="J671" s="281">
        <f t="shared" si="218"/>
        <v>20.096314</v>
      </c>
      <c r="K671" s="282">
        <f>IF(Notes!$B$9="Domestic",I671, IF(Notes!$B$9="Commercial",J671))*$K$415</f>
        <v>20.096314</v>
      </c>
      <c r="L671" s="283">
        <f>(SUM(O671:Q671)+(K671+SUM(M671:Q671))*(INDEX($U$415:$AB$415,MATCH(Notes!$C$16,$U$3:$AB$3,0))-100%))*$L$415</f>
        <v>115.98532</v>
      </c>
      <c r="M671" s="286"/>
      <c r="N671" s="286"/>
      <c r="O671" s="311">
        <f t="shared" si="219"/>
        <v>37.68</v>
      </c>
      <c r="P671" s="311">
        <f t="shared" si="219"/>
        <v>78.305320000000009</v>
      </c>
      <c r="Q671" s="285"/>
      <c r="R671" s="278"/>
      <c r="S671" s="278"/>
      <c r="T671" s="278"/>
    </row>
    <row r="672" spans="1:20" s="305" customFormat="1" hidden="1" outlineLevel="1" x14ac:dyDescent="0.25">
      <c r="A672" s="344">
        <v>18.84</v>
      </c>
      <c r="B672" s="279" t="str">
        <f t="shared" si="215"/>
        <v>200x12PL</v>
      </c>
      <c r="C672" s="278" t="s">
        <v>1726</v>
      </c>
      <c r="D672" s="278"/>
      <c r="E672" s="278" t="s">
        <v>1860</v>
      </c>
      <c r="F672" s="278"/>
      <c r="G672" s="278" t="s">
        <v>15</v>
      </c>
      <c r="H672" s="328">
        <f t="shared" si="216"/>
        <v>0.26375999999999999</v>
      </c>
      <c r="I672" s="280">
        <f t="shared" si="217"/>
        <v>21.264331200000001</v>
      </c>
      <c r="J672" s="281">
        <f t="shared" si="218"/>
        <v>24.115576800000003</v>
      </c>
      <c r="K672" s="282">
        <f>IF(Notes!$B$9="Domestic",I672, IF(Notes!$B$9="Commercial",J672))*$K$415</f>
        <v>24.115576800000003</v>
      </c>
      <c r="L672" s="283">
        <f>(SUM(O672:Q672)+(K672+SUM(M672:Q672))*(INDEX($U$415:$AB$415,MATCH(Notes!$C$16,$U$3:$AB$3,0))-100%))*$L$415</f>
        <v>139.18238400000001</v>
      </c>
      <c r="M672" s="286"/>
      <c r="N672" s="286"/>
      <c r="O672" s="311">
        <f t="shared" si="219"/>
        <v>45.216000000000001</v>
      </c>
      <c r="P672" s="311">
        <f t="shared" si="219"/>
        <v>93.966384000000005</v>
      </c>
      <c r="Q672" s="285"/>
      <c r="R672" s="278"/>
      <c r="S672" s="278"/>
      <c r="T672" s="278"/>
    </row>
    <row r="673" spans="1:20" s="305" customFormat="1" hidden="1" outlineLevel="1" x14ac:dyDescent="0.25">
      <c r="A673" s="344">
        <v>25.12</v>
      </c>
      <c r="B673" s="279" t="str">
        <f t="shared" si="215"/>
        <v>200x16PL</v>
      </c>
      <c r="C673" s="278" t="s">
        <v>1727</v>
      </c>
      <c r="D673" s="278"/>
      <c r="E673" s="278" t="s">
        <v>1860</v>
      </c>
      <c r="F673" s="278"/>
      <c r="G673" s="278" t="s">
        <v>15</v>
      </c>
      <c r="H673" s="328">
        <f t="shared" si="216"/>
        <v>0.35167999999999999</v>
      </c>
      <c r="I673" s="280">
        <f t="shared" si="217"/>
        <v>28.352441600000002</v>
      </c>
      <c r="J673" s="281">
        <f t="shared" si="218"/>
        <v>32.154102399999999</v>
      </c>
      <c r="K673" s="282">
        <f>IF(Notes!$B$9="Domestic",I673, IF(Notes!$B$9="Commercial",J673))*$K$415</f>
        <v>32.154102399999999</v>
      </c>
      <c r="L673" s="283">
        <f>(SUM(O673:Q673)+(K673+SUM(M673:Q673))*(INDEX($U$415:$AB$415,MATCH(Notes!$C$16,$U$3:$AB$3,0))-100%))*$L$415</f>
        <v>185.57651200000001</v>
      </c>
      <c r="M673" s="286"/>
      <c r="N673" s="286"/>
      <c r="O673" s="311">
        <f t="shared" si="219"/>
        <v>60.287999999999997</v>
      </c>
      <c r="P673" s="311">
        <f t="shared" si="219"/>
        <v>125.28851200000001</v>
      </c>
      <c r="Q673" s="285"/>
      <c r="R673" s="278"/>
      <c r="S673" s="278"/>
      <c r="T673" s="278"/>
    </row>
    <row r="674" spans="1:20" s="305" customFormat="1" hidden="1" outlineLevel="1" x14ac:dyDescent="0.25">
      <c r="A674" s="344">
        <v>31.4</v>
      </c>
      <c r="B674" s="279" t="str">
        <f t="shared" si="215"/>
        <v>200x20PL</v>
      </c>
      <c r="C674" s="278" t="s">
        <v>1728</v>
      </c>
      <c r="D674" s="278"/>
      <c r="E674" s="278" t="s">
        <v>1860</v>
      </c>
      <c r="F674" s="278"/>
      <c r="G674" s="278" t="s">
        <v>15</v>
      </c>
      <c r="H674" s="328">
        <f t="shared" si="216"/>
        <v>0.43959999999999999</v>
      </c>
      <c r="I674" s="280">
        <f t="shared" si="217"/>
        <v>35.440552000000004</v>
      </c>
      <c r="J674" s="281">
        <f t="shared" si="218"/>
        <v>40.192627999999999</v>
      </c>
      <c r="K674" s="282">
        <f>IF(Notes!$B$9="Domestic",I674, IF(Notes!$B$9="Commercial",J674))*$K$415</f>
        <v>40.192627999999999</v>
      </c>
      <c r="L674" s="283">
        <f>(SUM(O674:Q674)+(K674+SUM(M674:Q674))*(INDEX($U$415:$AB$415,MATCH(Notes!$C$16,$U$3:$AB$3,0))-100%))*$L$415</f>
        <v>231.97064</v>
      </c>
      <c r="M674" s="286"/>
      <c r="N674" s="286"/>
      <c r="O674" s="311">
        <f t="shared" si="219"/>
        <v>75.36</v>
      </c>
      <c r="P674" s="311">
        <f t="shared" si="219"/>
        <v>156.61064000000002</v>
      </c>
      <c r="Q674" s="285"/>
      <c r="R674" s="278"/>
      <c r="S674" s="278"/>
      <c r="T674" s="278"/>
    </row>
    <row r="675" spans="1:20" s="305" customFormat="1" hidden="1" outlineLevel="1" x14ac:dyDescent="0.25">
      <c r="A675" s="344">
        <v>34.54</v>
      </c>
      <c r="B675" s="279" t="str">
        <f t="shared" si="215"/>
        <v>200x22PL</v>
      </c>
      <c r="C675" s="278" t="s">
        <v>1729</v>
      </c>
      <c r="D675" s="278"/>
      <c r="E675" s="278" t="s">
        <v>1860</v>
      </c>
      <c r="F675" s="278"/>
      <c r="G675" s="278" t="s">
        <v>15</v>
      </c>
      <c r="H675" s="328">
        <f t="shared" si="216"/>
        <v>0.48355999999999999</v>
      </c>
      <c r="I675" s="280">
        <f t="shared" si="217"/>
        <v>38.984607199999999</v>
      </c>
      <c r="J675" s="281">
        <f t="shared" si="218"/>
        <v>44.211890799999999</v>
      </c>
      <c r="K675" s="282">
        <f>IF(Notes!$B$9="Domestic",I675, IF(Notes!$B$9="Commercial",J675))*$K$415</f>
        <v>44.211890799999999</v>
      </c>
      <c r="L675" s="283">
        <f>(SUM(O675:Q675)+(K675+SUM(M675:Q675))*(INDEX($U$415:$AB$415,MATCH(Notes!$C$16,$U$3:$AB$3,0))-100%))*$L$415</f>
        <v>255.16770400000001</v>
      </c>
      <c r="M675" s="286"/>
      <c r="N675" s="286"/>
      <c r="O675" s="311">
        <f t="shared" si="219"/>
        <v>82.896000000000001</v>
      </c>
      <c r="P675" s="311">
        <f t="shared" si="219"/>
        <v>172.271704</v>
      </c>
      <c r="Q675" s="285"/>
      <c r="R675" s="278"/>
      <c r="S675" s="278"/>
      <c r="T675" s="278"/>
    </row>
    <row r="676" spans="1:20" s="305" customFormat="1" hidden="1" outlineLevel="1" x14ac:dyDescent="0.25">
      <c r="A676" s="344">
        <v>39.25</v>
      </c>
      <c r="B676" s="279" t="str">
        <f t="shared" si="215"/>
        <v>200x25PL</v>
      </c>
      <c r="C676" s="278" t="s">
        <v>1730</v>
      </c>
      <c r="D676" s="278"/>
      <c r="E676" s="278" t="s">
        <v>1860</v>
      </c>
      <c r="F676" s="278"/>
      <c r="G676" s="278" t="s">
        <v>15</v>
      </c>
      <c r="H676" s="328">
        <f t="shared" si="216"/>
        <v>0.54949999999999999</v>
      </c>
      <c r="I676" s="280">
        <f t="shared" si="217"/>
        <v>44.300690000000003</v>
      </c>
      <c r="J676" s="281">
        <f t="shared" si="218"/>
        <v>50.240785000000002</v>
      </c>
      <c r="K676" s="282">
        <f>IF(Notes!$B$9="Domestic",I676, IF(Notes!$B$9="Commercial",J676))*$K$415</f>
        <v>50.240785000000002</v>
      </c>
      <c r="L676" s="283">
        <f>(SUM(O676:Q676)+(K676+SUM(M676:Q676))*(INDEX($U$415:$AB$415,MATCH(Notes!$C$16,$U$3:$AB$3,0))-100%))*$L$415</f>
        <v>289.9633</v>
      </c>
      <c r="M676" s="286"/>
      <c r="N676" s="286"/>
      <c r="O676" s="311">
        <f t="shared" si="219"/>
        <v>94.2</v>
      </c>
      <c r="P676" s="311">
        <f t="shared" si="219"/>
        <v>195.76330000000002</v>
      </c>
      <c r="Q676" s="285"/>
      <c r="R676" s="278"/>
      <c r="S676" s="278"/>
      <c r="T676" s="278"/>
    </row>
    <row r="677" spans="1:20" s="305" customFormat="1" hidden="1" outlineLevel="1" x14ac:dyDescent="0.25">
      <c r="A677" s="344">
        <v>43.96</v>
      </c>
      <c r="B677" s="279" t="str">
        <f t="shared" si="215"/>
        <v>200x28PL</v>
      </c>
      <c r="C677" s="278" t="s">
        <v>1731</v>
      </c>
      <c r="D677" s="278"/>
      <c r="E677" s="278" t="s">
        <v>1860</v>
      </c>
      <c r="F677" s="278"/>
      <c r="G677" s="278" t="s">
        <v>15</v>
      </c>
      <c r="H677" s="328">
        <f t="shared" si="216"/>
        <v>0.6154400000000001</v>
      </c>
      <c r="I677" s="280">
        <f t="shared" si="217"/>
        <v>49.616772800000014</v>
      </c>
      <c r="J677" s="281">
        <f t="shared" si="218"/>
        <v>56.269679200000013</v>
      </c>
      <c r="K677" s="282">
        <f>IF(Notes!$B$9="Domestic",I677, IF(Notes!$B$9="Commercial",J677))*$K$415</f>
        <v>56.269679200000013</v>
      </c>
      <c r="L677" s="283">
        <f>(SUM(O677:Q677)+(K677+SUM(M677:Q677))*(INDEX($U$415:$AB$415,MATCH(Notes!$C$16,$U$3:$AB$3,0))-100%))*$L$415</f>
        <v>324.75889599999999</v>
      </c>
      <c r="M677" s="286"/>
      <c r="N677" s="286"/>
      <c r="O677" s="311">
        <f t="shared" si="219"/>
        <v>105.504</v>
      </c>
      <c r="P677" s="311">
        <f t="shared" si="219"/>
        <v>219.254896</v>
      </c>
      <c r="Q677" s="285"/>
      <c r="R677" s="278"/>
      <c r="S677" s="278"/>
      <c r="T677" s="278"/>
    </row>
    <row r="678" spans="1:20" s="305" customFormat="1" hidden="1" outlineLevel="1" x14ac:dyDescent="0.25">
      <c r="A678" s="344">
        <v>50.24</v>
      </c>
      <c r="B678" s="279" t="str">
        <f t="shared" si="215"/>
        <v>200x32PL</v>
      </c>
      <c r="C678" s="278" t="s">
        <v>1732</v>
      </c>
      <c r="D678" s="278"/>
      <c r="E678" s="278" t="s">
        <v>1860</v>
      </c>
      <c r="F678" s="278"/>
      <c r="G678" s="278" t="s">
        <v>15</v>
      </c>
      <c r="H678" s="328">
        <f t="shared" si="216"/>
        <v>0.70335999999999999</v>
      </c>
      <c r="I678" s="280">
        <f t="shared" si="217"/>
        <v>56.704883200000005</v>
      </c>
      <c r="J678" s="281">
        <f t="shared" si="218"/>
        <v>64.308204799999999</v>
      </c>
      <c r="K678" s="282">
        <f>IF(Notes!$B$9="Domestic",I678, IF(Notes!$B$9="Commercial",J678))*$K$415</f>
        <v>64.308204799999999</v>
      </c>
      <c r="L678" s="283">
        <f>(SUM(O678:Q678)+(K678+SUM(M678:Q678))*(INDEX($U$415:$AB$415,MATCH(Notes!$C$16,$U$3:$AB$3,0))-100%))*$L$415</f>
        <v>371.15302400000002</v>
      </c>
      <c r="M678" s="286"/>
      <c r="N678" s="286"/>
      <c r="O678" s="311">
        <f t="shared" si="219"/>
        <v>120.57599999999999</v>
      </c>
      <c r="P678" s="311">
        <f t="shared" si="219"/>
        <v>250.57702400000002</v>
      </c>
      <c r="Q678" s="285"/>
      <c r="R678" s="278"/>
      <c r="S678" s="278"/>
      <c r="T678" s="278"/>
    </row>
    <row r="679" spans="1:20" s="305" customFormat="1" hidden="1" outlineLevel="1" x14ac:dyDescent="0.25">
      <c r="A679" s="344">
        <v>56.52000000000001</v>
      </c>
      <c r="B679" s="279" t="str">
        <f t="shared" si="215"/>
        <v>200x36PL</v>
      </c>
      <c r="C679" s="278" t="s">
        <v>1733</v>
      </c>
      <c r="D679" s="278"/>
      <c r="E679" s="278" t="s">
        <v>1860</v>
      </c>
      <c r="F679" s="278"/>
      <c r="G679" s="278" t="s">
        <v>15</v>
      </c>
      <c r="H679" s="328">
        <f t="shared" si="216"/>
        <v>0.79128000000000021</v>
      </c>
      <c r="I679" s="280">
        <f t="shared" si="217"/>
        <v>63.792993600000017</v>
      </c>
      <c r="J679" s="281">
        <f t="shared" si="218"/>
        <v>72.346730400000027</v>
      </c>
      <c r="K679" s="282">
        <f>IF(Notes!$B$9="Domestic",I679, IF(Notes!$B$9="Commercial",J679))*$K$415</f>
        <v>72.346730400000027</v>
      </c>
      <c r="L679" s="283">
        <f>(SUM(O679:Q679)+(K679+SUM(M679:Q679))*(INDEX($U$415:$AB$415,MATCH(Notes!$C$16,$U$3:$AB$3,0))-100%))*$L$415</f>
        <v>417.5471520000001</v>
      </c>
      <c r="M679" s="286"/>
      <c r="N679" s="286"/>
      <c r="O679" s="311">
        <f t="shared" si="219"/>
        <v>135.64800000000002</v>
      </c>
      <c r="P679" s="311">
        <f t="shared" si="219"/>
        <v>281.89915200000007</v>
      </c>
      <c r="Q679" s="285"/>
      <c r="R679" s="278"/>
      <c r="S679" s="278"/>
      <c r="T679" s="278"/>
    </row>
    <row r="680" spans="1:20" s="305" customFormat="1" hidden="1" outlineLevel="1" x14ac:dyDescent="0.25">
      <c r="A680" s="344">
        <v>62.8</v>
      </c>
      <c r="B680" s="279" t="str">
        <f t="shared" si="215"/>
        <v>200x40PL</v>
      </c>
      <c r="C680" s="278" t="s">
        <v>1734</v>
      </c>
      <c r="D680" s="278"/>
      <c r="E680" s="278" t="s">
        <v>1860</v>
      </c>
      <c r="F680" s="278"/>
      <c r="G680" s="278" t="s">
        <v>15</v>
      </c>
      <c r="H680" s="328">
        <f t="shared" si="216"/>
        <v>0.87919999999999998</v>
      </c>
      <c r="I680" s="280">
        <f t="shared" si="217"/>
        <v>70.881104000000008</v>
      </c>
      <c r="J680" s="281">
        <f t="shared" si="218"/>
        <v>80.385255999999998</v>
      </c>
      <c r="K680" s="282">
        <f>IF(Notes!$B$9="Domestic",I680, IF(Notes!$B$9="Commercial",J680))*$K$415</f>
        <v>80.385255999999998</v>
      </c>
      <c r="L680" s="283">
        <f>(SUM(O680:Q680)+(K680+SUM(M680:Q680))*(INDEX($U$415:$AB$415,MATCH(Notes!$C$16,$U$3:$AB$3,0))-100%))*$L$415</f>
        <v>463.94128000000001</v>
      </c>
      <c r="M680" s="286"/>
      <c r="N680" s="286"/>
      <c r="O680" s="311">
        <f t="shared" si="219"/>
        <v>150.72</v>
      </c>
      <c r="P680" s="311">
        <f t="shared" si="219"/>
        <v>313.22128000000004</v>
      </c>
      <c r="Q680" s="285"/>
      <c r="R680" s="278"/>
      <c r="S680" s="278"/>
      <c r="T680" s="278"/>
    </row>
    <row r="681" spans="1:20" s="305" customFormat="1" hidden="1" outlineLevel="1" x14ac:dyDescent="0.25">
      <c r="A681" s="344">
        <v>70.650000000000006</v>
      </c>
      <c r="B681" s="279" t="str">
        <f t="shared" si="215"/>
        <v>200x45PL</v>
      </c>
      <c r="C681" s="278" t="s">
        <v>817</v>
      </c>
      <c r="D681" s="278"/>
      <c r="E681" s="278" t="s">
        <v>1860</v>
      </c>
      <c r="F681" s="278"/>
      <c r="G681" s="278" t="s">
        <v>15</v>
      </c>
      <c r="H681" s="328">
        <f t="shared" si="216"/>
        <v>0.98910000000000009</v>
      </c>
      <c r="I681" s="280">
        <f t="shared" si="217"/>
        <v>79.741242000000014</v>
      </c>
      <c r="J681" s="281">
        <f t="shared" si="218"/>
        <v>90.433413000000016</v>
      </c>
      <c r="K681" s="282">
        <f>IF(Notes!$B$9="Domestic",I681, IF(Notes!$B$9="Commercial",J681))*$K$415</f>
        <v>90.433413000000016</v>
      </c>
      <c r="L681" s="283">
        <f>(SUM(O681:Q681)+(K681+SUM(M681:Q681))*(INDEX($U$415:$AB$415,MATCH(Notes!$C$16,$U$3:$AB$3,0))-100%))*$L$415</f>
        <v>521.93394000000012</v>
      </c>
      <c r="M681" s="286"/>
      <c r="N681" s="286"/>
      <c r="O681" s="311">
        <f t="shared" si="219"/>
        <v>169.56</v>
      </c>
      <c r="P681" s="311">
        <f t="shared" si="219"/>
        <v>352.37394000000006</v>
      </c>
      <c r="Q681" s="285"/>
      <c r="R681" s="278"/>
      <c r="S681" s="278"/>
      <c r="T681" s="278"/>
    </row>
    <row r="682" spans="1:20" s="305" customFormat="1" hidden="1" outlineLevel="1" x14ac:dyDescent="0.25">
      <c r="A682" s="344">
        <v>78.5</v>
      </c>
      <c r="B682" s="279" t="str">
        <f t="shared" si="215"/>
        <v>200x50PL</v>
      </c>
      <c r="C682" s="278" t="s">
        <v>833</v>
      </c>
      <c r="D682" s="278"/>
      <c r="E682" s="278" t="s">
        <v>1860</v>
      </c>
      <c r="F682" s="278"/>
      <c r="G682" s="278" t="s">
        <v>15</v>
      </c>
      <c r="H682" s="328">
        <f t="shared" si="216"/>
        <v>1.099</v>
      </c>
      <c r="I682" s="280">
        <f t="shared" si="217"/>
        <v>88.601380000000006</v>
      </c>
      <c r="J682" s="281">
        <f t="shared" si="218"/>
        <v>100.48157</v>
      </c>
      <c r="K682" s="282">
        <f>IF(Notes!$B$9="Domestic",I682, IF(Notes!$B$9="Commercial",J682))*$K$415</f>
        <v>100.48157</v>
      </c>
      <c r="L682" s="283">
        <f>(SUM(O682:Q682)+(K682+SUM(M682:Q682))*(INDEX($U$415:$AB$415,MATCH(Notes!$C$16,$U$3:$AB$3,0))-100%))*$L$415</f>
        <v>579.92660000000001</v>
      </c>
      <c r="M682" s="286"/>
      <c r="N682" s="286"/>
      <c r="O682" s="311">
        <f t="shared" si="219"/>
        <v>188.4</v>
      </c>
      <c r="P682" s="311">
        <f t="shared" si="219"/>
        <v>391.52660000000003</v>
      </c>
      <c r="Q682" s="285"/>
      <c r="R682" s="278"/>
      <c r="S682" s="278"/>
      <c r="T682" s="278"/>
    </row>
    <row r="683" spans="1:20" s="305" customFormat="1" hidden="1" outlineLevel="1" x14ac:dyDescent="0.25">
      <c r="A683" s="344">
        <v>86.35</v>
      </c>
      <c r="B683" s="279" t="str">
        <f t="shared" si="215"/>
        <v>200x55PL</v>
      </c>
      <c r="C683" s="278" t="s">
        <v>1735</v>
      </c>
      <c r="D683" s="278"/>
      <c r="E683" s="278" t="s">
        <v>1860</v>
      </c>
      <c r="F683" s="278"/>
      <c r="G683" s="278" t="s">
        <v>15</v>
      </c>
      <c r="H683" s="328">
        <f t="shared" si="216"/>
        <v>1.2088999999999999</v>
      </c>
      <c r="I683" s="280">
        <f t="shared" si="217"/>
        <v>97.461517999999998</v>
      </c>
      <c r="J683" s="281">
        <f t="shared" si="218"/>
        <v>110.52972699999999</v>
      </c>
      <c r="K683" s="282">
        <f>IF(Notes!$B$9="Domestic",I683, IF(Notes!$B$9="Commercial",J683))*$K$415</f>
        <v>110.52972699999999</v>
      </c>
      <c r="L683" s="283">
        <f>(SUM(O683:Q683)+(K683+SUM(M683:Q683))*(INDEX($U$415:$AB$415,MATCH(Notes!$C$16,$U$3:$AB$3,0))-100%))*$L$415</f>
        <v>637.91926000000001</v>
      </c>
      <c r="M683" s="286"/>
      <c r="N683" s="286"/>
      <c r="O683" s="311">
        <f t="shared" si="219"/>
        <v>207.24</v>
      </c>
      <c r="P683" s="311">
        <f t="shared" si="219"/>
        <v>430.67926</v>
      </c>
      <c r="Q683" s="285"/>
      <c r="R683" s="278"/>
      <c r="S683" s="278"/>
      <c r="T683" s="278"/>
    </row>
    <row r="684" spans="1:20" s="305" customFormat="1" hidden="1" outlineLevel="1" x14ac:dyDescent="0.25">
      <c r="A684" s="344">
        <v>94.2</v>
      </c>
      <c r="B684" s="279" t="str">
        <f t="shared" si="215"/>
        <v>200x60PL</v>
      </c>
      <c r="C684" s="278" t="s">
        <v>1736</v>
      </c>
      <c r="D684" s="278"/>
      <c r="E684" s="278" t="s">
        <v>1860</v>
      </c>
      <c r="F684" s="278"/>
      <c r="G684" s="278" t="s">
        <v>15</v>
      </c>
      <c r="H684" s="328">
        <f t="shared" si="216"/>
        <v>1.3188</v>
      </c>
      <c r="I684" s="280">
        <f t="shared" si="217"/>
        <v>106.321656</v>
      </c>
      <c r="J684" s="281">
        <f t="shared" si="218"/>
        <v>120.57788400000001</v>
      </c>
      <c r="K684" s="282">
        <f>IF(Notes!$B$9="Domestic",I684, IF(Notes!$B$9="Commercial",J684))*$K$415</f>
        <v>120.57788400000001</v>
      </c>
      <c r="L684" s="283">
        <f>(SUM(O684:Q684)+(K684+SUM(M684:Q684))*(INDEX($U$415:$AB$415,MATCH(Notes!$C$16,$U$3:$AB$3,0))-100%))*$L$415</f>
        <v>695.91192000000001</v>
      </c>
      <c r="M684" s="286"/>
      <c r="N684" s="286"/>
      <c r="O684" s="311">
        <f t="shared" si="219"/>
        <v>226.08</v>
      </c>
      <c r="P684" s="311">
        <f t="shared" si="219"/>
        <v>469.83192000000003</v>
      </c>
      <c r="Q684" s="285"/>
      <c r="R684" s="278"/>
      <c r="S684" s="278"/>
      <c r="T684" s="278"/>
    </row>
    <row r="685" spans="1:20" s="305" customFormat="1" hidden="1" outlineLevel="1" x14ac:dyDescent="0.25">
      <c r="A685" s="344">
        <v>102</v>
      </c>
      <c r="B685" s="279" t="str">
        <f t="shared" si="215"/>
        <v>200x65PL</v>
      </c>
      <c r="C685" s="278" t="s">
        <v>1737</v>
      </c>
      <c r="D685" s="278"/>
      <c r="E685" s="278" t="s">
        <v>1860</v>
      </c>
      <c r="F685" s="278"/>
      <c r="G685" s="278" t="s">
        <v>15</v>
      </c>
      <c r="H685" s="328">
        <f t="shared" si="216"/>
        <v>1.4279999999999999</v>
      </c>
      <c r="I685" s="280">
        <f t="shared" si="217"/>
        <v>115.12536</v>
      </c>
      <c r="J685" s="281">
        <f t="shared" si="218"/>
        <v>130.56204</v>
      </c>
      <c r="K685" s="282">
        <f>IF(Notes!$B$9="Domestic",I685, IF(Notes!$B$9="Commercial",J685))*$K$415</f>
        <v>130.56204</v>
      </c>
      <c r="L685" s="283">
        <f>(SUM(O685:Q685)+(K685+SUM(M685:Q685))*(INDEX($U$415:$AB$415,MATCH(Notes!$C$16,$U$3:$AB$3,0))-100%))*$L$415</f>
        <v>753.53520000000003</v>
      </c>
      <c r="M685" s="286"/>
      <c r="N685" s="286"/>
      <c r="O685" s="311">
        <f t="shared" si="219"/>
        <v>244.8</v>
      </c>
      <c r="P685" s="311">
        <f t="shared" si="219"/>
        <v>508.73520000000002</v>
      </c>
      <c r="Q685" s="285"/>
      <c r="R685" s="278"/>
      <c r="S685" s="278"/>
      <c r="T685" s="278"/>
    </row>
    <row r="686" spans="1:20" s="305" customFormat="1" hidden="1" outlineLevel="1" x14ac:dyDescent="0.25">
      <c r="A686" s="344">
        <v>109.9</v>
      </c>
      <c r="B686" s="279" t="str">
        <f t="shared" si="215"/>
        <v>200x70PL</v>
      </c>
      <c r="C686" s="278" t="s">
        <v>1738</v>
      </c>
      <c r="D686" s="278"/>
      <c r="E686" s="278" t="s">
        <v>1860</v>
      </c>
      <c r="F686" s="278"/>
      <c r="G686" s="278" t="s">
        <v>15</v>
      </c>
      <c r="H686" s="328">
        <f t="shared" si="216"/>
        <v>1.5386000000000002</v>
      </c>
      <c r="I686" s="280">
        <f t="shared" si="217"/>
        <v>124.04193200000002</v>
      </c>
      <c r="J686" s="281">
        <f t="shared" si="218"/>
        <v>140.67419800000002</v>
      </c>
      <c r="K686" s="282">
        <f>IF(Notes!$B$9="Domestic",I686, IF(Notes!$B$9="Commercial",J686))*$K$415</f>
        <v>140.67419800000002</v>
      </c>
      <c r="L686" s="283">
        <f>(SUM(O686:Q686)+(K686+SUM(M686:Q686))*(INDEX($U$415:$AB$415,MATCH(Notes!$C$16,$U$3:$AB$3,0))-100%))*$L$415</f>
        <v>811.89724000000012</v>
      </c>
      <c r="M686" s="286"/>
      <c r="N686" s="286"/>
      <c r="O686" s="311">
        <f t="shared" si="219"/>
        <v>263.76</v>
      </c>
      <c r="P686" s="311">
        <f t="shared" si="219"/>
        <v>548.13724000000013</v>
      </c>
      <c r="Q686" s="285"/>
      <c r="R686" s="278"/>
      <c r="S686" s="278"/>
      <c r="T686" s="278"/>
    </row>
    <row r="687" spans="1:20" s="305" customFormat="1" hidden="1" outlineLevel="1" x14ac:dyDescent="0.25">
      <c r="A687" s="344">
        <v>117.75</v>
      </c>
      <c r="B687" s="279" t="str">
        <f t="shared" si="215"/>
        <v>200x75PL</v>
      </c>
      <c r="C687" s="278" t="s">
        <v>835</v>
      </c>
      <c r="D687" s="278"/>
      <c r="E687" s="278" t="s">
        <v>1860</v>
      </c>
      <c r="F687" s="278"/>
      <c r="G687" s="278" t="s">
        <v>15</v>
      </c>
      <c r="H687" s="328">
        <f t="shared" si="216"/>
        <v>1.6485000000000001</v>
      </c>
      <c r="I687" s="280">
        <f t="shared" si="217"/>
        <v>132.90207000000001</v>
      </c>
      <c r="J687" s="281">
        <f t="shared" si="218"/>
        <v>150.72235500000002</v>
      </c>
      <c r="K687" s="282">
        <f>IF(Notes!$B$9="Domestic",I687, IF(Notes!$B$9="Commercial",J687))*$K$415</f>
        <v>150.72235500000002</v>
      </c>
      <c r="L687" s="283">
        <f>(SUM(O687:Q687)+(K687+SUM(M687:Q687))*(INDEX($U$415:$AB$415,MATCH(Notes!$C$16,$U$3:$AB$3,0))-100%))*$L$415</f>
        <v>869.88990000000001</v>
      </c>
      <c r="M687" s="286"/>
      <c r="N687" s="286"/>
      <c r="O687" s="311">
        <f t="shared" si="219"/>
        <v>282.60000000000002</v>
      </c>
      <c r="P687" s="311">
        <f t="shared" si="219"/>
        <v>587.28989999999999</v>
      </c>
      <c r="Q687" s="285"/>
      <c r="R687" s="278"/>
      <c r="S687" s="278"/>
      <c r="T687" s="278"/>
    </row>
    <row r="688" spans="1:20" s="305" customFormat="1" hidden="1" outlineLevel="1" x14ac:dyDescent="0.25">
      <c r="A688" s="344">
        <v>125.6</v>
      </c>
      <c r="B688" s="279" t="str">
        <f t="shared" si="215"/>
        <v>200x80PL</v>
      </c>
      <c r="C688" s="278" t="s">
        <v>1739</v>
      </c>
      <c r="D688" s="278"/>
      <c r="E688" s="278" t="s">
        <v>1860</v>
      </c>
      <c r="F688" s="278"/>
      <c r="G688" s="278" t="s">
        <v>15</v>
      </c>
      <c r="H688" s="328">
        <f t="shared" si="216"/>
        <v>1.7584</v>
      </c>
      <c r="I688" s="280">
        <f t="shared" si="217"/>
        <v>141.76220800000002</v>
      </c>
      <c r="J688" s="281">
        <f t="shared" si="218"/>
        <v>160.770512</v>
      </c>
      <c r="K688" s="282">
        <f>IF(Notes!$B$9="Domestic",I688, IF(Notes!$B$9="Commercial",J688))*$K$415</f>
        <v>160.770512</v>
      </c>
      <c r="L688" s="283">
        <f>(SUM(O688:Q688)+(K688+SUM(M688:Q688))*(INDEX($U$415:$AB$415,MATCH(Notes!$C$16,$U$3:$AB$3,0))-100%))*$L$415</f>
        <v>927.88256000000001</v>
      </c>
      <c r="M688" s="286"/>
      <c r="N688" s="286"/>
      <c r="O688" s="311">
        <f t="shared" si="219"/>
        <v>301.44</v>
      </c>
      <c r="P688" s="311">
        <f t="shared" si="219"/>
        <v>626.44256000000007</v>
      </c>
      <c r="Q688" s="285"/>
      <c r="R688" s="278"/>
      <c r="S688" s="278"/>
      <c r="T688" s="278"/>
    </row>
    <row r="689" spans="1:20" s="305" customFormat="1" hidden="1" outlineLevel="1" x14ac:dyDescent="0.25">
      <c r="A689" s="344">
        <v>141.30000000000001</v>
      </c>
      <c r="B689" s="279" t="str">
        <f t="shared" si="215"/>
        <v>200x90PL</v>
      </c>
      <c r="C689" s="278" t="s">
        <v>1740</v>
      </c>
      <c r="D689" s="278"/>
      <c r="E689" s="278" t="s">
        <v>1860</v>
      </c>
      <c r="F689" s="278"/>
      <c r="G689" s="278" t="s">
        <v>15</v>
      </c>
      <c r="H689" s="328">
        <f t="shared" si="216"/>
        <v>1.9782000000000002</v>
      </c>
      <c r="I689" s="280">
        <f t="shared" si="217"/>
        <v>159.48248400000003</v>
      </c>
      <c r="J689" s="281">
        <f t="shared" si="218"/>
        <v>180.86682600000003</v>
      </c>
      <c r="K689" s="282">
        <f>IF(Notes!$B$9="Domestic",I689, IF(Notes!$B$9="Commercial",J689))*$K$415</f>
        <v>180.86682600000003</v>
      </c>
      <c r="L689" s="283">
        <f>(SUM(O689:Q689)+(K689+SUM(M689:Q689))*(INDEX($U$415:$AB$415,MATCH(Notes!$C$16,$U$3:$AB$3,0))-100%))*$L$415</f>
        <v>1043.8678800000002</v>
      </c>
      <c r="M689" s="286"/>
      <c r="N689" s="286"/>
      <c r="O689" s="311">
        <f t="shared" si="219"/>
        <v>339.12</v>
      </c>
      <c r="P689" s="311">
        <f t="shared" si="219"/>
        <v>704.74788000000012</v>
      </c>
      <c r="Q689" s="285"/>
      <c r="R689" s="278"/>
      <c r="S689" s="278"/>
      <c r="T689" s="278"/>
    </row>
    <row r="690" spans="1:20" s="305" customFormat="1" hidden="1" outlineLevel="1" x14ac:dyDescent="0.25">
      <c r="A690" s="344">
        <v>157</v>
      </c>
      <c r="B690" s="279" t="str">
        <f t="shared" si="215"/>
        <v>200x100PL</v>
      </c>
      <c r="C690" s="278" t="s">
        <v>1741</v>
      </c>
      <c r="D690" s="278"/>
      <c r="E690" s="278" t="s">
        <v>1860</v>
      </c>
      <c r="F690" s="278"/>
      <c r="G690" s="278" t="s">
        <v>15</v>
      </c>
      <c r="H690" s="328">
        <f t="shared" si="216"/>
        <v>2.198</v>
      </c>
      <c r="I690" s="280">
        <f t="shared" si="217"/>
        <v>177.20276000000001</v>
      </c>
      <c r="J690" s="281">
        <f t="shared" si="218"/>
        <v>200.96314000000001</v>
      </c>
      <c r="K690" s="282">
        <f>IF(Notes!$B$9="Domestic",I690, IF(Notes!$B$9="Commercial",J690))*$K$415</f>
        <v>200.96314000000001</v>
      </c>
      <c r="L690" s="283">
        <f>(SUM(O690:Q690)+(K690+SUM(M690:Q690))*(INDEX($U$415:$AB$415,MATCH(Notes!$C$16,$U$3:$AB$3,0))-100%))*$L$415</f>
        <v>1159.8532</v>
      </c>
      <c r="M690" s="286"/>
      <c r="N690" s="286"/>
      <c r="O690" s="311">
        <f t="shared" si="219"/>
        <v>376.8</v>
      </c>
      <c r="P690" s="311">
        <f t="shared" si="219"/>
        <v>783.05320000000006</v>
      </c>
      <c r="Q690" s="285"/>
      <c r="R690" s="278"/>
      <c r="S690" s="278"/>
      <c r="T690" s="278"/>
    </row>
    <row r="691" spans="1:20" s="305" customFormat="1" hidden="1" outlineLevel="1" x14ac:dyDescent="0.25">
      <c r="A691" s="344">
        <v>7.0650000000000004</v>
      </c>
      <c r="B691" s="279" t="str">
        <f t="shared" si="215"/>
        <v>300x3PL</v>
      </c>
      <c r="C691" s="278" t="s">
        <v>1742</v>
      </c>
      <c r="D691" s="278"/>
      <c r="E691" s="278" t="s">
        <v>1860</v>
      </c>
      <c r="F691" s="278"/>
      <c r="G691" s="278" t="s">
        <v>15</v>
      </c>
      <c r="H691" s="328">
        <f t="shared" si="216"/>
        <v>9.8910000000000012E-2</v>
      </c>
      <c r="I691" s="280">
        <f t="shared" si="217"/>
        <v>7.9741242000000012</v>
      </c>
      <c r="J691" s="281">
        <f t="shared" si="218"/>
        <v>9.0433413000000016</v>
      </c>
      <c r="K691" s="282">
        <f>IF(Notes!$B$9="Domestic",I691, IF(Notes!$B$9="Commercial",J691))*$K$415</f>
        <v>9.0433413000000016</v>
      </c>
      <c r="L691" s="283">
        <f>(SUM(O691:Q691)+(K691+SUM(M691:Q691))*(INDEX($U$415:$AB$415,MATCH(Notes!$C$16,$U$3:$AB$3,0))-100%))*$L$415</f>
        <v>52.193394000000012</v>
      </c>
      <c r="M691" s="286"/>
      <c r="N691" s="286"/>
      <c r="O691" s="311">
        <f t="shared" si="219"/>
        <v>16.956</v>
      </c>
      <c r="P691" s="311">
        <f t="shared" si="219"/>
        <v>35.237394000000009</v>
      </c>
      <c r="Q691" s="285"/>
      <c r="R691" s="278"/>
      <c r="S691" s="278"/>
      <c r="T691" s="278"/>
    </row>
    <row r="692" spans="1:20" s="305" customFormat="1" hidden="1" outlineLevel="1" x14ac:dyDescent="0.25">
      <c r="A692" s="344">
        <v>9.42</v>
      </c>
      <c r="B692" s="279" t="str">
        <f t="shared" si="215"/>
        <v>300x4PL</v>
      </c>
      <c r="C692" s="278" t="s">
        <v>1743</v>
      </c>
      <c r="D692" s="278"/>
      <c r="E692" s="278" t="s">
        <v>1860</v>
      </c>
      <c r="F692" s="278"/>
      <c r="G692" s="278" t="s">
        <v>15</v>
      </c>
      <c r="H692" s="328">
        <f t="shared" si="216"/>
        <v>0.13188</v>
      </c>
      <c r="I692" s="280">
        <f t="shared" si="217"/>
        <v>10.6321656</v>
      </c>
      <c r="J692" s="281">
        <f t="shared" si="218"/>
        <v>12.057788400000002</v>
      </c>
      <c r="K692" s="282">
        <f>IF(Notes!$B$9="Domestic",I692, IF(Notes!$B$9="Commercial",J692))*$K$415</f>
        <v>12.057788400000002</v>
      </c>
      <c r="L692" s="283">
        <f>(SUM(O692:Q692)+(K692+SUM(M692:Q692))*(INDEX($U$415:$AB$415,MATCH(Notes!$C$16,$U$3:$AB$3,0))-100%))*$L$415</f>
        <v>69.591192000000007</v>
      </c>
      <c r="M692" s="286"/>
      <c r="N692" s="286"/>
      <c r="O692" s="311">
        <f t="shared" si="219"/>
        <v>22.608000000000001</v>
      </c>
      <c r="P692" s="311">
        <f t="shared" si="219"/>
        <v>46.983192000000003</v>
      </c>
      <c r="Q692" s="285"/>
      <c r="R692" s="278"/>
      <c r="S692" s="278"/>
      <c r="T692" s="278"/>
    </row>
    <row r="693" spans="1:20" s="305" customFormat="1" hidden="1" outlineLevel="1" x14ac:dyDescent="0.25">
      <c r="A693" s="344">
        <v>11.775</v>
      </c>
      <c r="B693" s="279" t="str">
        <f t="shared" si="215"/>
        <v>300x5PL</v>
      </c>
      <c r="C693" s="278" t="s">
        <v>1744</v>
      </c>
      <c r="D693" s="278"/>
      <c r="E693" s="278" t="s">
        <v>1860</v>
      </c>
      <c r="F693" s="278"/>
      <c r="G693" s="278" t="s">
        <v>15</v>
      </c>
      <c r="H693" s="328">
        <f t="shared" si="216"/>
        <v>0.16485</v>
      </c>
      <c r="I693" s="280">
        <f t="shared" si="217"/>
        <v>13.290207000000001</v>
      </c>
      <c r="J693" s="281">
        <f t="shared" si="218"/>
        <v>15.072235500000001</v>
      </c>
      <c r="K693" s="282">
        <f>IF(Notes!$B$9="Domestic",I693, IF(Notes!$B$9="Commercial",J693))*$K$415</f>
        <v>15.072235500000001</v>
      </c>
      <c r="L693" s="283">
        <f>(SUM(O693:Q693)+(K693+SUM(M693:Q693))*(INDEX($U$415:$AB$415,MATCH(Notes!$C$16,$U$3:$AB$3,0))-100%))*$L$415</f>
        <v>86.988990000000001</v>
      </c>
      <c r="M693" s="286"/>
      <c r="N693" s="286"/>
      <c r="O693" s="311">
        <f t="shared" si="219"/>
        <v>28.26</v>
      </c>
      <c r="P693" s="311">
        <f t="shared" si="219"/>
        <v>58.728990000000003</v>
      </c>
      <c r="Q693" s="285"/>
      <c r="R693" s="278"/>
      <c r="S693" s="278"/>
      <c r="T693" s="278"/>
    </row>
    <row r="694" spans="1:20" s="305" customFormat="1" hidden="1" outlineLevel="1" x14ac:dyDescent="0.25">
      <c r="A694" s="344">
        <v>14.13</v>
      </c>
      <c r="B694" s="279" t="str">
        <f t="shared" si="215"/>
        <v>300x6PL</v>
      </c>
      <c r="C694" s="278" t="s">
        <v>1745</v>
      </c>
      <c r="D694" s="278"/>
      <c r="E694" s="278" t="s">
        <v>1860</v>
      </c>
      <c r="F694" s="278"/>
      <c r="G694" s="278" t="s">
        <v>15</v>
      </c>
      <c r="H694" s="328">
        <f t="shared" si="216"/>
        <v>0.19782000000000002</v>
      </c>
      <c r="I694" s="280">
        <f t="shared" si="217"/>
        <v>15.948248400000002</v>
      </c>
      <c r="J694" s="281">
        <f t="shared" si="218"/>
        <v>18.086682600000003</v>
      </c>
      <c r="K694" s="282">
        <f>IF(Notes!$B$9="Domestic",I694, IF(Notes!$B$9="Commercial",J694))*$K$415</f>
        <v>18.086682600000003</v>
      </c>
      <c r="L694" s="283">
        <f>(SUM(O694:Q694)+(K694+SUM(M694:Q694))*(INDEX($U$415:$AB$415,MATCH(Notes!$C$16,$U$3:$AB$3,0))-100%))*$L$415</f>
        <v>104.38678800000002</v>
      </c>
      <c r="M694" s="286"/>
      <c r="N694" s="286"/>
      <c r="O694" s="311">
        <f t="shared" si="219"/>
        <v>33.911999999999999</v>
      </c>
      <c r="P694" s="311">
        <f t="shared" si="219"/>
        <v>70.474788000000018</v>
      </c>
      <c r="Q694" s="285"/>
      <c r="R694" s="278"/>
      <c r="S694" s="278"/>
      <c r="T694" s="278"/>
    </row>
    <row r="695" spans="1:20" s="305" customFormat="1" hidden="1" outlineLevel="1" x14ac:dyDescent="0.25">
      <c r="A695" s="344">
        <v>18.84</v>
      </c>
      <c r="B695" s="279" t="str">
        <f t="shared" si="215"/>
        <v>300x8PL</v>
      </c>
      <c r="C695" s="278" t="s">
        <v>1746</v>
      </c>
      <c r="D695" s="278"/>
      <c r="E695" s="278" t="s">
        <v>1860</v>
      </c>
      <c r="F695" s="278"/>
      <c r="G695" s="278" t="s">
        <v>15</v>
      </c>
      <c r="H695" s="328">
        <f t="shared" si="216"/>
        <v>0.26375999999999999</v>
      </c>
      <c r="I695" s="280">
        <f t="shared" si="217"/>
        <v>21.264331200000001</v>
      </c>
      <c r="J695" s="281">
        <f t="shared" si="218"/>
        <v>24.115576800000003</v>
      </c>
      <c r="K695" s="282">
        <f>IF(Notes!$B$9="Domestic",I695, IF(Notes!$B$9="Commercial",J695))*$K$415</f>
        <v>24.115576800000003</v>
      </c>
      <c r="L695" s="283">
        <f>(SUM(O695:Q695)+(K695+SUM(M695:Q695))*(INDEX($U$415:$AB$415,MATCH(Notes!$C$16,$U$3:$AB$3,0))-100%))*$L$415</f>
        <v>139.18238400000001</v>
      </c>
      <c r="M695" s="286"/>
      <c r="N695" s="286"/>
      <c r="O695" s="311">
        <f t="shared" si="219"/>
        <v>45.216000000000001</v>
      </c>
      <c r="P695" s="311">
        <f t="shared" si="219"/>
        <v>93.966384000000005</v>
      </c>
      <c r="Q695" s="285"/>
      <c r="R695" s="278"/>
      <c r="S695" s="278"/>
      <c r="T695" s="278"/>
    </row>
    <row r="696" spans="1:20" s="305" customFormat="1" hidden="1" outlineLevel="1" x14ac:dyDescent="0.25">
      <c r="A696" s="344">
        <v>23.55</v>
      </c>
      <c r="B696" s="279" t="str">
        <f t="shared" si="215"/>
        <v>300x10PL</v>
      </c>
      <c r="C696" s="278" t="s">
        <v>1747</v>
      </c>
      <c r="D696" s="278"/>
      <c r="E696" s="278" t="s">
        <v>1860</v>
      </c>
      <c r="F696" s="278"/>
      <c r="G696" s="278" t="s">
        <v>15</v>
      </c>
      <c r="H696" s="328">
        <f t="shared" si="216"/>
        <v>0.32969999999999999</v>
      </c>
      <c r="I696" s="280">
        <f t="shared" si="217"/>
        <v>26.580414000000001</v>
      </c>
      <c r="J696" s="281">
        <f t="shared" si="218"/>
        <v>30.144471000000003</v>
      </c>
      <c r="K696" s="282">
        <f>IF(Notes!$B$9="Domestic",I696, IF(Notes!$B$9="Commercial",J696))*$K$415</f>
        <v>30.144471000000003</v>
      </c>
      <c r="L696" s="283">
        <f>(SUM(O696:Q696)+(K696+SUM(M696:Q696))*(INDEX($U$415:$AB$415,MATCH(Notes!$C$16,$U$3:$AB$3,0))-100%))*$L$415</f>
        <v>173.97798</v>
      </c>
      <c r="M696" s="286"/>
      <c r="N696" s="286"/>
      <c r="O696" s="311">
        <f t="shared" si="219"/>
        <v>56.52</v>
      </c>
      <c r="P696" s="311">
        <f t="shared" si="219"/>
        <v>117.45798000000001</v>
      </c>
      <c r="Q696" s="285"/>
      <c r="R696" s="278"/>
      <c r="S696" s="278"/>
      <c r="T696" s="278"/>
    </row>
    <row r="697" spans="1:20" s="305" customFormat="1" hidden="1" outlineLevel="1" x14ac:dyDescent="0.25">
      <c r="A697" s="344">
        <v>28.26</v>
      </c>
      <c r="B697" s="279" t="str">
        <f t="shared" si="215"/>
        <v>300x12PL</v>
      </c>
      <c r="C697" s="278" t="s">
        <v>1748</v>
      </c>
      <c r="D697" s="278"/>
      <c r="E697" s="278" t="s">
        <v>1860</v>
      </c>
      <c r="F697" s="278"/>
      <c r="G697" s="278" t="s">
        <v>15</v>
      </c>
      <c r="H697" s="328">
        <f t="shared" si="216"/>
        <v>0.39564000000000005</v>
      </c>
      <c r="I697" s="280">
        <f t="shared" si="217"/>
        <v>31.896496800000005</v>
      </c>
      <c r="J697" s="281">
        <f t="shared" si="218"/>
        <v>36.173365200000006</v>
      </c>
      <c r="K697" s="282">
        <f>IF(Notes!$B$9="Domestic",I697, IF(Notes!$B$9="Commercial",J697))*$K$415</f>
        <v>36.173365200000006</v>
      </c>
      <c r="L697" s="283">
        <f>(SUM(O697:Q697)+(K697+SUM(M697:Q697))*(INDEX($U$415:$AB$415,MATCH(Notes!$C$16,$U$3:$AB$3,0))-100%))*$L$415</f>
        <v>208.77357600000005</v>
      </c>
      <c r="M697" s="286"/>
      <c r="N697" s="286"/>
      <c r="O697" s="311">
        <f t="shared" si="219"/>
        <v>67.823999999999998</v>
      </c>
      <c r="P697" s="311">
        <f t="shared" si="219"/>
        <v>140.94957600000004</v>
      </c>
      <c r="Q697" s="285"/>
      <c r="R697" s="278"/>
      <c r="S697" s="278"/>
      <c r="T697" s="278"/>
    </row>
    <row r="698" spans="1:20" s="305" customFormat="1" hidden="1" outlineLevel="1" x14ac:dyDescent="0.25">
      <c r="A698" s="344">
        <v>37.68</v>
      </c>
      <c r="B698" s="279" t="str">
        <f t="shared" si="215"/>
        <v>300x16PL</v>
      </c>
      <c r="C698" s="278" t="s">
        <v>1749</v>
      </c>
      <c r="D698" s="278"/>
      <c r="E698" s="278" t="s">
        <v>1860</v>
      </c>
      <c r="F698" s="278"/>
      <c r="G698" s="278" t="s">
        <v>15</v>
      </c>
      <c r="H698" s="328">
        <f t="shared" si="216"/>
        <v>0.52751999999999999</v>
      </c>
      <c r="I698" s="280">
        <f t="shared" si="217"/>
        <v>42.528662400000002</v>
      </c>
      <c r="J698" s="281">
        <f t="shared" si="218"/>
        <v>48.231153600000006</v>
      </c>
      <c r="K698" s="282">
        <f>IF(Notes!$B$9="Domestic",I698, IF(Notes!$B$9="Commercial",J698))*$K$415</f>
        <v>48.231153600000006</v>
      </c>
      <c r="L698" s="283">
        <f>(SUM(O698:Q698)+(K698+SUM(M698:Q698))*(INDEX($U$415:$AB$415,MATCH(Notes!$C$16,$U$3:$AB$3,0))-100%))*$L$415</f>
        <v>278.36476800000003</v>
      </c>
      <c r="M698" s="286"/>
      <c r="N698" s="286"/>
      <c r="O698" s="311">
        <f t="shared" si="219"/>
        <v>90.432000000000002</v>
      </c>
      <c r="P698" s="311">
        <f t="shared" si="219"/>
        <v>187.93276800000001</v>
      </c>
      <c r="Q698" s="285"/>
      <c r="R698" s="278"/>
      <c r="S698" s="278"/>
      <c r="T698" s="278"/>
    </row>
    <row r="699" spans="1:20" s="305" customFormat="1" hidden="1" outlineLevel="1" x14ac:dyDescent="0.25">
      <c r="A699" s="344">
        <v>47.1</v>
      </c>
      <c r="B699" s="279" t="str">
        <f t="shared" ref="B699:B700" si="220">C699&amp;D699&amp;E699&amp;F699</f>
        <v>300x20PL</v>
      </c>
      <c r="C699" s="278" t="s">
        <v>1750</v>
      </c>
      <c r="D699" s="278"/>
      <c r="E699" s="278" t="s">
        <v>1860</v>
      </c>
      <c r="F699" s="278"/>
      <c r="G699" s="278" t="s">
        <v>15</v>
      </c>
      <c r="H699" s="328">
        <f t="shared" ref="H699:H700" si="221">$H$415*$A699/1000</f>
        <v>0.65939999999999999</v>
      </c>
      <c r="I699" s="280">
        <f t="shared" ref="I699:I700" si="222">$I$2*H699</f>
        <v>53.160828000000002</v>
      </c>
      <c r="J699" s="281">
        <f t="shared" ref="J699:J700" si="223">$J$2*H699</f>
        <v>60.288942000000006</v>
      </c>
      <c r="K699" s="282">
        <f>IF(Notes!$B$9="Domestic",I699, IF(Notes!$B$9="Commercial",J699))*$K$415</f>
        <v>60.288942000000006</v>
      </c>
      <c r="L699" s="283">
        <f>(SUM(O699:Q699)+(K699+SUM(M699:Q699))*(INDEX($U$415:$AB$415,MATCH(Notes!$C$16,$U$3:$AB$3,0))-100%))*$L$415</f>
        <v>347.95596</v>
      </c>
      <c r="M699" s="286"/>
      <c r="N699" s="286"/>
      <c r="O699" s="311">
        <f t="shared" ref="O699:P700" si="224">O$415*$A699/1000</f>
        <v>113.04</v>
      </c>
      <c r="P699" s="311">
        <f t="shared" si="224"/>
        <v>234.91596000000001</v>
      </c>
      <c r="Q699" s="285"/>
      <c r="R699" s="278"/>
      <c r="S699" s="278"/>
      <c r="T699" s="278"/>
    </row>
    <row r="700" spans="1:20" s="305" customFormat="1" hidden="1" outlineLevel="1" x14ac:dyDescent="0.25">
      <c r="A700" s="344">
        <v>51.81</v>
      </c>
      <c r="B700" s="279" t="str">
        <f t="shared" si="220"/>
        <v>300x22PL</v>
      </c>
      <c r="C700" s="278" t="s">
        <v>1751</v>
      </c>
      <c r="D700" s="278"/>
      <c r="E700" s="278" t="s">
        <v>1860</v>
      </c>
      <c r="F700" s="278"/>
      <c r="G700" s="278" t="s">
        <v>15</v>
      </c>
      <c r="H700" s="328">
        <f t="shared" si="221"/>
        <v>0.72533999999999998</v>
      </c>
      <c r="I700" s="280">
        <f t="shared" si="222"/>
        <v>58.476910799999999</v>
      </c>
      <c r="J700" s="281">
        <f t="shared" si="223"/>
        <v>66.317836200000002</v>
      </c>
      <c r="K700" s="282">
        <f>IF(Notes!$B$9="Domestic",I700, IF(Notes!$B$9="Commercial",J700))*$K$415</f>
        <v>66.317836200000002</v>
      </c>
      <c r="L700" s="283">
        <f>(SUM(O700:Q700)+(K700+SUM(M700:Q700))*(INDEX($U$415:$AB$415,MATCH(Notes!$C$16,$U$3:$AB$3,0))-100%))*$L$415</f>
        <v>382.75155600000005</v>
      </c>
      <c r="M700" s="286"/>
      <c r="N700" s="286"/>
      <c r="O700" s="311">
        <f t="shared" si="224"/>
        <v>124.34399999999999</v>
      </c>
      <c r="P700" s="311">
        <f t="shared" si="224"/>
        <v>258.40755600000006</v>
      </c>
      <c r="Q700" s="285"/>
      <c r="R700" s="278"/>
      <c r="S700" s="278"/>
      <c r="T700" s="278"/>
    </row>
    <row r="701" spans="1:20" s="305" customFormat="1" hidden="1" outlineLevel="1" x14ac:dyDescent="0.25">
      <c r="A701" s="344">
        <v>58.875</v>
      </c>
      <c r="B701" s="279" t="str">
        <f t="shared" si="207"/>
        <v>300x25PL</v>
      </c>
      <c r="C701" s="278" t="s">
        <v>1752</v>
      </c>
      <c r="D701" s="278"/>
      <c r="E701" s="278" t="s">
        <v>1860</v>
      </c>
      <c r="F701" s="278"/>
      <c r="G701" s="278" t="s">
        <v>15</v>
      </c>
      <c r="H701" s="328">
        <f t="shared" si="197"/>
        <v>0.82425000000000004</v>
      </c>
      <c r="I701" s="280">
        <f t="shared" si="208"/>
        <v>66.451035000000005</v>
      </c>
      <c r="J701" s="281">
        <f t="shared" si="209"/>
        <v>75.361177500000011</v>
      </c>
      <c r="K701" s="282">
        <f>IF(Notes!$B$9="Domestic",I701, IF(Notes!$B$9="Commercial",J701))*$K$415</f>
        <v>75.361177500000011</v>
      </c>
      <c r="L701" s="283">
        <f>(SUM(O701:Q701)+(K701+SUM(M701:Q701))*(INDEX($U$415:$AB$415,MATCH(Notes!$C$16,$U$3:$AB$3,0))-100%))*$L$415</f>
        <v>434.94495000000001</v>
      </c>
      <c r="M701" s="286"/>
      <c r="N701" s="286"/>
      <c r="O701" s="311">
        <f t="shared" si="210"/>
        <v>141.30000000000001</v>
      </c>
      <c r="P701" s="311">
        <f t="shared" si="210"/>
        <v>293.64494999999999</v>
      </c>
      <c r="Q701" s="285"/>
      <c r="R701" s="278"/>
      <c r="S701" s="278"/>
      <c r="T701" s="278"/>
    </row>
    <row r="702" spans="1:20" s="305" customFormat="1" hidden="1" outlineLevel="1" x14ac:dyDescent="0.25">
      <c r="A702" s="344">
        <v>65.94</v>
      </c>
      <c r="B702" s="279" t="str">
        <f t="shared" si="207"/>
        <v>300x28PL</v>
      </c>
      <c r="C702" s="278" t="s">
        <v>1753</v>
      </c>
      <c r="D702" s="278"/>
      <c r="E702" s="278" t="s">
        <v>1860</v>
      </c>
      <c r="F702" s="278"/>
      <c r="G702" s="278" t="s">
        <v>15</v>
      </c>
      <c r="H702" s="328">
        <f t="shared" si="197"/>
        <v>0.92315999999999998</v>
      </c>
      <c r="I702" s="280">
        <f t="shared" si="208"/>
        <v>74.425159199999996</v>
      </c>
      <c r="J702" s="281">
        <f t="shared" si="209"/>
        <v>84.404518800000005</v>
      </c>
      <c r="K702" s="282">
        <f>IF(Notes!$B$9="Domestic",I702, IF(Notes!$B$9="Commercial",J702))*$K$415</f>
        <v>84.404518800000005</v>
      </c>
      <c r="L702" s="283">
        <f>(SUM(O702:Q702)+(K702+SUM(M702:Q702))*(INDEX($U$415:$AB$415,MATCH(Notes!$C$16,$U$3:$AB$3,0))-100%))*$L$415</f>
        <v>487.13834400000007</v>
      </c>
      <c r="M702" s="286"/>
      <c r="N702" s="286"/>
      <c r="O702" s="311">
        <f t="shared" si="210"/>
        <v>158.256</v>
      </c>
      <c r="P702" s="311">
        <f t="shared" si="210"/>
        <v>328.88234400000005</v>
      </c>
      <c r="Q702" s="285"/>
      <c r="R702" s="278"/>
      <c r="S702" s="278"/>
      <c r="T702" s="278"/>
    </row>
    <row r="703" spans="1:20" s="305" customFormat="1" hidden="1" outlineLevel="1" x14ac:dyDescent="0.25">
      <c r="A703" s="344">
        <v>75.36</v>
      </c>
      <c r="B703" s="279" t="str">
        <f t="shared" si="207"/>
        <v>300x32PL</v>
      </c>
      <c r="C703" s="278" t="s">
        <v>1754</v>
      </c>
      <c r="D703" s="278"/>
      <c r="E703" s="278" t="s">
        <v>1860</v>
      </c>
      <c r="F703" s="278"/>
      <c r="G703" s="278" t="s">
        <v>15</v>
      </c>
      <c r="H703" s="328">
        <f t="shared" si="197"/>
        <v>1.05504</v>
      </c>
      <c r="I703" s="280">
        <f t="shared" si="208"/>
        <v>85.057324800000004</v>
      </c>
      <c r="J703" s="281">
        <f t="shared" si="209"/>
        <v>96.462307200000012</v>
      </c>
      <c r="K703" s="282">
        <f>IF(Notes!$B$9="Domestic",I703, IF(Notes!$B$9="Commercial",J703))*$K$415</f>
        <v>96.462307200000012</v>
      </c>
      <c r="L703" s="283">
        <f>(SUM(O703:Q703)+(K703+SUM(M703:Q703))*(INDEX($U$415:$AB$415,MATCH(Notes!$C$16,$U$3:$AB$3,0))-100%))*$L$415</f>
        <v>556.72953600000005</v>
      </c>
      <c r="M703" s="286"/>
      <c r="N703" s="286"/>
      <c r="O703" s="311">
        <f t="shared" si="210"/>
        <v>180.864</v>
      </c>
      <c r="P703" s="311">
        <f t="shared" si="210"/>
        <v>375.86553600000002</v>
      </c>
      <c r="Q703" s="285"/>
      <c r="R703" s="278"/>
      <c r="S703" s="278"/>
      <c r="T703" s="278"/>
    </row>
    <row r="704" spans="1:20" s="305" customFormat="1" hidden="1" outlineLevel="1" x14ac:dyDescent="0.25">
      <c r="A704" s="344">
        <v>84.78</v>
      </c>
      <c r="B704" s="279" t="str">
        <f t="shared" si="207"/>
        <v>300x36PL</v>
      </c>
      <c r="C704" s="278" t="s">
        <v>1755</v>
      </c>
      <c r="D704" s="278"/>
      <c r="E704" s="278" t="s">
        <v>1860</v>
      </c>
      <c r="F704" s="278"/>
      <c r="G704" s="278" t="s">
        <v>15</v>
      </c>
      <c r="H704" s="328">
        <f t="shared" si="197"/>
        <v>1.18692</v>
      </c>
      <c r="I704" s="280">
        <f t="shared" si="208"/>
        <v>95.689490399999997</v>
      </c>
      <c r="J704" s="281">
        <f t="shared" si="209"/>
        <v>108.5200956</v>
      </c>
      <c r="K704" s="282">
        <f>IF(Notes!$B$9="Domestic",I704, IF(Notes!$B$9="Commercial",J704))*$K$415</f>
        <v>108.5200956</v>
      </c>
      <c r="L704" s="283">
        <f>(SUM(O704:Q704)+(K704+SUM(M704:Q704))*(INDEX($U$415:$AB$415,MATCH(Notes!$C$16,$U$3:$AB$3,0))-100%))*$L$415</f>
        <v>626.32072800000003</v>
      </c>
      <c r="M704" s="286"/>
      <c r="N704" s="286"/>
      <c r="O704" s="311">
        <f t="shared" si="210"/>
        <v>203.47200000000001</v>
      </c>
      <c r="P704" s="311">
        <f t="shared" si="210"/>
        <v>422.84872800000005</v>
      </c>
      <c r="Q704" s="285"/>
      <c r="R704" s="278"/>
      <c r="S704" s="278"/>
      <c r="T704" s="278"/>
    </row>
    <row r="705" spans="1:20" s="305" customFormat="1" hidden="1" outlineLevel="1" x14ac:dyDescent="0.25">
      <c r="A705" s="344">
        <v>94.2</v>
      </c>
      <c r="B705" s="279" t="str">
        <f t="shared" si="207"/>
        <v>300x40PL</v>
      </c>
      <c r="C705" s="278" t="s">
        <v>1756</v>
      </c>
      <c r="D705" s="278"/>
      <c r="E705" s="278" t="s">
        <v>1860</v>
      </c>
      <c r="F705" s="278"/>
      <c r="G705" s="278" t="s">
        <v>15</v>
      </c>
      <c r="H705" s="328">
        <f t="shared" si="197"/>
        <v>1.3188</v>
      </c>
      <c r="I705" s="280">
        <f t="shared" si="208"/>
        <v>106.321656</v>
      </c>
      <c r="J705" s="281">
        <f t="shared" si="209"/>
        <v>120.57788400000001</v>
      </c>
      <c r="K705" s="282">
        <f>IF(Notes!$B$9="Domestic",I705, IF(Notes!$B$9="Commercial",J705))*$K$415</f>
        <v>120.57788400000001</v>
      </c>
      <c r="L705" s="283">
        <f>(SUM(O705:Q705)+(K705+SUM(M705:Q705))*(INDEX($U$415:$AB$415,MATCH(Notes!$C$16,$U$3:$AB$3,0))-100%))*$L$415</f>
        <v>695.91192000000001</v>
      </c>
      <c r="M705" s="286"/>
      <c r="N705" s="286"/>
      <c r="O705" s="311">
        <f t="shared" si="210"/>
        <v>226.08</v>
      </c>
      <c r="P705" s="311">
        <f t="shared" si="210"/>
        <v>469.83192000000003</v>
      </c>
      <c r="Q705" s="285"/>
      <c r="R705" s="278"/>
      <c r="S705" s="278"/>
      <c r="T705" s="278"/>
    </row>
    <row r="706" spans="1:20" s="305" customFormat="1" hidden="1" outlineLevel="1" x14ac:dyDescent="0.25">
      <c r="A706" s="344">
        <v>105.97499999999999</v>
      </c>
      <c r="B706" s="279" t="str">
        <f t="shared" si="207"/>
        <v>300x45PL</v>
      </c>
      <c r="C706" s="278" t="s">
        <v>818</v>
      </c>
      <c r="D706" s="278"/>
      <c r="E706" s="278" t="s">
        <v>1860</v>
      </c>
      <c r="F706" s="278"/>
      <c r="G706" s="278" t="s">
        <v>15</v>
      </c>
      <c r="H706" s="328">
        <f t="shared" si="197"/>
        <v>1.4836499999999999</v>
      </c>
      <c r="I706" s="280">
        <f t="shared" si="208"/>
        <v>119.611863</v>
      </c>
      <c r="J706" s="281">
        <f t="shared" si="209"/>
        <v>135.65011949999999</v>
      </c>
      <c r="K706" s="282">
        <f>IF(Notes!$B$9="Domestic",I706, IF(Notes!$B$9="Commercial",J706))*$K$415</f>
        <v>135.65011949999999</v>
      </c>
      <c r="L706" s="283">
        <f>(SUM(O706:Q706)+(K706+SUM(M706:Q706))*(INDEX($U$415:$AB$415,MATCH(Notes!$C$16,$U$3:$AB$3,0))-100%))*$L$415</f>
        <v>782.90091000000007</v>
      </c>
      <c r="M706" s="286"/>
      <c r="N706" s="286"/>
      <c r="O706" s="311">
        <f t="shared" si="210"/>
        <v>254.34</v>
      </c>
      <c r="P706" s="311">
        <f t="shared" si="210"/>
        <v>528.56091000000004</v>
      </c>
      <c r="Q706" s="285"/>
      <c r="R706" s="278"/>
      <c r="S706" s="278"/>
      <c r="T706" s="278"/>
    </row>
    <row r="707" spans="1:20" s="305" customFormat="1" hidden="1" outlineLevel="1" x14ac:dyDescent="0.25">
      <c r="A707" s="344">
        <v>117.75</v>
      </c>
      <c r="B707" s="279" t="str">
        <f t="shared" si="207"/>
        <v>300x50PL</v>
      </c>
      <c r="C707" s="278" t="s">
        <v>834</v>
      </c>
      <c r="D707" s="278"/>
      <c r="E707" s="278" t="s">
        <v>1860</v>
      </c>
      <c r="F707" s="278"/>
      <c r="G707" s="278" t="s">
        <v>15</v>
      </c>
      <c r="H707" s="328">
        <f t="shared" si="197"/>
        <v>1.6485000000000001</v>
      </c>
      <c r="I707" s="280">
        <f t="shared" si="208"/>
        <v>132.90207000000001</v>
      </c>
      <c r="J707" s="281">
        <f t="shared" si="209"/>
        <v>150.72235500000002</v>
      </c>
      <c r="K707" s="282">
        <f>IF(Notes!$B$9="Domestic",I707, IF(Notes!$B$9="Commercial",J707))*$K$415</f>
        <v>150.72235500000002</v>
      </c>
      <c r="L707" s="283">
        <f>(SUM(O707:Q707)+(K707+SUM(M707:Q707))*(INDEX($U$415:$AB$415,MATCH(Notes!$C$16,$U$3:$AB$3,0))-100%))*$L$415</f>
        <v>869.88990000000001</v>
      </c>
      <c r="M707" s="286"/>
      <c r="N707" s="286"/>
      <c r="O707" s="311">
        <f t="shared" si="210"/>
        <v>282.60000000000002</v>
      </c>
      <c r="P707" s="311">
        <f t="shared" si="210"/>
        <v>587.28989999999999</v>
      </c>
      <c r="Q707" s="285"/>
      <c r="R707" s="278"/>
      <c r="S707" s="278"/>
      <c r="T707" s="278"/>
    </row>
    <row r="708" spans="1:20" s="305" customFormat="1" hidden="1" outlineLevel="1" x14ac:dyDescent="0.25">
      <c r="A708" s="344">
        <v>129.52500000000001</v>
      </c>
      <c r="B708" s="279" t="str">
        <f t="shared" si="207"/>
        <v>300x55PL</v>
      </c>
      <c r="C708" s="278" t="s">
        <v>1757</v>
      </c>
      <c r="D708" s="278"/>
      <c r="E708" s="278" t="s">
        <v>1860</v>
      </c>
      <c r="F708" s="278"/>
      <c r="G708" s="278" t="s">
        <v>15</v>
      </c>
      <c r="H708" s="328">
        <f t="shared" si="197"/>
        <v>1.8133500000000002</v>
      </c>
      <c r="I708" s="280">
        <f t="shared" si="208"/>
        <v>146.19227700000002</v>
      </c>
      <c r="J708" s="281">
        <f t="shared" si="209"/>
        <v>165.79459050000003</v>
      </c>
      <c r="K708" s="282">
        <f>IF(Notes!$B$9="Domestic",I708, IF(Notes!$B$9="Commercial",J708))*$K$415</f>
        <v>165.79459050000003</v>
      </c>
      <c r="L708" s="283">
        <f>(SUM(O708:Q708)+(K708+SUM(M708:Q708))*(INDEX($U$415:$AB$415,MATCH(Notes!$C$16,$U$3:$AB$3,0))-100%))*$L$415</f>
        <v>956.87889000000018</v>
      </c>
      <c r="M708" s="286"/>
      <c r="N708" s="286"/>
      <c r="O708" s="311">
        <f t="shared" si="210"/>
        <v>310.86</v>
      </c>
      <c r="P708" s="311">
        <f t="shared" si="210"/>
        <v>646.01889000000017</v>
      </c>
      <c r="Q708" s="285"/>
      <c r="R708" s="278"/>
      <c r="S708" s="278"/>
      <c r="T708" s="278"/>
    </row>
    <row r="709" spans="1:20" s="305" customFormat="1" hidden="1" outlineLevel="1" x14ac:dyDescent="0.25">
      <c r="A709" s="344">
        <v>141.30000000000001</v>
      </c>
      <c r="B709" s="279" t="str">
        <f t="shared" si="207"/>
        <v>300x60PL</v>
      </c>
      <c r="C709" s="278" t="s">
        <v>1758</v>
      </c>
      <c r="D709" s="278"/>
      <c r="E709" s="278" t="s">
        <v>1860</v>
      </c>
      <c r="F709" s="278"/>
      <c r="G709" s="278" t="s">
        <v>15</v>
      </c>
      <c r="H709" s="328">
        <f t="shared" si="197"/>
        <v>1.9782000000000002</v>
      </c>
      <c r="I709" s="280">
        <f t="shared" si="208"/>
        <v>159.48248400000003</v>
      </c>
      <c r="J709" s="281">
        <f t="shared" si="209"/>
        <v>180.86682600000003</v>
      </c>
      <c r="K709" s="282">
        <f>IF(Notes!$B$9="Domestic",I709, IF(Notes!$B$9="Commercial",J709))*$K$415</f>
        <v>180.86682600000003</v>
      </c>
      <c r="L709" s="283">
        <f>(SUM(O709:Q709)+(K709+SUM(M709:Q709))*(INDEX($U$415:$AB$415,MATCH(Notes!$C$16,$U$3:$AB$3,0))-100%))*$L$415</f>
        <v>1043.8678800000002</v>
      </c>
      <c r="M709" s="286"/>
      <c r="N709" s="286"/>
      <c r="O709" s="311">
        <f t="shared" si="210"/>
        <v>339.12</v>
      </c>
      <c r="P709" s="311">
        <f t="shared" si="210"/>
        <v>704.74788000000012</v>
      </c>
      <c r="Q709" s="285"/>
      <c r="R709" s="278"/>
      <c r="S709" s="278"/>
      <c r="T709" s="278"/>
    </row>
    <row r="710" spans="1:20" s="305" customFormat="1" hidden="1" outlineLevel="1" x14ac:dyDescent="0.25">
      <c r="A710" s="344">
        <v>153</v>
      </c>
      <c r="B710" s="279" t="str">
        <f t="shared" si="207"/>
        <v>300x65PL</v>
      </c>
      <c r="C710" s="278" t="s">
        <v>836</v>
      </c>
      <c r="D710" s="278"/>
      <c r="E710" s="278" t="s">
        <v>1860</v>
      </c>
      <c r="F710" s="278"/>
      <c r="G710" s="278" t="s">
        <v>15</v>
      </c>
      <c r="H710" s="328">
        <f t="shared" si="197"/>
        <v>2.1419999999999999</v>
      </c>
      <c r="I710" s="280">
        <f t="shared" si="208"/>
        <v>172.68804</v>
      </c>
      <c r="J710" s="281">
        <f t="shared" si="209"/>
        <v>195.84306000000001</v>
      </c>
      <c r="K710" s="282">
        <f>IF(Notes!$B$9="Domestic",I710, IF(Notes!$B$9="Commercial",J710))*$K$415</f>
        <v>195.84306000000001</v>
      </c>
      <c r="L710" s="283">
        <f>(SUM(O710:Q710)+(K710+SUM(M710:Q710))*(INDEX($U$415:$AB$415,MATCH(Notes!$C$16,$U$3:$AB$3,0))-100%))*$L$415</f>
        <v>1130.3027999999999</v>
      </c>
      <c r="M710" s="286"/>
      <c r="N710" s="286"/>
      <c r="O710" s="311">
        <f t="shared" si="210"/>
        <v>367.2</v>
      </c>
      <c r="P710" s="311">
        <f t="shared" si="210"/>
        <v>763.1028</v>
      </c>
      <c r="Q710" s="285"/>
      <c r="R710" s="278"/>
      <c r="S710" s="278"/>
      <c r="T710" s="278"/>
    </row>
    <row r="711" spans="1:20" s="305" customFormat="1" hidden="1" outlineLevel="1" x14ac:dyDescent="0.25">
      <c r="A711" s="344">
        <v>164.85</v>
      </c>
      <c r="B711" s="279" t="str">
        <f t="shared" ref="B711:B735" si="225">C711&amp;D711&amp;E711&amp;F711</f>
        <v>300x70PL</v>
      </c>
      <c r="C711" s="278" t="s">
        <v>1759</v>
      </c>
      <c r="D711" s="278"/>
      <c r="E711" s="278" t="s">
        <v>1860</v>
      </c>
      <c r="F711" s="278"/>
      <c r="G711" s="278" t="s">
        <v>15</v>
      </c>
      <c r="H711" s="328">
        <f t="shared" si="197"/>
        <v>2.3079000000000001</v>
      </c>
      <c r="I711" s="280">
        <f t="shared" ref="I711:I735" si="226">$I$2*H711</f>
        <v>186.06289800000002</v>
      </c>
      <c r="J711" s="281">
        <f t="shared" ref="J711:J735" si="227">$J$2*H711</f>
        <v>211.01129700000001</v>
      </c>
      <c r="K711" s="282">
        <f>IF(Notes!$B$9="Domestic",I711, IF(Notes!$B$9="Commercial",J711))*$K$415</f>
        <v>211.01129700000001</v>
      </c>
      <c r="L711" s="283">
        <f>(SUM(O711:Q711)+(K711+SUM(M711:Q711))*(INDEX($U$415:$AB$415,MATCH(Notes!$C$16,$U$3:$AB$3,0))-100%))*$L$415</f>
        <v>1217.8458599999999</v>
      </c>
      <c r="M711" s="286"/>
      <c r="N711" s="286"/>
      <c r="O711" s="311">
        <f t="shared" si="210"/>
        <v>395.64</v>
      </c>
      <c r="P711" s="311">
        <f t="shared" si="210"/>
        <v>822.20586000000003</v>
      </c>
      <c r="Q711" s="285"/>
      <c r="R711" s="278"/>
      <c r="S711" s="278"/>
      <c r="T711" s="278"/>
    </row>
    <row r="712" spans="1:20" s="305" customFormat="1" hidden="1" outlineLevel="1" x14ac:dyDescent="0.25">
      <c r="A712" s="344">
        <v>176.625</v>
      </c>
      <c r="B712" s="279" t="str">
        <f t="shared" si="225"/>
        <v>300x75PL</v>
      </c>
      <c r="C712" s="278" t="s">
        <v>830</v>
      </c>
      <c r="D712" s="278"/>
      <c r="E712" s="278" t="s">
        <v>1860</v>
      </c>
      <c r="F712" s="278"/>
      <c r="G712" s="278" t="s">
        <v>15</v>
      </c>
      <c r="H712" s="328">
        <f t="shared" si="197"/>
        <v>2.47275</v>
      </c>
      <c r="I712" s="280">
        <f t="shared" si="226"/>
        <v>199.353105</v>
      </c>
      <c r="J712" s="281">
        <f t="shared" si="227"/>
        <v>226.08353250000002</v>
      </c>
      <c r="K712" s="282">
        <f>IF(Notes!$B$9="Domestic",I712, IF(Notes!$B$9="Commercial",J712))*$K$415</f>
        <v>226.08353250000002</v>
      </c>
      <c r="L712" s="283">
        <f>(SUM(O712:Q712)+(K712+SUM(M712:Q712))*(INDEX($U$415:$AB$415,MATCH(Notes!$C$16,$U$3:$AB$3,0))-100%))*$L$415</f>
        <v>1304.8348500000002</v>
      </c>
      <c r="M712" s="286"/>
      <c r="N712" s="286"/>
      <c r="O712" s="311">
        <f t="shared" ref="O712:P753" si="228">O$415*$A712/1000</f>
        <v>423.9</v>
      </c>
      <c r="P712" s="311">
        <f t="shared" si="228"/>
        <v>880.9348500000001</v>
      </c>
      <c r="Q712" s="285"/>
      <c r="R712" s="278"/>
      <c r="S712" s="278"/>
      <c r="T712" s="278"/>
    </row>
    <row r="713" spans="1:20" s="305" customFormat="1" hidden="1" outlineLevel="1" x14ac:dyDescent="0.25">
      <c r="A713" s="344">
        <v>188.4</v>
      </c>
      <c r="B713" s="279" t="str">
        <f t="shared" si="225"/>
        <v>300x80PL</v>
      </c>
      <c r="C713" s="278" t="s">
        <v>1760</v>
      </c>
      <c r="D713" s="278"/>
      <c r="E713" s="278" t="s">
        <v>1860</v>
      </c>
      <c r="F713" s="278"/>
      <c r="G713" s="278" t="s">
        <v>15</v>
      </c>
      <c r="H713" s="328">
        <f t="shared" si="197"/>
        <v>2.6375999999999999</v>
      </c>
      <c r="I713" s="280">
        <f t="shared" si="226"/>
        <v>212.64331200000001</v>
      </c>
      <c r="J713" s="281">
        <f t="shared" si="227"/>
        <v>241.15576800000002</v>
      </c>
      <c r="K713" s="282">
        <f>IF(Notes!$B$9="Domestic",I713, IF(Notes!$B$9="Commercial",J713))*$K$415</f>
        <v>241.15576800000002</v>
      </c>
      <c r="L713" s="283">
        <f>(SUM(O713:Q713)+(K713+SUM(M713:Q713))*(INDEX($U$415:$AB$415,MATCH(Notes!$C$16,$U$3:$AB$3,0))-100%))*$L$415</f>
        <v>1391.82384</v>
      </c>
      <c r="M713" s="286"/>
      <c r="N713" s="286"/>
      <c r="O713" s="311">
        <f t="shared" si="228"/>
        <v>452.16</v>
      </c>
      <c r="P713" s="311">
        <f t="shared" si="228"/>
        <v>939.66384000000005</v>
      </c>
      <c r="Q713" s="285"/>
      <c r="R713" s="278"/>
      <c r="S713" s="278"/>
      <c r="T713" s="278"/>
    </row>
    <row r="714" spans="1:20" s="305" customFormat="1" hidden="1" outlineLevel="1" x14ac:dyDescent="0.25">
      <c r="A714" s="344">
        <v>211.95</v>
      </c>
      <c r="B714" s="279" t="str">
        <f t="shared" si="225"/>
        <v>300x90PL</v>
      </c>
      <c r="C714" s="278" t="s">
        <v>819</v>
      </c>
      <c r="D714" s="278"/>
      <c r="E714" s="278" t="s">
        <v>1860</v>
      </c>
      <c r="F714" s="278"/>
      <c r="G714" s="278" t="s">
        <v>15</v>
      </c>
      <c r="H714" s="328">
        <f t="shared" si="197"/>
        <v>2.9672999999999998</v>
      </c>
      <c r="I714" s="280">
        <f t="shared" si="226"/>
        <v>239.223726</v>
      </c>
      <c r="J714" s="281">
        <f t="shared" si="227"/>
        <v>271.30023899999998</v>
      </c>
      <c r="K714" s="282">
        <f>IF(Notes!$B$9="Domestic",I714, IF(Notes!$B$9="Commercial",J714))*$K$415</f>
        <v>271.30023899999998</v>
      </c>
      <c r="L714" s="283">
        <f>(SUM(O714:Q714)+(K714+SUM(M714:Q714))*(INDEX($U$415:$AB$415,MATCH(Notes!$C$16,$U$3:$AB$3,0))-100%))*$L$415</f>
        <v>1565.8018200000001</v>
      </c>
      <c r="M714" s="286"/>
      <c r="N714" s="286"/>
      <c r="O714" s="311">
        <f t="shared" si="228"/>
        <v>508.68</v>
      </c>
      <c r="P714" s="311">
        <f t="shared" si="228"/>
        <v>1057.1218200000001</v>
      </c>
      <c r="Q714" s="285"/>
      <c r="R714" s="278"/>
      <c r="S714" s="278"/>
      <c r="T714" s="278"/>
    </row>
    <row r="715" spans="1:20" s="305" customFormat="1" hidden="1" outlineLevel="1" x14ac:dyDescent="0.25">
      <c r="A715" s="344">
        <v>235.5</v>
      </c>
      <c r="B715" s="279" t="str">
        <f t="shared" si="225"/>
        <v>300x100PL</v>
      </c>
      <c r="C715" s="278" t="s">
        <v>1761</v>
      </c>
      <c r="D715" s="278"/>
      <c r="E715" s="278" t="s">
        <v>1860</v>
      </c>
      <c r="F715" s="278"/>
      <c r="G715" s="278" t="s">
        <v>15</v>
      </c>
      <c r="H715" s="328">
        <f t="shared" si="197"/>
        <v>3.2970000000000002</v>
      </c>
      <c r="I715" s="280">
        <f t="shared" si="226"/>
        <v>265.80414000000002</v>
      </c>
      <c r="J715" s="281">
        <f t="shared" si="227"/>
        <v>301.44471000000004</v>
      </c>
      <c r="K715" s="282">
        <f>IF(Notes!$B$9="Domestic",I715, IF(Notes!$B$9="Commercial",J715))*$K$415</f>
        <v>301.44471000000004</v>
      </c>
      <c r="L715" s="283">
        <f>(SUM(O715:Q715)+(K715+SUM(M715:Q715))*(INDEX($U$415:$AB$415,MATCH(Notes!$C$16,$U$3:$AB$3,0))-100%))*$L$415</f>
        <v>1739.7798</v>
      </c>
      <c r="M715" s="286"/>
      <c r="N715" s="286"/>
      <c r="O715" s="311">
        <f t="shared" si="228"/>
        <v>565.20000000000005</v>
      </c>
      <c r="P715" s="311">
        <f t="shared" si="228"/>
        <v>1174.5798</v>
      </c>
      <c r="Q715" s="285"/>
      <c r="R715" s="278"/>
      <c r="S715" s="278"/>
      <c r="T715" s="278"/>
    </row>
    <row r="716" spans="1:20" s="305" customFormat="1" hidden="1" outlineLevel="1" x14ac:dyDescent="0.25">
      <c r="A716" s="344">
        <v>9.42</v>
      </c>
      <c r="B716" s="279" t="str">
        <f t="shared" si="225"/>
        <v>400x3PL</v>
      </c>
      <c r="C716" s="278" t="s">
        <v>1762</v>
      </c>
      <c r="D716" s="278"/>
      <c r="E716" s="278" t="s">
        <v>1860</v>
      </c>
      <c r="F716" s="278"/>
      <c r="G716" s="278" t="s">
        <v>15</v>
      </c>
      <c r="H716" s="328">
        <f t="shared" si="197"/>
        <v>0.13188</v>
      </c>
      <c r="I716" s="280">
        <f t="shared" si="226"/>
        <v>10.6321656</v>
      </c>
      <c r="J716" s="281">
        <f t="shared" si="227"/>
        <v>12.057788400000002</v>
      </c>
      <c r="K716" s="282">
        <f>IF(Notes!$B$9="Domestic",I716, IF(Notes!$B$9="Commercial",J716))*$K$415</f>
        <v>12.057788400000002</v>
      </c>
      <c r="L716" s="283">
        <f>(SUM(O716:Q716)+(K716+SUM(M716:Q716))*(INDEX($U$415:$AB$415,MATCH(Notes!$C$16,$U$3:$AB$3,0))-100%))*$L$415</f>
        <v>69.591192000000007</v>
      </c>
      <c r="M716" s="286"/>
      <c r="N716" s="286"/>
      <c r="O716" s="311">
        <f t="shared" si="228"/>
        <v>22.608000000000001</v>
      </c>
      <c r="P716" s="311">
        <f t="shared" si="228"/>
        <v>46.983192000000003</v>
      </c>
      <c r="Q716" s="285"/>
      <c r="R716" s="278"/>
      <c r="S716" s="278"/>
      <c r="T716" s="278"/>
    </row>
    <row r="717" spans="1:20" s="305" customFormat="1" hidden="1" outlineLevel="1" x14ac:dyDescent="0.25">
      <c r="A717" s="344">
        <v>12.56</v>
      </c>
      <c r="B717" s="279" t="str">
        <f t="shared" si="225"/>
        <v>400x4PL</v>
      </c>
      <c r="C717" s="278" t="s">
        <v>1763</v>
      </c>
      <c r="D717" s="278"/>
      <c r="E717" s="278" t="s">
        <v>1860</v>
      </c>
      <c r="F717" s="278"/>
      <c r="G717" s="278" t="s">
        <v>15</v>
      </c>
      <c r="H717" s="328">
        <f t="shared" si="197"/>
        <v>0.17584</v>
      </c>
      <c r="I717" s="280">
        <f t="shared" si="226"/>
        <v>14.176220800000001</v>
      </c>
      <c r="J717" s="281">
        <f t="shared" si="227"/>
        <v>16.0770512</v>
      </c>
      <c r="K717" s="282">
        <f>IF(Notes!$B$9="Domestic",I717, IF(Notes!$B$9="Commercial",J717))*$K$415</f>
        <v>16.0770512</v>
      </c>
      <c r="L717" s="283">
        <f>(SUM(O717:Q717)+(K717+SUM(M717:Q717))*(INDEX($U$415:$AB$415,MATCH(Notes!$C$16,$U$3:$AB$3,0))-100%))*$L$415</f>
        <v>92.788256000000004</v>
      </c>
      <c r="M717" s="286"/>
      <c r="N717" s="286"/>
      <c r="O717" s="311">
        <f t="shared" si="228"/>
        <v>30.143999999999998</v>
      </c>
      <c r="P717" s="311">
        <f t="shared" si="228"/>
        <v>62.644256000000006</v>
      </c>
      <c r="Q717" s="285"/>
      <c r="R717" s="278"/>
      <c r="S717" s="278"/>
      <c r="T717" s="278"/>
    </row>
    <row r="718" spans="1:20" s="305" customFormat="1" hidden="1" outlineLevel="1" x14ac:dyDescent="0.25">
      <c r="A718" s="344">
        <v>15.7</v>
      </c>
      <c r="B718" s="279" t="str">
        <f t="shared" si="225"/>
        <v>400x5PL</v>
      </c>
      <c r="C718" s="278" t="s">
        <v>1764</v>
      </c>
      <c r="D718" s="278"/>
      <c r="E718" s="278" t="s">
        <v>1860</v>
      </c>
      <c r="F718" s="278"/>
      <c r="G718" s="278" t="s">
        <v>15</v>
      </c>
      <c r="H718" s="328">
        <f t="shared" si="197"/>
        <v>0.2198</v>
      </c>
      <c r="I718" s="280">
        <f t="shared" si="226"/>
        <v>17.720276000000002</v>
      </c>
      <c r="J718" s="281">
        <f t="shared" si="227"/>
        <v>20.096314</v>
      </c>
      <c r="K718" s="282">
        <f>IF(Notes!$B$9="Domestic",I718, IF(Notes!$B$9="Commercial",J718))*$K$415</f>
        <v>20.096314</v>
      </c>
      <c r="L718" s="283">
        <f>(SUM(O718:Q718)+(K718+SUM(M718:Q718))*(INDEX($U$415:$AB$415,MATCH(Notes!$C$16,$U$3:$AB$3,0))-100%))*$L$415</f>
        <v>115.98532</v>
      </c>
      <c r="M718" s="286"/>
      <c r="N718" s="286"/>
      <c r="O718" s="311">
        <f t="shared" si="228"/>
        <v>37.68</v>
      </c>
      <c r="P718" s="311">
        <f t="shared" si="228"/>
        <v>78.305320000000009</v>
      </c>
      <c r="Q718" s="285"/>
      <c r="R718" s="278"/>
      <c r="S718" s="278"/>
      <c r="T718" s="278"/>
    </row>
    <row r="719" spans="1:20" s="305" customFormat="1" hidden="1" outlineLevel="1" x14ac:dyDescent="0.25">
      <c r="A719" s="344">
        <v>18.84</v>
      </c>
      <c r="B719" s="279" t="str">
        <f t="shared" si="225"/>
        <v>400x6PL</v>
      </c>
      <c r="C719" s="278" t="s">
        <v>1765</v>
      </c>
      <c r="D719" s="278"/>
      <c r="E719" s="278" t="s">
        <v>1860</v>
      </c>
      <c r="F719" s="278"/>
      <c r="G719" s="278" t="s">
        <v>15</v>
      </c>
      <c r="H719" s="328">
        <f t="shared" si="197"/>
        <v>0.26375999999999999</v>
      </c>
      <c r="I719" s="280">
        <f t="shared" si="226"/>
        <v>21.264331200000001</v>
      </c>
      <c r="J719" s="281">
        <f t="shared" si="227"/>
        <v>24.115576800000003</v>
      </c>
      <c r="K719" s="282">
        <f>IF(Notes!$B$9="Domestic",I719, IF(Notes!$B$9="Commercial",J719))*$K$415</f>
        <v>24.115576800000003</v>
      </c>
      <c r="L719" s="283">
        <f>(SUM(O719:Q719)+(K719+SUM(M719:Q719))*(INDEX($U$415:$AB$415,MATCH(Notes!$C$16,$U$3:$AB$3,0))-100%))*$L$415</f>
        <v>139.18238400000001</v>
      </c>
      <c r="M719" s="286"/>
      <c r="N719" s="286"/>
      <c r="O719" s="311">
        <f t="shared" si="228"/>
        <v>45.216000000000001</v>
      </c>
      <c r="P719" s="311">
        <f t="shared" si="228"/>
        <v>93.966384000000005</v>
      </c>
      <c r="Q719" s="285"/>
      <c r="R719" s="278"/>
      <c r="S719" s="278"/>
      <c r="T719" s="278"/>
    </row>
    <row r="720" spans="1:20" s="305" customFormat="1" hidden="1" outlineLevel="1" x14ac:dyDescent="0.25">
      <c r="A720" s="344">
        <v>25.12</v>
      </c>
      <c r="B720" s="279" t="str">
        <f t="shared" si="225"/>
        <v>400x8PL</v>
      </c>
      <c r="C720" s="278" t="s">
        <v>1766</v>
      </c>
      <c r="D720" s="278"/>
      <c r="E720" s="278" t="s">
        <v>1860</v>
      </c>
      <c r="F720" s="278"/>
      <c r="G720" s="278" t="s">
        <v>15</v>
      </c>
      <c r="H720" s="328">
        <f t="shared" si="197"/>
        <v>0.35167999999999999</v>
      </c>
      <c r="I720" s="280">
        <f t="shared" si="226"/>
        <v>28.352441600000002</v>
      </c>
      <c r="J720" s="281">
        <f t="shared" si="227"/>
        <v>32.154102399999999</v>
      </c>
      <c r="K720" s="282">
        <f>IF(Notes!$B$9="Domestic",I720, IF(Notes!$B$9="Commercial",J720))*$K$415</f>
        <v>32.154102399999999</v>
      </c>
      <c r="L720" s="283">
        <f>(SUM(O720:Q720)+(K720+SUM(M720:Q720))*(INDEX($U$415:$AB$415,MATCH(Notes!$C$16,$U$3:$AB$3,0))-100%))*$L$415</f>
        <v>185.57651200000001</v>
      </c>
      <c r="M720" s="286"/>
      <c r="N720" s="286"/>
      <c r="O720" s="311">
        <f t="shared" si="228"/>
        <v>60.287999999999997</v>
      </c>
      <c r="P720" s="311">
        <f t="shared" si="228"/>
        <v>125.28851200000001</v>
      </c>
      <c r="Q720" s="285"/>
      <c r="R720" s="278"/>
      <c r="S720" s="278"/>
      <c r="T720" s="278"/>
    </row>
    <row r="721" spans="1:20" s="305" customFormat="1" hidden="1" outlineLevel="1" x14ac:dyDescent="0.25">
      <c r="A721" s="344">
        <v>31.4</v>
      </c>
      <c r="B721" s="279" t="str">
        <f t="shared" si="225"/>
        <v>400x10PL</v>
      </c>
      <c r="C721" s="278" t="s">
        <v>1767</v>
      </c>
      <c r="D721" s="278"/>
      <c r="E721" s="278" t="s">
        <v>1860</v>
      </c>
      <c r="F721" s="278"/>
      <c r="G721" s="278" t="s">
        <v>15</v>
      </c>
      <c r="H721" s="328">
        <f t="shared" si="197"/>
        <v>0.43959999999999999</v>
      </c>
      <c r="I721" s="280">
        <f t="shared" si="226"/>
        <v>35.440552000000004</v>
      </c>
      <c r="J721" s="281">
        <f t="shared" si="227"/>
        <v>40.192627999999999</v>
      </c>
      <c r="K721" s="282">
        <f>IF(Notes!$B$9="Domestic",I721, IF(Notes!$B$9="Commercial",J721))*$K$415</f>
        <v>40.192627999999999</v>
      </c>
      <c r="L721" s="283">
        <f>(SUM(O721:Q721)+(K721+SUM(M721:Q721))*(INDEX($U$415:$AB$415,MATCH(Notes!$C$16,$U$3:$AB$3,0))-100%))*$L$415</f>
        <v>231.97064</v>
      </c>
      <c r="M721" s="286"/>
      <c r="N721" s="286"/>
      <c r="O721" s="311">
        <f t="shared" si="228"/>
        <v>75.36</v>
      </c>
      <c r="P721" s="311">
        <f t="shared" si="228"/>
        <v>156.61064000000002</v>
      </c>
      <c r="Q721" s="285"/>
      <c r="R721" s="278"/>
      <c r="S721" s="278"/>
      <c r="T721" s="278"/>
    </row>
    <row r="722" spans="1:20" s="305" customFormat="1" hidden="1" outlineLevel="1" x14ac:dyDescent="0.25">
      <c r="A722" s="344">
        <v>37.68</v>
      </c>
      <c r="B722" s="279" t="str">
        <f t="shared" si="225"/>
        <v>400x12PL</v>
      </c>
      <c r="C722" s="278" t="s">
        <v>1768</v>
      </c>
      <c r="D722" s="278"/>
      <c r="E722" s="278" t="s">
        <v>1860</v>
      </c>
      <c r="F722" s="278"/>
      <c r="G722" s="278" t="s">
        <v>15</v>
      </c>
      <c r="H722" s="328">
        <f t="shared" si="197"/>
        <v>0.52751999999999999</v>
      </c>
      <c r="I722" s="280">
        <f t="shared" si="226"/>
        <v>42.528662400000002</v>
      </c>
      <c r="J722" s="281">
        <f t="shared" si="227"/>
        <v>48.231153600000006</v>
      </c>
      <c r="K722" s="282">
        <f>IF(Notes!$B$9="Domestic",I722, IF(Notes!$B$9="Commercial",J722))*$K$415</f>
        <v>48.231153600000006</v>
      </c>
      <c r="L722" s="283">
        <f>(SUM(O722:Q722)+(K722+SUM(M722:Q722))*(INDEX($U$415:$AB$415,MATCH(Notes!$C$16,$U$3:$AB$3,0))-100%))*$L$415</f>
        <v>278.36476800000003</v>
      </c>
      <c r="M722" s="286"/>
      <c r="N722" s="286"/>
      <c r="O722" s="311">
        <f t="shared" si="228"/>
        <v>90.432000000000002</v>
      </c>
      <c r="P722" s="311">
        <f t="shared" si="228"/>
        <v>187.93276800000001</v>
      </c>
      <c r="Q722" s="285"/>
      <c r="R722" s="278"/>
      <c r="S722" s="278"/>
      <c r="T722" s="278"/>
    </row>
    <row r="723" spans="1:20" s="305" customFormat="1" hidden="1" outlineLevel="1" x14ac:dyDescent="0.25">
      <c r="A723" s="344">
        <v>50.24</v>
      </c>
      <c r="B723" s="279" t="str">
        <f t="shared" si="225"/>
        <v>400x16PL</v>
      </c>
      <c r="C723" s="278" t="s">
        <v>1769</v>
      </c>
      <c r="D723" s="278"/>
      <c r="E723" s="278" t="s">
        <v>1860</v>
      </c>
      <c r="F723" s="278"/>
      <c r="G723" s="278" t="s">
        <v>15</v>
      </c>
      <c r="H723" s="328">
        <f t="shared" si="197"/>
        <v>0.70335999999999999</v>
      </c>
      <c r="I723" s="280">
        <f t="shared" si="226"/>
        <v>56.704883200000005</v>
      </c>
      <c r="J723" s="281">
        <f t="shared" si="227"/>
        <v>64.308204799999999</v>
      </c>
      <c r="K723" s="282">
        <f>IF(Notes!$B$9="Domestic",I723, IF(Notes!$B$9="Commercial",J723))*$K$415</f>
        <v>64.308204799999999</v>
      </c>
      <c r="L723" s="283">
        <f>(SUM(O723:Q723)+(K723+SUM(M723:Q723))*(INDEX($U$415:$AB$415,MATCH(Notes!$C$16,$U$3:$AB$3,0))-100%))*$L$415</f>
        <v>371.15302400000002</v>
      </c>
      <c r="M723" s="286"/>
      <c r="N723" s="286"/>
      <c r="O723" s="311">
        <f t="shared" si="228"/>
        <v>120.57599999999999</v>
      </c>
      <c r="P723" s="311">
        <f t="shared" si="228"/>
        <v>250.57702400000002</v>
      </c>
      <c r="Q723" s="285"/>
      <c r="R723" s="278"/>
      <c r="S723" s="278"/>
      <c r="T723" s="278"/>
    </row>
    <row r="724" spans="1:20" s="305" customFormat="1" hidden="1" outlineLevel="1" x14ac:dyDescent="0.25">
      <c r="A724" s="344">
        <v>62.8</v>
      </c>
      <c r="B724" s="279" t="str">
        <f t="shared" si="225"/>
        <v>400x20PL</v>
      </c>
      <c r="C724" s="278" t="s">
        <v>1770</v>
      </c>
      <c r="D724" s="278"/>
      <c r="E724" s="278" t="s">
        <v>1860</v>
      </c>
      <c r="F724" s="278"/>
      <c r="G724" s="278" t="s">
        <v>15</v>
      </c>
      <c r="H724" s="328">
        <f t="shared" si="197"/>
        <v>0.87919999999999998</v>
      </c>
      <c r="I724" s="280">
        <f t="shared" si="226"/>
        <v>70.881104000000008</v>
      </c>
      <c r="J724" s="281">
        <f t="shared" si="227"/>
        <v>80.385255999999998</v>
      </c>
      <c r="K724" s="282">
        <f>IF(Notes!$B$9="Domestic",I724, IF(Notes!$B$9="Commercial",J724))*$K$415</f>
        <v>80.385255999999998</v>
      </c>
      <c r="L724" s="283">
        <f>(SUM(O724:Q724)+(K724+SUM(M724:Q724))*(INDEX($U$415:$AB$415,MATCH(Notes!$C$16,$U$3:$AB$3,0))-100%))*$L$415</f>
        <v>463.94128000000001</v>
      </c>
      <c r="M724" s="286"/>
      <c r="N724" s="286"/>
      <c r="O724" s="311">
        <f t="shared" si="228"/>
        <v>150.72</v>
      </c>
      <c r="P724" s="311">
        <f t="shared" si="228"/>
        <v>313.22128000000004</v>
      </c>
      <c r="Q724" s="285"/>
      <c r="R724" s="278"/>
      <c r="S724" s="278"/>
      <c r="T724" s="278"/>
    </row>
    <row r="725" spans="1:20" s="305" customFormat="1" hidden="1" outlineLevel="1" x14ac:dyDescent="0.25">
      <c r="A725" s="344">
        <v>69.08</v>
      </c>
      <c r="B725" s="279" t="str">
        <f t="shared" si="225"/>
        <v>400x22PL</v>
      </c>
      <c r="C725" s="278" t="s">
        <v>1771</v>
      </c>
      <c r="D725" s="278"/>
      <c r="E725" s="278" t="s">
        <v>1860</v>
      </c>
      <c r="F725" s="278"/>
      <c r="G725" s="278" t="s">
        <v>15</v>
      </c>
      <c r="H725" s="328">
        <f t="shared" si="197"/>
        <v>0.96711999999999998</v>
      </c>
      <c r="I725" s="280">
        <f t="shared" si="226"/>
        <v>77.969214399999998</v>
      </c>
      <c r="J725" s="281">
        <f t="shared" si="227"/>
        <v>88.423781599999998</v>
      </c>
      <c r="K725" s="282">
        <f>IF(Notes!$B$9="Domestic",I725, IF(Notes!$B$9="Commercial",J725))*$K$415</f>
        <v>88.423781599999998</v>
      </c>
      <c r="L725" s="283">
        <f>(SUM(O725:Q725)+(K725+SUM(M725:Q725))*(INDEX($U$415:$AB$415,MATCH(Notes!$C$16,$U$3:$AB$3,0))-100%))*$L$415</f>
        <v>510.33540800000003</v>
      </c>
      <c r="M725" s="286"/>
      <c r="N725" s="286"/>
      <c r="O725" s="311">
        <f t="shared" si="228"/>
        <v>165.792</v>
      </c>
      <c r="P725" s="311">
        <f t="shared" si="228"/>
        <v>344.543408</v>
      </c>
      <c r="Q725" s="285"/>
      <c r="R725" s="278"/>
      <c r="S725" s="278"/>
      <c r="T725" s="278"/>
    </row>
    <row r="726" spans="1:20" s="305" customFormat="1" hidden="1" outlineLevel="1" x14ac:dyDescent="0.25">
      <c r="A726" s="344">
        <v>78.5</v>
      </c>
      <c r="B726" s="279" t="str">
        <f t="shared" si="225"/>
        <v>400x25PL</v>
      </c>
      <c r="C726" s="278" t="s">
        <v>1772</v>
      </c>
      <c r="D726" s="278"/>
      <c r="E726" s="278" t="s">
        <v>1860</v>
      </c>
      <c r="F726" s="278"/>
      <c r="G726" s="278" t="s">
        <v>15</v>
      </c>
      <c r="H726" s="328">
        <f t="shared" si="197"/>
        <v>1.099</v>
      </c>
      <c r="I726" s="280">
        <f t="shared" si="226"/>
        <v>88.601380000000006</v>
      </c>
      <c r="J726" s="281">
        <f t="shared" si="227"/>
        <v>100.48157</v>
      </c>
      <c r="K726" s="282">
        <f>IF(Notes!$B$9="Domestic",I726, IF(Notes!$B$9="Commercial",J726))*$K$415</f>
        <v>100.48157</v>
      </c>
      <c r="L726" s="283">
        <f>(SUM(O726:Q726)+(K726+SUM(M726:Q726))*(INDEX($U$415:$AB$415,MATCH(Notes!$C$16,$U$3:$AB$3,0))-100%))*$L$415</f>
        <v>579.92660000000001</v>
      </c>
      <c r="M726" s="286"/>
      <c r="N726" s="286"/>
      <c r="O726" s="311">
        <f t="shared" si="228"/>
        <v>188.4</v>
      </c>
      <c r="P726" s="311">
        <f t="shared" si="228"/>
        <v>391.52660000000003</v>
      </c>
      <c r="Q726" s="285"/>
      <c r="R726" s="278"/>
      <c r="S726" s="278"/>
      <c r="T726" s="278"/>
    </row>
    <row r="727" spans="1:20" s="305" customFormat="1" hidden="1" outlineLevel="1" x14ac:dyDescent="0.25">
      <c r="A727" s="344">
        <v>87.92</v>
      </c>
      <c r="B727" s="279" t="str">
        <f t="shared" si="225"/>
        <v>400x28PL</v>
      </c>
      <c r="C727" s="278" t="s">
        <v>1773</v>
      </c>
      <c r="D727" s="278"/>
      <c r="E727" s="278" t="s">
        <v>1860</v>
      </c>
      <c r="F727" s="278"/>
      <c r="G727" s="278" t="s">
        <v>15</v>
      </c>
      <c r="H727" s="328">
        <f t="shared" si="197"/>
        <v>1.2308800000000002</v>
      </c>
      <c r="I727" s="280">
        <f t="shared" si="226"/>
        <v>99.233545600000028</v>
      </c>
      <c r="J727" s="281">
        <f t="shared" si="227"/>
        <v>112.53935840000003</v>
      </c>
      <c r="K727" s="282">
        <f>IF(Notes!$B$9="Domestic",I727, IF(Notes!$B$9="Commercial",J727))*$K$415</f>
        <v>112.53935840000003</v>
      </c>
      <c r="L727" s="283">
        <f>(SUM(O727:Q727)+(K727+SUM(M727:Q727))*(INDEX($U$415:$AB$415,MATCH(Notes!$C$16,$U$3:$AB$3,0))-100%))*$L$415</f>
        <v>649.51779199999999</v>
      </c>
      <c r="M727" s="286"/>
      <c r="N727" s="286"/>
      <c r="O727" s="311">
        <f t="shared" si="228"/>
        <v>211.00800000000001</v>
      </c>
      <c r="P727" s="311">
        <f t="shared" si="228"/>
        <v>438.509792</v>
      </c>
      <c r="Q727" s="285"/>
      <c r="R727" s="278"/>
      <c r="S727" s="278"/>
      <c r="T727" s="278"/>
    </row>
    <row r="728" spans="1:20" s="305" customFormat="1" hidden="1" outlineLevel="1" x14ac:dyDescent="0.25">
      <c r="A728" s="344">
        <v>100.48</v>
      </c>
      <c r="B728" s="279" t="str">
        <f t="shared" si="225"/>
        <v>400x32PL</v>
      </c>
      <c r="C728" s="278" t="s">
        <v>1774</v>
      </c>
      <c r="D728" s="278"/>
      <c r="E728" s="278" t="s">
        <v>1860</v>
      </c>
      <c r="F728" s="278"/>
      <c r="G728" s="278" t="s">
        <v>15</v>
      </c>
      <c r="H728" s="328">
        <f t="shared" si="197"/>
        <v>1.40672</v>
      </c>
      <c r="I728" s="280">
        <f t="shared" si="226"/>
        <v>113.40976640000001</v>
      </c>
      <c r="J728" s="281">
        <f t="shared" si="227"/>
        <v>128.6164096</v>
      </c>
      <c r="K728" s="282">
        <f>IF(Notes!$B$9="Domestic",I728, IF(Notes!$B$9="Commercial",J728))*$K$415</f>
        <v>128.6164096</v>
      </c>
      <c r="L728" s="283">
        <f>(SUM(O728:Q728)+(K728+SUM(M728:Q728))*(INDEX($U$415:$AB$415,MATCH(Notes!$C$16,$U$3:$AB$3,0))-100%))*$L$415</f>
        <v>742.30604800000003</v>
      </c>
      <c r="M728" s="286"/>
      <c r="N728" s="286"/>
      <c r="O728" s="311">
        <f t="shared" si="228"/>
        <v>241.15199999999999</v>
      </c>
      <c r="P728" s="311">
        <f t="shared" si="228"/>
        <v>501.15404800000005</v>
      </c>
      <c r="Q728" s="285"/>
      <c r="R728" s="278"/>
      <c r="S728" s="278"/>
      <c r="T728" s="278"/>
    </row>
    <row r="729" spans="1:20" s="305" customFormat="1" hidden="1" outlineLevel="1" x14ac:dyDescent="0.25">
      <c r="A729" s="344">
        <v>113.04000000000002</v>
      </c>
      <c r="B729" s="279" t="str">
        <f t="shared" si="225"/>
        <v>400x36PL</v>
      </c>
      <c r="C729" s="278" t="s">
        <v>1775</v>
      </c>
      <c r="D729" s="278"/>
      <c r="E729" s="278" t="s">
        <v>1860</v>
      </c>
      <c r="F729" s="278"/>
      <c r="G729" s="278" t="s">
        <v>15</v>
      </c>
      <c r="H729" s="328">
        <f t="shared" si="197"/>
        <v>1.5825600000000004</v>
      </c>
      <c r="I729" s="280">
        <f t="shared" si="226"/>
        <v>127.58598720000003</v>
      </c>
      <c r="J729" s="281">
        <f t="shared" si="227"/>
        <v>144.69346080000005</v>
      </c>
      <c r="K729" s="282">
        <f>IF(Notes!$B$9="Domestic",I729, IF(Notes!$B$9="Commercial",J729))*$K$415</f>
        <v>144.69346080000005</v>
      </c>
      <c r="L729" s="283">
        <f>(SUM(O729:Q729)+(K729+SUM(M729:Q729))*(INDEX($U$415:$AB$415,MATCH(Notes!$C$16,$U$3:$AB$3,0))-100%))*$L$415</f>
        <v>835.09430400000019</v>
      </c>
      <c r="M729" s="286"/>
      <c r="N729" s="286"/>
      <c r="O729" s="311">
        <f t="shared" si="228"/>
        <v>271.29600000000005</v>
      </c>
      <c r="P729" s="311">
        <f t="shared" si="228"/>
        <v>563.79830400000014</v>
      </c>
      <c r="Q729" s="285"/>
      <c r="R729" s="278"/>
      <c r="S729" s="278"/>
      <c r="T729" s="278"/>
    </row>
    <row r="730" spans="1:20" s="305" customFormat="1" hidden="1" outlineLevel="1" x14ac:dyDescent="0.25">
      <c r="A730" s="344">
        <v>125.6</v>
      </c>
      <c r="B730" s="279" t="str">
        <f t="shared" si="225"/>
        <v>400x40PL</v>
      </c>
      <c r="C730" s="278" t="s">
        <v>1776</v>
      </c>
      <c r="D730" s="278"/>
      <c r="E730" s="278" t="s">
        <v>1860</v>
      </c>
      <c r="F730" s="278"/>
      <c r="G730" s="278" t="s">
        <v>15</v>
      </c>
      <c r="H730" s="328">
        <f t="shared" si="197"/>
        <v>1.7584</v>
      </c>
      <c r="I730" s="280">
        <f t="shared" si="226"/>
        <v>141.76220800000002</v>
      </c>
      <c r="J730" s="281">
        <f t="shared" si="227"/>
        <v>160.770512</v>
      </c>
      <c r="K730" s="282">
        <f>IF(Notes!$B$9="Domestic",I730, IF(Notes!$B$9="Commercial",J730))*$K$415</f>
        <v>160.770512</v>
      </c>
      <c r="L730" s="283">
        <f>(SUM(O730:Q730)+(K730+SUM(M730:Q730))*(INDEX($U$415:$AB$415,MATCH(Notes!$C$16,$U$3:$AB$3,0))-100%))*$L$415</f>
        <v>927.88256000000001</v>
      </c>
      <c r="M730" s="286"/>
      <c r="N730" s="286"/>
      <c r="O730" s="311">
        <f t="shared" si="228"/>
        <v>301.44</v>
      </c>
      <c r="P730" s="311">
        <f t="shared" si="228"/>
        <v>626.44256000000007</v>
      </c>
      <c r="Q730" s="285"/>
      <c r="R730" s="278"/>
      <c r="S730" s="278"/>
      <c r="T730" s="278"/>
    </row>
    <row r="731" spans="1:20" s="305" customFormat="1" hidden="1" outlineLevel="1" x14ac:dyDescent="0.25">
      <c r="A731" s="344">
        <v>141.30000000000001</v>
      </c>
      <c r="B731" s="279" t="str">
        <f t="shared" si="225"/>
        <v>400x45PL</v>
      </c>
      <c r="C731" s="278" t="s">
        <v>821</v>
      </c>
      <c r="D731" s="278"/>
      <c r="E731" s="278" t="s">
        <v>1860</v>
      </c>
      <c r="F731" s="278"/>
      <c r="G731" s="278" t="s">
        <v>15</v>
      </c>
      <c r="H731" s="328">
        <f t="shared" si="197"/>
        <v>1.9782000000000002</v>
      </c>
      <c r="I731" s="280">
        <f t="shared" si="226"/>
        <v>159.48248400000003</v>
      </c>
      <c r="J731" s="281">
        <f t="shared" si="227"/>
        <v>180.86682600000003</v>
      </c>
      <c r="K731" s="282">
        <f>IF(Notes!$B$9="Domestic",I731, IF(Notes!$B$9="Commercial",J731))*$K$415</f>
        <v>180.86682600000003</v>
      </c>
      <c r="L731" s="283">
        <f>(SUM(O731:Q731)+(K731+SUM(M731:Q731))*(INDEX($U$415:$AB$415,MATCH(Notes!$C$16,$U$3:$AB$3,0))-100%))*$L$415</f>
        <v>1043.8678800000002</v>
      </c>
      <c r="M731" s="286"/>
      <c r="N731" s="286"/>
      <c r="O731" s="311">
        <f t="shared" si="228"/>
        <v>339.12</v>
      </c>
      <c r="P731" s="311">
        <f t="shared" si="228"/>
        <v>704.74788000000012</v>
      </c>
      <c r="Q731" s="285"/>
      <c r="R731" s="278"/>
      <c r="S731" s="278"/>
      <c r="T731" s="278"/>
    </row>
    <row r="732" spans="1:20" s="305" customFormat="1" hidden="1" outlineLevel="1" x14ac:dyDescent="0.25">
      <c r="A732" s="344">
        <v>157</v>
      </c>
      <c r="B732" s="279" t="str">
        <f t="shared" si="225"/>
        <v>400x50PL</v>
      </c>
      <c r="C732" s="278" t="s">
        <v>1777</v>
      </c>
      <c r="D732" s="278"/>
      <c r="E732" s="278" t="s">
        <v>1860</v>
      </c>
      <c r="F732" s="278"/>
      <c r="G732" s="278" t="s">
        <v>15</v>
      </c>
      <c r="H732" s="328">
        <f t="shared" si="197"/>
        <v>2.198</v>
      </c>
      <c r="I732" s="280">
        <f t="shared" si="226"/>
        <v>177.20276000000001</v>
      </c>
      <c r="J732" s="281">
        <f t="shared" si="227"/>
        <v>200.96314000000001</v>
      </c>
      <c r="K732" s="282">
        <f>IF(Notes!$B$9="Domestic",I732, IF(Notes!$B$9="Commercial",J732))*$K$415</f>
        <v>200.96314000000001</v>
      </c>
      <c r="L732" s="283">
        <f>(SUM(O732:Q732)+(K732+SUM(M732:Q732))*(INDEX($U$415:$AB$415,MATCH(Notes!$C$16,$U$3:$AB$3,0))-100%))*$L$415</f>
        <v>1159.8532</v>
      </c>
      <c r="M732" s="286"/>
      <c r="N732" s="286"/>
      <c r="O732" s="311">
        <f t="shared" si="228"/>
        <v>376.8</v>
      </c>
      <c r="P732" s="311">
        <f t="shared" si="228"/>
        <v>783.05320000000006</v>
      </c>
      <c r="Q732" s="285"/>
      <c r="R732" s="278"/>
      <c r="S732" s="278"/>
      <c r="T732" s="278"/>
    </row>
    <row r="733" spans="1:20" s="305" customFormat="1" hidden="1" outlineLevel="1" x14ac:dyDescent="0.25">
      <c r="A733" s="344">
        <v>172.7</v>
      </c>
      <c r="B733" s="279" t="str">
        <f t="shared" si="225"/>
        <v>400x55PL</v>
      </c>
      <c r="C733" s="278" t="s">
        <v>1778</v>
      </c>
      <c r="D733" s="278"/>
      <c r="E733" s="278" t="s">
        <v>1860</v>
      </c>
      <c r="F733" s="278"/>
      <c r="G733" s="278" t="s">
        <v>15</v>
      </c>
      <c r="H733" s="328">
        <f t="shared" si="197"/>
        <v>2.4177999999999997</v>
      </c>
      <c r="I733" s="280">
        <f t="shared" si="226"/>
        <v>194.923036</v>
      </c>
      <c r="J733" s="281">
        <f t="shared" si="227"/>
        <v>221.05945399999999</v>
      </c>
      <c r="K733" s="282">
        <f>IF(Notes!$B$9="Domestic",I733, IF(Notes!$B$9="Commercial",J733))*$K$415</f>
        <v>221.05945399999999</v>
      </c>
      <c r="L733" s="283">
        <f>(SUM(O733:Q733)+(K733+SUM(M733:Q733))*(INDEX($U$415:$AB$415,MATCH(Notes!$C$16,$U$3:$AB$3,0))-100%))*$L$415</f>
        <v>1275.83852</v>
      </c>
      <c r="M733" s="286"/>
      <c r="N733" s="286"/>
      <c r="O733" s="311">
        <f t="shared" si="228"/>
        <v>414.48</v>
      </c>
      <c r="P733" s="311">
        <f t="shared" si="228"/>
        <v>861.35852</v>
      </c>
      <c r="Q733" s="285"/>
      <c r="R733" s="278"/>
      <c r="S733" s="278"/>
      <c r="T733" s="278"/>
    </row>
    <row r="734" spans="1:20" s="305" customFormat="1" hidden="1" outlineLevel="1" x14ac:dyDescent="0.25">
      <c r="A734" s="344">
        <v>188.4</v>
      </c>
      <c r="B734" s="279" t="str">
        <f t="shared" si="225"/>
        <v>400x60PL</v>
      </c>
      <c r="C734" s="278" t="s">
        <v>1779</v>
      </c>
      <c r="D734" s="278"/>
      <c r="E734" s="278" t="s">
        <v>1860</v>
      </c>
      <c r="F734" s="278"/>
      <c r="G734" s="278" t="s">
        <v>15</v>
      </c>
      <c r="H734" s="328">
        <f t="shared" si="197"/>
        <v>2.6375999999999999</v>
      </c>
      <c r="I734" s="280">
        <f t="shared" si="226"/>
        <v>212.64331200000001</v>
      </c>
      <c r="J734" s="281">
        <f t="shared" si="227"/>
        <v>241.15576800000002</v>
      </c>
      <c r="K734" s="282">
        <f>IF(Notes!$B$9="Domestic",I734, IF(Notes!$B$9="Commercial",J734))*$K$415</f>
        <v>241.15576800000002</v>
      </c>
      <c r="L734" s="283">
        <f>(SUM(O734:Q734)+(K734+SUM(M734:Q734))*(INDEX($U$415:$AB$415,MATCH(Notes!$C$16,$U$3:$AB$3,0))-100%))*$L$415</f>
        <v>1391.82384</v>
      </c>
      <c r="M734" s="286"/>
      <c r="N734" s="286"/>
      <c r="O734" s="311">
        <f t="shared" si="228"/>
        <v>452.16</v>
      </c>
      <c r="P734" s="311">
        <f t="shared" si="228"/>
        <v>939.66384000000005</v>
      </c>
      <c r="Q734" s="285"/>
      <c r="R734" s="278"/>
      <c r="S734" s="278"/>
      <c r="T734" s="278"/>
    </row>
    <row r="735" spans="1:20" s="305" customFormat="1" hidden="1" outlineLevel="1" x14ac:dyDescent="0.25">
      <c r="A735" s="344">
        <v>204</v>
      </c>
      <c r="B735" s="279" t="str">
        <f t="shared" si="225"/>
        <v>400x65PL</v>
      </c>
      <c r="C735" s="278" t="s">
        <v>1780</v>
      </c>
      <c r="D735" s="278"/>
      <c r="E735" s="278" t="s">
        <v>1860</v>
      </c>
      <c r="F735" s="278"/>
      <c r="G735" s="278" t="s">
        <v>15</v>
      </c>
      <c r="H735" s="328">
        <f t="shared" si="197"/>
        <v>2.8559999999999999</v>
      </c>
      <c r="I735" s="280">
        <f t="shared" si="226"/>
        <v>230.25072</v>
      </c>
      <c r="J735" s="281">
        <f t="shared" si="227"/>
        <v>261.12407999999999</v>
      </c>
      <c r="K735" s="282">
        <f>IF(Notes!$B$9="Domestic",I735, IF(Notes!$B$9="Commercial",J735))*$K$415</f>
        <v>261.12407999999999</v>
      </c>
      <c r="L735" s="283">
        <f>(SUM(O735:Q735)+(K735+SUM(M735:Q735))*(INDEX($U$415:$AB$415,MATCH(Notes!$C$16,$U$3:$AB$3,0))-100%))*$L$415</f>
        <v>1507.0704000000001</v>
      </c>
      <c r="M735" s="286"/>
      <c r="N735" s="286"/>
      <c r="O735" s="311">
        <f t="shared" si="228"/>
        <v>489.6</v>
      </c>
      <c r="P735" s="311">
        <f t="shared" si="228"/>
        <v>1017.4704</v>
      </c>
      <c r="Q735" s="285"/>
      <c r="R735" s="278"/>
      <c r="S735" s="278"/>
      <c r="T735" s="278"/>
    </row>
    <row r="736" spans="1:20" s="305" customFormat="1" hidden="1" outlineLevel="1" x14ac:dyDescent="0.25">
      <c r="A736" s="344">
        <v>219.8</v>
      </c>
      <c r="B736" s="279" t="str">
        <f t="shared" ref="B736:B799" si="229">C736&amp;D736&amp;E736&amp;F736</f>
        <v>400x70PL</v>
      </c>
      <c r="C736" s="278" t="s">
        <v>1781</v>
      </c>
      <c r="D736" s="278"/>
      <c r="E736" s="278" t="s">
        <v>1860</v>
      </c>
      <c r="F736" s="278"/>
      <c r="G736" s="278" t="s">
        <v>15</v>
      </c>
      <c r="H736" s="328">
        <f t="shared" si="197"/>
        <v>3.0772000000000004</v>
      </c>
      <c r="I736" s="280">
        <f t="shared" ref="I736:I799" si="230">$I$2*H736</f>
        <v>248.08386400000003</v>
      </c>
      <c r="J736" s="281">
        <f t="shared" ref="J736:J799" si="231">$J$2*H736</f>
        <v>281.34839600000004</v>
      </c>
      <c r="K736" s="282">
        <f>IF(Notes!$B$9="Domestic",I736, IF(Notes!$B$9="Commercial",J736))*$K$415</f>
        <v>281.34839600000004</v>
      </c>
      <c r="L736" s="283">
        <f>(SUM(O736:Q736)+(K736+SUM(M736:Q736))*(INDEX($U$415:$AB$415,MATCH(Notes!$C$16,$U$3:$AB$3,0))-100%))*$L$415</f>
        <v>1623.7944800000002</v>
      </c>
      <c r="M736" s="286"/>
      <c r="N736" s="286"/>
      <c r="O736" s="311">
        <f t="shared" si="228"/>
        <v>527.52</v>
      </c>
      <c r="P736" s="311">
        <f t="shared" si="228"/>
        <v>1096.2744800000003</v>
      </c>
      <c r="Q736" s="285"/>
      <c r="R736" s="278"/>
      <c r="S736" s="278"/>
      <c r="T736" s="278"/>
    </row>
    <row r="737" spans="1:20" s="305" customFormat="1" hidden="1" outlineLevel="1" x14ac:dyDescent="0.25">
      <c r="A737" s="344">
        <v>235.5</v>
      </c>
      <c r="B737" s="279" t="str">
        <f t="shared" si="229"/>
        <v>400x75PL</v>
      </c>
      <c r="C737" s="278" t="s">
        <v>822</v>
      </c>
      <c r="D737" s="278"/>
      <c r="E737" s="278" t="s">
        <v>1860</v>
      </c>
      <c r="F737" s="278"/>
      <c r="G737" s="278" t="s">
        <v>15</v>
      </c>
      <c r="H737" s="328">
        <f t="shared" si="197"/>
        <v>3.2970000000000002</v>
      </c>
      <c r="I737" s="280">
        <f t="shared" si="230"/>
        <v>265.80414000000002</v>
      </c>
      <c r="J737" s="281">
        <f t="shared" si="231"/>
        <v>301.44471000000004</v>
      </c>
      <c r="K737" s="282">
        <f>IF(Notes!$B$9="Domestic",I737, IF(Notes!$B$9="Commercial",J737))*$K$415</f>
        <v>301.44471000000004</v>
      </c>
      <c r="L737" s="283">
        <f>(SUM(O737:Q737)+(K737+SUM(M737:Q737))*(INDEX($U$415:$AB$415,MATCH(Notes!$C$16,$U$3:$AB$3,0))-100%))*$L$415</f>
        <v>1739.7798</v>
      </c>
      <c r="M737" s="286"/>
      <c r="N737" s="286"/>
      <c r="O737" s="311">
        <f t="shared" si="228"/>
        <v>565.20000000000005</v>
      </c>
      <c r="P737" s="311">
        <f t="shared" si="228"/>
        <v>1174.5798</v>
      </c>
      <c r="Q737" s="285"/>
      <c r="R737" s="278"/>
      <c r="S737" s="278"/>
      <c r="T737" s="278"/>
    </row>
    <row r="738" spans="1:20" s="305" customFormat="1" hidden="1" outlineLevel="1" x14ac:dyDescent="0.25">
      <c r="A738" s="344">
        <v>251.2</v>
      </c>
      <c r="B738" s="279" t="str">
        <f t="shared" si="229"/>
        <v>400x80PL</v>
      </c>
      <c r="C738" s="278" t="s">
        <v>1782</v>
      </c>
      <c r="D738" s="278"/>
      <c r="E738" s="278" t="s">
        <v>1860</v>
      </c>
      <c r="F738" s="278"/>
      <c r="G738" s="278" t="s">
        <v>15</v>
      </c>
      <c r="H738" s="328">
        <f t="shared" si="197"/>
        <v>3.5167999999999999</v>
      </c>
      <c r="I738" s="280">
        <f t="shared" si="230"/>
        <v>283.52441600000003</v>
      </c>
      <c r="J738" s="281">
        <f t="shared" si="231"/>
        <v>321.54102399999999</v>
      </c>
      <c r="K738" s="282">
        <f>IF(Notes!$B$9="Domestic",I738, IF(Notes!$B$9="Commercial",J738))*$K$415</f>
        <v>321.54102399999999</v>
      </c>
      <c r="L738" s="283">
        <f>(SUM(O738:Q738)+(K738+SUM(M738:Q738))*(INDEX($U$415:$AB$415,MATCH(Notes!$C$16,$U$3:$AB$3,0))-100%))*$L$415</f>
        <v>1855.76512</v>
      </c>
      <c r="M738" s="286"/>
      <c r="N738" s="286"/>
      <c r="O738" s="311">
        <f t="shared" si="228"/>
        <v>602.88</v>
      </c>
      <c r="P738" s="311">
        <f t="shared" si="228"/>
        <v>1252.8851200000001</v>
      </c>
      <c r="Q738" s="285"/>
      <c r="R738" s="278"/>
      <c r="S738" s="278"/>
      <c r="T738" s="278"/>
    </row>
    <row r="739" spans="1:20" s="305" customFormat="1" hidden="1" outlineLevel="1" x14ac:dyDescent="0.25">
      <c r="A739" s="344">
        <v>282.60000000000002</v>
      </c>
      <c r="B739" s="279" t="str">
        <f t="shared" si="229"/>
        <v>400x90PL</v>
      </c>
      <c r="C739" s="278" t="s">
        <v>820</v>
      </c>
      <c r="D739" s="278"/>
      <c r="E739" s="278" t="s">
        <v>1860</v>
      </c>
      <c r="F739" s="278"/>
      <c r="G739" s="278" t="s">
        <v>15</v>
      </c>
      <c r="H739" s="328">
        <f t="shared" si="197"/>
        <v>3.9564000000000004</v>
      </c>
      <c r="I739" s="280">
        <f t="shared" si="230"/>
        <v>318.96496800000006</v>
      </c>
      <c r="J739" s="281">
        <f t="shared" si="231"/>
        <v>361.73365200000006</v>
      </c>
      <c r="K739" s="282">
        <f>IF(Notes!$B$9="Domestic",I739, IF(Notes!$B$9="Commercial",J739))*$K$415</f>
        <v>361.73365200000006</v>
      </c>
      <c r="L739" s="283">
        <f>(SUM(O739:Q739)+(K739+SUM(M739:Q739))*(INDEX($U$415:$AB$415,MATCH(Notes!$C$16,$U$3:$AB$3,0))-100%))*$L$415</f>
        <v>2087.7357600000005</v>
      </c>
      <c r="M739" s="286"/>
      <c r="N739" s="286"/>
      <c r="O739" s="311">
        <f t="shared" si="228"/>
        <v>678.24</v>
      </c>
      <c r="P739" s="311">
        <f t="shared" si="228"/>
        <v>1409.4957600000002</v>
      </c>
      <c r="Q739" s="285"/>
      <c r="R739" s="278"/>
      <c r="S739" s="278"/>
      <c r="T739" s="278"/>
    </row>
    <row r="740" spans="1:20" s="305" customFormat="1" hidden="1" outlineLevel="1" x14ac:dyDescent="0.25">
      <c r="A740" s="344">
        <v>314</v>
      </c>
      <c r="B740" s="279" t="str">
        <f t="shared" si="229"/>
        <v>400x100PL</v>
      </c>
      <c r="C740" s="278" t="s">
        <v>1783</v>
      </c>
      <c r="D740" s="278"/>
      <c r="E740" s="278" t="s">
        <v>1860</v>
      </c>
      <c r="F740" s="278"/>
      <c r="G740" s="278" t="s">
        <v>15</v>
      </c>
      <c r="H740" s="328">
        <f t="shared" si="197"/>
        <v>4.3959999999999999</v>
      </c>
      <c r="I740" s="280">
        <f t="shared" si="230"/>
        <v>354.40552000000002</v>
      </c>
      <c r="J740" s="281">
        <f t="shared" si="231"/>
        <v>401.92628000000002</v>
      </c>
      <c r="K740" s="282">
        <f>IF(Notes!$B$9="Domestic",I740, IF(Notes!$B$9="Commercial",J740))*$K$415</f>
        <v>401.92628000000002</v>
      </c>
      <c r="L740" s="283">
        <f>(SUM(O740:Q740)+(K740+SUM(M740:Q740))*(INDEX($U$415:$AB$415,MATCH(Notes!$C$16,$U$3:$AB$3,0))-100%))*$L$415</f>
        <v>2319.7064</v>
      </c>
      <c r="M740" s="286"/>
      <c r="N740" s="286"/>
      <c r="O740" s="311">
        <f t="shared" si="228"/>
        <v>753.6</v>
      </c>
      <c r="P740" s="311">
        <f t="shared" si="228"/>
        <v>1566.1064000000001</v>
      </c>
      <c r="Q740" s="285"/>
      <c r="R740" s="278"/>
      <c r="S740" s="278"/>
      <c r="T740" s="278"/>
    </row>
    <row r="741" spans="1:20" s="305" customFormat="1" hidden="1" outlineLevel="1" x14ac:dyDescent="0.25">
      <c r="A741" s="344">
        <v>11.775</v>
      </c>
      <c r="B741" s="279" t="str">
        <f t="shared" si="229"/>
        <v>500x3PL</v>
      </c>
      <c r="C741" s="278" t="s">
        <v>1784</v>
      </c>
      <c r="D741" s="278"/>
      <c r="E741" s="278" t="s">
        <v>1860</v>
      </c>
      <c r="F741" s="278"/>
      <c r="G741" s="278" t="s">
        <v>15</v>
      </c>
      <c r="H741" s="328">
        <f t="shared" si="197"/>
        <v>0.16485</v>
      </c>
      <c r="I741" s="280">
        <f t="shared" si="230"/>
        <v>13.290207000000001</v>
      </c>
      <c r="J741" s="281">
        <f t="shared" si="231"/>
        <v>15.072235500000001</v>
      </c>
      <c r="K741" s="282">
        <f>IF(Notes!$B$9="Domestic",I741, IF(Notes!$B$9="Commercial",J741))*$K$415</f>
        <v>15.072235500000001</v>
      </c>
      <c r="L741" s="283">
        <f>(SUM(O741:Q741)+(K741+SUM(M741:Q741))*(INDEX($U$415:$AB$415,MATCH(Notes!$C$16,$U$3:$AB$3,0))-100%))*$L$415</f>
        <v>86.988990000000001</v>
      </c>
      <c r="M741" s="286"/>
      <c r="N741" s="286"/>
      <c r="O741" s="311">
        <f t="shared" si="228"/>
        <v>28.26</v>
      </c>
      <c r="P741" s="311">
        <f t="shared" si="228"/>
        <v>58.728990000000003</v>
      </c>
      <c r="Q741" s="285"/>
      <c r="R741" s="278"/>
      <c r="S741" s="278"/>
      <c r="T741" s="278"/>
    </row>
    <row r="742" spans="1:20" s="305" customFormat="1" hidden="1" outlineLevel="1" x14ac:dyDescent="0.25">
      <c r="A742" s="344">
        <v>15.7</v>
      </c>
      <c r="B742" s="279" t="str">
        <f t="shared" si="229"/>
        <v>500x4PL</v>
      </c>
      <c r="C742" s="278" t="s">
        <v>1785</v>
      </c>
      <c r="D742" s="278"/>
      <c r="E742" s="278" t="s">
        <v>1860</v>
      </c>
      <c r="F742" s="278"/>
      <c r="G742" s="278" t="s">
        <v>15</v>
      </c>
      <c r="H742" s="328">
        <f t="shared" si="197"/>
        <v>0.2198</v>
      </c>
      <c r="I742" s="280">
        <f t="shared" si="230"/>
        <v>17.720276000000002</v>
      </c>
      <c r="J742" s="281">
        <f t="shared" si="231"/>
        <v>20.096314</v>
      </c>
      <c r="K742" s="282">
        <f>IF(Notes!$B$9="Domestic",I742, IF(Notes!$B$9="Commercial",J742))*$K$415</f>
        <v>20.096314</v>
      </c>
      <c r="L742" s="283">
        <f>(SUM(O742:Q742)+(K742+SUM(M742:Q742))*(INDEX($U$415:$AB$415,MATCH(Notes!$C$16,$U$3:$AB$3,0))-100%))*$L$415</f>
        <v>115.98532</v>
      </c>
      <c r="M742" s="286"/>
      <c r="N742" s="286"/>
      <c r="O742" s="311">
        <f t="shared" si="228"/>
        <v>37.68</v>
      </c>
      <c r="P742" s="311">
        <f t="shared" si="228"/>
        <v>78.305320000000009</v>
      </c>
      <c r="Q742" s="285"/>
      <c r="R742" s="278"/>
      <c r="S742" s="278"/>
      <c r="T742" s="278"/>
    </row>
    <row r="743" spans="1:20" s="305" customFormat="1" hidden="1" outlineLevel="1" x14ac:dyDescent="0.25">
      <c r="A743" s="344">
        <v>19.625</v>
      </c>
      <c r="B743" s="279" t="str">
        <f t="shared" si="229"/>
        <v>500x5PL</v>
      </c>
      <c r="C743" s="278" t="s">
        <v>1786</v>
      </c>
      <c r="D743" s="278"/>
      <c r="E743" s="278" t="s">
        <v>1860</v>
      </c>
      <c r="F743" s="278"/>
      <c r="G743" s="278" t="s">
        <v>15</v>
      </c>
      <c r="H743" s="328">
        <f t="shared" si="197"/>
        <v>0.27474999999999999</v>
      </c>
      <c r="I743" s="280">
        <f t="shared" si="230"/>
        <v>22.150345000000002</v>
      </c>
      <c r="J743" s="281">
        <f t="shared" si="231"/>
        <v>25.120392500000001</v>
      </c>
      <c r="K743" s="282">
        <f>IF(Notes!$B$9="Domestic",I743, IF(Notes!$B$9="Commercial",J743))*$K$415</f>
        <v>25.120392500000001</v>
      </c>
      <c r="L743" s="283">
        <f>(SUM(O743:Q743)+(K743+SUM(M743:Q743))*(INDEX($U$415:$AB$415,MATCH(Notes!$C$16,$U$3:$AB$3,0))-100%))*$L$415</f>
        <v>144.98165</v>
      </c>
      <c r="M743" s="286"/>
      <c r="N743" s="286"/>
      <c r="O743" s="311">
        <f t="shared" si="228"/>
        <v>47.1</v>
      </c>
      <c r="P743" s="311">
        <f t="shared" si="228"/>
        <v>97.881650000000008</v>
      </c>
      <c r="Q743" s="285"/>
      <c r="R743" s="278"/>
      <c r="S743" s="278"/>
      <c r="T743" s="278"/>
    </row>
    <row r="744" spans="1:20" s="305" customFormat="1" hidden="1" outlineLevel="1" x14ac:dyDescent="0.25">
      <c r="A744" s="344">
        <v>23.55</v>
      </c>
      <c r="B744" s="279" t="str">
        <f t="shared" si="229"/>
        <v>500x6PL</v>
      </c>
      <c r="C744" s="278" t="s">
        <v>1787</v>
      </c>
      <c r="D744" s="278"/>
      <c r="E744" s="278" t="s">
        <v>1860</v>
      </c>
      <c r="F744" s="278"/>
      <c r="G744" s="278" t="s">
        <v>15</v>
      </c>
      <c r="H744" s="328">
        <f t="shared" si="197"/>
        <v>0.32969999999999999</v>
      </c>
      <c r="I744" s="280">
        <f t="shared" si="230"/>
        <v>26.580414000000001</v>
      </c>
      <c r="J744" s="281">
        <f t="shared" si="231"/>
        <v>30.144471000000003</v>
      </c>
      <c r="K744" s="282">
        <f>IF(Notes!$B$9="Domestic",I744, IF(Notes!$B$9="Commercial",J744))*$K$415</f>
        <v>30.144471000000003</v>
      </c>
      <c r="L744" s="283">
        <f>(SUM(O744:Q744)+(K744+SUM(M744:Q744))*(INDEX($U$415:$AB$415,MATCH(Notes!$C$16,$U$3:$AB$3,0))-100%))*$L$415</f>
        <v>173.97798</v>
      </c>
      <c r="M744" s="286"/>
      <c r="N744" s="286"/>
      <c r="O744" s="311">
        <f t="shared" si="228"/>
        <v>56.52</v>
      </c>
      <c r="P744" s="311">
        <f t="shared" si="228"/>
        <v>117.45798000000001</v>
      </c>
      <c r="Q744" s="285"/>
      <c r="R744" s="278"/>
      <c r="S744" s="278"/>
      <c r="T744" s="278"/>
    </row>
    <row r="745" spans="1:20" s="305" customFormat="1" hidden="1" outlineLevel="1" x14ac:dyDescent="0.25">
      <c r="A745" s="344">
        <v>31.4</v>
      </c>
      <c r="B745" s="279" t="str">
        <f t="shared" si="229"/>
        <v>500x8PL</v>
      </c>
      <c r="C745" s="278" t="s">
        <v>1788</v>
      </c>
      <c r="D745" s="278"/>
      <c r="E745" s="278" t="s">
        <v>1860</v>
      </c>
      <c r="F745" s="278"/>
      <c r="G745" s="278" t="s">
        <v>15</v>
      </c>
      <c r="H745" s="328">
        <f t="shared" si="197"/>
        <v>0.43959999999999999</v>
      </c>
      <c r="I745" s="280">
        <f t="shared" si="230"/>
        <v>35.440552000000004</v>
      </c>
      <c r="J745" s="281">
        <f t="shared" si="231"/>
        <v>40.192627999999999</v>
      </c>
      <c r="K745" s="282">
        <f>IF(Notes!$B$9="Domestic",I745, IF(Notes!$B$9="Commercial",J745))*$K$415</f>
        <v>40.192627999999999</v>
      </c>
      <c r="L745" s="283">
        <f>(SUM(O745:Q745)+(K745+SUM(M745:Q745))*(INDEX($U$415:$AB$415,MATCH(Notes!$C$16,$U$3:$AB$3,0))-100%))*$L$415</f>
        <v>231.97064</v>
      </c>
      <c r="M745" s="286"/>
      <c r="N745" s="286"/>
      <c r="O745" s="311">
        <f t="shared" si="228"/>
        <v>75.36</v>
      </c>
      <c r="P745" s="311">
        <f t="shared" si="228"/>
        <v>156.61064000000002</v>
      </c>
      <c r="Q745" s="285"/>
      <c r="R745" s="278"/>
      <c r="S745" s="278"/>
      <c r="T745" s="278"/>
    </row>
    <row r="746" spans="1:20" s="305" customFormat="1" hidden="1" outlineLevel="1" x14ac:dyDescent="0.25">
      <c r="A746" s="344">
        <v>39.25</v>
      </c>
      <c r="B746" s="279" t="str">
        <f t="shared" si="229"/>
        <v>500x10PL</v>
      </c>
      <c r="C746" s="278" t="s">
        <v>1789</v>
      </c>
      <c r="D746" s="278"/>
      <c r="E746" s="278" t="s">
        <v>1860</v>
      </c>
      <c r="F746" s="278"/>
      <c r="G746" s="278" t="s">
        <v>15</v>
      </c>
      <c r="H746" s="328">
        <f t="shared" si="197"/>
        <v>0.54949999999999999</v>
      </c>
      <c r="I746" s="280">
        <f t="shared" si="230"/>
        <v>44.300690000000003</v>
      </c>
      <c r="J746" s="281">
        <f t="shared" si="231"/>
        <v>50.240785000000002</v>
      </c>
      <c r="K746" s="282">
        <f>IF(Notes!$B$9="Domestic",I746, IF(Notes!$B$9="Commercial",J746))*$K$415</f>
        <v>50.240785000000002</v>
      </c>
      <c r="L746" s="283">
        <f>(SUM(O746:Q746)+(K746+SUM(M746:Q746))*(INDEX($U$415:$AB$415,MATCH(Notes!$C$16,$U$3:$AB$3,0))-100%))*$L$415</f>
        <v>289.9633</v>
      </c>
      <c r="M746" s="286"/>
      <c r="N746" s="286"/>
      <c r="O746" s="311">
        <f t="shared" si="228"/>
        <v>94.2</v>
      </c>
      <c r="P746" s="311">
        <f t="shared" si="228"/>
        <v>195.76330000000002</v>
      </c>
      <c r="Q746" s="285"/>
      <c r="R746" s="278"/>
      <c r="S746" s="278"/>
      <c r="T746" s="278"/>
    </row>
    <row r="747" spans="1:20" s="305" customFormat="1" hidden="1" outlineLevel="1" x14ac:dyDescent="0.25">
      <c r="A747" s="344">
        <v>47.1</v>
      </c>
      <c r="B747" s="279" t="str">
        <f t="shared" si="229"/>
        <v>500x12PL</v>
      </c>
      <c r="C747" s="278" t="s">
        <v>1790</v>
      </c>
      <c r="D747" s="278"/>
      <c r="E747" s="278" t="s">
        <v>1860</v>
      </c>
      <c r="F747" s="278"/>
      <c r="G747" s="278" t="s">
        <v>15</v>
      </c>
      <c r="H747" s="328">
        <f t="shared" si="197"/>
        <v>0.65939999999999999</v>
      </c>
      <c r="I747" s="280">
        <f t="shared" si="230"/>
        <v>53.160828000000002</v>
      </c>
      <c r="J747" s="281">
        <f t="shared" si="231"/>
        <v>60.288942000000006</v>
      </c>
      <c r="K747" s="282">
        <f>IF(Notes!$B$9="Domestic",I747, IF(Notes!$B$9="Commercial",J747))*$K$415</f>
        <v>60.288942000000006</v>
      </c>
      <c r="L747" s="283">
        <f>(SUM(O747:Q747)+(K747+SUM(M747:Q747))*(INDEX($U$415:$AB$415,MATCH(Notes!$C$16,$U$3:$AB$3,0))-100%))*$L$415</f>
        <v>347.95596</v>
      </c>
      <c r="M747" s="286"/>
      <c r="N747" s="286"/>
      <c r="O747" s="311">
        <f t="shared" si="228"/>
        <v>113.04</v>
      </c>
      <c r="P747" s="311">
        <f t="shared" si="228"/>
        <v>234.91596000000001</v>
      </c>
      <c r="Q747" s="285"/>
      <c r="R747" s="278"/>
      <c r="S747" s="278"/>
      <c r="T747" s="278"/>
    </row>
    <row r="748" spans="1:20" s="305" customFormat="1" hidden="1" outlineLevel="1" x14ac:dyDescent="0.25">
      <c r="A748" s="344">
        <v>62.8</v>
      </c>
      <c r="B748" s="279" t="str">
        <f t="shared" si="229"/>
        <v>500x16PL</v>
      </c>
      <c r="C748" s="278" t="s">
        <v>1791</v>
      </c>
      <c r="D748" s="278"/>
      <c r="E748" s="278" t="s">
        <v>1860</v>
      </c>
      <c r="F748" s="278"/>
      <c r="G748" s="278" t="s">
        <v>15</v>
      </c>
      <c r="H748" s="328">
        <f t="shared" si="197"/>
        <v>0.87919999999999998</v>
      </c>
      <c r="I748" s="280">
        <f t="shared" si="230"/>
        <v>70.881104000000008</v>
      </c>
      <c r="J748" s="281">
        <f t="shared" si="231"/>
        <v>80.385255999999998</v>
      </c>
      <c r="K748" s="282">
        <f>IF(Notes!$B$9="Domestic",I748, IF(Notes!$B$9="Commercial",J748))*$K$415</f>
        <v>80.385255999999998</v>
      </c>
      <c r="L748" s="283">
        <f>(SUM(O748:Q748)+(K748+SUM(M748:Q748))*(INDEX($U$415:$AB$415,MATCH(Notes!$C$16,$U$3:$AB$3,0))-100%))*$L$415</f>
        <v>463.94128000000001</v>
      </c>
      <c r="M748" s="286"/>
      <c r="N748" s="286"/>
      <c r="O748" s="311">
        <f t="shared" si="228"/>
        <v>150.72</v>
      </c>
      <c r="P748" s="311">
        <f t="shared" si="228"/>
        <v>313.22128000000004</v>
      </c>
      <c r="Q748" s="285"/>
      <c r="R748" s="278"/>
      <c r="S748" s="278"/>
      <c r="T748" s="278"/>
    </row>
    <row r="749" spans="1:20" s="305" customFormat="1" hidden="1" outlineLevel="1" x14ac:dyDescent="0.25">
      <c r="A749" s="344">
        <v>78.5</v>
      </c>
      <c r="B749" s="279" t="str">
        <f t="shared" si="229"/>
        <v>500x20PL</v>
      </c>
      <c r="C749" s="278" t="s">
        <v>1792</v>
      </c>
      <c r="D749" s="278"/>
      <c r="E749" s="278" t="s">
        <v>1860</v>
      </c>
      <c r="F749" s="278"/>
      <c r="G749" s="278" t="s">
        <v>15</v>
      </c>
      <c r="H749" s="328">
        <f t="shared" si="197"/>
        <v>1.099</v>
      </c>
      <c r="I749" s="280">
        <f t="shared" si="230"/>
        <v>88.601380000000006</v>
      </c>
      <c r="J749" s="281">
        <f t="shared" si="231"/>
        <v>100.48157</v>
      </c>
      <c r="K749" s="282">
        <f>IF(Notes!$B$9="Domestic",I749, IF(Notes!$B$9="Commercial",J749))*$K$415</f>
        <v>100.48157</v>
      </c>
      <c r="L749" s="283">
        <f>(SUM(O749:Q749)+(K749+SUM(M749:Q749))*(INDEX($U$415:$AB$415,MATCH(Notes!$C$16,$U$3:$AB$3,0))-100%))*$L$415</f>
        <v>579.92660000000001</v>
      </c>
      <c r="M749" s="286"/>
      <c r="N749" s="286"/>
      <c r="O749" s="311">
        <f t="shared" si="228"/>
        <v>188.4</v>
      </c>
      <c r="P749" s="311">
        <f t="shared" si="228"/>
        <v>391.52660000000003</v>
      </c>
      <c r="Q749" s="285"/>
      <c r="R749" s="278"/>
      <c r="S749" s="278"/>
      <c r="T749" s="278"/>
    </row>
    <row r="750" spans="1:20" s="305" customFormat="1" hidden="1" outlineLevel="1" x14ac:dyDescent="0.25">
      <c r="A750" s="344">
        <v>86.35</v>
      </c>
      <c r="B750" s="279" t="str">
        <f t="shared" si="229"/>
        <v>500x22PL</v>
      </c>
      <c r="C750" s="278" t="s">
        <v>1793</v>
      </c>
      <c r="D750" s="278"/>
      <c r="E750" s="278" t="s">
        <v>1860</v>
      </c>
      <c r="F750" s="278"/>
      <c r="G750" s="278" t="s">
        <v>15</v>
      </c>
      <c r="H750" s="328">
        <f t="shared" si="197"/>
        <v>1.2088999999999999</v>
      </c>
      <c r="I750" s="280">
        <f t="shared" si="230"/>
        <v>97.461517999999998</v>
      </c>
      <c r="J750" s="281">
        <f t="shared" si="231"/>
        <v>110.52972699999999</v>
      </c>
      <c r="K750" s="282">
        <f>IF(Notes!$B$9="Domestic",I750, IF(Notes!$B$9="Commercial",J750))*$K$415</f>
        <v>110.52972699999999</v>
      </c>
      <c r="L750" s="283">
        <f>(SUM(O750:Q750)+(K750+SUM(M750:Q750))*(INDEX($U$415:$AB$415,MATCH(Notes!$C$16,$U$3:$AB$3,0))-100%))*$L$415</f>
        <v>637.91926000000001</v>
      </c>
      <c r="M750" s="286"/>
      <c r="N750" s="286"/>
      <c r="O750" s="311">
        <f t="shared" si="228"/>
        <v>207.24</v>
      </c>
      <c r="P750" s="311">
        <f t="shared" si="228"/>
        <v>430.67926</v>
      </c>
      <c r="Q750" s="285"/>
      <c r="R750" s="278"/>
      <c r="S750" s="278"/>
      <c r="T750" s="278"/>
    </row>
    <row r="751" spans="1:20" s="305" customFormat="1" hidden="1" outlineLevel="1" x14ac:dyDescent="0.25">
      <c r="A751" s="344">
        <v>98.125</v>
      </c>
      <c r="B751" s="279" t="str">
        <f t="shared" si="229"/>
        <v>500x25PL</v>
      </c>
      <c r="C751" s="278" t="s">
        <v>1794</v>
      </c>
      <c r="D751" s="278"/>
      <c r="E751" s="278" t="s">
        <v>1860</v>
      </c>
      <c r="F751" s="278"/>
      <c r="G751" s="278" t="s">
        <v>15</v>
      </c>
      <c r="H751" s="328">
        <f t="shared" si="197"/>
        <v>1.37375</v>
      </c>
      <c r="I751" s="280">
        <f t="shared" si="230"/>
        <v>110.75172500000001</v>
      </c>
      <c r="J751" s="281">
        <f t="shared" si="231"/>
        <v>125.60196250000001</v>
      </c>
      <c r="K751" s="282">
        <f>IF(Notes!$B$9="Domestic",I751, IF(Notes!$B$9="Commercial",J751))*$K$415</f>
        <v>125.60196250000001</v>
      </c>
      <c r="L751" s="283">
        <f>(SUM(O751:Q751)+(K751+SUM(M751:Q751))*(INDEX($U$415:$AB$415,MATCH(Notes!$C$16,$U$3:$AB$3,0))-100%))*$L$415</f>
        <v>724.90825000000007</v>
      </c>
      <c r="M751" s="286"/>
      <c r="N751" s="286"/>
      <c r="O751" s="311">
        <f t="shared" si="228"/>
        <v>235.5</v>
      </c>
      <c r="P751" s="311">
        <f t="shared" si="228"/>
        <v>489.40825000000007</v>
      </c>
      <c r="Q751" s="285"/>
      <c r="R751" s="278"/>
      <c r="S751" s="278"/>
      <c r="T751" s="278"/>
    </row>
    <row r="752" spans="1:20" s="305" customFormat="1" hidden="1" outlineLevel="1" x14ac:dyDescent="0.25">
      <c r="A752" s="344">
        <v>109.9</v>
      </c>
      <c r="B752" s="279" t="str">
        <f t="shared" si="229"/>
        <v>500x28PL</v>
      </c>
      <c r="C752" s="278" t="s">
        <v>1795</v>
      </c>
      <c r="D752" s="278"/>
      <c r="E752" s="278" t="s">
        <v>1860</v>
      </c>
      <c r="F752" s="278"/>
      <c r="G752" s="278" t="s">
        <v>15</v>
      </c>
      <c r="H752" s="328">
        <f t="shared" si="197"/>
        <v>1.5386000000000002</v>
      </c>
      <c r="I752" s="280">
        <f t="shared" si="230"/>
        <v>124.04193200000002</v>
      </c>
      <c r="J752" s="281">
        <f t="shared" si="231"/>
        <v>140.67419800000002</v>
      </c>
      <c r="K752" s="282">
        <f>IF(Notes!$B$9="Domestic",I752, IF(Notes!$B$9="Commercial",J752))*$K$415</f>
        <v>140.67419800000002</v>
      </c>
      <c r="L752" s="283">
        <f>(SUM(O752:Q752)+(K752+SUM(M752:Q752))*(INDEX($U$415:$AB$415,MATCH(Notes!$C$16,$U$3:$AB$3,0))-100%))*$L$415</f>
        <v>811.89724000000012</v>
      </c>
      <c r="M752" s="286"/>
      <c r="N752" s="286"/>
      <c r="O752" s="311">
        <f t="shared" si="228"/>
        <v>263.76</v>
      </c>
      <c r="P752" s="311">
        <f t="shared" si="228"/>
        <v>548.13724000000013</v>
      </c>
      <c r="Q752" s="285"/>
      <c r="R752" s="278"/>
      <c r="S752" s="278"/>
      <c r="T752" s="278"/>
    </row>
    <row r="753" spans="1:20" s="305" customFormat="1" hidden="1" outlineLevel="1" x14ac:dyDescent="0.25">
      <c r="A753" s="344">
        <v>125.6</v>
      </c>
      <c r="B753" s="279" t="str">
        <f t="shared" si="229"/>
        <v>500x32PL</v>
      </c>
      <c r="C753" s="278" t="s">
        <v>1796</v>
      </c>
      <c r="D753" s="278"/>
      <c r="E753" s="278" t="s">
        <v>1860</v>
      </c>
      <c r="F753" s="278"/>
      <c r="G753" s="278" t="s">
        <v>15</v>
      </c>
      <c r="H753" s="328">
        <f t="shared" si="197"/>
        <v>1.7584</v>
      </c>
      <c r="I753" s="280">
        <f t="shared" si="230"/>
        <v>141.76220800000002</v>
      </c>
      <c r="J753" s="281">
        <f t="shared" si="231"/>
        <v>160.770512</v>
      </c>
      <c r="K753" s="282">
        <f>IF(Notes!$B$9="Domestic",I753, IF(Notes!$B$9="Commercial",J753))*$K$415</f>
        <v>160.770512</v>
      </c>
      <c r="L753" s="283">
        <f>(SUM(O753:Q753)+(K753+SUM(M753:Q753))*(INDEX($U$415:$AB$415,MATCH(Notes!$C$16,$U$3:$AB$3,0))-100%))*$L$415</f>
        <v>927.88256000000001</v>
      </c>
      <c r="M753" s="286"/>
      <c r="N753" s="286"/>
      <c r="O753" s="311">
        <f t="shared" si="228"/>
        <v>301.44</v>
      </c>
      <c r="P753" s="311">
        <f t="shared" si="228"/>
        <v>626.44256000000007</v>
      </c>
      <c r="Q753" s="285"/>
      <c r="R753" s="278"/>
      <c r="S753" s="278"/>
      <c r="T753" s="278"/>
    </row>
    <row r="754" spans="1:20" s="305" customFormat="1" hidden="1" outlineLevel="1" x14ac:dyDescent="0.25">
      <c r="A754" s="344">
        <v>141.30000000000001</v>
      </c>
      <c r="B754" s="279" t="str">
        <f t="shared" si="229"/>
        <v>500x36PL</v>
      </c>
      <c r="C754" s="278" t="s">
        <v>1797</v>
      </c>
      <c r="D754" s="278"/>
      <c r="E754" s="278" t="s">
        <v>1860</v>
      </c>
      <c r="F754" s="278"/>
      <c r="G754" s="278" t="s">
        <v>15</v>
      </c>
      <c r="H754" s="328">
        <f t="shared" si="197"/>
        <v>1.9782000000000002</v>
      </c>
      <c r="I754" s="280">
        <f t="shared" si="230"/>
        <v>159.48248400000003</v>
      </c>
      <c r="J754" s="281">
        <f t="shared" si="231"/>
        <v>180.86682600000003</v>
      </c>
      <c r="K754" s="282">
        <f>IF(Notes!$B$9="Domestic",I754, IF(Notes!$B$9="Commercial",J754))*$K$415</f>
        <v>180.86682600000003</v>
      </c>
      <c r="L754" s="283">
        <f>(SUM(O754:Q754)+(K754+SUM(M754:Q754))*(INDEX($U$415:$AB$415,MATCH(Notes!$C$16,$U$3:$AB$3,0))-100%))*$L$415</f>
        <v>1043.8678800000002</v>
      </c>
      <c r="M754" s="286"/>
      <c r="N754" s="286"/>
      <c r="O754" s="311">
        <f t="shared" ref="O754:P769" si="232">O$415*$A754/1000</f>
        <v>339.12</v>
      </c>
      <c r="P754" s="311">
        <f t="shared" si="232"/>
        <v>704.74788000000012</v>
      </c>
      <c r="Q754" s="285"/>
      <c r="R754" s="278"/>
      <c r="S754" s="278"/>
      <c r="T754" s="278"/>
    </row>
    <row r="755" spans="1:20" s="305" customFormat="1" hidden="1" outlineLevel="1" x14ac:dyDescent="0.25">
      <c r="A755" s="344">
        <v>157</v>
      </c>
      <c r="B755" s="279" t="str">
        <f t="shared" si="229"/>
        <v>500x40PL</v>
      </c>
      <c r="C755" s="278" t="s">
        <v>1798</v>
      </c>
      <c r="D755" s="278"/>
      <c r="E755" s="278" t="s">
        <v>1860</v>
      </c>
      <c r="F755" s="278"/>
      <c r="G755" s="278" t="s">
        <v>15</v>
      </c>
      <c r="H755" s="328">
        <f t="shared" si="197"/>
        <v>2.198</v>
      </c>
      <c r="I755" s="280">
        <f t="shared" si="230"/>
        <v>177.20276000000001</v>
      </c>
      <c r="J755" s="281">
        <f t="shared" si="231"/>
        <v>200.96314000000001</v>
      </c>
      <c r="K755" s="282">
        <f>IF(Notes!$B$9="Domestic",I755, IF(Notes!$B$9="Commercial",J755))*$K$415</f>
        <v>200.96314000000001</v>
      </c>
      <c r="L755" s="283">
        <f>(SUM(O755:Q755)+(K755+SUM(M755:Q755))*(INDEX($U$415:$AB$415,MATCH(Notes!$C$16,$U$3:$AB$3,0))-100%))*$L$415</f>
        <v>1159.8532</v>
      </c>
      <c r="M755" s="286"/>
      <c r="N755" s="286"/>
      <c r="O755" s="311">
        <f t="shared" si="232"/>
        <v>376.8</v>
      </c>
      <c r="P755" s="311">
        <f t="shared" si="232"/>
        <v>783.05320000000006</v>
      </c>
      <c r="Q755" s="285"/>
      <c r="R755" s="278"/>
      <c r="S755" s="278"/>
      <c r="T755" s="278"/>
    </row>
    <row r="756" spans="1:20" s="305" customFormat="1" hidden="1" outlineLevel="1" x14ac:dyDescent="0.25">
      <c r="A756" s="344">
        <v>176.625</v>
      </c>
      <c r="B756" s="279" t="str">
        <f t="shared" si="229"/>
        <v>500x45PL</v>
      </c>
      <c r="C756" s="278" t="s">
        <v>1799</v>
      </c>
      <c r="D756" s="278"/>
      <c r="E756" s="278" t="s">
        <v>1860</v>
      </c>
      <c r="F756" s="278"/>
      <c r="G756" s="278" t="s">
        <v>15</v>
      </c>
      <c r="H756" s="328">
        <f t="shared" si="197"/>
        <v>2.47275</v>
      </c>
      <c r="I756" s="280">
        <f t="shared" si="230"/>
        <v>199.353105</v>
      </c>
      <c r="J756" s="281">
        <f t="shared" si="231"/>
        <v>226.08353250000002</v>
      </c>
      <c r="K756" s="282">
        <f>IF(Notes!$B$9="Domestic",I756, IF(Notes!$B$9="Commercial",J756))*$K$415</f>
        <v>226.08353250000002</v>
      </c>
      <c r="L756" s="283">
        <f>(SUM(O756:Q756)+(K756+SUM(M756:Q756))*(INDEX($U$415:$AB$415,MATCH(Notes!$C$16,$U$3:$AB$3,0))-100%))*$L$415</f>
        <v>1304.8348500000002</v>
      </c>
      <c r="M756" s="286"/>
      <c r="N756" s="286"/>
      <c r="O756" s="311">
        <f t="shared" si="232"/>
        <v>423.9</v>
      </c>
      <c r="P756" s="311">
        <f t="shared" si="232"/>
        <v>880.9348500000001</v>
      </c>
      <c r="Q756" s="285"/>
      <c r="R756" s="278"/>
      <c r="S756" s="278"/>
      <c r="T756" s="278"/>
    </row>
    <row r="757" spans="1:20" s="305" customFormat="1" hidden="1" outlineLevel="1" x14ac:dyDescent="0.25">
      <c r="A757" s="344">
        <v>196.25</v>
      </c>
      <c r="B757" s="279" t="str">
        <f t="shared" si="229"/>
        <v>500x50PL</v>
      </c>
      <c r="C757" s="278" t="s">
        <v>1800</v>
      </c>
      <c r="D757" s="278"/>
      <c r="E757" s="278" t="s">
        <v>1860</v>
      </c>
      <c r="F757" s="278"/>
      <c r="G757" s="278" t="s">
        <v>15</v>
      </c>
      <c r="H757" s="328">
        <f t="shared" si="197"/>
        <v>2.7475000000000001</v>
      </c>
      <c r="I757" s="280">
        <f t="shared" si="230"/>
        <v>221.50345000000002</v>
      </c>
      <c r="J757" s="281">
        <f t="shared" si="231"/>
        <v>251.20392500000003</v>
      </c>
      <c r="K757" s="282">
        <f>IF(Notes!$B$9="Domestic",I757, IF(Notes!$B$9="Commercial",J757))*$K$415</f>
        <v>251.20392500000003</v>
      </c>
      <c r="L757" s="283">
        <f>(SUM(O757:Q757)+(K757+SUM(M757:Q757))*(INDEX($U$415:$AB$415,MATCH(Notes!$C$16,$U$3:$AB$3,0))-100%))*$L$415</f>
        <v>1449.8165000000001</v>
      </c>
      <c r="M757" s="286"/>
      <c r="N757" s="286"/>
      <c r="O757" s="311">
        <f t="shared" si="232"/>
        <v>471</v>
      </c>
      <c r="P757" s="311">
        <f t="shared" si="232"/>
        <v>978.81650000000013</v>
      </c>
      <c r="Q757" s="285"/>
      <c r="R757" s="278"/>
      <c r="S757" s="278"/>
      <c r="T757" s="278"/>
    </row>
    <row r="758" spans="1:20" s="305" customFormat="1" hidden="1" outlineLevel="1" x14ac:dyDescent="0.25">
      <c r="A758" s="344">
        <v>215.875</v>
      </c>
      <c r="B758" s="279" t="str">
        <f t="shared" si="229"/>
        <v>500x55PL</v>
      </c>
      <c r="C758" s="278" t="s">
        <v>1801</v>
      </c>
      <c r="D758" s="278"/>
      <c r="E758" s="278" t="s">
        <v>1860</v>
      </c>
      <c r="F758" s="278"/>
      <c r="G758" s="278" t="s">
        <v>15</v>
      </c>
      <c r="H758" s="328">
        <f t="shared" si="197"/>
        <v>3.0222500000000001</v>
      </c>
      <c r="I758" s="280">
        <f t="shared" si="230"/>
        <v>243.65379500000003</v>
      </c>
      <c r="J758" s="281">
        <f t="shared" si="231"/>
        <v>276.32431750000001</v>
      </c>
      <c r="K758" s="282">
        <f>IF(Notes!$B$9="Domestic",I758, IF(Notes!$B$9="Commercial",J758))*$K$415</f>
        <v>276.32431750000001</v>
      </c>
      <c r="L758" s="283">
        <f>(SUM(O758:Q758)+(K758+SUM(M758:Q758))*(INDEX($U$415:$AB$415,MATCH(Notes!$C$16,$U$3:$AB$3,0))-100%))*$L$415</f>
        <v>1594.7981500000001</v>
      </c>
      <c r="M758" s="286"/>
      <c r="N758" s="286"/>
      <c r="O758" s="311">
        <f t="shared" si="232"/>
        <v>518.1</v>
      </c>
      <c r="P758" s="311">
        <f t="shared" si="232"/>
        <v>1076.6981500000002</v>
      </c>
      <c r="Q758" s="285"/>
      <c r="R758" s="278"/>
      <c r="S758" s="278"/>
      <c r="T758" s="278"/>
    </row>
    <row r="759" spans="1:20" s="305" customFormat="1" hidden="1" outlineLevel="1" x14ac:dyDescent="0.25">
      <c r="A759" s="344">
        <v>235.5</v>
      </c>
      <c r="B759" s="279" t="str">
        <f t="shared" si="229"/>
        <v>500x60PL</v>
      </c>
      <c r="C759" s="278" t="s">
        <v>1802</v>
      </c>
      <c r="D759" s="278"/>
      <c r="E759" s="278" t="s">
        <v>1860</v>
      </c>
      <c r="F759" s="278"/>
      <c r="G759" s="278" t="s">
        <v>15</v>
      </c>
      <c r="H759" s="328">
        <f t="shared" si="197"/>
        <v>3.2970000000000002</v>
      </c>
      <c r="I759" s="280">
        <f t="shared" si="230"/>
        <v>265.80414000000002</v>
      </c>
      <c r="J759" s="281">
        <f t="shared" si="231"/>
        <v>301.44471000000004</v>
      </c>
      <c r="K759" s="282">
        <f>IF(Notes!$B$9="Domestic",I759, IF(Notes!$B$9="Commercial",J759))*$K$415</f>
        <v>301.44471000000004</v>
      </c>
      <c r="L759" s="283">
        <f>(SUM(O759:Q759)+(K759+SUM(M759:Q759))*(INDEX($U$415:$AB$415,MATCH(Notes!$C$16,$U$3:$AB$3,0))-100%))*$L$415</f>
        <v>1739.7798</v>
      </c>
      <c r="M759" s="286"/>
      <c r="N759" s="286"/>
      <c r="O759" s="311">
        <f t="shared" si="232"/>
        <v>565.20000000000005</v>
      </c>
      <c r="P759" s="311">
        <f t="shared" si="232"/>
        <v>1174.5798</v>
      </c>
      <c r="Q759" s="285"/>
      <c r="R759" s="278"/>
      <c r="S759" s="278"/>
      <c r="T759" s="278"/>
    </row>
    <row r="760" spans="1:20" s="305" customFormat="1" hidden="1" outlineLevel="1" x14ac:dyDescent="0.25">
      <c r="A760" s="344">
        <v>255</v>
      </c>
      <c r="B760" s="279" t="str">
        <f t="shared" si="229"/>
        <v>500x65PL</v>
      </c>
      <c r="C760" s="278" t="s">
        <v>1803</v>
      </c>
      <c r="D760" s="278"/>
      <c r="E760" s="278" t="s">
        <v>1860</v>
      </c>
      <c r="F760" s="278"/>
      <c r="G760" s="278" t="s">
        <v>15</v>
      </c>
      <c r="H760" s="328">
        <f t="shared" si="197"/>
        <v>3.57</v>
      </c>
      <c r="I760" s="280">
        <f t="shared" si="230"/>
        <v>287.8134</v>
      </c>
      <c r="J760" s="281">
        <f t="shared" si="231"/>
        <v>326.4051</v>
      </c>
      <c r="K760" s="282">
        <f>IF(Notes!$B$9="Domestic",I760, IF(Notes!$B$9="Commercial",J760))*$K$415</f>
        <v>326.4051</v>
      </c>
      <c r="L760" s="283">
        <f>(SUM(O760:Q760)+(K760+SUM(M760:Q760))*(INDEX($U$415:$AB$415,MATCH(Notes!$C$16,$U$3:$AB$3,0))-100%))*$L$415</f>
        <v>1883.838</v>
      </c>
      <c r="M760" s="286"/>
      <c r="N760" s="286"/>
      <c r="O760" s="311">
        <f t="shared" si="232"/>
        <v>612</v>
      </c>
      <c r="P760" s="311">
        <f t="shared" si="232"/>
        <v>1271.838</v>
      </c>
      <c r="Q760" s="285"/>
      <c r="R760" s="278"/>
      <c r="S760" s="278"/>
      <c r="T760" s="278"/>
    </row>
    <row r="761" spans="1:20" s="305" customFormat="1" hidden="1" outlineLevel="1" x14ac:dyDescent="0.25">
      <c r="A761" s="344">
        <v>274.75</v>
      </c>
      <c r="B761" s="279" t="str">
        <f t="shared" si="229"/>
        <v>500x70PL</v>
      </c>
      <c r="C761" s="278" t="s">
        <v>1804</v>
      </c>
      <c r="D761" s="278"/>
      <c r="E761" s="278" t="s">
        <v>1860</v>
      </c>
      <c r="F761" s="278"/>
      <c r="G761" s="278" t="s">
        <v>15</v>
      </c>
      <c r="H761" s="328">
        <f t="shared" si="197"/>
        <v>3.8464999999999998</v>
      </c>
      <c r="I761" s="280">
        <f t="shared" si="230"/>
        <v>310.10482999999999</v>
      </c>
      <c r="J761" s="281">
        <f t="shared" si="231"/>
        <v>351.685495</v>
      </c>
      <c r="K761" s="282">
        <f>IF(Notes!$B$9="Domestic",I761, IF(Notes!$B$9="Commercial",J761))*$K$415</f>
        <v>351.685495</v>
      </c>
      <c r="L761" s="283">
        <f>(SUM(O761:Q761)+(K761+SUM(M761:Q761))*(INDEX($U$415:$AB$415,MATCH(Notes!$C$16,$U$3:$AB$3,0))-100%))*$L$415</f>
        <v>2029.7431000000001</v>
      </c>
      <c r="M761" s="286"/>
      <c r="N761" s="286"/>
      <c r="O761" s="311">
        <f t="shared" si="232"/>
        <v>659.4</v>
      </c>
      <c r="P761" s="311">
        <f t="shared" si="232"/>
        <v>1370.3431</v>
      </c>
      <c r="Q761" s="285"/>
      <c r="R761" s="278"/>
      <c r="S761" s="278"/>
      <c r="T761" s="278"/>
    </row>
    <row r="762" spans="1:20" s="305" customFormat="1" hidden="1" outlineLevel="1" x14ac:dyDescent="0.25">
      <c r="A762" s="344">
        <v>294.375</v>
      </c>
      <c r="B762" s="279" t="str">
        <f t="shared" si="229"/>
        <v>500x75PL</v>
      </c>
      <c r="C762" s="278" t="s">
        <v>1805</v>
      </c>
      <c r="D762" s="278"/>
      <c r="E762" s="278" t="s">
        <v>1860</v>
      </c>
      <c r="F762" s="278"/>
      <c r="G762" s="278" t="s">
        <v>15</v>
      </c>
      <c r="H762" s="328">
        <f t="shared" si="197"/>
        <v>4.1212499999999999</v>
      </c>
      <c r="I762" s="280">
        <f t="shared" si="230"/>
        <v>332.25517500000001</v>
      </c>
      <c r="J762" s="281">
        <f t="shared" si="231"/>
        <v>376.80588750000004</v>
      </c>
      <c r="K762" s="282">
        <f>IF(Notes!$B$9="Domestic",I762, IF(Notes!$B$9="Commercial",J762))*$K$415</f>
        <v>376.80588750000004</v>
      </c>
      <c r="L762" s="283">
        <f>(SUM(O762:Q762)+(K762+SUM(M762:Q762))*(INDEX($U$415:$AB$415,MATCH(Notes!$C$16,$U$3:$AB$3,0))-100%))*$L$415</f>
        <v>2174.7247500000003</v>
      </c>
      <c r="M762" s="286"/>
      <c r="N762" s="286"/>
      <c r="O762" s="311">
        <f t="shared" si="232"/>
        <v>706.5</v>
      </c>
      <c r="P762" s="311">
        <f t="shared" si="232"/>
        <v>1468.2247500000001</v>
      </c>
      <c r="Q762" s="285"/>
      <c r="R762" s="278"/>
      <c r="S762" s="278"/>
      <c r="T762" s="278"/>
    </row>
    <row r="763" spans="1:20" s="305" customFormat="1" hidden="1" outlineLevel="1" x14ac:dyDescent="0.25">
      <c r="A763" s="344">
        <v>314</v>
      </c>
      <c r="B763" s="279" t="str">
        <f t="shared" si="229"/>
        <v>500x80PL</v>
      </c>
      <c r="C763" s="278" t="s">
        <v>1806</v>
      </c>
      <c r="D763" s="278"/>
      <c r="E763" s="278" t="s">
        <v>1860</v>
      </c>
      <c r="F763" s="278"/>
      <c r="G763" s="278" t="s">
        <v>15</v>
      </c>
      <c r="H763" s="328">
        <f t="shared" si="197"/>
        <v>4.3959999999999999</v>
      </c>
      <c r="I763" s="280">
        <f t="shared" si="230"/>
        <v>354.40552000000002</v>
      </c>
      <c r="J763" s="281">
        <f t="shared" si="231"/>
        <v>401.92628000000002</v>
      </c>
      <c r="K763" s="282">
        <f>IF(Notes!$B$9="Domestic",I763, IF(Notes!$B$9="Commercial",J763))*$K$415</f>
        <v>401.92628000000002</v>
      </c>
      <c r="L763" s="283">
        <f>(SUM(O763:Q763)+(K763+SUM(M763:Q763))*(INDEX($U$415:$AB$415,MATCH(Notes!$C$16,$U$3:$AB$3,0))-100%))*$L$415</f>
        <v>2319.7064</v>
      </c>
      <c r="M763" s="286"/>
      <c r="N763" s="286"/>
      <c r="O763" s="311">
        <f t="shared" si="232"/>
        <v>753.6</v>
      </c>
      <c r="P763" s="311">
        <f t="shared" si="232"/>
        <v>1566.1064000000001</v>
      </c>
      <c r="Q763" s="285"/>
      <c r="R763" s="278"/>
      <c r="S763" s="278"/>
      <c r="T763" s="278"/>
    </row>
    <row r="764" spans="1:20" s="305" customFormat="1" hidden="1" outlineLevel="1" x14ac:dyDescent="0.25">
      <c r="A764" s="344">
        <v>353.25</v>
      </c>
      <c r="B764" s="279" t="str">
        <f t="shared" si="229"/>
        <v>500x90PL</v>
      </c>
      <c r="C764" s="278" t="s">
        <v>1807</v>
      </c>
      <c r="D764" s="278"/>
      <c r="E764" s="278" t="s">
        <v>1860</v>
      </c>
      <c r="F764" s="278"/>
      <c r="G764" s="278" t="s">
        <v>15</v>
      </c>
      <c r="H764" s="328">
        <f t="shared" si="197"/>
        <v>4.9455</v>
      </c>
      <c r="I764" s="280">
        <f t="shared" si="230"/>
        <v>398.70621</v>
      </c>
      <c r="J764" s="281">
        <f t="shared" si="231"/>
        <v>452.16706500000004</v>
      </c>
      <c r="K764" s="282">
        <f>IF(Notes!$B$9="Domestic",I764, IF(Notes!$B$9="Commercial",J764))*$K$415</f>
        <v>452.16706500000004</v>
      </c>
      <c r="L764" s="283">
        <f>(SUM(O764:Q764)+(K764+SUM(M764:Q764))*(INDEX($U$415:$AB$415,MATCH(Notes!$C$16,$U$3:$AB$3,0))-100%))*$L$415</f>
        <v>2609.6697000000004</v>
      </c>
      <c r="M764" s="286"/>
      <c r="N764" s="286"/>
      <c r="O764" s="311">
        <f t="shared" si="232"/>
        <v>847.8</v>
      </c>
      <c r="P764" s="311">
        <f t="shared" si="232"/>
        <v>1761.8697000000002</v>
      </c>
      <c r="Q764" s="285"/>
      <c r="R764" s="278"/>
      <c r="S764" s="278"/>
      <c r="T764" s="278"/>
    </row>
    <row r="765" spans="1:20" s="305" customFormat="1" hidden="1" outlineLevel="1" x14ac:dyDescent="0.25">
      <c r="A765" s="344">
        <v>392.5</v>
      </c>
      <c r="B765" s="279" t="str">
        <f t="shared" si="229"/>
        <v>500x100PL</v>
      </c>
      <c r="C765" s="278" t="s">
        <v>1808</v>
      </c>
      <c r="D765" s="278"/>
      <c r="E765" s="278" t="s">
        <v>1860</v>
      </c>
      <c r="F765" s="278"/>
      <c r="G765" s="278" t="s">
        <v>15</v>
      </c>
      <c r="H765" s="328">
        <f t="shared" si="197"/>
        <v>5.4950000000000001</v>
      </c>
      <c r="I765" s="280">
        <f t="shared" si="230"/>
        <v>443.00690000000003</v>
      </c>
      <c r="J765" s="281">
        <f t="shared" si="231"/>
        <v>502.40785000000005</v>
      </c>
      <c r="K765" s="282">
        <f>IF(Notes!$B$9="Domestic",I765, IF(Notes!$B$9="Commercial",J765))*$K$415</f>
        <v>502.40785000000005</v>
      </c>
      <c r="L765" s="283">
        <f>(SUM(O765:Q765)+(K765+SUM(M765:Q765))*(INDEX($U$415:$AB$415,MATCH(Notes!$C$16,$U$3:$AB$3,0))-100%))*$L$415</f>
        <v>2899.6330000000003</v>
      </c>
      <c r="M765" s="286"/>
      <c r="N765" s="286"/>
      <c r="O765" s="311">
        <f t="shared" si="232"/>
        <v>942</v>
      </c>
      <c r="P765" s="311">
        <f t="shared" si="232"/>
        <v>1957.6330000000003</v>
      </c>
      <c r="Q765" s="285"/>
      <c r="R765" s="278"/>
      <c r="S765" s="278"/>
      <c r="T765" s="278"/>
    </row>
    <row r="766" spans="1:20" s="305" customFormat="1" hidden="1" outlineLevel="1" x14ac:dyDescent="0.25">
      <c r="A766" s="344">
        <v>23.55</v>
      </c>
      <c r="B766" s="279" t="str">
        <f t="shared" si="229"/>
        <v>1000x3PL</v>
      </c>
      <c r="C766" s="278" t="s">
        <v>1809</v>
      </c>
      <c r="D766" s="278"/>
      <c r="E766" s="278" t="s">
        <v>1860</v>
      </c>
      <c r="F766" s="278"/>
      <c r="G766" s="278" t="s">
        <v>15</v>
      </c>
      <c r="H766" s="328">
        <f t="shared" si="197"/>
        <v>0.32969999999999999</v>
      </c>
      <c r="I766" s="280">
        <f t="shared" si="230"/>
        <v>26.580414000000001</v>
      </c>
      <c r="J766" s="281">
        <f t="shared" si="231"/>
        <v>30.144471000000003</v>
      </c>
      <c r="K766" s="282">
        <f>IF(Notes!$B$9="Domestic",I766, IF(Notes!$B$9="Commercial",J766))*$K$415</f>
        <v>30.144471000000003</v>
      </c>
      <c r="L766" s="283">
        <f>(SUM(O766:Q766)+(K766+SUM(M766:Q766))*(INDEX($U$415:$AB$415,MATCH(Notes!$C$16,$U$3:$AB$3,0))-100%))*$L$415</f>
        <v>173.97798</v>
      </c>
      <c r="M766" s="286"/>
      <c r="N766" s="286"/>
      <c r="O766" s="311">
        <f t="shared" si="232"/>
        <v>56.52</v>
      </c>
      <c r="P766" s="311">
        <f t="shared" si="232"/>
        <v>117.45798000000001</v>
      </c>
      <c r="Q766" s="285"/>
      <c r="R766" s="278"/>
      <c r="S766" s="278"/>
      <c r="T766" s="278"/>
    </row>
    <row r="767" spans="1:20" s="305" customFormat="1" hidden="1" outlineLevel="1" x14ac:dyDescent="0.25">
      <c r="A767" s="344">
        <v>31.4</v>
      </c>
      <c r="B767" s="279" t="str">
        <f t="shared" si="229"/>
        <v>1000x4PL</v>
      </c>
      <c r="C767" s="278" t="s">
        <v>1810</v>
      </c>
      <c r="D767" s="278"/>
      <c r="E767" s="278" t="s">
        <v>1860</v>
      </c>
      <c r="F767" s="278"/>
      <c r="G767" s="278" t="s">
        <v>15</v>
      </c>
      <c r="H767" s="328">
        <f t="shared" si="197"/>
        <v>0.43959999999999999</v>
      </c>
      <c r="I767" s="280">
        <f t="shared" si="230"/>
        <v>35.440552000000004</v>
      </c>
      <c r="J767" s="281">
        <f t="shared" si="231"/>
        <v>40.192627999999999</v>
      </c>
      <c r="K767" s="282">
        <f>IF(Notes!$B$9="Domestic",I767, IF(Notes!$B$9="Commercial",J767))*$K$415</f>
        <v>40.192627999999999</v>
      </c>
      <c r="L767" s="283">
        <f>(SUM(O767:Q767)+(K767+SUM(M767:Q767))*(INDEX($U$415:$AB$415,MATCH(Notes!$C$16,$U$3:$AB$3,0))-100%))*$L$415</f>
        <v>231.97064</v>
      </c>
      <c r="M767" s="286"/>
      <c r="N767" s="286"/>
      <c r="O767" s="311">
        <f t="shared" si="232"/>
        <v>75.36</v>
      </c>
      <c r="P767" s="311">
        <f t="shared" si="232"/>
        <v>156.61064000000002</v>
      </c>
      <c r="Q767" s="285"/>
      <c r="R767" s="278"/>
      <c r="S767" s="278"/>
      <c r="T767" s="278"/>
    </row>
    <row r="768" spans="1:20" s="305" customFormat="1" hidden="1" outlineLevel="1" x14ac:dyDescent="0.25">
      <c r="A768" s="344">
        <v>39.25</v>
      </c>
      <c r="B768" s="279" t="str">
        <f t="shared" si="229"/>
        <v>1000x5PL</v>
      </c>
      <c r="C768" s="278" t="s">
        <v>1811</v>
      </c>
      <c r="D768" s="278"/>
      <c r="E768" s="278" t="s">
        <v>1860</v>
      </c>
      <c r="F768" s="278"/>
      <c r="G768" s="278" t="s">
        <v>15</v>
      </c>
      <c r="H768" s="328">
        <f t="shared" si="197"/>
        <v>0.54949999999999999</v>
      </c>
      <c r="I768" s="280">
        <f t="shared" si="230"/>
        <v>44.300690000000003</v>
      </c>
      <c r="J768" s="281">
        <f t="shared" si="231"/>
        <v>50.240785000000002</v>
      </c>
      <c r="K768" s="282">
        <f>IF(Notes!$B$9="Domestic",I768, IF(Notes!$B$9="Commercial",J768))*$K$415</f>
        <v>50.240785000000002</v>
      </c>
      <c r="L768" s="283">
        <f>(SUM(O768:Q768)+(K768+SUM(M768:Q768))*(INDEX($U$415:$AB$415,MATCH(Notes!$C$16,$U$3:$AB$3,0))-100%))*$L$415</f>
        <v>289.9633</v>
      </c>
      <c r="M768" s="286"/>
      <c r="N768" s="286"/>
      <c r="O768" s="311">
        <f t="shared" si="232"/>
        <v>94.2</v>
      </c>
      <c r="P768" s="311">
        <f t="shared" si="232"/>
        <v>195.76330000000002</v>
      </c>
      <c r="Q768" s="285"/>
      <c r="R768" s="278"/>
      <c r="S768" s="278"/>
      <c r="T768" s="278"/>
    </row>
    <row r="769" spans="1:20" s="305" customFormat="1" hidden="1" outlineLevel="1" x14ac:dyDescent="0.25">
      <c r="A769" s="344">
        <v>47.1</v>
      </c>
      <c r="B769" s="279" t="str">
        <f t="shared" si="229"/>
        <v>1000x6PL</v>
      </c>
      <c r="C769" s="278" t="s">
        <v>1812</v>
      </c>
      <c r="D769" s="278"/>
      <c r="E769" s="278" t="s">
        <v>1860</v>
      </c>
      <c r="F769" s="278"/>
      <c r="G769" s="278" t="s">
        <v>15</v>
      </c>
      <c r="H769" s="328">
        <f t="shared" si="197"/>
        <v>0.65939999999999999</v>
      </c>
      <c r="I769" s="280">
        <f t="shared" si="230"/>
        <v>53.160828000000002</v>
      </c>
      <c r="J769" s="281">
        <f t="shared" si="231"/>
        <v>60.288942000000006</v>
      </c>
      <c r="K769" s="282">
        <f>IF(Notes!$B$9="Domestic",I769, IF(Notes!$B$9="Commercial",J769))*$K$415</f>
        <v>60.288942000000006</v>
      </c>
      <c r="L769" s="283">
        <f>(SUM(O769:Q769)+(K769+SUM(M769:Q769))*(INDEX($U$415:$AB$415,MATCH(Notes!$C$16,$U$3:$AB$3,0))-100%))*$L$415</f>
        <v>347.95596</v>
      </c>
      <c r="M769" s="286"/>
      <c r="N769" s="286"/>
      <c r="O769" s="311">
        <f t="shared" si="232"/>
        <v>113.04</v>
      </c>
      <c r="P769" s="311">
        <f t="shared" si="232"/>
        <v>234.91596000000001</v>
      </c>
      <c r="Q769" s="285"/>
      <c r="R769" s="278"/>
      <c r="S769" s="278"/>
      <c r="T769" s="278"/>
    </row>
    <row r="770" spans="1:20" s="305" customFormat="1" hidden="1" outlineLevel="1" x14ac:dyDescent="0.25">
      <c r="A770" s="344">
        <v>62.8</v>
      </c>
      <c r="B770" s="279" t="str">
        <f t="shared" si="229"/>
        <v>1000x8PL</v>
      </c>
      <c r="C770" s="278" t="s">
        <v>1813</v>
      </c>
      <c r="D770" s="278"/>
      <c r="E770" s="278" t="s">
        <v>1860</v>
      </c>
      <c r="F770" s="278"/>
      <c r="G770" s="278" t="s">
        <v>15</v>
      </c>
      <c r="H770" s="328">
        <f t="shared" si="197"/>
        <v>0.87919999999999998</v>
      </c>
      <c r="I770" s="280">
        <f t="shared" si="230"/>
        <v>70.881104000000008</v>
      </c>
      <c r="J770" s="281">
        <f t="shared" si="231"/>
        <v>80.385255999999998</v>
      </c>
      <c r="K770" s="282">
        <f>IF(Notes!$B$9="Domestic",I770, IF(Notes!$B$9="Commercial",J770))*$K$415</f>
        <v>80.385255999999998</v>
      </c>
      <c r="L770" s="283">
        <f>(SUM(O770:Q770)+(K770+SUM(M770:Q770))*(INDEX($U$415:$AB$415,MATCH(Notes!$C$16,$U$3:$AB$3,0))-100%))*$L$415</f>
        <v>463.94128000000001</v>
      </c>
      <c r="M770" s="286"/>
      <c r="N770" s="286"/>
      <c r="O770" s="311">
        <f t="shared" ref="O770:P790" si="233">O$415*$A770/1000</f>
        <v>150.72</v>
      </c>
      <c r="P770" s="311">
        <f t="shared" si="233"/>
        <v>313.22128000000004</v>
      </c>
      <c r="Q770" s="285"/>
      <c r="R770" s="278"/>
      <c r="S770" s="278"/>
      <c r="T770" s="278"/>
    </row>
    <row r="771" spans="1:20" s="305" customFormat="1" hidden="1" outlineLevel="1" x14ac:dyDescent="0.25">
      <c r="A771" s="344">
        <v>78.5</v>
      </c>
      <c r="B771" s="279" t="str">
        <f t="shared" si="229"/>
        <v>1000x10PL</v>
      </c>
      <c r="C771" s="278" t="s">
        <v>1814</v>
      </c>
      <c r="D771" s="278"/>
      <c r="E771" s="278" t="s">
        <v>1860</v>
      </c>
      <c r="F771" s="278"/>
      <c r="G771" s="278" t="s">
        <v>15</v>
      </c>
      <c r="H771" s="328">
        <f t="shared" si="197"/>
        <v>1.099</v>
      </c>
      <c r="I771" s="280">
        <f t="shared" si="230"/>
        <v>88.601380000000006</v>
      </c>
      <c r="J771" s="281">
        <f t="shared" si="231"/>
        <v>100.48157</v>
      </c>
      <c r="K771" s="282">
        <f>IF(Notes!$B$9="Domestic",I771, IF(Notes!$B$9="Commercial",J771))*$K$415</f>
        <v>100.48157</v>
      </c>
      <c r="L771" s="283">
        <f>(SUM(O771:Q771)+(K771+SUM(M771:Q771))*(INDEX($U$415:$AB$415,MATCH(Notes!$C$16,$U$3:$AB$3,0))-100%))*$L$415</f>
        <v>579.92660000000001</v>
      </c>
      <c r="M771" s="286"/>
      <c r="N771" s="286"/>
      <c r="O771" s="311">
        <f t="shared" si="233"/>
        <v>188.4</v>
      </c>
      <c r="P771" s="311">
        <f t="shared" si="233"/>
        <v>391.52660000000003</v>
      </c>
      <c r="Q771" s="285"/>
      <c r="R771" s="278"/>
      <c r="S771" s="278"/>
      <c r="T771" s="278"/>
    </row>
    <row r="772" spans="1:20" s="305" customFormat="1" hidden="1" outlineLevel="1" x14ac:dyDescent="0.25">
      <c r="A772" s="344">
        <v>94.2</v>
      </c>
      <c r="B772" s="279" t="str">
        <f t="shared" si="229"/>
        <v>1000x12PL</v>
      </c>
      <c r="C772" s="278" t="s">
        <v>1815</v>
      </c>
      <c r="D772" s="278"/>
      <c r="E772" s="278" t="s">
        <v>1860</v>
      </c>
      <c r="F772" s="278"/>
      <c r="G772" s="278" t="s">
        <v>15</v>
      </c>
      <c r="H772" s="328">
        <f t="shared" si="197"/>
        <v>1.3188</v>
      </c>
      <c r="I772" s="280">
        <f t="shared" si="230"/>
        <v>106.321656</v>
      </c>
      <c r="J772" s="281">
        <f t="shared" si="231"/>
        <v>120.57788400000001</v>
      </c>
      <c r="K772" s="282">
        <f>IF(Notes!$B$9="Domestic",I772, IF(Notes!$B$9="Commercial",J772))*$K$415</f>
        <v>120.57788400000001</v>
      </c>
      <c r="L772" s="283">
        <f>(SUM(O772:Q772)+(K772+SUM(M772:Q772))*(INDEX($U$415:$AB$415,MATCH(Notes!$C$16,$U$3:$AB$3,0))-100%))*$L$415</f>
        <v>695.91192000000001</v>
      </c>
      <c r="M772" s="286"/>
      <c r="N772" s="286"/>
      <c r="O772" s="311">
        <f t="shared" si="233"/>
        <v>226.08</v>
      </c>
      <c r="P772" s="311">
        <f t="shared" si="233"/>
        <v>469.83192000000003</v>
      </c>
      <c r="Q772" s="285"/>
      <c r="R772" s="278"/>
      <c r="S772" s="278"/>
      <c r="T772" s="278"/>
    </row>
    <row r="773" spans="1:20" s="305" customFormat="1" hidden="1" outlineLevel="1" x14ac:dyDescent="0.25">
      <c r="A773" s="344">
        <v>125.6</v>
      </c>
      <c r="B773" s="279" t="str">
        <f t="shared" si="229"/>
        <v>1000x16PL</v>
      </c>
      <c r="C773" s="278" t="s">
        <v>1816</v>
      </c>
      <c r="D773" s="278"/>
      <c r="E773" s="278" t="s">
        <v>1860</v>
      </c>
      <c r="F773" s="278"/>
      <c r="G773" s="278" t="s">
        <v>15</v>
      </c>
      <c r="H773" s="328">
        <f t="shared" si="197"/>
        <v>1.7584</v>
      </c>
      <c r="I773" s="280">
        <f t="shared" si="230"/>
        <v>141.76220800000002</v>
      </c>
      <c r="J773" s="281">
        <f t="shared" si="231"/>
        <v>160.770512</v>
      </c>
      <c r="K773" s="282">
        <f>IF(Notes!$B$9="Domestic",I773, IF(Notes!$B$9="Commercial",J773))*$K$415</f>
        <v>160.770512</v>
      </c>
      <c r="L773" s="283">
        <f>(SUM(O773:Q773)+(K773+SUM(M773:Q773))*(INDEX($U$415:$AB$415,MATCH(Notes!$C$16,$U$3:$AB$3,0))-100%))*$L$415</f>
        <v>927.88256000000001</v>
      </c>
      <c r="M773" s="286"/>
      <c r="N773" s="286"/>
      <c r="O773" s="311">
        <f t="shared" si="233"/>
        <v>301.44</v>
      </c>
      <c r="P773" s="311">
        <f t="shared" si="233"/>
        <v>626.44256000000007</v>
      </c>
      <c r="Q773" s="285"/>
      <c r="R773" s="278"/>
      <c r="S773" s="278"/>
      <c r="T773" s="278"/>
    </row>
    <row r="774" spans="1:20" s="305" customFormat="1" hidden="1" outlineLevel="1" x14ac:dyDescent="0.25">
      <c r="A774" s="344">
        <v>157</v>
      </c>
      <c r="B774" s="279" t="str">
        <f t="shared" si="229"/>
        <v>1000x20PL</v>
      </c>
      <c r="C774" s="278" t="s">
        <v>1817</v>
      </c>
      <c r="D774" s="278"/>
      <c r="E774" s="278" t="s">
        <v>1860</v>
      </c>
      <c r="F774" s="278"/>
      <c r="G774" s="278" t="s">
        <v>15</v>
      </c>
      <c r="H774" s="328">
        <f t="shared" si="197"/>
        <v>2.198</v>
      </c>
      <c r="I774" s="280">
        <f t="shared" si="230"/>
        <v>177.20276000000001</v>
      </c>
      <c r="J774" s="281">
        <f t="shared" si="231"/>
        <v>200.96314000000001</v>
      </c>
      <c r="K774" s="282">
        <f>IF(Notes!$B$9="Domestic",I774, IF(Notes!$B$9="Commercial",J774))*$K$415</f>
        <v>200.96314000000001</v>
      </c>
      <c r="L774" s="283">
        <f>(SUM(O774:Q774)+(K774+SUM(M774:Q774))*(INDEX($U$415:$AB$415,MATCH(Notes!$C$16,$U$3:$AB$3,0))-100%))*$L$415</f>
        <v>1159.8532</v>
      </c>
      <c r="M774" s="286"/>
      <c r="N774" s="286"/>
      <c r="O774" s="311">
        <f t="shared" si="233"/>
        <v>376.8</v>
      </c>
      <c r="P774" s="311">
        <f t="shared" si="233"/>
        <v>783.05320000000006</v>
      </c>
      <c r="Q774" s="285"/>
      <c r="R774" s="278"/>
      <c r="S774" s="278"/>
      <c r="T774" s="278"/>
    </row>
    <row r="775" spans="1:20" s="305" customFormat="1" hidden="1" outlineLevel="1" x14ac:dyDescent="0.25">
      <c r="A775" s="344">
        <v>172.7</v>
      </c>
      <c r="B775" s="279" t="str">
        <f t="shared" si="229"/>
        <v>1000x22PL</v>
      </c>
      <c r="C775" s="278" t="s">
        <v>1818</v>
      </c>
      <c r="D775" s="278"/>
      <c r="E775" s="278" t="s">
        <v>1860</v>
      </c>
      <c r="F775" s="278"/>
      <c r="G775" s="278" t="s">
        <v>15</v>
      </c>
      <c r="H775" s="328">
        <f t="shared" si="197"/>
        <v>2.4177999999999997</v>
      </c>
      <c r="I775" s="280">
        <f t="shared" si="230"/>
        <v>194.923036</v>
      </c>
      <c r="J775" s="281">
        <f t="shared" si="231"/>
        <v>221.05945399999999</v>
      </c>
      <c r="K775" s="282">
        <f>IF(Notes!$B$9="Domestic",I775, IF(Notes!$B$9="Commercial",J775))*$K$415</f>
        <v>221.05945399999999</v>
      </c>
      <c r="L775" s="283">
        <f>(SUM(O775:Q775)+(K775+SUM(M775:Q775))*(INDEX($U$415:$AB$415,MATCH(Notes!$C$16,$U$3:$AB$3,0))-100%))*$L$415</f>
        <v>1275.83852</v>
      </c>
      <c r="M775" s="286"/>
      <c r="N775" s="286"/>
      <c r="O775" s="311">
        <f t="shared" si="233"/>
        <v>414.48</v>
      </c>
      <c r="P775" s="311">
        <f t="shared" si="233"/>
        <v>861.35852</v>
      </c>
      <c r="Q775" s="285"/>
      <c r="R775" s="278"/>
      <c r="S775" s="278"/>
      <c r="T775" s="278"/>
    </row>
    <row r="776" spans="1:20" s="305" customFormat="1" hidden="1" outlineLevel="1" x14ac:dyDescent="0.25">
      <c r="A776" s="344">
        <v>196.25</v>
      </c>
      <c r="B776" s="279" t="str">
        <f t="shared" si="229"/>
        <v>1000x25PL</v>
      </c>
      <c r="C776" s="278" t="s">
        <v>1819</v>
      </c>
      <c r="D776" s="278"/>
      <c r="E776" s="278" t="s">
        <v>1860</v>
      </c>
      <c r="F776" s="278"/>
      <c r="G776" s="278" t="s">
        <v>15</v>
      </c>
      <c r="H776" s="328">
        <f t="shared" si="197"/>
        <v>2.7475000000000001</v>
      </c>
      <c r="I776" s="280">
        <f t="shared" si="230"/>
        <v>221.50345000000002</v>
      </c>
      <c r="J776" s="281">
        <f t="shared" si="231"/>
        <v>251.20392500000003</v>
      </c>
      <c r="K776" s="282">
        <f>IF(Notes!$B$9="Domestic",I776, IF(Notes!$B$9="Commercial",J776))*$K$415</f>
        <v>251.20392500000003</v>
      </c>
      <c r="L776" s="283">
        <f>(SUM(O776:Q776)+(K776+SUM(M776:Q776))*(INDEX($U$415:$AB$415,MATCH(Notes!$C$16,$U$3:$AB$3,0))-100%))*$L$415</f>
        <v>1449.8165000000001</v>
      </c>
      <c r="M776" s="286"/>
      <c r="N776" s="286"/>
      <c r="O776" s="311">
        <f t="shared" si="233"/>
        <v>471</v>
      </c>
      <c r="P776" s="311">
        <f t="shared" si="233"/>
        <v>978.81650000000013</v>
      </c>
      <c r="Q776" s="285"/>
      <c r="R776" s="278"/>
      <c r="S776" s="278"/>
      <c r="T776" s="278"/>
    </row>
    <row r="777" spans="1:20" s="305" customFormat="1" hidden="1" outlineLevel="1" x14ac:dyDescent="0.25">
      <c r="A777" s="344">
        <v>219.8</v>
      </c>
      <c r="B777" s="279" t="str">
        <f t="shared" si="229"/>
        <v>1000x28PL</v>
      </c>
      <c r="C777" s="278" t="s">
        <v>1820</v>
      </c>
      <c r="D777" s="278"/>
      <c r="E777" s="278" t="s">
        <v>1860</v>
      </c>
      <c r="F777" s="278"/>
      <c r="G777" s="278" t="s">
        <v>15</v>
      </c>
      <c r="H777" s="328">
        <f t="shared" si="197"/>
        <v>3.0772000000000004</v>
      </c>
      <c r="I777" s="280">
        <f t="shared" si="230"/>
        <v>248.08386400000003</v>
      </c>
      <c r="J777" s="281">
        <f t="shared" si="231"/>
        <v>281.34839600000004</v>
      </c>
      <c r="K777" s="282">
        <f>IF(Notes!$B$9="Domestic",I777, IF(Notes!$B$9="Commercial",J777))*$K$415</f>
        <v>281.34839600000004</v>
      </c>
      <c r="L777" s="283">
        <f>(SUM(O777:Q777)+(K777+SUM(M777:Q777))*(INDEX($U$415:$AB$415,MATCH(Notes!$C$16,$U$3:$AB$3,0))-100%))*$L$415</f>
        <v>1623.7944800000002</v>
      </c>
      <c r="M777" s="286"/>
      <c r="N777" s="286"/>
      <c r="O777" s="311">
        <f t="shared" si="233"/>
        <v>527.52</v>
      </c>
      <c r="P777" s="311">
        <f t="shared" si="233"/>
        <v>1096.2744800000003</v>
      </c>
      <c r="Q777" s="285"/>
      <c r="R777" s="278"/>
      <c r="S777" s="278"/>
      <c r="T777" s="278"/>
    </row>
    <row r="778" spans="1:20" s="305" customFormat="1" hidden="1" outlineLevel="1" x14ac:dyDescent="0.25">
      <c r="A778" s="344">
        <v>251.2</v>
      </c>
      <c r="B778" s="279" t="str">
        <f t="shared" si="229"/>
        <v>1000x32PL</v>
      </c>
      <c r="C778" s="278" t="s">
        <v>1821</v>
      </c>
      <c r="D778" s="278"/>
      <c r="E778" s="278" t="s">
        <v>1860</v>
      </c>
      <c r="F778" s="278"/>
      <c r="G778" s="278" t="s">
        <v>15</v>
      </c>
      <c r="H778" s="328">
        <f t="shared" si="197"/>
        <v>3.5167999999999999</v>
      </c>
      <c r="I778" s="280">
        <f t="shared" si="230"/>
        <v>283.52441600000003</v>
      </c>
      <c r="J778" s="281">
        <f t="shared" si="231"/>
        <v>321.54102399999999</v>
      </c>
      <c r="K778" s="282">
        <f>IF(Notes!$B$9="Domestic",I778, IF(Notes!$B$9="Commercial",J778))*$K$415</f>
        <v>321.54102399999999</v>
      </c>
      <c r="L778" s="283">
        <f>(SUM(O778:Q778)+(K778+SUM(M778:Q778))*(INDEX($U$415:$AB$415,MATCH(Notes!$C$16,$U$3:$AB$3,0))-100%))*$L$415</f>
        <v>1855.76512</v>
      </c>
      <c r="M778" s="286"/>
      <c r="N778" s="286"/>
      <c r="O778" s="311">
        <f t="shared" si="233"/>
        <v>602.88</v>
      </c>
      <c r="P778" s="311">
        <f t="shared" si="233"/>
        <v>1252.8851200000001</v>
      </c>
      <c r="Q778" s="285"/>
      <c r="R778" s="278"/>
      <c r="S778" s="278"/>
      <c r="T778" s="278"/>
    </row>
    <row r="779" spans="1:20" s="305" customFormat="1" hidden="1" outlineLevel="1" x14ac:dyDescent="0.25">
      <c r="A779" s="344">
        <v>282.60000000000002</v>
      </c>
      <c r="B779" s="279" t="str">
        <f t="shared" si="229"/>
        <v>1000x36PL</v>
      </c>
      <c r="C779" s="278" t="s">
        <v>1822</v>
      </c>
      <c r="D779" s="278"/>
      <c r="E779" s="278" t="s">
        <v>1860</v>
      </c>
      <c r="F779" s="278"/>
      <c r="G779" s="278" t="s">
        <v>15</v>
      </c>
      <c r="H779" s="328">
        <f t="shared" si="197"/>
        <v>3.9564000000000004</v>
      </c>
      <c r="I779" s="280">
        <f t="shared" si="230"/>
        <v>318.96496800000006</v>
      </c>
      <c r="J779" s="281">
        <f t="shared" si="231"/>
        <v>361.73365200000006</v>
      </c>
      <c r="K779" s="282">
        <f>IF(Notes!$B$9="Domestic",I779, IF(Notes!$B$9="Commercial",J779))*$K$415</f>
        <v>361.73365200000006</v>
      </c>
      <c r="L779" s="283">
        <f>(SUM(O779:Q779)+(K779+SUM(M779:Q779))*(INDEX($U$415:$AB$415,MATCH(Notes!$C$16,$U$3:$AB$3,0))-100%))*$L$415</f>
        <v>2087.7357600000005</v>
      </c>
      <c r="M779" s="286"/>
      <c r="N779" s="286"/>
      <c r="O779" s="311">
        <f t="shared" si="233"/>
        <v>678.24</v>
      </c>
      <c r="P779" s="311">
        <f t="shared" si="233"/>
        <v>1409.4957600000002</v>
      </c>
      <c r="Q779" s="285"/>
      <c r="R779" s="278"/>
      <c r="S779" s="278"/>
      <c r="T779" s="278"/>
    </row>
    <row r="780" spans="1:20" s="305" customFormat="1" hidden="1" outlineLevel="1" x14ac:dyDescent="0.25">
      <c r="A780" s="344">
        <v>314</v>
      </c>
      <c r="B780" s="279" t="str">
        <f t="shared" si="229"/>
        <v>1000x40PL</v>
      </c>
      <c r="C780" s="278" t="s">
        <v>1823</v>
      </c>
      <c r="D780" s="278"/>
      <c r="E780" s="278" t="s">
        <v>1860</v>
      </c>
      <c r="F780" s="278"/>
      <c r="G780" s="278" t="s">
        <v>15</v>
      </c>
      <c r="H780" s="328">
        <f t="shared" ref="H780:H815" si="234">$H$415*$A780/1000</f>
        <v>4.3959999999999999</v>
      </c>
      <c r="I780" s="280">
        <f t="shared" si="230"/>
        <v>354.40552000000002</v>
      </c>
      <c r="J780" s="281">
        <f t="shared" si="231"/>
        <v>401.92628000000002</v>
      </c>
      <c r="K780" s="282">
        <f>IF(Notes!$B$9="Domestic",I780, IF(Notes!$B$9="Commercial",J780))*$K$415</f>
        <v>401.92628000000002</v>
      </c>
      <c r="L780" s="283">
        <f>(SUM(O780:Q780)+(K780+SUM(M780:Q780))*(INDEX($U$415:$AB$415,MATCH(Notes!$C$16,$U$3:$AB$3,0))-100%))*$L$415</f>
        <v>2319.7064</v>
      </c>
      <c r="M780" s="286"/>
      <c r="N780" s="286"/>
      <c r="O780" s="311">
        <f t="shared" si="233"/>
        <v>753.6</v>
      </c>
      <c r="P780" s="311">
        <f t="shared" si="233"/>
        <v>1566.1064000000001</v>
      </c>
      <c r="Q780" s="285"/>
      <c r="R780" s="278"/>
      <c r="S780" s="278"/>
      <c r="T780" s="278"/>
    </row>
    <row r="781" spans="1:20" s="305" customFormat="1" hidden="1" outlineLevel="1" x14ac:dyDescent="0.25">
      <c r="A781" s="344">
        <v>353.25</v>
      </c>
      <c r="B781" s="279" t="str">
        <f t="shared" si="229"/>
        <v>1000x45PL</v>
      </c>
      <c r="C781" s="278" t="s">
        <v>1824</v>
      </c>
      <c r="D781" s="278"/>
      <c r="E781" s="278" t="s">
        <v>1860</v>
      </c>
      <c r="F781" s="278"/>
      <c r="G781" s="278" t="s">
        <v>15</v>
      </c>
      <c r="H781" s="328">
        <f t="shared" si="234"/>
        <v>4.9455</v>
      </c>
      <c r="I781" s="280">
        <f t="shared" si="230"/>
        <v>398.70621</v>
      </c>
      <c r="J781" s="281">
        <f t="shared" si="231"/>
        <v>452.16706500000004</v>
      </c>
      <c r="K781" s="282">
        <f>IF(Notes!$B$9="Domestic",I781, IF(Notes!$B$9="Commercial",J781))*$K$415</f>
        <v>452.16706500000004</v>
      </c>
      <c r="L781" s="283">
        <f>(SUM(O781:Q781)+(K781+SUM(M781:Q781))*(INDEX($U$415:$AB$415,MATCH(Notes!$C$16,$U$3:$AB$3,0))-100%))*$L$415</f>
        <v>2609.6697000000004</v>
      </c>
      <c r="M781" s="286"/>
      <c r="N781" s="286"/>
      <c r="O781" s="311">
        <f t="shared" si="233"/>
        <v>847.8</v>
      </c>
      <c r="P781" s="311">
        <f t="shared" si="233"/>
        <v>1761.8697000000002</v>
      </c>
      <c r="Q781" s="285"/>
      <c r="R781" s="278"/>
      <c r="S781" s="278"/>
      <c r="T781" s="278"/>
    </row>
    <row r="782" spans="1:20" s="305" customFormat="1" hidden="1" outlineLevel="1" x14ac:dyDescent="0.25">
      <c r="A782" s="344">
        <v>392.5</v>
      </c>
      <c r="B782" s="279" t="str">
        <f t="shared" si="229"/>
        <v>1000x50PL</v>
      </c>
      <c r="C782" s="278" t="s">
        <v>1825</v>
      </c>
      <c r="D782" s="278"/>
      <c r="E782" s="278" t="s">
        <v>1860</v>
      </c>
      <c r="F782" s="278"/>
      <c r="G782" s="278" t="s">
        <v>15</v>
      </c>
      <c r="H782" s="328">
        <f t="shared" si="234"/>
        <v>5.4950000000000001</v>
      </c>
      <c r="I782" s="280">
        <f t="shared" si="230"/>
        <v>443.00690000000003</v>
      </c>
      <c r="J782" s="281">
        <f t="shared" si="231"/>
        <v>502.40785000000005</v>
      </c>
      <c r="K782" s="282">
        <f>IF(Notes!$B$9="Domestic",I782, IF(Notes!$B$9="Commercial",J782))*$K$415</f>
        <v>502.40785000000005</v>
      </c>
      <c r="L782" s="283">
        <f>(SUM(O782:Q782)+(K782+SUM(M782:Q782))*(INDEX($U$415:$AB$415,MATCH(Notes!$C$16,$U$3:$AB$3,0))-100%))*$L$415</f>
        <v>2899.6330000000003</v>
      </c>
      <c r="M782" s="286"/>
      <c r="N782" s="286"/>
      <c r="O782" s="311">
        <f t="shared" si="233"/>
        <v>942</v>
      </c>
      <c r="P782" s="311">
        <f t="shared" si="233"/>
        <v>1957.6330000000003</v>
      </c>
      <c r="Q782" s="285"/>
      <c r="R782" s="278"/>
      <c r="S782" s="278"/>
      <c r="T782" s="278"/>
    </row>
    <row r="783" spans="1:20" s="305" customFormat="1" hidden="1" outlineLevel="1" x14ac:dyDescent="0.25">
      <c r="A783" s="344">
        <v>431.75</v>
      </c>
      <c r="B783" s="279" t="str">
        <f t="shared" si="229"/>
        <v>1000x55PL</v>
      </c>
      <c r="C783" s="278" t="s">
        <v>1826</v>
      </c>
      <c r="D783" s="278"/>
      <c r="E783" s="278" t="s">
        <v>1860</v>
      </c>
      <c r="F783" s="278"/>
      <c r="G783" s="278" t="s">
        <v>15</v>
      </c>
      <c r="H783" s="328">
        <f t="shared" si="234"/>
        <v>6.0445000000000002</v>
      </c>
      <c r="I783" s="280">
        <f t="shared" si="230"/>
        <v>487.30759000000006</v>
      </c>
      <c r="J783" s="281">
        <f t="shared" si="231"/>
        <v>552.64863500000001</v>
      </c>
      <c r="K783" s="282">
        <f>IF(Notes!$B$9="Domestic",I783, IF(Notes!$B$9="Commercial",J783))*$K$415</f>
        <v>552.64863500000001</v>
      </c>
      <c r="L783" s="283">
        <f>(SUM(O783:Q783)+(K783+SUM(M783:Q783))*(INDEX($U$415:$AB$415,MATCH(Notes!$C$16,$U$3:$AB$3,0))-100%))*$L$415</f>
        <v>3189.5963000000002</v>
      </c>
      <c r="M783" s="286"/>
      <c r="N783" s="286"/>
      <c r="O783" s="311">
        <f t="shared" si="233"/>
        <v>1036.2</v>
      </c>
      <c r="P783" s="311">
        <f t="shared" si="233"/>
        <v>2153.3963000000003</v>
      </c>
      <c r="Q783" s="285"/>
      <c r="R783" s="278"/>
      <c r="S783" s="278"/>
      <c r="T783" s="278"/>
    </row>
    <row r="784" spans="1:20" s="305" customFormat="1" hidden="1" outlineLevel="1" x14ac:dyDescent="0.25">
      <c r="A784" s="344">
        <v>471</v>
      </c>
      <c r="B784" s="279" t="str">
        <f t="shared" si="229"/>
        <v>1000x60PL</v>
      </c>
      <c r="C784" s="278" t="s">
        <v>1827</v>
      </c>
      <c r="D784" s="278"/>
      <c r="E784" s="278" t="s">
        <v>1860</v>
      </c>
      <c r="F784" s="278"/>
      <c r="G784" s="278" t="s">
        <v>15</v>
      </c>
      <c r="H784" s="328">
        <f t="shared" si="234"/>
        <v>6.5940000000000003</v>
      </c>
      <c r="I784" s="280">
        <f t="shared" si="230"/>
        <v>531.60828000000004</v>
      </c>
      <c r="J784" s="281">
        <f t="shared" si="231"/>
        <v>602.88942000000009</v>
      </c>
      <c r="K784" s="282">
        <f>IF(Notes!$B$9="Domestic",I784, IF(Notes!$B$9="Commercial",J784))*$K$415</f>
        <v>602.88942000000009</v>
      </c>
      <c r="L784" s="283">
        <f>(SUM(O784:Q784)+(K784+SUM(M784:Q784))*(INDEX($U$415:$AB$415,MATCH(Notes!$C$16,$U$3:$AB$3,0))-100%))*$L$415</f>
        <v>3479.5596</v>
      </c>
      <c r="M784" s="286"/>
      <c r="N784" s="286"/>
      <c r="O784" s="311">
        <f t="shared" si="233"/>
        <v>1130.4000000000001</v>
      </c>
      <c r="P784" s="311">
        <f t="shared" si="233"/>
        <v>2349.1596</v>
      </c>
      <c r="Q784" s="285"/>
      <c r="R784" s="278"/>
      <c r="S784" s="278"/>
      <c r="T784" s="278"/>
    </row>
    <row r="785" spans="1:20" s="305" customFormat="1" hidden="1" outlineLevel="1" x14ac:dyDescent="0.25">
      <c r="A785" s="344">
        <v>510</v>
      </c>
      <c r="B785" s="279" t="str">
        <f t="shared" si="229"/>
        <v>1000x65PL</v>
      </c>
      <c r="C785" s="278" t="s">
        <v>1828</v>
      </c>
      <c r="D785" s="278"/>
      <c r="E785" s="278" t="s">
        <v>1860</v>
      </c>
      <c r="F785" s="278"/>
      <c r="G785" s="278" t="s">
        <v>15</v>
      </c>
      <c r="H785" s="328">
        <f t="shared" si="234"/>
        <v>7.14</v>
      </c>
      <c r="I785" s="280">
        <f t="shared" si="230"/>
        <v>575.6268</v>
      </c>
      <c r="J785" s="281">
        <f t="shared" si="231"/>
        <v>652.81020000000001</v>
      </c>
      <c r="K785" s="282">
        <f>IF(Notes!$B$9="Domestic",I785, IF(Notes!$B$9="Commercial",J785))*$K$415</f>
        <v>652.81020000000001</v>
      </c>
      <c r="L785" s="283">
        <f>(SUM(O785:Q785)+(K785+SUM(M785:Q785))*(INDEX($U$415:$AB$415,MATCH(Notes!$C$16,$U$3:$AB$3,0))-100%))*$L$415</f>
        <v>3767.6759999999999</v>
      </c>
      <c r="M785" s="286"/>
      <c r="N785" s="286"/>
      <c r="O785" s="311">
        <f t="shared" si="233"/>
        <v>1224</v>
      </c>
      <c r="P785" s="311">
        <f t="shared" si="233"/>
        <v>2543.6759999999999</v>
      </c>
      <c r="Q785" s="285"/>
      <c r="R785" s="278"/>
      <c r="S785" s="278"/>
      <c r="T785" s="278"/>
    </row>
    <row r="786" spans="1:20" s="305" customFormat="1" hidden="1" outlineLevel="1" x14ac:dyDescent="0.25">
      <c r="A786" s="344">
        <v>549.5</v>
      </c>
      <c r="B786" s="279" t="str">
        <f t="shared" si="229"/>
        <v>1000x70PL</v>
      </c>
      <c r="C786" s="278" t="s">
        <v>1829</v>
      </c>
      <c r="D786" s="278"/>
      <c r="E786" s="278" t="s">
        <v>1860</v>
      </c>
      <c r="F786" s="278"/>
      <c r="G786" s="278" t="s">
        <v>15</v>
      </c>
      <c r="H786" s="328">
        <f t="shared" si="234"/>
        <v>7.6929999999999996</v>
      </c>
      <c r="I786" s="280">
        <f t="shared" si="230"/>
        <v>620.20965999999999</v>
      </c>
      <c r="J786" s="281">
        <f t="shared" si="231"/>
        <v>703.37099000000001</v>
      </c>
      <c r="K786" s="282">
        <f>IF(Notes!$B$9="Domestic",I786, IF(Notes!$B$9="Commercial",J786))*$K$415</f>
        <v>703.37099000000001</v>
      </c>
      <c r="L786" s="283">
        <f>(SUM(O786:Q786)+(K786+SUM(M786:Q786))*(INDEX($U$415:$AB$415,MATCH(Notes!$C$16,$U$3:$AB$3,0))-100%))*$L$415</f>
        <v>4059.4862000000003</v>
      </c>
      <c r="M786" s="286"/>
      <c r="N786" s="286"/>
      <c r="O786" s="311">
        <f t="shared" si="233"/>
        <v>1318.8</v>
      </c>
      <c r="P786" s="311">
        <f t="shared" si="233"/>
        <v>2740.6862000000001</v>
      </c>
      <c r="Q786" s="285"/>
      <c r="R786" s="278"/>
      <c r="S786" s="278"/>
      <c r="T786" s="278"/>
    </row>
    <row r="787" spans="1:20" s="305" customFormat="1" hidden="1" outlineLevel="1" x14ac:dyDescent="0.25">
      <c r="A787" s="344">
        <v>588.75</v>
      </c>
      <c r="B787" s="279" t="str">
        <f t="shared" si="229"/>
        <v>1000x75PL</v>
      </c>
      <c r="C787" s="278" t="s">
        <v>1830</v>
      </c>
      <c r="D787" s="278"/>
      <c r="E787" s="278" t="s">
        <v>1860</v>
      </c>
      <c r="F787" s="278"/>
      <c r="G787" s="278" t="s">
        <v>15</v>
      </c>
      <c r="H787" s="328">
        <f t="shared" si="234"/>
        <v>8.2424999999999997</v>
      </c>
      <c r="I787" s="280">
        <f t="shared" si="230"/>
        <v>664.51035000000002</v>
      </c>
      <c r="J787" s="281">
        <f t="shared" si="231"/>
        <v>753.61177500000008</v>
      </c>
      <c r="K787" s="282">
        <f>IF(Notes!$B$9="Domestic",I787, IF(Notes!$B$9="Commercial",J787))*$K$415</f>
        <v>753.61177500000008</v>
      </c>
      <c r="L787" s="283">
        <f>(SUM(O787:Q787)+(K787+SUM(M787:Q787))*(INDEX($U$415:$AB$415,MATCH(Notes!$C$16,$U$3:$AB$3,0))-100%))*$L$415</f>
        <v>4349.4495000000006</v>
      </c>
      <c r="M787" s="286"/>
      <c r="N787" s="286"/>
      <c r="O787" s="311">
        <f t="shared" si="233"/>
        <v>1413</v>
      </c>
      <c r="P787" s="311">
        <f t="shared" si="233"/>
        <v>2936.4495000000002</v>
      </c>
      <c r="Q787" s="285"/>
      <c r="R787" s="278"/>
      <c r="S787" s="278"/>
      <c r="T787" s="278"/>
    </row>
    <row r="788" spans="1:20" s="305" customFormat="1" hidden="1" outlineLevel="1" x14ac:dyDescent="0.25">
      <c r="A788" s="344">
        <v>628</v>
      </c>
      <c r="B788" s="279" t="str">
        <f t="shared" si="229"/>
        <v>1000x80PL</v>
      </c>
      <c r="C788" s="278" t="s">
        <v>1831</v>
      </c>
      <c r="D788" s="278"/>
      <c r="E788" s="278" t="s">
        <v>1860</v>
      </c>
      <c r="F788" s="278"/>
      <c r="G788" s="278" t="s">
        <v>15</v>
      </c>
      <c r="H788" s="328">
        <f t="shared" si="234"/>
        <v>8.7919999999999998</v>
      </c>
      <c r="I788" s="280">
        <f t="shared" si="230"/>
        <v>708.81104000000005</v>
      </c>
      <c r="J788" s="281">
        <f t="shared" si="231"/>
        <v>803.85256000000004</v>
      </c>
      <c r="K788" s="282">
        <f>IF(Notes!$B$9="Domestic",I788, IF(Notes!$B$9="Commercial",J788))*$K$415</f>
        <v>803.85256000000004</v>
      </c>
      <c r="L788" s="283">
        <f>(SUM(O788:Q788)+(K788+SUM(M788:Q788))*(INDEX($U$415:$AB$415,MATCH(Notes!$C$16,$U$3:$AB$3,0))-100%))*$L$415</f>
        <v>4639.4128000000001</v>
      </c>
      <c r="M788" s="286"/>
      <c r="N788" s="286"/>
      <c r="O788" s="311">
        <f t="shared" si="233"/>
        <v>1507.2</v>
      </c>
      <c r="P788" s="311">
        <f t="shared" si="233"/>
        <v>3132.2128000000002</v>
      </c>
      <c r="Q788" s="285"/>
      <c r="R788" s="278"/>
      <c r="S788" s="278"/>
      <c r="T788" s="278"/>
    </row>
    <row r="789" spans="1:20" s="305" customFormat="1" hidden="1" outlineLevel="1" x14ac:dyDescent="0.25">
      <c r="A789" s="344">
        <v>706.5</v>
      </c>
      <c r="B789" s="279" t="str">
        <f t="shared" si="229"/>
        <v>1000x90PL</v>
      </c>
      <c r="C789" s="278" t="s">
        <v>1832</v>
      </c>
      <c r="D789" s="278"/>
      <c r="E789" s="278" t="s">
        <v>1860</v>
      </c>
      <c r="F789" s="278"/>
      <c r="G789" s="278" t="s">
        <v>15</v>
      </c>
      <c r="H789" s="328">
        <f t="shared" si="234"/>
        <v>9.891</v>
      </c>
      <c r="I789" s="280">
        <f t="shared" si="230"/>
        <v>797.41242</v>
      </c>
      <c r="J789" s="281">
        <f t="shared" si="231"/>
        <v>904.33413000000007</v>
      </c>
      <c r="K789" s="282">
        <f>IF(Notes!$B$9="Domestic",I789, IF(Notes!$B$9="Commercial",J789))*$K$415</f>
        <v>904.33413000000007</v>
      </c>
      <c r="L789" s="283">
        <f>(SUM(O789:Q789)+(K789+SUM(M789:Q789))*(INDEX($U$415:$AB$415,MATCH(Notes!$C$16,$U$3:$AB$3,0))-100%))*$L$415</f>
        <v>5219.3394000000008</v>
      </c>
      <c r="M789" s="286"/>
      <c r="N789" s="286"/>
      <c r="O789" s="311">
        <f t="shared" si="233"/>
        <v>1695.6</v>
      </c>
      <c r="P789" s="311">
        <f t="shared" si="233"/>
        <v>3523.7394000000004</v>
      </c>
      <c r="Q789" s="285"/>
      <c r="R789" s="278"/>
      <c r="S789" s="278"/>
      <c r="T789" s="278"/>
    </row>
    <row r="790" spans="1:20" s="305" customFormat="1" hidden="1" outlineLevel="1" x14ac:dyDescent="0.25">
      <c r="A790" s="344">
        <v>785</v>
      </c>
      <c r="B790" s="279" t="str">
        <f t="shared" si="229"/>
        <v>1000x100PL</v>
      </c>
      <c r="C790" s="278" t="s">
        <v>1833</v>
      </c>
      <c r="D790" s="278"/>
      <c r="E790" s="278" t="s">
        <v>1860</v>
      </c>
      <c r="F790" s="278"/>
      <c r="G790" s="278" t="s">
        <v>15</v>
      </c>
      <c r="H790" s="328">
        <f t="shared" si="234"/>
        <v>10.99</v>
      </c>
      <c r="I790" s="280">
        <f t="shared" si="230"/>
        <v>886.01380000000006</v>
      </c>
      <c r="J790" s="281">
        <f t="shared" si="231"/>
        <v>1004.8157000000001</v>
      </c>
      <c r="K790" s="282">
        <f>IF(Notes!$B$9="Domestic",I790, IF(Notes!$B$9="Commercial",J790))*$K$415</f>
        <v>1004.8157000000001</v>
      </c>
      <c r="L790" s="283">
        <f>(SUM(O790:Q790)+(K790+SUM(M790:Q790))*(INDEX($U$415:$AB$415,MATCH(Notes!$C$16,$U$3:$AB$3,0))-100%))*$L$415</f>
        <v>5799.2660000000005</v>
      </c>
      <c r="M790" s="286"/>
      <c r="N790" s="286"/>
      <c r="O790" s="311">
        <f t="shared" si="233"/>
        <v>1884</v>
      </c>
      <c r="P790" s="311">
        <f t="shared" si="233"/>
        <v>3915.2660000000005</v>
      </c>
      <c r="Q790" s="285"/>
      <c r="R790" s="278"/>
      <c r="S790" s="278"/>
      <c r="T790" s="278"/>
    </row>
    <row r="791" spans="1:20" s="305" customFormat="1" hidden="1" outlineLevel="1" x14ac:dyDescent="0.25">
      <c r="A791" s="344">
        <v>47.1</v>
      </c>
      <c r="B791" s="279" t="str">
        <f t="shared" si="229"/>
        <v>2000x3PL</v>
      </c>
      <c r="C791" s="278" t="s">
        <v>1834</v>
      </c>
      <c r="D791" s="278"/>
      <c r="E791" s="278" t="s">
        <v>1860</v>
      </c>
      <c r="F791" s="278"/>
      <c r="G791" s="278" t="s">
        <v>15</v>
      </c>
      <c r="H791" s="328">
        <f t="shared" si="234"/>
        <v>0.65939999999999999</v>
      </c>
      <c r="I791" s="280">
        <f t="shared" si="230"/>
        <v>53.160828000000002</v>
      </c>
      <c r="J791" s="281">
        <f t="shared" si="231"/>
        <v>60.288942000000006</v>
      </c>
      <c r="K791" s="282">
        <f>IF(Notes!$B$9="Domestic",I791, IF(Notes!$B$9="Commercial",J791))*$K$415</f>
        <v>60.288942000000006</v>
      </c>
      <c r="L791" s="283">
        <f>(SUM(O791:Q791)+(K791+SUM(M791:Q791))*(INDEX($U$415:$AB$415,MATCH(Notes!$C$16,$U$3:$AB$3,0))-100%))*$L$415</f>
        <v>347.95596</v>
      </c>
      <c r="M791" s="286"/>
      <c r="N791" s="286"/>
      <c r="O791" s="311">
        <f t="shared" ref="O791:P815" si="235">O$415*$A791/1000</f>
        <v>113.04</v>
      </c>
      <c r="P791" s="311">
        <f t="shared" si="235"/>
        <v>234.91596000000001</v>
      </c>
      <c r="Q791" s="285"/>
      <c r="R791" s="278"/>
      <c r="S791" s="278"/>
      <c r="T791" s="278"/>
    </row>
    <row r="792" spans="1:20" s="305" customFormat="1" hidden="1" outlineLevel="1" x14ac:dyDescent="0.25">
      <c r="A792" s="344">
        <v>62.8</v>
      </c>
      <c r="B792" s="279" t="str">
        <f t="shared" si="229"/>
        <v>2000x4PL</v>
      </c>
      <c r="C792" s="278" t="s">
        <v>1835</v>
      </c>
      <c r="D792" s="278"/>
      <c r="E792" s="278" t="s">
        <v>1860</v>
      </c>
      <c r="F792" s="278"/>
      <c r="G792" s="278" t="s">
        <v>15</v>
      </c>
      <c r="H792" s="328">
        <f t="shared" si="234"/>
        <v>0.87919999999999998</v>
      </c>
      <c r="I792" s="280">
        <f t="shared" si="230"/>
        <v>70.881104000000008</v>
      </c>
      <c r="J792" s="281">
        <f t="shared" si="231"/>
        <v>80.385255999999998</v>
      </c>
      <c r="K792" s="282">
        <f>IF(Notes!$B$9="Domestic",I792, IF(Notes!$B$9="Commercial",J792))*$K$415</f>
        <v>80.385255999999998</v>
      </c>
      <c r="L792" s="283">
        <f>(SUM(O792:Q792)+(K792+SUM(M792:Q792))*(INDEX($U$415:$AB$415,MATCH(Notes!$C$16,$U$3:$AB$3,0))-100%))*$L$415</f>
        <v>463.94128000000001</v>
      </c>
      <c r="M792" s="286"/>
      <c r="N792" s="286"/>
      <c r="O792" s="311">
        <f t="shared" si="235"/>
        <v>150.72</v>
      </c>
      <c r="P792" s="311">
        <f t="shared" si="235"/>
        <v>313.22128000000004</v>
      </c>
      <c r="Q792" s="285"/>
      <c r="R792" s="278"/>
      <c r="S792" s="278"/>
      <c r="T792" s="278"/>
    </row>
    <row r="793" spans="1:20" s="305" customFormat="1" hidden="1" outlineLevel="1" x14ac:dyDescent="0.25">
      <c r="A793" s="344">
        <v>78.5</v>
      </c>
      <c r="B793" s="279" t="str">
        <f t="shared" si="229"/>
        <v>2000x5PL</v>
      </c>
      <c r="C793" s="278" t="s">
        <v>1836</v>
      </c>
      <c r="D793" s="278"/>
      <c r="E793" s="278" t="s">
        <v>1860</v>
      </c>
      <c r="F793" s="278"/>
      <c r="G793" s="278" t="s">
        <v>15</v>
      </c>
      <c r="H793" s="328">
        <f t="shared" si="234"/>
        <v>1.099</v>
      </c>
      <c r="I793" s="280">
        <f t="shared" si="230"/>
        <v>88.601380000000006</v>
      </c>
      <c r="J793" s="281">
        <f t="shared" si="231"/>
        <v>100.48157</v>
      </c>
      <c r="K793" s="282">
        <f>IF(Notes!$B$9="Domestic",I793, IF(Notes!$B$9="Commercial",J793))*$K$415</f>
        <v>100.48157</v>
      </c>
      <c r="L793" s="283">
        <f>(SUM(O793:Q793)+(K793+SUM(M793:Q793))*(INDEX($U$415:$AB$415,MATCH(Notes!$C$16,$U$3:$AB$3,0))-100%))*$L$415</f>
        <v>579.92660000000001</v>
      </c>
      <c r="M793" s="286"/>
      <c r="N793" s="286"/>
      <c r="O793" s="311">
        <f t="shared" si="235"/>
        <v>188.4</v>
      </c>
      <c r="P793" s="311">
        <f t="shared" si="235"/>
        <v>391.52660000000003</v>
      </c>
      <c r="Q793" s="285"/>
      <c r="R793" s="278"/>
      <c r="S793" s="278"/>
      <c r="T793" s="278"/>
    </row>
    <row r="794" spans="1:20" s="305" customFormat="1" hidden="1" outlineLevel="1" x14ac:dyDescent="0.25">
      <c r="A794" s="344">
        <v>94.2</v>
      </c>
      <c r="B794" s="279" t="str">
        <f t="shared" si="229"/>
        <v>2000x6PL</v>
      </c>
      <c r="C794" s="278" t="s">
        <v>1837</v>
      </c>
      <c r="D794" s="278"/>
      <c r="E794" s="278" t="s">
        <v>1860</v>
      </c>
      <c r="F794" s="278"/>
      <c r="G794" s="278" t="s">
        <v>15</v>
      </c>
      <c r="H794" s="328">
        <f t="shared" si="234"/>
        <v>1.3188</v>
      </c>
      <c r="I794" s="280">
        <f t="shared" si="230"/>
        <v>106.321656</v>
      </c>
      <c r="J794" s="281">
        <f t="shared" si="231"/>
        <v>120.57788400000001</v>
      </c>
      <c r="K794" s="282">
        <f>IF(Notes!$B$9="Domestic",I794, IF(Notes!$B$9="Commercial",J794))*$K$415</f>
        <v>120.57788400000001</v>
      </c>
      <c r="L794" s="283">
        <f>(SUM(O794:Q794)+(K794+SUM(M794:Q794))*(INDEX($U$415:$AB$415,MATCH(Notes!$C$16,$U$3:$AB$3,0))-100%))*$L$415</f>
        <v>695.91192000000001</v>
      </c>
      <c r="M794" s="286"/>
      <c r="N794" s="286"/>
      <c r="O794" s="311">
        <f t="shared" si="235"/>
        <v>226.08</v>
      </c>
      <c r="P794" s="311">
        <f t="shared" si="235"/>
        <v>469.83192000000003</v>
      </c>
      <c r="Q794" s="285"/>
      <c r="R794" s="278"/>
      <c r="S794" s="278"/>
      <c r="T794" s="278"/>
    </row>
    <row r="795" spans="1:20" s="305" customFormat="1" hidden="1" outlineLevel="1" x14ac:dyDescent="0.25">
      <c r="A795" s="344">
        <v>125.6</v>
      </c>
      <c r="B795" s="279" t="str">
        <f t="shared" si="229"/>
        <v>2000x8PL</v>
      </c>
      <c r="C795" s="278" t="s">
        <v>1838</v>
      </c>
      <c r="D795" s="278"/>
      <c r="E795" s="278" t="s">
        <v>1860</v>
      </c>
      <c r="F795" s="278"/>
      <c r="G795" s="278" t="s">
        <v>15</v>
      </c>
      <c r="H795" s="328">
        <f t="shared" si="234"/>
        <v>1.7584</v>
      </c>
      <c r="I795" s="280">
        <f t="shared" si="230"/>
        <v>141.76220800000002</v>
      </c>
      <c r="J795" s="281">
        <f t="shared" si="231"/>
        <v>160.770512</v>
      </c>
      <c r="K795" s="282">
        <f>IF(Notes!$B$9="Domestic",I795, IF(Notes!$B$9="Commercial",J795))*$K$415</f>
        <v>160.770512</v>
      </c>
      <c r="L795" s="283">
        <f>(SUM(O795:Q795)+(K795+SUM(M795:Q795))*(INDEX($U$415:$AB$415,MATCH(Notes!$C$16,$U$3:$AB$3,0))-100%))*$L$415</f>
        <v>927.88256000000001</v>
      </c>
      <c r="M795" s="286"/>
      <c r="N795" s="286"/>
      <c r="O795" s="311">
        <f t="shared" si="235"/>
        <v>301.44</v>
      </c>
      <c r="P795" s="311">
        <f t="shared" si="235"/>
        <v>626.44256000000007</v>
      </c>
      <c r="Q795" s="285"/>
      <c r="R795" s="278"/>
      <c r="S795" s="278"/>
      <c r="T795" s="278"/>
    </row>
    <row r="796" spans="1:20" s="305" customFormat="1" hidden="1" outlineLevel="1" x14ac:dyDescent="0.25">
      <c r="A796" s="344">
        <v>157</v>
      </c>
      <c r="B796" s="279" t="str">
        <f t="shared" si="229"/>
        <v>2000x10PL</v>
      </c>
      <c r="C796" s="278" t="s">
        <v>1839</v>
      </c>
      <c r="D796" s="278"/>
      <c r="E796" s="278" t="s">
        <v>1860</v>
      </c>
      <c r="F796" s="278"/>
      <c r="G796" s="278" t="s">
        <v>15</v>
      </c>
      <c r="H796" s="328">
        <f t="shared" si="234"/>
        <v>2.198</v>
      </c>
      <c r="I796" s="280">
        <f t="shared" si="230"/>
        <v>177.20276000000001</v>
      </c>
      <c r="J796" s="281">
        <f t="shared" si="231"/>
        <v>200.96314000000001</v>
      </c>
      <c r="K796" s="282">
        <f>IF(Notes!$B$9="Domestic",I796, IF(Notes!$B$9="Commercial",J796))*$K$415</f>
        <v>200.96314000000001</v>
      </c>
      <c r="L796" s="283">
        <f>(SUM(O796:Q796)+(K796+SUM(M796:Q796))*(INDEX($U$415:$AB$415,MATCH(Notes!$C$16,$U$3:$AB$3,0))-100%))*$L$415</f>
        <v>1159.8532</v>
      </c>
      <c r="M796" s="286"/>
      <c r="N796" s="286"/>
      <c r="O796" s="311">
        <f t="shared" si="235"/>
        <v>376.8</v>
      </c>
      <c r="P796" s="311">
        <f t="shared" si="235"/>
        <v>783.05320000000006</v>
      </c>
      <c r="Q796" s="285"/>
      <c r="R796" s="278"/>
      <c r="S796" s="278"/>
      <c r="T796" s="278"/>
    </row>
    <row r="797" spans="1:20" s="305" customFormat="1" hidden="1" outlineLevel="1" x14ac:dyDescent="0.25">
      <c r="A797" s="344">
        <v>188.4</v>
      </c>
      <c r="B797" s="279" t="str">
        <f t="shared" si="229"/>
        <v>2000x12PL</v>
      </c>
      <c r="C797" s="278" t="s">
        <v>1840</v>
      </c>
      <c r="D797" s="278"/>
      <c r="E797" s="278" t="s">
        <v>1860</v>
      </c>
      <c r="F797" s="278"/>
      <c r="G797" s="278" t="s">
        <v>15</v>
      </c>
      <c r="H797" s="328">
        <f t="shared" si="234"/>
        <v>2.6375999999999999</v>
      </c>
      <c r="I797" s="280">
        <f t="shared" si="230"/>
        <v>212.64331200000001</v>
      </c>
      <c r="J797" s="281">
        <f t="shared" si="231"/>
        <v>241.15576800000002</v>
      </c>
      <c r="K797" s="282">
        <f>IF(Notes!$B$9="Domestic",I797, IF(Notes!$B$9="Commercial",J797))*$K$415</f>
        <v>241.15576800000002</v>
      </c>
      <c r="L797" s="283">
        <f>(SUM(O797:Q797)+(K797+SUM(M797:Q797))*(INDEX($U$415:$AB$415,MATCH(Notes!$C$16,$U$3:$AB$3,0))-100%))*$L$415</f>
        <v>1391.82384</v>
      </c>
      <c r="M797" s="286"/>
      <c r="N797" s="286"/>
      <c r="O797" s="311">
        <f t="shared" si="235"/>
        <v>452.16</v>
      </c>
      <c r="P797" s="311">
        <f t="shared" si="235"/>
        <v>939.66384000000005</v>
      </c>
      <c r="Q797" s="285"/>
      <c r="R797" s="278"/>
      <c r="S797" s="278"/>
      <c r="T797" s="278"/>
    </row>
    <row r="798" spans="1:20" s="305" customFormat="1" hidden="1" outlineLevel="1" x14ac:dyDescent="0.25">
      <c r="A798" s="344">
        <v>251.2</v>
      </c>
      <c r="B798" s="279" t="str">
        <f t="shared" si="229"/>
        <v>2000x16PL</v>
      </c>
      <c r="C798" s="278" t="s">
        <v>1841</v>
      </c>
      <c r="D798" s="278"/>
      <c r="E798" s="278" t="s">
        <v>1860</v>
      </c>
      <c r="F798" s="278"/>
      <c r="G798" s="278" t="s">
        <v>15</v>
      </c>
      <c r="H798" s="328">
        <f t="shared" si="234"/>
        <v>3.5167999999999999</v>
      </c>
      <c r="I798" s="280">
        <f t="shared" si="230"/>
        <v>283.52441600000003</v>
      </c>
      <c r="J798" s="281">
        <f t="shared" si="231"/>
        <v>321.54102399999999</v>
      </c>
      <c r="K798" s="282">
        <f>IF(Notes!$B$9="Domestic",I798, IF(Notes!$B$9="Commercial",J798))*$K$415</f>
        <v>321.54102399999999</v>
      </c>
      <c r="L798" s="283">
        <f>(SUM(O798:Q798)+(K798+SUM(M798:Q798))*(INDEX($U$415:$AB$415,MATCH(Notes!$C$16,$U$3:$AB$3,0))-100%))*$L$415</f>
        <v>1855.76512</v>
      </c>
      <c r="M798" s="286"/>
      <c r="N798" s="286"/>
      <c r="O798" s="311">
        <f t="shared" si="235"/>
        <v>602.88</v>
      </c>
      <c r="P798" s="311">
        <f t="shared" si="235"/>
        <v>1252.8851200000001</v>
      </c>
      <c r="Q798" s="285"/>
      <c r="R798" s="278"/>
      <c r="S798" s="278"/>
      <c r="T798" s="278"/>
    </row>
    <row r="799" spans="1:20" s="305" customFormat="1" hidden="1" outlineLevel="1" x14ac:dyDescent="0.25">
      <c r="A799" s="344">
        <v>314</v>
      </c>
      <c r="B799" s="279" t="str">
        <f t="shared" si="229"/>
        <v>2000x20PL</v>
      </c>
      <c r="C799" s="278" t="s">
        <v>1842</v>
      </c>
      <c r="D799" s="278"/>
      <c r="E799" s="278" t="s">
        <v>1860</v>
      </c>
      <c r="F799" s="278"/>
      <c r="G799" s="278" t="s">
        <v>15</v>
      </c>
      <c r="H799" s="328">
        <f t="shared" si="234"/>
        <v>4.3959999999999999</v>
      </c>
      <c r="I799" s="280">
        <f t="shared" si="230"/>
        <v>354.40552000000002</v>
      </c>
      <c r="J799" s="281">
        <f t="shared" si="231"/>
        <v>401.92628000000002</v>
      </c>
      <c r="K799" s="282">
        <f>IF(Notes!$B$9="Domestic",I799, IF(Notes!$B$9="Commercial",J799))*$K$415</f>
        <v>401.92628000000002</v>
      </c>
      <c r="L799" s="283">
        <f>(SUM(O799:Q799)+(K799+SUM(M799:Q799))*(INDEX($U$415:$AB$415,MATCH(Notes!$C$16,$U$3:$AB$3,0))-100%))*$L$415</f>
        <v>2319.7064</v>
      </c>
      <c r="M799" s="286"/>
      <c r="N799" s="286"/>
      <c r="O799" s="311">
        <f t="shared" si="235"/>
        <v>753.6</v>
      </c>
      <c r="P799" s="311">
        <f t="shared" si="235"/>
        <v>1566.1064000000001</v>
      </c>
      <c r="Q799" s="285"/>
      <c r="R799" s="278"/>
      <c r="S799" s="278"/>
      <c r="T799" s="278"/>
    </row>
    <row r="800" spans="1:20" s="305" customFormat="1" hidden="1" outlineLevel="1" x14ac:dyDescent="0.25">
      <c r="A800" s="344">
        <v>345.4</v>
      </c>
      <c r="B800" s="279" t="str">
        <f t="shared" ref="B800:B815" si="236">C800&amp;D800&amp;E800&amp;F800</f>
        <v>2000x22PL</v>
      </c>
      <c r="C800" s="278" t="s">
        <v>1843</v>
      </c>
      <c r="D800" s="278"/>
      <c r="E800" s="278" t="s">
        <v>1860</v>
      </c>
      <c r="F800" s="278"/>
      <c r="G800" s="278" t="s">
        <v>15</v>
      </c>
      <c r="H800" s="328">
        <f t="shared" si="234"/>
        <v>4.8355999999999995</v>
      </c>
      <c r="I800" s="280">
        <f t="shared" ref="I800:I815" si="237">$I$2*H800</f>
        <v>389.84607199999999</v>
      </c>
      <c r="J800" s="281">
        <f t="shared" ref="J800:J815" si="238">$J$2*H800</f>
        <v>442.11890799999998</v>
      </c>
      <c r="K800" s="282">
        <f>IF(Notes!$B$9="Domestic",I800, IF(Notes!$B$9="Commercial",J800))*$K$415</f>
        <v>442.11890799999998</v>
      </c>
      <c r="L800" s="283">
        <f>(SUM(O800:Q800)+(K800+SUM(M800:Q800))*(INDEX($U$415:$AB$415,MATCH(Notes!$C$16,$U$3:$AB$3,0))-100%))*$L$415</f>
        <v>2551.67704</v>
      </c>
      <c r="M800" s="286"/>
      <c r="N800" s="286"/>
      <c r="O800" s="311">
        <f t="shared" si="235"/>
        <v>828.96</v>
      </c>
      <c r="P800" s="311">
        <f t="shared" si="235"/>
        <v>1722.71704</v>
      </c>
      <c r="Q800" s="285"/>
      <c r="R800" s="278"/>
      <c r="S800" s="278"/>
      <c r="T800" s="278"/>
    </row>
    <row r="801" spans="1:28" s="305" customFormat="1" hidden="1" outlineLevel="1" x14ac:dyDescent="0.25">
      <c r="A801" s="344">
        <v>392.5</v>
      </c>
      <c r="B801" s="279" t="str">
        <f t="shared" si="236"/>
        <v>2000x25PL</v>
      </c>
      <c r="C801" s="278" t="s">
        <v>1844</v>
      </c>
      <c r="D801" s="278"/>
      <c r="E801" s="278" t="s">
        <v>1860</v>
      </c>
      <c r="F801" s="278"/>
      <c r="G801" s="278" t="s">
        <v>15</v>
      </c>
      <c r="H801" s="328">
        <f t="shared" si="234"/>
        <v>5.4950000000000001</v>
      </c>
      <c r="I801" s="280">
        <f t="shared" si="237"/>
        <v>443.00690000000003</v>
      </c>
      <c r="J801" s="281">
        <f t="shared" si="238"/>
        <v>502.40785000000005</v>
      </c>
      <c r="K801" s="282">
        <f>IF(Notes!$B$9="Domestic",I801, IF(Notes!$B$9="Commercial",J801))*$K$415</f>
        <v>502.40785000000005</v>
      </c>
      <c r="L801" s="283">
        <f>(SUM(O801:Q801)+(K801+SUM(M801:Q801))*(INDEX($U$415:$AB$415,MATCH(Notes!$C$16,$U$3:$AB$3,0))-100%))*$L$415</f>
        <v>2899.6330000000003</v>
      </c>
      <c r="M801" s="286"/>
      <c r="N801" s="286"/>
      <c r="O801" s="311">
        <f t="shared" si="235"/>
        <v>942</v>
      </c>
      <c r="P801" s="311">
        <f t="shared" si="235"/>
        <v>1957.6330000000003</v>
      </c>
      <c r="Q801" s="285"/>
      <c r="R801" s="278"/>
      <c r="S801" s="278"/>
      <c r="T801" s="278"/>
    </row>
    <row r="802" spans="1:28" s="305" customFormat="1" hidden="1" outlineLevel="1" x14ac:dyDescent="0.25">
      <c r="A802" s="344">
        <v>439.6</v>
      </c>
      <c r="B802" s="279" t="str">
        <f t="shared" si="236"/>
        <v>2000x28PL</v>
      </c>
      <c r="C802" s="278" t="s">
        <v>1845</v>
      </c>
      <c r="D802" s="278"/>
      <c r="E802" s="278" t="s">
        <v>1860</v>
      </c>
      <c r="F802" s="278"/>
      <c r="G802" s="278" t="s">
        <v>15</v>
      </c>
      <c r="H802" s="328">
        <f t="shared" si="234"/>
        <v>6.1544000000000008</v>
      </c>
      <c r="I802" s="280">
        <f t="shared" si="237"/>
        <v>496.16772800000007</v>
      </c>
      <c r="J802" s="281">
        <f t="shared" si="238"/>
        <v>562.69679200000007</v>
      </c>
      <c r="K802" s="282">
        <f>IF(Notes!$B$9="Domestic",I802, IF(Notes!$B$9="Commercial",J802))*$K$415</f>
        <v>562.69679200000007</v>
      </c>
      <c r="L802" s="283">
        <f>(SUM(O802:Q802)+(K802+SUM(M802:Q802))*(INDEX($U$415:$AB$415,MATCH(Notes!$C$16,$U$3:$AB$3,0))-100%))*$L$415</f>
        <v>3247.5889600000005</v>
      </c>
      <c r="M802" s="286"/>
      <c r="N802" s="286"/>
      <c r="O802" s="311">
        <f t="shared" si="235"/>
        <v>1055.04</v>
      </c>
      <c r="P802" s="311">
        <f t="shared" si="235"/>
        <v>2192.5489600000005</v>
      </c>
      <c r="Q802" s="285"/>
      <c r="R802" s="278"/>
      <c r="S802" s="278"/>
      <c r="T802" s="278"/>
    </row>
    <row r="803" spans="1:28" s="305" customFormat="1" hidden="1" outlineLevel="1" x14ac:dyDescent="0.25">
      <c r="A803" s="344">
        <v>502.4</v>
      </c>
      <c r="B803" s="279" t="str">
        <f t="shared" si="236"/>
        <v>2000x32PL</v>
      </c>
      <c r="C803" s="278" t="s">
        <v>1846</v>
      </c>
      <c r="D803" s="278"/>
      <c r="E803" s="278" t="s">
        <v>1860</v>
      </c>
      <c r="F803" s="278"/>
      <c r="G803" s="278" t="s">
        <v>15</v>
      </c>
      <c r="H803" s="328">
        <f t="shared" si="234"/>
        <v>7.0335999999999999</v>
      </c>
      <c r="I803" s="280">
        <f t="shared" si="237"/>
        <v>567.04883200000006</v>
      </c>
      <c r="J803" s="281">
        <f t="shared" si="238"/>
        <v>643.08204799999999</v>
      </c>
      <c r="K803" s="282">
        <f>IF(Notes!$B$9="Domestic",I803, IF(Notes!$B$9="Commercial",J803))*$K$415</f>
        <v>643.08204799999999</v>
      </c>
      <c r="L803" s="283">
        <f>(SUM(O803:Q803)+(K803+SUM(M803:Q803))*(INDEX($U$415:$AB$415,MATCH(Notes!$C$16,$U$3:$AB$3,0))-100%))*$L$415</f>
        <v>3711.53024</v>
      </c>
      <c r="M803" s="286"/>
      <c r="N803" s="286"/>
      <c r="O803" s="311">
        <f t="shared" si="235"/>
        <v>1205.76</v>
      </c>
      <c r="P803" s="311">
        <f t="shared" si="235"/>
        <v>2505.7702400000003</v>
      </c>
      <c r="Q803" s="285"/>
      <c r="R803" s="278"/>
      <c r="S803" s="278"/>
      <c r="T803" s="278"/>
    </row>
    <row r="804" spans="1:28" s="305" customFormat="1" hidden="1" outlineLevel="1" x14ac:dyDescent="0.25">
      <c r="A804" s="344">
        <v>565.20000000000005</v>
      </c>
      <c r="B804" s="279" t="str">
        <f t="shared" si="236"/>
        <v>2000x36PL</v>
      </c>
      <c r="C804" s="278" t="s">
        <v>1847</v>
      </c>
      <c r="D804" s="278"/>
      <c r="E804" s="278" t="s">
        <v>1860</v>
      </c>
      <c r="F804" s="278"/>
      <c r="G804" s="278" t="s">
        <v>15</v>
      </c>
      <c r="H804" s="328">
        <f t="shared" si="234"/>
        <v>7.9128000000000007</v>
      </c>
      <c r="I804" s="280">
        <f t="shared" si="237"/>
        <v>637.92993600000011</v>
      </c>
      <c r="J804" s="281">
        <f t="shared" si="238"/>
        <v>723.46730400000013</v>
      </c>
      <c r="K804" s="282">
        <f>IF(Notes!$B$9="Domestic",I804, IF(Notes!$B$9="Commercial",J804))*$K$415</f>
        <v>723.46730400000013</v>
      </c>
      <c r="L804" s="283">
        <f>(SUM(O804:Q804)+(K804+SUM(M804:Q804))*(INDEX($U$415:$AB$415,MATCH(Notes!$C$16,$U$3:$AB$3,0))-100%))*$L$415</f>
        <v>4175.471520000001</v>
      </c>
      <c r="M804" s="286"/>
      <c r="N804" s="286"/>
      <c r="O804" s="311">
        <f t="shared" si="235"/>
        <v>1356.48</v>
      </c>
      <c r="P804" s="311">
        <f t="shared" si="235"/>
        <v>2818.9915200000005</v>
      </c>
      <c r="Q804" s="285"/>
      <c r="R804" s="278"/>
      <c r="S804" s="278"/>
      <c r="T804" s="278"/>
    </row>
    <row r="805" spans="1:28" s="305" customFormat="1" hidden="1" outlineLevel="1" x14ac:dyDescent="0.25">
      <c r="A805" s="344">
        <v>628</v>
      </c>
      <c r="B805" s="279" t="str">
        <f t="shared" si="236"/>
        <v>2000x40PL</v>
      </c>
      <c r="C805" s="278" t="s">
        <v>1848</v>
      </c>
      <c r="D805" s="278"/>
      <c r="E805" s="278" t="s">
        <v>1860</v>
      </c>
      <c r="F805" s="278"/>
      <c r="G805" s="278" t="s">
        <v>15</v>
      </c>
      <c r="H805" s="328">
        <f t="shared" si="234"/>
        <v>8.7919999999999998</v>
      </c>
      <c r="I805" s="280">
        <f t="shared" si="237"/>
        <v>708.81104000000005</v>
      </c>
      <c r="J805" s="281">
        <f t="shared" si="238"/>
        <v>803.85256000000004</v>
      </c>
      <c r="K805" s="282">
        <f>IF(Notes!$B$9="Domestic",I805, IF(Notes!$B$9="Commercial",J805))*$K$415</f>
        <v>803.85256000000004</v>
      </c>
      <c r="L805" s="283">
        <f>(SUM(O805:Q805)+(K805+SUM(M805:Q805))*(INDEX($U$415:$AB$415,MATCH(Notes!$C$16,$U$3:$AB$3,0))-100%))*$L$415</f>
        <v>4639.4128000000001</v>
      </c>
      <c r="M805" s="286"/>
      <c r="N805" s="286"/>
      <c r="O805" s="311">
        <f t="shared" si="235"/>
        <v>1507.2</v>
      </c>
      <c r="P805" s="311">
        <f t="shared" si="235"/>
        <v>3132.2128000000002</v>
      </c>
      <c r="Q805" s="285"/>
      <c r="R805" s="278"/>
      <c r="S805" s="278"/>
      <c r="T805" s="278"/>
    </row>
    <row r="806" spans="1:28" s="305" customFormat="1" hidden="1" outlineLevel="1" x14ac:dyDescent="0.25">
      <c r="A806" s="344">
        <v>706.5</v>
      </c>
      <c r="B806" s="279" t="str">
        <f t="shared" si="236"/>
        <v>2000x45PL</v>
      </c>
      <c r="C806" s="278" t="s">
        <v>1849</v>
      </c>
      <c r="D806" s="278"/>
      <c r="E806" s="278" t="s">
        <v>1860</v>
      </c>
      <c r="F806" s="278"/>
      <c r="G806" s="278" t="s">
        <v>15</v>
      </c>
      <c r="H806" s="328">
        <f t="shared" si="234"/>
        <v>9.891</v>
      </c>
      <c r="I806" s="280">
        <f t="shared" si="237"/>
        <v>797.41242</v>
      </c>
      <c r="J806" s="281">
        <f t="shared" si="238"/>
        <v>904.33413000000007</v>
      </c>
      <c r="K806" s="282">
        <f>IF(Notes!$B$9="Domestic",I806, IF(Notes!$B$9="Commercial",J806))*$K$415</f>
        <v>904.33413000000007</v>
      </c>
      <c r="L806" s="283">
        <f>(SUM(O806:Q806)+(K806+SUM(M806:Q806))*(INDEX($U$415:$AB$415,MATCH(Notes!$C$16,$U$3:$AB$3,0))-100%))*$L$415</f>
        <v>5219.3394000000008</v>
      </c>
      <c r="M806" s="286"/>
      <c r="N806" s="286"/>
      <c r="O806" s="311">
        <f t="shared" si="235"/>
        <v>1695.6</v>
      </c>
      <c r="P806" s="311">
        <f t="shared" si="235"/>
        <v>3523.7394000000004</v>
      </c>
      <c r="Q806" s="285"/>
      <c r="R806" s="278"/>
      <c r="S806" s="278"/>
      <c r="T806" s="278"/>
    </row>
    <row r="807" spans="1:28" s="305" customFormat="1" hidden="1" outlineLevel="1" x14ac:dyDescent="0.25">
      <c r="A807" s="344">
        <v>785</v>
      </c>
      <c r="B807" s="279" t="str">
        <f t="shared" si="236"/>
        <v>2000x50PL</v>
      </c>
      <c r="C807" s="278" t="s">
        <v>1850</v>
      </c>
      <c r="D807" s="278"/>
      <c r="E807" s="278" t="s">
        <v>1860</v>
      </c>
      <c r="F807" s="278"/>
      <c r="G807" s="278" t="s">
        <v>15</v>
      </c>
      <c r="H807" s="328">
        <f t="shared" si="234"/>
        <v>10.99</v>
      </c>
      <c r="I807" s="280">
        <f t="shared" si="237"/>
        <v>886.01380000000006</v>
      </c>
      <c r="J807" s="281">
        <f t="shared" si="238"/>
        <v>1004.8157000000001</v>
      </c>
      <c r="K807" s="282">
        <f>IF(Notes!$B$9="Domestic",I807, IF(Notes!$B$9="Commercial",J807))*$K$415</f>
        <v>1004.8157000000001</v>
      </c>
      <c r="L807" s="283">
        <f>(SUM(O807:Q807)+(K807+SUM(M807:Q807))*(INDEX($U$415:$AB$415,MATCH(Notes!$C$16,$U$3:$AB$3,0))-100%))*$L$415</f>
        <v>5799.2660000000005</v>
      </c>
      <c r="M807" s="286"/>
      <c r="N807" s="286"/>
      <c r="O807" s="311">
        <f t="shared" si="235"/>
        <v>1884</v>
      </c>
      <c r="P807" s="311">
        <f t="shared" si="235"/>
        <v>3915.2660000000005</v>
      </c>
      <c r="Q807" s="285"/>
      <c r="R807" s="278"/>
      <c r="S807" s="278"/>
      <c r="T807" s="278"/>
    </row>
    <row r="808" spans="1:28" s="305" customFormat="1" hidden="1" outlineLevel="1" x14ac:dyDescent="0.25">
      <c r="A808" s="344">
        <v>863.5</v>
      </c>
      <c r="B808" s="279" t="str">
        <f t="shared" si="236"/>
        <v>2000x55PL</v>
      </c>
      <c r="C808" s="278" t="s">
        <v>1851</v>
      </c>
      <c r="D808" s="278"/>
      <c r="E808" s="278" t="s">
        <v>1860</v>
      </c>
      <c r="F808" s="278"/>
      <c r="G808" s="278" t="s">
        <v>15</v>
      </c>
      <c r="H808" s="328">
        <f t="shared" si="234"/>
        <v>12.089</v>
      </c>
      <c r="I808" s="280">
        <f t="shared" si="237"/>
        <v>974.61518000000012</v>
      </c>
      <c r="J808" s="281">
        <f t="shared" si="238"/>
        <v>1105.29727</v>
      </c>
      <c r="K808" s="282">
        <f>IF(Notes!$B$9="Domestic",I808, IF(Notes!$B$9="Commercial",J808))*$K$415</f>
        <v>1105.29727</v>
      </c>
      <c r="L808" s="283">
        <f>(SUM(O808:Q808)+(K808+SUM(M808:Q808))*(INDEX($U$415:$AB$415,MATCH(Notes!$C$16,$U$3:$AB$3,0))-100%))*$L$415</f>
        <v>6379.1926000000003</v>
      </c>
      <c r="M808" s="286"/>
      <c r="N808" s="286"/>
      <c r="O808" s="311">
        <f t="shared" si="235"/>
        <v>2072.4</v>
      </c>
      <c r="P808" s="311">
        <f t="shared" si="235"/>
        <v>4306.7926000000007</v>
      </c>
      <c r="Q808" s="285"/>
      <c r="R808" s="278"/>
      <c r="S808" s="278"/>
      <c r="T808" s="278"/>
    </row>
    <row r="809" spans="1:28" s="305" customFormat="1" hidden="1" outlineLevel="1" x14ac:dyDescent="0.25">
      <c r="A809" s="344">
        <v>942</v>
      </c>
      <c r="B809" s="279" t="str">
        <f t="shared" si="236"/>
        <v>2000x60PL</v>
      </c>
      <c r="C809" s="278" t="s">
        <v>1852</v>
      </c>
      <c r="D809" s="278"/>
      <c r="E809" s="278" t="s">
        <v>1860</v>
      </c>
      <c r="F809" s="278"/>
      <c r="G809" s="278" t="s">
        <v>15</v>
      </c>
      <c r="H809" s="328">
        <f t="shared" si="234"/>
        <v>13.188000000000001</v>
      </c>
      <c r="I809" s="280">
        <f t="shared" si="237"/>
        <v>1063.2165600000001</v>
      </c>
      <c r="J809" s="281">
        <f t="shared" si="238"/>
        <v>1205.7788400000002</v>
      </c>
      <c r="K809" s="282">
        <f>IF(Notes!$B$9="Domestic",I809, IF(Notes!$B$9="Commercial",J809))*$K$415</f>
        <v>1205.7788400000002</v>
      </c>
      <c r="L809" s="283">
        <f>(SUM(O809:Q809)+(K809+SUM(M809:Q809))*(INDEX($U$415:$AB$415,MATCH(Notes!$C$16,$U$3:$AB$3,0))-100%))*$L$415</f>
        <v>6959.1192000000001</v>
      </c>
      <c r="M809" s="286"/>
      <c r="N809" s="286"/>
      <c r="O809" s="311">
        <f t="shared" si="235"/>
        <v>2260.8000000000002</v>
      </c>
      <c r="P809" s="311">
        <f t="shared" si="235"/>
        <v>4698.3191999999999</v>
      </c>
      <c r="Q809" s="285"/>
      <c r="R809" s="278"/>
      <c r="S809" s="278"/>
      <c r="T809" s="278"/>
    </row>
    <row r="810" spans="1:28" s="305" customFormat="1" hidden="1" outlineLevel="1" x14ac:dyDescent="0.25">
      <c r="A810" s="344">
        <v>1020</v>
      </c>
      <c r="B810" s="279" t="str">
        <f t="shared" si="236"/>
        <v>2000x65PL</v>
      </c>
      <c r="C810" s="278" t="s">
        <v>1853</v>
      </c>
      <c r="D810" s="278"/>
      <c r="E810" s="278" t="s">
        <v>1860</v>
      </c>
      <c r="F810" s="278"/>
      <c r="G810" s="278" t="s">
        <v>15</v>
      </c>
      <c r="H810" s="328">
        <f t="shared" si="234"/>
        <v>14.28</v>
      </c>
      <c r="I810" s="280">
        <f t="shared" si="237"/>
        <v>1151.2536</v>
      </c>
      <c r="J810" s="281">
        <f t="shared" si="238"/>
        <v>1305.6204</v>
      </c>
      <c r="K810" s="282">
        <f>IF(Notes!$B$9="Domestic",I810, IF(Notes!$B$9="Commercial",J810))*$K$415</f>
        <v>1305.6204</v>
      </c>
      <c r="L810" s="283">
        <f>(SUM(O810:Q810)+(K810+SUM(M810:Q810))*(INDEX($U$415:$AB$415,MATCH(Notes!$C$16,$U$3:$AB$3,0))-100%))*$L$415</f>
        <v>7535.3519999999999</v>
      </c>
      <c r="M810" s="286"/>
      <c r="N810" s="286"/>
      <c r="O810" s="311">
        <f t="shared" si="235"/>
        <v>2448</v>
      </c>
      <c r="P810" s="311">
        <f t="shared" si="235"/>
        <v>5087.3519999999999</v>
      </c>
      <c r="Q810" s="285"/>
      <c r="R810" s="278"/>
      <c r="S810" s="278"/>
      <c r="T810" s="278"/>
    </row>
    <row r="811" spans="1:28" s="305" customFormat="1" hidden="1" outlineLevel="1" x14ac:dyDescent="0.25">
      <c r="A811" s="344">
        <v>1099</v>
      </c>
      <c r="B811" s="279" t="str">
        <f t="shared" si="236"/>
        <v>2000x70PL</v>
      </c>
      <c r="C811" s="278" t="s">
        <v>1854</v>
      </c>
      <c r="D811" s="278"/>
      <c r="E811" s="278" t="s">
        <v>1860</v>
      </c>
      <c r="F811" s="278"/>
      <c r="G811" s="278" t="s">
        <v>15</v>
      </c>
      <c r="H811" s="328">
        <f t="shared" si="234"/>
        <v>15.385999999999999</v>
      </c>
      <c r="I811" s="280">
        <f t="shared" si="237"/>
        <v>1240.41932</v>
      </c>
      <c r="J811" s="281">
        <f t="shared" si="238"/>
        <v>1406.74198</v>
      </c>
      <c r="K811" s="282">
        <f>IF(Notes!$B$9="Domestic",I811, IF(Notes!$B$9="Commercial",J811))*$K$415</f>
        <v>1406.74198</v>
      </c>
      <c r="L811" s="283">
        <f>(SUM(O811:Q811)+(K811+SUM(M811:Q811))*(INDEX($U$415:$AB$415,MATCH(Notes!$C$16,$U$3:$AB$3,0))-100%))*$L$415</f>
        <v>8118.9724000000006</v>
      </c>
      <c r="M811" s="286"/>
      <c r="N811" s="286"/>
      <c r="O811" s="311">
        <f t="shared" si="235"/>
        <v>2637.6</v>
      </c>
      <c r="P811" s="311">
        <f t="shared" si="235"/>
        <v>5481.3724000000002</v>
      </c>
      <c r="Q811" s="285"/>
      <c r="R811" s="278"/>
      <c r="S811" s="278"/>
      <c r="T811" s="278"/>
    </row>
    <row r="812" spans="1:28" s="305" customFormat="1" hidden="1" outlineLevel="1" x14ac:dyDescent="0.25">
      <c r="A812" s="344">
        <v>1177.5</v>
      </c>
      <c r="B812" s="279" t="str">
        <f t="shared" si="236"/>
        <v>2000x75PL</v>
      </c>
      <c r="C812" s="278" t="s">
        <v>1855</v>
      </c>
      <c r="D812" s="278"/>
      <c r="E812" s="278" t="s">
        <v>1860</v>
      </c>
      <c r="F812" s="278"/>
      <c r="G812" s="278" t="s">
        <v>15</v>
      </c>
      <c r="H812" s="328">
        <f t="shared" si="234"/>
        <v>16.484999999999999</v>
      </c>
      <c r="I812" s="280">
        <f t="shared" si="237"/>
        <v>1329.0207</v>
      </c>
      <c r="J812" s="281">
        <f t="shared" si="238"/>
        <v>1507.2235500000002</v>
      </c>
      <c r="K812" s="282">
        <f>IF(Notes!$B$9="Domestic",I812, IF(Notes!$B$9="Commercial",J812))*$K$415</f>
        <v>1507.2235500000002</v>
      </c>
      <c r="L812" s="283">
        <f>(SUM(O812:Q812)+(K812+SUM(M812:Q812))*(INDEX($U$415:$AB$415,MATCH(Notes!$C$16,$U$3:$AB$3,0))-100%))*$L$415</f>
        <v>8698.8990000000013</v>
      </c>
      <c r="M812" s="286"/>
      <c r="N812" s="286"/>
      <c r="O812" s="311">
        <f t="shared" si="235"/>
        <v>2826</v>
      </c>
      <c r="P812" s="311">
        <f t="shared" si="235"/>
        <v>5872.8990000000003</v>
      </c>
      <c r="Q812" s="285"/>
      <c r="R812" s="278"/>
      <c r="S812" s="278"/>
      <c r="T812" s="278"/>
    </row>
    <row r="813" spans="1:28" s="305" customFormat="1" hidden="1" outlineLevel="1" x14ac:dyDescent="0.25">
      <c r="A813" s="344">
        <v>1256</v>
      </c>
      <c r="B813" s="279" t="str">
        <f t="shared" si="236"/>
        <v>2000x80PL</v>
      </c>
      <c r="C813" s="278" t="s">
        <v>1856</v>
      </c>
      <c r="D813" s="278"/>
      <c r="E813" s="278" t="s">
        <v>1860</v>
      </c>
      <c r="F813" s="278"/>
      <c r="G813" s="278" t="s">
        <v>15</v>
      </c>
      <c r="H813" s="328">
        <f t="shared" si="234"/>
        <v>17.584</v>
      </c>
      <c r="I813" s="280">
        <f t="shared" si="237"/>
        <v>1417.6220800000001</v>
      </c>
      <c r="J813" s="281">
        <f t="shared" si="238"/>
        <v>1607.7051200000001</v>
      </c>
      <c r="K813" s="282">
        <f>IF(Notes!$B$9="Domestic",I813, IF(Notes!$B$9="Commercial",J813))*$K$415</f>
        <v>1607.7051200000001</v>
      </c>
      <c r="L813" s="283">
        <f>(SUM(O813:Q813)+(K813+SUM(M813:Q813))*(INDEX($U$415:$AB$415,MATCH(Notes!$C$16,$U$3:$AB$3,0))-100%))*$L$415</f>
        <v>9278.8256000000001</v>
      </c>
      <c r="M813" s="286"/>
      <c r="N813" s="286"/>
      <c r="O813" s="311">
        <f t="shared" si="235"/>
        <v>3014.4</v>
      </c>
      <c r="P813" s="311">
        <f t="shared" si="235"/>
        <v>6264.4256000000005</v>
      </c>
      <c r="Q813" s="285"/>
      <c r="R813" s="278"/>
      <c r="S813" s="278"/>
      <c r="T813" s="278"/>
    </row>
    <row r="814" spans="1:28" s="305" customFormat="1" hidden="1" outlineLevel="1" x14ac:dyDescent="0.25">
      <c r="A814" s="344">
        <v>1413</v>
      </c>
      <c r="B814" s="279" t="str">
        <f t="shared" si="236"/>
        <v>2000x90PL</v>
      </c>
      <c r="C814" s="278" t="s">
        <v>1857</v>
      </c>
      <c r="D814" s="278"/>
      <c r="E814" s="278" t="s">
        <v>1860</v>
      </c>
      <c r="F814" s="278"/>
      <c r="G814" s="278" t="s">
        <v>15</v>
      </c>
      <c r="H814" s="328">
        <f t="shared" si="234"/>
        <v>19.782</v>
      </c>
      <c r="I814" s="280">
        <f t="shared" si="237"/>
        <v>1594.82484</v>
      </c>
      <c r="J814" s="281">
        <f t="shared" si="238"/>
        <v>1808.6682600000001</v>
      </c>
      <c r="K814" s="282">
        <f>IF(Notes!$B$9="Domestic",I814, IF(Notes!$B$9="Commercial",J814))*$K$415</f>
        <v>1808.6682600000001</v>
      </c>
      <c r="L814" s="283">
        <f>(SUM(O814:Q814)+(K814+SUM(M814:Q814))*(INDEX($U$415:$AB$415,MATCH(Notes!$C$16,$U$3:$AB$3,0))-100%))*$L$415</f>
        <v>10438.678800000002</v>
      </c>
      <c r="M814" s="286"/>
      <c r="N814" s="286"/>
      <c r="O814" s="311">
        <f t="shared" si="235"/>
        <v>3391.2</v>
      </c>
      <c r="P814" s="311">
        <f t="shared" si="235"/>
        <v>7047.4788000000008</v>
      </c>
      <c r="Q814" s="285"/>
      <c r="R814" s="278"/>
      <c r="S814" s="278"/>
      <c r="T814" s="278"/>
    </row>
    <row r="815" spans="1:28" s="305" customFormat="1" hidden="1" outlineLevel="1" x14ac:dyDescent="0.25">
      <c r="A815" s="344">
        <v>1570</v>
      </c>
      <c r="B815" s="279" t="str">
        <f t="shared" si="236"/>
        <v>2000x100PL</v>
      </c>
      <c r="C815" s="278" t="s">
        <v>1858</v>
      </c>
      <c r="D815" s="278"/>
      <c r="E815" s="278" t="s">
        <v>1860</v>
      </c>
      <c r="F815" s="278"/>
      <c r="G815" s="278" t="s">
        <v>15</v>
      </c>
      <c r="H815" s="328">
        <f t="shared" si="234"/>
        <v>21.98</v>
      </c>
      <c r="I815" s="280">
        <f t="shared" si="237"/>
        <v>1772.0276000000001</v>
      </c>
      <c r="J815" s="281">
        <f t="shared" si="238"/>
        <v>2009.6314000000002</v>
      </c>
      <c r="K815" s="282">
        <f>IF(Notes!$B$9="Domestic",I815, IF(Notes!$B$9="Commercial",J815))*$K$415</f>
        <v>2009.6314000000002</v>
      </c>
      <c r="L815" s="283">
        <f>(SUM(O815:Q815)+(K815+SUM(M815:Q815))*(INDEX($U$415:$AB$415,MATCH(Notes!$C$16,$U$3:$AB$3,0))-100%))*$L$415</f>
        <v>11598.532000000001</v>
      </c>
      <c r="M815" s="286"/>
      <c r="N815" s="286"/>
      <c r="O815" s="311">
        <f t="shared" si="235"/>
        <v>3768</v>
      </c>
      <c r="P815" s="311">
        <f t="shared" si="235"/>
        <v>7830.5320000000011</v>
      </c>
      <c r="Q815" s="285"/>
      <c r="R815" s="278"/>
      <c r="S815" s="278"/>
      <c r="T815" s="278"/>
    </row>
    <row r="816" spans="1:28" ht="21" hidden="1" outlineLevel="1" x14ac:dyDescent="0.25">
      <c r="A816" s="299" t="s">
        <v>1433</v>
      </c>
      <c r="B816" s="299"/>
      <c r="C816" s="299"/>
      <c r="D816" s="299"/>
      <c r="E816" s="299"/>
      <c r="F816" s="299"/>
      <c r="G816" s="299"/>
      <c r="H816" s="299"/>
      <c r="I816" s="299"/>
      <c r="J816" s="299"/>
      <c r="K816" s="299"/>
      <c r="L816" s="299"/>
      <c r="M816" s="299"/>
      <c r="N816" s="299"/>
      <c r="O816" s="299"/>
      <c r="P816" s="299"/>
      <c r="Q816" s="299"/>
      <c r="R816" s="299"/>
      <c r="S816" s="299"/>
      <c r="T816" s="299"/>
      <c r="U816" s="299"/>
      <c r="V816" s="299"/>
      <c r="W816" s="299"/>
      <c r="X816" s="299"/>
      <c r="Y816" s="299"/>
      <c r="Z816" s="299"/>
      <c r="AA816" s="299"/>
      <c r="AB816" s="299"/>
    </row>
    <row r="817" spans="1:28" ht="15.75" hidden="1" outlineLevel="1" x14ac:dyDescent="0.25">
      <c r="A817" s="303" t="s">
        <v>1044</v>
      </c>
      <c r="B817" s="291"/>
      <c r="C817" s="291"/>
      <c r="D817" s="291"/>
      <c r="E817" s="291"/>
      <c r="F817" s="291"/>
      <c r="G817" s="291"/>
      <c r="H817" s="325">
        <f>7*2</f>
        <v>14</v>
      </c>
      <c r="I817" s="291"/>
      <c r="J817" s="291"/>
      <c r="K817" s="291">
        <f>K$2</f>
        <v>1</v>
      </c>
      <c r="L817" s="291">
        <f>L$2</f>
        <v>1</v>
      </c>
      <c r="M817" s="291"/>
      <c r="N817" s="291"/>
      <c r="O817" s="324">
        <v>2075</v>
      </c>
      <c r="P817" s="324">
        <f>40*$P$2</f>
        <v>4987.6000000000004</v>
      </c>
      <c r="Q817" s="303"/>
      <c r="R817" s="291"/>
      <c r="S817" s="291"/>
      <c r="T817" s="291"/>
      <c r="U817" s="291">
        <f>(2000+$P817)/($O817+$P817)</f>
        <v>0.98938068133548551</v>
      </c>
      <c r="V817" s="291">
        <f>(2075+$P817)/($O817+$P817)</f>
        <v>1</v>
      </c>
      <c r="W817" s="291">
        <f>(2035+$P817)/($O817+$P817)</f>
        <v>0.99433636337892561</v>
      </c>
      <c r="X817" s="291">
        <f>(2110+$P817)/($O817+$P817)</f>
        <v>1.00495568204344</v>
      </c>
      <c r="Y817" s="291">
        <f>(2335+$P817)/($O817+$P817)</f>
        <v>1.0368136380369835</v>
      </c>
      <c r="Z817" s="291">
        <f>(3800+$P817)/($O817+$P817)</f>
        <v>1.2442443292838332</v>
      </c>
      <c r="AA817" s="291">
        <f>(4800+$P817)/($O817+$P817)</f>
        <v>1.385835244810693</v>
      </c>
      <c r="AB817" s="291">
        <f>(2200+$P817)/($O817+$P817)</f>
        <v>1.0176988644408576</v>
      </c>
    </row>
    <row r="818" spans="1:28" s="305" customFormat="1" hidden="1" outlineLevel="1" x14ac:dyDescent="0.25">
      <c r="A818" s="335">
        <v>0.61599999999999999</v>
      </c>
      <c r="B818" s="279" t="str">
        <f>C818&amp;D818&amp;E818&amp;F818</f>
        <v>10RB</v>
      </c>
      <c r="C818" s="278">
        <v>10</v>
      </c>
      <c r="D818" s="278"/>
      <c r="E818" s="278" t="s">
        <v>1435</v>
      </c>
      <c r="F818" s="278"/>
      <c r="G818" s="278" t="s">
        <v>15</v>
      </c>
      <c r="H818" s="328">
        <f>$H$817*$A818/1000</f>
        <v>8.6239999999999997E-3</v>
      </c>
      <c r="I818" s="280">
        <f>$I$2*H818</f>
        <v>0.69526688000000003</v>
      </c>
      <c r="J818" s="281">
        <f>$J$2*H818</f>
        <v>0.78849232000000002</v>
      </c>
      <c r="K818" s="282">
        <f>IF(Notes!$B$9="Domestic",I818, IF(Notes!$B$9="Commercial",J818))*$K$817</f>
        <v>0.78849232000000002</v>
      </c>
      <c r="L818" s="283">
        <f>(SUM(O818:Q818)+(K818+SUM(M818:Q818))*(INDEX($U$817:$AB$817,MATCH(Notes!$C$16,$U$3:$AB$3,0))-100%))*$L$817</f>
        <v>4.3505616000000007</v>
      </c>
      <c r="M818" s="286"/>
      <c r="N818" s="286"/>
      <c r="O818" s="311">
        <f>O$817*$A818/1000</f>
        <v>1.2782</v>
      </c>
      <c r="P818" s="311">
        <f>P$817*$A818/1000</f>
        <v>3.0723616000000002</v>
      </c>
      <c r="Q818" s="285"/>
      <c r="R818" s="329"/>
      <c r="S818" s="278"/>
      <c r="T818" s="278"/>
    </row>
    <row r="819" spans="1:28" s="305" customFormat="1" hidden="1" outlineLevel="1" x14ac:dyDescent="0.25">
      <c r="A819" s="335">
        <v>0.88700000000000001</v>
      </c>
      <c r="B819" s="279" t="str">
        <f t="shared" ref="B819:B826" si="239">C819&amp;D819&amp;E819&amp;F819</f>
        <v>12RB</v>
      </c>
      <c r="C819" s="278">
        <v>12</v>
      </c>
      <c r="D819" s="278"/>
      <c r="E819" s="278" t="s">
        <v>1435</v>
      </c>
      <c r="F819" s="278"/>
      <c r="G819" s="278" t="s">
        <v>15</v>
      </c>
      <c r="H819" s="328">
        <f t="shared" ref="H819:H850" si="240">$H$817*$A819/1000</f>
        <v>1.2417999999999998E-2</v>
      </c>
      <c r="I819" s="280">
        <f t="shared" ref="I819:I821" si="241">$I$2*H819</f>
        <v>1.0011391599999999</v>
      </c>
      <c r="J819" s="281">
        <f t="shared" ref="J819:J826" si="242">$J$2*H819</f>
        <v>1.13537774</v>
      </c>
      <c r="K819" s="282">
        <f>IF(Notes!$B$9="Domestic",I819, IF(Notes!$B$9="Commercial",J819))*$K$817</f>
        <v>1.13537774</v>
      </c>
      <c r="L819" s="283">
        <f>(SUM(O819:Q819)+(K819+SUM(M819:Q819))*(INDEX($U$817:$AB$817,MATCH(Notes!$C$16,$U$3:$AB$3,0))-100%))*$L$817</f>
        <v>6.2645262000000006</v>
      </c>
      <c r="M819" s="286"/>
      <c r="N819" s="286"/>
      <c r="O819" s="311">
        <f t="shared" ref="O819:P850" si="243">O$817*$A819/1000</f>
        <v>1.8405250000000002</v>
      </c>
      <c r="P819" s="311">
        <f t="shared" si="243"/>
        <v>4.4240012000000002</v>
      </c>
      <c r="Q819" s="285"/>
      <c r="R819" s="278"/>
      <c r="S819" s="278"/>
      <c r="T819" s="278"/>
    </row>
    <row r="820" spans="1:28" s="305" customFormat="1" hidden="1" outlineLevel="1" x14ac:dyDescent="0.25">
      <c r="A820" s="335">
        <v>1.04</v>
      </c>
      <c r="B820" s="279" t="str">
        <f t="shared" si="239"/>
        <v>13RB</v>
      </c>
      <c r="C820" s="278">
        <v>13</v>
      </c>
      <c r="D820" s="278"/>
      <c r="E820" s="278" t="s">
        <v>1435</v>
      </c>
      <c r="F820" s="278"/>
      <c r="G820" s="278" t="s">
        <v>15</v>
      </c>
      <c r="H820" s="328">
        <f t="shared" si="240"/>
        <v>1.456E-2</v>
      </c>
      <c r="I820" s="280">
        <f t="shared" si="241"/>
        <v>1.1738272000000001</v>
      </c>
      <c r="J820" s="281">
        <f t="shared" si="242"/>
        <v>1.3312208000000001</v>
      </c>
      <c r="K820" s="282">
        <f>IF(Notes!$B$9="Domestic",I820, IF(Notes!$B$9="Commercial",J820))*$K$817</f>
        <v>1.3312208000000001</v>
      </c>
      <c r="L820" s="283">
        <f>(SUM(O820:Q820)+(K820+SUM(M820:Q820))*(INDEX($U$817:$AB$817,MATCH(Notes!$C$16,$U$3:$AB$3,0))-100%))*$L$817</f>
        <v>7.345104000000001</v>
      </c>
      <c r="M820" s="286"/>
      <c r="N820" s="286"/>
      <c r="O820" s="311">
        <f t="shared" si="243"/>
        <v>2.1579999999999999</v>
      </c>
      <c r="P820" s="311">
        <f t="shared" si="243"/>
        <v>5.1871040000000006</v>
      </c>
      <c r="Q820" s="285"/>
      <c r="R820" s="278"/>
      <c r="S820" s="278"/>
      <c r="T820" s="278"/>
    </row>
    <row r="821" spans="1:28" s="305" customFormat="1" hidden="1" outlineLevel="1" x14ac:dyDescent="0.25">
      <c r="A821" s="335">
        <v>1.21</v>
      </c>
      <c r="B821" s="279" t="str">
        <f t="shared" si="239"/>
        <v>14RB</v>
      </c>
      <c r="C821" s="278">
        <v>14</v>
      </c>
      <c r="D821" s="278"/>
      <c r="E821" s="278" t="s">
        <v>1435</v>
      </c>
      <c r="F821" s="278"/>
      <c r="G821" s="278" t="s">
        <v>15</v>
      </c>
      <c r="H821" s="328">
        <f t="shared" si="240"/>
        <v>1.6939999999999997E-2</v>
      </c>
      <c r="I821" s="280">
        <f t="shared" si="241"/>
        <v>1.3657027999999998</v>
      </c>
      <c r="J821" s="281">
        <f t="shared" si="242"/>
        <v>1.5488241999999999</v>
      </c>
      <c r="K821" s="282">
        <f>IF(Notes!$B$9="Domestic",I821, IF(Notes!$B$9="Commercial",J821))*$K$817</f>
        <v>1.5488241999999999</v>
      </c>
      <c r="L821" s="283">
        <f>(SUM(O821:Q821)+(K821+SUM(M821:Q821))*(INDEX($U$817:$AB$817,MATCH(Notes!$C$16,$U$3:$AB$3,0))-100%))*$L$817</f>
        <v>8.5457460000000012</v>
      </c>
      <c r="M821" s="286"/>
      <c r="N821" s="286"/>
      <c r="O821" s="311">
        <f t="shared" si="243"/>
        <v>2.5107499999999998</v>
      </c>
      <c r="P821" s="311">
        <f t="shared" si="243"/>
        <v>6.0349960000000005</v>
      </c>
      <c r="Q821" s="285"/>
      <c r="R821" s="278"/>
      <c r="S821" s="278"/>
      <c r="T821" s="278"/>
    </row>
    <row r="822" spans="1:28" s="305" customFormat="1" hidden="1" outlineLevel="1" x14ac:dyDescent="0.25">
      <c r="A822" s="335">
        <v>1.39</v>
      </c>
      <c r="B822" s="279" t="str">
        <f t="shared" si="239"/>
        <v>15RB</v>
      </c>
      <c r="C822" s="278">
        <v>15</v>
      </c>
      <c r="D822" s="278"/>
      <c r="E822" s="278" t="s">
        <v>1435</v>
      </c>
      <c r="F822" s="278"/>
      <c r="G822" s="278" t="s">
        <v>15</v>
      </c>
      <c r="H822" s="328">
        <f t="shared" si="240"/>
        <v>1.9459999999999998E-2</v>
      </c>
      <c r="I822" s="280">
        <f>$I$2*H822</f>
        <v>1.5688651999999998</v>
      </c>
      <c r="J822" s="281">
        <f t="shared" si="242"/>
        <v>1.7792277999999999</v>
      </c>
      <c r="K822" s="282">
        <f>IF(Notes!$B$9="Domestic",I822, IF(Notes!$B$9="Commercial",J822))*$K$817</f>
        <v>1.7792277999999999</v>
      </c>
      <c r="L822" s="283">
        <f>(SUM(O822:Q822)+(K822+SUM(M822:Q822))*(INDEX($U$817:$AB$817,MATCH(Notes!$C$16,$U$3:$AB$3,0))-100%))*$L$817</f>
        <v>9.8170140000000004</v>
      </c>
      <c r="M822" s="286"/>
      <c r="N822" s="286"/>
      <c r="O822" s="311">
        <f t="shared" si="243"/>
        <v>2.8842500000000002</v>
      </c>
      <c r="P822" s="311">
        <f t="shared" si="243"/>
        <v>6.9327639999999997</v>
      </c>
      <c r="Q822" s="285"/>
      <c r="R822" s="278"/>
      <c r="S822" s="278"/>
      <c r="T822" s="278"/>
    </row>
    <row r="823" spans="1:28" s="305" customFormat="1" hidden="1" outlineLevel="1" x14ac:dyDescent="0.25">
      <c r="A823" s="335">
        <v>1.58</v>
      </c>
      <c r="B823" s="279" t="str">
        <f t="shared" si="239"/>
        <v>16RB</v>
      </c>
      <c r="C823" s="278">
        <v>16</v>
      </c>
      <c r="D823" s="278"/>
      <c r="E823" s="278" t="s">
        <v>1435</v>
      </c>
      <c r="F823" s="278"/>
      <c r="G823" s="278" t="s">
        <v>15</v>
      </c>
      <c r="H823" s="328">
        <f t="shared" si="240"/>
        <v>2.2120000000000001E-2</v>
      </c>
      <c r="I823" s="280">
        <f t="shared" ref="I823:I826" si="244">$I$2*H823</f>
        <v>1.7833144000000001</v>
      </c>
      <c r="J823" s="281">
        <f t="shared" si="242"/>
        <v>2.0224316000000004</v>
      </c>
      <c r="K823" s="282">
        <f>IF(Notes!$B$9="Domestic",I823, IF(Notes!$B$9="Commercial",J823))*$K$817</f>
        <v>2.0224316000000004</v>
      </c>
      <c r="L823" s="283">
        <f>(SUM(O823:Q823)+(K823+SUM(M823:Q823))*(INDEX($U$817:$AB$817,MATCH(Notes!$C$16,$U$3:$AB$3,0))-100%))*$L$817</f>
        <v>11.158908</v>
      </c>
      <c r="M823" s="286"/>
      <c r="N823" s="286"/>
      <c r="O823" s="311">
        <f t="shared" si="243"/>
        <v>3.2785000000000002</v>
      </c>
      <c r="P823" s="311">
        <f t="shared" si="243"/>
        <v>7.880408000000001</v>
      </c>
      <c r="Q823" s="285"/>
      <c r="R823" s="278"/>
      <c r="S823" s="278"/>
      <c r="T823" s="278"/>
    </row>
    <row r="824" spans="1:28" s="305" customFormat="1" hidden="1" outlineLevel="1" x14ac:dyDescent="0.25">
      <c r="A824" s="335">
        <v>1.78</v>
      </c>
      <c r="B824" s="279" t="str">
        <f t="shared" si="239"/>
        <v>17RB</v>
      </c>
      <c r="C824" s="278">
        <v>17</v>
      </c>
      <c r="D824" s="278"/>
      <c r="E824" s="278" t="s">
        <v>1435</v>
      </c>
      <c r="F824" s="278"/>
      <c r="G824" s="278" t="s">
        <v>15</v>
      </c>
      <c r="H824" s="328">
        <f t="shared" si="240"/>
        <v>2.4920000000000001E-2</v>
      </c>
      <c r="I824" s="280">
        <f t="shared" si="244"/>
        <v>2.0090504</v>
      </c>
      <c r="J824" s="281">
        <f t="shared" si="242"/>
        <v>2.2784356000000003</v>
      </c>
      <c r="K824" s="282">
        <f>IF(Notes!$B$9="Domestic",I824, IF(Notes!$B$9="Commercial",J824))*$K$817</f>
        <v>2.2784356000000003</v>
      </c>
      <c r="L824" s="283">
        <f>(SUM(O824:Q824)+(K824+SUM(M824:Q824))*(INDEX($U$817:$AB$817,MATCH(Notes!$C$16,$U$3:$AB$3,0))-100%))*$L$817</f>
        <v>12.571428000000001</v>
      </c>
      <c r="M824" s="286"/>
      <c r="N824" s="286"/>
      <c r="O824" s="311">
        <f t="shared" si="243"/>
        <v>3.6934999999999998</v>
      </c>
      <c r="P824" s="311">
        <f t="shared" si="243"/>
        <v>8.8779280000000007</v>
      </c>
      <c r="Q824" s="285"/>
      <c r="R824" s="278"/>
      <c r="S824" s="278"/>
      <c r="T824" s="278"/>
    </row>
    <row r="825" spans="1:28" s="305" customFormat="1" hidden="1" outlineLevel="1" x14ac:dyDescent="0.25">
      <c r="A825" s="335">
        <v>1.99</v>
      </c>
      <c r="B825" s="279" t="str">
        <f t="shared" si="239"/>
        <v>18RB</v>
      </c>
      <c r="C825" s="278">
        <v>18</v>
      </c>
      <c r="D825" s="278"/>
      <c r="E825" s="278" t="s">
        <v>1435</v>
      </c>
      <c r="F825" s="278"/>
      <c r="G825" s="278" t="s">
        <v>15</v>
      </c>
      <c r="H825" s="328">
        <f t="shared" si="240"/>
        <v>2.7859999999999999E-2</v>
      </c>
      <c r="I825" s="280">
        <f t="shared" si="244"/>
        <v>2.2460732000000001</v>
      </c>
      <c r="J825" s="281">
        <f t="shared" si="242"/>
        <v>2.5472398000000003</v>
      </c>
      <c r="K825" s="282">
        <f>IF(Notes!$B$9="Domestic",I825, IF(Notes!$B$9="Commercial",J825))*$K$817</f>
        <v>2.5472398000000003</v>
      </c>
      <c r="L825" s="283">
        <f>(SUM(O825:Q825)+(K825+SUM(M825:Q825))*(INDEX($U$817:$AB$817,MATCH(Notes!$C$16,$U$3:$AB$3,0))-100%))*$L$817</f>
        <v>14.054573999999999</v>
      </c>
      <c r="M825" s="286"/>
      <c r="N825" s="286"/>
      <c r="O825" s="311">
        <f t="shared" si="243"/>
        <v>4.1292499999999999</v>
      </c>
      <c r="P825" s="311">
        <f t="shared" si="243"/>
        <v>9.9253239999999998</v>
      </c>
      <c r="Q825" s="285"/>
      <c r="R825" s="278"/>
      <c r="S825" s="278"/>
      <c r="T825" s="278"/>
    </row>
    <row r="826" spans="1:28" s="305" customFormat="1" hidden="1" outlineLevel="1" x14ac:dyDescent="0.25">
      <c r="A826" s="335">
        <v>2.23</v>
      </c>
      <c r="B826" s="279" t="str">
        <f t="shared" si="239"/>
        <v>19RB</v>
      </c>
      <c r="C826" s="278">
        <v>19</v>
      </c>
      <c r="D826" s="278"/>
      <c r="E826" s="278" t="s">
        <v>1435</v>
      </c>
      <c r="F826" s="278"/>
      <c r="G826" s="278" t="s">
        <v>15</v>
      </c>
      <c r="H826" s="328">
        <f t="shared" si="240"/>
        <v>3.1219999999999998E-2</v>
      </c>
      <c r="I826" s="280">
        <f t="shared" si="244"/>
        <v>2.5169563999999998</v>
      </c>
      <c r="J826" s="281">
        <f t="shared" si="242"/>
        <v>2.8544445999999999</v>
      </c>
      <c r="K826" s="282">
        <f>IF(Notes!$B$9="Domestic",I826, IF(Notes!$B$9="Commercial",J826))*$K$817</f>
        <v>2.8544445999999999</v>
      </c>
      <c r="L826" s="283">
        <f>(SUM(O826:Q826)+(K826+SUM(M826:Q826))*(INDEX($U$817:$AB$817,MATCH(Notes!$C$16,$U$3:$AB$3,0))-100%))*$L$817</f>
        <v>15.749598000000001</v>
      </c>
      <c r="M826" s="286"/>
      <c r="N826" s="286"/>
      <c r="O826" s="311">
        <f t="shared" si="243"/>
        <v>4.6272500000000001</v>
      </c>
      <c r="P826" s="311">
        <f t="shared" si="243"/>
        <v>11.122348000000001</v>
      </c>
      <c r="Q826" s="285"/>
      <c r="R826" s="278"/>
      <c r="S826" s="278"/>
      <c r="T826" s="278"/>
    </row>
    <row r="827" spans="1:28" s="305" customFormat="1" hidden="1" outlineLevel="1" x14ac:dyDescent="0.25">
      <c r="A827" s="335">
        <v>2.46</v>
      </c>
      <c r="B827" s="279" t="str">
        <f t="shared" ref="B827:B850" si="245">C827&amp;D827&amp;E827&amp;F827</f>
        <v>20RB</v>
      </c>
      <c r="C827" s="278">
        <v>20</v>
      </c>
      <c r="D827" s="278"/>
      <c r="E827" s="278" t="s">
        <v>1435</v>
      </c>
      <c r="F827" s="278"/>
      <c r="G827" s="278" t="s">
        <v>15</v>
      </c>
      <c r="H827" s="328">
        <f t="shared" si="240"/>
        <v>3.4439999999999998E-2</v>
      </c>
      <c r="I827" s="280">
        <f t="shared" ref="I827:I850" si="246">$I$2*H827</f>
        <v>2.7765528000000002</v>
      </c>
      <c r="J827" s="281">
        <f t="shared" ref="J827:J850" si="247">$J$2*H827</f>
        <v>3.1488491999999999</v>
      </c>
      <c r="K827" s="282">
        <f>IF(Notes!$B$9="Domestic",I827, IF(Notes!$B$9="Commercial",J827))*$K$817</f>
        <v>3.1488491999999999</v>
      </c>
      <c r="L827" s="283">
        <f>(SUM(O827:Q827)+(K827+SUM(M827:Q827))*(INDEX($U$817:$AB$817,MATCH(Notes!$C$16,$U$3:$AB$3,0))-100%))*$L$817</f>
        <v>17.373995999999998</v>
      </c>
      <c r="M827" s="286"/>
      <c r="N827" s="286"/>
      <c r="O827" s="311">
        <f t="shared" si="243"/>
        <v>5.1044999999999998</v>
      </c>
      <c r="P827" s="311">
        <f t="shared" si="243"/>
        <v>12.269496</v>
      </c>
      <c r="Q827" s="285"/>
      <c r="R827" s="278"/>
      <c r="S827" s="278"/>
      <c r="T827" s="278"/>
    </row>
    <row r="828" spans="1:28" s="305" customFormat="1" hidden="1" outlineLevel="1" x14ac:dyDescent="0.25">
      <c r="A828" s="335">
        <v>2.72</v>
      </c>
      <c r="B828" s="279" t="str">
        <f t="shared" si="245"/>
        <v>21RB</v>
      </c>
      <c r="C828" s="278">
        <v>21</v>
      </c>
      <c r="D828" s="278"/>
      <c r="E828" s="278" t="s">
        <v>1435</v>
      </c>
      <c r="F828" s="278"/>
      <c r="G828" s="278" t="s">
        <v>15</v>
      </c>
      <c r="H828" s="328">
        <f t="shared" si="240"/>
        <v>3.8080000000000003E-2</v>
      </c>
      <c r="I828" s="280">
        <f t="shared" si="246"/>
        <v>3.0700096000000006</v>
      </c>
      <c r="J828" s="281">
        <f t="shared" si="247"/>
        <v>3.4816544000000005</v>
      </c>
      <c r="K828" s="282">
        <f>IF(Notes!$B$9="Domestic",I828, IF(Notes!$B$9="Commercial",J828))*$K$817</f>
        <v>3.4816544000000005</v>
      </c>
      <c r="L828" s="283">
        <f>(SUM(O828:Q828)+(K828+SUM(M828:Q828))*(INDEX($U$817:$AB$817,MATCH(Notes!$C$16,$U$3:$AB$3,0))-100%))*$L$817</f>
        <v>19.210272000000003</v>
      </c>
      <c r="M828" s="286"/>
      <c r="N828" s="286"/>
      <c r="O828" s="311">
        <f t="shared" si="243"/>
        <v>5.6440000000000001</v>
      </c>
      <c r="P828" s="311">
        <f t="shared" si="243"/>
        <v>13.566272000000003</v>
      </c>
      <c r="Q828" s="285"/>
      <c r="R828" s="278"/>
      <c r="S828" s="278"/>
      <c r="T828" s="278"/>
    </row>
    <row r="829" spans="1:28" s="305" customFormat="1" hidden="1" outlineLevel="1" x14ac:dyDescent="0.25">
      <c r="A829" s="335">
        <v>2.98</v>
      </c>
      <c r="B829" s="279" t="str">
        <f t="shared" si="245"/>
        <v>22RB</v>
      </c>
      <c r="C829" s="278">
        <v>22</v>
      </c>
      <c r="D829" s="278"/>
      <c r="E829" s="278" t="s">
        <v>1435</v>
      </c>
      <c r="F829" s="278"/>
      <c r="G829" s="278" t="s">
        <v>15</v>
      </c>
      <c r="H829" s="328">
        <f t="shared" si="240"/>
        <v>4.172E-2</v>
      </c>
      <c r="I829" s="280">
        <f t="shared" si="246"/>
        <v>3.3634664000000001</v>
      </c>
      <c r="J829" s="281">
        <f t="shared" si="247"/>
        <v>3.8144596000000002</v>
      </c>
      <c r="K829" s="282">
        <f>IF(Notes!$B$9="Domestic",I829, IF(Notes!$B$9="Commercial",J829))*$K$817</f>
        <v>3.8144596000000002</v>
      </c>
      <c r="L829" s="283">
        <f>(SUM(O829:Q829)+(K829+SUM(M829:Q829))*(INDEX($U$817:$AB$817,MATCH(Notes!$C$16,$U$3:$AB$3,0))-100%))*$L$817</f>
        <v>21.046548000000001</v>
      </c>
      <c r="M829" s="286"/>
      <c r="N829" s="286"/>
      <c r="O829" s="311">
        <f t="shared" si="243"/>
        <v>6.1835000000000004</v>
      </c>
      <c r="P829" s="311">
        <f t="shared" si="243"/>
        <v>14.863048000000001</v>
      </c>
      <c r="Q829" s="285"/>
      <c r="R829" s="278"/>
      <c r="S829" s="278"/>
      <c r="T829" s="278"/>
    </row>
    <row r="830" spans="1:28" s="305" customFormat="1" hidden="1" outlineLevel="1" x14ac:dyDescent="0.25">
      <c r="A830" s="335">
        <v>3.26</v>
      </c>
      <c r="B830" s="279" t="str">
        <f t="shared" si="245"/>
        <v>23RB</v>
      </c>
      <c r="C830" s="278">
        <v>23</v>
      </c>
      <c r="D830" s="278"/>
      <c r="E830" s="278" t="s">
        <v>1435</v>
      </c>
      <c r="F830" s="278"/>
      <c r="G830" s="278" t="s">
        <v>15</v>
      </c>
      <c r="H830" s="328">
        <f t="shared" si="240"/>
        <v>4.564E-2</v>
      </c>
      <c r="I830" s="280">
        <f t="shared" si="246"/>
        <v>3.6794968000000003</v>
      </c>
      <c r="J830" s="281">
        <f t="shared" si="247"/>
        <v>4.1728652000000004</v>
      </c>
      <c r="K830" s="282">
        <f>IF(Notes!$B$9="Domestic",I830, IF(Notes!$B$9="Commercial",J830))*$K$817</f>
        <v>4.1728652000000004</v>
      </c>
      <c r="L830" s="283">
        <f>(SUM(O830:Q830)+(K830+SUM(M830:Q830))*(INDEX($U$817:$AB$817,MATCH(Notes!$C$16,$U$3:$AB$3,0))-100%))*$L$817</f>
        <v>23.024076000000001</v>
      </c>
      <c r="M830" s="286"/>
      <c r="N830" s="286"/>
      <c r="O830" s="311">
        <f t="shared" si="243"/>
        <v>6.7645</v>
      </c>
      <c r="P830" s="311">
        <f t="shared" si="243"/>
        <v>16.259576000000003</v>
      </c>
      <c r="Q830" s="285"/>
      <c r="R830" s="278"/>
      <c r="S830" s="278"/>
      <c r="T830" s="278"/>
    </row>
    <row r="831" spans="1:28" s="305" customFormat="1" hidden="1" outlineLevel="1" x14ac:dyDescent="0.25">
      <c r="A831" s="335">
        <v>3.55</v>
      </c>
      <c r="B831" s="279" t="str">
        <f t="shared" si="245"/>
        <v>24RB</v>
      </c>
      <c r="C831" s="278">
        <v>24</v>
      </c>
      <c r="D831" s="278"/>
      <c r="E831" s="278" t="s">
        <v>1435</v>
      </c>
      <c r="F831" s="278"/>
      <c r="G831" s="278" t="s">
        <v>15</v>
      </c>
      <c r="H831" s="328">
        <f t="shared" si="240"/>
        <v>4.9699999999999994E-2</v>
      </c>
      <c r="I831" s="280">
        <f t="shared" si="246"/>
        <v>4.0068139999999994</v>
      </c>
      <c r="J831" s="281">
        <f t="shared" si="247"/>
        <v>4.5440709999999997</v>
      </c>
      <c r="K831" s="282">
        <f>IF(Notes!$B$9="Domestic",I831, IF(Notes!$B$9="Commercial",J831))*$K$817</f>
        <v>4.5440709999999997</v>
      </c>
      <c r="L831" s="283">
        <f>(SUM(O831:Q831)+(K831+SUM(M831:Q831))*(INDEX($U$817:$AB$817,MATCH(Notes!$C$16,$U$3:$AB$3,0))-100%))*$L$817</f>
        <v>25.072230000000001</v>
      </c>
      <c r="M831" s="286"/>
      <c r="N831" s="286"/>
      <c r="O831" s="311">
        <f t="shared" si="243"/>
        <v>7.36625</v>
      </c>
      <c r="P831" s="311">
        <f t="shared" si="243"/>
        <v>17.70598</v>
      </c>
      <c r="Q831" s="285"/>
      <c r="R831" s="278"/>
      <c r="S831" s="278"/>
      <c r="T831" s="278"/>
    </row>
    <row r="832" spans="1:28" s="305" customFormat="1" hidden="1" outlineLevel="1" x14ac:dyDescent="0.25">
      <c r="A832" s="335">
        <v>4.17</v>
      </c>
      <c r="B832" s="279" t="str">
        <f t="shared" si="245"/>
        <v>26RB</v>
      </c>
      <c r="C832" s="278">
        <v>26</v>
      </c>
      <c r="D832" s="278"/>
      <c r="E832" s="278" t="s">
        <v>1435</v>
      </c>
      <c r="F832" s="278"/>
      <c r="G832" s="278" t="s">
        <v>15</v>
      </c>
      <c r="H832" s="328">
        <f t="shared" si="240"/>
        <v>5.8379999999999994E-2</v>
      </c>
      <c r="I832" s="280">
        <f t="shared" si="246"/>
        <v>4.7065956</v>
      </c>
      <c r="J832" s="281">
        <f t="shared" si="247"/>
        <v>5.3376833999999995</v>
      </c>
      <c r="K832" s="282">
        <f>IF(Notes!$B$9="Domestic",I832, IF(Notes!$B$9="Commercial",J832))*$K$817</f>
        <v>5.3376833999999995</v>
      </c>
      <c r="L832" s="283">
        <f>(SUM(O832:Q832)+(K832+SUM(M832:Q832))*(INDEX($U$817:$AB$817,MATCH(Notes!$C$16,$U$3:$AB$3,0))-100%))*$L$817</f>
        <v>29.451042000000001</v>
      </c>
      <c r="M832" s="286"/>
      <c r="N832" s="286"/>
      <c r="O832" s="311">
        <f t="shared" si="243"/>
        <v>8.6527499999999993</v>
      </c>
      <c r="P832" s="311">
        <f t="shared" si="243"/>
        <v>20.798292</v>
      </c>
      <c r="Q832" s="285"/>
      <c r="R832" s="278"/>
      <c r="S832" s="278"/>
      <c r="T832" s="278"/>
    </row>
    <row r="833" spans="1:20" s="305" customFormat="1" hidden="1" outlineLevel="1" x14ac:dyDescent="0.25">
      <c r="A833" s="335">
        <v>4.49</v>
      </c>
      <c r="B833" s="279" t="str">
        <f t="shared" si="245"/>
        <v>27RB</v>
      </c>
      <c r="C833" s="278">
        <v>27</v>
      </c>
      <c r="D833" s="278"/>
      <c r="E833" s="278" t="s">
        <v>1435</v>
      </c>
      <c r="F833" s="278"/>
      <c r="G833" s="278" t="s">
        <v>15</v>
      </c>
      <c r="H833" s="328">
        <f t="shared" si="240"/>
        <v>6.2859999999999999E-2</v>
      </c>
      <c r="I833" s="280">
        <f t="shared" si="246"/>
        <v>5.0677732000000004</v>
      </c>
      <c r="J833" s="281">
        <f t="shared" si="247"/>
        <v>5.7472898000000008</v>
      </c>
      <c r="K833" s="282">
        <f>IF(Notes!$B$9="Domestic",I833, IF(Notes!$B$9="Commercial",J833))*$K$817</f>
        <v>5.7472898000000008</v>
      </c>
      <c r="L833" s="283">
        <f>(SUM(O833:Q833)+(K833+SUM(M833:Q833))*(INDEX($U$817:$AB$817,MATCH(Notes!$C$16,$U$3:$AB$3,0))-100%))*$L$817</f>
        <v>31.711074000000004</v>
      </c>
      <c r="M833" s="286"/>
      <c r="N833" s="286"/>
      <c r="O833" s="311">
        <f t="shared" si="243"/>
        <v>9.3167500000000008</v>
      </c>
      <c r="P833" s="311">
        <f t="shared" si="243"/>
        <v>22.394324000000005</v>
      </c>
      <c r="Q833" s="285"/>
      <c r="R833" s="278"/>
      <c r="S833" s="278"/>
      <c r="T833" s="278"/>
    </row>
    <row r="834" spans="1:20" s="305" customFormat="1" hidden="1" outlineLevel="1" x14ac:dyDescent="0.25">
      <c r="A834" s="335">
        <v>4.8339999999999996</v>
      </c>
      <c r="B834" s="279" t="str">
        <f t="shared" si="245"/>
        <v>28RB</v>
      </c>
      <c r="C834" s="278">
        <v>28</v>
      </c>
      <c r="D834" s="278"/>
      <c r="E834" s="278" t="s">
        <v>1435</v>
      </c>
      <c r="F834" s="278"/>
      <c r="G834" s="278" t="s">
        <v>15</v>
      </c>
      <c r="H834" s="328">
        <f t="shared" si="240"/>
        <v>6.7675999999999986E-2</v>
      </c>
      <c r="I834" s="280">
        <f t="shared" si="246"/>
        <v>5.4560391199999989</v>
      </c>
      <c r="J834" s="281">
        <f t="shared" si="247"/>
        <v>6.1876166799999988</v>
      </c>
      <c r="K834" s="282">
        <f>IF(Notes!$B$9="Domestic",I834, IF(Notes!$B$9="Commercial",J834))*$K$817</f>
        <v>6.1876166799999988</v>
      </c>
      <c r="L834" s="283">
        <f>(SUM(O834:Q834)+(K834+SUM(M834:Q834))*(INDEX($U$817:$AB$817,MATCH(Notes!$C$16,$U$3:$AB$3,0))-100%))*$L$817</f>
        <v>34.140608400000005</v>
      </c>
      <c r="M834" s="286"/>
      <c r="N834" s="286"/>
      <c r="O834" s="311">
        <f t="shared" si="243"/>
        <v>10.03055</v>
      </c>
      <c r="P834" s="311">
        <f t="shared" si="243"/>
        <v>24.110058400000003</v>
      </c>
      <c r="Q834" s="285"/>
      <c r="R834" s="278"/>
      <c r="S834" s="278"/>
      <c r="T834" s="278"/>
    </row>
    <row r="835" spans="1:20" s="305" customFormat="1" hidden="1" outlineLevel="1" x14ac:dyDescent="0.25">
      <c r="A835" s="335">
        <v>5.55</v>
      </c>
      <c r="B835" s="279" t="str">
        <f t="shared" si="245"/>
        <v>30RB</v>
      </c>
      <c r="C835" s="278">
        <v>30</v>
      </c>
      <c r="D835" s="278"/>
      <c r="E835" s="278" t="s">
        <v>1435</v>
      </c>
      <c r="F835" s="278"/>
      <c r="G835" s="278" t="s">
        <v>15</v>
      </c>
      <c r="H835" s="328">
        <f t="shared" si="240"/>
        <v>7.7700000000000005E-2</v>
      </c>
      <c r="I835" s="280">
        <f t="shared" si="246"/>
        <v>6.2641740000000006</v>
      </c>
      <c r="J835" s="281">
        <f t="shared" si="247"/>
        <v>7.1041110000000014</v>
      </c>
      <c r="K835" s="282">
        <f>IF(Notes!$B$9="Domestic",I835, IF(Notes!$B$9="Commercial",J835))*$K$817</f>
        <v>7.1041110000000014</v>
      </c>
      <c r="L835" s="283">
        <f>(SUM(O835:Q835)+(K835+SUM(M835:Q835))*(INDEX($U$817:$AB$817,MATCH(Notes!$C$16,$U$3:$AB$3,0))-100%))*$L$817</f>
        <v>39.197429999999997</v>
      </c>
      <c r="M835" s="286"/>
      <c r="N835" s="286"/>
      <c r="O835" s="311">
        <f t="shared" si="243"/>
        <v>11.516249999999999</v>
      </c>
      <c r="P835" s="311">
        <f t="shared" si="243"/>
        <v>27.681180000000001</v>
      </c>
      <c r="Q835" s="285"/>
      <c r="R835" s="278"/>
      <c r="S835" s="278"/>
      <c r="T835" s="278"/>
    </row>
    <row r="836" spans="1:20" s="305" customFormat="1" hidden="1" outlineLevel="1" x14ac:dyDescent="0.25">
      <c r="A836" s="335">
        <v>6.31</v>
      </c>
      <c r="B836" s="279" t="str">
        <f t="shared" si="245"/>
        <v>32RB</v>
      </c>
      <c r="C836" s="278">
        <v>32</v>
      </c>
      <c r="D836" s="278"/>
      <c r="E836" s="278" t="s">
        <v>1435</v>
      </c>
      <c r="F836" s="278"/>
      <c r="G836" s="278" t="s">
        <v>15</v>
      </c>
      <c r="H836" s="328">
        <f t="shared" si="240"/>
        <v>8.8339999999999988E-2</v>
      </c>
      <c r="I836" s="280">
        <f t="shared" si="246"/>
        <v>7.1219707999999997</v>
      </c>
      <c r="J836" s="281">
        <f t="shared" si="247"/>
        <v>8.0769261999999991</v>
      </c>
      <c r="K836" s="282">
        <f>IF(Notes!$B$9="Domestic",I836, IF(Notes!$B$9="Commercial",J836))*$K$817</f>
        <v>8.0769261999999991</v>
      </c>
      <c r="L836" s="283">
        <f>(SUM(O836:Q836)+(K836+SUM(M836:Q836))*(INDEX($U$817:$AB$817,MATCH(Notes!$C$16,$U$3:$AB$3,0))-100%))*$L$817</f>
        <v>44.565006000000004</v>
      </c>
      <c r="M836" s="286"/>
      <c r="N836" s="286"/>
      <c r="O836" s="311">
        <f t="shared" si="243"/>
        <v>13.093249999999999</v>
      </c>
      <c r="P836" s="311">
        <f t="shared" si="243"/>
        <v>31.471756000000003</v>
      </c>
      <c r="Q836" s="285"/>
      <c r="R836" s="278"/>
      <c r="S836" s="278"/>
      <c r="T836" s="278"/>
    </row>
    <row r="837" spans="1:20" s="305" customFormat="1" hidden="1" outlineLevel="1" x14ac:dyDescent="0.25">
      <c r="A837" s="335">
        <v>6.71</v>
      </c>
      <c r="B837" s="279" t="str">
        <f t="shared" si="245"/>
        <v>33RB</v>
      </c>
      <c r="C837" s="278">
        <v>33</v>
      </c>
      <c r="D837" s="278"/>
      <c r="E837" s="278" t="s">
        <v>1435</v>
      </c>
      <c r="F837" s="278"/>
      <c r="G837" s="278" t="s">
        <v>15</v>
      </c>
      <c r="H837" s="328">
        <f t="shared" si="240"/>
        <v>9.3939999999999996E-2</v>
      </c>
      <c r="I837" s="280">
        <f t="shared" si="246"/>
        <v>7.5734428000000005</v>
      </c>
      <c r="J837" s="281">
        <f t="shared" si="247"/>
        <v>8.5889342000000006</v>
      </c>
      <c r="K837" s="282">
        <f>IF(Notes!$B$9="Domestic",I837, IF(Notes!$B$9="Commercial",J837))*$K$817</f>
        <v>8.5889342000000006</v>
      </c>
      <c r="L837" s="283">
        <f>(SUM(O837:Q837)+(K837+SUM(M837:Q837))*(INDEX($U$817:$AB$817,MATCH(Notes!$C$16,$U$3:$AB$3,0))-100%))*$L$817</f>
        <v>47.390045999999998</v>
      </c>
      <c r="M837" s="286"/>
      <c r="N837" s="286"/>
      <c r="O837" s="311">
        <f t="shared" si="243"/>
        <v>13.923249999999999</v>
      </c>
      <c r="P837" s="311">
        <f t="shared" si="243"/>
        <v>33.466796000000002</v>
      </c>
      <c r="Q837" s="285"/>
      <c r="R837" s="278"/>
      <c r="S837" s="278"/>
      <c r="T837" s="278"/>
    </row>
    <row r="838" spans="1:20" s="305" customFormat="1" hidden="1" outlineLevel="1" x14ac:dyDescent="0.25">
      <c r="A838" s="335">
        <v>7.99</v>
      </c>
      <c r="B838" s="279" t="str">
        <f t="shared" si="245"/>
        <v>36RB</v>
      </c>
      <c r="C838" s="278">
        <v>36</v>
      </c>
      <c r="D838" s="278"/>
      <c r="E838" s="278" t="s">
        <v>1435</v>
      </c>
      <c r="F838" s="278"/>
      <c r="G838" s="278" t="s">
        <v>15</v>
      </c>
      <c r="H838" s="328">
        <f t="shared" si="240"/>
        <v>0.11186</v>
      </c>
      <c r="I838" s="280">
        <f t="shared" si="246"/>
        <v>9.0181532000000004</v>
      </c>
      <c r="J838" s="281">
        <f t="shared" si="247"/>
        <v>10.2273598</v>
      </c>
      <c r="K838" s="282">
        <f>IF(Notes!$B$9="Domestic",I838, IF(Notes!$B$9="Commercial",J838))*$K$817</f>
        <v>10.2273598</v>
      </c>
      <c r="L838" s="283">
        <f>(SUM(O838:Q838)+(K838+SUM(M838:Q838))*(INDEX($U$817:$AB$817,MATCH(Notes!$C$16,$U$3:$AB$3,0))-100%))*$L$817</f>
        <v>56.430174000000008</v>
      </c>
      <c r="M838" s="286"/>
      <c r="N838" s="286"/>
      <c r="O838" s="311">
        <f t="shared" si="243"/>
        <v>16.579249999999998</v>
      </c>
      <c r="P838" s="311">
        <f t="shared" si="243"/>
        <v>39.850924000000006</v>
      </c>
      <c r="Q838" s="285"/>
      <c r="R838" s="278"/>
      <c r="S838" s="278"/>
      <c r="T838" s="278"/>
    </row>
    <row r="839" spans="1:20" s="305" customFormat="1" hidden="1" outlineLevel="1" x14ac:dyDescent="0.25">
      <c r="A839" s="335">
        <v>9.3800000000000008</v>
      </c>
      <c r="B839" s="279" t="str">
        <f t="shared" si="245"/>
        <v>39RB</v>
      </c>
      <c r="C839" s="278">
        <v>39</v>
      </c>
      <c r="D839" s="278"/>
      <c r="E839" s="278" t="s">
        <v>1435</v>
      </c>
      <c r="F839" s="278"/>
      <c r="G839" s="278" t="s">
        <v>15</v>
      </c>
      <c r="H839" s="328">
        <f t="shared" si="240"/>
        <v>0.13132000000000002</v>
      </c>
      <c r="I839" s="280">
        <f t="shared" si="246"/>
        <v>10.587018400000002</v>
      </c>
      <c r="J839" s="281">
        <f t="shared" si="247"/>
        <v>12.006587600000003</v>
      </c>
      <c r="K839" s="282">
        <f>IF(Notes!$B$9="Domestic",I839, IF(Notes!$B$9="Commercial",J839))*$K$817</f>
        <v>12.006587600000003</v>
      </c>
      <c r="L839" s="283">
        <f>(SUM(O839:Q839)+(K839+SUM(M839:Q839))*(INDEX($U$817:$AB$817,MATCH(Notes!$C$16,$U$3:$AB$3,0))-100%))*$L$817</f>
        <v>66.247188000000008</v>
      </c>
      <c r="M839" s="286"/>
      <c r="N839" s="286"/>
      <c r="O839" s="311">
        <f t="shared" si="243"/>
        <v>19.4635</v>
      </c>
      <c r="P839" s="311">
        <f t="shared" si="243"/>
        <v>46.783688000000012</v>
      </c>
      <c r="Q839" s="285"/>
      <c r="R839" s="278"/>
      <c r="S839" s="278"/>
      <c r="T839" s="278"/>
    </row>
    <row r="840" spans="1:20" s="305" customFormat="1" hidden="1" outlineLevel="1" x14ac:dyDescent="0.25">
      <c r="A840" s="335">
        <v>10.9</v>
      </c>
      <c r="B840" s="279" t="str">
        <f t="shared" si="245"/>
        <v>42RB</v>
      </c>
      <c r="C840" s="278">
        <v>42</v>
      </c>
      <c r="D840" s="278"/>
      <c r="E840" s="278" t="s">
        <v>1435</v>
      </c>
      <c r="F840" s="278"/>
      <c r="G840" s="278" t="s">
        <v>15</v>
      </c>
      <c r="H840" s="328">
        <f t="shared" si="240"/>
        <v>0.15259999999999999</v>
      </c>
      <c r="I840" s="280">
        <f t="shared" si="246"/>
        <v>12.302612</v>
      </c>
      <c r="J840" s="281">
        <f t="shared" si="247"/>
        <v>13.952218</v>
      </c>
      <c r="K840" s="282">
        <f>IF(Notes!$B$9="Domestic",I840, IF(Notes!$B$9="Commercial",J840))*$K$817</f>
        <v>13.952218</v>
      </c>
      <c r="L840" s="283">
        <f>(SUM(O840:Q840)+(K840+SUM(M840:Q840))*(INDEX($U$817:$AB$817,MATCH(Notes!$C$16,$U$3:$AB$3,0))-100%))*$L$817</f>
        <v>76.982339999999994</v>
      </c>
      <c r="M840" s="286"/>
      <c r="N840" s="286"/>
      <c r="O840" s="311">
        <f t="shared" si="243"/>
        <v>22.6175</v>
      </c>
      <c r="P840" s="311">
        <f t="shared" si="243"/>
        <v>54.364840000000001</v>
      </c>
      <c r="Q840" s="285"/>
      <c r="R840" s="278"/>
      <c r="S840" s="278"/>
      <c r="T840" s="278"/>
    </row>
    <row r="841" spans="1:20" s="305" customFormat="1" hidden="1" outlineLevel="1" x14ac:dyDescent="0.25">
      <c r="A841" s="335">
        <v>12.5</v>
      </c>
      <c r="B841" s="279" t="str">
        <f t="shared" si="245"/>
        <v>45RB</v>
      </c>
      <c r="C841" s="278">
        <v>45</v>
      </c>
      <c r="D841" s="278"/>
      <c r="E841" s="278" t="s">
        <v>1435</v>
      </c>
      <c r="F841" s="278"/>
      <c r="G841" s="278" t="s">
        <v>15</v>
      </c>
      <c r="H841" s="328">
        <f t="shared" si="240"/>
        <v>0.17499999999999999</v>
      </c>
      <c r="I841" s="280">
        <f t="shared" si="246"/>
        <v>14.108499999999999</v>
      </c>
      <c r="J841" s="281">
        <f t="shared" si="247"/>
        <v>16.000250000000001</v>
      </c>
      <c r="K841" s="282">
        <f>IF(Notes!$B$9="Domestic",I841, IF(Notes!$B$9="Commercial",J841))*$K$817</f>
        <v>16.000250000000001</v>
      </c>
      <c r="L841" s="283">
        <f>(SUM(O841:Q841)+(K841+SUM(M841:Q841))*(INDEX($U$817:$AB$817,MATCH(Notes!$C$16,$U$3:$AB$3,0))-100%))*$L$817</f>
        <v>88.282499999999999</v>
      </c>
      <c r="M841" s="286"/>
      <c r="N841" s="286"/>
      <c r="O841" s="311">
        <f t="shared" si="243"/>
        <v>25.9375</v>
      </c>
      <c r="P841" s="311">
        <f t="shared" si="243"/>
        <v>62.345000000000006</v>
      </c>
      <c r="Q841" s="285"/>
      <c r="R841" s="278"/>
      <c r="S841" s="278"/>
      <c r="T841" s="278"/>
    </row>
    <row r="842" spans="1:20" s="305" customFormat="1" hidden="1" outlineLevel="1" x14ac:dyDescent="0.25">
      <c r="A842" s="335">
        <v>14.2</v>
      </c>
      <c r="B842" s="279" t="str">
        <f t="shared" si="245"/>
        <v>48RB</v>
      </c>
      <c r="C842" s="278">
        <v>48</v>
      </c>
      <c r="D842" s="278"/>
      <c r="E842" s="278" t="s">
        <v>1435</v>
      </c>
      <c r="F842" s="278"/>
      <c r="G842" s="278" t="s">
        <v>15</v>
      </c>
      <c r="H842" s="328">
        <f t="shared" si="240"/>
        <v>0.19879999999999998</v>
      </c>
      <c r="I842" s="280">
        <f t="shared" si="246"/>
        <v>16.027255999999998</v>
      </c>
      <c r="J842" s="281">
        <f t="shared" si="247"/>
        <v>18.176283999999999</v>
      </c>
      <c r="K842" s="282">
        <f>IF(Notes!$B$9="Domestic",I842, IF(Notes!$B$9="Commercial",J842))*$K$817</f>
        <v>18.176283999999999</v>
      </c>
      <c r="L842" s="283">
        <f>(SUM(O842:Q842)+(K842+SUM(M842:Q842))*(INDEX($U$817:$AB$817,MATCH(Notes!$C$16,$U$3:$AB$3,0))-100%))*$L$817</f>
        <v>100.28892</v>
      </c>
      <c r="M842" s="286"/>
      <c r="N842" s="286"/>
      <c r="O842" s="311">
        <f t="shared" si="243"/>
        <v>29.465</v>
      </c>
      <c r="P842" s="311">
        <f t="shared" si="243"/>
        <v>70.823920000000001</v>
      </c>
      <c r="Q842" s="285"/>
      <c r="R842" s="278"/>
      <c r="S842" s="278"/>
      <c r="T842" s="278"/>
    </row>
    <row r="843" spans="1:20" s="305" customFormat="1" hidden="1" outlineLevel="1" x14ac:dyDescent="0.25">
      <c r="A843" s="335">
        <v>15.4</v>
      </c>
      <c r="B843" s="279" t="str">
        <f t="shared" si="245"/>
        <v>50RB</v>
      </c>
      <c r="C843" s="278">
        <v>50</v>
      </c>
      <c r="D843" s="278"/>
      <c r="E843" s="278" t="s">
        <v>1435</v>
      </c>
      <c r="F843" s="278"/>
      <c r="G843" s="278" t="s">
        <v>15</v>
      </c>
      <c r="H843" s="328">
        <f t="shared" si="240"/>
        <v>0.21559999999999999</v>
      </c>
      <c r="I843" s="280">
        <f t="shared" si="246"/>
        <v>17.381671999999998</v>
      </c>
      <c r="J843" s="281">
        <f t="shared" si="247"/>
        <v>19.712308</v>
      </c>
      <c r="K843" s="282">
        <f>IF(Notes!$B$9="Domestic",I843, IF(Notes!$B$9="Commercial",J843))*$K$817</f>
        <v>19.712308</v>
      </c>
      <c r="L843" s="283">
        <f>(SUM(O843:Q843)+(K843+SUM(M843:Q843))*(INDEX($U$817:$AB$817,MATCH(Notes!$C$16,$U$3:$AB$3,0))-100%))*$L$817</f>
        <v>108.76404000000001</v>
      </c>
      <c r="M843" s="286"/>
      <c r="N843" s="286"/>
      <c r="O843" s="311">
        <f t="shared" si="243"/>
        <v>31.954999999999998</v>
      </c>
      <c r="P843" s="311">
        <f t="shared" si="243"/>
        <v>76.80904000000001</v>
      </c>
      <c r="Q843" s="285"/>
      <c r="R843" s="278"/>
      <c r="S843" s="278"/>
      <c r="T843" s="278"/>
    </row>
    <row r="844" spans="1:20" s="305" customFormat="1" hidden="1" outlineLevel="1" x14ac:dyDescent="0.25">
      <c r="A844" s="335">
        <v>19.3</v>
      </c>
      <c r="B844" s="279" t="str">
        <f t="shared" si="245"/>
        <v>56RB</v>
      </c>
      <c r="C844" s="278">
        <v>56</v>
      </c>
      <c r="D844" s="278"/>
      <c r="E844" s="278" t="s">
        <v>1435</v>
      </c>
      <c r="F844" s="278"/>
      <c r="G844" s="278" t="s">
        <v>15</v>
      </c>
      <c r="H844" s="328">
        <f t="shared" si="240"/>
        <v>0.2702</v>
      </c>
      <c r="I844" s="280">
        <f t="shared" si="246"/>
        <v>21.783524</v>
      </c>
      <c r="J844" s="281">
        <f t="shared" si="247"/>
        <v>24.704386000000003</v>
      </c>
      <c r="K844" s="282">
        <f>IF(Notes!$B$9="Domestic",I844, IF(Notes!$B$9="Commercial",J844))*$K$817</f>
        <v>24.704386000000003</v>
      </c>
      <c r="L844" s="283">
        <f>(SUM(O844:Q844)+(K844+SUM(M844:Q844))*(INDEX($U$817:$AB$817,MATCH(Notes!$C$16,$U$3:$AB$3,0))-100%))*$L$817</f>
        <v>136.30817999999999</v>
      </c>
      <c r="M844" s="286"/>
      <c r="N844" s="286"/>
      <c r="O844" s="311">
        <f t="shared" si="243"/>
        <v>40.047499999999999</v>
      </c>
      <c r="P844" s="311">
        <f t="shared" si="243"/>
        <v>96.260680000000008</v>
      </c>
      <c r="Q844" s="285"/>
      <c r="R844" s="278"/>
      <c r="S844" s="278"/>
      <c r="T844" s="278"/>
    </row>
    <row r="845" spans="1:20" s="305" customFormat="1" hidden="1" outlineLevel="1" x14ac:dyDescent="0.25">
      <c r="A845" s="335">
        <v>22.2</v>
      </c>
      <c r="B845" s="279" t="str">
        <f t="shared" si="245"/>
        <v>60RB</v>
      </c>
      <c r="C845" s="278">
        <v>60</v>
      </c>
      <c r="D845" s="278"/>
      <c r="E845" s="278" t="s">
        <v>1435</v>
      </c>
      <c r="F845" s="278"/>
      <c r="G845" s="278" t="s">
        <v>15</v>
      </c>
      <c r="H845" s="328">
        <f t="shared" si="240"/>
        <v>0.31080000000000002</v>
      </c>
      <c r="I845" s="280">
        <f t="shared" si="246"/>
        <v>25.056696000000002</v>
      </c>
      <c r="J845" s="281">
        <f t="shared" si="247"/>
        <v>28.416444000000006</v>
      </c>
      <c r="K845" s="282">
        <f>IF(Notes!$B$9="Domestic",I845, IF(Notes!$B$9="Commercial",J845))*$K$817</f>
        <v>28.416444000000006</v>
      </c>
      <c r="L845" s="283">
        <f>(SUM(O845:Q845)+(K845+SUM(M845:Q845))*(INDEX($U$817:$AB$817,MATCH(Notes!$C$16,$U$3:$AB$3,0))-100%))*$L$817</f>
        <v>156.78971999999999</v>
      </c>
      <c r="M845" s="286"/>
      <c r="N845" s="286"/>
      <c r="O845" s="311">
        <f t="shared" si="243"/>
        <v>46.064999999999998</v>
      </c>
      <c r="P845" s="311">
        <f t="shared" si="243"/>
        <v>110.72472</v>
      </c>
      <c r="Q845" s="285"/>
      <c r="R845" s="278"/>
      <c r="S845" s="278"/>
      <c r="T845" s="278"/>
    </row>
    <row r="846" spans="1:20" s="305" customFormat="1" hidden="1" outlineLevel="1" x14ac:dyDescent="0.25">
      <c r="A846" s="335">
        <v>26</v>
      </c>
      <c r="B846" s="279" t="str">
        <f t="shared" si="245"/>
        <v>65RB</v>
      </c>
      <c r="C846" s="278">
        <v>65</v>
      </c>
      <c r="D846" s="278"/>
      <c r="E846" s="278" t="s">
        <v>1435</v>
      </c>
      <c r="F846" s="278"/>
      <c r="G846" s="278" t="s">
        <v>15</v>
      </c>
      <c r="H846" s="328">
        <f t="shared" si="240"/>
        <v>0.36399999999999999</v>
      </c>
      <c r="I846" s="280">
        <f t="shared" si="246"/>
        <v>29.345680000000002</v>
      </c>
      <c r="J846" s="281">
        <f t="shared" si="247"/>
        <v>33.280520000000003</v>
      </c>
      <c r="K846" s="282">
        <f>IF(Notes!$B$9="Domestic",I846, IF(Notes!$B$9="Commercial",J846))*$K$817</f>
        <v>33.280520000000003</v>
      </c>
      <c r="L846" s="283">
        <f>(SUM(O846:Q846)+(K846+SUM(M846:Q846))*(INDEX($U$817:$AB$817,MATCH(Notes!$C$16,$U$3:$AB$3,0))-100%))*$L$817</f>
        <v>183.62760000000003</v>
      </c>
      <c r="M846" s="286"/>
      <c r="N846" s="286"/>
      <c r="O846" s="311">
        <f t="shared" si="243"/>
        <v>53.95</v>
      </c>
      <c r="P846" s="311">
        <f t="shared" si="243"/>
        <v>129.67760000000001</v>
      </c>
      <c r="Q846" s="285"/>
      <c r="R846" s="278"/>
      <c r="S846" s="278"/>
      <c r="T846" s="278"/>
    </row>
    <row r="847" spans="1:20" s="305" customFormat="1" hidden="1" outlineLevel="1" x14ac:dyDescent="0.25">
      <c r="A847" s="335">
        <v>34.700000000000003</v>
      </c>
      <c r="B847" s="279" t="str">
        <f t="shared" si="245"/>
        <v>75RB</v>
      </c>
      <c r="C847" s="278">
        <v>75</v>
      </c>
      <c r="D847" s="278"/>
      <c r="E847" s="278" t="s">
        <v>1435</v>
      </c>
      <c r="F847" s="278"/>
      <c r="G847" s="278" t="s">
        <v>15</v>
      </c>
      <c r="H847" s="328">
        <f t="shared" si="240"/>
        <v>0.48580000000000007</v>
      </c>
      <c r="I847" s="280">
        <f t="shared" si="246"/>
        <v>39.165196000000009</v>
      </c>
      <c r="J847" s="281">
        <f t="shared" si="247"/>
        <v>44.416694000000007</v>
      </c>
      <c r="K847" s="282">
        <f>IF(Notes!$B$9="Domestic",I847, IF(Notes!$B$9="Commercial",J847))*$K$817</f>
        <v>44.416694000000007</v>
      </c>
      <c r="L847" s="283">
        <f>(SUM(O847:Q847)+(K847+SUM(M847:Q847))*(INDEX($U$817:$AB$817,MATCH(Notes!$C$16,$U$3:$AB$3,0))-100%))*$L$817</f>
        <v>245.07222000000002</v>
      </c>
      <c r="M847" s="286"/>
      <c r="N847" s="286"/>
      <c r="O847" s="311">
        <f t="shared" si="243"/>
        <v>72.002499999999998</v>
      </c>
      <c r="P847" s="311">
        <f t="shared" si="243"/>
        <v>173.06972000000002</v>
      </c>
      <c r="Q847" s="285"/>
      <c r="R847" s="278"/>
      <c r="S847" s="278"/>
      <c r="T847" s="278"/>
    </row>
    <row r="848" spans="1:20" s="305" customFormat="1" hidden="1" outlineLevel="1" x14ac:dyDescent="0.25">
      <c r="A848" s="335">
        <v>39.5</v>
      </c>
      <c r="B848" s="279" t="str">
        <f t="shared" si="245"/>
        <v>80RB</v>
      </c>
      <c r="C848" s="278">
        <v>80</v>
      </c>
      <c r="D848" s="278"/>
      <c r="E848" s="278" t="s">
        <v>1435</v>
      </c>
      <c r="F848" s="278"/>
      <c r="G848" s="278" t="s">
        <v>15</v>
      </c>
      <c r="H848" s="328">
        <f t="shared" si="240"/>
        <v>0.55300000000000005</v>
      </c>
      <c r="I848" s="280">
        <f t="shared" si="246"/>
        <v>44.582860000000004</v>
      </c>
      <c r="J848" s="281">
        <f t="shared" si="247"/>
        <v>50.560790000000011</v>
      </c>
      <c r="K848" s="282">
        <f>IF(Notes!$B$9="Domestic",I848, IF(Notes!$B$9="Commercial",J848))*$K$817</f>
        <v>50.560790000000011</v>
      </c>
      <c r="L848" s="283">
        <f>(SUM(O848:Q848)+(K848+SUM(M848:Q848))*(INDEX($U$817:$AB$817,MATCH(Notes!$C$16,$U$3:$AB$3,0))-100%))*$L$817</f>
        <v>278.97270000000003</v>
      </c>
      <c r="M848" s="286"/>
      <c r="N848" s="286"/>
      <c r="O848" s="311">
        <f t="shared" si="243"/>
        <v>81.962500000000006</v>
      </c>
      <c r="P848" s="311">
        <f t="shared" si="243"/>
        <v>197.0102</v>
      </c>
      <c r="Q848" s="285"/>
      <c r="R848" s="278"/>
      <c r="S848" s="278"/>
      <c r="T848" s="278"/>
    </row>
    <row r="849" spans="1:28" s="305" customFormat="1" hidden="1" outlineLevel="1" x14ac:dyDescent="0.25">
      <c r="A849" s="335">
        <v>49.9</v>
      </c>
      <c r="B849" s="279" t="str">
        <f t="shared" si="245"/>
        <v>90RB</v>
      </c>
      <c r="C849" s="278">
        <v>90</v>
      </c>
      <c r="D849" s="278"/>
      <c r="E849" s="278" t="s">
        <v>1435</v>
      </c>
      <c r="F849" s="278"/>
      <c r="G849" s="278" t="s">
        <v>15</v>
      </c>
      <c r="H849" s="328">
        <f t="shared" si="240"/>
        <v>0.6986</v>
      </c>
      <c r="I849" s="280">
        <f t="shared" si="246"/>
        <v>56.321132000000006</v>
      </c>
      <c r="J849" s="281">
        <f t="shared" si="247"/>
        <v>63.872998000000003</v>
      </c>
      <c r="K849" s="282">
        <f>IF(Notes!$B$9="Domestic",I849, IF(Notes!$B$9="Commercial",J849))*$K$817</f>
        <v>63.872998000000003</v>
      </c>
      <c r="L849" s="283">
        <f>(SUM(O849:Q849)+(K849+SUM(M849:Q849))*(INDEX($U$817:$AB$817,MATCH(Notes!$C$16,$U$3:$AB$3,0))-100%))*$L$817</f>
        <v>352.42374000000001</v>
      </c>
      <c r="M849" s="286"/>
      <c r="N849" s="286"/>
      <c r="O849" s="311">
        <f t="shared" si="243"/>
        <v>103.5425</v>
      </c>
      <c r="P849" s="311">
        <f t="shared" si="243"/>
        <v>248.88124000000002</v>
      </c>
      <c r="Q849" s="285"/>
      <c r="R849" s="278"/>
      <c r="S849" s="278"/>
      <c r="T849" s="278"/>
    </row>
    <row r="850" spans="1:28" s="305" customFormat="1" hidden="1" outlineLevel="1" x14ac:dyDescent="0.25">
      <c r="A850" s="335">
        <v>61.7</v>
      </c>
      <c r="B850" s="279" t="str">
        <f t="shared" si="245"/>
        <v>100RB</v>
      </c>
      <c r="C850" s="278">
        <v>100</v>
      </c>
      <c r="D850" s="278"/>
      <c r="E850" s="278" t="s">
        <v>1435</v>
      </c>
      <c r="F850" s="278"/>
      <c r="G850" s="278" t="s">
        <v>15</v>
      </c>
      <c r="H850" s="328">
        <f t="shared" si="240"/>
        <v>0.86380000000000012</v>
      </c>
      <c r="I850" s="280">
        <f t="shared" si="246"/>
        <v>69.639556000000013</v>
      </c>
      <c r="J850" s="281">
        <f t="shared" si="247"/>
        <v>78.977234000000024</v>
      </c>
      <c r="K850" s="282">
        <f>IF(Notes!$B$9="Domestic",I850, IF(Notes!$B$9="Commercial",J850))*$K$817</f>
        <v>78.977234000000024</v>
      </c>
      <c r="L850" s="283">
        <f>(SUM(O850:Q850)+(K850+SUM(M850:Q850))*(INDEX($U$817:$AB$817,MATCH(Notes!$C$16,$U$3:$AB$3,0))-100%))*$L$817</f>
        <v>435.76242000000002</v>
      </c>
      <c r="M850" s="286"/>
      <c r="N850" s="286"/>
      <c r="O850" s="311">
        <f t="shared" si="243"/>
        <v>128.0275</v>
      </c>
      <c r="P850" s="311">
        <f t="shared" si="243"/>
        <v>307.73492000000005</v>
      </c>
      <c r="Q850" s="285"/>
      <c r="R850" s="278"/>
      <c r="S850" s="278"/>
      <c r="T850" s="278"/>
    </row>
    <row r="851" spans="1:28" ht="21" hidden="1" outlineLevel="1" x14ac:dyDescent="0.25">
      <c r="A851" s="299" t="s">
        <v>1434</v>
      </c>
      <c r="B851" s="299"/>
      <c r="C851" s="299"/>
      <c r="D851" s="299"/>
      <c r="E851" s="299"/>
      <c r="F851" s="299"/>
      <c r="G851" s="299"/>
      <c r="H851" s="299"/>
      <c r="I851" s="299"/>
      <c r="J851" s="299"/>
      <c r="K851" s="299"/>
      <c r="L851" s="299"/>
      <c r="M851" s="299"/>
      <c r="N851" s="299"/>
      <c r="O851" s="299"/>
      <c r="P851" s="299"/>
      <c r="Q851" s="299"/>
      <c r="R851" s="299"/>
      <c r="S851" s="299"/>
      <c r="T851" s="299"/>
      <c r="U851" s="299"/>
      <c r="V851" s="299"/>
      <c r="W851" s="299"/>
      <c r="X851" s="299"/>
      <c r="Y851" s="299"/>
      <c r="Z851" s="299"/>
      <c r="AA851" s="299"/>
      <c r="AB851" s="299"/>
    </row>
    <row r="852" spans="1:28" ht="15.75" hidden="1" outlineLevel="1" x14ac:dyDescent="0.25">
      <c r="A852" s="303" t="s">
        <v>1044</v>
      </c>
      <c r="B852" s="291"/>
      <c r="C852" s="291"/>
      <c r="D852" s="291"/>
      <c r="E852" s="291"/>
      <c r="F852" s="291"/>
      <c r="G852" s="291"/>
      <c r="H852" s="325">
        <f>7*2</f>
        <v>14</v>
      </c>
      <c r="I852" s="291"/>
      <c r="J852" s="291"/>
      <c r="K852" s="291">
        <f>K$2</f>
        <v>1</v>
      </c>
      <c r="L852" s="291">
        <f>L$2</f>
        <v>1</v>
      </c>
      <c r="M852" s="291"/>
      <c r="N852" s="291"/>
      <c r="O852" s="384">
        <f>O817</f>
        <v>2075</v>
      </c>
      <c r="P852" s="324">
        <f>40*$P$2</f>
        <v>4987.6000000000004</v>
      </c>
      <c r="Q852" s="303"/>
      <c r="R852" s="291"/>
      <c r="S852" s="291"/>
      <c r="T852" s="291"/>
      <c r="U852" s="381">
        <f>U817</f>
        <v>0.98938068133548551</v>
      </c>
      <c r="V852" s="381">
        <f t="shared" ref="V852:AA852" si="248">V817</f>
        <v>1</v>
      </c>
      <c r="W852" s="381">
        <f t="shared" si="248"/>
        <v>0.99433636337892561</v>
      </c>
      <c r="X852" s="381">
        <f t="shared" si="248"/>
        <v>1.00495568204344</v>
      </c>
      <c r="Y852" s="381">
        <f t="shared" si="248"/>
        <v>1.0368136380369835</v>
      </c>
      <c r="Z852" s="381">
        <f t="shared" si="248"/>
        <v>1.2442443292838332</v>
      </c>
      <c r="AA852" s="381">
        <f t="shared" si="248"/>
        <v>1.385835244810693</v>
      </c>
      <c r="AB852" s="381">
        <f>AB817</f>
        <v>1.0176988644408576</v>
      </c>
    </row>
    <row r="853" spans="1:28" s="305" customFormat="1" hidden="1" outlineLevel="1" x14ac:dyDescent="0.25">
      <c r="A853" s="335">
        <v>0.79</v>
      </c>
      <c r="B853" s="279" t="str">
        <f>C853&amp;D853&amp;E853&amp;F853</f>
        <v>10SB</v>
      </c>
      <c r="C853" s="278">
        <v>10</v>
      </c>
      <c r="D853" s="278"/>
      <c r="E853" s="278" t="s">
        <v>1436</v>
      </c>
      <c r="F853" s="278"/>
      <c r="G853" s="278" t="s">
        <v>15</v>
      </c>
      <c r="H853" s="328">
        <f>$H$852*$A853/1000</f>
        <v>1.106E-2</v>
      </c>
      <c r="I853" s="280">
        <f>$I$2*H853</f>
        <v>0.89165720000000004</v>
      </c>
      <c r="J853" s="281">
        <f>$J$2*H853</f>
        <v>1.0112158000000002</v>
      </c>
      <c r="K853" s="282">
        <f>IF(Notes!$B$9="Domestic",I853, IF(Notes!$B$9="Commercial",J853))*$K$852</f>
        <v>1.0112158000000002</v>
      </c>
      <c r="L853" s="283">
        <f>(SUM(O853:Q853)+(K853+SUM(M853:Q853))*(INDEX($U$852:$AB$852,MATCH(Notes!$C$16,$U$3:$AB$3,0))-100%))*$L$852</f>
        <v>5.5794540000000001</v>
      </c>
      <c r="M853" s="286"/>
      <c r="N853" s="286"/>
      <c r="O853" s="311">
        <f>O$852*$A853/1000</f>
        <v>1.6392500000000001</v>
      </c>
      <c r="P853" s="311">
        <f>P$852*$A853/1000</f>
        <v>3.9402040000000005</v>
      </c>
      <c r="Q853" s="285"/>
      <c r="R853" s="278"/>
      <c r="S853" s="278"/>
      <c r="T853" s="278"/>
    </row>
    <row r="854" spans="1:28" s="305" customFormat="1" hidden="1" outlineLevel="1" x14ac:dyDescent="0.25">
      <c r="A854" s="335">
        <v>1.1299999999999999</v>
      </c>
      <c r="B854" s="279" t="str">
        <f t="shared" ref="B854:B858" si="249">C854&amp;D854&amp;E854&amp;F854</f>
        <v>12SB</v>
      </c>
      <c r="C854" s="278">
        <v>12</v>
      </c>
      <c r="D854" s="278"/>
      <c r="E854" s="278" t="s">
        <v>1436</v>
      </c>
      <c r="F854" s="278"/>
      <c r="G854" s="278" t="s">
        <v>15</v>
      </c>
      <c r="H854" s="328">
        <f t="shared" ref="H854:H858" si="250">$H$852*$A854/1000</f>
        <v>1.5819999999999997E-2</v>
      </c>
      <c r="I854" s="280">
        <f t="shared" ref="I854:I856" si="251">$I$2*H854</f>
        <v>1.2754083999999999</v>
      </c>
      <c r="J854" s="281">
        <f t="shared" ref="J854:J858" si="252">$J$2*H854</f>
        <v>1.4464225999999998</v>
      </c>
      <c r="K854" s="282">
        <f>IF(Notes!$B$9="Domestic",I854, IF(Notes!$B$9="Commercial",J854))*$K$852</f>
        <v>1.4464225999999998</v>
      </c>
      <c r="L854" s="283">
        <f>(SUM(O854:Q854)+(K854+SUM(M854:Q854))*(INDEX($U$852:$AB$852,MATCH(Notes!$C$16,$U$3:$AB$3,0))-100%))*$L$852</f>
        <v>7.9807380000000006</v>
      </c>
      <c r="M854" s="286"/>
      <c r="N854" s="286"/>
      <c r="O854" s="311">
        <f t="shared" ref="O854:P858" si="253">O$852*$A854/1000</f>
        <v>2.3447499999999999</v>
      </c>
      <c r="P854" s="311">
        <f t="shared" si="253"/>
        <v>5.6359880000000002</v>
      </c>
      <c r="Q854" s="285"/>
      <c r="R854" s="278"/>
      <c r="S854" s="278"/>
      <c r="T854" s="278"/>
    </row>
    <row r="855" spans="1:28" s="305" customFormat="1" hidden="1" outlineLevel="1" x14ac:dyDescent="0.25">
      <c r="A855" s="335">
        <v>2.0099999999999998</v>
      </c>
      <c r="B855" s="279" t="str">
        <f t="shared" si="249"/>
        <v>16SB</v>
      </c>
      <c r="C855" s="278">
        <v>16</v>
      </c>
      <c r="D855" s="278"/>
      <c r="E855" s="278" t="s">
        <v>1436</v>
      </c>
      <c r="F855" s="278"/>
      <c r="G855" s="278" t="s">
        <v>15</v>
      </c>
      <c r="H855" s="328">
        <f t="shared" si="250"/>
        <v>2.8139999999999998E-2</v>
      </c>
      <c r="I855" s="280">
        <f t="shared" si="251"/>
        <v>2.2686468</v>
      </c>
      <c r="J855" s="281">
        <f t="shared" si="252"/>
        <v>2.5728401999999999</v>
      </c>
      <c r="K855" s="282">
        <f>IF(Notes!$B$9="Domestic",I855, IF(Notes!$B$9="Commercial",J855))*$K$852</f>
        <v>2.5728401999999999</v>
      </c>
      <c r="L855" s="283">
        <f>(SUM(O855:Q855)+(K855+SUM(M855:Q855))*(INDEX($U$852:$AB$852,MATCH(Notes!$C$16,$U$3:$AB$3,0))-100%))*$L$852</f>
        <v>14.195825999999999</v>
      </c>
      <c r="M855" s="286"/>
      <c r="N855" s="286"/>
      <c r="O855" s="311">
        <f t="shared" si="253"/>
        <v>4.17075</v>
      </c>
      <c r="P855" s="311">
        <f t="shared" si="253"/>
        <v>10.025075999999999</v>
      </c>
      <c r="Q855" s="285"/>
      <c r="R855" s="278"/>
      <c r="S855" s="278"/>
      <c r="T855" s="278"/>
    </row>
    <row r="856" spans="1:28" s="305" customFormat="1" hidden="1" outlineLevel="1" x14ac:dyDescent="0.25">
      <c r="A856" s="335">
        <v>3.14</v>
      </c>
      <c r="B856" s="279" t="str">
        <f t="shared" si="249"/>
        <v>20SB</v>
      </c>
      <c r="C856" s="278">
        <v>20</v>
      </c>
      <c r="D856" s="278"/>
      <c r="E856" s="278" t="s">
        <v>1436</v>
      </c>
      <c r="F856" s="278"/>
      <c r="G856" s="278" t="s">
        <v>15</v>
      </c>
      <c r="H856" s="328">
        <f t="shared" si="250"/>
        <v>4.3959999999999999E-2</v>
      </c>
      <c r="I856" s="280">
        <f t="shared" si="251"/>
        <v>3.5440552000000003</v>
      </c>
      <c r="J856" s="281">
        <f t="shared" si="252"/>
        <v>4.0192627999999999</v>
      </c>
      <c r="K856" s="282">
        <f>IF(Notes!$B$9="Domestic",I856, IF(Notes!$B$9="Commercial",J856))*$K$852</f>
        <v>4.0192627999999999</v>
      </c>
      <c r="L856" s="283">
        <f>(SUM(O856:Q856)+(K856+SUM(M856:Q856))*(INDEX($U$852:$AB$852,MATCH(Notes!$C$16,$U$3:$AB$3,0))-100%))*$L$852</f>
        <v>22.176564000000003</v>
      </c>
      <c r="M856" s="286"/>
      <c r="N856" s="286"/>
      <c r="O856" s="311">
        <f t="shared" si="253"/>
        <v>6.5155000000000003</v>
      </c>
      <c r="P856" s="311">
        <f t="shared" si="253"/>
        <v>15.661064000000001</v>
      </c>
      <c r="Q856" s="285"/>
      <c r="R856" s="278"/>
      <c r="S856" s="278"/>
      <c r="T856" s="278"/>
    </row>
    <row r="857" spans="1:28" s="305" customFormat="1" hidden="1" outlineLevel="1" x14ac:dyDescent="0.25">
      <c r="A857" s="335">
        <v>4.91</v>
      </c>
      <c r="B857" s="279" t="str">
        <f t="shared" si="249"/>
        <v>25SB</v>
      </c>
      <c r="C857" s="278">
        <v>25</v>
      </c>
      <c r="D857" s="278"/>
      <c r="E857" s="278" t="s">
        <v>1436</v>
      </c>
      <c r="F857" s="278"/>
      <c r="G857" s="278" t="s">
        <v>15</v>
      </c>
      <c r="H857" s="328">
        <f t="shared" si="250"/>
        <v>6.8740000000000009E-2</v>
      </c>
      <c r="I857" s="280">
        <f>$I$2*H857</f>
        <v>5.5418188000000015</v>
      </c>
      <c r="J857" s="281">
        <f t="shared" si="252"/>
        <v>6.2848982000000015</v>
      </c>
      <c r="K857" s="282">
        <f>IF(Notes!$B$9="Domestic",I857, IF(Notes!$B$9="Commercial",J857))*$K$852</f>
        <v>6.2848982000000015</v>
      </c>
      <c r="L857" s="283">
        <f>(SUM(O857:Q857)+(K857+SUM(M857:Q857))*(INDEX($U$852:$AB$852,MATCH(Notes!$C$16,$U$3:$AB$3,0))-100%))*$L$852</f>
        <v>34.677366000000006</v>
      </c>
      <c r="M857" s="286"/>
      <c r="N857" s="286"/>
      <c r="O857" s="311">
        <f t="shared" si="253"/>
        <v>10.18825</v>
      </c>
      <c r="P857" s="311">
        <f t="shared" si="253"/>
        <v>24.489116000000003</v>
      </c>
      <c r="Q857" s="285"/>
      <c r="R857" s="278"/>
      <c r="S857" s="278"/>
      <c r="T857" s="278"/>
    </row>
    <row r="858" spans="1:28" s="305" customFormat="1" hidden="1" outlineLevel="1" x14ac:dyDescent="0.25">
      <c r="A858" s="335">
        <v>12.5</v>
      </c>
      <c r="B858" s="279" t="str">
        <f t="shared" si="249"/>
        <v>40SB</v>
      </c>
      <c r="C858" s="278">
        <v>40</v>
      </c>
      <c r="D858" s="278"/>
      <c r="E858" s="278" t="s">
        <v>1436</v>
      </c>
      <c r="F858" s="278"/>
      <c r="G858" s="278" t="s">
        <v>15</v>
      </c>
      <c r="H858" s="328">
        <f t="shared" si="250"/>
        <v>0.17499999999999999</v>
      </c>
      <c r="I858" s="280">
        <f t="shared" ref="I858" si="254">$I$2*H858</f>
        <v>14.108499999999999</v>
      </c>
      <c r="J858" s="281">
        <f t="shared" si="252"/>
        <v>16.000250000000001</v>
      </c>
      <c r="K858" s="282">
        <f>IF(Notes!$B$9="Domestic",I858, IF(Notes!$B$9="Commercial",J858))*$K$852</f>
        <v>16.000250000000001</v>
      </c>
      <c r="L858" s="283">
        <f>(SUM(O858:Q858)+(K858+SUM(M858:Q858))*(INDEX($U$852:$AB$852,MATCH(Notes!$C$16,$U$3:$AB$3,0))-100%))*$L$852</f>
        <v>88.282499999999999</v>
      </c>
      <c r="M858" s="286"/>
      <c r="N858" s="286"/>
      <c r="O858" s="311">
        <f t="shared" si="253"/>
        <v>25.9375</v>
      </c>
      <c r="P858" s="311">
        <f t="shared" si="253"/>
        <v>62.345000000000006</v>
      </c>
      <c r="Q858" s="285"/>
      <c r="R858" s="278"/>
      <c r="S858" s="278"/>
      <c r="T858" s="278"/>
    </row>
    <row r="859" spans="1:28" ht="21" hidden="1" outlineLevel="1" x14ac:dyDescent="0.25">
      <c r="A859" s="299" t="s">
        <v>1437</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row>
    <row r="860" spans="1:28" ht="15.75" hidden="1" outlineLevel="1" x14ac:dyDescent="0.25">
      <c r="A860" s="303" t="s">
        <v>1044</v>
      </c>
      <c r="B860" s="291"/>
      <c r="C860" s="291"/>
      <c r="D860" s="291"/>
      <c r="E860" s="291"/>
      <c r="F860" s="291"/>
      <c r="G860" s="291"/>
      <c r="H860" s="325">
        <f>7*2</f>
        <v>14</v>
      </c>
      <c r="I860" s="291"/>
      <c r="J860" s="291"/>
      <c r="K860" s="291">
        <f>K$2</f>
        <v>1</v>
      </c>
      <c r="L860" s="291">
        <f>L$2</f>
        <v>1</v>
      </c>
      <c r="M860" s="291"/>
      <c r="N860" s="291"/>
      <c r="O860" s="324">
        <f>1900*106%</f>
        <v>2014</v>
      </c>
      <c r="P860" s="324">
        <f>40*$P$2</f>
        <v>4987.6000000000004</v>
      </c>
      <c r="Q860" s="303"/>
      <c r="R860" s="291"/>
      <c r="S860" s="291"/>
      <c r="T860" s="291"/>
      <c r="U860" s="291">
        <f>35.1/35.6</f>
        <v>0.9859550561797753</v>
      </c>
      <c r="V860" s="291">
        <f>35.6/35.6</f>
        <v>1</v>
      </c>
      <c r="W860" s="291">
        <f>35.7/35.6</f>
        <v>1.002808988764045</v>
      </c>
      <c r="X860" s="291">
        <f>36/35.6</f>
        <v>1.0112359550561798</v>
      </c>
      <c r="Y860" s="291">
        <f>37.4/35.6</f>
        <v>1.050561797752809</v>
      </c>
      <c r="Z860" s="291">
        <f>36/35.6</f>
        <v>1.0112359550561798</v>
      </c>
      <c r="AA860" s="291">
        <f>38/35.6</f>
        <v>1.0674157303370786</v>
      </c>
      <c r="AB860" s="291">
        <f>31/35.6</f>
        <v>0.8707865168539326</v>
      </c>
    </row>
    <row r="861" spans="1:28" s="305" customFormat="1" hidden="1" outlineLevel="1" x14ac:dyDescent="0.25">
      <c r="A861" s="331">
        <v>1.32</v>
      </c>
      <c r="B861" s="279" t="str">
        <f>C861&amp;D861&amp;E861&amp;F861</f>
        <v>75-10C section</v>
      </c>
      <c r="C861" s="278" t="s">
        <v>1459</v>
      </c>
      <c r="D861" s="278"/>
      <c r="E861" s="278" t="s">
        <v>1454</v>
      </c>
      <c r="F861" s="278"/>
      <c r="G861" s="278" t="s">
        <v>15</v>
      </c>
      <c r="H861" s="328">
        <f>$H$860*$A861/1000</f>
        <v>1.848E-2</v>
      </c>
      <c r="I861" s="280">
        <f>$I$2*H861</f>
        <v>1.4898576000000001</v>
      </c>
      <c r="J861" s="281">
        <f>$J$2*H861</f>
        <v>1.6896264000000001</v>
      </c>
      <c r="K861" s="282">
        <f>IF(Notes!$B$9="Domestic",I861, IF(Notes!$B$9="Commercial",J861))*$K$860</f>
        <v>1.6896264000000001</v>
      </c>
      <c r="L861" s="283">
        <f>(SUM(O861:Q861)+(K861+SUM(M861:Q861))*(INDEX($U$860:$AB$860,MATCH(Notes!$C$16,$U$3:$AB$3,0))-100%))*$L$860</f>
        <v>9.2421120000000005</v>
      </c>
      <c r="M861" s="286"/>
      <c r="N861" s="286"/>
      <c r="O861" s="311">
        <f>O$860*$A861/1000</f>
        <v>2.65848</v>
      </c>
      <c r="P861" s="311">
        <f>P$860*$A861/1000</f>
        <v>6.5836320000000006</v>
      </c>
      <c r="Q861" s="285"/>
      <c r="R861" s="278"/>
      <c r="S861" s="278"/>
      <c r="T861" s="278"/>
    </row>
    <row r="862" spans="1:28" s="305" customFormat="1" hidden="1" outlineLevel="1" x14ac:dyDescent="0.25">
      <c r="A862" s="331">
        <v>1.65</v>
      </c>
      <c r="B862" s="279" t="str">
        <f t="shared" ref="B862:B863" si="255">C862&amp;D862&amp;E862&amp;F862</f>
        <v>75-12C section</v>
      </c>
      <c r="C862" s="278" t="s">
        <v>1460</v>
      </c>
      <c r="D862" s="278"/>
      <c r="E862" s="278" t="s">
        <v>1454</v>
      </c>
      <c r="F862" s="278"/>
      <c r="G862" s="278" t="s">
        <v>15</v>
      </c>
      <c r="H862" s="328">
        <f t="shared" ref="H862:H910" si="256">$H$860*$A862/1000</f>
        <v>2.3099999999999999E-2</v>
      </c>
      <c r="I862" s="280">
        <f t="shared" ref="I862:I863" si="257">$I$2*H862</f>
        <v>1.862322</v>
      </c>
      <c r="J862" s="281">
        <f t="shared" ref="J862:J863" si="258">$J$2*H862</f>
        <v>2.1120330000000003</v>
      </c>
      <c r="K862" s="282">
        <f>IF(Notes!$B$9="Domestic",I862, IF(Notes!$B$9="Commercial",J862))*$K$860</f>
        <v>2.1120330000000003</v>
      </c>
      <c r="L862" s="283">
        <f>(SUM(O862:Q862)+(K862+SUM(M862:Q862))*(INDEX($U$860:$AB$860,MATCH(Notes!$C$16,$U$3:$AB$3,0))-100%))*$L$860</f>
        <v>11.55264</v>
      </c>
      <c r="M862" s="286"/>
      <c r="N862" s="286"/>
      <c r="O862" s="311">
        <f t="shared" ref="O862:P877" si="259">O$860*$A862/1000</f>
        <v>3.3230999999999997</v>
      </c>
      <c r="P862" s="311">
        <f t="shared" si="259"/>
        <v>8.2295400000000001</v>
      </c>
      <c r="Q862" s="285"/>
      <c r="R862" s="278"/>
      <c r="S862" s="278"/>
      <c r="T862" s="278"/>
    </row>
    <row r="863" spans="1:28" s="305" customFormat="1" hidden="1" outlineLevel="1" x14ac:dyDescent="0.25">
      <c r="A863" s="331">
        <v>2.1</v>
      </c>
      <c r="B863" s="279" t="str">
        <f t="shared" si="255"/>
        <v>75-15C section</v>
      </c>
      <c r="C863" s="278" t="s">
        <v>1461</v>
      </c>
      <c r="D863" s="278"/>
      <c r="E863" s="278" t="s">
        <v>1454</v>
      </c>
      <c r="F863" s="278"/>
      <c r="G863" s="278" t="s">
        <v>15</v>
      </c>
      <c r="H863" s="328">
        <f t="shared" si="256"/>
        <v>2.9400000000000003E-2</v>
      </c>
      <c r="I863" s="280">
        <f t="shared" si="257"/>
        <v>2.3702280000000004</v>
      </c>
      <c r="J863" s="281">
        <f t="shared" si="258"/>
        <v>2.6880420000000003</v>
      </c>
      <c r="K863" s="282">
        <f>IF(Notes!$B$9="Domestic",I863, IF(Notes!$B$9="Commercial",J863))*$K$860</f>
        <v>2.6880420000000003</v>
      </c>
      <c r="L863" s="283">
        <f>(SUM(O863:Q863)+(K863+SUM(M863:Q863))*(INDEX($U$860:$AB$860,MATCH(Notes!$C$16,$U$3:$AB$3,0))-100%))*$L$860</f>
        <v>14.703360000000004</v>
      </c>
      <c r="M863" s="286"/>
      <c r="N863" s="286"/>
      <c r="O863" s="311">
        <f t="shared" si="259"/>
        <v>4.2294000000000009</v>
      </c>
      <c r="P863" s="311">
        <f t="shared" si="259"/>
        <v>10.473960000000002</v>
      </c>
      <c r="Q863" s="285"/>
      <c r="R863" s="278"/>
      <c r="S863" s="278"/>
      <c r="T863" s="278"/>
    </row>
    <row r="864" spans="1:28" s="305" customFormat="1" hidden="1" outlineLevel="1" x14ac:dyDescent="0.25">
      <c r="A864" s="331">
        <v>1.78</v>
      </c>
      <c r="B864" s="279" t="str">
        <f>C864&amp;D864&amp;E864&amp;F864</f>
        <v>100-10C section</v>
      </c>
      <c r="C864" s="278" t="s">
        <v>1441</v>
      </c>
      <c r="D864" s="278"/>
      <c r="E864" s="278" t="s">
        <v>1454</v>
      </c>
      <c r="F864" s="278"/>
      <c r="G864" s="278" t="s">
        <v>15</v>
      </c>
      <c r="H864" s="328">
        <f t="shared" si="256"/>
        <v>2.4920000000000001E-2</v>
      </c>
      <c r="I864" s="280">
        <f>$I$2*H864</f>
        <v>2.0090504</v>
      </c>
      <c r="J864" s="281">
        <f>$J$2*H864</f>
        <v>2.2784356000000003</v>
      </c>
      <c r="K864" s="282">
        <f>IF(Notes!$B$9="Domestic",I864, IF(Notes!$B$9="Commercial",J864))*$K$860</f>
        <v>2.2784356000000003</v>
      </c>
      <c r="L864" s="283">
        <f>(SUM(O864:Q864)+(K864+SUM(M864:Q864))*(INDEX($U$860:$AB$860,MATCH(Notes!$C$16,$U$3:$AB$3,0))-100%))*$L$860</f>
        <v>12.462848000000001</v>
      </c>
      <c r="M864" s="286"/>
      <c r="N864" s="286"/>
      <c r="O864" s="311">
        <f t="shared" si="259"/>
        <v>3.5849199999999999</v>
      </c>
      <c r="P864" s="311">
        <f t="shared" si="259"/>
        <v>8.8779280000000007</v>
      </c>
      <c r="Q864" s="285"/>
      <c r="R864" s="278"/>
      <c r="S864" s="278"/>
      <c r="T864" s="278"/>
    </row>
    <row r="865" spans="1:20" s="305" customFormat="1" hidden="1" outlineLevel="1" x14ac:dyDescent="0.25">
      <c r="A865" s="331">
        <v>2.1</v>
      </c>
      <c r="B865" s="279" t="str">
        <f t="shared" ref="B865:B882" si="260">C865&amp;D865&amp;E865&amp;F865</f>
        <v>100-12C section</v>
      </c>
      <c r="C865" s="278" t="s">
        <v>1442</v>
      </c>
      <c r="D865" s="278"/>
      <c r="E865" s="278" t="s">
        <v>1454</v>
      </c>
      <c r="F865" s="278"/>
      <c r="G865" s="278" t="s">
        <v>15</v>
      </c>
      <c r="H865" s="328">
        <f t="shared" si="256"/>
        <v>2.9400000000000003E-2</v>
      </c>
      <c r="I865" s="280">
        <f t="shared" ref="I865:I882" si="261">$I$2*H865</f>
        <v>2.3702280000000004</v>
      </c>
      <c r="J865" s="281">
        <f t="shared" ref="J865:J882" si="262">$J$2*H865</f>
        <v>2.6880420000000003</v>
      </c>
      <c r="K865" s="282">
        <f>IF(Notes!$B$9="Domestic",I865, IF(Notes!$B$9="Commercial",J865))*$K$860</f>
        <v>2.6880420000000003</v>
      </c>
      <c r="L865" s="283">
        <f>(SUM(O865:Q865)+(K865+SUM(M865:Q865))*(INDEX($U$860:$AB$860,MATCH(Notes!$C$16,$U$3:$AB$3,0))-100%))*$L$860</f>
        <v>14.703360000000004</v>
      </c>
      <c r="M865" s="286"/>
      <c r="N865" s="286"/>
      <c r="O865" s="311">
        <f t="shared" si="259"/>
        <v>4.2294000000000009</v>
      </c>
      <c r="P865" s="311">
        <f t="shared" si="259"/>
        <v>10.473960000000002</v>
      </c>
      <c r="Q865" s="285"/>
      <c r="R865" s="278"/>
      <c r="S865" s="278"/>
      <c r="T865" s="278"/>
    </row>
    <row r="866" spans="1:20" s="305" customFormat="1" hidden="1" outlineLevel="1" x14ac:dyDescent="0.25">
      <c r="A866" s="331">
        <v>2.62</v>
      </c>
      <c r="B866" s="279" t="str">
        <f t="shared" si="260"/>
        <v>100-15C section</v>
      </c>
      <c r="C866" s="278" t="s">
        <v>1438</v>
      </c>
      <c r="D866" s="278"/>
      <c r="E866" s="278" t="s">
        <v>1454</v>
      </c>
      <c r="F866" s="278"/>
      <c r="G866" s="278" t="s">
        <v>15</v>
      </c>
      <c r="H866" s="328">
        <f t="shared" si="256"/>
        <v>3.6679999999999997E-2</v>
      </c>
      <c r="I866" s="280">
        <f t="shared" si="261"/>
        <v>2.9571415999999999</v>
      </c>
      <c r="J866" s="281">
        <f t="shared" si="262"/>
        <v>3.3536524000000001</v>
      </c>
      <c r="K866" s="282">
        <f>IF(Notes!$B$9="Domestic",I866, IF(Notes!$B$9="Commercial",J866))*$K$860</f>
        <v>3.3536524000000001</v>
      </c>
      <c r="L866" s="283">
        <f>(SUM(O866:Q866)+(K866+SUM(M866:Q866))*(INDEX($U$860:$AB$860,MATCH(Notes!$C$16,$U$3:$AB$3,0))-100%))*$L$860</f>
        <v>18.344192</v>
      </c>
      <c r="M866" s="286"/>
      <c r="N866" s="286"/>
      <c r="O866" s="311">
        <f t="shared" si="259"/>
        <v>5.2766800000000007</v>
      </c>
      <c r="P866" s="311">
        <f t="shared" si="259"/>
        <v>13.067512000000001</v>
      </c>
      <c r="Q866" s="285"/>
      <c r="R866" s="278"/>
      <c r="S866" s="278"/>
      <c r="T866" s="278"/>
    </row>
    <row r="867" spans="1:20" s="305" customFormat="1" hidden="1" outlineLevel="1" x14ac:dyDescent="0.25">
      <c r="A867" s="331">
        <v>3.29</v>
      </c>
      <c r="B867" s="279" t="str">
        <f t="shared" si="260"/>
        <v>100-19C section</v>
      </c>
      <c r="C867" s="278" t="s">
        <v>1439</v>
      </c>
      <c r="D867" s="278"/>
      <c r="E867" s="278" t="s">
        <v>1454</v>
      </c>
      <c r="F867" s="278"/>
      <c r="G867" s="278" t="s">
        <v>15</v>
      </c>
      <c r="H867" s="328">
        <f t="shared" si="256"/>
        <v>4.6060000000000004E-2</v>
      </c>
      <c r="I867" s="280">
        <f t="shared" si="261"/>
        <v>3.7133572000000004</v>
      </c>
      <c r="J867" s="281">
        <f t="shared" si="262"/>
        <v>4.2112658000000005</v>
      </c>
      <c r="K867" s="282">
        <f>IF(Notes!$B$9="Domestic",I867, IF(Notes!$B$9="Commercial",J867))*$K$860</f>
        <v>4.2112658000000005</v>
      </c>
      <c r="L867" s="283">
        <f>(SUM(O867:Q867)+(K867+SUM(M867:Q867))*(INDEX($U$860:$AB$860,MATCH(Notes!$C$16,$U$3:$AB$3,0))-100%))*$L$860</f>
        <v>23.035264000000005</v>
      </c>
      <c r="M867" s="286"/>
      <c r="N867" s="286"/>
      <c r="O867" s="311">
        <f t="shared" si="259"/>
        <v>6.6260600000000007</v>
      </c>
      <c r="P867" s="311">
        <f t="shared" si="259"/>
        <v>16.409204000000003</v>
      </c>
      <c r="Q867" s="285"/>
      <c r="R867" s="278"/>
      <c r="S867" s="278"/>
      <c r="T867" s="278"/>
    </row>
    <row r="868" spans="1:20" s="305" customFormat="1" hidden="1" outlineLevel="1" x14ac:dyDescent="0.25">
      <c r="A868" s="331">
        <v>3.84</v>
      </c>
      <c r="B868" s="279" t="str">
        <f t="shared" ref="B868" si="263">C868&amp;D868&amp;E868&amp;F868</f>
        <v>100-24C section</v>
      </c>
      <c r="C868" s="278" t="s">
        <v>1462</v>
      </c>
      <c r="D868" s="278"/>
      <c r="E868" s="278" t="s">
        <v>1454</v>
      </c>
      <c r="F868" s="278"/>
      <c r="G868" s="278" t="s">
        <v>15</v>
      </c>
      <c r="H868" s="328">
        <f t="shared" si="256"/>
        <v>5.3759999999999995E-2</v>
      </c>
      <c r="I868" s="280">
        <f t="shared" ref="I868" si="264">$I$2*H868</f>
        <v>4.3341311999999999</v>
      </c>
      <c r="J868" s="281">
        <f t="shared" ref="J868" si="265">$J$2*H868</f>
        <v>4.9152768</v>
      </c>
      <c r="K868" s="282">
        <f>IF(Notes!$B$9="Domestic",I868, IF(Notes!$B$9="Commercial",J868))*$K$860</f>
        <v>4.9152768</v>
      </c>
      <c r="L868" s="283">
        <f>(SUM(O868:Q868)+(K868+SUM(M868:Q868))*(INDEX($U$860:$AB$860,MATCH(Notes!$C$16,$U$3:$AB$3,0))-100%))*$L$860</f>
        <v>26.886144000000002</v>
      </c>
      <c r="M868" s="286"/>
      <c r="N868" s="286"/>
      <c r="O868" s="311">
        <f t="shared" si="259"/>
        <v>7.7337599999999993</v>
      </c>
      <c r="P868" s="311">
        <f t="shared" si="259"/>
        <v>19.152384000000001</v>
      </c>
      <c r="Q868" s="285"/>
      <c r="R868" s="278"/>
      <c r="S868" s="278"/>
      <c r="T868" s="278"/>
    </row>
    <row r="869" spans="1:20" s="305" customFormat="1" hidden="1" outlineLevel="1" x14ac:dyDescent="0.25">
      <c r="A869" s="331">
        <v>2.84</v>
      </c>
      <c r="B869" s="279" t="str">
        <f t="shared" si="260"/>
        <v>150-12C section</v>
      </c>
      <c r="C869" s="278" t="s">
        <v>1440</v>
      </c>
      <c r="D869" s="278"/>
      <c r="E869" s="278" t="s">
        <v>1454</v>
      </c>
      <c r="F869" s="278"/>
      <c r="G869" s="278" t="s">
        <v>15</v>
      </c>
      <c r="H869" s="328">
        <f t="shared" si="256"/>
        <v>3.9759999999999997E-2</v>
      </c>
      <c r="I869" s="280">
        <f t="shared" si="261"/>
        <v>3.2054511999999997</v>
      </c>
      <c r="J869" s="281">
        <f t="shared" si="262"/>
        <v>3.6352568000000001</v>
      </c>
      <c r="K869" s="282">
        <f>IF(Notes!$B$9="Domestic",I869, IF(Notes!$B$9="Commercial",J869))*$K$860</f>
        <v>3.6352568000000001</v>
      </c>
      <c r="L869" s="283">
        <f>(SUM(O869:Q869)+(K869+SUM(M869:Q869))*(INDEX($U$860:$AB$860,MATCH(Notes!$C$16,$U$3:$AB$3,0))-100%))*$L$860</f>
        <v>19.884543999999998</v>
      </c>
      <c r="M869" s="286"/>
      <c r="N869" s="286"/>
      <c r="O869" s="311">
        <f t="shared" si="259"/>
        <v>5.7197599999999991</v>
      </c>
      <c r="P869" s="311">
        <f t="shared" si="259"/>
        <v>14.164783999999999</v>
      </c>
      <c r="Q869" s="285"/>
      <c r="R869" s="278"/>
      <c r="S869" s="278"/>
      <c r="T869" s="278"/>
    </row>
    <row r="870" spans="1:20" s="305" customFormat="1" hidden="1" outlineLevel="1" x14ac:dyDescent="0.25">
      <c r="A870" s="331">
        <v>3.53</v>
      </c>
      <c r="B870" s="279" t="str">
        <f t="shared" si="260"/>
        <v>150-15C section</v>
      </c>
      <c r="C870" s="278" t="s">
        <v>1443</v>
      </c>
      <c r="D870" s="278"/>
      <c r="E870" s="278" t="s">
        <v>1454</v>
      </c>
      <c r="F870" s="278"/>
      <c r="G870" s="278" t="s">
        <v>15</v>
      </c>
      <c r="H870" s="328">
        <f t="shared" si="256"/>
        <v>4.9419999999999992E-2</v>
      </c>
      <c r="I870" s="280">
        <f t="shared" si="261"/>
        <v>3.9842403999999996</v>
      </c>
      <c r="J870" s="281">
        <f t="shared" si="262"/>
        <v>4.5184705999999997</v>
      </c>
      <c r="K870" s="282">
        <f>IF(Notes!$B$9="Domestic",I870, IF(Notes!$B$9="Commercial",J870))*$K$860</f>
        <v>4.5184705999999997</v>
      </c>
      <c r="L870" s="283">
        <f>(SUM(O870:Q870)+(K870+SUM(M870:Q870))*(INDEX($U$860:$AB$860,MATCH(Notes!$C$16,$U$3:$AB$3,0))-100%))*$L$860</f>
        <v>24.715647999999998</v>
      </c>
      <c r="M870" s="286"/>
      <c r="N870" s="286"/>
      <c r="O870" s="311">
        <f t="shared" si="259"/>
        <v>7.1094199999999992</v>
      </c>
      <c r="P870" s="311">
        <f t="shared" si="259"/>
        <v>17.606227999999998</v>
      </c>
      <c r="Q870" s="285"/>
      <c r="R870" s="278"/>
      <c r="S870" s="278"/>
      <c r="T870" s="278"/>
    </row>
    <row r="871" spans="1:20" s="305" customFormat="1" hidden="1" outlineLevel="1" x14ac:dyDescent="0.25">
      <c r="A871" s="331">
        <v>4.45</v>
      </c>
      <c r="B871" s="279" t="str">
        <f t="shared" si="260"/>
        <v>150-19C section</v>
      </c>
      <c r="C871" s="278" t="s">
        <v>1444</v>
      </c>
      <c r="D871" s="278"/>
      <c r="E871" s="278" t="s">
        <v>1454</v>
      </c>
      <c r="F871" s="278"/>
      <c r="G871" s="278" t="s">
        <v>15</v>
      </c>
      <c r="H871" s="328">
        <f t="shared" si="256"/>
        <v>6.2300000000000001E-2</v>
      </c>
      <c r="I871" s="280">
        <f t="shared" si="261"/>
        <v>5.0226260000000007</v>
      </c>
      <c r="J871" s="281">
        <f t="shared" si="262"/>
        <v>5.6960890000000006</v>
      </c>
      <c r="K871" s="282">
        <f>IF(Notes!$B$9="Domestic",I871, IF(Notes!$B$9="Commercial",J871))*$K$860</f>
        <v>5.6960890000000006</v>
      </c>
      <c r="L871" s="283">
        <f>(SUM(O871:Q871)+(K871+SUM(M871:Q871))*(INDEX($U$860:$AB$860,MATCH(Notes!$C$16,$U$3:$AB$3,0))-100%))*$L$860</f>
        <v>31.157120000000006</v>
      </c>
      <c r="M871" s="286"/>
      <c r="N871" s="286"/>
      <c r="O871" s="311">
        <f t="shared" si="259"/>
        <v>8.9623000000000008</v>
      </c>
      <c r="P871" s="311">
        <f t="shared" si="259"/>
        <v>22.194820000000004</v>
      </c>
      <c r="Q871" s="285"/>
      <c r="R871" s="278"/>
      <c r="S871" s="278"/>
      <c r="T871" s="278"/>
    </row>
    <row r="872" spans="1:20" s="305" customFormat="1" hidden="1" outlineLevel="1" x14ac:dyDescent="0.25">
      <c r="A872" s="331">
        <v>5.57</v>
      </c>
      <c r="B872" s="279" t="str">
        <f t="shared" si="260"/>
        <v>150-24C section</v>
      </c>
      <c r="C872" s="278" t="s">
        <v>1445</v>
      </c>
      <c r="D872" s="278"/>
      <c r="E872" s="278" t="s">
        <v>1454</v>
      </c>
      <c r="F872" s="278"/>
      <c r="G872" s="278" t="s">
        <v>15</v>
      </c>
      <c r="H872" s="328">
        <f t="shared" si="256"/>
        <v>7.7980000000000008E-2</v>
      </c>
      <c r="I872" s="280">
        <f t="shared" si="261"/>
        <v>6.2867476000000009</v>
      </c>
      <c r="J872" s="281">
        <f t="shared" si="262"/>
        <v>7.1297114000000015</v>
      </c>
      <c r="K872" s="282">
        <f>IF(Notes!$B$9="Domestic",I872, IF(Notes!$B$9="Commercial",J872))*$K$860</f>
        <v>7.1297114000000015</v>
      </c>
      <c r="L872" s="283">
        <f>(SUM(O872:Q872)+(K872+SUM(M872:Q872))*(INDEX($U$860:$AB$860,MATCH(Notes!$C$16,$U$3:$AB$3,0))-100%))*$L$860</f>
        <v>38.998912000000004</v>
      </c>
      <c r="M872" s="286"/>
      <c r="N872" s="286"/>
      <c r="O872" s="311">
        <f t="shared" si="259"/>
        <v>11.217980000000001</v>
      </c>
      <c r="P872" s="311">
        <f t="shared" si="259"/>
        <v>27.780932000000004</v>
      </c>
      <c r="Q872" s="285"/>
      <c r="R872" s="278"/>
      <c r="S872" s="278"/>
      <c r="T872" s="278"/>
    </row>
    <row r="873" spans="1:20" s="305" customFormat="1" hidden="1" outlineLevel="1" x14ac:dyDescent="0.25">
      <c r="A873" s="331">
        <v>4.3899999999999997</v>
      </c>
      <c r="B873" s="279" t="str">
        <f t="shared" si="260"/>
        <v>200-15C section</v>
      </c>
      <c r="C873" s="278" t="s">
        <v>1446</v>
      </c>
      <c r="D873" s="278"/>
      <c r="E873" s="278" t="s">
        <v>1454</v>
      </c>
      <c r="F873" s="278"/>
      <c r="G873" s="278" t="s">
        <v>15</v>
      </c>
      <c r="H873" s="328">
        <f t="shared" si="256"/>
        <v>6.1459999999999994E-2</v>
      </c>
      <c r="I873" s="280">
        <f t="shared" si="261"/>
        <v>4.9549051999999998</v>
      </c>
      <c r="J873" s="281">
        <f t="shared" si="262"/>
        <v>5.6192877999999995</v>
      </c>
      <c r="K873" s="282">
        <f>IF(Notes!$B$9="Domestic",I873, IF(Notes!$B$9="Commercial",J873))*$K$860</f>
        <v>5.6192877999999995</v>
      </c>
      <c r="L873" s="283">
        <f>(SUM(O873:Q873)+(K873+SUM(M873:Q873))*(INDEX($U$860:$AB$860,MATCH(Notes!$C$16,$U$3:$AB$3,0))-100%))*$L$860</f>
        <v>30.737023999999998</v>
      </c>
      <c r="M873" s="286"/>
      <c r="N873" s="286"/>
      <c r="O873" s="311">
        <f t="shared" si="259"/>
        <v>8.8414599999999997</v>
      </c>
      <c r="P873" s="311">
        <f t="shared" si="259"/>
        <v>21.895564</v>
      </c>
      <c r="Q873" s="285"/>
      <c r="R873" s="278"/>
      <c r="S873" s="278"/>
      <c r="T873" s="278"/>
    </row>
    <row r="874" spans="1:20" s="305" customFormat="1" hidden="1" outlineLevel="1" x14ac:dyDescent="0.25">
      <c r="A874" s="331">
        <v>5.73</v>
      </c>
      <c r="B874" s="279" t="str">
        <f t="shared" si="260"/>
        <v>200-19C section</v>
      </c>
      <c r="C874" s="278" t="s">
        <v>1447</v>
      </c>
      <c r="D874" s="278"/>
      <c r="E874" s="278" t="s">
        <v>1454</v>
      </c>
      <c r="F874" s="278"/>
      <c r="G874" s="278" t="s">
        <v>15</v>
      </c>
      <c r="H874" s="328">
        <f t="shared" si="256"/>
        <v>8.022E-2</v>
      </c>
      <c r="I874" s="280">
        <f t="shared" si="261"/>
        <v>6.4673364000000007</v>
      </c>
      <c r="J874" s="281">
        <f t="shared" si="262"/>
        <v>7.3345146000000003</v>
      </c>
      <c r="K874" s="282">
        <f>IF(Notes!$B$9="Domestic",I874, IF(Notes!$B$9="Commercial",J874))*$K$860</f>
        <v>7.3345146000000003</v>
      </c>
      <c r="L874" s="283">
        <f>(SUM(O874:Q874)+(K874+SUM(M874:Q874))*(INDEX($U$860:$AB$860,MATCH(Notes!$C$16,$U$3:$AB$3,0))-100%))*$L$860</f>
        <v>40.119168000000002</v>
      </c>
      <c r="M874" s="286"/>
      <c r="N874" s="286"/>
      <c r="O874" s="311">
        <f t="shared" si="259"/>
        <v>11.540220000000001</v>
      </c>
      <c r="P874" s="311">
        <f t="shared" si="259"/>
        <v>28.578948000000004</v>
      </c>
      <c r="Q874" s="285"/>
      <c r="R874" s="278"/>
      <c r="S874" s="278"/>
      <c r="T874" s="278"/>
    </row>
    <row r="875" spans="1:20" s="305" customFormat="1" hidden="1" outlineLevel="1" x14ac:dyDescent="0.25">
      <c r="A875" s="331">
        <v>7.1</v>
      </c>
      <c r="B875" s="279" t="str">
        <f t="shared" si="260"/>
        <v>200-24C section</v>
      </c>
      <c r="C875" s="278" t="s">
        <v>1448</v>
      </c>
      <c r="D875" s="278"/>
      <c r="E875" s="278" t="s">
        <v>1454</v>
      </c>
      <c r="F875" s="278"/>
      <c r="G875" s="278" t="s">
        <v>15</v>
      </c>
      <c r="H875" s="328">
        <f t="shared" si="256"/>
        <v>9.9399999999999988E-2</v>
      </c>
      <c r="I875" s="280">
        <f t="shared" si="261"/>
        <v>8.0136279999999989</v>
      </c>
      <c r="J875" s="281">
        <f t="shared" si="262"/>
        <v>9.0881419999999995</v>
      </c>
      <c r="K875" s="282">
        <f>IF(Notes!$B$9="Domestic",I875, IF(Notes!$B$9="Commercial",J875))*$K$860</f>
        <v>9.0881419999999995</v>
      </c>
      <c r="L875" s="283">
        <f>(SUM(O875:Q875)+(K875+SUM(M875:Q875))*(INDEX($U$860:$AB$860,MATCH(Notes!$C$16,$U$3:$AB$3,0))-100%))*$L$860</f>
        <v>49.711359999999999</v>
      </c>
      <c r="M875" s="286"/>
      <c r="N875" s="286"/>
      <c r="O875" s="311">
        <f t="shared" si="259"/>
        <v>14.2994</v>
      </c>
      <c r="P875" s="311">
        <f t="shared" si="259"/>
        <v>35.411960000000001</v>
      </c>
      <c r="Q875" s="285"/>
      <c r="R875" s="278"/>
      <c r="S875" s="278"/>
      <c r="T875" s="278"/>
    </row>
    <row r="876" spans="1:20" s="305" customFormat="1" hidden="1" outlineLevel="1" x14ac:dyDescent="0.25">
      <c r="A876" s="331">
        <v>6.27</v>
      </c>
      <c r="B876" s="279" t="str">
        <f t="shared" si="260"/>
        <v>250-19C section</v>
      </c>
      <c r="C876" s="278" t="s">
        <v>1449</v>
      </c>
      <c r="D876" s="278"/>
      <c r="E876" s="278" t="s">
        <v>1454</v>
      </c>
      <c r="F876" s="278"/>
      <c r="G876" s="278" t="s">
        <v>15</v>
      </c>
      <c r="H876" s="328">
        <f t="shared" si="256"/>
        <v>8.7779999999999997E-2</v>
      </c>
      <c r="I876" s="280">
        <f t="shared" si="261"/>
        <v>7.0768236</v>
      </c>
      <c r="J876" s="281">
        <f t="shared" si="262"/>
        <v>8.0257254000000007</v>
      </c>
      <c r="K876" s="282">
        <f>IF(Notes!$B$9="Domestic",I876, IF(Notes!$B$9="Commercial",J876))*$K$860</f>
        <v>8.0257254000000007</v>
      </c>
      <c r="L876" s="283">
        <f>(SUM(O876:Q876)+(K876+SUM(M876:Q876))*(INDEX($U$860:$AB$860,MATCH(Notes!$C$16,$U$3:$AB$3,0))-100%))*$L$860</f>
        <v>43.900032000000003</v>
      </c>
      <c r="M876" s="286"/>
      <c r="N876" s="286"/>
      <c r="O876" s="311">
        <f t="shared" si="259"/>
        <v>12.62778</v>
      </c>
      <c r="P876" s="311">
        <f t="shared" si="259"/>
        <v>31.272252000000002</v>
      </c>
      <c r="Q876" s="285"/>
      <c r="R876" s="278"/>
      <c r="S876" s="278"/>
      <c r="T876" s="278"/>
    </row>
    <row r="877" spans="1:20" s="305" customFormat="1" hidden="1" outlineLevel="1" x14ac:dyDescent="0.25">
      <c r="A877" s="331">
        <v>7.87</v>
      </c>
      <c r="B877" s="279" t="str">
        <f t="shared" si="260"/>
        <v>250-24C section</v>
      </c>
      <c r="C877" s="278" t="s">
        <v>1450</v>
      </c>
      <c r="D877" s="278"/>
      <c r="E877" s="278" t="s">
        <v>1454</v>
      </c>
      <c r="F877" s="278"/>
      <c r="G877" s="278" t="s">
        <v>15</v>
      </c>
      <c r="H877" s="328">
        <f t="shared" si="256"/>
        <v>0.11018</v>
      </c>
      <c r="I877" s="280">
        <f t="shared" si="261"/>
        <v>8.8827116000000004</v>
      </c>
      <c r="J877" s="281">
        <f t="shared" si="262"/>
        <v>10.073757400000002</v>
      </c>
      <c r="K877" s="282">
        <f>IF(Notes!$B$9="Domestic",I877, IF(Notes!$B$9="Commercial",J877))*$K$860</f>
        <v>10.073757400000002</v>
      </c>
      <c r="L877" s="283">
        <f>(SUM(O877:Q877)+(K877+SUM(M877:Q877))*(INDEX($U$860:$AB$860,MATCH(Notes!$C$16,$U$3:$AB$3,0))-100%))*$L$860</f>
        <v>55.102592000000008</v>
      </c>
      <c r="M877" s="286"/>
      <c r="N877" s="286"/>
      <c r="O877" s="311">
        <f t="shared" si="259"/>
        <v>15.85018</v>
      </c>
      <c r="P877" s="311">
        <f t="shared" si="259"/>
        <v>39.252412000000007</v>
      </c>
      <c r="Q877" s="285"/>
      <c r="R877" s="278"/>
      <c r="S877" s="278"/>
      <c r="T877" s="278"/>
    </row>
    <row r="878" spans="1:20" s="305" customFormat="1" hidden="1" outlineLevel="1" x14ac:dyDescent="0.25">
      <c r="A878" s="331">
        <v>10.09</v>
      </c>
      <c r="B878" s="279" t="str">
        <f t="shared" si="260"/>
        <v>300-24C section</v>
      </c>
      <c r="C878" s="278" t="s">
        <v>1451</v>
      </c>
      <c r="D878" s="278"/>
      <c r="E878" s="278" t="s">
        <v>1454</v>
      </c>
      <c r="F878" s="278"/>
      <c r="G878" s="278" t="s">
        <v>15</v>
      </c>
      <c r="H878" s="328">
        <f t="shared" si="256"/>
        <v>0.14126</v>
      </c>
      <c r="I878" s="280">
        <f t="shared" si="261"/>
        <v>11.3883812</v>
      </c>
      <c r="J878" s="281">
        <f t="shared" si="262"/>
        <v>12.915401800000001</v>
      </c>
      <c r="K878" s="282">
        <f>IF(Notes!$B$9="Domestic",I878, IF(Notes!$B$9="Commercial",J878))*$K$860</f>
        <v>12.915401800000001</v>
      </c>
      <c r="L878" s="283">
        <f>(SUM(O878:Q878)+(K878+SUM(M878:Q878))*(INDEX($U$860:$AB$860,MATCH(Notes!$C$16,$U$3:$AB$3,0))-100%))*$L$860</f>
        <v>70.646144000000007</v>
      </c>
      <c r="M878" s="286"/>
      <c r="N878" s="286"/>
      <c r="O878" s="311">
        <f t="shared" ref="O878:P879" si="266">O$860*$A878/1000</f>
        <v>20.321259999999999</v>
      </c>
      <c r="P878" s="311">
        <f t="shared" si="266"/>
        <v>50.324884000000004</v>
      </c>
      <c r="Q878" s="285"/>
      <c r="R878" s="278"/>
      <c r="S878" s="278"/>
      <c r="T878" s="278"/>
    </row>
    <row r="879" spans="1:20" s="305" customFormat="1" hidden="1" outlineLevel="1" x14ac:dyDescent="0.25">
      <c r="A879" s="331">
        <v>12.76</v>
      </c>
      <c r="B879" s="279" t="str">
        <f t="shared" si="260"/>
        <v>300-30C section</v>
      </c>
      <c r="C879" s="278" t="s">
        <v>1452</v>
      </c>
      <c r="D879" s="278"/>
      <c r="E879" s="278" t="s">
        <v>1454</v>
      </c>
      <c r="F879" s="278"/>
      <c r="G879" s="278" t="s">
        <v>15</v>
      </c>
      <c r="H879" s="328">
        <f t="shared" si="256"/>
        <v>0.17863999999999999</v>
      </c>
      <c r="I879" s="280">
        <f t="shared" si="261"/>
        <v>14.401956800000001</v>
      </c>
      <c r="J879" s="281">
        <f t="shared" si="262"/>
        <v>16.3330552</v>
      </c>
      <c r="K879" s="282">
        <f>IF(Notes!$B$9="Domestic",I879, IF(Notes!$B$9="Commercial",J879))*$K$860</f>
        <v>16.3330552</v>
      </c>
      <c r="L879" s="283">
        <f>(SUM(O879:Q879)+(K879+SUM(M879:Q879))*(INDEX($U$860:$AB$860,MATCH(Notes!$C$16,$U$3:$AB$3,0))-100%))*$L$860</f>
        <v>89.340416000000005</v>
      </c>
      <c r="M879" s="286"/>
      <c r="N879" s="286"/>
      <c r="O879" s="311">
        <f t="shared" si="266"/>
        <v>25.698640000000001</v>
      </c>
      <c r="P879" s="311">
        <f t="shared" si="266"/>
        <v>63.641776000000007</v>
      </c>
      <c r="Q879" s="285"/>
      <c r="R879" s="278"/>
      <c r="S879" s="278"/>
      <c r="T879" s="278"/>
    </row>
    <row r="880" spans="1:20" s="305" customFormat="1" hidden="1" outlineLevel="1" x14ac:dyDescent="0.25">
      <c r="A880" s="331">
        <v>11.96</v>
      </c>
      <c r="B880" s="279" t="str">
        <f t="shared" ref="B880" si="267">C880&amp;D880&amp;E880&amp;F880</f>
        <v>350-24C section</v>
      </c>
      <c r="C880" s="278" t="s">
        <v>1463</v>
      </c>
      <c r="D880" s="278"/>
      <c r="E880" s="278" t="s">
        <v>1454</v>
      </c>
      <c r="F880" s="278"/>
      <c r="G880" s="278" t="s">
        <v>15</v>
      </c>
      <c r="H880" s="328">
        <f t="shared" si="256"/>
        <v>0.16744000000000001</v>
      </c>
      <c r="I880" s="280">
        <f t="shared" ref="I880" si="268">$I$2*H880</f>
        <v>13.499012800000001</v>
      </c>
      <c r="J880" s="281">
        <f t="shared" ref="J880" si="269">$J$2*H880</f>
        <v>15.309039200000001</v>
      </c>
      <c r="K880" s="282">
        <f>IF(Notes!$B$9="Domestic",I880, IF(Notes!$B$9="Commercial",J880))*$K$860</f>
        <v>15.309039200000001</v>
      </c>
      <c r="L880" s="283">
        <f>(SUM(O880:Q880)+(K880+SUM(M880:Q880))*(INDEX($U$860:$AB$860,MATCH(Notes!$C$16,$U$3:$AB$3,0))-100%))*$L$860</f>
        <v>83.739136000000002</v>
      </c>
      <c r="M880" s="286"/>
      <c r="N880" s="286"/>
      <c r="O880" s="311">
        <f>O$860*$A880/1000</f>
        <v>24.087440000000001</v>
      </c>
      <c r="P880" s="311">
        <f>P$860*$A880/1000</f>
        <v>59.651696000000008</v>
      </c>
      <c r="Q880" s="285"/>
      <c r="R880" s="278"/>
      <c r="S880" s="278"/>
      <c r="T880" s="278"/>
    </row>
    <row r="881" spans="1:20" s="305" customFormat="1" hidden="1" outlineLevel="1" x14ac:dyDescent="0.25">
      <c r="A881" s="331">
        <v>14.99</v>
      </c>
      <c r="B881" s="279" t="str">
        <f t="shared" si="260"/>
        <v>350-30C section</v>
      </c>
      <c r="C881" s="278" t="s">
        <v>1453</v>
      </c>
      <c r="D881" s="278"/>
      <c r="E881" s="278" t="s">
        <v>1454</v>
      </c>
      <c r="F881" s="278"/>
      <c r="G881" s="278" t="s">
        <v>15</v>
      </c>
      <c r="H881" s="328">
        <f t="shared" si="256"/>
        <v>0.20986000000000002</v>
      </c>
      <c r="I881" s="280">
        <f t="shared" si="261"/>
        <v>16.918913200000002</v>
      </c>
      <c r="J881" s="281">
        <f t="shared" si="262"/>
        <v>19.187499800000005</v>
      </c>
      <c r="K881" s="282">
        <f>IF(Notes!$B$9="Domestic",I881, IF(Notes!$B$9="Commercial",J881))*$K$860</f>
        <v>19.187499800000005</v>
      </c>
      <c r="L881" s="283">
        <f>(SUM(O881:Q881)+(K881+SUM(M881:Q881))*(INDEX($U$860:$AB$860,MATCH(Notes!$C$16,$U$3:$AB$3,0))-100%))*$L$860</f>
        <v>104.95398400000001</v>
      </c>
      <c r="M881" s="286"/>
      <c r="N881" s="286"/>
      <c r="O881" s="311">
        <f t="shared" ref="O881:P885" si="270">O$860*$A881/1000</f>
        <v>30.189859999999999</v>
      </c>
      <c r="P881" s="311">
        <f t="shared" si="270"/>
        <v>74.76412400000001</v>
      </c>
      <c r="Q881" s="285"/>
      <c r="R881" s="278"/>
      <c r="S881" s="278"/>
      <c r="T881" s="278"/>
    </row>
    <row r="882" spans="1:20" s="305" customFormat="1" hidden="1" outlineLevel="1" x14ac:dyDescent="0.25">
      <c r="A882" s="331">
        <v>10.220000000000001</v>
      </c>
      <c r="B882" s="279" t="str">
        <f t="shared" si="260"/>
        <v>400-19C section</v>
      </c>
      <c r="C882" s="278" t="s">
        <v>1464</v>
      </c>
      <c r="D882" s="278"/>
      <c r="E882" s="278" t="s">
        <v>1454</v>
      </c>
      <c r="F882" s="278"/>
      <c r="G882" s="278" t="s">
        <v>15</v>
      </c>
      <c r="H882" s="328">
        <f t="shared" si="256"/>
        <v>0.14308000000000001</v>
      </c>
      <c r="I882" s="280">
        <f t="shared" si="261"/>
        <v>11.535109600000002</v>
      </c>
      <c r="J882" s="281">
        <f t="shared" si="262"/>
        <v>13.081804400000003</v>
      </c>
      <c r="K882" s="282">
        <f>IF(Notes!$B$9="Domestic",I882, IF(Notes!$B$9="Commercial",J882))*$K$860</f>
        <v>13.081804400000003</v>
      </c>
      <c r="L882" s="283">
        <f>(SUM(O882:Q882)+(K882+SUM(M882:Q882))*(INDEX($U$860:$AB$860,MATCH(Notes!$C$16,$U$3:$AB$3,0))-100%))*$L$860</f>
        <v>71.556352000000004</v>
      </c>
      <c r="M882" s="286"/>
      <c r="N882" s="286"/>
      <c r="O882" s="311">
        <f t="shared" si="270"/>
        <v>20.583080000000002</v>
      </c>
      <c r="P882" s="311">
        <f t="shared" si="270"/>
        <v>50.973272000000001</v>
      </c>
      <c r="Q882" s="285"/>
      <c r="R882" s="278"/>
      <c r="S882" s="278"/>
      <c r="T882" s="278"/>
    </row>
    <row r="883" spans="1:20" s="305" customFormat="1" hidden="1" outlineLevel="1" x14ac:dyDescent="0.25">
      <c r="A883" s="331">
        <v>12.91</v>
      </c>
      <c r="B883" s="279" t="str">
        <f t="shared" ref="B883:B884" si="271">C883&amp;D883&amp;E883&amp;F883</f>
        <v>400-24C section</v>
      </c>
      <c r="C883" s="278" t="s">
        <v>1465</v>
      </c>
      <c r="D883" s="278"/>
      <c r="E883" s="278" t="s">
        <v>1454</v>
      </c>
      <c r="F883" s="278"/>
      <c r="G883" s="278" t="s">
        <v>15</v>
      </c>
      <c r="H883" s="328">
        <f t="shared" si="256"/>
        <v>0.18074000000000001</v>
      </c>
      <c r="I883" s="280">
        <f t="shared" ref="I883:I884" si="272">$I$2*H883</f>
        <v>14.571258800000003</v>
      </c>
      <c r="J883" s="281">
        <f t="shared" ref="J883:J884" si="273">$J$2*H883</f>
        <v>16.525058200000004</v>
      </c>
      <c r="K883" s="282">
        <f>IF(Notes!$B$9="Domestic",I883, IF(Notes!$B$9="Commercial",J883))*$K$860</f>
        <v>16.525058200000004</v>
      </c>
      <c r="L883" s="283">
        <f>(SUM(O883:Q883)+(K883+SUM(M883:Q883))*(INDEX($U$860:$AB$860,MATCH(Notes!$C$16,$U$3:$AB$3,0))-100%))*$L$860</f>
        <v>90.390656000000007</v>
      </c>
      <c r="M883" s="286"/>
      <c r="N883" s="286"/>
      <c r="O883" s="311">
        <f t="shared" si="270"/>
        <v>26.00074</v>
      </c>
      <c r="P883" s="311">
        <f t="shared" si="270"/>
        <v>64.389915999999999</v>
      </c>
      <c r="Q883" s="285"/>
      <c r="R883" s="278"/>
      <c r="S883" s="278"/>
      <c r="T883" s="278"/>
    </row>
    <row r="884" spans="1:20" s="305" customFormat="1" hidden="1" outlineLevel="1" x14ac:dyDescent="0.25">
      <c r="A884" s="331">
        <v>14.99</v>
      </c>
      <c r="B884" s="279" t="str">
        <f t="shared" si="271"/>
        <v>400-30C section</v>
      </c>
      <c r="C884" s="278" t="s">
        <v>1466</v>
      </c>
      <c r="D884" s="278"/>
      <c r="E884" s="278" t="s">
        <v>1454</v>
      </c>
      <c r="F884" s="278"/>
      <c r="G884" s="278" t="s">
        <v>15</v>
      </c>
      <c r="H884" s="328">
        <f t="shared" si="256"/>
        <v>0.20986000000000002</v>
      </c>
      <c r="I884" s="280">
        <f t="shared" si="272"/>
        <v>16.918913200000002</v>
      </c>
      <c r="J884" s="281">
        <f t="shared" si="273"/>
        <v>19.187499800000005</v>
      </c>
      <c r="K884" s="282">
        <f>IF(Notes!$B$9="Domestic",I884, IF(Notes!$B$9="Commercial",J884))*$K$860</f>
        <v>19.187499800000005</v>
      </c>
      <c r="L884" s="283">
        <f>(SUM(O884:Q884)+(K884+SUM(M884:Q884))*(INDEX($U$860:$AB$860,MATCH(Notes!$C$16,$U$3:$AB$3,0))-100%))*$L$860</f>
        <v>104.95398400000001</v>
      </c>
      <c r="M884" s="286"/>
      <c r="N884" s="286"/>
      <c r="O884" s="311">
        <f t="shared" si="270"/>
        <v>30.189859999999999</v>
      </c>
      <c r="P884" s="311">
        <f t="shared" si="270"/>
        <v>74.76412400000001</v>
      </c>
      <c r="Q884" s="285"/>
      <c r="R884" s="278"/>
      <c r="S884" s="278"/>
      <c r="T884" s="278"/>
    </row>
    <row r="885" spans="1:20" s="305" customFormat="1" hidden="1" outlineLevel="1" x14ac:dyDescent="0.25">
      <c r="A885" s="331">
        <v>17.21</v>
      </c>
      <c r="B885" s="279" t="str">
        <f t="shared" ref="B885" si="274">C885&amp;D885&amp;E885&amp;F885</f>
        <v>400-32C section</v>
      </c>
      <c r="C885" s="278" t="s">
        <v>1467</v>
      </c>
      <c r="D885" s="278"/>
      <c r="E885" s="278" t="s">
        <v>1454</v>
      </c>
      <c r="F885" s="278"/>
      <c r="G885" s="278" t="s">
        <v>15</v>
      </c>
      <c r="H885" s="328">
        <f t="shared" si="256"/>
        <v>0.24093999999999999</v>
      </c>
      <c r="I885" s="280">
        <f t="shared" ref="I885" si="275">$I$2*H885</f>
        <v>19.4245828</v>
      </c>
      <c r="J885" s="281">
        <f t="shared" ref="J885" si="276">$J$2*H885</f>
        <v>22.029144200000001</v>
      </c>
      <c r="K885" s="282">
        <f>IF(Notes!$B$9="Domestic",I885, IF(Notes!$B$9="Commercial",J885))*$K$860</f>
        <v>22.029144200000001</v>
      </c>
      <c r="L885" s="283">
        <f>(SUM(O885:Q885)+(K885+SUM(M885:Q885))*(INDEX($U$860:$AB$860,MATCH(Notes!$C$16,$U$3:$AB$3,0))-100%))*$L$860</f>
        <v>120.497536</v>
      </c>
      <c r="M885" s="286"/>
      <c r="N885" s="286"/>
      <c r="O885" s="311">
        <f t="shared" si="270"/>
        <v>34.660940000000004</v>
      </c>
      <c r="P885" s="311">
        <f t="shared" si="270"/>
        <v>85.836596</v>
      </c>
      <c r="Q885" s="285"/>
      <c r="R885" s="278"/>
      <c r="S885" s="278"/>
      <c r="T885" s="278"/>
    </row>
    <row r="886" spans="1:20" s="305" customFormat="1" hidden="1" outlineLevel="1" x14ac:dyDescent="0.25">
      <c r="A886" s="331">
        <v>1.32</v>
      </c>
      <c r="B886" s="279" t="str">
        <f>C886&amp;D886&amp;E886&amp;F886</f>
        <v>75-10Z section</v>
      </c>
      <c r="C886" s="278" t="s">
        <v>1459</v>
      </c>
      <c r="D886" s="278"/>
      <c r="E886" s="278" t="s">
        <v>1455</v>
      </c>
      <c r="F886" s="278"/>
      <c r="G886" s="278" t="s">
        <v>15</v>
      </c>
      <c r="H886" s="328">
        <f t="shared" si="256"/>
        <v>1.848E-2</v>
      </c>
      <c r="I886" s="280">
        <f>$I$2*H886</f>
        <v>1.4898576000000001</v>
      </c>
      <c r="J886" s="281">
        <f>$J$2*H886</f>
        <v>1.6896264000000001</v>
      </c>
      <c r="K886" s="282">
        <f>IF(Notes!$B$9="Domestic",I886, IF(Notes!$B$9="Commercial",J886))*$K$860</f>
        <v>1.6896264000000001</v>
      </c>
      <c r="L886" s="283">
        <f>(SUM(O886:Q886)+(K886+SUM(M886:Q886))*(INDEX($U$860:$AB$860,MATCH(Notes!$C$16,$U$3:$AB$3,0))-100%))*$L$860</f>
        <v>9.2421120000000005</v>
      </c>
      <c r="M886" s="286"/>
      <c r="N886" s="286"/>
      <c r="O886" s="311">
        <f>O$860*$A886/1000</f>
        <v>2.65848</v>
      </c>
      <c r="P886" s="311">
        <f>P$860*$A886/1000</f>
        <v>6.5836320000000006</v>
      </c>
      <c r="Q886" s="285"/>
      <c r="R886" s="278"/>
      <c r="S886" s="278"/>
      <c r="T886" s="278"/>
    </row>
    <row r="887" spans="1:20" s="305" customFormat="1" hidden="1" outlineLevel="1" x14ac:dyDescent="0.25">
      <c r="A887" s="331">
        <v>1.65</v>
      </c>
      <c r="B887" s="279" t="str">
        <f t="shared" ref="B887:B888" si="277">C887&amp;D887&amp;E887&amp;F887</f>
        <v>75-12Z section</v>
      </c>
      <c r="C887" s="278" t="s">
        <v>1460</v>
      </c>
      <c r="D887" s="278"/>
      <c r="E887" s="278" t="s">
        <v>1455</v>
      </c>
      <c r="F887" s="278"/>
      <c r="G887" s="278" t="s">
        <v>15</v>
      </c>
      <c r="H887" s="328">
        <f t="shared" si="256"/>
        <v>2.3099999999999999E-2</v>
      </c>
      <c r="I887" s="280">
        <f t="shared" ref="I887:I888" si="278">$I$2*H887</f>
        <v>1.862322</v>
      </c>
      <c r="J887" s="281">
        <f t="shared" ref="J887:J888" si="279">$J$2*H887</f>
        <v>2.1120330000000003</v>
      </c>
      <c r="K887" s="282">
        <f>IF(Notes!$B$9="Domestic",I887, IF(Notes!$B$9="Commercial",J887))*$K$860</f>
        <v>2.1120330000000003</v>
      </c>
      <c r="L887" s="283">
        <f>(SUM(O887:Q887)+(K887+SUM(M887:Q887))*(INDEX($U$860:$AB$860,MATCH(Notes!$C$16,$U$3:$AB$3,0))-100%))*$L$860</f>
        <v>11.55264</v>
      </c>
      <c r="M887" s="286"/>
      <c r="N887" s="286"/>
      <c r="O887" s="311">
        <f t="shared" ref="O887:P902" si="280">O$860*$A887/1000</f>
        <v>3.3230999999999997</v>
      </c>
      <c r="P887" s="311">
        <f t="shared" si="280"/>
        <v>8.2295400000000001</v>
      </c>
      <c r="Q887" s="285"/>
      <c r="R887" s="278"/>
      <c r="S887" s="278"/>
      <c r="T887" s="278"/>
    </row>
    <row r="888" spans="1:20" s="305" customFormat="1" hidden="1" outlineLevel="1" x14ac:dyDescent="0.25">
      <c r="A888" s="331">
        <v>2.1</v>
      </c>
      <c r="B888" s="279" t="str">
        <f t="shared" si="277"/>
        <v>75-15Z section</v>
      </c>
      <c r="C888" s="278" t="s">
        <v>1461</v>
      </c>
      <c r="D888" s="278"/>
      <c r="E888" s="278" t="s">
        <v>1455</v>
      </c>
      <c r="F888" s="278"/>
      <c r="G888" s="278" t="s">
        <v>15</v>
      </c>
      <c r="H888" s="328">
        <f t="shared" si="256"/>
        <v>2.9400000000000003E-2</v>
      </c>
      <c r="I888" s="280">
        <f t="shared" si="278"/>
        <v>2.3702280000000004</v>
      </c>
      <c r="J888" s="281">
        <f t="shared" si="279"/>
        <v>2.6880420000000003</v>
      </c>
      <c r="K888" s="282">
        <f>IF(Notes!$B$9="Domestic",I888, IF(Notes!$B$9="Commercial",J888))*$K$860</f>
        <v>2.6880420000000003</v>
      </c>
      <c r="L888" s="283">
        <f>(SUM(O888:Q888)+(K888+SUM(M888:Q888))*(INDEX($U$860:$AB$860,MATCH(Notes!$C$16,$U$3:$AB$3,0))-100%))*$L$860</f>
        <v>14.703360000000004</v>
      </c>
      <c r="M888" s="286"/>
      <c r="N888" s="286"/>
      <c r="O888" s="311">
        <f t="shared" si="280"/>
        <v>4.2294000000000009</v>
      </c>
      <c r="P888" s="311">
        <f t="shared" si="280"/>
        <v>10.473960000000002</v>
      </c>
      <c r="Q888" s="285"/>
      <c r="R888" s="278"/>
      <c r="S888" s="278"/>
      <c r="T888" s="278"/>
    </row>
    <row r="889" spans="1:20" s="305" customFormat="1" hidden="1" outlineLevel="1" x14ac:dyDescent="0.25">
      <c r="A889" s="331">
        <v>1.78</v>
      </c>
      <c r="B889" s="279" t="str">
        <f>C889&amp;D889&amp;E889&amp;F889</f>
        <v>100-10Z section</v>
      </c>
      <c r="C889" s="278" t="s">
        <v>1441</v>
      </c>
      <c r="D889" s="278"/>
      <c r="E889" s="278" t="s">
        <v>1455</v>
      </c>
      <c r="F889" s="278"/>
      <c r="G889" s="278" t="s">
        <v>15</v>
      </c>
      <c r="H889" s="328">
        <f t="shared" si="256"/>
        <v>2.4920000000000001E-2</v>
      </c>
      <c r="I889" s="280">
        <f>$I$2*H889</f>
        <v>2.0090504</v>
      </c>
      <c r="J889" s="281">
        <f>$J$2*H889</f>
        <v>2.2784356000000003</v>
      </c>
      <c r="K889" s="282">
        <f>IF(Notes!$B$9="Domestic",I889, IF(Notes!$B$9="Commercial",J889))*$K$860</f>
        <v>2.2784356000000003</v>
      </c>
      <c r="L889" s="283">
        <f>(SUM(O889:Q889)+(K889+SUM(M889:Q889))*(INDEX($U$860:$AB$860,MATCH(Notes!$C$16,$U$3:$AB$3,0))-100%))*$L$860</f>
        <v>12.462848000000001</v>
      </c>
      <c r="M889" s="286"/>
      <c r="N889" s="286"/>
      <c r="O889" s="311">
        <f t="shared" si="280"/>
        <v>3.5849199999999999</v>
      </c>
      <c r="P889" s="311">
        <f t="shared" si="280"/>
        <v>8.8779280000000007</v>
      </c>
      <c r="Q889" s="285"/>
      <c r="R889" s="278"/>
      <c r="S889" s="278"/>
      <c r="T889" s="278"/>
    </row>
    <row r="890" spans="1:20" s="305" customFormat="1" hidden="1" outlineLevel="1" x14ac:dyDescent="0.25">
      <c r="A890" s="331">
        <v>2.1</v>
      </c>
      <c r="B890" s="279" t="str">
        <f t="shared" ref="B890:B910" si="281">C890&amp;D890&amp;E890&amp;F890</f>
        <v>100-12Z section</v>
      </c>
      <c r="C890" s="278" t="s">
        <v>1442</v>
      </c>
      <c r="D890" s="278"/>
      <c r="E890" s="278" t="s">
        <v>1455</v>
      </c>
      <c r="F890" s="278"/>
      <c r="G890" s="278" t="s">
        <v>15</v>
      </c>
      <c r="H890" s="328">
        <f t="shared" si="256"/>
        <v>2.9400000000000003E-2</v>
      </c>
      <c r="I890" s="280">
        <f t="shared" ref="I890:I910" si="282">$I$2*H890</f>
        <v>2.3702280000000004</v>
      </c>
      <c r="J890" s="281">
        <f t="shared" ref="J890:J910" si="283">$J$2*H890</f>
        <v>2.6880420000000003</v>
      </c>
      <c r="K890" s="282">
        <f>IF(Notes!$B$9="Domestic",I890, IF(Notes!$B$9="Commercial",J890))*$K$860</f>
        <v>2.6880420000000003</v>
      </c>
      <c r="L890" s="283">
        <f>(SUM(O890:Q890)+(K890+SUM(M890:Q890))*(INDEX($U$860:$AB$860,MATCH(Notes!$C$16,$U$3:$AB$3,0))-100%))*$L$860</f>
        <v>14.703360000000004</v>
      </c>
      <c r="M890" s="286"/>
      <c r="N890" s="286"/>
      <c r="O890" s="311">
        <f t="shared" si="280"/>
        <v>4.2294000000000009</v>
      </c>
      <c r="P890" s="311">
        <f t="shared" si="280"/>
        <v>10.473960000000002</v>
      </c>
      <c r="Q890" s="285"/>
      <c r="R890" s="278"/>
      <c r="S890" s="278"/>
      <c r="T890" s="278"/>
    </row>
    <row r="891" spans="1:20" s="305" customFormat="1" hidden="1" outlineLevel="1" x14ac:dyDescent="0.25">
      <c r="A891" s="331">
        <v>2.62</v>
      </c>
      <c r="B891" s="279" t="str">
        <f t="shared" si="281"/>
        <v>100-15Z section</v>
      </c>
      <c r="C891" s="278" t="s">
        <v>1438</v>
      </c>
      <c r="D891" s="278"/>
      <c r="E891" s="278" t="s">
        <v>1455</v>
      </c>
      <c r="F891" s="278"/>
      <c r="G891" s="278" t="s">
        <v>15</v>
      </c>
      <c r="H891" s="328">
        <f t="shared" si="256"/>
        <v>3.6679999999999997E-2</v>
      </c>
      <c r="I891" s="280">
        <f t="shared" si="282"/>
        <v>2.9571415999999999</v>
      </c>
      <c r="J891" s="281">
        <f t="shared" si="283"/>
        <v>3.3536524000000001</v>
      </c>
      <c r="K891" s="282">
        <f>IF(Notes!$B$9="Domestic",I891, IF(Notes!$B$9="Commercial",J891))*$K$860</f>
        <v>3.3536524000000001</v>
      </c>
      <c r="L891" s="283">
        <f>(SUM(O891:Q891)+(K891+SUM(M891:Q891))*(INDEX($U$860:$AB$860,MATCH(Notes!$C$16,$U$3:$AB$3,0))-100%))*$L$860</f>
        <v>18.344192</v>
      </c>
      <c r="M891" s="286"/>
      <c r="N891" s="286"/>
      <c r="O891" s="311">
        <f t="shared" si="280"/>
        <v>5.2766800000000007</v>
      </c>
      <c r="P891" s="311">
        <f t="shared" si="280"/>
        <v>13.067512000000001</v>
      </c>
      <c r="Q891" s="285"/>
      <c r="R891" s="278"/>
      <c r="S891" s="278"/>
      <c r="T891" s="278"/>
    </row>
    <row r="892" spans="1:20" s="305" customFormat="1" hidden="1" outlineLevel="1" x14ac:dyDescent="0.25">
      <c r="A892" s="331">
        <v>3.29</v>
      </c>
      <c r="B892" s="279" t="str">
        <f t="shared" si="281"/>
        <v>100-19Z section</v>
      </c>
      <c r="C892" s="278" t="s">
        <v>1439</v>
      </c>
      <c r="D892" s="278"/>
      <c r="E892" s="278" t="s">
        <v>1455</v>
      </c>
      <c r="F892" s="278"/>
      <c r="G892" s="278" t="s">
        <v>15</v>
      </c>
      <c r="H892" s="328">
        <f t="shared" si="256"/>
        <v>4.6060000000000004E-2</v>
      </c>
      <c r="I892" s="280">
        <f t="shared" si="282"/>
        <v>3.7133572000000004</v>
      </c>
      <c r="J892" s="281">
        <f t="shared" si="283"/>
        <v>4.2112658000000005</v>
      </c>
      <c r="K892" s="282">
        <f>IF(Notes!$B$9="Domestic",I892, IF(Notes!$B$9="Commercial",J892))*$K$860</f>
        <v>4.2112658000000005</v>
      </c>
      <c r="L892" s="283">
        <f>(SUM(O892:Q892)+(K892+SUM(M892:Q892))*(INDEX($U$860:$AB$860,MATCH(Notes!$C$16,$U$3:$AB$3,0))-100%))*$L$860</f>
        <v>23.035264000000005</v>
      </c>
      <c r="M892" s="286"/>
      <c r="N892" s="286"/>
      <c r="O892" s="311">
        <f t="shared" si="280"/>
        <v>6.6260600000000007</v>
      </c>
      <c r="P892" s="311">
        <f t="shared" si="280"/>
        <v>16.409204000000003</v>
      </c>
      <c r="Q892" s="285"/>
      <c r="R892" s="278"/>
      <c r="S892" s="278"/>
      <c r="T892" s="278"/>
    </row>
    <row r="893" spans="1:20" s="305" customFormat="1" hidden="1" outlineLevel="1" x14ac:dyDescent="0.25">
      <c r="A893" s="331">
        <v>3.84</v>
      </c>
      <c r="B893" s="279" t="str">
        <f t="shared" si="281"/>
        <v>100-24Z section</v>
      </c>
      <c r="C893" s="278" t="s">
        <v>1462</v>
      </c>
      <c r="D893" s="278"/>
      <c r="E893" s="278" t="s">
        <v>1455</v>
      </c>
      <c r="F893" s="278"/>
      <c r="G893" s="278" t="s">
        <v>15</v>
      </c>
      <c r="H893" s="328">
        <f t="shared" si="256"/>
        <v>5.3759999999999995E-2</v>
      </c>
      <c r="I893" s="280">
        <f t="shared" si="282"/>
        <v>4.3341311999999999</v>
      </c>
      <c r="J893" s="281">
        <f t="shared" si="283"/>
        <v>4.9152768</v>
      </c>
      <c r="K893" s="282">
        <f>IF(Notes!$B$9="Domestic",I893, IF(Notes!$B$9="Commercial",J893))*$K$860</f>
        <v>4.9152768</v>
      </c>
      <c r="L893" s="283">
        <f>(SUM(O893:Q893)+(K893+SUM(M893:Q893))*(INDEX($U$860:$AB$860,MATCH(Notes!$C$16,$U$3:$AB$3,0))-100%))*$L$860</f>
        <v>26.886144000000002</v>
      </c>
      <c r="M893" s="286"/>
      <c r="N893" s="286"/>
      <c r="O893" s="311">
        <f t="shared" si="280"/>
        <v>7.7337599999999993</v>
      </c>
      <c r="P893" s="311">
        <f t="shared" si="280"/>
        <v>19.152384000000001</v>
      </c>
      <c r="Q893" s="285"/>
      <c r="R893" s="278"/>
      <c r="S893" s="278"/>
      <c r="T893" s="278"/>
    </row>
    <row r="894" spans="1:20" s="305" customFormat="1" hidden="1" outlineLevel="1" x14ac:dyDescent="0.25">
      <c r="A894" s="331">
        <v>2.84</v>
      </c>
      <c r="B894" s="279" t="str">
        <f t="shared" si="281"/>
        <v>150-12Z section</v>
      </c>
      <c r="C894" s="278" t="s">
        <v>1440</v>
      </c>
      <c r="D894" s="278"/>
      <c r="E894" s="278" t="s">
        <v>1455</v>
      </c>
      <c r="F894" s="278"/>
      <c r="G894" s="278" t="s">
        <v>15</v>
      </c>
      <c r="H894" s="328">
        <f t="shared" si="256"/>
        <v>3.9759999999999997E-2</v>
      </c>
      <c r="I894" s="280">
        <f t="shared" si="282"/>
        <v>3.2054511999999997</v>
      </c>
      <c r="J894" s="281">
        <f t="shared" si="283"/>
        <v>3.6352568000000001</v>
      </c>
      <c r="K894" s="282">
        <f>IF(Notes!$B$9="Domestic",I894, IF(Notes!$B$9="Commercial",J894))*$K$860</f>
        <v>3.6352568000000001</v>
      </c>
      <c r="L894" s="283">
        <f>(SUM(O894:Q894)+(K894+SUM(M894:Q894))*(INDEX($U$860:$AB$860,MATCH(Notes!$C$16,$U$3:$AB$3,0))-100%))*$L$860</f>
        <v>19.884543999999998</v>
      </c>
      <c r="M894" s="286"/>
      <c r="N894" s="286"/>
      <c r="O894" s="311">
        <f t="shared" si="280"/>
        <v>5.7197599999999991</v>
      </c>
      <c r="P894" s="311">
        <f t="shared" si="280"/>
        <v>14.164783999999999</v>
      </c>
      <c r="Q894" s="285"/>
      <c r="R894" s="278"/>
      <c r="S894" s="278"/>
      <c r="T894" s="278"/>
    </row>
    <row r="895" spans="1:20" s="305" customFormat="1" hidden="1" outlineLevel="1" x14ac:dyDescent="0.25">
      <c r="A895" s="331">
        <v>3.53</v>
      </c>
      <c r="B895" s="279" t="str">
        <f t="shared" si="281"/>
        <v>150-15Z section</v>
      </c>
      <c r="C895" s="278" t="s">
        <v>1443</v>
      </c>
      <c r="D895" s="278"/>
      <c r="E895" s="278" t="s">
        <v>1455</v>
      </c>
      <c r="F895" s="278"/>
      <c r="G895" s="278" t="s">
        <v>15</v>
      </c>
      <c r="H895" s="328">
        <f t="shared" si="256"/>
        <v>4.9419999999999992E-2</v>
      </c>
      <c r="I895" s="280">
        <f t="shared" si="282"/>
        <v>3.9842403999999996</v>
      </c>
      <c r="J895" s="281">
        <f t="shared" si="283"/>
        <v>4.5184705999999997</v>
      </c>
      <c r="K895" s="282">
        <f>IF(Notes!$B$9="Domestic",I895, IF(Notes!$B$9="Commercial",J895))*$K$860</f>
        <v>4.5184705999999997</v>
      </c>
      <c r="L895" s="283">
        <f>(SUM(O895:Q895)+(K895+SUM(M895:Q895))*(INDEX($U$860:$AB$860,MATCH(Notes!$C$16,$U$3:$AB$3,0))-100%))*$L$860</f>
        <v>24.715647999999998</v>
      </c>
      <c r="M895" s="286"/>
      <c r="N895" s="286"/>
      <c r="O895" s="311">
        <f t="shared" si="280"/>
        <v>7.1094199999999992</v>
      </c>
      <c r="P895" s="311">
        <f t="shared" si="280"/>
        <v>17.606227999999998</v>
      </c>
      <c r="Q895" s="285"/>
      <c r="R895" s="278"/>
      <c r="S895" s="278"/>
      <c r="T895" s="278"/>
    </row>
    <row r="896" spans="1:20" s="305" customFormat="1" hidden="1" outlineLevel="1" x14ac:dyDescent="0.25">
      <c r="A896" s="331">
        <v>4.45</v>
      </c>
      <c r="B896" s="279" t="str">
        <f t="shared" si="281"/>
        <v>150-19Z section</v>
      </c>
      <c r="C896" s="278" t="s">
        <v>1444</v>
      </c>
      <c r="D896" s="278"/>
      <c r="E896" s="278" t="s">
        <v>1455</v>
      </c>
      <c r="F896" s="278"/>
      <c r="G896" s="278" t="s">
        <v>15</v>
      </c>
      <c r="H896" s="328">
        <f t="shared" si="256"/>
        <v>6.2300000000000001E-2</v>
      </c>
      <c r="I896" s="280">
        <f t="shared" si="282"/>
        <v>5.0226260000000007</v>
      </c>
      <c r="J896" s="281">
        <f t="shared" si="283"/>
        <v>5.6960890000000006</v>
      </c>
      <c r="K896" s="282">
        <f>IF(Notes!$B$9="Domestic",I896, IF(Notes!$B$9="Commercial",J896))*$K$860</f>
        <v>5.6960890000000006</v>
      </c>
      <c r="L896" s="283">
        <f>(SUM(O896:Q896)+(K896+SUM(M896:Q896))*(INDEX($U$860:$AB$860,MATCH(Notes!$C$16,$U$3:$AB$3,0))-100%))*$L$860</f>
        <v>31.157120000000006</v>
      </c>
      <c r="M896" s="286"/>
      <c r="N896" s="286"/>
      <c r="O896" s="311">
        <f t="shared" si="280"/>
        <v>8.9623000000000008</v>
      </c>
      <c r="P896" s="311">
        <f t="shared" si="280"/>
        <v>22.194820000000004</v>
      </c>
      <c r="Q896" s="285"/>
      <c r="R896" s="278"/>
      <c r="S896" s="278"/>
      <c r="T896" s="278"/>
    </row>
    <row r="897" spans="1:28" s="305" customFormat="1" hidden="1" outlineLevel="1" x14ac:dyDescent="0.25">
      <c r="A897" s="331">
        <v>5.57</v>
      </c>
      <c r="B897" s="279" t="str">
        <f t="shared" si="281"/>
        <v>150-24Z section</v>
      </c>
      <c r="C897" s="278" t="s">
        <v>1445</v>
      </c>
      <c r="D897" s="278"/>
      <c r="E897" s="278" t="s">
        <v>1455</v>
      </c>
      <c r="F897" s="278"/>
      <c r="G897" s="278" t="s">
        <v>15</v>
      </c>
      <c r="H897" s="328">
        <f t="shared" si="256"/>
        <v>7.7980000000000008E-2</v>
      </c>
      <c r="I897" s="280">
        <f t="shared" si="282"/>
        <v>6.2867476000000009</v>
      </c>
      <c r="J897" s="281">
        <f t="shared" si="283"/>
        <v>7.1297114000000015</v>
      </c>
      <c r="K897" s="282">
        <f>IF(Notes!$B$9="Domestic",I897, IF(Notes!$B$9="Commercial",J897))*$K$860</f>
        <v>7.1297114000000015</v>
      </c>
      <c r="L897" s="283">
        <f>(SUM(O897:Q897)+(K897+SUM(M897:Q897))*(INDEX($U$860:$AB$860,MATCH(Notes!$C$16,$U$3:$AB$3,0))-100%))*$L$860</f>
        <v>38.998912000000004</v>
      </c>
      <c r="M897" s="286"/>
      <c r="N897" s="286"/>
      <c r="O897" s="311">
        <f t="shared" si="280"/>
        <v>11.217980000000001</v>
      </c>
      <c r="P897" s="311">
        <f t="shared" si="280"/>
        <v>27.780932000000004</v>
      </c>
      <c r="Q897" s="285"/>
      <c r="R897" s="278"/>
      <c r="S897" s="278"/>
      <c r="T897" s="278"/>
    </row>
    <row r="898" spans="1:28" s="305" customFormat="1" hidden="1" outlineLevel="1" x14ac:dyDescent="0.25">
      <c r="A898" s="331">
        <v>4.3899999999999997</v>
      </c>
      <c r="B898" s="279" t="str">
        <f t="shared" si="281"/>
        <v>200-15Z section</v>
      </c>
      <c r="C898" s="278" t="s">
        <v>1446</v>
      </c>
      <c r="D898" s="278"/>
      <c r="E898" s="278" t="s">
        <v>1455</v>
      </c>
      <c r="F898" s="278"/>
      <c r="G898" s="278" t="s">
        <v>15</v>
      </c>
      <c r="H898" s="328">
        <f t="shared" si="256"/>
        <v>6.1459999999999994E-2</v>
      </c>
      <c r="I898" s="280">
        <f t="shared" si="282"/>
        <v>4.9549051999999998</v>
      </c>
      <c r="J898" s="281">
        <f t="shared" si="283"/>
        <v>5.6192877999999995</v>
      </c>
      <c r="K898" s="282">
        <f>IF(Notes!$B$9="Domestic",I898, IF(Notes!$B$9="Commercial",J898))*$K$860</f>
        <v>5.6192877999999995</v>
      </c>
      <c r="L898" s="283">
        <f>(SUM(O898:Q898)+(K898+SUM(M898:Q898))*(INDEX($U$860:$AB$860,MATCH(Notes!$C$16,$U$3:$AB$3,0))-100%))*$L$860</f>
        <v>30.737023999999998</v>
      </c>
      <c r="M898" s="286"/>
      <c r="N898" s="286"/>
      <c r="O898" s="311">
        <f t="shared" si="280"/>
        <v>8.8414599999999997</v>
      </c>
      <c r="P898" s="311">
        <f t="shared" si="280"/>
        <v>21.895564</v>
      </c>
      <c r="Q898" s="285"/>
      <c r="R898" s="278"/>
      <c r="S898" s="278"/>
      <c r="T898" s="278"/>
    </row>
    <row r="899" spans="1:28" s="305" customFormat="1" hidden="1" outlineLevel="1" x14ac:dyDescent="0.25">
      <c r="A899" s="331">
        <v>5.73</v>
      </c>
      <c r="B899" s="279" t="str">
        <f t="shared" si="281"/>
        <v>200-19Z section</v>
      </c>
      <c r="C899" s="278" t="s">
        <v>1447</v>
      </c>
      <c r="D899" s="278"/>
      <c r="E899" s="278" t="s">
        <v>1455</v>
      </c>
      <c r="F899" s="278"/>
      <c r="G899" s="278" t="s">
        <v>15</v>
      </c>
      <c r="H899" s="328">
        <f t="shared" si="256"/>
        <v>8.022E-2</v>
      </c>
      <c r="I899" s="280">
        <f t="shared" si="282"/>
        <v>6.4673364000000007</v>
      </c>
      <c r="J899" s="281">
        <f t="shared" si="283"/>
        <v>7.3345146000000003</v>
      </c>
      <c r="K899" s="282">
        <f>IF(Notes!$B$9="Domestic",I899, IF(Notes!$B$9="Commercial",J899))*$K$860</f>
        <v>7.3345146000000003</v>
      </c>
      <c r="L899" s="283">
        <f>(SUM(O899:Q899)+(K899+SUM(M899:Q899))*(INDEX($U$860:$AB$860,MATCH(Notes!$C$16,$U$3:$AB$3,0))-100%))*$L$860</f>
        <v>40.119168000000002</v>
      </c>
      <c r="M899" s="286"/>
      <c r="N899" s="286"/>
      <c r="O899" s="311">
        <f t="shared" si="280"/>
        <v>11.540220000000001</v>
      </c>
      <c r="P899" s="311">
        <f t="shared" si="280"/>
        <v>28.578948000000004</v>
      </c>
      <c r="Q899" s="285"/>
      <c r="R899" s="278"/>
      <c r="S899" s="278"/>
      <c r="T899" s="278"/>
    </row>
    <row r="900" spans="1:28" s="305" customFormat="1" hidden="1" outlineLevel="1" x14ac:dyDescent="0.25">
      <c r="A900" s="331">
        <v>7.1</v>
      </c>
      <c r="B900" s="279" t="str">
        <f t="shared" si="281"/>
        <v>200-24Z section</v>
      </c>
      <c r="C900" s="278" t="s">
        <v>1448</v>
      </c>
      <c r="D900" s="278"/>
      <c r="E900" s="278" t="s">
        <v>1455</v>
      </c>
      <c r="F900" s="278"/>
      <c r="G900" s="278" t="s">
        <v>15</v>
      </c>
      <c r="H900" s="328">
        <f t="shared" si="256"/>
        <v>9.9399999999999988E-2</v>
      </c>
      <c r="I900" s="280">
        <f t="shared" si="282"/>
        <v>8.0136279999999989</v>
      </c>
      <c r="J900" s="281">
        <f t="shared" si="283"/>
        <v>9.0881419999999995</v>
      </c>
      <c r="K900" s="282">
        <f>IF(Notes!$B$9="Domestic",I900, IF(Notes!$B$9="Commercial",J900))*$K$860</f>
        <v>9.0881419999999995</v>
      </c>
      <c r="L900" s="283">
        <f>(SUM(O900:Q900)+(K900+SUM(M900:Q900))*(INDEX($U$860:$AB$860,MATCH(Notes!$C$16,$U$3:$AB$3,0))-100%))*$L$860</f>
        <v>49.711359999999999</v>
      </c>
      <c r="M900" s="286"/>
      <c r="N900" s="286"/>
      <c r="O900" s="311">
        <f t="shared" si="280"/>
        <v>14.2994</v>
      </c>
      <c r="P900" s="311">
        <f t="shared" si="280"/>
        <v>35.411960000000001</v>
      </c>
      <c r="Q900" s="285"/>
      <c r="R900" s="278"/>
      <c r="S900" s="278"/>
      <c r="T900" s="278"/>
    </row>
    <row r="901" spans="1:28" s="305" customFormat="1" hidden="1" outlineLevel="1" x14ac:dyDescent="0.25">
      <c r="A901" s="331">
        <v>6.27</v>
      </c>
      <c r="B901" s="279" t="str">
        <f t="shared" si="281"/>
        <v>250-19Z section</v>
      </c>
      <c r="C901" s="278" t="s">
        <v>1449</v>
      </c>
      <c r="D901" s="278"/>
      <c r="E901" s="278" t="s">
        <v>1455</v>
      </c>
      <c r="F901" s="278"/>
      <c r="G901" s="278" t="s">
        <v>15</v>
      </c>
      <c r="H901" s="328">
        <f t="shared" si="256"/>
        <v>8.7779999999999997E-2</v>
      </c>
      <c r="I901" s="280">
        <f t="shared" si="282"/>
        <v>7.0768236</v>
      </c>
      <c r="J901" s="281">
        <f t="shared" si="283"/>
        <v>8.0257254000000007</v>
      </c>
      <c r="K901" s="282">
        <f>IF(Notes!$B$9="Domestic",I901, IF(Notes!$B$9="Commercial",J901))*$K$860</f>
        <v>8.0257254000000007</v>
      </c>
      <c r="L901" s="283">
        <f>(SUM(O901:Q901)+(K901+SUM(M901:Q901))*(INDEX($U$860:$AB$860,MATCH(Notes!$C$16,$U$3:$AB$3,0))-100%))*$L$860</f>
        <v>43.900032000000003</v>
      </c>
      <c r="M901" s="286"/>
      <c r="N901" s="286"/>
      <c r="O901" s="311">
        <f t="shared" si="280"/>
        <v>12.62778</v>
      </c>
      <c r="P901" s="311">
        <f t="shared" si="280"/>
        <v>31.272252000000002</v>
      </c>
      <c r="Q901" s="285"/>
      <c r="R901" s="278"/>
      <c r="S901" s="278"/>
      <c r="T901" s="278"/>
    </row>
    <row r="902" spans="1:28" s="305" customFormat="1" hidden="1" outlineLevel="1" x14ac:dyDescent="0.25">
      <c r="A902" s="331">
        <v>7.87</v>
      </c>
      <c r="B902" s="279" t="str">
        <f t="shared" si="281"/>
        <v>250-24Z section</v>
      </c>
      <c r="C902" s="278" t="s">
        <v>1450</v>
      </c>
      <c r="D902" s="278"/>
      <c r="E902" s="278" t="s">
        <v>1455</v>
      </c>
      <c r="F902" s="278"/>
      <c r="G902" s="278" t="s">
        <v>15</v>
      </c>
      <c r="H902" s="328">
        <f t="shared" si="256"/>
        <v>0.11018</v>
      </c>
      <c r="I902" s="280">
        <f t="shared" si="282"/>
        <v>8.8827116000000004</v>
      </c>
      <c r="J902" s="281">
        <f t="shared" si="283"/>
        <v>10.073757400000002</v>
      </c>
      <c r="K902" s="282">
        <f>IF(Notes!$B$9="Domestic",I902, IF(Notes!$B$9="Commercial",J902))*$K$860</f>
        <v>10.073757400000002</v>
      </c>
      <c r="L902" s="283">
        <f>(SUM(O902:Q902)+(K902+SUM(M902:Q902))*(INDEX($U$860:$AB$860,MATCH(Notes!$C$16,$U$3:$AB$3,0))-100%))*$L$860</f>
        <v>55.102592000000008</v>
      </c>
      <c r="M902" s="286"/>
      <c r="N902" s="286"/>
      <c r="O902" s="311">
        <f t="shared" si="280"/>
        <v>15.85018</v>
      </c>
      <c r="P902" s="311">
        <f t="shared" si="280"/>
        <v>39.252412000000007</v>
      </c>
      <c r="Q902" s="285"/>
      <c r="R902" s="278"/>
      <c r="S902" s="278"/>
      <c r="T902" s="278"/>
    </row>
    <row r="903" spans="1:28" s="305" customFormat="1" hidden="1" outlineLevel="1" x14ac:dyDescent="0.25">
      <c r="A903" s="331">
        <v>10.09</v>
      </c>
      <c r="B903" s="279" t="str">
        <f t="shared" si="281"/>
        <v>300-24Z section</v>
      </c>
      <c r="C903" s="278" t="s">
        <v>1451</v>
      </c>
      <c r="D903" s="278"/>
      <c r="E903" s="278" t="s">
        <v>1455</v>
      </c>
      <c r="F903" s="278"/>
      <c r="G903" s="278" t="s">
        <v>15</v>
      </c>
      <c r="H903" s="328">
        <f t="shared" si="256"/>
        <v>0.14126</v>
      </c>
      <c r="I903" s="280">
        <f t="shared" si="282"/>
        <v>11.3883812</v>
      </c>
      <c r="J903" s="281">
        <f t="shared" si="283"/>
        <v>12.915401800000001</v>
      </c>
      <c r="K903" s="282">
        <f>IF(Notes!$B$9="Domestic",I903, IF(Notes!$B$9="Commercial",J903))*$K$860</f>
        <v>12.915401800000001</v>
      </c>
      <c r="L903" s="283">
        <f>(SUM(O903:Q903)+(K903+SUM(M903:Q903))*(INDEX($U$860:$AB$860,MATCH(Notes!$C$16,$U$3:$AB$3,0))-100%))*$L$860</f>
        <v>70.646144000000007</v>
      </c>
      <c r="M903" s="286"/>
      <c r="N903" s="286"/>
      <c r="O903" s="311">
        <f t="shared" ref="O903:P904" si="284">O$860*$A903/1000</f>
        <v>20.321259999999999</v>
      </c>
      <c r="P903" s="311">
        <f t="shared" si="284"/>
        <v>50.324884000000004</v>
      </c>
      <c r="Q903" s="285"/>
      <c r="R903" s="278"/>
      <c r="S903" s="278"/>
      <c r="T903" s="278"/>
    </row>
    <row r="904" spans="1:28" s="305" customFormat="1" hidden="1" outlineLevel="1" x14ac:dyDescent="0.25">
      <c r="A904" s="331">
        <v>12.76</v>
      </c>
      <c r="B904" s="279" t="str">
        <f t="shared" si="281"/>
        <v>300-30Z section</v>
      </c>
      <c r="C904" s="278" t="s">
        <v>1452</v>
      </c>
      <c r="D904" s="278"/>
      <c r="E904" s="278" t="s">
        <v>1455</v>
      </c>
      <c r="F904" s="278"/>
      <c r="G904" s="278" t="s">
        <v>15</v>
      </c>
      <c r="H904" s="328">
        <f t="shared" si="256"/>
        <v>0.17863999999999999</v>
      </c>
      <c r="I904" s="280">
        <f t="shared" si="282"/>
        <v>14.401956800000001</v>
      </c>
      <c r="J904" s="281">
        <f t="shared" si="283"/>
        <v>16.3330552</v>
      </c>
      <c r="K904" s="282">
        <f>IF(Notes!$B$9="Domestic",I904, IF(Notes!$B$9="Commercial",J904))*$K$860</f>
        <v>16.3330552</v>
      </c>
      <c r="L904" s="283">
        <f>(SUM(O904:Q904)+(K904+SUM(M904:Q904))*(INDEX($U$860:$AB$860,MATCH(Notes!$C$16,$U$3:$AB$3,0))-100%))*$L$860</f>
        <v>89.340416000000005</v>
      </c>
      <c r="M904" s="286"/>
      <c r="N904" s="286"/>
      <c r="O904" s="311">
        <f t="shared" si="284"/>
        <v>25.698640000000001</v>
      </c>
      <c r="P904" s="311">
        <f t="shared" si="284"/>
        <v>63.641776000000007</v>
      </c>
      <c r="Q904" s="285"/>
      <c r="R904" s="278"/>
      <c r="S904" s="278"/>
      <c r="T904" s="278"/>
    </row>
    <row r="905" spans="1:28" s="305" customFormat="1" hidden="1" outlineLevel="1" x14ac:dyDescent="0.25">
      <c r="A905" s="331">
        <v>11.96</v>
      </c>
      <c r="B905" s="279" t="str">
        <f t="shared" si="281"/>
        <v>350-24Z section</v>
      </c>
      <c r="C905" s="278" t="s">
        <v>1463</v>
      </c>
      <c r="D905" s="278"/>
      <c r="E905" s="278" t="s">
        <v>1455</v>
      </c>
      <c r="F905" s="278"/>
      <c r="G905" s="278" t="s">
        <v>15</v>
      </c>
      <c r="H905" s="328">
        <f t="shared" si="256"/>
        <v>0.16744000000000001</v>
      </c>
      <c r="I905" s="280">
        <f t="shared" si="282"/>
        <v>13.499012800000001</v>
      </c>
      <c r="J905" s="281">
        <f t="shared" si="283"/>
        <v>15.309039200000001</v>
      </c>
      <c r="K905" s="282">
        <f>IF(Notes!$B$9="Domestic",I905, IF(Notes!$B$9="Commercial",J905))*$K$860</f>
        <v>15.309039200000001</v>
      </c>
      <c r="L905" s="283">
        <f>(SUM(O905:Q905)+(K905+SUM(M905:Q905))*(INDEX($U$860:$AB$860,MATCH(Notes!$C$16,$U$3:$AB$3,0))-100%))*$L$860</f>
        <v>83.739136000000002</v>
      </c>
      <c r="M905" s="286"/>
      <c r="N905" s="286"/>
      <c r="O905" s="311">
        <f>O$860*$A905/1000</f>
        <v>24.087440000000001</v>
      </c>
      <c r="P905" s="311">
        <f>P$860*$A905/1000</f>
        <v>59.651696000000008</v>
      </c>
      <c r="Q905" s="285"/>
      <c r="R905" s="278"/>
      <c r="S905" s="278"/>
      <c r="T905" s="278"/>
    </row>
    <row r="906" spans="1:28" s="305" customFormat="1" hidden="1" outlineLevel="1" x14ac:dyDescent="0.25">
      <c r="A906" s="331">
        <v>14.99</v>
      </c>
      <c r="B906" s="279" t="str">
        <f t="shared" si="281"/>
        <v>350-30Z section</v>
      </c>
      <c r="C906" s="278" t="s">
        <v>1453</v>
      </c>
      <c r="D906" s="278"/>
      <c r="E906" s="278" t="s">
        <v>1455</v>
      </c>
      <c r="F906" s="278"/>
      <c r="G906" s="278" t="s">
        <v>15</v>
      </c>
      <c r="H906" s="328">
        <f t="shared" si="256"/>
        <v>0.20986000000000002</v>
      </c>
      <c r="I906" s="280">
        <f t="shared" si="282"/>
        <v>16.918913200000002</v>
      </c>
      <c r="J906" s="281">
        <f t="shared" si="283"/>
        <v>19.187499800000005</v>
      </c>
      <c r="K906" s="282">
        <f>IF(Notes!$B$9="Domestic",I906, IF(Notes!$B$9="Commercial",J906))*$K$860</f>
        <v>19.187499800000005</v>
      </c>
      <c r="L906" s="283">
        <f>(SUM(O906:Q906)+(K906+SUM(M906:Q906))*(INDEX($U$860:$AB$860,MATCH(Notes!$C$16,$U$3:$AB$3,0))-100%))*$L$860</f>
        <v>104.95398400000001</v>
      </c>
      <c r="M906" s="286"/>
      <c r="N906" s="286"/>
      <c r="O906" s="311">
        <f t="shared" ref="O906:P910" si="285">O$860*$A906/1000</f>
        <v>30.189859999999999</v>
      </c>
      <c r="P906" s="311">
        <f t="shared" si="285"/>
        <v>74.76412400000001</v>
      </c>
      <c r="Q906" s="285"/>
      <c r="R906" s="278"/>
      <c r="S906" s="278"/>
      <c r="T906" s="278"/>
    </row>
    <row r="907" spans="1:28" s="305" customFormat="1" hidden="1" outlineLevel="1" x14ac:dyDescent="0.25">
      <c r="A907" s="331">
        <v>10.220000000000001</v>
      </c>
      <c r="B907" s="279" t="str">
        <f t="shared" si="281"/>
        <v>400-19Z section</v>
      </c>
      <c r="C907" s="278" t="s">
        <v>1464</v>
      </c>
      <c r="D907" s="278"/>
      <c r="E907" s="278" t="s">
        <v>1455</v>
      </c>
      <c r="F907" s="278"/>
      <c r="G907" s="278" t="s">
        <v>15</v>
      </c>
      <c r="H907" s="328">
        <f t="shared" si="256"/>
        <v>0.14308000000000001</v>
      </c>
      <c r="I907" s="280">
        <f t="shared" si="282"/>
        <v>11.535109600000002</v>
      </c>
      <c r="J907" s="281">
        <f t="shared" si="283"/>
        <v>13.081804400000003</v>
      </c>
      <c r="K907" s="282">
        <f>IF(Notes!$B$9="Domestic",I907, IF(Notes!$B$9="Commercial",J907))*$K$860</f>
        <v>13.081804400000003</v>
      </c>
      <c r="L907" s="283">
        <f>(SUM(O907:Q907)+(K907+SUM(M907:Q907))*(INDEX($U$860:$AB$860,MATCH(Notes!$C$16,$U$3:$AB$3,0))-100%))*$L$860</f>
        <v>71.556352000000004</v>
      </c>
      <c r="M907" s="286"/>
      <c r="N907" s="286"/>
      <c r="O907" s="311">
        <f t="shared" si="285"/>
        <v>20.583080000000002</v>
      </c>
      <c r="P907" s="311">
        <f t="shared" si="285"/>
        <v>50.973272000000001</v>
      </c>
      <c r="Q907" s="285"/>
      <c r="R907" s="278"/>
      <c r="S907" s="278"/>
      <c r="T907" s="278"/>
    </row>
    <row r="908" spans="1:28" s="305" customFormat="1" hidden="1" outlineLevel="1" x14ac:dyDescent="0.25">
      <c r="A908" s="331">
        <v>12.91</v>
      </c>
      <c r="B908" s="279" t="str">
        <f t="shared" si="281"/>
        <v>400-24Z section</v>
      </c>
      <c r="C908" s="278" t="s">
        <v>1465</v>
      </c>
      <c r="D908" s="278"/>
      <c r="E908" s="278" t="s">
        <v>1455</v>
      </c>
      <c r="F908" s="278"/>
      <c r="G908" s="278" t="s">
        <v>15</v>
      </c>
      <c r="H908" s="328">
        <f t="shared" si="256"/>
        <v>0.18074000000000001</v>
      </c>
      <c r="I908" s="280">
        <f t="shared" si="282"/>
        <v>14.571258800000003</v>
      </c>
      <c r="J908" s="281">
        <f t="shared" si="283"/>
        <v>16.525058200000004</v>
      </c>
      <c r="K908" s="282">
        <f>IF(Notes!$B$9="Domestic",I908, IF(Notes!$B$9="Commercial",J908))*$K$860</f>
        <v>16.525058200000004</v>
      </c>
      <c r="L908" s="283">
        <f>(SUM(O908:Q908)+(K908+SUM(M908:Q908))*(INDEX($U$860:$AB$860,MATCH(Notes!$C$16,$U$3:$AB$3,0))-100%))*$L$860</f>
        <v>90.390656000000007</v>
      </c>
      <c r="M908" s="286"/>
      <c r="N908" s="286"/>
      <c r="O908" s="311">
        <f t="shared" si="285"/>
        <v>26.00074</v>
      </c>
      <c r="P908" s="311">
        <f t="shared" si="285"/>
        <v>64.389915999999999</v>
      </c>
      <c r="Q908" s="285"/>
      <c r="R908" s="278"/>
      <c r="S908" s="278"/>
      <c r="T908" s="278"/>
    </row>
    <row r="909" spans="1:28" s="305" customFormat="1" hidden="1" outlineLevel="1" x14ac:dyDescent="0.25">
      <c r="A909" s="331">
        <v>14.99</v>
      </c>
      <c r="B909" s="279" t="str">
        <f t="shared" si="281"/>
        <v>400-30Z section</v>
      </c>
      <c r="C909" s="278" t="s">
        <v>1466</v>
      </c>
      <c r="D909" s="278"/>
      <c r="E909" s="278" t="s">
        <v>1455</v>
      </c>
      <c r="F909" s="278"/>
      <c r="G909" s="278" t="s">
        <v>15</v>
      </c>
      <c r="H909" s="328">
        <f t="shared" si="256"/>
        <v>0.20986000000000002</v>
      </c>
      <c r="I909" s="280">
        <f t="shared" si="282"/>
        <v>16.918913200000002</v>
      </c>
      <c r="J909" s="281">
        <f t="shared" si="283"/>
        <v>19.187499800000005</v>
      </c>
      <c r="K909" s="282">
        <f>IF(Notes!$B$9="Domestic",I909, IF(Notes!$B$9="Commercial",J909))*$K$860</f>
        <v>19.187499800000005</v>
      </c>
      <c r="L909" s="283">
        <f>(SUM(O909:Q909)+(K909+SUM(M909:Q909))*(INDEX($U$860:$AB$860,MATCH(Notes!$C$16,$U$3:$AB$3,0))-100%))*$L$860</f>
        <v>104.95398400000001</v>
      </c>
      <c r="M909" s="286"/>
      <c r="N909" s="286"/>
      <c r="O909" s="311">
        <f t="shared" si="285"/>
        <v>30.189859999999999</v>
      </c>
      <c r="P909" s="311">
        <f t="shared" si="285"/>
        <v>74.76412400000001</v>
      </c>
      <c r="Q909" s="285"/>
      <c r="R909" s="278"/>
      <c r="S909" s="278"/>
      <c r="T909" s="278"/>
    </row>
    <row r="910" spans="1:28" s="305" customFormat="1" hidden="1" outlineLevel="1" x14ac:dyDescent="0.25">
      <c r="A910" s="331">
        <v>17.21</v>
      </c>
      <c r="B910" s="279" t="str">
        <f t="shared" si="281"/>
        <v>400-32Z section</v>
      </c>
      <c r="C910" s="278" t="s">
        <v>1467</v>
      </c>
      <c r="D910" s="278"/>
      <c r="E910" s="278" t="s">
        <v>1455</v>
      </c>
      <c r="F910" s="278"/>
      <c r="G910" s="278" t="s">
        <v>15</v>
      </c>
      <c r="H910" s="328">
        <f t="shared" si="256"/>
        <v>0.24093999999999999</v>
      </c>
      <c r="I910" s="280">
        <f t="shared" si="282"/>
        <v>19.4245828</v>
      </c>
      <c r="J910" s="281">
        <f t="shared" si="283"/>
        <v>22.029144200000001</v>
      </c>
      <c r="K910" s="282">
        <f>IF(Notes!$B$9="Domestic",I910, IF(Notes!$B$9="Commercial",J910))*$K$860</f>
        <v>22.029144200000001</v>
      </c>
      <c r="L910" s="283">
        <f>(SUM(O910:Q910)+(K910+SUM(M910:Q910))*(INDEX($U$860:$AB$860,MATCH(Notes!$C$16,$U$3:$AB$3,0))-100%))*$L$860</f>
        <v>120.497536</v>
      </c>
      <c r="M910" s="286"/>
      <c r="N910" s="286"/>
      <c r="O910" s="311">
        <f t="shared" si="285"/>
        <v>34.660940000000004</v>
      </c>
      <c r="P910" s="311">
        <f t="shared" si="285"/>
        <v>85.836596</v>
      </c>
      <c r="Q910" s="285"/>
      <c r="R910" s="278"/>
      <c r="S910" s="278"/>
      <c r="T910" s="278"/>
    </row>
    <row r="911" spans="1:28" ht="21" hidden="1" outlineLevel="1" x14ac:dyDescent="0.25">
      <c r="A911" s="299" t="s">
        <v>1456</v>
      </c>
      <c r="B911" s="299"/>
      <c r="C911" s="299"/>
      <c r="D911" s="299"/>
      <c r="E911" s="299"/>
      <c r="F911" s="299"/>
      <c r="G911" s="299"/>
      <c r="H911" s="299"/>
      <c r="I911" s="299"/>
      <c r="J911" s="299"/>
      <c r="K911" s="299"/>
      <c r="L911" s="299"/>
      <c r="M911" s="299"/>
      <c r="N911" s="299"/>
      <c r="O911" s="299"/>
      <c r="P911" s="299"/>
      <c r="Q911" s="299"/>
      <c r="R911" s="299"/>
      <c r="S911" s="299"/>
      <c r="T911" s="299"/>
      <c r="U911" s="299"/>
      <c r="V911" s="299"/>
      <c r="W911" s="299"/>
      <c r="X911" s="299"/>
      <c r="Y911" s="299"/>
      <c r="Z911" s="299"/>
      <c r="AA911" s="299"/>
      <c r="AB911" s="299"/>
    </row>
    <row r="912" spans="1:28" ht="15.75" hidden="1" outlineLevel="1" x14ac:dyDescent="0.25">
      <c r="A912" s="303" t="s">
        <v>1044</v>
      </c>
      <c r="B912" s="291"/>
      <c r="C912" s="291"/>
      <c r="D912" s="291"/>
      <c r="E912" s="291"/>
      <c r="F912" s="291"/>
      <c r="G912" s="291"/>
      <c r="H912" s="325">
        <f>7*2*2</f>
        <v>28</v>
      </c>
      <c r="I912" s="291"/>
      <c r="J912" s="291"/>
      <c r="K912" s="291">
        <f>K$2</f>
        <v>1</v>
      </c>
      <c r="L912" s="291">
        <f>L$2</f>
        <v>1</v>
      </c>
      <c r="M912" s="291"/>
      <c r="N912" s="291"/>
      <c r="O912" s="324">
        <f>1900*106%</f>
        <v>2014</v>
      </c>
      <c r="P912" s="324">
        <f>40*$P$2</f>
        <v>4987.6000000000004</v>
      </c>
      <c r="Q912" s="303"/>
      <c r="R912" s="291"/>
      <c r="S912" s="291"/>
      <c r="T912" s="291"/>
      <c r="U912" s="291">
        <f>27.8/28.7</f>
        <v>0.96864111498257843</v>
      </c>
      <c r="V912" s="291">
        <f>28.7/28.7</f>
        <v>1</v>
      </c>
      <c r="W912" s="291">
        <f>28.8/28.7</f>
        <v>1.0034843205574913</v>
      </c>
      <c r="X912" s="291">
        <f>29.3/28.7</f>
        <v>1.0209059233449478</v>
      </c>
      <c r="Y912" s="291">
        <f>31.8/28.7</f>
        <v>1.10801393728223</v>
      </c>
      <c r="Z912" s="291">
        <f>Z860</f>
        <v>1.0112359550561798</v>
      </c>
      <c r="AA912" s="291">
        <f>AA860</f>
        <v>1.0674157303370786</v>
      </c>
      <c r="AB912" s="291">
        <f>AB860</f>
        <v>0.8707865168539326</v>
      </c>
    </row>
    <row r="913" spans="1:28" s="305" customFormat="1" hidden="1" outlineLevel="1" x14ac:dyDescent="0.25">
      <c r="A913" s="331">
        <f t="shared" ref="A913:A914" si="286">4.39*0.9</f>
        <v>3.9509999999999996</v>
      </c>
      <c r="B913" s="279" t="str">
        <f>C913&amp;D913&amp;E913&amp;F913</f>
        <v>100bridging</v>
      </c>
      <c r="C913" s="278">
        <v>100</v>
      </c>
      <c r="D913" s="278"/>
      <c r="E913" s="278" t="s">
        <v>1457</v>
      </c>
      <c r="F913" s="278"/>
      <c r="G913" s="278" t="s">
        <v>15</v>
      </c>
      <c r="H913" s="328">
        <f>$H$912*$A913/1000</f>
        <v>0.11062799999999999</v>
      </c>
      <c r="I913" s="280">
        <f>$I$2*H913</f>
        <v>8.9188293600000002</v>
      </c>
      <c r="J913" s="281">
        <f>$J$2*H913</f>
        <v>10.11471804</v>
      </c>
      <c r="K913" s="282">
        <f>IF(Notes!$B$9="Domestic",I913, IF(Notes!$B$9="Commercial",J913))*$K$912</f>
        <v>10.11471804</v>
      </c>
      <c r="L913" s="283">
        <f>(SUM(O913:Q913)+(K913+SUM(M913:Q913))*(INDEX($U$912:$AB$912,MATCH(Notes!$C$16,$U$3:$AB$3,0))-100%))*$L$912</f>
        <v>27.6633216</v>
      </c>
      <c r="M913" s="286"/>
      <c r="N913" s="286"/>
      <c r="O913" s="311">
        <f>O$912*$A913/1000</f>
        <v>7.9573139999999993</v>
      </c>
      <c r="P913" s="311">
        <f>P$912*$A913/1000</f>
        <v>19.7060076</v>
      </c>
      <c r="Q913" s="285"/>
      <c r="R913" s="278"/>
      <c r="S913" s="278"/>
      <c r="T913" s="278"/>
    </row>
    <row r="914" spans="1:28" s="305" customFormat="1" hidden="1" outlineLevel="1" x14ac:dyDescent="0.25">
      <c r="A914" s="331">
        <f t="shared" si="286"/>
        <v>3.9509999999999996</v>
      </c>
      <c r="B914" s="279" t="str">
        <f t="shared" ref="B914:B918" si="287">C914&amp;D914&amp;E914&amp;F914</f>
        <v>150bridging</v>
      </c>
      <c r="C914" s="278">
        <v>150</v>
      </c>
      <c r="D914" s="278"/>
      <c r="E914" s="278" t="s">
        <v>1457</v>
      </c>
      <c r="F914" s="278"/>
      <c r="G914" s="278" t="s">
        <v>15</v>
      </c>
      <c r="H914" s="328">
        <f t="shared" ref="H914:H918" si="288">$H$912*$A914/1000</f>
        <v>0.11062799999999999</v>
      </c>
      <c r="I914" s="280">
        <f t="shared" ref="I914:I916" si="289">$I$2*H914</f>
        <v>8.9188293600000002</v>
      </c>
      <c r="J914" s="281">
        <f t="shared" ref="J914:J918" si="290">$J$2*H914</f>
        <v>10.11471804</v>
      </c>
      <c r="K914" s="282">
        <f>IF(Notes!$B$9="Domestic",I914, IF(Notes!$B$9="Commercial",J914))*$K$912</f>
        <v>10.11471804</v>
      </c>
      <c r="L914" s="283">
        <f>(SUM(O914:Q914)+(K914+SUM(M914:Q914))*(INDEX($U$912:$AB$912,MATCH(Notes!$C$16,$U$3:$AB$3,0))-100%))*$L$912</f>
        <v>27.6633216</v>
      </c>
      <c r="M914" s="286"/>
      <c r="N914" s="286"/>
      <c r="O914" s="311">
        <f t="shared" ref="O914:P918" si="291">O$912*$A914/1000</f>
        <v>7.9573139999999993</v>
      </c>
      <c r="P914" s="311">
        <f t="shared" si="291"/>
        <v>19.7060076</v>
      </c>
      <c r="Q914" s="285"/>
      <c r="R914" s="278"/>
      <c r="S914" s="278"/>
      <c r="T914" s="278"/>
    </row>
    <row r="915" spans="1:28" s="305" customFormat="1" hidden="1" outlineLevel="1" x14ac:dyDescent="0.25">
      <c r="A915" s="331">
        <f>4.39*0.9</f>
        <v>3.9509999999999996</v>
      </c>
      <c r="B915" s="279" t="str">
        <f t="shared" si="287"/>
        <v>200bridging</v>
      </c>
      <c r="C915" s="278">
        <v>200</v>
      </c>
      <c r="D915" s="278"/>
      <c r="E915" s="278" t="s">
        <v>1457</v>
      </c>
      <c r="F915" s="278"/>
      <c r="G915" s="278" t="s">
        <v>15</v>
      </c>
      <c r="H915" s="328">
        <f t="shared" si="288"/>
        <v>0.11062799999999999</v>
      </c>
      <c r="I915" s="280">
        <f t="shared" si="289"/>
        <v>8.9188293600000002</v>
      </c>
      <c r="J915" s="281">
        <f t="shared" si="290"/>
        <v>10.11471804</v>
      </c>
      <c r="K915" s="282">
        <f>IF(Notes!$B$9="Domestic",I915, IF(Notes!$B$9="Commercial",J915))*$K$912</f>
        <v>10.11471804</v>
      </c>
      <c r="L915" s="283">
        <f>(SUM(O915:Q915)+(K915+SUM(M915:Q915))*(INDEX($U$912:$AB$912,MATCH(Notes!$C$16,$U$3:$AB$3,0))-100%))*$L$912</f>
        <v>27.6633216</v>
      </c>
      <c r="M915" s="286"/>
      <c r="N915" s="286"/>
      <c r="O915" s="311">
        <f t="shared" si="291"/>
        <v>7.9573139999999993</v>
      </c>
      <c r="P915" s="311">
        <f t="shared" si="291"/>
        <v>19.7060076</v>
      </c>
      <c r="Q915" s="285"/>
      <c r="R915" s="278"/>
      <c r="S915" s="278"/>
      <c r="T915" s="278"/>
    </row>
    <row r="916" spans="1:28" s="305" customFormat="1" hidden="1" outlineLevel="1" x14ac:dyDescent="0.25">
      <c r="A916" s="331">
        <f>6.27*0.9</f>
        <v>5.6429999999999998</v>
      </c>
      <c r="B916" s="279" t="str">
        <f t="shared" si="287"/>
        <v>250bridging</v>
      </c>
      <c r="C916" s="278">
        <v>250</v>
      </c>
      <c r="D916" s="278"/>
      <c r="E916" s="278" t="s">
        <v>1457</v>
      </c>
      <c r="F916" s="278"/>
      <c r="G916" s="278" t="s">
        <v>15</v>
      </c>
      <c r="H916" s="328">
        <f t="shared" si="288"/>
        <v>0.15800399999999998</v>
      </c>
      <c r="I916" s="280">
        <f t="shared" si="289"/>
        <v>12.738282479999999</v>
      </c>
      <c r="J916" s="281">
        <f t="shared" si="290"/>
        <v>14.44630572</v>
      </c>
      <c r="K916" s="282">
        <f>IF(Notes!$B$9="Domestic",I916, IF(Notes!$B$9="Commercial",J916))*$K$912</f>
        <v>14.44630572</v>
      </c>
      <c r="L916" s="283">
        <f>(SUM(O916:Q916)+(K916+SUM(M916:Q916))*(INDEX($U$912:$AB$912,MATCH(Notes!$C$16,$U$3:$AB$3,0))-100%))*$L$912</f>
        <v>39.510028800000001</v>
      </c>
      <c r="M916" s="286"/>
      <c r="N916" s="286"/>
      <c r="O916" s="311">
        <f t="shared" si="291"/>
        <v>11.365002</v>
      </c>
      <c r="P916" s="311">
        <f t="shared" si="291"/>
        <v>28.1450268</v>
      </c>
      <c r="Q916" s="285"/>
      <c r="R916" s="278"/>
      <c r="S916" s="278"/>
      <c r="T916" s="278"/>
    </row>
    <row r="917" spans="1:28" s="305" customFormat="1" hidden="1" outlineLevel="1" x14ac:dyDescent="0.25">
      <c r="A917" s="331">
        <f>10.09*0.9</f>
        <v>9.0809999999999995</v>
      </c>
      <c r="B917" s="279" t="str">
        <f t="shared" si="287"/>
        <v>300bridging</v>
      </c>
      <c r="C917" s="278">
        <v>300</v>
      </c>
      <c r="D917" s="278"/>
      <c r="E917" s="278" t="s">
        <v>1457</v>
      </c>
      <c r="F917" s="278"/>
      <c r="G917" s="278" t="s">
        <v>15</v>
      </c>
      <c r="H917" s="328">
        <f t="shared" si="288"/>
        <v>0.25426799999999999</v>
      </c>
      <c r="I917" s="280">
        <f>$I$2*H917</f>
        <v>20.499086160000001</v>
      </c>
      <c r="J917" s="281">
        <f t="shared" si="290"/>
        <v>23.247723240000003</v>
      </c>
      <c r="K917" s="282">
        <f>IF(Notes!$B$9="Domestic",I917, IF(Notes!$B$9="Commercial",J917))*$K$912</f>
        <v>23.247723240000003</v>
      </c>
      <c r="L917" s="283">
        <f>(SUM(O917:Q917)+(K917+SUM(M917:Q917))*(INDEX($U$912:$AB$912,MATCH(Notes!$C$16,$U$3:$AB$3,0))-100%))*$L$912</f>
        <v>63.581529600000003</v>
      </c>
      <c r="M917" s="286"/>
      <c r="N917" s="286"/>
      <c r="O917" s="311">
        <f t="shared" si="291"/>
        <v>18.289133999999997</v>
      </c>
      <c r="P917" s="311">
        <f t="shared" si="291"/>
        <v>45.292395600000006</v>
      </c>
      <c r="Q917" s="285"/>
      <c r="R917" s="278"/>
      <c r="S917" s="278"/>
      <c r="T917" s="278"/>
    </row>
    <row r="918" spans="1:28" s="305" customFormat="1" hidden="1" outlineLevel="1" x14ac:dyDescent="0.25">
      <c r="A918" s="331">
        <f>11.96*0.9</f>
        <v>10.764000000000001</v>
      </c>
      <c r="B918" s="279" t="str">
        <f t="shared" si="287"/>
        <v>350bridging</v>
      </c>
      <c r="C918" s="278">
        <v>350</v>
      </c>
      <c r="D918" s="278"/>
      <c r="E918" s="278" t="s">
        <v>1457</v>
      </c>
      <c r="F918" s="278"/>
      <c r="G918" s="278" t="s">
        <v>15</v>
      </c>
      <c r="H918" s="328">
        <f t="shared" si="288"/>
        <v>0.30139200000000005</v>
      </c>
      <c r="I918" s="280">
        <f t="shared" ref="I918" si="292">$I$2*H918</f>
        <v>24.298223040000007</v>
      </c>
      <c r="J918" s="281">
        <f t="shared" si="290"/>
        <v>27.556270560000005</v>
      </c>
      <c r="K918" s="282">
        <f>IF(Notes!$B$9="Domestic",I918, IF(Notes!$B$9="Commercial",J918))*$K$912</f>
        <v>27.556270560000005</v>
      </c>
      <c r="L918" s="283">
        <f>(SUM(O918:Q918)+(K918+SUM(M918:Q918))*(INDEX($U$912:$AB$912,MATCH(Notes!$C$16,$U$3:$AB$3,0))-100%))*$L$912</f>
        <v>75.365222400000022</v>
      </c>
      <c r="M918" s="286"/>
      <c r="N918" s="286"/>
      <c r="O918" s="311">
        <f t="shared" si="291"/>
        <v>21.678696000000002</v>
      </c>
      <c r="P918" s="311">
        <f t="shared" si="291"/>
        <v>53.686526400000012</v>
      </c>
      <c r="Q918" s="285"/>
      <c r="R918" s="278"/>
      <c r="S918" s="278"/>
      <c r="T918" s="278"/>
    </row>
    <row r="919" spans="1:28" ht="21" hidden="1" outlineLevel="1" x14ac:dyDescent="0.25">
      <c r="A919" s="299" t="s">
        <v>1470</v>
      </c>
      <c r="B919" s="299"/>
      <c r="C919" s="299"/>
      <c r="D919" s="299"/>
      <c r="E919" s="299"/>
      <c r="F919" s="299"/>
      <c r="G919" s="299"/>
      <c r="H919" s="299"/>
      <c r="I919" s="299"/>
      <c r="J919" s="299"/>
      <c r="K919" s="299"/>
      <c r="L919" s="299"/>
      <c r="M919" s="299"/>
      <c r="N919" s="299"/>
      <c r="O919" s="299"/>
      <c r="P919" s="299"/>
      <c r="Q919" s="299"/>
      <c r="R919" s="299"/>
      <c r="S919" s="299"/>
      <c r="T919" s="299"/>
      <c r="U919" s="299"/>
      <c r="V919" s="299"/>
      <c r="W919" s="299"/>
      <c r="X919" s="299"/>
      <c r="Y919" s="299"/>
      <c r="Z919" s="299"/>
      <c r="AA919" s="299"/>
      <c r="AB919" s="299"/>
    </row>
    <row r="920" spans="1:28" ht="15.75" hidden="1" outlineLevel="1" x14ac:dyDescent="0.25">
      <c r="A920" s="291"/>
      <c r="B920" s="291"/>
      <c r="C920" s="291"/>
      <c r="D920" s="291"/>
      <c r="E920" s="291"/>
      <c r="F920" s="291"/>
      <c r="G920" s="291"/>
      <c r="H920" s="291"/>
      <c r="I920" s="291"/>
      <c r="J920" s="291"/>
      <c r="K920" s="291">
        <f>K$2</f>
        <v>1</v>
      </c>
      <c r="L920" s="291">
        <f>L$2</f>
        <v>1</v>
      </c>
      <c r="M920" s="291"/>
      <c r="N920" s="291"/>
      <c r="O920" s="303"/>
      <c r="P920" s="303"/>
      <c r="Q920" s="303"/>
      <c r="R920" s="291"/>
      <c r="S920" s="291"/>
      <c r="T920" s="291"/>
      <c r="U920" s="291">
        <f>545/600</f>
        <v>0.90833333333333333</v>
      </c>
      <c r="V920" s="291">
        <f>600/600</f>
        <v>1</v>
      </c>
      <c r="W920" s="291">
        <f>510/600</f>
        <v>0.85</v>
      </c>
      <c r="X920" s="291">
        <f>495/600</f>
        <v>0.82499999999999996</v>
      </c>
      <c r="Y920" s="291">
        <f>510/600</f>
        <v>0.85</v>
      </c>
      <c r="Z920" s="291">
        <f>725/600</f>
        <v>1.2083333333333333</v>
      </c>
      <c r="AA920" s="291">
        <f>750/600</f>
        <v>1.25</v>
      </c>
      <c r="AB920" s="291">
        <f>540/600</f>
        <v>0.9</v>
      </c>
    </row>
    <row r="921" spans="1:28" s="305" customFormat="1" hidden="1" outlineLevel="1" x14ac:dyDescent="0.25">
      <c r="A921" s="278"/>
      <c r="B921" s="279" t="str">
        <f>C921&amp;D921&amp;E921&amp;F921</f>
        <v>primed</v>
      </c>
      <c r="C921" s="278"/>
      <c r="D921" s="278"/>
      <c r="E921" s="278" t="s">
        <v>1469</v>
      </c>
      <c r="F921" s="278"/>
      <c r="G921" s="278" t="s">
        <v>930</v>
      </c>
      <c r="H921" s="290"/>
      <c r="I921" s="280">
        <f>$I$2*H921</f>
        <v>0</v>
      </c>
      <c r="J921" s="281">
        <f>$J$2*H921</f>
        <v>0</v>
      </c>
      <c r="K921" s="282">
        <f>IF(Notes!$B$9="Domestic",I921, IF(Notes!$B$9="Commercial",J921))*$K$920</f>
        <v>0</v>
      </c>
      <c r="L921" s="283">
        <f>(SUM(O921:Q921)+(K921+SUM(M921:Q921))*(INDEX($U$920:$AB$920,MATCH(Notes!$C$16,$U$3:$AB$3,0))-100%))*$L$920</f>
        <v>600</v>
      </c>
      <c r="M921" s="286"/>
      <c r="N921" s="286"/>
      <c r="O921" s="285">
        <v>600</v>
      </c>
      <c r="P921" s="285"/>
      <c r="Q921" s="285"/>
      <c r="R921" s="278"/>
      <c r="S921" s="278"/>
      <c r="T921" s="278"/>
    </row>
    <row r="922" spans="1:28" ht="21" hidden="1" outlineLevel="1" x14ac:dyDescent="0.25">
      <c r="A922" s="299" t="s">
        <v>1471</v>
      </c>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row>
    <row r="923" spans="1:28" ht="15.75" hidden="1" outlineLevel="1" x14ac:dyDescent="0.25">
      <c r="A923" s="291"/>
      <c r="B923" s="291"/>
      <c r="C923" s="291"/>
      <c r="D923" s="291"/>
      <c r="E923" s="291"/>
      <c r="F923" s="291"/>
      <c r="G923" s="291"/>
      <c r="H923" s="291"/>
      <c r="I923" s="291"/>
      <c r="J923" s="291"/>
      <c r="K923" s="291">
        <f>K$2</f>
        <v>1</v>
      </c>
      <c r="L923" s="291">
        <f>L$2</f>
        <v>1</v>
      </c>
      <c r="M923" s="291"/>
      <c r="N923" s="291"/>
      <c r="O923" s="303"/>
      <c r="P923" s="303"/>
      <c r="Q923" s="303"/>
      <c r="R923" s="291"/>
      <c r="S923" s="291"/>
      <c r="T923" s="291"/>
      <c r="U923" s="291">
        <f>1650/1200</f>
        <v>1.375</v>
      </c>
      <c r="V923" s="291">
        <f>1200/1200</f>
        <v>1</v>
      </c>
      <c r="W923" s="291">
        <f>1600/1200</f>
        <v>1.3333333333333333</v>
      </c>
      <c r="X923" s="291">
        <f>1500/1200</f>
        <v>1.25</v>
      </c>
      <c r="Y923" s="291">
        <f>1630/1200</f>
        <v>1.3583333333333334</v>
      </c>
      <c r="Z923" s="291">
        <f t="shared" ref="Z923" si="293">1650/1200</f>
        <v>1.375</v>
      </c>
      <c r="AA923" s="291">
        <f>1700/1200</f>
        <v>1.4166666666666667</v>
      </c>
      <c r="AB923" s="291">
        <f>1500/1200</f>
        <v>1.25</v>
      </c>
    </row>
    <row r="924" spans="1:28" s="305" customFormat="1" hidden="1" outlineLevel="1" x14ac:dyDescent="0.25">
      <c r="A924" s="278"/>
      <c r="B924" s="279" t="str">
        <f>C924&amp;D924&amp;E924&amp;F924</f>
        <v>HDG</v>
      </c>
      <c r="C924" s="278"/>
      <c r="D924" s="278"/>
      <c r="E924" s="278" t="s">
        <v>1468</v>
      </c>
      <c r="F924" s="278"/>
      <c r="G924" s="278" t="s">
        <v>930</v>
      </c>
      <c r="H924" s="290"/>
      <c r="I924" s="280">
        <f>$I$2*H924</f>
        <v>0</v>
      </c>
      <c r="J924" s="281">
        <f>$J$2*H924</f>
        <v>0</v>
      </c>
      <c r="K924" s="282">
        <f>IF(Notes!$B$9="Domestic",I924, IF(Notes!$B$9="Commercial",J924))*$K$923</f>
        <v>0</v>
      </c>
      <c r="L924" s="283">
        <f>(SUM(O924:Q924)+(K924+SUM(M924:Q924))*(INDEX($U$923:$AB$923,MATCH(Notes!$C$16,$U$3:$AB$3,0))-100%))*$L$923</f>
        <v>1650</v>
      </c>
      <c r="M924" s="286"/>
      <c r="N924" s="286"/>
      <c r="O924" s="285">
        <v>1650</v>
      </c>
      <c r="P924" s="285"/>
      <c r="Q924" s="285"/>
      <c r="R924" s="278"/>
      <c r="S924" s="278"/>
      <c r="T924" s="278"/>
    </row>
    <row r="925" spans="1:28" ht="21" hidden="1" outlineLevel="1" x14ac:dyDescent="0.25">
      <c r="A925" s="299" t="s">
        <v>1862</v>
      </c>
      <c r="B925" s="299"/>
      <c r="C925" s="299"/>
      <c r="D925" s="299"/>
      <c r="E925" s="299"/>
      <c r="F925" s="299"/>
      <c r="G925" s="299"/>
      <c r="H925" s="299"/>
      <c r="I925" s="299"/>
      <c r="J925" s="299"/>
      <c r="K925" s="299"/>
      <c r="L925" s="299"/>
      <c r="M925" s="299"/>
      <c r="N925" s="299"/>
      <c r="O925" s="299"/>
      <c r="P925" s="299"/>
      <c r="Q925" s="299"/>
      <c r="R925" s="299"/>
      <c r="S925" s="299"/>
      <c r="T925" s="299"/>
      <c r="U925" s="299"/>
      <c r="V925" s="299"/>
      <c r="W925" s="299"/>
      <c r="X925" s="299"/>
      <c r="Y925" s="299"/>
      <c r="Z925" s="299"/>
      <c r="AA925" s="299"/>
      <c r="AB925" s="299"/>
    </row>
    <row r="926" spans="1:28" ht="15.75" hidden="1" outlineLevel="1" x14ac:dyDescent="0.25">
      <c r="A926" s="291"/>
      <c r="B926" s="291"/>
      <c r="C926" s="291"/>
      <c r="D926" s="291"/>
      <c r="E926" s="291"/>
      <c r="F926" s="291"/>
      <c r="G926" s="291"/>
      <c r="H926" s="291"/>
      <c r="I926" s="291"/>
      <c r="J926" s="291"/>
      <c r="K926" s="291">
        <f>K$2</f>
        <v>1</v>
      </c>
      <c r="L926" s="291">
        <f>L$2</f>
        <v>1</v>
      </c>
      <c r="M926" s="291"/>
      <c r="N926" s="291"/>
      <c r="O926" s="303"/>
      <c r="P926" s="303"/>
      <c r="Q926" s="303"/>
      <c r="R926" s="291"/>
      <c r="S926" s="291"/>
      <c r="T926" s="291"/>
      <c r="U926" s="291">
        <f>U$2</f>
        <v>1</v>
      </c>
      <c r="V926" s="291">
        <f>V$2</f>
        <v>1</v>
      </c>
      <c r="W926" s="291">
        <f t="shared" ref="W926:AB926" si="294">W$2</f>
        <v>1</v>
      </c>
      <c r="X926" s="291">
        <f t="shared" si="294"/>
        <v>1</v>
      </c>
      <c r="Y926" s="291">
        <f t="shared" si="294"/>
        <v>1</v>
      </c>
      <c r="Z926" s="291">
        <f t="shared" si="294"/>
        <v>1</v>
      </c>
      <c r="AA926" s="291">
        <f t="shared" si="294"/>
        <v>1</v>
      </c>
      <c r="AB926" s="291">
        <f t="shared" si="294"/>
        <v>1</v>
      </c>
    </row>
    <row r="927" spans="1:28" s="305" customFormat="1" hidden="1" outlineLevel="1" x14ac:dyDescent="0.25">
      <c r="A927" s="278"/>
      <c r="B927" s="279" t="str">
        <f>C927&amp;D927&amp;E927&amp;F927</f>
        <v>chemset</v>
      </c>
      <c r="C927" s="278"/>
      <c r="D927" s="278"/>
      <c r="E927" s="278" t="s">
        <v>1863</v>
      </c>
      <c r="F927" s="278"/>
      <c r="G927" s="278" t="s">
        <v>5</v>
      </c>
      <c r="H927" s="290">
        <v>1</v>
      </c>
      <c r="I927" s="280">
        <f>$I$2*H927</f>
        <v>80.62</v>
      </c>
      <c r="J927" s="281">
        <f>$J$2*H927</f>
        <v>91.43</v>
      </c>
      <c r="K927" s="282">
        <f>IF(Notes!$B$9="Domestic",I927, IF(Notes!$B$9="Commercial",J927))*$K$926</f>
        <v>91.43</v>
      </c>
      <c r="L927" s="283">
        <f>(SUM(O927:Q927)+(K927+SUM(M927:Q927))*(INDEX($U$926:$AB$926,MATCH(Notes!$C$16,$U$3:$AB$3,0))-100%))*$L$926</f>
        <v>0</v>
      </c>
      <c r="M927" s="286"/>
      <c r="N927" s="286"/>
      <c r="O927" s="285"/>
      <c r="P927" s="285"/>
      <c r="Q927" s="285"/>
      <c r="R927" s="278"/>
      <c r="S927" s="278"/>
      <c r="T927" s="278"/>
    </row>
    <row r="928" spans="1:28" s="305" customFormat="1" hidden="1" outlineLevel="1" x14ac:dyDescent="0.25">
      <c r="A928" s="278"/>
      <c r="B928" s="279" t="str">
        <f t="shared" ref="B928:B936" si="295">C928&amp;D928&amp;E928&amp;F928</f>
        <v/>
      </c>
      <c r="C928" s="278"/>
      <c r="D928" s="278"/>
      <c r="E928" s="278"/>
      <c r="F928" s="278"/>
      <c r="G928" s="278"/>
      <c r="H928" s="290"/>
      <c r="I928" s="280">
        <f t="shared" ref="I928:I930" si="296">$I$2*H928</f>
        <v>0</v>
      </c>
      <c r="J928" s="281">
        <f t="shared" ref="J928:J936" si="297">$J$2*H928</f>
        <v>0</v>
      </c>
      <c r="K928" s="282">
        <f>IF(Notes!$B$9="Domestic",I928, IF(Notes!$B$9="Commercial",J928))*$K$938</f>
        <v>0</v>
      </c>
      <c r="L928" s="283">
        <f>(SUM(O928:Q928)+(K928+SUM(M928:Q928))*(INDEX($U$938:$AB$938,MATCH(Notes!$C$16,$U$3:$AB$3,0))-100%))*$L$938</f>
        <v>0</v>
      </c>
      <c r="M928" s="286"/>
      <c r="N928" s="286"/>
      <c r="O928" s="285"/>
      <c r="P928" s="285"/>
      <c r="Q928" s="285"/>
      <c r="R928" s="278"/>
      <c r="S928" s="278"/>
      <c r="T928" s="278"/>
    </row>
    <row r="929" spans="1:28" s="305" customFormat="1" hidden="1" outlineLevel="1" x14ac:dyDescent="0.25">
      <c r="A929" s="278"/>
      <c r="B929" s="279" t="str">
        <f t="shared" si="295"/>
        <v/>
      </c>
      <c r="C929" s="278"/>
      <c r="D929" s="278"/>
      <c r="E929" s="278"/>
      <c r="F929" s="278"/>
      <c r="G929" s="278"/>
      <c r="H929" s="290"/>
      <c r="I929" s="280">
        <f t="shared" si="296"/>
        <v>0</v>
      </c>
      <c r="J929" s="281">
        <f t="shared" si="297"/>
        <v>0</v>
      </c>
      <c r="K929" s="282">
        <f>IF(Notes!$B$9="Domestic",I929, IF(Notes!$B$9="Commercial",J929))*$K$938</f>
        <v>0</v>
      </c>
      <c r="L929" s="283">
        <f>(SUM(O929:Q929)+(K929+SUM(M929:Q929))*(INDEX($U$938:$AB$938,MATCH(Notes!$C$16,$U$3:$AB$3,0))-100%))*$L$938</f>
        <v>0</v>
      </c>
      <c r="M929" s="286"/>
      <c r="N929" s="286"/>
      <c r="O929" s="285"/>
      <c r="P929" s="285"/>
      <c r="Q929" s="285"/>
      <c r="R929" s="278"/>
      <c r="S929" s="278"/>
      <c r="T929" s="278"/>
    </row>
    <row r="930" spans="1:28" s="305" customFormat="1" hidden="1" outlineLevel="1" x14ac:dyDescent="0.25">
      <c r="A930" s="278"/>
      <c r="B930" s="279" t="str">
        <f t="shared" si="295"/>
        <v/>
      </c>
      <c r="C930" s="278"/>
      <c r="D930" s="278"/>
      <c r="E930" s="278"/>
      <c r="F930" s="278"/>
      <c r="G930" s="278"/>
      <c r="H930" s="290"/>
      <c r="I930" s="280">
        <f t="shared" si="296"/>
        <v>0</v>
      </c>
      <c r="J930" s="281">
        <f t="shared" si="297"/>
        <v>0</v>
      </c>
      <c r="K930" s="282">
        <f>IF(Notes!$B$9="Domestic",I930, IF(Notes!$B$9="Commercial",J930))*$K$938</f>
        <v>0</v>
      </c>
      <c r="L930" s="283">
        <f>(SUM(O930:Q930)+(K930+SUM(M930:Q930))*(INDEX($U$938:$AB$938,MATCH(Notes!$C$16,$U$3:$AB$3,0))-100%))*$L$938</f>
        <v>0</v>
      </c>
      <c r="M930" s="286"/>
      <c r="N930" s="286"/>
      <c r="O930" s="285"/>
      <c r="P930" s="285"/>
      <c r="Q930" s="285"/>
      <c r="R930" s="278"/>
      <c r="S930" s="278"/>
      <c r="T930" s="278"/>
    </row>
    <row r="931" spans="1:28" s="305" customFormat="1" hidden="1" outlineLevel="1" x14ac:dyDescent="0.25">
      <c r="A931" s="278"/>
      <c r="B931" s="279" t="str">
        <f t="shared" si="295"/>
        <v/>
      </c>
      <c r="C931" s="278"/>
      <c r="D931" s="278"/>
      <c r="E931" s="278"/>
      <c r="F931" s="278"/>
      <c r="G931" s="278"/>
      <c r="H931" s="290"/>
      <c r="I931" s="280">
        <f>$I$2*H931</f>
        <v>0</v>
      </c>
      <c r="J931" s="281">
        <f t="shared" si="297"/>
        <v>0</v>
      </c>
      <c r="K931" s="282">
        <f>IF(Notes!$B$9="Domestic",I931, IF(Notes!$B$9="Commercial",J931))*$K$938</f>
        <v>0</v>
      </c>
      <c r="L931" s="283">
        <f>(SUM(O931:Q931)+(K931+SUM(M931:Q931))*(INDEX($U$938:$AB$938,MATCH(Notes!$C$16,$U$3:$AB$3,0))-100%))*$L$938</f>
        <v>0</v>
      </c>
      <c r="M931" s="286"/>
      <c r="N931" s="286"/>
      <c r="O931" s="285"/>
      <c r="P931" s="285"/>
      <c r="Q931" s="285"/>
      <c r="R931" s="278"/>
      <c r="S931" s="278"/>
      <c r="T931" s="278"/>
    </row>
    <row r="932" spans="1:28" s="305" customFormat="1" hidden="1" outlineLevel="1" x14ac:dyDescent="0.25">
      <c r="A932" s="278"/>
      <c r="B932" s="279" t="str">
        <f t="shared" si="295"/>
        <v/>
      </c>
      <c r="C932" s="278"/>
      <c r="D932" s="278"/>
      <c r="E932" s="278"/>
      <c r="F932" s="278"/>
      <c r="G932" s="278"/>
      <c r="H932" s="290"/>
      <c r="I932" s="280">
        <f t="shared" ref="I932:I936" si="298">$I$2*H932</f>
        <v>0</v>
      </c>
      <c r="J932" s="281">
        <f t="shared" si="297"/>
        <v>0</v>
      </c>
      <c r="K932" s="282">
        <f>IF(Notes!$B$9="Domestic",I932, IF(Notes!$B$9="Commercial",J932))*$K$938</f>
        <v>0</v>
      </c>
      <c r="L932" s="283">
        <f>(SUM(O932:Q932)+(K932+SUM(M932:Q932))*(INDEX($U$938:$AB$938,MATCH(Notes!$C$16,$U$3:$AB$3,0))-100%))*$L$938</f>
        <v>0</v>
      </c>
      <c r="M932" s="286"/>
      <c r="N932" s="286"/>
      <c r="O932" s="285"/>
      <c r="P932" s="285"/>
      <c r="Q932" s="285"/>
      <c r="R932" s="278"/>
      <c r="S932" s="278"/>
      <c r="T932" s="278"/>
    </row>
    <row r="933" spans="1:28" s="305" customFormat="1" hidden="1" outlineLevel="1" x14ac:dyDescent="0.25">
      <c r="A933" s="278"/>
      <c r="B933" s="279" t="str">
        <f t="shared" si="295"/>
        <v/>
      </c>
      <c r="C933" s="278"/>
      <c r="D933" s="278"/>
      <c r="E933" s="278"/>
      <c r="F933" s="278"/>
      <c r="G933" s="278"/>
      <c r="H933" s="290"/>
      <c r="I933" s="280">
        <f t="shared" si="298"/>
        <v>0</v>
      </c>
      <c r="J933" s="281">
        <f t="shared" si="297"/>
        <v>0</v>
      </c>
      <c r="K933" s="282">
        <f>IF(Notes!$B$9="Domestic",I933, IF(Notes!$B$9="Commercial",J933))*$K$938</f>
        <v>0</v>
      </c>
      <c r="L933" s="283">
        <f>(SUM(O933:Q933)+(K933+SUM(M933:Q933))*(INDEX($U$938:$AB$938,MATCH(Notes!$C$16,$U$3:$AB$3,0))-100%))*$L$938</f>
        <v>0</v>
      </c>
      <c r="M933" s="286"/>
      <c r="N933" s="286"/>
      <c r="O933" s="285"/>
      <c r="P933" s="285"/>
      <c r="Q933" s="285"/>
      <c r="R933" s="278"/>
      <c r="S933" s="278"/>
      <c r="T933" s="278"/>
    </row>
    <row r="934" spans="1:28" s="305" customFormat="1" hidden="1" outlineLevel="1" x14ac:dyDescent="0.25">
      <c r="A934" s="278"/>
      <c r="B934" s="279" t="str">
        <f t="shared" si="295"/>
        <v/>
      </c>
      <c r="C934" s="278"/>
      <c r="D934" s="278"/>
      <c r="E934" s="278"/>
      <c r="F934" s="278"/>
      <c r="G934" s="278"/>
      <c r="H934" s="290"/>
      <c r="I934" s="280">
        <f t="shared" si="298"/>
        <v>0</v>
      </c>
      <c r="J934" s="281">
        <f t="shared" si="297"/>
        <v>0</v>
      </c>
      <c r="K934" s="282">
        <f>IF(Notes!$B$9="Domestic",I934, IF(Notes!$B$9="Commercial",J934))*$K$938</f>
        <v>0</v>
      </c>
      <c r="L934" s="283">
        <f>(SUM(O934:Q934)+(K934+SUM(M934:Q934))*(INDEX($U$938:$AB$938,MATCH(Notes!$C$16,$U$3:$AB$3,0))-100%))*$L$938</f>
        <v>0</v>
      </c>
      <c r="M934" s="286"/>
      <c r="N934" s="286"/>
      <c r="O934" s="285"/>
      <c r="P934" s="285"/>
      <c r="Q934" s="285"/>
      <c r="R934" s="278"/>
      <c r="S934" s="278"/>
      <c r="T934" s="278"/>
    </row>
    <row r="935" spans="1:28" s="305" customFormat="1" hidden="1" outlineLevel="1" x14ac:dyDescent="0.25">
      <c r="A935" s="278"/>
      <c r="B935" s="279" t="str">
        <f t="shared" si="295"/>
        <v/>
      </c>
      <c r="C935" s="278"/>
      <c r="D935" s="278"/>
      <c r="E935" s="278"/>
      <c r="F935" s="278"/>
      <c r="G935" s="278"/>
      <c r="H935" s="290"/>
      <c r="I935" s="280">
        <f t="shared" si="298"/>
        <v>0</v>
      </c>
      <c r="J935" s="281">
        <f t="shared" si="297"/>
        <v>0</v>
      </c>
      <c r="K935" s="282">
        <f>IF(Notes!$B$9="Domestic",I935, IF(Notes!$B$9="Commercial",J935))*$K$938</f>
        <v>0</v>
      </c>
      <c r="L935" s="283">
        <f>(SUM(O935:Q935)+(K935+SUM(M935:Q935))*(INDEX($U$938:$AB$938,MATCH(Notes!$C$16,$U$3:$AB$3,0))-100%))*$L$938</f>
        <v>0</v>
      </c>
      <c r="M935" s="286"/>
      <c r="N935" s="286"/>
      <c r="O935" s="285"/>
      <c r="P935" s="285"/>
      <c r="Q935" s="285"/>
      <c r="R935" s="278"/>
      <c r="S935" s="278"/>
      <c r="T935" s="278"/>
    </row>
    <row r="936" spans="1:28" s="305" customFormat="1" hidden="1" outlineLevel="1" x14ac:dyDescent="0.25">
      <c r="A936" s="278"/>
      <c r="B936" s="279" t="str">
        <f t="shared" si="295"/>
        <v/>
      </c>
      <c r="C936" s="278"/>
      <c r="D936" s="278"/>
      <c r="E936" s="278"/>
      <c r="F936" s="278"/>
      <c r="G936" s="278"/>
      <c r="H936" s="290"/>
      <c r="I936" s="280">
        <f t="shared" si="298"/>
        <v>0</v>
      </c>
      <c r="J936" s="281">
        <f t="shared" si="297"/>
        <v>0</v>
      </c>
      <c r="K936" s="282">
        <f>IF(Notes!$B$9="Domestic",I936, IF(Notes!$B$9="Commercial",J936))*$K$938</f>
        <v>0</v>
      </c>
      <c r="L936" s="283">
        <f>(SUM(O936:Q936)+(K936+SUM(M936:Q936))*(INDEX($U$938:$AB$938,MATCH(Notes!$C$16,$U$3:$AB$3,0))-100%))*$L$938</f>
        <v>0</v>
      </c>
      <c r="M936" s="286"/>
      <c r="N936" s="286"/>
      <c r="O936" s="285"/>
      <c r="P936" s="285"/>
      <c r="Q936" s="285"/>
      <c r="R936" s="278"/>
      <c r="S936" s="278"/>
      <c r="T936" s="278"/>
    </row>
    <row r="937" spans="1:28" ht="21" hidden="1" outlineLevel="1" x14ac:dyDescent="0.25">
      <c r="A937" s="299"/>
      <c r="B937" s="299"/>
      <c r="C937" s="299"/>
      <c r="D937" s="299"/>
      <c r="E937" s="299"/>
      <c r="F937" s="299"/>
      <c r="G937" s="299"/>
      <c r="H937" s="299"/>
      <c r="I937" s="299"/>
      <c r="J937" s="299"/>
      <c r="K937" s="299"/>
      <c r="L937" s="299"/>
      <c r="M937" s="299"/>
      <c r="N937" s="299"/>
      <c r="O937" s="299"/>
      <c r="P937" s="299"/>
      <c r="Q937" s="299"/>
      <c r="R937" s="299"/>
      <c r="S937" s="299"/>
      <c r="T937" s="299"/>
      <c r="U937" s="299"/>
      <c r="V937" s="299"/>
      <c r="W937" s="299"/>
      <c r="X937" s="299"/>
      <c r="Y937" s="299"/>
      <c r="Z937" s="299"/>
      <c r="AA937" s="299"/>
      <c r="AB937" s="299"/>
    </row>
    <row r="938" spans="1:28" ht="15.75" hidden="1" outlineLevel="1" x14ac:dyDescent="0.25">
      <c r="A938" s="291"/>
      <c r="B938" s="291"/>
      <c r="C938" s="291"/>
      <c r="D938" s="291"/>
      <c r="E938" s="291"/>
      <c r="F938" s="291"/>
      <c r="G938" s="291"/>
      <c r="H938" s="291"/>
      <c r="I938" s="291"/>
      <c r="J938" s="291"/>
      <c r="K938" s="291">
        <f>K$2</f>
        <v>1</v>
      </c>
      <c r="L938" s="291">
        <f>L$2</f>
        <v>1</v>
      </c>
      <c r="M938" s="291"/>
      <c r="N938" s="291"/>
      <c r="O938" s="303"/>
      <c r="P938" s="303"/>
      <c r="Q938" s="303"/>
      <c r="R938" s="291"/>
      <c r="S938" s="291"/>
      <c r="T938" s="291"/>
      <c r="U938" s="291">
        <f>U$2</f>
        <v>1</v>
      </c>
      <c r="V938" s="291">
        <f>V$2</f>
        <v>1</v>
      </c>
      <c r="W938" s="291">
        <f t="shared" ref="W938:AB938" si="299">W$2</f>
        <v>1</v>
      </c>
      <c r="X938" s="291">
        <f t="shared" si="299"/>
        <v>1</v>
      </c>
      <c r="Y938" s="291">
        <f t="shared" si="299"/>
        <v>1</v>
      </c>
      <c r="Z938" s="291">
        <f t="shared" si="299"/>
        <v>1</v>
      </c>
      <c r="AA938" s="291">
        <f t="shared" si="299"/>
        <v>1</v>
      </c>
      <c r="AB938" s="291">
        <f t="shared" si="299"/>
        <v>1</v>
      </c>
    </row>
    <row r="939" spans="1:28" s="305" customFormat="1" hidden="1" outlineLevel="1" x14ac:dyDescent="0.25">
      <c r="A939" s="278"/>
      <c r="B939" s="279" t="str">
        <f>C939&amp;D939&amp;E939&amp;F939</f>
        <v/>
      </c>
      <c r="C939" s="278"/>
      <c r="D939" s="278"/>
      <c r="E939" s="278"/>
      <c r="F939" s="278"/>
      <c r="G939" s="278"/>
      <c r="H939" s="290"/>
      <c r="I939" s="280">
        <f>$I$2*H939</f>
        <v>0</v>
      </c>
      <c r="J939" s="281">
        <f>$J$2*H939</f>
        <v>0</v>
      </c>
      <c r="K939" s="282">
        <f>IF(Notes!$B$9="Domestic",I939, IF(Notes!$B$9="Commercial",J939))*$K$938</f>
        <v>0</v>
      </c>
      <c r="L939" s="283">
        <f>(SUM(O939:Q939)+(K939+SUM(M939:Q939))*(INDEX($U$938:$AB$938,MATCH(Notes!$C$16,$U$3:$AB$3,0))-100%))*$L$938</f>
        <v>0</v>
      </c>
      <c r="M939" s="286"/>
      <c r="N939" s="286"/>
      <c r="O939" s="285"/>
      <c r="P939" s="285"/>
      <c r="Q939" s="285"/>
      <c r="R939" s="278"/>
      <c r="S939" s="278"/>
      <c r="T939" s="278"/>
    </row>
    <row r="940" spans="1:28" s="305" customFormat="1" hidden="1" outlineLevel="1" x14ac:dyDescent="0.25">
      <c r="A940" s="278"/>
      <c r="B940" s="279" t="str">
        <f t="shared" ref="B940:B948" si="300">C940&amp;D940&amp;E940&amp;F940</f>
        <v/>
      </c>
      <c r="C940" s="278"/>
      <c r="D940" s="278"/>
      <c r="E940" s="278"/>
      <c r="F940" s="278"/>
      <c r="G940" s="278"/>
      <c r="H940" s="290"/>
      <c r="I940" s="280">
        <f t="shared" ref="I940:I948" si="301">$I$2*H940</f>
        <v>0</v>
      </c>
      <c r="J940" s="281">
        <f t="shared" ref="J940:J948" si="302">$J$2*H940</f>
        <v>0</v>
      </c>
      <c r="K940" s="282">
        <f>IF(Notes!$B$9="Domestic",I940, IF(Notes!$B$9="Commercial",J940))*$K$938</f>
        <v>0</v>
      </c>
      <c r="L940" s="283">
        <f>(SUM(O940:Q940)+(K940+SUM(M940:Q940))*(INDEX($U$938:$AB$938,MATCH(Notes!$C$16,$U$3:$AB$3,0))-100%))*$L$938</f>
        <v>0</v>
      </c>
      <c r="M940" s="286"/>
      <c r="N940" s="286"/>
      <c r="O940" s="285"/>
      <c r="P940" s="285"/>
      <c r="Q940" s="285"/>
      <c r="R940" s="278"/>
      <c r="S940" s="278"/>
      <c r="T940" s="278"/>
    </row>
    <row r="941" spans="1:28" s="305" customFormat="1" hidden="1" outlineLevel="1" x14ac:dyDescent="0.25">
      <c r="A941" s="278"/>
      <c r="B941" s="279" t="str">
        <f t="shared" si="300"/>
        <v/>
      </c>
      <c r="C941" s="278"/>
      <c r="D941" s="278"/>
      <c r="E941" s="278"/>
      <c r="F941" s="278"/>
      <c r="G941" s="278"/>
      <c r="H941" s="290"/>
      <c r="I941" s="280">
        <f t="shared" si="301"/>
        <v>0</v>
      </c>
      <c r="J941" s="281">
        <f t="shared" si="302"/>
        <v>0</v>
      </c>
      <c r="K941" s="282">
        <f>IF(Notes!$B$9="Domestic",I941, IF(Notes!$B$9="Commercial",J941))*$K$938</f>
        <v>0</v>
      </c>
      <c r="L941" s="283">
        <f>(SUM(O941:Q941)+(K941+SUM(M941:Q941))*(INDEX($U$938:$AB$938,MATCH(Notes!$C$16,$U$3:$AB$3,0))-100%))*$L$938</f>
        <v>0</v>
      </c>
      <c r="M941" s="286"/>
      <c r="N941" s="286"/>
      <c r="O941" s="285"/>
      <c r="P941" s="285"/>
      <c r="Q941" s="285"/>
      <c r="R941" s="278"/>
      <c r="S941" s="278"/>
      <c r="T941" s="278"/>
    </row>
    <row r="942" spans="1:28" s="305" customFormat="1" hidden="1" outlineLevel="1" x14ac:dyDescent="0.25">
      <c r="A942" s="278"/>
      <c r="B942" s="279" t="str">
        <f t="shared" si="300"/>
        <v/>
      </c>
      <c r="C942" s="278"/>
      <c r="D942" s="278"/>
      <c r="E942" s="278"/>
      <c r="F942" s="278"/>
      <c r="G942" s="278"/>
      <c r="H942" s="290"/>
      <c r="I942" s="280">
        <f t="shared" si="301"/>
        <v>0</v>
      </c>
      <c r="J942" s="281">
        <f t="shared" si="302"/>
        <v>0</v>
      </c>
      <c r="K942" s="282">
        <f>IF(Notes!$B$9="Domestic",I942, IF(Notes!$B$9="Commercial",J942))*$K$938</f>
        <v>0</v>
      </c>
      <c r="L942" s="283">
        <f>(SUM(O942:Q942)+(K942+SUM(M942:Q942))*(INDEX($U$938:$AB$938,MATCH(Notes!$C$16,$U$3:$AB$3,0))-100%))*$L$938</f>
        <v>0</v>
      </c>
      <c r="M942" s="286"/>
      <c r="N942" s="286"/>
      <c r="O942" s="285"/>
      <c r="P942" s="285"/>
      <c r="Q942" s="285"/>
      <c r="R942" s="278"/>
      <c r="S942" s="278"/>
      <c r="T942" s="278"/>
    </row>
    <row r="943" spans="1:28" s="305" customFormat="1" hidden="1" outlineLevel="1" x14ac:dyDescent="0.25">
      <c r="A943" s="278"/>
      <c r="B943" s="279" t="str">
        <f t="shared" si="300"/>
        <v/>
      </c>
      <c r="C943" s="278"/>
      <c r="D943" s="278"/>
      <c r="E943" s="278"/>
      <c r="F943" s="278"/>
      <c r="G943" s="278"/>
      <c r="H943" s="290"/>
      <c r="I943" s="280">
        <f>$I$2*H943</f>
        <v>0</v>
      </c>
      <c r="J943" s="281">
        <f t="shared" si="302"/>
        <v>0</v>
      </c>
      <c r="K943" s="282">
        <f>IF(Notes!$B$9="Domestic",I943, IF(Notes!$B$9="Commercial",J943))*$K$938</f>
        <v>0</v>
      </c>
      <c r="L943" s="283">
        <f>(SUM(O943:Q943)+(K943+SUM(M943:Q943))*(INDEX($U$938:$AB$938,MATCH(Notes!$C$16,$U$3:$AB$3,0))-100%))*$L$938</f>
        <v>0</v>
      </c>
      <c r="M943" s="286"/>
      <c r="N943" s="286"/>
      <c r="O943" s="285"/>
      <c r="P943" s="285"/>
      <c r="Q943" s="285"/>
      <c r="R943" s="278"/>
      <c r="S943" s="278"/>
      <c r="T943" s="278"/>
    </row>
    <row r="944" spans="1:28" s="305" customFormat="1" hidden="1" outlineLevel="1" x14ac:dyDescent="0.25">
      <c r="A944" s="278"/>
      <c r="B944" s="279" t="str">
        <f t="shared" si="300"/>
        <v/>
      </c>
      <c r="C944" s="278"/>
      <c r="D944" s="278"/>
      <c r="E944" s="278"/>
      <c r="F944" s="278"/>
      <c r="G944" s="278"/>
      <c r="H944" s="290"/>
      <c r="I944" s="280">
        <f t="shared" si="301"/>
        <v>0</v>
      </c>
      <c r="J944" s="281">
        <f t="shared" si="302"/>
        <v>0</v>
      </c>
      <c r="K944" s="282">
        <f>IF(Notes!$B$9="Domestic",I944, IF(Notes!$B$9="Commercial",J944))*$K$938</f>
        <v>0</v>
      </c>
      <c r="L944" s="283">
        <f>(SUM(O944:Q944)+(K944+SUM(M944:Q944))*(INDEX($U$938:$AB$938,MATCH(Notes!$C$16,$U$3:$AB$3,0))-100%))*$L$938</f>
        <v>0</v>
      </c>
      <c r="M944" s="286"/>
      <c r="N944" s="286"/>
      <c r="O944" s="285"/>
      <c r="P944" s="285"/>
      <c r="Q944" s="285"/>
      <c r="R944" s="278"/>
      <c r="S944" s="278"/>
      <c r="T944" s="278"/>
    </row>
    <row r="945" spans="1:20" s="305" customFormat="1" hidden="1" outlineLevel="1" x14ac:dyDescent="0.25">
      <c r="A945" s="278"/>
      <c r="B945" s="279" t="str">
        <f t="shared" si="300"/>
        <v/>
      </c>
      <c r="C945" s="278"/>
      <c r="D945" s="278"/>
      <c r="E945" s="278"/>
      <c r="F945" s="278"/>
      <c r="G945" s="278"/>
      <c r="H945" s="290"/>
      <c r="I945" s="280">
        <f t="shared" si="301"/>
        <v>0</v>
      </c>
      <c r="J945" s="281">
        <f t="shared" si="302"/>
        <v>0</v>
      </c>
      <c r="K945" s="282">
        <f>IF(Notes!$B$9="Domestic",I945, IF(Notes!$B$9="Commercial",J945))*$K$938</f>
        <v>0</v>
      </c>
      <c r="L945" s="283">
        <f>(SUM(O945:Q945)+(K945+SUM(M945:Q945))*(INDEX($U$938:$AB$938,MATCH(Notes!$C$16,$U$3:$AB$3,0))-100%))*$L$938</f>
        <v>0</v>
      </c>
      <c r="M945" s="286"/>
      <c r="N945" s="286"/>
      <c r="O945" s="285"/>
      <c r="P945" s="285"/>
      <c r="Q945" s="285"/>
      <c r="R945" s="278"/>
      <c r="S945" s="278"/>
      <c r="T945" s="278"/>
    </row>
    <row r="946" spans="1:20" s="305" customFormat="1" hidden="1" outlineLevel="1" x14ac:dyDescent="0.25">
      <c r="A946" s="278"/>
      <c r="B946" s="279" t="str">
        <f t="shared" si="300"/>
        <v/>
      </c>
      <c r="C946" s="278"/>
      <c r="D946" s="278"/>
      <c r="E946" s="278"/>
      <c r="F946" s="278"/>
      <c r="G946" s="278"/>
      <c r="H946" s="290"/>
      <c r="I946" s="280">
        <f t="shared" si="301"/>
        <v>0</v>
      </c>
      <c r="J946" s="281">
        <f t="shared" si="302"/>
        <v>0</v>
      </c>
      <c r="K946" s="282">
        <f>IF(Notes!$B$9="Domestic",I946, IF(Notes!$B$9="Commercial",J946))*$K$938</f>
        <v>0</v>
      </c>
      <c r="L946" s="283">
        <f>(SUM(O946:Q946)+(K946+SUM(M946:Q946))*(INDEX($U$938:$AB$938,MATCH(Notes!$C$16,$U$3:$AB$3,0))-100%))*$L$938</f>
        <v>0</v>
      </c>
      <c r="M946" s="286"/>
      <c r="N946" s="286"/>
      <c r="O946" s="285"/>
      <c r="P946" s="285"/>
      <c r="Q946" s="285"/>
      <c r="R946" s="278"/>
      <c r="S946" s="278"/>
      <c r="T946" s="278"/>
    </row>
    <row r="947" spans="1:20" s="305" customFormat="1" hidden="1" outlineLevel="1" x14ac:dyDescent="0.25">
      <c r="A947" s="278"/>
      <c r="B947" s="279" t="str">
        <f t="shared" si="300"/>
        <v/>
      </c>
      <c r="C947" s="278"/>
      <c r="D947" s="278"/>
      <c r="E947" s="278"/>
      <c r="F947" s="278"/>
      <c r="G947" s="278"/>
      <c r="H947" s="290"/>
      <c r="I947" s="280">
        <f t="shared" si="301"/>
        <v>0</v>
      </c>
      <c r="J947" s="281">
        <f t="shared" si="302"/>
        <v>0</v>
      </c>
      <c r="K947" s="282">
        <f>IF(Notes!$B$9="Domestic",I947, IF(Notes!$B$9="Commercial",J947))*$K$938</f>
        <v>0</v>
      </c>
      <c r="L947" s="283">
        <f>(SUM(O947:Q947)+(K947+SUM(M947:Q947))*(INDEX($U$938:$AB$938,MATCH(Notes!$C$16,$U$3:$AB$3,0))-100%))*$L$938</f>
        <v>0</v>
      </c>
      <c r="M947" s="286"/>
      <c r="N947" s="286"/>
      <c r="O947" s="285"/>
      <c r="P947" s="285"/>
      <c r="Q947" s="285"/>
      <c r="R947" s="278"/>
      <c r="S947" s="278"/>
      <c r="T947" s="278"/>
    </row>
    <row r="948" spans="1:20" s="305" customFormat="1" hidden="1" outlineLevel="1" x14ac:dyDescent="0.25">
      <c r="A948" s="278"/>
      <c r="B948" s="279" t="str">
        <f t="shared" si="300"/>
        <v/>
      </c>
      <c r="C948" s="278"/>
      <c r="D948" s="278"/>
      <c r="E948" s="278"/>
      <c r="F948" s="278"/>
      <c r="G948" s="278"/>
      <c r="H948" s="290"/>
      <c r="I948" s="280">
        <f t="shared" si="301"/>
        <v>0</v>
      </c>
      <c r="J948" s="281">
        <f t="shared" si="302"/>
        <v>0</v>
      </c>
      <c r="K948" s="282">
        <f>IF(Notes!$B$9="Domestic",I948, IF(Notes!$B$9="Commercial",J948))*$K$938</f>
        <v>0</v>
      </c>
      <c r="L948" s="283">
        <f>(SUM(O948:Q948)+(K948+SUM(M948:Q948))*(INDEX($U$938:$AB$938,MATCH(Notes!$C$16,$U$3:$AB$3,0))-100%))*$L$938</f>
        <v>0</v>
      </c>
      <c r="M948" s="286"/>
      <c r="N948" s="286"/>
      <c r="O948" s="285"/>
      <c r="P948" s="285"/>
      <c r="Q948" s="285"/>
      <c r="R948" s="278"/>
      <c r="S948" s="278"/>
      <c r="T948" s="278"/>
    </row>
    <row r="949" spans="1:20" hidden="1" outlineLevel="1" x14ac:dyDescent="0.25">
      <c r="A949" s="284" t="str">
        <f>C949&amp;D949&amp;E949</f>
        <v/>
      </c>
      <c r="B949" s="284"/>
      <c r="C949" s="284"/>
      <c r="D949" s="284"/>
      <c r="E949" s="284"/>
      <c r="F949" s="284"/>
      <c r="G949" s="284"/>
      <c r="H949" s="284"/>
      <c r="I949" s="284"/>
      <c r="J949" s="284"/>
      <c r="K949" s="284"/>
      <c r="L949" s="284"/>
      <c r="M949" s="284"/>
      <c r="N949" s="284"/>
      <c r="O949" s="284"/>
      <c r="P949" s="284"/>
      <c r="Q949" s="284"/>
      <c r="R949" s="284"/>
      <c r="S949" s="284"/>
      <c r="T949" s="284"/>
    </row>
    <row r="950" spans="1:20" hidden="1" outlineLevel="1" x14ac:dyDescent="0.25"/>
    <row r="951" spans="1:20" hidden="1" outlineLevel="1" x14ac:dyDescent="0.25"/>
    <row r="952" spans="1:20" collapsed="1" x14ac:dyDescent="0.25"/>
  </sheetData>
  <sheetProtection algorithmName="SHA-512" hashValue="8lQJcDbWCVFIrVHS1QAtGS4HWhKQRm4WVX2ya7356I86TwCSH2WibTizyhjHrCohJIy3sfASnJqwMfblBYCqIQ==" saltValue="dHcd3zJSnQda+eQZ411feQ==" spinCount="100000" sheet="1" objects="1" scenarios="1"/>
  <mergeCells count="1">
    <mergeCell ref="I1:J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00B050"/>
  </sheetPr>
  <dimension ref="A1:S241"/>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60.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'Structural Steel'!A2+1</f>
        <v>15</v>
      </c>
      <c r="B2" s="73" t="s" cm="1">
        <v>2452</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15.01</v>
      </c>
      <c r="B3" s="27" t="s">
        <v>136</v>
      </c>
      <c r="C3" s="97">
        <v>3.2600000000000016</v>
      </c>
      <c r="D3" s="29" t="s">
        <v>15</v>
      </c>
      <c r="E3" s="85"/>
      <c r="F3" s="86">
        <f>IF(E3="inc",0,IF(C3="",0,C3*E3))</f>
        <v>0</v>
      </c>
      <c r="G3" s="208"/>
      <c r="H3" s="30"/>
      <c r="I3" s="30"/>
      <c r="J3" s="30"/>
      <c r="K3" s="30"/>
      <c r="L3" s="30"/>
      <c r="M3" s="87" t="s">
        <v>2427</v>
      </c>
      <c r="N3" s="88"/>
      <c r="O3" s="25"/>
      <c r="P3" s="25"/>
      <c r="Q3" s="25"/>
      <c r="R3" s="25"/>
      <c r="S3" s="25"/>
    </row>
    <row r="4" spans="1:19" s="94" customFormat="1" ht="15.75" x14ac:dyDescent="0.25">
      <c r="A4" s="24"/>
      <c r="B4" s="24" t="s">
        <v>211</v>
      </c>
      <c r="C4" s="32">
        <v>3.2600000000000016</v>
      </c>
      <c r="D4" s="32" t="s">
        <v>15</v>
      </c>
      <c r="E4" s="26"/>
      <c r="F4" s="33"/>
      <c r="G4" s="210"/>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90" customFormat="1" ht="18.75" x14ac:dyDescent="0.25">
      <c r="A6" s="82">
        <f ca="1">IF(C6&gt;0,MAX($A$1:OFFSET(A6,-1,0))+0.01,"")</f>
        <v>15.02</v>
      </c>
      <c r="B6" s="27" t="s">
        <v>2403</v>
      </c>
      <c r="C6" s="98">
        <v>21.815999999999999</v>
      </c>
      <c r="D6" s="29" t="s">
        <v>15</v>
      </c>
      <c r="E6" s="85"/>
      <c r="F6" s="86">
        <f>IF(E6="inc",0,IF(C6="",0,C6*E6))</f>
        <v>0</v>
      </c>
      <c r="G6" s="208"/>
      <c r="H6" s="30"/>
      <c r="I6" s="30"/>
      <c r="J6" s="30"/>
      <c r="K6" s="30"/>
      <c r="L6" s="30"/>
      <c r="M6" s="87" t="s">
        <v>2427</v>
      </c>
      <c r="N6" s="88"/>
      <c r="O6" s="25"/>
      <c r="P6" s="25"/>
      <c r="Q6" s="25"/>
      <c r="R6" s="25"/>
      <c r="S6" s="25"/>
    </row>
    <row r="7" spans="1:19" s="94" customFormat="1" ht="15.75" x14ac:dyDescent="0.25">
      <c r="A7" s="24"/>
      <c r="B7" s="24"/>
      <c r="C7" s="32">
        <v>21.815999999999999</v>
      </c>
      <c r="D7" s="32" t="s">
        <v>15</v>
      </c>
      <c r="E7" s="26"/>
      <c r="F7" s="33"/>
      <c r="G7" s="208"/>
      <c r="H7" s="26"/>
      <c r="I7" s="26"/>
      <c r="J7" s="26"/>
      <c r="K7" s="26"/>
      <c r="L7" s="26"/>
      <c r="M7" s="34"/>
      <c r="N7" s="32"/>
      <c r="O7" s="44"/>
    </row>
    <row r="8" spans="1:19" s="94" customFormat="1" ht="15.75" x14ac:dyDescent="0.25">
      <c r="A8" s="24"/>
      <c r="B8" s="24"/>
      <c r="C8" s="32" t="s">
        <v>2346</v>
      </c>
      <c r="D8" s="32">
        <v>0</v>
      </c>
      <c r="E8" s="26"/>
      <c r="F8" s="33"/>
      <c r="G8" s="210"/>
      <c r="H8" s="26"/>
      <c r="I8" s="26"/>
      <c r="J8" s="26"/>
      <c r="K8" s="26"/>
      <c r="L8" s="26"/>
      <c r="M8" s="34"/>
      <c r="N8" s="32"/>
      <c r="O8" s="44"/>
    </row>
    <row r="9" spans="1:19" s="79" customFormat="1" ht="21.75" thickBot="1" x14ac:dyDescent="0.4">
      <c r="A9" s="99"/>
      <c r="B9" s="394" t="s">
        <v>4</v>
      </c>
      <c r="C9" s="395"/>
      <c r="D9" s="396"/>
      <c r="E9" s="100"/>
      <c r="F9" s="101">
        <f ca="1">SUM(F$2:OFFSET(F9,-1,0))</f>
        <v>0</v>
      </c>
      <c r="G9" s="210"/>
      <c r="H9" s="100"/>
      <c r="I9" s="100"/>
      <c r="J9" s="100"/>
      <c r="K9" s="100"/>
      <c r="L9" s="100"/>
      <c r="M9" s="102"/>
      <c r="N9" s="103"/>
    </row>
    <row r="10" spans="1:19" s="94" customFormat="1" ht="18.75" x14ac:dyDescent="0.25">
      <c r="A10" s="105"/>
      <c r="B10" s="25"/>
      <c r="C10" s="106"/>
      <c r="D10" s="32"/>
      <c r="E10" s="92"/>
      <c r="F10" s="107"/>
      <c r="G10" s="107"/>
      <c r="H10" s="107"/>
      <c r="I10" s="30"/>
      <c r="J10" s="30"/>
      <c r="K10" s="30"/>
      <c r="L10" s="30"/>
      <c r="M10" s="88"/>
      <c r="N10" s="88"/>
    </row>
    <row r="11" spans="1:19" ht="18.75" x14ac:dyDescent="0.25">
      <c r="C11" s="106"/>
      <c r="G11" s="107"/>
      <c r="H11" s="107"/>
      <c r="I11" s="30"/>
      <c r="J11" s="30"/>
      <c r="K11" s="30"/>
      <c r="L11" s="30"/>
    </row>
    <row r="12" spans="1:19" ht="18.75" x14ac:dyDescent="0.25">
      <c r="G12" s="107"/>
      <c r="H12" s="107"/>
      <c r="I12" s="30"/>
      <c r="J12" s="30"/>
      <c r="K12" s="30"/>
      <c r="L12" s="30"/>
    </row>
    <row r="13" spans="1:19" ht="18.75" x14ac:dyDescent="0.25">
      <c r="G13" s="107"/>
      <c r="H13" s="107"/>
      <c r="I13" s="30"/>
      <c r="J13" s="30"/>
      <c r="K13" s="30"/>
      <c r="L13" s="30"/>
    </row>
    <row r="14" spans="1:19" ht="18.75" x14ac:dyDescent="0.25">
      <c r="F14" s="108" t="e">
        <f ca="1">F9-#REF!</f>
        <v>#REF!</v>
      </c>
      <c r="G14" s="107"/>
      <c r="H14" s="107"/>
      <c r="I14" s="30"/>
      <c r="J14" s="30"/>
      <c r="K14" s="30"/>
      <c r="L14" s="30"/>
    </row>
    <row r="15" spans="1:19" ht="18.75" x14ac:dyDescent="0.25">
      <c r="G15" s="107"/>
      <c r="H15" s="107"/>
      <c r="I15" s="30"/>
      <c r="J15" s="30"/>
      <c r="K15" s="30"/>
      <c r="L15" s="30"/>
    </row>
    <row r="16" spans="1:19" ht="18.75" x14ac:dyDescent="0.25">
      <c r="G16" s="107"/>
      <c r="H16" s="107"/>
      <c r="I16" s="30"/>
      <c r="J16" s="30"/>
      <c r="K16" s="30"/>
      <c r="L16" s="30"/>
    </row>
    <row r="17" spans="1:19" ht="18.75" x14ac:dyDescent="0.25">
      <c r="G17" s="107"/>
      <c r="H17" s="107"/>
      <c r="I17" s="30"/>
      <c r="J17" s="30"/>
      <c r="K17" s="30"/>
      <c r="L17" s="30"/>
    </row>
    <row r="18" spans="1:19" ht="18.75" x14ac:dyDescent="0.25">
      <c r="G18" s="107"/>
      <c r="H18" s="107"/>
      <c r="I18" s="30"/>
      <c r="J18" s="30"/>
      <c r="K18" s="30"/>
      <c r="L18" s="30"/>
    </row>
    <row r="19" spans="1:19" ht="18.75" x14ac:dyDescent="0.25">
      <c r="G19" s="107"/>
      <c r="H19" s="107"/>
      <c r="I19" s="30"/>
      <c r="J19" s="30"/>
      <c r="K19" s="30"/>
      <c r="L19" s="30"/>
    </row>
    <row r="20" spans="1:19" ht="18.75" x14ac:dyDescent="0.25">
      <c r="G20" s="107"/>
      <c r="H20" s="107"/>
      <c r="I20" s="30"/>
      <c r="J20" s="30"/>
      <c r="K20" s="30"/>
      <c r="L20" s="30"/>
    </row>
    <row r="21" spans="1:19" ht="18.75" x14ac:dyDescent="0.25">
      <c r="G21" s="107"/>
      <c r="H21" s="107"/>
      <c r="I21" s="30"/>
      <c r="J21" s="30"/>
      <c r="K21" s="30"/>
      <c r="L21" s="30"/>
    </row>
    <row r="22" spans="1:19" ht="18.75" x14ac:dyDescent="0.25">
      <c r="G22" s="107"/>
      <c r="H22" s="107"/>
      <c r="I22" s="30"/>
      <c r="J22" s="30"/>
      <c r="K22" s="30"/>
      <c r="L22" s="30"/>
    </row>
    <row r="23" spans="1:19" ht="18.75" x14ac:dyDescent="0.25">
      <c r="G23" s="107"/>
      <c r="H23" s="107"/>
      <c r="I23" s="30"/>
      <c r="J23" s="30"/>
      <c r="K23" s="30"/>
      <c r="L23" s="30"/>
    </row>
    <row r="24" spans="1:19" s="110" customFormat="1" ht="18.75" x14ac:dyDescent="0.25">
      <c r="A24" s="25"/>
      <c r="B24" s="25"/>
      <c r="D24" s="36"/>
      <c r="E24" s="25"/>
      <c r="F24" s="108"/>
      <c r="G24" s="107"/>
      <c r="H24" s="107"/>
      <c r="I24" s="30"/>
      <c r="J24" s="30"/>
      <c r="K24" s="30"/>
      <c r="L24" s="30"/>
      <c r="M24" s="88"/>
      <c r="N24" s="88"/>
      <c r="O24" s="25"/>
      <c r="P24" s="25"/>
      <c r="Q24" s="25"/>
      <c r="R24" s="25"/>
      <c r="S24" s="25"/>
    </row>
    <row r="25" spans="1:19" s="110" customFormat="1" ht="18.75" x14ac:dyDescent="0.25">
      <c r="A25" s="25"/>
      <c r="B25" s="25"/>
      <c r="D25" s="36"/>
      <c r="E25" s="25"/>
      <c r="F25" s="108"/>
      <c r="G25" s="107"/>
      <c r="H25" s="107"/>
      <c r="I25" s="30"/>
      <c r="J25" s="30"/>
      <c r="K25" s="30"/>
      <c r="L25" s="30"/>
      <c r="M25" s="88"/>
      <c r="N25" s="88"/>
      <c r="O25" s="25"/>
      <c r="P25" s="25"/>
      <c r="Q25" s="25"/>
      <c r="R25" s="25"/>
      <c r="S25" s="25"/>
    </row>
    <row r="26" spans="1:19" s="110" customFormat="1" ht="18.75" x14ac:dyDescent="0.25">
      <c r="A26" s="25"/>
      <c r="B26" s="25"/>
      <c r="D26" s="36"/>
      <c r="E26" s="25"/>
      <c r="F26" s="108"/>
      <c r="G26" s="107"/>
      <c r="H26" s="107"/>
      <c r="I26" s="30"/>
      <c r="J26" s="30"/>
      <c r="K26" s="30"/>
      <c r="L26" s="30"/>
      <c r="M26" s="88"/>
      <c r="N26" s="88"/>
      <c r="O26" s="25"/>
      <c r="P26" s="25"/>
      <c r="Q26" s="25"/>
      <c r="R26" s="25"/>
      <c r="S26" s="25"/>
    </row>
    <row r="27" spans="1:19" s="110" customFormat="1" ht="18.75" x14ac:dyDescent="0.25">
      <c r="A27" s="25"/>
      <c r="B27" s="25"/>
      <c r="D27" s="36"/>
      <c r="E27" s="25"/>
      <c r="F27" s="108"/>
      <c r="G27" s="107"/>
      <c r="H27" s="107"/>
      <c r="I27" s="30"/>
      <c r="J27" s="30"/>
      <c r="K27" s="30"/>
      <c r="L27" s="30"/>
      <c r="M27" s="88"/>
      <c r="N27" s="88"/>
      <c r="O27" s="25"/>
      <c r="P27" s="25"/>
      <c r="Q27" s="25"/>
      <c r="R27" s="25"/>
      <c r="S27" s="25"/>
    </row>
    <row r="28" spans="1:19" s="110" customFormat="1" ht="18.75" x14ac:dyDescent="0.25">
      <c r="A28" s="25"/>
      <c r="B28" s="25"/>
      <c r="D28" s="36"/>
      <c r="E28" s="25"/>
      <c r="F28" s="108"/>
      <c r="G28" s="107"/>
      <c r="H28" s="107"/>
      <c r="I28" s="30"/>
      <c r="J28" s="30"/>
      <c r="K28" s="30"/>
      <c r="L28" s="30"/>
      <c r="M28" s="88"/>
      <c r="N28" s="88"/>
      <c r="O28" s="25"/>
      <c r="P28" s="25"/>
      <c r="Q28" s="25"/>
      <c r="R28" s="25"/>
      <c r="S28" s="25"/>
    </row>
    <row r="29" spans="1:19" s="110" customFormat="1" ht="18.75" x14ac:dyDescent="0.25">
      <c r="A29" s="25"/>
      <c r="B29" s="25"/>
      <c r="D29" s="36"/>
      <c r="E29" s="25"/>
      <c r="F29" s="108"/>
      <c r="G29" s="107"/>
      <c r="H29" s="107"/>
      <c r="I29" s="30"/>
      <c r="J29" s="30"/>
      <c r="K29" s="30"/>
      <c r="L29" s="30"/>
      <c r="M29" s="88"/>
      <c r="N29" s="88"/>
      <c r="O29" s="25"/>
      <c r="P29" s="25"/>
      <c r="Q29" s="25"/>
      <c r="R29" s="25"/>
      <c r="S29" s="25"/>
    </row>
    <row r="30" spans="1:19" s="110" customFormat="1" ht="18.75" x14ac:dyDescent="0.25">
      <c r="A30" s="25"/>
      <c r="B30" s="25"/>
      <c r="D30" s="36"/>
      <c r="E30" s="25"/>
      <c r="F30" s="108"/>
      <c r="G30" s="107"/>
      <c r="H30" s="107"/>
      <c r="I30" s="30"/>
      <c r="J30" s="30"/>
      <c r="K30" s="30"/>
      <c r="L30" s="30"/>
      <c r="M30" s="88"/>
      <c r="N30" s="88"/>
      <c r="O30" s="25"/>
      <c r="P30" s="25"/>
      <c r="Q30" s="25"/>
      <c r="R30" s="25"/>
      <c r="S30" s="25"/>
    </row>
    <row r="31" spans="1:19" s="110" customFormat="1" ht="18.75" x14ac:dyDescent="0.25">
      <c r="A31" s="25"/>
      <c r="B31" s="25"/>
      <c r="D31" s="36"/>
      <c r="E31" s="25"/>
      <c r="F31" s="108"/>
      <c r="G31" s="107"/>
      <c r="H31" s="107"/>
      <c r="I31" s="30"/>
      <c r="J31" s="30"/>
      <c r="K31" s="30"/>
      <c r="L31" s="30"/>
      <c r="M31" s="88"/>
      <c r="N31" s="88"/>
      <c r="O31" s="25"/>
      <c r="P31" s="25"/>
      <c r="Q31" s="25"/>
      <c r="R31" s="25"/>
      <c r="S31" s="25"/>
    </row>
    <row r="32" spans="1:19" s="110" customFormat="1" ht="18.75" x14ac:dyDescent="0.25">
      <c r="A32" s="25"/>
      <c r="B32" s="25"/>
      <c r="D32" s="36"/>
      <c r="E32" s="25"/>
      <c r="F32" s="108"/>
      <c r="G32" s="107"/>
      <c r="H32" s="107"/>
      <c r="I32" s="30"/>
      <c r="J32" s="30"/>
      <c r="K32" s="30"/>
      <c r="L32" s="30"/>
      <c r="M32" s="88"/>
      <c r="N32" s="88"/>
      <c r="O32" s="25"/>
      <c r="P32" s="25"/>
      <c r="Q32" s="25"/>
      <c r="R32" s="25"/>
      <c r="S32" s="25"/>
    </row>
    <row r="33" spans="1:19" s="110" customFormat="1" ht="18.75" x14ac:dyDescent="0.25">
      <c r="A33" s="25"/>
      <c r="B33" s="25"/>
      <c r="D33" s="36"/>
      <c r="E33" s="25"/>
      <c r="F33" s="108"/>
      <c r="G33" s="107"/>
      <c r="H33" s="107"/>
      <c r="I33" s="30"/>
      <c r="J33" s="30"/>
      <c r="K33" s="30"/>
      <c r="L33" s="30"/>
      <c r="M33" s="88"/>
      <c r="N33" s="88"/>
      <c r="O33" s="25"/>
      <c r="P33" s="25"/>
      <c r="Q33" s="25"/>
      <c r="R33" s="25"/>
      <c r="S33" s="25"/>
    </row>
    <row r="34" spans="1:19" s="110" customFormat="1" ht="18.75" x14ac:dyDescent="0.25">
      <c r="A34" s="25"/>
      <c r="B34" s="25"/>
      <c r="D34" s="36"/>
      <c r="E34" s="25"/>
      <c r="F34" s="108"/>
      <c r="G34" s="107"/>
      <c r="H34" s="107"/>
      <c r="I34" s="30"/>
      <c r="J34" s="30"/>
      <c r="K34" s="30"/>
      <c r="L34" s="30"/>
      <c r="M34" s="88"/>
      <c r="N34" s="88"/>
      <c r="O34" s="25"/>
      <c r="P34" s="25"/>
      <c r="Q34" s="25"/>
      <c r="R34" s="25"/>
      <c r="S34" s="25"/>
    </row>
    <row r="35" spans="1:19" s="110" customFormat="1" ht="18.75" x14ac:dyDescent="0.25">
      <c r="A35" s="25"/>
      <c r="B35" s="25"/>
      <c r="D35" s="36"/>
      <c r="E35" s="25"/>
      <c r="F35" s="108"/>
      <c r="G35" s="107"/>
      <c r="H35" s="107"/>
      <c r="I35" s="30"/>
      <c r="J35" s="30"/>
      <c r="K35" s="30"/>
      <c r="L35" s="30"/>
      <c r="M35" s="88"/>
      <c r="N35" s="88"/>
      <c r="O35" s="25"/>
      <c r="P35" s="25"/>
      <c r="Q35" s="25"/>
      <c r="R35" s="25"/>
      <c r="S35" s="25"/>
    </row>
    <row r="36" spans="1:19" s="110" customFormat="1" ht="18.75" x14ac:dyDescent="0.25">
      <c r="A36" s="25"/>
      <c r="B36" s="25"/>
      <c r="D36" s="36"/>
      <c r="E36" s="25"/>
      <c r="F36" s="108"/>
      <c r="G36" s="107"/>
      <c r="H36" s="107"/>
      <c r="I36" s="30"/>
      <c r="J36" s="30"/>
      <c r="K36" s="30"/>
      <c r="L36" s="30"/>
      <c r="M36" s="88"/>
      <c r="N36" s="88"/>
      <c r="O36" s="25"/>
      <c r="P36" s="25"/>
      <c r="Q36" s="25"/>
      <c r="R36" s="25"/>
      <c r="S36" s="25"/>
    </row>
    <row r="37" spans="1:19" ht="18.75" x14ac:dyDescent="0.25">
      <c r="G37" s="107"/>
      <c r="H37" s="107"/>
      <c r="I37" s="30"/>
      <c r="J37" s="30"/>
      <c r="K37" s="30"/>
      <c r="L37" s="30"/>
    </row>
    <row r="38" spans="1:19" ht="18.75" x14ac:dyDescent="0.25">
      <c r="G38" s="107"/>
      <c r="H38" s="107"/>
      <c r="I38" s="30"/>
      <c r="J38" s="30"/>
      <c r="K38" s="30"/>
      <c r="L38" s="30"/>
    </row>
    <row r="39" spans="1:19" ht="18.75" x14ac:dyDescent="0.25">
      <c r="G39" s="107"/>
      <c r="H39" s="107"/>
      <c r="I39" s="30"/>
      <c r="J39" s="30"/>
      <c r="K39" s="30"/>
      <c r="L39" s="30"/>
    </row>
    <row r="40" spans="1:19" ht="18.75" x14ac:dyDescent="0.25">
      <c r="G40" s="107"/>
      <c r="H40" s="107"/>
      <c r="I40" s="30"/>
      <c r="J40" s="30"/>
      <c r="K40" s="30"/>
      <c r="L40" s="30"/>
    </row>
    <row r="41" spans="1:19" ht="18.75" x14ac:dyDescent="0.25">
      <c r="G41" s="107"/>
      <c r="H41" s="107"/>
      <c r="I41" s="30"/>
      <c r="J41" s="30"/>
      <c r="K41" s="30"/>
      <c r="L41" s="30"/>
    </row>
    <row r="42" spans="1:19" ht="18.75" x14ac:dyDescent="0.25">
      <c r="G42" s="107"/>
      <c r="H42" s="107"/>
      <c r="I42" s="30"/>
      <c r="J42" s="30"/>
      <c r="K42" s="30"/>
      <c r="L42" s="30"/>
    </row>
    <row r="43" spans="1:19" ht="18.75" x14ac:dyDescent="0.25">
      <c r="G43" s="107"/>
      <c r="H43" s="107"/>
      <c r="I43" s="30"/>
      <c r="J43" s="30"/>
      <c r="K43" s="30"/>
      <c r="L43" s="30"/>
    </row>
    <row r="44" spans="1:19" ht="18.75" x14ac:dyDescent="0.25">
      <c r="G44" s="107"/>
      <c r="H44" s="107"/>
      <c r="I44" s="30"/>
      <c r="J44" s="30"/>
      <c r="K44" s="30"/>
      <c r="L44" s="30"/>
    </row>
    <row r="45" spans="1:19" ht="18.75" x14ac:dyDescent="0.25">
      <c r="G45" s="107"/>
      <c r="H45" s="107"/>
      <c r="I45" s="30"/>
      <c r="J45" s="30"/>
      <c r="K45" s="30"/>
      <c r="L45" s="30"/>
    </row>
    <row r="46" spans="1:19" ht="18.75" x14ac:dyDescent="0.25">
      <c r="G46" s="107"/>
      <c r="H46" s="107"/>
      <c r="I46" s="30"/>
      <c r="J46" s="30"/>
      <c r="K46" s="30"/>
      <c r="L46" s="30"/>
    </row>
    <row r="47" spans="1:19" ht="18.75" x14ac:dyDescent="0.25">
      <c r="G47" s="107"/>
      <c r="H47" s="107"/>
      <c r="I47" s="30"/>
      <c r="J47" s="30"/>
      <c r="K47" s="30"/>
      <c r="L47" s="30"/>
    </row>
    <row r="48" spans="1:19" ht="18.75" x14ac:dyDescent="0.25">
      <c r="G48" s="107"/>
      <c r="H48" s="107"/>
      <c r="I48" s="30"/>
      <c r="J48" s="30"/>
      <c r="K48" s="30"/>
      <c r="L48" s="30"/>
    </row>
    <row r="49" spans="7:12" ht="18.75" x14ac:dyDescent="0.25">
      <c r="G49" s="107"/>
      <c r="H49" s="107"/>
      <c r="I49" s="30"/>
      <c r="J49" s="30"/>
      <c r="K49" s="30"/>
      <c r="L49" s="30"/>
    </row>
    <row r="50" spans="7:12" ht="18.75" x14ac:dyDescent="0.25">
      <c r="G50" s="107"/>
      <c r="H50" s="107"/>
      <c r="I50" s="30"/>
      <c r="J50" s="30"/>
      <c r="K50" s="30"/>
      <c r="L50" s="30"/>
    </row>
    <row r="51" spans="7:12" ht="18.75" x14ac:dyDescent="0.25">
      <c r="G51" s="107"/>
      <c r="H51" s="107"/>
      <c r="I51" s="30"/>
      <c r="J51" s="30"/>
      <c r="K51" s="30"/>
      <c r="L51" s="30"/>
    </row>
    <row r="52" spans="7:12" ht="18.75" x14ac:dyDescent="0.25">
      <c r="G52" s="107"/>
      <c r="H52" s="107"/>
      <c r="I52" s="30"/>
      <c r="J52" s="30"/>
      <c r="K52" s="30"/>
      <c r="L52" s="30"/>
    </row>
    <row r="53" spans="7:12" ht="18.75" x14ac:dyDescent="0.25">
      <c r="G53" s="107"/>
      <c r="H53" s="107"/>
      <c r="I53" s="30"/>
      <c r="J53" s="30"/>
      <c r="K53" s="30"/>
      <c r="L53" s="30"/>
    </row>
    <row r="54" spans="7:12" ht="18.75" x14ac:dyDescent="0.25">
      <c r="G54" s="107"/>
      <c r="H54" s="107"/>
      <c r="I54" s="30"/>
      <c r="J54" s="30"/>
      <c r="K54" s="30"/>
      <c r="L54" s="30"/>
    </row>
    <row r="55" spans="7:12" ht="18.75" x14ac:dyDescent="0.25">
      <c r="G55" s="107"/>
      <c r="H55" s="107"/>
      <c r="I55" s="30"/>
      <c r="J55" s="30"/>
      <c r="K55" s="30"/>
      <c r="L55" s="30"/>
    </row>
    <row r="56" spans="7:12" ht="18.75" x14ac:dyDescent="0.25">
      <c r="G56" s="107"/>
      <c r="H56" s="107"/>
      <c r="I56" s="30"/>
      <c r="J56" s="30"/>
      <c r="K56" s="30"/>
      <c r="L56" s="30"/>
    </row>
    <row r="57" spans="7:12" ht="18.75" x14ac:dyDescent="0.25">
      <c r="G57" s="107"/>
      <c r="H57" s="107"/>
      <c r="I57" s="30"/>
      <c r="J57" s="30"/>
      <c r="K57" s="30"/>
      <c r="L57" s="30"/>
    </row>
    <row r="58" spans="7:12" ht="18.75" x14ac:dyDescent="0.25">
      <c r="G58" s="107"/>
      <c r="H58" s="107"/>
      <c r="I58" s="30"/>
      <c r="J58" s="30"/>
      <c r="K58" s="30"/>
      <c r="L58" s="30"/>
    </row>
    <row r="59" spans="7:12" ht="18.75" x14ac:dyDescent="0.25">
      <c r="G59" s="107"/>
      <c r="H59" s="107"/>
      <c r="I59" s="30"/>
      <c r="J59" s="30"/>
      <c r="K59" s="30"/>
      <c r="L59" s="30"/>
    </row>
    <row r="60" spans="7:12" ht="18.75" x14ac:dyDescent="0.25">
      <c r="G60" s="107"/>
      <c r="H60" s="107"/>
      <c r="I60" s="30"/>
      <c r="J60" s="30"/>
      <c r="K60" s="30"/>
      <c r="L60" s="30"/>
    </row>
    <row r="61" spans="7:12" ht="18.75" x14ac:dyDescent="0.25">
      <c r="G61" s="107"/>
      <c r="H61" s="107"/>
      <c r="I61" s="30"/>
      <c r="J61" s="30"/>
      <c r="K61" s="30"/>
      <c r="L61" s="30"/>
    </row>
    <row r="62" spans="7:12" ht="18.75" x14ac:dyDescent="0.25">
      <c r="G62" s="107"/>
      <c r="H62" s="107"/>
      <c r="I62" s="30"/>
      <c r="J62" s="30"/>
      <c r="K62" s="30"/>
      <c r="L62" s="30"/>
    </row>
    <row r="63" spans="7:12" ht="18.75" x14ac:dyDescent="0.25">
      <c r="G63" s="107"/>
      <c r="H63" s="107"/>
      <c r="I63" s="30"/>
      <c r="J63" s="30"/>
      <c r="K63" s="30"/>
      <c r="L63" s="30"/>
    </row>
    <row r="64" spans="7:12" ht="18.75" x14ac:dyDescent="0.25">
      <c r="G64" s="107"/>
      <c r="H64" s="107"/>
      <c r="I64" s="30"/>
      <c r="J64" s="30"/>
      <c r="K64" s="30"/>
      <c r="L64" s="30"/>
    </row>
    <row r="65" spans="7:12" ht="18.75" x14ac:dyDescent="0.25">
      <c r="G65" s="107"/>
      <c r="H65" s="107"/>
      <c r="I65" s="30"/>
      <c r="J65" s="30"/>
      <c r="K65" s="30"/>
      <c r="L65" s="30"/>
    </row>
    <row r="66" spans="7:12" ht="18.75" x14ac:dyDescent="0.25">
      <c r="G66" s="107"/>
      <c r="H66" s="107"/>
      <c r="I66" s="30"/>
      <c r="J66" s="30"/>
      <c r="K66" s="30"/>
      <c r="L66" s="30"/>
    </row>
    <row r="67" spans="7:12" ht="18.75" x14ac:dyDescent="0.25">
      <c r="G67" s="107"/>
      <c r="H67" s="107"/>
      <c r="I67" s="30"/>
      <c r="J67" s="30"/>
      <c r="K67" s="30"/>
      <c r="L67" s="30"/>
    </row>
    <row r="68" spans="7:12" ht="18.75" x14ac:dyDescent="0.25">
      <c r="G68" s="107"/>
      <c r="H68" s="107"/>
      <c r="I68" s="30"/>
      <c r="J68" s="30"/>
      <c r="K68" s="30"/>
      <c r="L68" s="30"/>
    </row>
    <row r="69" spans="7:12" ht="18.75" x14ac:dyDescent="0.25">
      <c r="G69" s="107"/>
      <c r="H69" s="107"/>
      <c r="I69" s="30"/>
      <c r="J69" s="30"/>
      <c r="K69" s="30"/>
      <c r="L69" s="30"/>
    </row>
    <row r="70" spans="7:12" ht="18.75" x14ac:dyDescent="0.25">
      <c r="G70" s="107"/>
      <c r="H70" s="107"/>
      <c r="I70" s="30"/>
      <c r="J70" s="30"/>
      <c r="K70" s="30"/>
      <c r="L70" s="30"/>
    </row>
    <row r="71" spans="7:12" ht="18.75" x14ac:dyDescent="0.25">
      <c r="G71" s="107"/>
      <c r="H71" s="107"/>
      <c r="I71" s="30"/>
      <c r="J71" s="30"/>
      <c r="K71" s="30"/>
      <c r="L71" s="30"/>
    </row>
    <row r="72" spans="7:12" ht="18.75" x14ac:dyDescent="0.25">
      <c r="G72" s="107"/>
      <c r="H72" s="107"/>
      <c r="I72" s="30"/>
      <c r="J72" s="30"/>
      <c r="K72" s="30"/>
      <c r="L72" s="30"/>
    </row>
    <row r="73" spans="7:12" ht="18.75" x14ac:dyDescent="0.25">
      <c r="G73" s="107"/>
      <c r="H73" s="107"/>
      <c r="I73" s="30"/>
      <c r="J73" s="30"/>
      <c r="K73" s="30"/>
      <c r="L73" s="30"/>
    </row>
    <row r="74" spans="7:12" ht="18.75" x14ac:dyDescent="0.25">
      <c r="G74" s="107"/>
      <c r="H74" s="107"/>
      <c r="I74" s="30"/>
      <c r="J74" s="30"/>
      <c r="K74" s="30"/>
      <c r="L74" s="30"/>
    </row>
    <row r="75" spans="7:12" ht="18.75" x14ac:dyDescent="0.25">
      <c r="G75" s="107"/>
      <c r="H75" s="107"/>
      <c r="I75" s="30"/>
      <c r="J75" s="30"/>
      <c r="K75" s="30"/>
      <c r="L75" s="30"/>
    </row>
    <row r="76" spans="7:12" ht="18.75" x14ac:dyDescent="0.25">
      <c r="G76" s="107"/>
      <c r="H76" s="107"/>
      <c r="I76" s="30"/>
      <c r="J76" s="30"/>
      <c r="K76" s="30"/>
      <c r="L76" s="30"/>
    </row>
    <row r="77" spans="7:12" ht="18.75" x14ac:dyDescent="0.25">
      <c r="G77" s="107"/>
      <c r="H77" s="107"/>
      <c r="I77" s="30"/>
      <c r="J77" s="30"/>
      <c r="K77" s="30"/>
      <c r="L77" s="30"/>
    </row>
    <row r="78" spans="7:12" ht="18.75" x14ac:dyDescent="0.25">
      <c r="G78" s="107"/>
      <c r="H78" s="107"/>
      <c r="I78" s="30"/>
      <c r="J78" s="30"/>
      <c r="K78" s="30"/>
      <c r="L78" s="30"/>
    </row>
    <row r="79" spans="7:12" ht="18.75" x14ac:dyDescent="0.25">
      <c r="G79" s="107"/>
      <c r="H79" s="107"/>
      <c r="I79" s="30"/>
      <c r="J79" s="30"/>
      <c r="K79" s="30"/>
      <c r="L79" s="30"/>
    </row>
    <row r="80" spans="7:12" ht="18.75" x14ac:dyDescent="0.25">
      <c r="G80" s="107"/>
      <c r="H80" s="107"/>
      <c r="I80" s="30"/>
      <c r="J80" s="30"/>
      <c r="K80" s="30"/>
      <c r="L80" s="30"/>
    </row>
    <row r="81" spans="7:12" ht="18.75" x14ac:dyDescent="0.25">
      <c r="G81" s="107"/>
      <c r="H81" s="107"/>
      <c r="I81" s="30"/>
      <c r="J81" s="30"/>
      <c r="K81" s="30"/>
      <c r="L81" s="30"/>
    </row>
    <row r="82" spans="7:12" ht="18.75" x14ac:dyDescent="0.25">
      <c r="G82" s="107"/>
      <c r="H82" s="107"/>
      <c r="I82" s="30"/>
      <c r="J82" s="30"/>
      <c r="K82" s="30"/>
      <c r="L82" s="30"/>
    </row>
    <row r="83" spans="7:12" ht="18.75" x14ac:dyDescent="0.25">
      <c r="G83" s="107"/>
      <c r="H83" s="107"/>
      <c r="I83" s="30"/>
      <c r="J83" s="30"/>
      <c r="K83" s="30"/>
      <c r="L83" s="30"/>
    </row>
    <row r="84" spans="7:12" ht="18.75" x14ac:dyDescent="0.25">
      <c r="G84" s="107"/>
      <c r="H84" s="107"/>
      <c r="I84" s="30"/>
      <c r="J84" s="30"/>
      <c r="K84" s="30"/>
      <c r="L84" s="30"/>
    </row>
    <row r="85" spans="7:12" ht="18.75" x14ac:dyDescent="0.25">
      <c r="G85" s="107"/>
      <c r="H85" s="107"/>
      <c r="I85" s="30"/>
      <c r="J85" s="30"/>
      <c r="K85" s="30"/>
      <c r="L85" s="30"/>
    </row>
    <row r="86" spans="7:12" ht="18.75" x14ac:dyDescent="0.25">
      <c r="G86" s="107"/>
      <c r="H86" s="107"/>
      <c r="I86" s="30"/>
      <c r="J86" s="30"/>
      <c r="K86" s="30"/>
      <c r="L86" s="30"/>
    </row>
    <row r="87" spans="7:12" ht="18.75" x14ac:dyDescent="0.25">
      <c r="G87" s="107"/>
      <c r="H87" s="107"/>
      <c r="I87" s="30"/>
      <c r="J87" s="30"/>
      <c r="K87" s="30"/>
      <c r="L87" s="30"/>
    </row>
    <row r="88" spans="7:12" ht="18.75" x14ac:dyDescent="0.25">
      <c r="G88" s="107"/>
      <c r="H88" s="107"/>
      <c r="I88" s="30"/>
      <c r="J88" s="30"/>
      <c r="K88" s="30"/>
      <c r="L88" s="30"/>
    </row>
    <row r="89" spans="7:12" ht="18.75" x14ac:dyDescent="0.25">
      <c r="G89" s="107"/>
      <c r="H89" s="107"/>
      <c r="I89" s="30"/>
      <c r="J89" s="30"/>
      <c r="K89" s="30"/>
      <c r="L89" s="30"/>
    </row>
    <row r="90" spans="7:12" ht="18.75" x14ac:dyDescent="0.25">
      <c r="G90" s="107"/>
      <c r="H90" s="107"/>
      <c r="I90" s="30"/>
      <c r="J90" s="30"/>
      <c r="K90" s="30"/>
      <c r="L90" s="30"/>
    </row>
    <row r="91" spans="7:12" ht="18.75" x14ac:dyDescent="0.25">
      <c r="G91" s="107"/>
      <c r="H91" s="107"/>
      <c r="I91" s="30"/>
      <c r="J91" s="30"/>
      <c r="K91" s="30"/>
      <c r="L91" s="30"/>
    </row>
    <row r="92" spans="7:12" ht="18.75" x14ac:dyDescent="0.25">
      <c r="G92" s="107"/>
      <c r="H92" s="107"/>
      <c r="I92" s="30"/>
      <c r="J92" s="30"/>
      <c r="K92" s="30"/>
      <c r="L92" s="30"/>
    </row>
    <row r="93" spans="7:12" ht="18.75" x14ac:dyDescent="0.25">
      <c r="G93" s="107"/>
      <c r="H93" s="107"/>
      <c r="I93" s="30"/>
      <c r="J93" s="30"/>
      <c r="K93" s="30"/>
      <c r="L93" s="30"/>
    </row>
    <row r="94" spans="7:12" ht="18.75" x14ac:dyDescent="0.25">
      <c r="G94" s="107"/>
      <c r="H94" s="107"/>
      <c r="I94" s="30"/>
      <c r="J94" s="30"/>
      <c r="K94" s="30"/>
      <c r="L94" s="30"/>
    </row>
    <row r="95" spans="7:12" ht="18.75" x14ac:dyDescent="0.25">
      <c r="G95" s="107"/>
      <c r="H95" s="107"/>
      <c r="I95" s="30"/>
      <c r="J95" s="30"/>
      <c r="K95" s="30"/>
      <c r="L95" s="30"/>
    </row>
    <row r="96" spans="7:12" ht="18.75" x14ac:dyDescent="0.25">
      <c r="G96" s="107"/>
      <c r="H96" s="107"/>
      <c r="I96" s="30"/>
      <c r="J96" s="30"/>
      <c r="K96" s="30"/>
      <c r="L96" s="30"/>
    </row>
    <row r="97" spans="7:12" ht="18.75" x14ac:dyDescent="0.25">
      <c r="G97" s="107"/>
      <c r="H97" s="107"/>
      <c r="I97" s="30"/>
      <c r="J97" s="30"/>
      <c r="K97" s="30"/>
      <c r="L97" s="30"/>
    </row>
    <row r="98" spans="7:12" ht="18.75" x14ac:dyDescent="0.25">
      <c r="G98" s="107"/>
      <c r="H98" s="107"/>
      <c r="I98" s="30"/>
      <c r="J98" s="30"/>
      <c r="K98" s="30"/>
      <c r="L98" s="30"/>
    </row>
    <row r="99" spans="7:12" ht="18.75" x14ac:dyDescent="0.25">
      <c r="G99" s="107"/>
      <c r="H99" s="107"/>
      <c r="I99" s="30"/>
      <c r="J99" s="30"/>
      <c r="K99" s="30"/>
      <c r="L99" s="30"/>
    </row>
    <row r="100" spans="7:12" ht="18.75" x14ac:dyDescent="0.25">
      <c r="G100" s="107"/>
      <c r="H100" s="107"/>
      <c r="I100" s="30"/>
      <c r="J100" s="30"/>
      <c r="K100" s="30"/>
      <c r="L100" s="30"/>
    </row>
    <row r="101" spans="7:12" ht="18.75" x14ac:dyDescent="0.25">
      <c r="G101" s="107"/>
      <c r="H101" s="107"/>
      <c r="I101" s="30"/>
      <c r="J101" s="30"/>
      <c r="K101" s="30"/>
      <c r="L101" s="30"/>
    </row>
    <row r="102" spans="7:12" ht="18.75" x14ac:dyDescent="0.25">
      <c r="G102" s="107"/>
      <c r="H102" s="107"/>
      <c r="I102" s="30"/>
      <c r="J102" s="30"/>
      <c r="K102" s="30"/>
      <c r="L102" s="30"/>
    </row>
    <row r="103" spans="7:12" ht="18.75" x14ac:dyDescent="0.25">
      <c r="G103" s="107"/>
      <c r="H103" s="107"/>
      <c r="I103" s="30"/>
      <c r="J103" s="30"/>
      <c r="K103" s="30"/>
      <c r="L103" s="30"/>
    </row>
    <row r="104" spans="7:12" ht="18.75" x14ac:dyDescent="0.25">
      <c r="G104" s="107"/>
      <c r="H104" s="107"/>
      <c r="I104" s="30"/>
      <c r="J104" s="30"/>
      <c r="K104" s="30"/>
      <c r="L104" s="30"/>
    </row>
    <row r="105" spans="7:12" ht="18.75" x14ac:dyDescent="0.25">
      <c r="G105" s="107"/>
      <c r="H105" s="107"/>
      <c r="I105" s="30"/>
      <c r="J105" s="30"/>
      <c r="K105" s="30"/>
      <c r="L105" s="30"/>
    </row>
    <row r="106" spans="7:12" ht="18.75" x14ac:dyDescent="0.25">
      <c r="G106" s="107"/>
      <c r="H106" s="107"/>
      <c r="I106" s="30"/>
      <c r="J106" s="30"/>
      <c r="K106" s="30"/>
      <c r="L106" s="30"/>
    </row>
    <row r="107" spans="7:12" ht="18.75" x14ac:dyDescent="0.25">
      <c r="G107" s="107"/>
      <c r="H107" s="107"/>
      <c r="I107" s="30"/>
      <c r="J107" s="30"/>
      <c r="K107" s="30"/>
      <c r="L107" s="30"/>
    </row>
    <row r="108" spans="7:12" ht="18.75" x14ac:dyDescent="0.25">
      <c r="G108" s="107"/>
      <c r="H108" s="107"/>
      <c r="I108" s="30"/>
      <c r="J108" s="30"/>
      <c r="K108" s="30"/>
      <c r="L108" s="30"/>
    </row>
    <row r="109" spans="7:12" ht="18.75" x14ac:dyDescent="0.25">
      <c r="G109" s="107"/>
      <c r="H109" s="107"/>
      <c r="I109" s="30"/>
      <c r="J109" s="30"/>
      <c r="K109" s="30"/>
      <c r="L109" s="30"/>
    </row>
    <row r="110" spans="7:12" ht="18.75" x14ac:dyDescent="0.25">
      <c r="G110" s="107"/>
      <c r="H110" s="107"/>
      <c r="I110" s="30"/>
      <c r="J110" s="30"/>
      <c r="K110" s="30"/>
      <c r="L110" s="30"/>
    </row>
    <row r="111" spans="7:12" ht="18.75" x14ac:dyDescent="0.25">
      <c r="G111" s="107"/>
      <c r="H111" s="107"/>
      <c r="I111" s="30"/>
      <c r="J111" s="30"/>
      <c r="K111" s="30"/>
      <c r="L111" s="30"/>
    </row>
    <row r="112" spans="7:12" ht="18.75" x14ac:dyDescent="0.25">
      <c r="G112" s="107"/>
      <c r="H112" s="107"/>
      <c r="I112" s="30"/>
      <c r="J112" s="30"/>
      <c r="K112" s="30"/>
      <c r="L112" s="30"/>
    </row>
    <row r="113" spans="7:12" ht="18.75" x14ac:dyDescent="0.25">
      <c r="G113" s="107"/>
      <c r="H113" s="107"/>
      <c r="I113" s="30"/>
      <c r="J113" s="30"/>
      <c r="K113" s="30"/>
      <c r="L113" s="30"/>
    </row>
    <row r="114" spans="7:12" ht="18.75" x14ac:dyDescent="0.25">
      <c r="G114" s="107"/>
      <c r="H114" s="107"/>
      <c r="I114" s="30"/>
      <c r="J114" s="30"/>
      <c r="K114" s="30"/>
      <c r="L114" s="30"/>
    </row>
    <row r="115" spans="7:12" ht="18.75" x14ac:dyDescent="0.25">
      <c r="G115" s="107"/>
      <c r="H115" s="107"/>
      <c r="I115" s="30"/>
      <c r="J115" s="30"/>
      <c r="K115" s="30"/>
      <c r="L115" s="30"/>
    </row>
    <row r="116" spans="7:12" ht="18.75" x14ac:dyDescent="0.25">
      <c r="G116" s="107"/>
      <c r="H116" s="107"/>
      <c r="I116" s="30"/>
      <c r="J116" s="30"/>
      <c r="K116" s="30"/>
      <c r="L116" s="30"/>
    </row>
    <row r="117" spans="7:12" ht="18.75" x14ac:dyDescent="0.25">
      <c r="G117" s="107"/>
      <c r="H117" s="107"/>
      <c r="I117" s="30"/>
      <c r="J117" s="30"/>
      <c r="K117" s="30"/>
      <c r="L117" s="30"/>
    </row>
    <row r="118" spans="7:12" ht="18.75" x14ac:dyDescent="0.25">
      <c r="G118" s="107"/>
      <c r="H118" s="107"/>
      <c r="I118" s="30"/>
      <c r="J118" s="30"/>
      <c r="K118" s="30"/>
      <c r="L118" s="30"/>
    </row>
    <row r="119" spans="7:12" ht="18.75" x14ac:dyDescent="0.25">
      <c r="G119" s="107"/>
      <c r="H119" s="107"/>
      <c r="I119" s="30"/>
      <c r="J119" s="30"/>
      <c r="K119" s="30"/>
      <c r="L119" s="30"/>
    </row>
    <row r="120" spans="7:12" ht="18.75" x14ac:dyDescent="0.25">
      <c r="G120" s="107"/>
      <c r="H120" s="107"/>
      <c r="I120" s="30"/>
      <c r="J120" s="30"/>
      <c r="K120" s="30"/>
      <c r="L120" s="30"/>
    </row>
    <row r="121" spans="7:12" ht="18.75" x14ac:dyDescent="0.25">
      <c r="G121" s="107"/>
      <c r="H121" s="107"/>
      <c r="I121" s="30"/>
      <c r="J121" s="30"/>
      <c r="K121" s="30"/>
      <c r="L121" s="30"/>
    </row>
    <row r="122" spans="7:12" ht="18.75" x14ac:dyDescent="0.25">
      <c r="G122" s="107"/>
      <c r="H122" s="107"/>
      <c r="I122" s="30"/>
      <c r="J122" s="30"/>
      <c r="K122" s="30"/>
      <c r="L122" s="30"/>
    </row>
    <row r="123" spans="7:12" ht="18.75" x14ac:dyDescent="0.25">
      <c r="G123" s="107"/>
      <c r="H123" s="107"/>
      <c r="I123" s="30"/>
      <c r="J123" s="30"/>
      <c r="K123" s="30"/>
      <c r="L123" s="30"/>
    </row>
    <row r="124" spans="7:12" ht="18.75" x14ac:dyDescent="0.25">
      <c r="G124" s="107"/>
      <c r="H124" s="107"/>
      <c r="I124" s="30"/>
      <c r="J124" s="30"/>
      <c r="K124" s="30"/>
      <c r="L124" s="30"/>
    </row>
    <row r="125" spans="7:12" ht="18.75" x14ac:dyDescent="0.25">
      <c r="G125" s="107"/>
      <c r="H125" s="107"/>
      <c r="I125" s="30"/>
      <c r="J125" s="30"/>
      <c r="K125" s="30"/>
      <c r="L125" s="30"/>
    </row>
    <row r="126" spans="7:12" ht="18.75" x14ac:dyDescent="0.25">
      <c r="G126" s="107"/>
      <c r="H126" s="107"/>
      <c r="I126" s="30"/>
      <c r="J126" s="30"/>
      <c r="K126" s="30"/>
      <c r="L126" s="30"/>
    </row>
    <row r="127" spans="7:12" ht="18.75" x14ac:dyDescent="0.25">
      <c r="G127" s="107"/>
      <c r="H127" s="107"/>
      <c r="I127" s="30"/>
      <c r="J127" s="30"/>
      <c r="K127" s="30"/>
      <c r="L127" s="30"/>
    </row>
    <row r="128" spans="7:12" ht="18.75" x14ac:dyDescent="0.25">
      <c r="G128" s="107"/>
      <c r="H128" s="107"/>
      <c r="I128" s="30"/>
      <c r="J128" s="30"/>
      <c r="K128" s="30"/>
      <c r="L128" s="30"/>
    </row>
    <row r="129" spans="7:12" ht="18.75" x14ac:dyDescent="0.25">
      <c r="G129" s="107"/>
      <c r="H129" s="107"/>
      <c r="I129" s="30"/>
      <c r="J129" s="30"/>
      <c r="K129" s="30"/>
      <c r="L129" s="30"/>
    </row>
    <row r="130" spans="7:12" ht="18.75" x14ac:dyDescent="0.25">
      <c r="G130" s="107"/>
      <c r="H130" s="107"/>
      <c r="I130" s="30"/>
      <c r="J130" s="30"/>
      <c r="K130" s="30"/>
      <c r="L130" s="30"/>
    </row>
    <row r="131" spans="7:12" ht="18.75" x14ac:dyDescent="0.25">
      <c r="G131" s="107"/>
      <c r="H131" s="107"/>
      <c r="I131" s="30"/>
      <c r="J131" s="30"/>
      <c r="K131" s="30"/>
      <c r="L131" s="30"/>
    </row>
    <row r="132" spans="7:12" ht="18.75" x14ac:dyDescent="0.25">
      <c r="G132" s="107"/>
      <c r="H132" s="107"/>
      <c r="I132" s="30"/>
      <c r="J132" s="30"/>
      <c r="K132" s="30"/>
      <c r="L132" s="30"/>
    </row>
    <row r="133" spans="7:12" ht="18.75" x14ac:dyDescent="0.25">
      <c r="G133" s="107"/>
      <c r="H133" s="107"/>
      <c r="I133" s="30"/>
      <c r="J133" s="30"/>
      <c r="K133" s="30"/>
      <c r="L133" s="30"/>
    </row>
    <row r="134" spans="7:12" ht="18.75" x14ac:dyDescent="0.25">
      <c r="G134" s="107"/>
      <c r="H134" s="107"/>
      <c r="I134" s="30"/>
      <c r="J134" s="30"/>
      <c r="K134" s="30"/>
      <c r="L134" s="30"/>
    </row>
    <row r="135" spans="7:12" ht="18.75" x14ac:dyDescent="0.25">
      <c r="G135" s="107"/>
      <c r="H135" s="107"/>
      <c r="I135" s="30"/>
      <c r="J135" s="30"/>
      <c r="K135" s="30"/>
      <c r="L135" s="30"/>
    </row>
    <row r="136" spans="7:12" ht="18.75" x14ac:dyDescent="0.25">
      <c r="G136" s="107"/>
      <c r="H136" s="107"/>
      <c r="I136" s="30"/>
      <c r="J136" s="30"/>
      <c r="K136" s="30"/>
      <c r="L136" s="30"/>
    </row>
    <row r="137" spans="7:12" ht="18.75" x14ac:dyDescent="0.25">
      <c r="G137" s="107"/>
      <c r="H137" s="107"/>
      <c r="I137" s="30"/>
      <c r="J137" s="30"/>
      <c r="K137" s="30"/>
      <c r="L137" s="30"/>
    </row>
    <row r="138" spans="7:12" ht="18.75" x14ac:dyDescent="0.25">
      <c r="G138" s="107"/>
      <c r="H138" s="107"/>
      <c r="I138" s="30"/>
      <c r="J138" s="30"/>
      <c r="K138" s="30"/>
      <c r="L138" s="30"/>
    </row>
    <row r="139" spans="7:12" ht="18.75" x14ac:dyDescent="0.25">
      <c r="G139" s="107"/>
      <c r="H139" s="107"/>
      <c r="I139" s="30"/>
      <c r="J139" s="30"/>
      <c r="K139" s="30"/>
      <c r="L139" s="30"/>
    </row>
    <row r="140" spans="7:12" ht="18.75" x14ac:dyDescent="0.25">
      <c r="G140" s="107"/>
      <c r="H140" s="107"/>
      <c r="I140" s="30"/>
      <c r="J140" s="30"/>
      <c r="K140" s="30"/>
      <c r="L140" s="30"/>
    </row>
    <row r="141" spans="7:12" ht="18.75" x14ac:dyDescent="0.25">
      <c r="G141" s="107"/>
      <c r="H141" s="107"/>
      <c r="I141" s="30"/>
      <c r="J141" s="30"/>
      <c r="K141" s="30"/>
      <c r="L141" s="30"/>
    </row>
    <row r="142" spans="7:12" ht="18.75" x14ac:dyDescent="0.25">
      <c r="G142" s="107"/>
      <c r="H142" s="107"/>
      <c r="I142" s="30"/>
      <c r="J142" s="30"/>
      <c r="K142" s="30"/>
      <c r="L142" s="30"/>
    </row>
    <row r="143" spans="7:12" ht="18.75" x14ac:dyDescent="0.25">
      <c r="G143" s="107"/>
      <c r="H143" s="107"/>
      <c r="I143" s="30"/>
      <c r="J143" s="30"/>
      <c r="K143" s="30"/>
      <c r="L143" s="30"/>
    </row>
    <row r="144" spans="7:12" ht="18.75" x14ac:dyDescent="0.25">
      <c r="G144" s="107"/>
      <c r="H144" s="107"/>
      <c r="I144" s="30"/>
      <c r="J144" s="30"/>
      <c r="K144" s="30"/>
      <c r="L144" s="30"/>
    </row>
    <row r="145" spans="7:12" ht="18.75" x14ac:dyDescent="0.25">
      <c r="G145" s="107"/>
      <c r="H145" s="107"/>
      <c r="I145" s="30"/>
      <c r="J145" s="30"/>
      <c r="K145" s="30"/>
      <c r="L145" s="30"/>
    </row>
    <row r="146" spans="7:12" ht="18.75" x14ac:dyDescent="0.25">
      <c r="G146" s="107"/>
      <c r="H146" s="107"/>
      <c r="I146" s="30"/>
      <c r="J146" s="30"/>
      <c r="K146" s="30"/>
      <c r="L146" s="30"/>
    </row>
    <row r="147" spans="7:12" ht="18.75" x14ac:dyDescent="0.25">
      <c r="G147" s="107"/>
      <c r="H147" s="107"/>
      <c r="I147" s="30"/>
      <c r="J147" s="30"/>
      <c r="K147" s="30"/>
      <c r="L147" s="30"/>
    </row>
    <row r="148" spans="7:12" ht="18.75" x14ac:dyDescent="0.25">
      <c r="G148" s="107"/>
      <c r="H148" s="107"/>
      <c r="I148" s="30"/>
      <c r="J148" s="30"/>
      <c r="K148" s="30"/>
      <c r="L148" s="30"/>
    </row>
    <row r="149" spans="7:12" ht="18.75" x14ac:dyDescent="0.25">
      <c r="G149" s="107"/>
      <c r="H149" s="107"/>
      <c r="I149" s="30"/>
      <c r="J149" s="30"/>
      <c r="K149" s="30"/>
      <c r="L149" s="30"/>
    </row>
    <row r="150" spans="7:12" ht="18.75" x14ac:dyDescent="0.25">
      <c r="G150" s="107"/>
      <c r="H150" s="107"/>
      <c r="I150" s="30"/>
      <c r="J150" s="30"/>
      <c r="K150" s="30"/>
      <c r="L150" s="30"/>
    </row>
    <row r="151" spans="7:12" ht="18.75" x14ac:dyDescent="0.25">
      <c r="G151" s="107"/>
      <c r="H151" s="107"/>
      <c r="I151" s="30"/>
      <c r="J151" s="30"/>
      <c r="K151" s="30"/>
      <c r="L151" s="30"/>
    </row>
    <row r="152" spans="7:12" ht="18.75" x14ac:dyDescent="0.25">
      <c r="G152" s="107"/>
      <c r="H152" s="107"/>
      <c r="I152" s="30"/>
      <c r="J152" s="30"/>
      <c r="K152" s="30"/>
      <c r="L152" s="30"/>
    </row>
    <row r="153" spans="7:12" ht="18.75" x14ac:dyDescent="0.25">
      <c r="G153" s="107"/>
      <c r="H153" s="107"/>
      <c r="I153" s="30"/>
      <c r="J153" s="30"/>
      <c r="K153" s="30"/>
      <c r="L153" s="30"/>
    </row>
    <row r="154" spans="7:12" ht="18.75" x14ac:dyDescent="0.25">
      <c r="G154" s="107"/>
      <c r="H154" s="107"/>
      <c r="I154" s="30"/>
      <c r="J154" s="30"/>
      <c r="K154" s="30"/>
      <c r="L154" s="30"/>
    </row>
    <row r="155" spans="7:12" ht="18.75" x14ac:dyDescent="0.25">
      <c r="G155" s="107"/>
      <c r="H155" s="107"/>
      <c r="I155" s="30"/>
      <c r="J155" s="30"/>
      <c r="K155" s="30"/>
      <c r="L155" s="30"/>
    </row>
    <row r="156" spans="7:12" ht="18.75" x14ac:dyDescent="0.25">
      <c r="G156" s="107"/>
      <c r="H156" s="107"/>
      <c r="I156" s="30"/>
      <c r="J156" s="30"/>
      <c r="K156" s="30"/>
      <c r="L156" s="30"/>
    </row>
    <row r="157" spans="7:12" ht="18.75" x14ac:dyDescent="0.25">
      <c r="G157" s="107"/>
      <c r="H157" s="107"/>
      <c r="I157" s="30"/>
      <c r="J157" s="30"/>
      <c r="K157" s="30"/>
      <c r="L157" s="30"/>
    </row>
    <row r="158" spans="7:12" ht="18.75" x14ac:dyDescent="0.25">
      <c r="G158" s="107"/>
      <c r="H158" s="107"/>
      <c r="I158" s="30"/>
      <c r="J158" s="30"/>
      <c r="K158" s="30"/>
      <c r="L158" s="30"/>
    </row>
    <row r="159" spans="7:12" ht="18.75" x14ac:dyDescent="0.25">
      <c r="G159" s="107"/>
      <c r="H159" s="107"/>
      <c r="I159" s="30"/>
      <c r="J159" s="30"/>
      <c r="K159" s="30"/>
      <c r="L159" s="30"/>
    </row>
    <row r="160" spans="7:12" ht="18.75" x14ac:dyDescent="0.25">
      <c r="G160" s="107"/>
      <c r="H160" s="107"/>
      <c r="I160" s="30"/>
      <c r="J160" s="30"/>
      <c r="K160" s="30"/>
      <c r="L160" s="30"/>
    </row>
    <row r="161" spans="7:12" ht="18.75" x14ac:dyDescent="0.25">
      <c r="G161" s="107"/>
      <c r="H161" s="107"/>
      <c r="I161" s="30"/>
      <c r="J161" s="30"/>
      <c r="K161" s="30"/>
      <c r="L161" s="30"/>
    </row>
    <row r="162" spans="7:12" ht="18.75" x14ac:dyDescent="0.25">
      <c r="G162" s="107"/>
      <c r="H162" s="107"/>
      <c r="I162" s="30"/>
      <c r="J162" s="30"/>
      <c r="K162" s="30"/>
      <c r="L162" s="30"/>
    </row>
    <row r="163" spans="7:12" ht="18.75" x14ac:dyDescent="0.25">
      <c r="G163" s="107"/>
      <c r="H163" s="107"/>
      <c r="I163" s="30"/>
      <c r="J163" s="30"/>
      <c r="K163" s="30"/>
      <c r="L163" s="30"/>
    </row>
    <row r="164" spans="7:12" ht="18.75" x14ac:dyDescent="0.25">
      <c r="G164" s="107"/>
      <c r="H164" s="107"/>
      <c r="I164" s="30"/>
      <c r="J164" s="30"/>
      <c r="K164" s="30"/>
      <c r="L164" s="30"/>
    </row>
    <row r="165" spans="7:12" ht="18.75" x14ac:dyDescent="0.25">
      <c r="G165" s="107"/>
      <c r="H165" s="107"/>
      <c r="I165" s="30"/>
      <c r="J165" s="30"/>
      <c r="K165" s="30"/>
      <c r="L165" s="30"/>
    </row>
    <row r="166" spans="7:12" ht="18.75" x14ac:dyDescent="0.25">
      <c r="G166" s="107"/>
      <c r="H166" s="107"/>
      <c r="I166" s="30"/>
      <c r="J166" s="30"/>
      <c r="K166" s="30"/>
      <c r="L166" s="30"/>
    </row>
    <row r="167" spans="7:12" ht="18.75" x14ac:dyDescent="0.25">
      <c r="G167" s="107"/>
      <c r="H167" s="107"/>
      <c r="I167" s="30"/>
      <c r="J167" s="30"/>
      <c r="K167" s="30"/>
      <c r="L167" s="30"/>
    </row>
    <row r="168" spans="7:12" ht="18.75" x14ac:dyDescent="0.25">
      <c r="G168" s="107"/>
      <c r="H168" s="107"/>
      <c r="I168" s="30"/>
      <c r="J168" s="30"/>
      <c r="K168" s="30"/>
      <c r="L168" s="30"/>
    </row>
    <row r="169" spans="7:12" ht="18.75" x14ac:dyDescent="0.25">
      <c r="G169" s="107"/>
      <c r="H169" s="107"/>
      <c r="I169" s="30"/>
      <c r="J169" s="30"/>
      <c r="K169" s="30"/>
      <c r="L169" s="30"/>
    </row>
    <row r="170" spans="7:12" ht="18.75" x14ac:dyDescent="0.25">
      <c r="G170" s="107"/>
      <c r="H170" s="107"/>
      <c r="I170" s="30"/>
      <c r="J170" s="30"/>
      <c r="K170" s="30"/>
      <c r="L170" s="30"/>
    </row>
    <row r="171" spans="7:12" ht="18.75" x14ac:dyDescent="0.25">
      <c r="G171" s="107"/>
      <c r="H171" s="107"/>
      <c r="I171" s="30"/>
      <c r="J171" s="30"/>
      <c r="K171" s="30"/>
      <c r="L171" s="30"/>
    </row>
    <row r="172" spans="7:12" ht="18.75" x14ac:dyDescent="0.25">
      <c r="G172" s="107"/>
      <c r="H172" s="107"/>
      <c r="I172" s="30"/>
      <c r="J172" s="30"/>
      <c r="K172" s="30"/>
      <c r="L172" s="30"/>
    </row>
    <row r="173" spans="7:12" ht="18.75" x14ac:dyDescent="0.25">
      <c r="G173" s="107"/>
      <c r="H173" s="107"/>
      <c r="I173" s="30"/>
      <c r="J173" s="30"/>
      <c r="K173" s="30"/>
      <c r="L173" s="30"/>
    </row>
    <row r="174" spans="7:12" ht="18.75" x14ac:dyDescent="0.25">
      <c r="G174" s="107"/>
      <c r="H174" s="107"/>
      <c r="I174" s="30"/>
      <c r="J174" s="30"/>
      <c r="K174" s="30"/>
      <c r="L174" s="30"/>
    </row>
    <row r="175" spans="7:12" ht="18.75" x14ac:dyDescent="0.25">
      <c r="G175" s="107"/>
      <c r="H175" s="107"/>
      <c r="I175" s="30"/>
      <c r="J175" s="30"/>
      <c r="K175" s="30"/>
      <c r="L175" s="30"/>
    </row>
    <row r="176" spans="7:12" ht="18.75" x14ac:dyDescent="0.25">
      <c r="G176" s="107"/>
      <c r="H176" s="107"/>
      <c r="I176" s="30"/>
      <c r="J176" s="30"/>
      <c r="K176" s="30"/>
      <c r="L176" s="30"/>
    </row>
    <row r="177" spans="7:12" ht="18.75" x14ac:dyDescent="0.25">
      <c r="G177" s="107"/>
      <c r="H177" s="107"/>
      <c r="I177" s="30"/>
      <c r="J177" s="30"/>
      <c r="K177" s="30"/>
      <c r="L177" s="30"/>
    </row>
    <row r="178" spans="7:12" ht="18.75" x14ac:dyDescent="0.25">
      <c r="G178" s="107"/>
      <c r="H178" s="107"/>
      <c r="I178" s="30"/>
      <c r="J178" s="30"/>
      <c r="K178" s="30"/>
      <c r="L178" s="30"/>
    </row>
    <row r="179" spans="7:12" ht="18.75" x14ac:dyDescent="0.25">
      <c r="G179" s="107"/>
      <c r="H179" s="107"/>
      <c r="I179" s="30"/>
      <c r="J179" s="30"/>
      <c r="K179" s="30"/>
      <c r="L179" s="30"/>
    </row>
    <row r="180" spans="7:12" ht="18.75" x14ac:dyDescent="0.25">
      <c r="G180" s="107"/>
      <c r="H180" s="107"/>
      <c r="I180" s="30"/>
      <c r="J180" s="30"/>
      <c r="K180" s="30"/>
      <c r="L180" s="30"/>
    </row>
    <row r="181" spans="7:12" ht="18.75" x14ac:dyDescent="0.25">
      <c r="G181" s="107"/>
      <c r="H181" s="107"/>
      <c r="I181" s="30"/>
      <c r="J181" s="30"/>
      <c r="K181" s="30"/>
      <c r="L181" s="30"/>
    </row>
    <row r="182" spans="7:12" ht="18.75" x14ac:dyDescent="0.25">
      <c r="G182" s="107"/>
      <c r="H182" s="107"/>
      <c r="I182" s="30"/>
      <c r="J182" s="30"/>
      <c r="K182" s="30"/>
      <c r="L182" s="30"/>
    </row>
    <row r="183" spans="7:12" ht="18.75" x14ac:dyDescent="0.25">
      <c r="G183" s="107"/>
      <c r="H183" s="107"/>
      <c r="I183" s="30"/>
      <c r="J183" s="30"/>
      <c r="K183" s="30"/>
      <c r="L183" s="30"/>
    </row>
    <row r="184" spans="7:12" ht="18.75" x14ac:dyDescent="0.25">
      <c r="G184" s="107"/>
      <c r="H184" s="107"/>
      <c r="I184" s="30"/>
      <c r="J184" s="30"/>
      <c r="K184" s="30"/>
      <c r="L184" s="30"/>
    </row>
    <row r="185" spans="7:12" ht="18.75" x14ac:dyDescent="0.25">
      <c r="G185" s="107"/>
      <c r="H185" s="107"/>
      <c r="I185" s="30"/>
      <c r="J185" s="30"/>
      <c r="K185" s="30"/>
      <c r="L185" s="30"/>
    </row>
    <row r="186" spans="7:12" ht="18.75" x14ac:dyDescent="0.25">
      <c r="G186" s="107"/>
      <c r="H186" s="107"/>
      <c r="I186" s="30"/>
      <c r="J186" s="30"/>
      <c r="K186" s="30"/>
      <c r="L186" s="30"/>
    </row>
    <row r="187" spans="7:12" ht="18.75" x14ac:dyDescent="0.25">
      <c r="G187" s="107"/>
      <c r="H187" s="107"/>
      <c r="I187" s="30"/>
      <c r="J187" s="30"/>
      <c r="K187" s="30"/>
      <c r="L187" s="30"/>
    </row>
    <row r="188" spans="7:12" ht="18.75" x14ac:dyDescent="0.25">
      <c r="G188" s="107"/>
      <c r="H188" s="107"/>
      <c r="I188" s="30"/>
      <c r="J188" s="30"/>
      <c r="K188" s="30"/>
      <c r="L188" s="30"/>
    </row>
    <row r="189" spans="7:12" ht="18.75" x14ac:dyDescent="0.25">
      <c r="G189" s="107"/>
      <c r="H189" s="107"/>
      <c r="I189" s="30"/>
      <c r="J189" s="30"/>
      <c r="K189" s="30"/>
      <c r="L189" s="30"/>
    </row>
    <row r="190" spans="7:12" ht="18.75" x14ac:dyDescent="0.25">
      <c r="G190" s="107"/>
      <c r="H190" s="107"/>
      <c r="I190" s="30"/>
      <c r="J190" s="30"/>
      <c r="K190" s="30"/>
      <c r="L190" s="30"/>
    </row>
    <row r="191" spans="7:12" ht="18.75" x14ac:dyDescent="0.25">
      <c r="G191" s="107"/>
      <c r="H191" s="107"/>
      <c r="I191" s="30"/>
      <c r="J191" s="30"/>
      <c r="K191" s="30"/>
      <c r="L191" s="30"/>
    </row>
    <row r="192" spans="7:12" ht="18.75" x14ac:dyDescent="0.25">
      <c r="G192" s="107"/>
      <c r="H192" s="107"/>
      <c r="I192" s="30"/>
      <c r="J192" s="30"/>
      <c r="K192" s="30"/>
      <c r="L192" s="30"/>
    </row>
    <row r="193" spans="7:12" ht="18.75" x14ac:dyDescent="0.25">
      <c r="G193" s="107"/>
      <c r="H193" s="107"/>
      <c r="I193" s="30"/>
      <c r="J193" s="30"/>
      <c r="K193" s="30"/>
      <c r="L193" s="30"/>
    </row>
    <row r="194" spans="7:12" ht="18.75" x14ac:dyDescent="0.25">
      <c r="G194" s="107"/>
      <c r="H194" s="107"/>
      <c r="I194" s="30"/>
      <c r="J194" s="30"/>
      <c r="K194" s="30"/>
      <c r="L194" s="30"/>
    </row>
    <row r="195" spans="7:12" ht="18.75" x14ac:dyDescent="0.25">
      <c r="G195" s="107"/>
      <c r="H195" s="107"/>
      <c r="I195" s="30"/>
      <c r="J195" s="30"/>
      <c r="K195" s="30"/>
      <c r="L195" s="30"/>
    </row>
    <row r="196" spans="7:12" ht="18.75" x14ac:dyDescent="0.25">
      <c r="G196" s="107"/>
      <c r="H196" s="107"/>
      <c r="I196" s="30"/>
      <c r="J196" s="30"/>
      <c r="K196" s="30"/>
      <c r="L196" s="30"/>
    </row>
    <row r="197" spans="7:12" ht="18.75" x14ac:dyDescent="0.25">
      <c r="G197" s="107"/>
      <c r="H197" s="107"/>
      <c r="I197" s="30"/>
      <c r="J197" s="30"/>
      <c r="K197" s="30"/>
      <c r="L197" s="30"/>
    </row>
    <row r="198" spans="7:12" ht="18.75" x14ac:dyDescent="0.25">
      <c r="G198" s="107"/>
      <c r="H198" s="107"/>
      <c r="I198" s="30"/>
      <c r="J198" s="30"/>
      <c r="K198" s="30"/>
      <c r="L198" s="30"/>
    </row>
    <row r="199" spans="7:12" ht="18.75" x14ac:dyDescent="0.25">
      <c r="G199" s="107"/>
      <c r="H199" s="107"/>
      <c r="I199" s="30"/>
      <c r="J199" s="30"/>
      <c r="K199" s="30"/>
      <c r="L199" s="30"/>
    </row>
    <row r="200" spans="7:12" ht="18.75" x14ac:dyDescent="0.25">
      <c r="G200" s="107"/>
      <c r="H200" s="107"/>
      <c r="I200" s="30"/>
      <c r="J200" s="30"/>
      <c r="K200" s="30"/>
      <c r="L200" s="30"/>
    </row>
    <row r="201" spans="7:12" ht="18.75" x14ac:dyDescent="0.25">
      <c r="G201" s="107"/>
      <c r="H201" s="107"/>
      <c r="I201" s="30"/>
      <c r="J201" s="30"/>
      <c r="K201" s="30"/>
      <c r="L201" s="30"/>
    </row>
    <row r="202" spans="7:12" ht="18.75" x14ac:dyDescent="0.25">
      <c r="G202" s="107"/>
      <c r="H202" s="107"/>
      <c r="I202" s="30"/>
      <c r="J202" s="30"/>
      <c r="K202" s="30"/>
      <c r="L202" s="30"/>
    </row>
    <row r="203" spans="7:12" ht="18.75" x14ac:dyDescent="0.25">
      <c r="G203" s="107"/>
      <c r="H203" s="107"/>
      <c r="I203" s="30"/>
      <c r="J203" s="30"/>
      <c r="K203" s="30"/>
      <c r="L203" s="30"/>
    </row>
    <row r="204" spans="7:12" ht="18.75" x14ac:dyDescent="0.25">
      <c r="G204" s="107"/>
      <c r="H204" s="107"/>
      <c r="I204" s="30"/>
      <c r="J204" s="30"/>
      <c r="K204" s="30"/>
      <c r="L204" s="30"/>
    </row>
    <row r="205" spans="7:12" ht="18.75" x14ac:dyDescent="0.25">
      <c r="G205" s="107"/>
      <c r="H205" s="107"/>
      <c r="I205" s="30"/>
      <c r="J205" s="30"/>
      <c r="K205" s="30"/>
      <c r="L205" s="30"/>
    </row>
    <row r="206" spans="7:12" ht="18.75" x14ac:dyDescent="0.25">
      <c r="G206" s="107"/>
      <c r="H206" s="107"/>
      <c r="I206" s="30"/>
      <c r="J206" s="30"/>
      <c r="K206" s="30"/>
      <c r="L206" s="30"/>
    </row>
    <row r="207" spans="7:12" ht="18.75" x14ac:dyDescent="0.25">
      <c r="G207" s="107"/>
      <c r="H207" s="107"/>
      <c r="I207" s="30"/>
      <c r="J207" s="30"/>
      <c r="K207" s="30"/>
      <c r="L207" s="30"/>
    </row>
    <row r="208" spans="7:12" ht="15.75" x14ac:dyDescent="0.25">
      <c r="G208" s="26"/>
      <c r="H208" s="26"/>
      <c r="I208" s="26"/>
      <c r="J208" s="26"/>
      <c r="K208" s="26"/>
      <c r="L208" s="26"/>
    </row>
    <row r="209" spans="7:12" ht="15.75" x14ac:dyDescent="0.25">
      <c r="G209" s="26"/>
      <c r="H209" s="26"/>
      <c r="I209" s="26"/>
      <c r="J209" s="26"/>
      <c r="K209" s="26"/>
      <c r="L209" s="26"/>
    </row>
    <row r="210" spans="7:12" ht="15.75" x14ac:dyDescent="0.25">
      <c r="G210" s="26"/>
      <c r="H210" s="26"/>
      <c r="I210" s="26"/>
      <c r="J210" s="26"/>
      <c r="K210" s="26"/>
      <c r="L210" s="26"/>
    </row>
    <row r="211" spans="7:12" ht="15.75" x14ac:dyDescent="0.25">
      <c r="G211" s="26"/>
      <c r="H211" s="26"/>
      <c r="I211" s="26"/>
      <c r="J211" s="26"/>
      <c r="K211" s="26"/>
      <c r="L211" s="26"/>
    </row>
    <row r="212" spans="7:12" ht="15.75" x14ac:dyDescent="0.25">
      <c r="G212" s="26"/>
      <c r="H212" s="26"/>
      <c r="I212" s="26"/>
      <c r="J212" s="26"/>
      <c r="K212" s="26"/>
      <c r="L212" s="26"/>
    </row>
    <row r="213" spans="7:12" ht="15.75" x14ac:dyDescent="0.25">
      <c r="G213" s="26"/>
      <c r="H213" s="26"/>
      <c r="I213" s="26"/>
      <c r="J213" s="26"/>
      <c r="K213" s="26"/>
      <c r="L213" s="26"/>
    </row>
    <row r="214" spans="7:12" ht="15.75" x14ac:dyDescent="0.25">
      <c r="G214" s="26"/>
      <c r="H214" s="26"/>
      <c r="I214" s="26"/>
      <c r="J214" s="26"/>
      <c r="K214" s="26"/>
      <c r="L214" s="26"/>
    </row>
    <row r="215" spans="7:12" ht="15.75" x14ac:dyDescent="0.25">
      <c r="G215" s="26"/>
      <c r="H215" s="26"/>
      <c r="I215" s="26"/>
      <c r="J215" s="26"/>
      <c r="K215" s="26"/>
      <c r="L215" s="26"/>
    </row>
    <row r="216" spans="7:12" ht="15.75" x14ac:dyDescent="0.25">
      <c r="G216" s="26"/>
      <c r="H216" s="26"/>
      <c r="I216" s="26"/>
      <c r="J216" s="26"/>
      <c r="K216" s="26"/>
      <c r="L216" s="26"/>
    </row>
    <row r="217" spans="7:12" ht="15.75" x14ac:dyDescent="0.25">
      <c r="G217" s="26"/>
      <c r="H217" s="26"/>
      <c r="I217" s="26"/>
      <c r="J217" s="26"/>
      <c r="K217" s="26"/>
      <c r="L217" s="26"/>
    </row>
    <row r="218" spans="7:12" ht="15.75" x14ac:dyDescent="0.25">
      <c r="G218" s="26"/>
      <c r="H218" s="26"/>
      <c r="I218" s="26"/>
      <c r="J218" s="26"/>
      <c r="K218" s="26"/>
      <c r="L218" s="26"/>
    </row>
    <row r="219" spans="7:12" ht="15.75" x14ac:dyDescent="0.25">
      <c r="G219" s="26"/>
      <c r="H219" s="26"/>
      <c r="I219" s="26"/>
      <c r="J219" s="26"/>
      <c r="K219" s="26"/>
      <c r="L219" s="26"/>
    </row>
    <row r="220" spans="7:12" ht="15.75" x14ac:dyDescent="0.25">
      <c r="G220" s="26"/>
      <c r="H220" s="26"/>
      <c r="I220" s="26"/>
      <c r="J220" s="26"/>
      <c r="K220" s="26"/>
      <c r="L220" s="26"/>
    </row>
    <row r="221" spans="7:12" ht="15.75" x14ac:dyDescent="0.25">
      <c r="G221" s="26"/>
      <c r="H221" s="26"/>
      <c r="I221" s="26"/>
      <c r="J221" s="26"/>
      <c r="K221" s="26"/>
      <c r="L221" s="26"/>
    </row>
    <row r="222" spans="7:12" ht="15.75" x14ac:dyDescent="0.25">
      <c r="G222" s="26"/>
      <c r="H222" s="26"/>
      <c r="I222" s="26"/>
      <c r="J222" s="26"/>
      <c r="K222" s="26"/>
      <c r="L222" s="26"/>
    </row>
    <row r="223" spans="7:12" ht="15.75" x14ac:dyDescent="0.25">
      <c r="G223" s="26"/>
      <c r="H223" s="26"/>
      <c r="I223" s="26"/>
      <c r="J223" s="26"/>
      <c r="K223" s="26"/>
      <c r="L223" s="26"/>
    </row>
    <row r="224" spans="7:12" ht="15.75" x14ac:dyDescent="0.25">
      <c r="G224" s="26"/>
      <c r="H224" s="26"/>
      <c r="I224" s="26"/>
      <c r="J224" s="26"/>
      <c r="K224" s="26"/>
      <c r="L224" s="26"/>
    </row>
    <row r="225" spans="7:12" ht="15.75" x14ac:dyDescent="0.25">
      <c r="G225" s="26"/>
      <c r="H225" s="26"/>
      <c r="I225" s="26"/>
      <c r="J225" s="26"/>
      <c r="K225" s="26"/>
      <c r="L225" s="26"/>
    </row>
    <row r="226" spans="7:12" ht="15.75" x14ac:dyDescent="0.25">
      <c r="G226" s="26"/>
      <c r="H226" s="26"/>
      <c r="I226" s="26"/>
      <c r="J226" s="26"/>
      <c r="K226" s="26"/>
      <c r="L226" s="26"/>
    </row>
    <row r="227" spans="7:12" ht="15.75" x14ac:dyDescent="0.25">
      <c r="G227" s="26"/>
      <c r="H227" s="26"/>
      <c r="I227" s="26"/>
      <c r="J227" s="26"/>
      <c r="K227" s="26"/>
      <c r="L227" s="26"/>
    </row>
    <row r="228" spans="7:12" ht="15.75" x14ac:dyDescent="0.25">
      <c r="G228" s="26"/>
      <c r="H228" s="26"/>
      <c r="I228" s="26"/>
      <c r="J228" s="26"/>
      <c r="K228" s="26"/>
      <c r="L228" s="26"/>
    </row>
    <row r="229" spans="7:12" ht="15.75" x14ac:dyDescent="0.25">
      <c r="G229" s="26"/>
      <c r="H229" s="26"/>
      <c r="I229" s="26"/>
      <c r="J229" s="26"/>
      <c r="K229" s="26"/>
      <c r="L229" s="26"/>
    </row>
    <row r="230" spans="7:12" ht="15.75" x14ac:dyDescent="0.25">
      <c r="G230" s="26"/>
      <c r="H230" s="26"/>
      <c r="I230" s="26"/>
      <c r="J230" s="26"/>
      <c r="K230" s="26"/>
      <c r="L230" s="26"/>
    </row>
    <row r="231" spans="7:12" ht="15.75" x14ac:dyDescent="0.25">
      <c r="G231" s="26"/>
      <c r="H231" s="26"/>
      <c r="I231" s="26"/>
      <c r="J231" s="26"/>
      <c r="K231" s="26"/>
      <c r="L231" s="26"/>
    </row>
    <row r="232" spans="7:12" ht="15.75" x14ac:dyDescent="0.25">
      <c r="G232" s="26"/>
      <c r="H232" s="26"/>
      <c r="I232" s="26"/>
      <c r="J232" s="26"/>
      <c r="K232" s="26"/>
      <c r="L232" s="26"/>
    </row>
    <row r="233" spans="7:12" ht="15.75" x14ac:dyDescent="0.25">
      <c r="G233" s="26"/>
      <c r="H233" s="26"/>
      <c r="I233" s="26"/>
      <c r="J233" s="26"/>
      <c r="K233" s="26"/>
      <c r="L233" s="26"/>
    </row>
    <row r="234" spans="7:12" ht="15.75" x14ac:dyDescent="0.25">
      <c r="G234" s="26"/>
      <c r="H234" s="26"/>
      <c r="I234" s="26"/>
      <c r="J234" s="26"/>
      <c r="K234" s="26"/>
      <c r="L234" s="26"/>
    </row>
    <row r="235" spans="7:12" ht="15.75" x14ac:dyDescent="0.25">
      <c r="G235" s="26"/>
      <c r="H235" s="26"/>
      <c r="I235" s="26"/>
      <c r="J235" s="26"/>
      <c r="K235" s="26"/>
      <c r="L235" s="26"/>
    </row>
    <row r="236" spans="7:12" ht="15.75" x14ac:dyDescent="0.25">
      <c r="G236" s="26"/>
      <c r="H236" s="26"/>
      <c r="I236" s="26"/>
      <c r="J236" s="26"/>
      <c r="K236" s="26"/>
      <c r="L236" s="26"/>
    </row>
    <row r="237" spans="7:12" ht="15.75" x14ac:dyDescent="0.25">
      <c r="G237" s="26"/>
      <c r="H237" s="26"/>
      <c r="I237" s="26"/>
      <c r="J237" s="26"/>
      <c r="K237" s="26"/>
      <c r="L237" s="26"/>
    </row>
    <row r="238" spans="7:12" ht="15.75" x14ac:dyDescent="0.25">
      <c r="G238" s="26"/>
      <c r="H238" s="26"/>
      <c r="I238" s="26"/>
      <c r="J238" s="26"/>
      <c r="K238" s="26"/>
      <c r="L238" s="26"/>
    </row>
    <row r="239" spans="7:12" ht="15.75" x14ac:dyDescent="0.25">
      <c r="G239" s="26"/>
      <c r="H239" s="26"/>
      <c r="I239" s="26"/>
      <c r="J239" s="26"/>
      <c r="K239" s="26"/>
      <c r="L239" s="26"/>
    </row>
    <row r="240" spans="7:12" ht="15.75" x14ac:dyDescent="0.25">
      <c r="G240" s="26"/>
      <c r="H240" s="26"/>
      <c r="I240" s="26"/>
      <c r="J240" s="26"/>
      <c r="K240" s="26"/>
      <c r="L240" s="26"/>
    </row>
    <row r="241" spans="7:12" ht="15.75" x14ac:dyDescent="0.25">
      <c r="G241" s="26"/>
      <c r="H241" s="26"/>
      <c r="I241" s="26"/>
      <c r="J241" s="26"/>
      <c r="K241" s="26"/>
      <c r="L241" s="26"/>
    </row>
  </sheetData>
  <mergeCells count="1">
    <mergeCell ref="H1:L1"/>
  </mergeCells>
  <conditionalFormatting sqref="D4:D5 D7:D8">
    <cfRule type="cellIs" dxfId="28" priority="46" operator="equal">
      <formula>0</formula>
    </cfRule>
  </conditionalFormatting>
  <dataValidations count="1">
    <dataValidation type="list" allowBlank="1" showInputMessage="1" sqref="H3:L3 H6:L6" xr:uid="{6D313546-C730-4AAB-A5BA-5E1C2B7C66AF}">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00000000-0002-0000-1A00-000000000000}">
          <x14:formula1>
            <xm:f>Unit!$A$4:$A$11</xm:f>
          </x14:formula1>
          <xm:sqref>D6 D3</xm:sqref>
        </x14:dataValidation>
        <x14:dataValidation type="list" allowBlank="1" showInputMessage="1" xr:uid="{00000000-0002-0000-1A00-000001000000}">
          <x14:formula1>
            <xm:f>Unit!#REF!</xm:f>
          </x14:formula1>
          <xm:sqref>I10:L207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theme="8" tint="0.39997558519241921"/>
  </sheetPr>
  <dimension ref="A3:F114"/>
  <sheetViews>
    <sheetView workbookViewId="0"/>
  </sheetViews>
  <sheetFormatPr defaultColWidth="9.140625" defaultRowHeight="15" outlineLevelRow="1" x14ac:dyDescent="0.25"/>
  <cols>
    <col min="1" max="1" width="64.140625" style="25" customWidth="1"/>
    <col min="2" max="3" width="9.140625" style="168"/>
    <col min="4" max="16384" width="9.140625" style="25"/>
  </cols>
  <sheetData>
    <row r="3" spans="1:1" ht="15.75" x14ac:dyDescent="0.25">
      <c r="A3" s="185" t="s">
        <v>149</v>
      </c>
    </row>
    <row r="4" spans="1:1" hidden="1" outlineLevel="1" x14ac:dyDescent="0.25">
      <c r="A4" s="25" t="s">
        <v>5</v>
      </c>
    </row>
    <row r="5" spans="1:1" hidden="1" outlineLevel="1" x14ac:dyDescent="0.25">
      <c r="A5" s="25" t="s">
        <v>15</v>
      </c>
    </row>
    <row r="6" spans="1:1" hidden="1" outlineLevel="1" x14ac:dyDescent="0.25">
      <c r="A6" s="25" t="s">
        <v>11</v>
      </c>
    </row>
    <row r="7" spans="1:1" hidden="1" outlineLevel="1" x14ac:dyDescent="0.25">
      <c r="A7" s="25" t="s">
        <v>25</v>
      </c>
    </row>
    <row r="8" spans="1:1" hidden="1" outlineLevel="1" x14ac:dyDescent="0.25">
      <c r="A8" s="25" t="s">
        <v>24</v>
      </c>
    </row>
    <row r="9" spans="1:1" hidden="1" outlineLevel="1" x14ac:dyDescent="0.25">
      <c r="A9" s="25" t="s">
        <v>218</v>
      </c>
    </row>
    <row r="10" spans="1:1" hidden="1" outlineLevel="1" x14ac:dyDescent="0.25">
      <c r="A10" s="25" t="s">
        <v>159</v>
      </c>
    </row>
    <row r="11" spans="1:1" hidden="1" outlineLevel="1" x14ac:dyDescent="0.25">
      <c r="A11" s="25" t="s">
        <v>154</v>
      </c>
    </row>
    <row r="12" spans="1:1" hidden="1" outlineLevel="1" x14ac:dyDescent="0.25"/>
    <row r="13" spans="1:1" hidden="1" outlineLevel="1" x14ac:dyDescent="0.25"/>
    <row r="14" spans="1:1" hidden="1" outlineLevel="1" x14ac:dyDescent="0.25"/>
    <row r="15" spans="1:1" collapsed="1" x14ac:dyDescent="0.25"/>
    <row r="16" spans="1:1" ht="15.75" x14ac:dyDescent="0.25">
      <c r="A16" s="185" t="s">
        <v>495</v>
      </c>
    </row>
    <row r="17" spans="1:5" hidden="1" outlineLevel="1" x14ac:dyDescent="0.25">
      <c r="A17" s="169" t="s">
        <v>258</v>
      </c>
    </row>
    <row r="18" spans="1:5" hidden="1" outlineLevel="1" x14ac:dyDescent="0.25">
      <c r="A18" s="25" t="s">
        <v>263</v>
      </c>
    </row>
    <row r="19" spans="1:5" hidden="1" outlineLevel="1" x14ac:dyDescent="0.25">
      <c r="A19" s="25" t="s">
        <v>264</v>
      </c>
    </row>
    <row r="20" spans="1:5" hidden="1" outlineLevel="1" x14ac:dyDescent="0.25">
      <c r="A20" s="25" t="s">
        <v>265</v>
      </c>
    </row>
    <row r="21" spans="1:5" hidden="1" outlineLevel="1" x14ac:dyDescent="0.25">
      <c r="A21" s="25" t="s">
        <v>266</v>
      </c>
    </row>
    <row r="22" spans="1:5" hidden="1" outlineLevel="1" x14ac:dyDescent="0.25">
      <c r="A22" s="25" t="s">
        <v>267</v>
      </c>
    </row>
    <row r="23" spans="1:5" hidden="1" outlineLevel="1" x14ac:dyDescent="0.25"/>
    <row r="24" spans="1:5" hidden="1" outlineLevel="1" x14ac:dyDescent="0.25">
      <c r="A24" s="169" t="s">
        <v>489</v>
      </c>
    </row>
    <row r="25" spans="1:5" hidden="1" outlineLevel="1" x14ac:dyDescent="0.25">
      <c r="A25" s="25" t="s">
        <v>566</v>
      </c>
    </row>
    <row r="26" spans="1:5" hidden="1" outlineLevel="1" x14ac:dyDescent="0.25">
      <c r="A26" s="25" t="s">
        <v>561</v>
      </c>
    </row>
    <row r="27" spans="1:5" hidden="1" outlineLevel="1" x14ac:dyDescent="0.25"/>
    <row r="28" spans="1:5" hidden="1" outlineLevel="1" x14ac:dyDescent="0.25">
      <c r="A28" s="169" t="s">
        <v>182</v>
      </c>
      <c r="B28" s="655" t="s">
        <v>347</v>
      </c>
      <c r="C28" s="655"/>
      <c r="D28" s="656" t="s">
        <v>348</v>
      </c>
      <c r="E28" s="656"/>
    </row>
    <row r="29" spans="1:5" hidden="1" outlineLevel="1" x14ac:dyDescent="0.25">
      <c r="A29" s="25" t="s">
        <v>275</v>
      </c>
      <c r="B29" s="25"/>
      <c r="C29" s="25"/>
      <c r="D29" s="168">
        <f>IF(Notes!$B$9="Domestic",28.01/2.7,IF(Notes!$B$9="Commercial",32.72/2.7))</f>
        <v>12.118518518518517</v>
      </c>
      <c r="E29" s="168">
        <f>38.95/2.7</f>
        <v>14.425925925925926</v>
      </c>
    </row>
    <row r="30" spans="1:5" hidden="1" outlineLevel="1" x14ac:dyDescent="0.25">
      <c r="A30" s="25" t="s">
        <v>269</v>
      </c>
      <c r="B30" s="168">
        <f>IF(Notes!$B$9="Domestic",21.89/2.7,IF(Notes!$B$9="Commercial",25.57/2.7))</f>
        <v>9.4703703703703699</v>
      </c>
      <c r="C30" s="168">
        <f>28.97/2.7</f>
        <v>10.729629629629628</v>
      </c>
    </row>
    <row r="31" spans="1:5" hidden="1" outlineLevel="1" x14ac:dyDescent="0.25">
      <c r="A31" s="25" t="s">
        <v>276</v>
      </c>
      <c r="B31" s="168">
        <f>IF(Notes!$B$9="Domestic",26.95/2.7,IF(Notes!$B$9="Commercial",31.24/2.7))</f>
        <v>11.57037037037037</v>
      </c>
      <c r="C31" s="168">
        <f>48.53/2.7</f>
        <v>17.974074074074075</v>
      </c>
      <c r="D31" s="168">
        <f>IF(Notes!$B$9="Domestic",28.01/2.7,IF(Notes!$B$9="Commercial",32.72/2.7))</f>
        <v>12.118518518518517</v>
      </c>
      <c r="E31" s="168">
        <f>51.56/2.7</f>
        <v>19.096296296296295</v>
      </c>
    </row>
    <row r="32" spans="1:5" hidden="1" outlineLevel="1" x14ac:dyDescent="0.25">
      <c r="A32" s="25" t="s">
        <v>277</v>
      </c>
      <c r="B32" s="168">
        <f>IF(Notes!$B$9="Domestic",22.17/2.7,IF(Notes!$B$9="Commercial",25.89/2.7))</f>
        <v>9.5888888888888886</v>
      </c>
      <c r="C32" s="168">
        <f>40.16/2.7</f>
        <v>14.874074074074072</v>
      </c>
    </row>
    <row r="33" spans="1:5" hidden="1" outlineLevel="1" x14ac:dyDescent="0.25">
      <c r="A33" s="25" t="s">
        <v>278</v>
      </c>
      <c r="B33" s="25"/>
      <c r="C33" s="25"/>
      <c r="D33" s="168">
        <f>IF(Notes!$B$9="Domestic",28.43/2.7,IF(Notes!$B$9="Commercial",33.2/2.7))</f>
        <v>12.296296296296296</v>
      </c>
      <c r="E33" s="168">
        <f>43.85/2.7</f>
        <v>16.24074074074074</v>
      </c>
    </row>
    <row r="34" spans="1:5" hidden="1" outlineLevel="1" x14ac:dyDescent="0.25">
      <c r="A34" s="25" t="s">
        <v>279</v>
      </c>
      <c r="B34" s="168">
        <f>IF(Notes!$B$9="Domestic",22.23/2.7,IF(Notes!$B$9="Commercial",25.96/2.7))</f>
        <v>9.6148148148148138</v>
      </c>
      <c r="C34" s="168">
        <f>32.55/2.7</f>
        <v>12.055555555555554</v>
      </c>
      <c r="D34" s="168">
        <f>IF(Notes!$B$9="Domestic",24.4/2.7,IF(Notes!$B$9="Commercial",28.49/2.7))</f>
        <v>10.55185185185185</v>
      </c>
      <c r="E34" s="168">
        <f>38.08/2.7</f>
        <v>14.103703703703703</v>
      </c>
    </row>
    <row r="35" spans="1:5" hidden="1" outlineLevel="1" x14ac:dyDescent="0.25">
      <c r="A35" s="25" t="s">
        <v>280</v>
      </c>
      <c r="B35" s="168">
        <f>IF(Notes!$B$9="Domestic",28.86/2.7,IF(Notes!$B$9="Commercial",33.42/2.7))</f>
        <v>12.377777777777778</v>
      </c>
      <c r="C35" s="168">
        <f>54.02/2.7</f>
        <v>20.007407407407406</v>
      </c>
      <c r="D35" s="168">
        <f>IF(Notes!$B$9="Domestic",30.28/2.7,IF(Notes!$B$9="Commercial",35.31/2.7))</f>
        <v>13.077777777777778</v>
      </c>
      <c r="E35" s="168">
        <f>59.44/2.7</f>
        <v>22.014814814814812</v>
      </c>
    </row>
    <row r="36" spans="1:5" hidden="1" outlineLevel="1" x14ac:dyDescent="0.25">
      <c r="A36" s="25" t="s">
        <v>349</v>
      </c>
      <c r="B36" s="168">
        <f>IF(Notes!$B$9="Domestic",23.56/2.7,IF(Notes!$B$9="Commercial",27.48/2.7))</f>
        <v>10.177777777777777</v>
      </c>
      <c r="C36" s="168">
        <f>44.65/2.7</f>
        <v>16.537037037037035</v>
      </c>
      <c r="D36" s="168">
        <f>IF(Notes!$B$9="Domestic",25.79/2.7,IF(Notes!$B$9="Commercial",30.08/2.7))</f>
        <v>11.140740740740739</v>
      </c>
      <c r="E36" s="168">
        <f>53.07/2.7</f>
        <v>19.655555555555555</v>
      </c>
    </row>
    <row r="37" spans="1:5" hidden="1" outlineLevel="1" x14ac:dyDescent="0.25">
      <c r="A37" s="25" t="s">
        <v>281</v>
      </c>
      <c r="B37" s="168">
        <f>IF(Notes!$B$9="Domestic",29.85/2.7,IF(Notes!$B$9="Commercial",34.59/2.7))</f>
        <v>12.811111111111112</v>
      </c>
      <c r="C37" s="168">
        <f>121.99/2.7</f>
        <v>45.181481481481477</v>
      </c>
    </row>
    <row r="38" spans="1:5" hidden="1" outlineLevel="1" x14ac:dyDescent="0.25">
      <c r="A38" s="25" t="s">
        <v>282</v>
      </c>
      <c r="B38" s="168">
        <f>IF(Notes!$B$9="Domestic",25.19/2.7,IF(Notes!$B$9="Commercial",28.57/2.7))</f>
        <v>10.581481481481481</v>
      </c>
      <c r="C38" s="168">
        <f>101.53/2.7</f>
        <v>37.603703703703701</v>
      </c>
    </row>
    <row r="39" spans="1:5" hidden="1" outlineLevel="1" x14ac:dyDescent="0.25">
      <c r="A39" s="25" t="s">
        <v>283</v>
      </c>
      <c r="D39" s="168">
        <f>IF(Notes!$B$9="Domestic",31.45/2.7,IF(Notes!$B$9="Commercial",36.71/2.7))</f>
        <v>13.596296296296297</v>
      </c>
      <c r="E39" s="168">
        <f>159.87/2.7</f>
        <v>59.211111111111109</v>
      </c>
    </row>
    <row r="40" spans="1:5" hidden="1" outlineLevel="1" x14ac:dyDescent="0.25">
      <c r="A40" s="25" t="s">
        <v>284</v>
      </c>
      <c r="D40" s="168">
        <f>IF(Notes!$B$9="Domestic",26.91/2.7,IF(Notes!$B$9="Commercial",31.42/2.7))</f>
        <v>11.637037037037038</v>
      </c>
      <c r="E40" s="168">
        <f>134.04/2.7</f>
        <v>49.644444444444439</v>
      </c>
    </row>
    <row r="41" spans="1:5" hidden="1" outlineLevel="1" x14ac:dyDescent="0.25"/>
    <row r="42" spans="1:5" hidden="1" outlineLevel="1" x14ac:dyDescent="0.25">
      <c r="A42" s="169" t="s">
        <v>183</v>
      </c>
      <c r="B42" s="655" t="s">
        <v>347</v>
      </c>
      <c r="C42" s="655"/>
      <c r="D42" s="656" t="s">
        <v>348</v>
      </c>
      <c r="E42" s="656"/>
    </row>
    <row r="43" spans="1:5" hidden="1" outlineLevel="1" x14ac:dyDescent="0.25">
      <c r="A43" s="25" t="s">
        <v>520</v>
      </c>
      <c r="B43" s="168">
        <f>IF(Notes!$B$9="Domestic",26.33/2.7,IF(Notes!$B$9="Commercial",30.76/2.7))</f>
        <v>11.392592592592592</v>
      </c>
      <c r="C43" s="168">
        <f>75.58/2.7</f>
        <v>27.99259259259259</v>
      </c>
      <c r="D43" s="168">
        <f>IF(Notes!$B$9="Domestic",25.39/2.7,IF(Notes!$B$9="Commercial",29.62/2.7))</f>
        <v>10.97037037037037</v>
      </c>
      <c r="E43" s="168">
        <f>105.93/2.7</f>
        <v>39.233333333333334</v>
      </c>
    </row>
    <row r="44" spans="1:5" hidden="1" outlineLevel="1" x14ac:dyDescent="0.25">
      <c r="A44" s="25" t="s">
        <v>521</v>
      </c>
      <c r="B44" s="168">
        <f>IF(Notes!$B$9="Domestic",20.02/2.7,IF(Notes!$B$9="Commercial",23.38/2.7))</f>
        <v>8.6592592592592581</v>
      </c>
      <c r="C44" s="168">
        <f>58.42/2.7</f>
        <v>21.637037037037036</v>
      </c>
      <c r="D44" s="168">
        <f>IF(Notes!$B$9="Domestic",21.29/2.7,IF(Notes!$B$9="Commercial",24.83/2.7))</f>
        <v>9.1962962962962944</v>
      </c>
      <c r="E44" s="168">
        <f>87.56/2.7</f>
        <v>32.42962962962963</v>
      </c>
    </row>
    <row r="45" spans="1:5" hidden="1" outlineLevel="1" x14ac:dyDescent="0.25">
      <c r="A45" s="25" t="s">
        <v>522</v>
      </c>
      <c r="B45" s="168">
        <f>IF(Notes!$B$9="Domestic",25.67/2.7,IF(Notes!$B$9="Commercial",29.94/2.7))</f>
        <v>11.088888888888889</v>
      </c>
      <c r="C45" s="168">
        <f>74.94/2.7</f>
        <v>27.755555555555553</v>
      </c>
      <c r="D45" s="168">
        <f>IF(Notes!$B$9="Domestic",25.67/2.7,IF(Notes!$B$9="Commercial",29.94/2.7))</f>
        <v>11.088888888888889</v>
      </c>
      <c r="E45" s="168">
        <f>116.64/2.7</f>
        <v>43.199999999999996</v>
      </c>
    </row>
    <row r="46" spans="1:5" hidden="1" outlineLevel="1" x14ac:dyDescent="0.25">
      <c r="A46" s="25" t="s">
        <v>523</v>
      </c>
      <c r="B46" s="168">
        <f>IF(Notes!$B$9="Domestic",21.57/2.7,IF(Notes!$B$9="Commercial",25.15/2.7))</f>
        <v>9.3148148148148131</v>
      </c>
      <c r="C46" s="168">
        <f>64.42/2.7</f>
        <v>23.859259259259257</v>
      </c>
      <c r="D46" s="168">
        <f>IF(Notes!$B$9="Domestic",21.57/2.7,IF(Notes!$B$9="Commercial",25.15/2.7))</f>
        <v>9.3148148148148131</v>
      </c>
      <c r="E46" s="168">
        <f>96.79/2.7</f>
        <v>35.848148148148148</v>
      </c>
    </row>
    <row r="47" spans="1:5" hidden="1" outlineLevel="1" x14ac:dyDescent="0.25">
      <c r="A47" s="25" t="s">
        <v>274</v>
      </c>
      <c r="B47" s="168">
        <f>IF(Notes!$B$9="Domestic",26.52/2.7,IF(Notes!$B$9="Commercial",30.92/2.7))</f>
        <v>11.451851851851853</v>
      </c>
      <c r="C47" s="168">
        <f>155.1/2.7</f>
        <v>57.444444444444436</v>
      </c>
      <c r="D47" s="168">
        <f>IF(Notes!$B$9="Domestic",26.52/2.7,IF(Notes!$B$9="Commercial",30.92/2.7))</f>
        <v>11.451851851851853</v>
      </c>
      <c r="E47" s="168">
        <f>209.48/2.7</f>
        <v>77.585185185185182</v>
      </c>
    </row>
    <row r="48" spans="1:5" hidden="1" outlineLevel="1" x14ac:dyDescent="0.25"/>
    <row r="49" spans="1:6" hidden="1" outlineLevel="1" x14ac:dyDescent="0.25">
      <c r="A49" s="169" t="s">
        <v>294</v>
      </c>
      <c r="F49" s="169"/>
    </row>
    <row r="50" spans="1:6" hidden="1" outlineLevel="1" x14ac:dyDescent="0.25">
      <c r="A50" s="25" t="s">
        <v>303</v>
      </c>
      <c r="B50" s="168">
        <f>IF(Notes!$B$9="Domestic",2.3,IF(Notes!$B$9="Commercial",2.83))</f>
        <v>2.83</v>
      </c>
      <c r="C50" s="168">
        <f>IF(Notes!$B$9="Domestic",5.65,IF(Notes!$B$9="Commercial",5.65))</f>
        <v>5.65</v>
      </c>
      <c r="D50" s="168"/>
    </row>
    <row r="51" spans="1:6" hidden="1" outlineLevel="1" x14ac:dyDescent="0.25">
      <c r="A51" s="25" t="s">
        <v>304</v>
      </c>
      <c r="B51" s="168">
        <f>IF(Notes!$B$9="Domestic",2.3,IF(Notes!$B$9="Commercial",2.83))</f>
        <v>2.83</v>
      </c>
      <c r="C51" s="168">
        <f>IF(Notes!$B$9="Domestic",7.18,IF(Notes!$B$9="Commercial",7.18))</f>
        <v>7.18</v>
      </c>
      <c r="D51" s="168"/>
    </row>
    <row r="52" spans="1:6" hidden="1" outlineLevel="1" x14ac:dyDescent="0.25">
      <c r="A52" s="25" t="s">
        <v>305</v>
      </c>
      <c r="B52" s="168">
        <f>IF(Notes!$B$9="Domestic",2.3,IF(Notes!$B$9="Commercial",2.83))</f>
        <v>2.83</v>
      </c>
      <c r="C52" s="168">
        <f>IF(Notes!$B$9="Domestic",7.57,IF(Notes!$B$9="Commercial",7.57))</f>
        <v>7.57</v>
      </c>
      <c r="D52" s="168"/>
    </row>
    <row r="53" spans="1:6" hidden="1" outlineLevel="1" x14ac:dyDescent="0.25">
      <c r="A53" s="25" t="s">
        <v>306</v>
      </c>
      <c r="B53" s="168">
        <f>IF(Notes!$B$9="Domestic",2.3,IF(Notes!$B$9="Commercial",2.83))</f>
        <v>2.83</v>
      </c>
      <c r="C53" s="168">
        <f>IF(Notes!$B$9="Domestic",9.43,IF(Notes!$B$9="Commercial",9.43))</f>
        <v>9.43</v>
      </c>
      <c r="D53" s="168"/>
    </row>
    <row r="54" spans="1:6" hidden="1" outlineLevel="1" x14ac:dyDescent="0.25">
      <c r="A54" s="25" t="s">
        <v>307</v>
      </c>
      <c r="B54" s="168">
        <f>IF(Notes!$B$9="Domestic",3.45,IF(Notes!$B$9="Commercial",4.24))</f>
        <v>4.24</v>
      </c>
      <c r="C54" s="168">
        <f>IF(Notes!$B$9="Domestic",15.58,IF(Notes!$B$9="Commercial",15.58))</f>
        <v>15.58</v>
      </c>
      <c r="D54" s="168"/>
    </row>
    <row r="55" spans="1:6" hidden="1" outlineLevel="1" x14ac:dyDescent="0.25"/>
    <row r="56" spans="1:6" hidden="1" outlineLevel="1" x14ac:dyDescent="0.25">
      <c r="A56" s="169" t="s">
        <v>295</v>
      </c>
    </row>
    <row r="57" spans="1:6" hidden="1" outlineLevel="1" x14ac:dyDescent="0.25">
      <c r="A57" s="25" t="s">
        <v>308</v>
      </c>
      <c r="B57" s="168">
        <f>IF(Notes!$B$9="Domestic",2.88,IF(Notes!$B$9="Commercial",3.53))</f>
        <v>3.53</v>
      </c>
      <c r="C57" s="168">
        <f>IF(Notes!$B$9="Domestic",3.65,IF(Notes!$B$9="Commercial",3.65))</f>
        <v>3.65</v>
      </c>
    </row>
    <row r="58" spans="1:6" hidden="1" outlineLevel="1" x14ac:dyDescent="0.25">
      <c r="A58" s="25" t="s">
        <v>309</v>
      </c>
      <c r="B58" s="168">
        <f>IF(Notes!$B$9="Domestic",2.88,IF(Notes!$B$9="Commercial",3.53))</f>
        <v>3.53</v>
      </c>
      <c r="C58" s="168">
        <f>IF(Notes!$B$9="Domestic",4.09,IF(Notes!$B$9="Commercial",4.09))</f>
        <v>4.09</v>
      </c>
    </row>
    <row r="59" spans="1:6" hidden="1" outlineLevel="1" x14ac:dyDescent="0.25">
      <c r="A59" s="25" t="s">
        <v>305</v>
      </c>
      <c r="B59" s="168">
        <f>IF(Notes!$B$9="Domestic",2.88,IF(Notes!$B$9="Commercial",3.53))</f>
        <v>3.53</v>
      </c>
      <c r="C59" s="168">
        <f>IF(Notes!$B$9="Domestic",6.85,IF(Notes!$B$9="Commercial",6.85))</f>
        <v>6.85</v>
      </c>
    </row>
    <row r="60" spans="1:6" hidden="1" outlineLevel="1" x14ac:dyDescent="0.25">
      <c r="A60" s="25" t="s">
        <v>306</v>
      </c>
      <c r="B60" s="168">
        <f>IF(Notes!$B$9="Domestic",2.88,IF(Notes!$B$9="Commercial",3.53))</f>
        <v>3.53</v>
      </c>
      <c r="C60" s="168">
        <f>IF(Notes!$B$9="Domestic",9.43,IF(Notes!$B$9="Commercial",9.43))</f>
        <v>9.43</v>
      </c>
    </row>
    <row r="61" spans="1:6" hidden="1" outlineLevel="1" x14ac:dyDescent="0.25"/>
    <row r="62" spans="1:6" hidden="1" outlineLevel="1" x14ac:dyDescent="0.25">
      <c r="A62" s="169" t="s">
        <v>296</v>
      </c>
    </row>
    <row r="63" spans="1:6" hidden="1" outlineLevel="1" x14ac:dyDescent="0.25">
      <c r="A63" s="25" t="s">
        <v>299</v>
      </c>
      <c r="B63" s="168">
        <f>IF(Notes!$B$9="Domestic",2.79,IF(Notes!$B$9="Commercial",3.26))</f>
        <v>3.26</v>
      </c>
      <c r="C63" s="168">
        <f>IF(Notes!$B$9="Domestic",8.61,IF(Notes!$B$9="Commercial",8.61))</f>
        <v>8.61</v>
      </c>
    </row>
    <row r="64" spans="1:6" hidden="1" outlineLevel="1" x14ac:dyDescent="0.25">
      <c r="A64" s="25" t="s">
        <v>300</v>
      </c>
      <c r="B64" s="168">
        <f>IF(Notes!$B$9="Domestic",2.79,IF(Notes!$B$9="Commercial",3.26))</f>
        <v>3.26</v>
      </c>
      <c r="C64" s="168">
        <f>IF(Notes!$B$9="Domestic",9.45,IF(Notes!$B$9="Commercial",9.45))</f>
        <v>9.4499999999999993</v>
      </c>
    </row>
    <row r="65" spans="1:3" hidden="1" outlineLevel="1" x14ac:dyDescent="0.25">
      <c r="A65" s="25" t="s">
        <v>301</v>
      </c>
      <c r="B65" s="168">
        <f>IF(Notes!$B$9="Domestic",2.79,IF(Notes!$B$9="Commercial",3.26))</f>
        <v>3.26</v>
      </c>
      <c r="C65" s="168">
        <f>IF(Notes!$B$9="Domestic",19.36,IF(Notes!$B$9="Commercial",19.36))</f>
        <v>19.36</v>
      </c>
    </row>
    <row r="66" spans="1:3" hidden="1" outlineLevel="1" x14ac:dyDescent="0.25">
      <c r="A66" s="25" t="s">
        <v>302</v>
      </c>
      <c r="B66" s="168">
        <f>IF(Notes!$B$9="Domestic",2.79,IF(Notes!$B$9="Commercial",3.26))</f>
        <v>3.26</v>
      </c>
      <c r="C66" s="168">
        <f>IF(Notes!$B$9="Domestic",25.8,IF(Notes!$B$9="Commercial",25.8))</f>
        <v>25.8</v>
      </c>
    </row>
    <row r="67" spans="1:3" hidden="1" outlineLevel="1" x14ac:dyDescent="0.25"/>
    <row r="68" spans="1:3" hidden="1" outlineLevel="1" x14ac:dyDescent="0.25">
      <c r="A68" s="169" t="s">
        <v>342</v>
      </c>
    </row>
    <row r="69" spans="1:3" hidden="1" outlineLevel="1" x14ac:dyDescent="0.25">
      <c r="A69" s="25" t="s">
        <v>318</v>
      </c>
      <c r="B69" s="168">
        <f>IF(Notes!$B$9="Domestic",2.88,IF(Notes!$B$9="Commercial",3.53))</f>
        <v>3.53</v>
      </c>
      <c r="C69" s="168">
        <f>IF(Notes!$B$9="Domestic",3.04,IF(Notes!$B$9="Commercial",3.04))</f>
        <v>3.04</v>
      </c>
    </row>
    <row r="70" spans="1:3" hidden="1" outlineLevel="1" x14ac:dyDescent="0.25">
      <c r="A70" s="25" t="s">
        <v>353</v>
      </c>
      <c r="B70" s="168">
        <f>IF(Notes!$B$9="Domestic",2.88,IF(Notes!$B$9="Commercial",3.53))</f>
        <v>3.53</v>
      </c>
      <c r="C70" s="168">
        <f>IF(Notes!$B$9="Domestic",8.33,IF(Notes!$B$9="Commercial",8.33))</f>
        <v>8.33</v>
      </c>
    </row>
    <row r="71" spans="1:3" hidden="1" outlineLevel="1" x14ac:dyDescent="0.25">
      <c r="A71" s="25" t="s">
        <v>319</v>
      </c>
      <c r="B71" s="168">
        <f>IF(Notes!$B$9="Domestic",2.88,IF(Notes!$B$9="Commercial",3.53))</f>
        <v>3.53</v>
      </c>
      <c r="C71" s="168">
        <f>IF(Notes!$B$9="Domestic",4.27,IF(Notes!$B$9="Commercial",4.27))</f>
        <v>4.2699999999999996</v>
      </c>
    </row>
    <row r="72" spans="1:3" hidden="1" outlineLevel="1" x14ac:dyDescent="0.25">
      <c r="A72" s="25" t="s">
        <v>304</v>
      </c>
      <c r="B72" s="168">
        <f>IF(Notes!$B$9="Domestic",2.88,IF(Notes!$B$9="Commercial",3.53))</f>
        <v>3.53</v>
      </c>
      <c r="C72" s="168">
        <f>IF(Notes!$B$9="Domestic",5.14,IF(Notes!$B$9="Commercial",5.14))</f>
        <v>5.14</v>
      </c>
    </row>
    <row r="73" spans="1:3" hidden="1" outlineLevel="1" x14ac:dyDescent="0.25">
      <c r="A73" s="25" t="s">
        <v>352</v>
      </c>
      <c r="B73" s="168">
        <f>IF(Notes!$B$9="Domestic",2.88,IF(Notes!$B$9="Commercial",3.53))</f>
        <v>3.53</v>
      </c>
      <c r="C73" s="168">
        <f>IF(Notes!$B$9="Domestic",11.33,IF(Notes!$B$9="Commercial",11.33))</f>
        <v>11.33</v>
      </c>
    </row>
    <row r="74" spans="1:3" hidden="1" outlineLevel="1" x14ac:dyDescent="0.25">
      <c r="A74" s="25" t="s">
        <v>351</v>
      </c>
      <c r="B74" s="168">
        <f>IF(Notes!$B$9="Domestic",2.88,IF(Notes!$B$9="Commercial",3.53))</f>
        <v>3.53</v>
      </c>
      <c r="C74" s="168">
        <f>IF(Notes!$B$9="Domestic",9.33,IF(Notes!$B$9="Commercial",9.33))</f>
        <v>9.33</v>
      </c>
    </row>
    <row r="75" spans="1:3" hidden="1" outlineLevel="1" x14ac:dyDescent="0.25">
      <c r="A75" s="25" t="s">
        <v>350</v>
      </c>
      <c r="B75" s="168">
        <f>IF(Notes!$B$9="Domestic",2.88,IF(Notes!$B$9="Commercial",3.53))</f>
        <v>3.53</v>
      </c>
      <c r="C75" s="168">
        <f>IF(Notes!$B$9="Domestic",18.71,IF(Notes!$B$9="Commercial",18.71))</f>
        <v>18.71</v>
      </c>
    </row>
    <row r="76" spans="1:3" hidden="1" outlineLevel="1" x14ac:dyDescent="0.25">
      <c r="A76" s="25" t="s">
        <v>320</v>
      </c>
      <c r="B76" s="168">
        <f>IF(Notes!$B$9="Domestic",3.45,IF(Notes!$B$9="Commercial",4.24))</f>
        <v>4.24</v>
      </c>
      <c r="C76" s="168">
        <f>IF(Notes!$B$9="Domestic",5.48,IF(Notes!$B$9="Commercial",5.48))</f>
        <v>5.48</v>
      </c>
    </row>
    <row r="77" spans="1:3" hidden="1" outlineLevel="1" x14ac:dyDescent="0.25">
      <c r="A77" s="25" t="s">
        <v>321</v>
      </c>
      <c r="B77" s="168">
        <f>IF(Notes!$B$9="Domestic",3.45,IF(Notes!$B$9="Commercial",4.24))</f>
        <v>4.24</v>
      </c>
      <c r="C77" s="168">
        <f>IF(Notes!$B$9="Domestic",6.71,IF(Notes!$B$9="Commercial",6.71))</f>
        <v>6.71</v>
      </c>
    </row>
    <row r="78" spans="1:3" hidden="1" outlineLevel="1" x14ac:dyDescent="0.25">
      <c r="A78" s="25" t="s">
        <v>322</v>
      </c>
      <c r="B78" s="168">
        <f>IF(Notes!$B$9="Domestic",3.45,IF(Notes!$B$9="Commercial",4.24))</f>
        <v>4.24</v>
      </c>
      <c r="C78" s="168">
        <f>IF(Notes!$B$9="Domestic",9.55,IF(Notes!$B$9="Commercial",9.55))</f>
        <v>9.5500000000000007</v>
      </c>
    </row>
    <row r="79" spans="1:3" hidden="1" outlineLevel="1" x14ac:dyDescent="0.25">
      <c r="A79" s="25" t="s">
        <v>323</v>
      </c>
      <c r="B79" s="168">
        <f>IF(Notes!$B$9="Domestic",3.45,IF(Notes!$B$9="Commercial",4.24))</f>
        <v>4.24</v>
      </c>
      <c r="C79" s="168">
        <f>IF(Notes!$B$9="Domestic",11.81,IF(Notes!$B$9="Commercial",11.81))</f>
        <v>11.81</v>
      </c>
    </row>
    <row r="80" spans="1:3" hidden="1" outlineLevel="1" x14ac:dyDescent="0.25">
      <c r="A80" s="25" t="s">
        <v>324</v>
      </c>
      <c r="B80" s="168">
        <f>IF(Notes!$B$9="Domestic",3.45,IF(Notes!$B$9="Commercial",4.24))</f>
        <v>4.24</v>
      </c>
      <c r="C80" s="168">
        <f>IF(Notes!$B$9="Domestic",20.18,IF(Notes!$B$9="Commercial",20.18))</f>
        <v>20.18</v>
      </c>
    </row>
    <row r="81" spans="1:3" hidden="1" outlineLevel="1" x14ac:dyDescent="0.25"/>
    <row r="82" spans="1:3" hidden="1" outlineLevel="1" x14ac:dyDescent="0.25">
      <c r="A82" s="169" t="s">
        <v>343</v>
      </c>
    </row>
    <row r="83" spans="1:3" hidden="1" outlineLevel="1" x14ac:dyDescent="0.25">
      <c r="A83" s="25" t="s">
        <v>303</v>
      </c>
      <c r="B83" s="168">
        <f>IF(Notes!$B$9="Domestic",2.88,IF(Notes!$B$9="Commercial",3.53))</f>
        <v>3.53</v>
      </c>
      <c r="C83" s="168">
        <f>IF(Notes!$B$9="Domestic",8.87,IF(Notes!$B$9="Commercial",8.87))</f>
        <v>8.8699999999999992</v>
      </c>
    </row>
    <row r="84" spans="1:3" hidden="1" outlineLevel="1" x14ac:dyDescent="0.25">
      <c r="A84" s="25" t="s">
        <v>305</v>
      </c>
      <c r="B84" s="168">
        <f>IF(Notes!$B$9="Domestic",2.88,IF(Notes!$B$9="Commercial",3.53))</f>
        <v>3.53</v>
      </c>
      <c r="C84" s="168">
        <f>IF(Notes!$B$9="Domestic",10.51,IF(Notes!$B$9="Commercial",10.51))</f>
        <v>10.51</v>
      </c>
    </row>
    <row r="85" spans="1:3" hidden="1" outlineLevel="1" x14ac:dyDescent="0.25">
      <c r="A85" s="25" t="s">
        <v>325</v>
      </c>
      <c r="B85" s="168">
        <f>IF(Notes!$B$9="Domestic",2.88,IF(Notes!$B$9="Commercial",3.53))</f>
        <v>3.53</v>
      </c>
      <c r="C85" s="168">
        <f>IF(Notes!$B$9="Domestic",11.67,IF(Notes!$B$9="Commercial",11.67))</f>
        <v>11.67</v>
      </c>
    </row>
    <row r="86" spans="1:3" hidden="1" outlineLevel="1" x14ac:dyDescent="0.25">
      <c r="A86" s="25" t="s">
        <v>326</v>
      </c>
      <c r="B86" s="168">
        <f>IF(Notes!$B$9="Domestic",2.88,IF(Notes!$B$9="Commercial",3.53))</f>
        <v>3.53</v>
      </c>
      <c r="C86" s="168">
        <f>IF(Notes!$B$9="Domestic",16.3,IF(Notes!$B$9="Commercial",16.3))</f>
        <v>16.3</v>
      </c>
    </row>
    <row r="87" spans="1:3" hidden="1" outlineLevel="1" x14ac:dyDescent="0.25"/>
    <row r="88" spans="1:3" hidden="1" outlineLevel="1" x14ac:dyDescent="0.25">
      <c r="A88" s="169" t="s">
        <v>328</v>
      </c>
    </row>
    <row r="89" spans="1:3" hidden="1" outlineLevel="1" x14ac:dyDescent="0.25">
      <c r="A89" s="25" t="s">
        <v>329</v>
      </c>
      <c r="B89" s="168">
        <f>IF(Notes!$B$9="Domestic",2.88,IF(Notes!$B$9="Commercial",3.53))</f>
        <v>3.53</v>
      </c>
      <c r="C89" s="168">
        <f>IF(Notes!$B$9="Domestic",21.37,IF(Notes!$B$9="Commercial",21.37))</f>
        <v>21.37</v>
      </c>
    </row>
    <row r="90" spans="1:3" hidden="1" outlineLevel="1" x14ac:dyDescent="0.25">
      <c r="A90" s="25" t="s">
        <v>330</v>
      </c>
      <c r="B90" s="168">
        <f>IF(Notes!$B$9="Domestic",2.88,IF(Notes!$B$9="Commercial",3.53))</f>
        <v>3.53</v>
      </c>
      <c r="C90" s="168">
        <f>IF(Notes!$B$9="Domestic",24.05,IF(Notes!$B$9="Commercial",24.05))</f>
        <v>24.05</v>
      </c>
    </row>
    <row r="91" spans="1:3" hidden="1" outlineLevel="1" x14ac:dyDescent="0.25"/>
    <row r="92" spans="1:3" hidden="1" outlineLevel="1" x14ac:dyDescent="0.25">
      <c r="A92" s="169" t="s">
        <v>332</v>
      </c>
    </row>
    <row r="93" spans="1:3" hidden="1" outlineLevel="1" x14ac:dyDescent="0.25">
      <c r="A93" s="25" t="s">
        <v>333</v>
      </c>
      <c r="B93" s="168">
        <f>IF(Notes!$B$9="Domestic",2.93,IF(Notes!$B$9="Commercial",3.65))</f>
        <v>3.65</v>
      </c>
      <c r="C93" s="168">
        <f>IF(Notes!$B$9="Domestic",19.42,IF(Notes!$B$9="Commercial",19.42))</f>
        <v>19.420000000000002</v>
      </c>
    </row>
    <row r="94" spans="1:3" hidden="1" outlineLevel="1" x14ac:dyDescent="0.25">
      <c r="A94" s="25" t="s">
        <v>301</v>
      </c>
      <c r="B94" s="168">
        <f>IF(Notes!$B$9="Domestic",2.93,IF(Notes!$B$9="Commercial",3.65))</f>
        <v>3.65</v>
      </c>
      <c r="C94" s="168">
        <f>IF(Notes!$B$9="Domestic",28.8,IF(Notes!$B$9="Commercial",28.8))</f>
        <v>28.8</v>
      </c>
    </row>
    <row r="95" spans="1:3" hidden="1" outlineLevel="1" x14ac:dyDescent="0.25"/>
    <row r="96" spans="1:3" hidden="1" outlineLevel="1" x14ac:dyDescent="0.25">
      <c r="A96" s="169" t="s">
        <v>334</v>
      </c>
    </row>
    <row r="97" spans="1:3" hidden="1" outlineLevel="1" x14ac:dyDescent="0.25">
      <c r="A97" s="25" t="s">
        <v>335</v>
      </c>
      <c r="B97" s="168">
        <f>IF(Notes!$B$9="Domestic",2.88,IF(Notes!$B$9="Commercial",3.53))</f>
        <v>3.53</v>
      </c>
      <c r="C97" s="168">
        <f>IF(Notes!$B$9="Domestic",7.26,IF(Notes!$B$9="Commercial",7.26))</f>
        <v>7.26</v>
      </c>
    </row>
    <row r="98" spans="1:3" hidden="1" outlineLevel="1" x14ac:dyDescent="0.25">
      <c r="A98" s="25" t="s">
        <v>306</v>
      </c>
      <c r="B98" s="168">
        <f>IF(Notes!$B$9="Domestic",2.88,IF(Notes!$B$9="Commercial",3.53))</f>
        <v>3.53</v>
      </c>
      <c r="C98" s="168">
        <f>IF(Notes!$B$9="Domestic",9.43,IF(Notes!$B$9="Commercial",9.43))</f>
        <v>9.43</v>
      </c>
    </row>
    <row r="99" spans="1:3" hidden="1" outlineLevel="1" x14ac:dyDescent="0.25">
      <c r="A99" s="25" t="s">
        <v>336</v>
      </c>
      <c r="B99" s="168">
        <f>IF(Notes!$B$9="Domestic",2.88,IF(Notes!$B$9="Commercial",3.53))</f>
        <v>3.53</v>
      </c>
      <c r="C99" s="168">
        <f>IF(Notes!$B$9="Domestic",10.87,IF(Notes!$B$9="Commercial",10.87))</f>
        <v>10.87</v>
      </c>
    </row>
    <row r="100" spans="1:3" hidden="1" outlineLevel="1" x14ac:dyDescent="0.25">
      <c r="A100" s="25" t="s">
        <v>337</v>
      </c>
      <c r="B100" s="168">
        <f>IF(Notes!$B$9="Domestic",3.45,IF(Notes!$B$9="Commercial",4.24))</f>
        <v>4.24</v>
      </c>
      <c r="C100" s="168">
        <f>IF(Notes!$B$9="Domestic",12.92,IF(Notes!$B$9="Commercial",12.92))</f>
        <v>12.92</v>
      </c>
    </row>
    <row r="101" spans="1:3" hidden="1" outlineLevel="1" x14ac:dyDescent="0.25">
      <c r="A101" s="25" t="s">
        <v>338</v>
      </c>
      <c r="B101" s="168">
        <f>IF(Notes!$B$9="Domestic",3.45,IF(Notes!$B$9="Commercial",4.24))</f>
        <v>4.24</v>
      </c>
      <c r="C101" s="168">
        <f>IF(Notes!$B$9="Domestic",13.53,IF(Notes!$B$9="Commercial",13.53))</f>
        <v>13.53</v>
      </c>
    </row>
    <row r="102" spans="1:3" hidden="1" outlineLevel="1" x14ac:dyDescent="0.25">
      <c r="A102" s="25" t="s">
        <v>321</v>
      </c>
      <c r="B102" s="168">
        <f>IF(Notes!$B$9="Domestic",3.45,IF(Notes!$B$9="Commercial",4.24))</f>
        <v>4.24</v>
      </c>
      <c r="C102" s="168">
        <f>IF(Notes!$B$9="Domestic",18.04,IF(Notes!$B$9="Commercial",18.04))</f>
        <v>18.04</v>
      </c>
    </row>
    <row r="103" spans="1:3" hidden="1" outlineLevel="1" x14ac:dyDescent="0.25">
      <c r="A103" s="25" t="s">
        <v>322</v>
      </c>
      <c r="B103" s="168">
        <f>IF(Notes!$B$9="Domestic",4.03,IF(Notes!$B$9="Commercial",4.95))</f>
        <v>4.95</v>
      </c>
      <c r="C103" s="168">
        <f>IF(Notes!$B$9="Domestic",28.7,IF(Notes!$B$9="Commercial",28.7))</f>
        <v>28.7</v>
      </c>
    </row>
    <row r="104" spans="1:3" hidden="1" outlineLevel="1" x14ac:dyDescent="0.25">
      <c r="A104" s="25" t="s">
        <v>323</v>
      </c>
      <c r="B104" s="168">
        <f>IF(Notes!$B$9="Domestic",4.03,IF(Notes!$B$9="Commercial",4.95))</f>
        <v>4.95</v>
      </c>
      <c r="C104" s="168">
        <f>IF(Notes!$B$9="Domestic",32.29,IF(Notes!$B$9="Commercial",32.29))</f>
        <v>32.29</v>
      </c>
    </row>
    <row r="105" spans="1:3" hidden="1" outlineLevel="1" x14ac:dyDescent="0.25"/>
    <row r="106" spans="1:3" hidden="1" outlineLevel="1" x14ac:dyDescent="0.25">
      <c r="A106" s="169" t="s">
        <v>339</v>
      </c>
    </row>
    <row r="107" spans="1:3" hidden="1" outlineLevel="1" x14ac:dyDescent="0.25">
      <c r="A107" s="25" t="s">
        <v>308</v>
      </c>
      <c r="B107" s="168">
        <f>IF(Notes!$B$9="Domestic",3.45,IF(Notes!$B$9="Commercial",4.24))</f>
        <v>4.24</v>
      </c>
      <c r="C107" s="168">
        <f>IF(Notes!$B$9="Domestic",3.65,IF(Notes!$B$9="Commercial",3.65))</f>
        <v>3.65</v>
      </c>
    </row>
    <row r="108" spans="1:3" hidden="1" outlineLevel="1" x14ac:dyDescent="0.25">
      <c r="A108" s="25" t="s">
        <v>309</v>
      </c>
      <c r="B108" s="168">
        <f>IF(Notes!$B$9="Domestic",3.45,IF(Notes!$B$9="Commercial",4.24))</f>
        <v>4.24</v>
      </c>
      <c r="C108" s="168">
        <f>IF(Notes!$B$9="Domestic",4.09,IF(Notes!$B$9="Commercial",4.09))</f>
        <v>4.09</v>
      </c>
    </row>
    <row r="109" spans="1:3" hidden="1" outlineLevel="1" x14ac:dyDescent="0.25">
      <c r="A109" s="25" t="s">
        <v>305</v>
      </c>
      <c r="B109" s="168">
        <f>IF(Notes!$B$9="Domestic",3.45,IF(Notes!$B$9="Commercial",4.24))</f>
        <v>4.24</v>
      </c>
      <c r="C109" s="168">
        <f>IF(Notes!$B$9="Domestic",6.85,IF(Notes!$B$9="Commercial",6.85))</f>
        <v>6.85</v>
      </c>
    </row>
    <row r="110" spans="1:3" hidden="1" outlineLevel="1" x14ac:dyDescent="0.25">
      <c r="A110" s="25" t="s">
        <v>306</v>
      </c>
      <c r="B110" s="168">
        <f>IF(Notes!$B$9="Domestic",3.45,IF(Notes!$B$9="Commercial",4.24))</f>
        <v>4.24</v>
      </c>
      <c r="C110" s="168">
        <f>IF(Notes!$B$9="Domestic",9.43,IF(Notes!$B$9="Commercial",9.43))</f>
        <v>9.43</v>
      </c>
    </row>
    <row r="111" spans="1:3" hidden="1" outlineLevel="1" x14ac:dyDescent="0.25"/>
    <row r="112" spans="1:3" hidden="1" outlineLevel="1" x14ac:dyDescent="0.25"/>
    <row r="113" hidden="1" outlineLevel="1" x14ac:dyDescent="0.25"/>
    <row r="114" collapsed="1" x14ac:dyDescent="0.25"/>
  </sheetData>
  <sheetProtection algorithmName="SHA-512" hashValue="whzYbE4sDSopQksSKvR2wDZQ5dPncpO/LJOMnxgu6l9Q06pBBTL6yMUo2LJdpilMxDZSWXWc8wQHVUHDPmanbQ==" saltValue="iP0w0UCX1aSvkfRX/tzJcw==" spinCount="100000" sheet="1" objects="1" scenarios="1"/>
  <mergeCells count="4">
    <mergeCell ref="B42:C42"/>
    <mergeCell ref="D42:E42"/>
    <mergeCell ref="B28:C28"/>
    <mergeCell ref="D28:E2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00B050"/>
  </sheetPr>
  <dimension ref="A1:S206"/>
  <sheetViews>
    <sheetView view="pageBreakPreview" zoomScale="70" zoomScaleNormal="85" zoomScaleSheetLayoutView="70" zoomScalePageLayoutView="85" workbookViewId="0">
      <pane ySplit="2" topLeftCell="A50"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7.5703125" style="25" bestFit="1"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Metalwork!A2+1</f>
        <v>16</v>
      </c>
      <c r="B2" s="73" t="s" cm="1">
        <v>2453</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16.010000000000002</v>
      </c>
      <c r="B3" s="27" t="s">
        <v>229</v>
      </c>
      <c r="C3" s="83">
        <v>1</v>
      </c>
      <c r="D3" s="29" t="s">
        <v>24</v>
      </c>
      <c r="E3" s="85"/>
      <c r="F3" s="86">
        <f>IF(E3="inc",0,IF(C3="",0,C3*E3))</f>
        <v>0</v>
      </c>
      <c r="G3" s="208"/>
      <c r="H3" s="30"/>
      <c r="I3" s="30"/>
      <c r="J3" s="30"/>
      <c r="K3" s="30"/>
      <c r="L3" s="30"/>
      <c r="M3" s="87"/>
      <c r="N3" s="88"/>
      <c r="O3" s="25"/>
      <c r="P3" s="25"/>
      <c r="Q3" s="25"/>
      <c r="R3" s="25"/>
      <c r="S3" s="25"/>
    </row>
    <row r="4" spans="1:19" s="94" customFormat="1" ht="17.25" customHeight="1" x14ac:dyDescent="0.25">
      <c r="A4" s="24"/>
      <c r="B4" s="24" t="s">
        <v>2422</v>
      </c>
      <c r="C4" s="32">
        <v>1</v>
      </c>
      <c r="D4" s="32" t="s">
        <v>5</v>
      </c>
      <c r="E4" s="26"/>
      <c r="F4" s="33"/>
      <c r="G4" s="209"/>
      <c r="H4" s="26"/>
      <c r="I4" s="26"/>
      <c r="J4" s="26"/>
      <c r="K4" s="26"/>
      <c r="L4" s="26"/>
      <c r="M4" s="34"/>
      <c r="N4" s="32"/>
      <c r="O4" s="44"/>
    </row>
    <row r="5" spans="1:19" s="94" customFormat="1" ht="17.25" customHeight="1" x14ac:dyDescent="0.25">
      <c r="A5" s="24"/>
      <c r="B5" s="24" t="s">
        <v>225</v>
      </c>
      <c r="C5" s="32">
        <v>1</v>
      </c>
      <c r="D5" s="32" t="s">
        <v>5</v>
      </c>
      <c r="E5" s="26"/>
      <c r="F5" s="33"/>
      <c r="G5" s="209"/>
      <c r="H5" s="26"/>
      <c r="I5" s="26"/>
      <c r="J5" s="26"/>
      <c r="K5" s="26"/>
      <c r="L5" s="26"/>
      <c r="M5" s="34"/>
      <c r="N5" s="32"/>
      <c r="O5" s="44"/>
    </row>
    <row r="6" spans="1:19" s="94" customFormat="1" ht="15.75" x14ac:dyDescent="0.25">
      <c r="A6" s="24"/>
      <c r="B6" s="24" t="s">
        <v>542</v>
      </c>
      <c r="C6" s="32">
        <v>1</v>
      </c>
      <c r="D6" s="32" t="s">
        <v>5</v>
      </c>
      <c r="E6" s="26"/>
      <c r="F6" s="33"/>
      <c r="G6" s="210"/>
      <c r="H6" s="26"/>
      <c r="I6" s="26"/>
      <c r="J6" s="26"/>
      <c r="K6" s="26"/>
      <c r="L6" s="26"/>
      <c r="M6" s="34"/>
      <c r="N6" s="32"/>
      <c r="O6" s="44"/>
    </row>
    <row r="7" spans="1:19" s="94" customFormat="1" ht="15.75" x14ac:dyDescent="0.25">
      <c r="A7" s="24"/>
      <c r="B7" s="24" t="s">
        <v>2423</v>
      </c>
      <c r="C7" s="32">
        <v>1</v>
      </c>
      <c r="D7" s="32" t="s">
        <v>5</v>
      </c>
      <c r="E7" s="26"/>
      <c r="F7" s="33"/>
      <c r="G7" s="210"/>
      <c r="H7" s="26"/>
      <c r="I7" s="26"/>
      <c r="J7" s="26"/>
      <c r="K7" s="26"/>
      <c r="L7" s="26"/>
      <c r="M7" s="34"/>
      <c r="N7" s="32"/>
      <c r="O7" s="44"/>
    </row>
    <row r="8" spans="1:19" s="94" customFormat="1" ht="15.75" x14ac:dyDescent="0.25">
      <c r="A8" s="24"/>
      <c r="B8" s="24" t="s">
        <v>226</v>
      </c>
      <c r="C8" s="32">
        <v>1</v>
      </c>
      <c r="D8" s="32" t="s">
        <v>5</v>
      </c>
      <c r="E8" s="26"/>
      <c r="F8" s="33"/>
      <c r="G8" s="210"/>
      <c r="H8" s="26"/>
      <c r="I8" s="26"/>
      <c r="J8" s="26"/>
      <c r="K8" s="26"/>
      <c r="L8" s="26"/>
      <c r="M8" s="34"/>
      <c r="N8" s="32"/>
      <c r="O8" s="44"/>
    </row>
    <row r="9" spans="1:19" s="94" customFormat="1" ht="15.75" x14ac:dyDescent="0.25">
      <c r="A9" s="24"/>
      <c r="B9" s="24" t="s">
        <v>227</v>
      </c>
      <c r="C9" s="32">
        <v>1</v>
      </c>
      <c r="D9" s="32" t="s">
        <v>5</v>
      </c>
      <c r="E9" s="26"/>
      <c r="F9" s="33"/>
      <c r="G9" s="210"/>
      <c r="H9" s="26"/>
      <c r="I9" s="26"/>
      <c r="J9" s="26"/>
      <c r="K9" s="26"/>
      <c r="L9" s="26"/>
      <c r="M9" s="34"/>
      <c r="N9" s="32"/>
      <c r="O9" s="44"/>
    </row>
    <row r="10" spans="1:19" s="94" customFormat="1" ht="31.5" x14ac:dyDescent="0.25">
      <c r="A10" s="24"/>
      <c r="B10" s="24" t="s">
        <v>2394</v>
      </c>
      <c r="C10" s="32">
        <v>1</v>
      </c>
      <c r="D10" s="32" t="s">
        <v>5</v>
      </c>
      <c r="E10" s="26"/>
      <c r="F10" s="33"/>
      <c r="G10" s="210"/>
      <c r="H10" s="26"/>
      <c r="I10" s="26"/>
      <c r="J10" s="26"/>
      <c r="K10" s="26"/>
      <c r="L10" s="26"/>
      <c r="M10" s="34"/>
      <c r="N10" s="32"/>
      <c r="O10" s="44"/>
    </row>
    <row r="11" spans="1:19" s="94" customFormat="1" ht="15.75" x14ac:dyDescent="0.25">
      <c r="A11" s="24"/>
      <c r="B11" s="24" t="s">
        <v>2397</v>
      </c>
      <c r="C11" s="32">
        <v>1</v>
      </c>
      <c r="D11" s="32" t="s">
        <v>5</v>
      </c>
      <c r="E11" s="26"/>
      <c r="F11" s="33"/>
      <c r="G11" s="210"/>
      <c r="H11" s="26"/>
      <c r="I11" s="26"/>
      <c r="J11" s="26"/>
      <c r="K11" s="26"/>
      <c r="L11" s="26"/>
      <c r="M11" s="34"/>
      <c r="N11" s="32"/>
      <c r="O11" s="44"/>
    </row>
    <row r="12" spans="1:19" s="94" customFormat="1" ht="15.75" x14ac:dyDescent="0.25">
      <c r="A12" s="24"/>
      <c r="B12" s="24" t="s">
        <v>2398</v>
      </c>
      <c r="C12" s="32">
        <v>1</v>
      </c>
      <c r="D12" s="32" t="s">
        <v>5</v>
      </c>
      <c r="E12" s="26"/>
      <c r="F12" s="33"/>
      <c r="G12" s="210"/>
      <c r="H12" s="26"/>
      <c r="I12" s="26"/>
      <c r="J12" s="26"/>
      <c r="K12" s="26"/>
      <c r="L12" s="26"/>
      <c r="M12" s="34"/>
      <c r="N12" s="32"/>
      <c r="O12" s="44"/>
    </row>
    <row r="13" spans="1:19" s="94" customFormat="1" ht="15.75" x14ac:dyDescent="0.25">
      <c r="A13" s="24"/>
      <c r="B13" s="24" t="s">
        <v>2400</v>
      </c>
      <c r="C13" s="32">
        <v>1</v>
      </c>
      <c r="D13" s="32" t="s">
        <v>5</v>
      </c>
      <c r="E13" s="26"/>
      <c r="F13" s="33"/>
      <c r="G13" s="210"/>
      <c r="H13" s="26"/>
      <c r="I13" s="26"/>
      <c r="J13" s="26"/>
      <c r="K13" s="26"/>
      <c r="L13" s="26"/>
      <c r="M13" s="34"/>
      <c r="N13" s="32"/>
      <c r="O13" s="44"/>
    </row>
    <row r="14" spans="1:19" s="94" customFormat="1" ht="15.75" x14ac:dyDescent="0.25">
      <c r="A14" s="24"/>
      <c r="B14" s="24" t="s">
        <v>2401</v>
      </c>
      <c r="C14" s="32">
        <v>1</v>
      </c>
      <c r="D14" s="32" t="s">
        <v>5</v>
      </c>
      <c r="E14" s="26"/>
      <c r="F14" s="33"/>
      <c r="G14" s="210"/>
      <c r="H14" s="26"/>
      <c r="I14" s="26"/>
      <c r="J14" s="26"/>
      <c r="K14" s="26"/>
      <c r="L14" s="26"/>
      <c r="M14" s="34"/>
      <c r="N14" s="32"/>
      <c r="O14" s="44"/>
    </row>
    <row r="15" spans="1:19" s="94" customFormat="1" ht="15.75" x14ac:dyDescent="0.25">
      <c r="A15" s="24"/>
      <c r="B15" s="24">
        <v>0</v>
      </c>
      <c r="C15" s="32">
        <v>1</v>
      </c>
      <c r="D15" s="32" t="s">
        <v>5</v>
      </c>
      <c r="E15" s="26"/>
      <c r="F15" s="33"/>
      <c r="G15" s="210"/>
      <c r="H15" s="26"/>
      <c r="I15" s="26"/>
      <c r="J15" s="26"/>
      <c r="K15" s="26"/>
      <c r="L15" s="26"/>
      <c r="M15" s="34"/>
      <c r="N15" s="32"/>
      <c r="O15" s="44"/>
    </row>
    <row r="16" spans="1:19" s="94" customFormat="1" ht="15.75" x14ac:dyDescent="0.25">
      <c r="A16" s="24"/>
      <c r="B16" s="24" t="s">
        <v>2402</v>
      </c>
      <c r="C16" s="32">
        <v>3</v>
      </c>
      <c r="D16" s="32" t="s">
        <v>5</v>
      </c>
      <c r="E16" s="26"/>
      <c r="F16" s="33"/>
      <c r="G16" s="210"/>
      <c r="H16" s="26"/>
      <c r="I16" s="26"/>
      <c r="J16" s="26"/>
      <c r="K16" s="26"/>
      <c r="L16" s="26"/>
      <c r="M16" s="34"/>
      <c r="N16" s="32"/>
      <c r="O16" s="44"/>
    </row>
    <row r="17" spans="1:19" s="94" customFormat="1" ht="31.5" x14ac:dyDescent="0.25">
      <c r="A17" s="24"/>
      <c r="B17" s="24" t="s">
        <v>2399</v>
      </c>
      <c r="C17" s="32">
        <v>1</v>
      </c>
      <c r="D17" s="32" t="s">
        <v>5</v>
      </c>
      <c r="E17" s="26"/>
      <c r="F17" s="33"/>
      <c r="G17" s="210"/>
      <c r="H17" s="26"/>
      <c r="I17" s="26"/>
      <c r="J17" s="26"/>
      <c r="K17" s="26"/>
      <c r="L17" s="26"/>
      <c r="M17" s="34"/>
      <c r="N17" s="32"/>
      <c r="O17" s="44"/>
    </row>
    <row r="18" spans="1:19" s="94" customFormat="1" ht="31.5" x14ac:dyDescent="0.25">
      <c r="A18" s="24"/>
      <c r="B18" s="24" t="s">
        <v>2395</v>
      </c>
      <c r="C18" s="32">
        <v>1</v>
      </c>
      <c r="D18" s="32" t="s">
        <v>5</v>
      </c>
      <c r="E18" s="26"/>
      <c r="F18" s="33"/>
      <c r="G18" s="210"/>
      <c r="H18" s="26"/>
      <c r="I18" s="26"/>
      <c r="J18" s="26"/>
      <c r="K18" s="26"/>
      <c r="L18" s="26"/>
      <c r="M18" s="34"/>
      <c r="N18" s="32"/>
      <c r="O18" s="44"/>
    </row>
    <row r="19" spans="1:19" s="94" customFormat="1" ht="31.5" x14ac:dyDescent="0.25">
      <c r="A19" s="24"/>
      <c r="B19" s="24" t="s">
        <v>2396</v>
      </c>
      <c r="C19" s="32">
        <v>1</v>
      </c>
      <c r="D19" s="32" t="s">
        <v>5</v>
      </c>
      <c r="E19" s="26"/>
      <c r="F19" s="33"/>
      <c r="G19" s="210"/>
      <c r="H19" s="26"/>
      <c r="I19" s="26"/>
      <c r="J19" s="26"/>
      <c r="K19" s="26"/>
      <c r="L19" s="26"/>
      <c r="M19" s="34"/>
      <c r="N19" s="32"/>
      <c r="O19" s="44"/>
    </row>
    <row r="20" spans="1:19" s="94" customFormat="1" ht="15.75" x14ac:dyDescent="0.25">
      <c r="A20" s="24"/>
      <c r="B20" s="24" t="s">
        <v>199</v>
      </c>
      <c r="C20" s="32">
        <v>3</v>
      </c>
      <c r="D20" s="32" t="s">
        <v>5</v>
      </c>
      <c r="E20" s="26"/>
      <c r="F20" s="33"/>
      <c r="G20" s="210"/>
      <c r="H20" s="26"/>
      <c r="I20" s="26"/>
      <c r="J20" s="26"/>
      <c r="K20" s="26"/>
      <c r="L20" s="26"/>
      <c r="M20" s="34"/>
      <c r="N20" s="32"/>
      <c r="O20" s="44"/>
    </row>
    <row r="21" spans="1:19" s="94" customFormat="1" ht="15.75" x14ac:dyDescent="0.25">
      <c r="A21" s="24"/>
      <c r="B21" s="387" t="s">
        <v>2393</v>
      </c>
      <c r="C21" s="32">
        <v>1</v>
      </c>
      <c r="D21" s="32" t="s">
        <v>5</v>
      </c>
      <c r="E21" s="26"/>
      <c r="F21" s="33"/>
      <c r="G21" s="210"/>
      <c r="H21" s="26"/>
      <c r="I21" s="26"/>
      <c r="J21" s="26"/>
      <c r="K21" s="26"/>
      <c r="L21" s="26"/>
      <c r="M21" s="34"/>
      <c r="N21" s="32"/>
      <c r="O21" s="44"/>
    </row>
    <row r="22" spans="1:19" s="94" customFormat="1" ht="15.75" x14ac:dyDescent="0.25">
      <c r="A22" s="24"/>
      <c r="B22" s="24"/>
      <c r="C22" s="32" t="s">
        <v>2346</v>
      </c>
      <c r="D22" s="32">
        <v>0</v>
      </c>
      <c r="E22" s="26"/>
      <c r="F22" s="33"/>
      <c r="G22" s="210"/>
      <c r="H22" s="26"/>
      <c r="I22" s="26"/>
      <c r="J22" s="26"/>
      <c r="K22" s="26"/>
      <c r="L22" s="26"/>
      <c r="M22" s="34"/>
      <c r="N22" s="32"/>
      <c r="O22" s="44"/>
    </row>
    <row r="23" spans="1:19" s="90" customFormat="1" ht="37.5" x14ac:dyDescent="0.25">
      <c r="A23" s="82">
        <f ca="1">IF(C23&gt;0,MAX($A$1:OFFSET(A23,-1,0))+0.01,"")</f>
        <v>16.020000000000003</v>
      </c>
      <c r="B23" s="27" t="s">
        <v>2421</v>
      </c>
      <c r="C23" s="97">
        <v>1</v>
      </c>
      <c r="D23" s="29" t="s">
        <v>5</v>
      </c>
      <c r="E23" s="85"/>
      <c r="F23" s="86">
        <f>IF(E23="inc",0,IF(C23="",0,C23*E23))</f>
        <v>0</v>
      </c>
      <c r="G23" s="208"/>
      <c r="H23" s="30"/>
      <c r="I23" s="30"/>
      <c r="J23" s="30"/>
      <c r="K23" s="30"/>
      <c r="L23" s="30"/>
      <c r="M23" s="87"/>
      <c r="N23" s="32"/>
      <c r="O23" s="25"/>
      <c r="P23" s="25"/>
      <c r="Q23" s="25"/>
      <c r="R23" s="25"/>
      <c r="S23" s="25"/>
    </row>
    <row r="24" spans="1:19" s="94" customFormat="1" ht="15.75" x14ac:dyDescent="0.25">
      <c r="A24" s="24"/>
      <c r="B24" s="387"/>
      <c r="C24" s="32">
        <v>1</v>
      </c>
      <c r="D24" s="32" t="s">
        <v>5</v>
      </c>
      <c r="E24" s="26"/>
      <c r="F24" s="33"/>
      <c r="G24" s="210"/>
      <c r="H24" s="26"/>
      <c r="I24" s="26"/>
      <c r="J24" s="26"/>
      <c r="K24" s="26"/>
      <c r="L24" s="26"/>
      <c r="M24" s="34"/>
      <c r="N24" s="32"/>
      <c r="O24" s="44"/>
    </row>
    <row r="25" spans="1:19" s="94" customFormat="1" ht="15.75" x14ac:dyDescent="0.25">
      <c r="A25" s="24"/>
      <c r="B25" s="24"/>
      <c r="C25" s="32" t="s">
        <v>2346</v>
      </c>
      <c r="D25" s="32">
        <v>0</v>
      </c>
      <c r="E25" s="26"/>
      <c r="F25" s="33"/>
      <c r="G25" s="210"/>
      <c r="H25" s="26"/>
      <c r="I25" s="26"/>
      <c r="J25" s="26"/>
      <c r="K25" s="26"/>
      <c r="L25" s="26"/>
      <c r="M25" s="34"/>
      <c r="N25" s="32"/>
      <c r="O25" s="44"/>
    </row>
    <row r="26" spans="1:19" s="79" customFormat="1" ht="21.75" thickBot="1" x14ac:dyDescent="0.4">
      <c r="A26" s="99"/>
      <c r="B26" s="394" t="s">
        <v>4</v>
      </c>
      <c r="C26" s="395"/>
      <c r="D26" s="396"/>
      <c r="E26" s="100"/>
      <c r="F26" s="101">
        <f ca="1">SUM(F$2:OFFSET(F26,-1,0))</f>
        <v>0</v>
      </c>
      <c r="G26" s="210"/>
      <c r="H26" s="100"/>
      <c r="I26" s="100"/>
      <c r="J26" s="100"/>
      <c r="K26" s="100"/>
      <c r="L26" s="100"/>
      <c r="M26" s="102"/>
      <c r="N26" s="32"/>
    </row>
    <row r="27" spans="1:19" s="94" customFormat="1" ht="18.75" x14ac:dyDescent="0.25">
      <c r="A27" s="105"/>
      <c r="B27" s="25"/>
      <c r="C27" s="106"/>
      <c r="D27" s="32"/>
      <c r="E27" s="92"/>
      <c r="F27" s="107"/>
      <c r="G27" s="107"/>
      <c r="H27" s="107"/>
      <c r="I27" s="30"/>
      <c r="J27" s="30"/>
      <c r="K27" s="30"/>
      <c r="L27" s="30"/>
      <c r="M27" s="88"/>
      <c r="N27" s="32"/>
    </row>
    <row r="28" spans="1:19" ht="18.75" x14ac:dyDescent="0.25">
      <c r="C28" s="106"/>
      <c r="G28" s="107"/>
      <c r="H28" s="107"/>
      <c r="I28" s="30"/>
      <c r="J28" s="30"/>
      <c r="K28" s="30"/>
      <c r="L28" s="30"/>
      <c r="N28" s="32"/>
    </row>
    <row r="29" spans="1:19" ht="18.75" x14ac:dyDescent="0.25">
      <c r="G29" s="107"/>
      <c r="H29" s="107"/>
      <c r="I29" s="30"/>
      <c r="J29" s="30"/>
      <c r="K29" s="30"/>
      <c r="L29" s="30"/>
      <c r="N29" s="32"/>
    </row>
    <row r="30" spans="1:19" ht="18.75" x14ac:dyDescent="0.25">
      <c r="G30" s="107"/>
      <c r="H30" s="107"/>
      <c r="I30" s="30"/>
      <c r="J30" s="30"/>
      <c r="K30" s="30"/>
      <c r="L30" s="30"/>
      <c r="N30" s="32"/>
    </row>
    <row r="31" spans="1:19" ht="18.75" x14ac:dyDescent="0.25">
      <c r="F31" s="108" t="e">
        <f ca="1">F26-#REF!</f>
        <v>#REF!</v>
      </c>
      <c r="G31" s="107"/>
      <c r="H31" s="107"/>
      <c r="I31" s="30"/>
      <c r="J31" s="30"/>
      <c r="K31" s="30"/>
      <c r="L31" s="30"/>
      <c r="N31" s="32"/>
    </row>
    <row r="32" spans="1:19" ht="18.75" x14ac:dyDescent="0.25">
      <c r="G32" s="107"/>
      <c r="H32" s="107"/>
      <c r="I32" s="30"/>
      <c r="J32" s="30"/>
      <c r="K32" s="30"/>
      <c r="L32" s="30"/>
      <c r="N32" s="32"/>
    </row>
    <row r="33" spans="1:19" ht="18.75" x14ac:dyDescent="0.25">
      <c r="G33" s="107"/>
      <c r="H33" s="107"/>
      <c r="I33" s="30"/>
      <c r="J33" s="30"/>
      <c r="K33" s="30"/>
      <c r="L33" s="30"/>
    </row>
    <row r="34" spans="1:19" ht="18.75" x14ac:dyDescent="0.25">
      <c r="G34" s="107"/>
      <c r="H34" s="107"/>
      <c r="I34" s="30"/>
      <c r="J34" s="30"/>
      <c r="K34" s="30"/>
      <c r="L34" s="30"/>
    </row>
    <row r="35" spans="1:19" ht="18.75" x14ac:dyDescent="0.25">
      <c r="G35" s="107"/>
      <c r="H35" s="107"/>
      <c r="I35" s="30"/>
      <c r="J35" s="30"/>
      <c r="K35" s="30"/>
      <c r="L35" s="30"/>
    </row>
    <row r="36" spans="1:19" ht="18.75" x14ac:dyDescent="0.25">
      <c r="G36" s="107"/>
      <c r="H36" s="107"/>
      <c r="I36" s="30"/>
      <c r="J36" s="30"/>
      <c r="K36" s="30"/>
      <c r="L36" s="30"/>
    </row>
    <row r="37" spans="1:19" ht="18.75" x14ac:dyDescent="0.25">
      <c r="G37" s="107"/>
      <c r="H37" s="107"/>
      <c r="I37" s="30"/>
      <c r="J37" s="30"/>
      <c r="K37" s="30"/>
      <c r="L37" s="30"/>
    </row>
    <row r="38" spans="1:19" ht="18.75" x14ac:dyDescent="0.25">
      <c r="G38" s="107"/>
      <c r="H38" s="107"/>
      <c r="I38" s="30"/>
      <c r="J38" s="30"/>
      <c r="K38" s="30"/>
      <c r="L38" s="30"/>
    </row>
    <row r="39" spans="1:19" ht="18.75" x14ac:dyDescent="0.25">
      <c r="G39" s="107"/>
      <c r="H39" s="107"/>
      <c r="I39" s="30"/>
      <c r="J39" s="30"/>
      <c r="K39" s="30"/>
      <c r="L39" s="30"/>
    </row>
    <row r="40" spans="1:19" ht="18.75" x14ac:dyDescent="0.25">
      <c r="G40" s="107"/>
      <c r="H40" s="107"/>
      <c r="I40" s="30"/>
      <c r="J40" s="30"/>
      <c r="K40" s="30"/>
      <c r="L40" s="30"/>
    </row>
    <row r="41" spans="1:19" s="110" customFormat="1" ht="18.75" x14ac:dyDescent="0.25">
      <c r="A41" s="25"/>
      <c r="B41" s="25"/>
      <c r="D41" s="36"/>
      <c r="E41" s="25"/>
      <c r="F41" s="108"/>
      <c r="G41" s="107"/>
      <c r="H41" s="107"/>
      <c r="I41" s="30"/>
      <c r="J41" s="30"/>
      <c r="K41" s="30"/>
      <c r="L41" s="30"/>
      <c r="M41" s="88"/>
      <c r="N41" s="88"/>
      <c r="O41" s="25"/>
      <c r="P41" s="25"/>
      <c r="Q41" s="25"/>
      <c r="R41" s="25"/>
      <c r="S41" s="25"/>
    </row>
    <row r="42" spans="1:19" s="110" customFormat="1" ht="18.75" x14ac:dyDescent="0.25">
      <c r="A42" s="25"/>
      <c r="B42" s="25"/>
      <c r="D42" s="36"/>
      <c r="E42" s="25"/>
      <c r="F42" s="108"/>
      <c r="G42" s="107"/>
      <c r="H42" s="107"/>
      <c r="I42" s="30"/>
      <c r="J42" s="30"/>
      <c r="K42" s="30"/>
      <c r="L42" s="30"/>
      <c r="M42" s="88"/>
      <c r="N42" s="88"/>
      <c r="O42" s="25"/>
      <c r="P42" s="25"/>
      <c r="Q42" s="25"/>
      <c r="R42" s="25"/>
      <c r="S42" s="25"/>
    </row>
    <row r="43" spans="1:19" s="110" customFormat="1" ht="18.75" x14ac:dyDescent="0.25">
      <c r="A43" s="25"/>
      <c r="B43" s="25"/>
      <c r="D43" s="36"/>
      <c r="E43" s="25"/>
      <c r="F43" s="108"/>
      <c r="G43" s="107"/>
      <c r="H43" s="107"/>
      <c r="I43" s="30"/>
      <c r="J43" s="30"/>
      <c r="K43" s="30"/>
      <c r="L43" s="30"/>
      <c r="M43" s="88"/>
      <c r="N43" s="88"/>
      <c r="O43" s="25"/>
      <c r="P43" s="25"/>
      <c r="Q43" s="25"/>
      <c r="R43" s="25"/>
      <c r="S43" s="25"/>
    </row>
    <row r="44" spans="1:19" s="110" customFormat="1" ht="18.75" x14ac:dyDescent="0.25">
      <c r="A44" s="25"/>
      <c r="B44" s="25"/>
      <c r="D44" s="36"/>
      <c r="E44" s="25"/>
      <c r="F44" s="108"/>
      <c r="G44" s="107"/>
      <c r="H44" s="107"/>
      <c r="I44" s="30"/>
      <c r="J44" s="30"/>
      <c r="K44" s="30"/>
      <c r="L44" s="30"/>
      <c r="M44" s="88"/>
      <c r="N44" s="88"/>
      <c r="O44" s="25"/>
      <c r="P44" s="25"/>
      <c r="Q44" s="25"/>
      <c r="R44" s="25"/>
      <c r="S44" s="25"/>
    </row>
    <row r="45" spans="1:19" s="110" customFormat="1" ht="18.75" x14ac:dyDescent="0.25">
      <c r="A45" s="25"/>
      <c r="B45" s="25"/>
      <c r="D45" s="36"/>
      <c r="E45" s="25"/>
      <c r="F45" s="108"/>
      <c r="G45" s="107"/>
      <c r="H45" s="107"/>
      <c r="I45" s="30"/>
      <c r="J45" s="30"/>
      <c r="K45" s="30"/>
      <c r="L45" s="30"/>
      <c r="M45" s="88"/>
      <c r="N45" s="88"/>
      <c r="O45" s="25"/>
      <c r="P45" s="25"/>
      <c r="Q45" s="25"/>
      <c r="R45" s="25"/>
      <c r="S45" s="25"/>
    </row>
    <row r="46" spans="1:19" s="110" customFormat="1" ht="18.75" x14ac:dyDescent="0.25">
      <c r="A46" s="25"/>
      <c r="B46" s="25"/>
      <c r="D46" s="36"/>
      <c r="E46" s="25"/>
      <c r="F46" s="108"/>
      <c r="G46" s="107"/>
      <c r="H46" s="107"/>
      <c r="I46" s="30"/>
      <c r="J46" s="30"/>
      <c r="K46" s="30"/>
      <c r="L46" s="30"/>
      <c r="M46" s="88"/>
      <c r="N46" s="88"/>
      <c r="O46" s="25"/>
      <c r="P46" s="25"/>
      <c r="Q46" s="25"/>
      <c r="R46" s="25"/>
      <c r="S46" s="25"/>
    </row>
    <row r="47" spans="1:19" s="110" customFormat="1" ht="18.75" x14ac:dyDescent="0.25">
      <c r="A47" s="25"/>
      <c r="B47" s="25"/>
      <c r="D47" s="36"/>
      <c r="E47" s="25"/>
      <c r="F47" s="108"/>
      <c r="G47" s="107"/>
      <c r="H47" s="107"/>
      <c r="I47" s="30"/>
      <c r="J47" s="30"/>
      <c r="K47" s="30"/>
      <c r="L47" s="30"/>
      <c r="M47" s="88"/>
      <c r="N47" s="88"/>
      <c r="O47" s="25"/>
      <c r="P47" s="25"/>
      <c r="Q47" s="25"/>
      <c r="R47" s="25"/>
      <c r="S47" s="25"/>
    </row>
    <row r="48" spans="1:19" s="110" customFormat="1" ht="18.75" x14ac:dyDescent="0.25">
      <c r="A48" s="25"/>
      <c r="B48" s="25"/>
      <c r="D48" s="36"/>
      <c r="E48" s="25"/>
      <c r="F48" s="108"/>
      <c r="G48" s="107"/>
      <c r="H48" s="107"/>
      <c r="I48" s="30"/>
      <c r="J48" s="30"/>
      <c r="K48" s="30"/>
      <c r="L48" s="30"/>
      <c r="M48" s="88"/>
      <c r="N48" s="88"/>
      <c r="O48" s="25"/>
      <c r="P48" s="25"/>
      <c r="Q48" s="25"/>
      <c r="R48" s="25"/>
      <c r="S48" s="25"/>
    </row>
    <row r="49" spans="1:19" s="110" customFormat="1" ht="18.75" x14ac:dyDescent="0.25">
      <c r="A49" s="25"/>
      <c r="B49" s="25"/>
      <c r="D49" s="36"/>
      <c r="E49" s="25"/>
      <c r="F49" s="108"/>
      <c r="G49" s="107"/>
      <c r="H49" s="107"/>
      <c r="I49" s="30"/>
      <c r="J49" s="30"/>
      <c r="K49" s="30"/>
      <c r="L49" s="30"/>
      <c r="M49" s="88"/>
      <c r="N49" s="88"/>
      <c r="O49" s="25"/>
      <c r="P49" s="25"/>
      <c r="Q49" s="25"/>
      <c r="R49" s="25"/>
      <c r="S49" s="25"/>
    </row>
    <row r="50" spans="1:19" s="110" customFormat="1" ht="18.75" x14ac:dyDescent="0.25">
      <c r="A50" s="25"/>
      <c r="B50" s="25"/>
      <c r="D50" s="36"/>
      <c r="E50" s="25"/>
      <c r="F50" s="108"/>
      <c r="G50" s="107"/>
      <c r="H50" s="107"/>
      <c r="I50" s="30"/>
      <c r="J50" s="30"/>
      <c r="K50" s="30"/>
      <c r="L50" s="30"/>
      <c r="M50" s="88"/>
      <c r="N50" s="88"/>
      <c r="O50" s="25"/>
      <c r="P50" s="25"/>
      <c r="Q50" s="25"/>
      <c r="R50" s="25"/>
      <c r="S50" s="25"/>
    </row>
    <row r="51" spans="1:19" s="110" customFormat="1" ht="18.75" x14ac:dyDescent="0.25">
      <c r="A51" s="25"/>
      <c r="B51" s="25"/>
      <c r="D51" s="36"/>
      <c r="E51" s="25"/>
      <c r="F51" s="108"/>
      <c r="G51" s="107"/>
      <c r="H51" s="107"/>
      <c r="I51" s="30"/>
      <c r="J51" s="30"/>
      <c r="K51" s="30"/>
      <c r="L51" s="30"/>
      <c r="M51" s="88"/>
      <c r="N51" s="88"/>
      <c r="O51" s="25"/>
      <c r="P51" s="25"/>
      <c r="Q51" s="25"/>
      <c r="R51" s="25"/>
      <c r="S51" s="25"/>
    </row>
    <row r="52" spans="1:19" s="110" customFormat="1" ht="18.75" x14ac:dyDescent="0.25">
      <c r="A52" s="25"/>
      <c r="B52" s="25"/>
      <c r="D52" s="36"/>
      <c r="E52" s="25"/>
      <c r="F52" s="108"/>
      <c r="G52" s="107"/>
      <c r="H52" s="107"/>
      <c r="I52" s="30"/>
      <c r="J52" s="30"/>
      <c r="K52" s="30"/>
      <c r="L52" s="30"/>
      <c r="M52" s="88"/>
      <c r="N52" s="88"/>
      <c r="O52" s="25"/>
      <c r="P52" s="25"/>
      <c r="Q52" s="25"/>
      <c r="R52" s="25"/>
      <c r="S52" s="25"/>
    </row>
    <row r="53" spans="1:19" s="110" customFormat="1" ht="18.75" x14ac:dyDescent="0.25">
      <c r="A53" s="25"/>
      <c r="B53" s="25"/>
      <c r="D53" s="36"/>
      <c r="E53" s="25"/>
      <c r="F53" s="108"/>
      <c r="G53" s="107"/>
      <c r="H53" s="107"/>
      <c r="I53" s="30"/>
      <c r="J53" s="30"/>
      <c r="K53" s="30"/>
      <c r="L53" s="30"/>
      <c r="M53" s="88"/>
      <c r="N53" s="88"/>
      <c r="O53" s="25"/>
      <c r="P53" s="25"/>
      <c r="Q53" s="25"/>
      <c r="R53" s="25"/>
      <c r="S53" s="25"/>
    </row>
    <row r="54" spans="1:19" ht="18.75" x14ac:dyDescent="0.25">
      <c r="G54" s="107"/>
      <c r="H54" s="107"/>
      <c r="I54" s="30"/>
      <c r="J54" s="30"/>
      <c r="K54" s="30"/>
      <c r="L54" s="30"/>
    </row>
    <row r="55" spans="1:19" ht="18.75" x14ac:dyDescent="0.25">
      <c r="G55" s="107"/>
      <c r="H55" s="107"/>
      <c r="I55" s="30"/>
      <c r="J55" s="30"/>
      <c r="K55" s="30"/>
      <c r="L55" s="30"/>
    </row>
    <row r="56" spans="1:19" ht="18.75" x14ac:dyDescent="0.25">
      <c r="G56" s="107"/>
      <c r="H56" s="107"/>
      <c r="I56" s="30"/>
      <c r="J56" s="30"/>
      <c r="K56" s="30"/>
      <c r="L56" s="30"/>
    </row>
    <row r="57" spans="1:19" ht="18.75" x14ac:dyDescent="0.25">
      <c r="G57" s="107"/>
      <c r="H57" s="107"/>
      <c r="I57" s="30"/>
      <c r="J57" s="30"/>
      <c r="K57" s="30"/>
      <c r="L57" s="30"/>
    </row>
    <row r="58" spans="1:19" ht="18.75" x14ac:dyDescent="0.25">
      <c r="G58" s="107"/>
      <c r="H58" s="107"/>
      <c r="I58" s="30"/>
      <c r="J58" s="30"/>
      <c r="K58" s="30"/>
      <c r="L58" s="30"/>
    </row>
    <row r="59" spans="1:19" ht="18.75" x14ac:dyDescent="0.25">
      <c r="G59" s="107"/>
      <c r="H59" s="107"/>
      <c r="I59" s="30"/>
      <c r="J59" s="30"/>
      <c r="K59" s="30"/>
      <c r="L59" s="30"/>
    </row>
    <row r="60" spans="1:19" ht="18.75" x14ac:dyDescent="0.25">
      <c r="G60" s="107"/>
      <c r="H60" s="107"/>
      <c r="I60" s="30"/>
      <c r="J60" s="30"/>
      <c r="K60" s="30"/>
      <c r="L60" s="30"/>
    </row>
    <row r="61" spans="1:19" ht="18.75" x14ac:dyDescent="0.25">
      <c r="G61" s="107"/>
      <c r="H61" s="107"/>
      <c r="I61" s="30"/>
      <c r="J61" s="30"/>
      <c r="K61" s="30"/>
      <c r="L61" s="30"/>
    </row>
    <row r="62" spans="1:19" ht="18.75" x14ac:dyDescent="0.25">
      <c r="G62" s="107"/>
      <c r="H62" s="107"/>
      <c r="I62" s="30"/>
      <c r="J62" s="30"/>
      <c r="K62" s="30"/>
      <c r="L62" s="30"/>
    </row>
    <row r="63" spans="1:19" ht="18.75" x14ac:dyDescent="0.25">
      <c r="G63" s="107"/>
      <c r="H63" s="107"/>
      <c r="I63" s="30"/>
      <c r="J63" s="30"/>
      <c r="K63" s="30"/>
      <c r="L63" s="30"/>
    </row>
    <row r="64" spans="1:19" ht="18.75" x14ac:dyDescent="0.25">
      <c r="G64" s="107"/>
      <c r="H64" s="107"/>
      <c r="I64" s="30"/>
      <c r="J64" s="30"/>
      <c r="K64" s="30"/>
      <c r="L64" s="30"/>
    </row>
    <row r="65" spans="7:12" ht="18.75" x14ac:dyDescent="0.25">
      <c r="G65" s="107"/>
      <c r="H65" s="107"/>
      <c r="I65" s="30"/>
      <c r="J65" s="30"/>
      <c r="K65" s="30"/>
      <c r="L65" s="30"/>
    </row>
    <row r="66" spans="7:12" ht="18.75" x14ac:dyDescent="0.25">
      <c r="G66" s="107"/>
      <c r="H66" s="107"/>
      <c r="I66" s="30"/>
      <c r="J66" s="30"/>
      <c r="K66" s="30"/>
      <c r="L66" s="30"/>
    </row>
    <row r="67" spans="7:12" ht="18.75" x14ac:dyDescent="0.25">
      <c r="G67" s="107"/>
      <c r="H67" s="107"/>
      <c r="I67" s="30"/>
      <c r="J67" s="30"/>
      <c r="K67" s="30"/>
      <c r="L67" s="30"/>
    </row>
    <row r="68" spans="7:12" ht="18.75" x14ac:dyDescent="0.25">
      <c r="G68" s="107"/>
      <c r="H68" s="107"/>
      <c r="I68" s="30"/>
      <c r="J68" s="30"/>
      <c r="K68" s="30"/>
      <c r="L68" s="30"/>
    </row>
    <row r="69" spans="7:12" ht="18.75" x14ac:dyDescent="0.25">
      <c r="G69" s="107"/>
      <c r="H69" s="107"/>
      <c r="I69" s="30"/>
      <c r="J69" s="30"/>
      <c r="K69" s="30"/>
      <c r="L69" s="30"/>
    </row>
    <row r="70" spans="7:12" ht="18.75" x14ac:dyDescent="0.25">
      <c r="G70" s="107"/>
      <c r="H70" s="107"/>
      <c r="I70" s="30"/>
      <c r="J70" s="30"/>
      <c r="K70" s="30"/>
      <c r="L70" s="30"/>
    </row>
    <row r="71" spans="7:12" ht="18.75" x14ac:dyDescent="0.25">
      <c r="G71" s="107"/>
      <c r="H71" s="107"/>
      <c r="I71" s="30"/>
      <c r="J71" s="30"/>
      <c r="K71" s="30"/>
      <c r="L71" s="30"/>
    </row>
    <row r="72" spans="7:12" ht="18.75" x14ac:dyDescent="0.25">
      <c r="G72" s="107"/>
      <c r="H72" s="107"/>
      <c r="I72" s="30"/>
      <c r="J72" s="30"/>
      <c r="K72" s="30"/>
      <c r="L72" s="30"/>
    </row>
    <row r="73" spans="7:12" ht="18.75" x14ac:dyDescent="0.25">
      <c r="G73" s="107"/>
      <c r="H73" s="107"/>
      <c r="I73" s="30"/>
      <c r="J73" s="30"/>
      <c r="K73" s="30"/>
      <c r="L73" s="30"/>
    </row>
    <row r="74" spans="7:12" ht="18.75" x14ac:dyDescent="0.25">
      <c r="G74" s="107"/>
      <c r="H74" s="107"/>
      <c r="I74" s="30"/>
      <c r="J74" s="30"/>
      <c r="K74" s="30"/>
      <c r="L74" s="30"/>
    </row>
    <row r="75" spans="7:12" ht="18.75" x14ac:dyDescent="0.25">
      <c r="G75" s="107"/>
      <c r="H75" s="107"/>
      <c r="I75" s="30"/>
      <c r="J75" s="30"/>
      <c r="K75" s="30"/>
      <c r="L75" s="30"/>
    </row>
    <row r="76" spans="7:12" ht="18.75" x14ac:dyDescent="0.25">
      <c r="G76" s="107"/>
      <c r="H76" s="107"/>
      <c r="I76" s="30"/>
      <c r="J76" s="30"/>
      <c r="K76" s="30"/>
      <c r="L76" s="30"/>
    </row>
    <row r="77" spans="7:12" ht="18.75" x14ac:dyDescent="0.25">
      <c r="G77" s="107"/>
      <c r="H77" s="107"/>
      <c r="I77" s="30"/>
      <c r="J77" s="30"/>
      <c r="K77" s="30"/>
      <c r="L77" s="30"/>
    </row>
    <row r="78" spans="7:12" ht="18.75" x14ac:dyDescent="0.25">
      <c r="G78" s="107"/>
      <c r="H78" s="107"/>
      <c r="I78" s="30"/>
      <c r="J78" s="30"/>
      <c r="K78" s="30"/>
      <c r="L78" s="30"/>
    </row>
    <row r="79" spans="7:12" ht="18.75" x14ac:dyDescent="0.25">
      <c r="G79" s="107"/>
      <c r="H79" s="107"/>
      <c r="I79" s="30"/>
      <c r="J79" s="30"/>
      <c r="K79" s="30"/>
      <c r="L79" s="30"/>
    </row>
    <row r="80" spans="7:12" ht="18.75" x14ac:dyDescent="0.25">
      <c r="G80" s="107"/>
      <c r="H80" s="107"/>
      <c r="I80" s="30"/>
      <c r="J80" s="30"/>
      <c r="K80" s="30"/>
      <c r="L80" s="30"/>
    </row>
    <row r="81" spans="7:12" ht="18.75" x14ac:dyDescent="0.25">
      <c r="G81" s="107"/>
      <c r="H81" s="107"/>
      <c r="I81" s="30"/>
      <c r="J81" s="30"/>
      <c r="K81" s="30"/>
      <c r="L81" s="30"/>
    </row>
    <row r="82" spans="7:12" ht="18.75" x14ac:dyDescent="0.25">
      <c r="G82" s="107"/>
      <c r="H82" s="107"/>
      <c r="I82" s="30"/>
      <c r="J82" s="30"/>
      <c r="K82" s="30"/>
      <c r="L82" s="30"/>
    </row>
    <row r="83" spans="7:12" ht="18.75" x14ac:dyDescent="0.25">
      <c r="G83" s="107"/>
      <c r="H83" s="107"/>
      <c r="I83" s="30"/>
      <c r="J83" s="30"/>
      <c r="K83" s="30"/>
      <c r="L83" s="30"/>
    </row>
    <row r="84" spans="7:12" ht="18.75" x14ac:dyDescent="0.25">
      <c r="G84" s="107"/>
      <c r="H84" s="107"/>
      <c r="I84" s="30"/>
      <c r="J84" s="30"/>
      <c r="K84" s="30"/>
      <c r="L84" s="30"/>
    </row>
    <row r="85" spans="7:12" ht="18.75" x14ac:dyDescent="0.25">
      <c r="G85" s="107"/>
      <c r="H85" s="107"/>
      <c r="I85" s="30"/>
      <c r="J85" s="30"/>
      <c r="K85" s="30"/>
      <c r="L85" s="30"/>
    </row>
    <row r="86" spans="7:12" ht="18.75" x14ac:dyDescent="0.25">
      <c r="G86" s="107"/>
      <c r="H86" s="107"/>
      <c r="I86" s="30"/>
      <c r="J86" s="30"/>
      <c r="K86" s="30"/>
      <c r="L86" s="30"/>
    </row>
    <row r="87" spans="7:12" ht="18.75" x14ac:dyDescent="0.25">
      <c r="G87" s="107"/>
      <c r="H87" s="107"/>
      <c r="I87" s="30"/>
      <c r="J87" s="30"/>
      <c r="K87" s="30"/>
      <c r="L87" s="30"/>
    </row>
    <row r="88" spans="7:12" ht="18.75" x14ac:dyDescent="0.25">
      <c r="G88" s="107"/>
      <c r="H88" s="107"/>
      <c r="I88" s="30"/>
      <c r="J88" s="30"/>
      <c r="K88" s="30"/>
      <c r="L88" s="30"/>
    </row>
    <row r="89" spans="7:12" ht="18.75" x14ac:dyDescent="0.25">
      <c r="G89" s="107"/>
      <c r="H89" s="107"/>
      <c r="I89" s="30"/>
      <c r="J89" s="30"/>
      <c r="K89" s="30"/>
      <c r="L89" s="30"/>
    </row>
    <row r="90" spans="7:12" ht="18.75" x14ac:dyDescent="0.25">
      <c r="G90" s="107"/>
      <c r="H90" s="107"/>
      <c r="I90" s="30"/>
      <c r="J90" s="30"/>
      <c r="K90" s="30"/>
      <c r="L90" s="30"/>
    </row>
    <row r="91" spans="7:12" ht="18.75" x14ac:dyDescent="0.25">
      <c r="G91" s="107"/>
      <c r="H91" s="107"/>
      <c r="I91" s="30"/>
      <c r="J91" s="30"/>
      <c r="K91" s="30"/>
      <c r="L91" s="30"/>
    </row>
    <row r="92" spans="7:12" ht="18.75" x14ac:dyDescent="0.25">
      <c r="G92" s="107"/>
      <c r="H92" s="107"/>
      <c r="I92" s="30"/>
      <c r="J92" s="30"/>
      <c r="K92" s="30"/>
      <c r="L92" s="30"/>
    </row>
    <row r="93" spans="7:12" ht="18.75" x14ac:dyDescent="0.25">
      <c r="G93" s="107"/>
      <c r="H93" s="107"/>
      <c r="I93" s="30"/>
      <c r="J93" s="30"/>
      <c r="K93" s="30"/>
      <c r="L93" s="30"/>
    </row>
    <row r="94" spans="7:12" ht="18.75" x14ac:dyDescent="0.25">
      <c r="G94" s="107"/>
      <c r="H94" s="107"/>
      <c r="I94" s="30"/>
      <c r="J94" s="30"/>
      <c r="K94" s="30"/>
      <c r="L94" s="30"/>
    </row>
    <row r="95" spans="7:12" ht="18.75" x14ac:dyDescent="0.25">
      <c r="G95" s="107"/>
      <c r="H95" s="107"/>
      <c r="I95" s="30"/>
      <c r="J95" s="30"/>
      <c r="K95" s="30"/>
      <c r="L95" s="30"/>
    </row>
    <row r="96" spans="7:12" ht="18.75" x14ac:dyDescent="0.25">
      <c r="G96" s="107"/>
      <c r="H96" s="107"/>
      <c r="I96" s="30"/>
      <c r="J96" s="30"/>
      <c r="K96" s="30"/>
      <c r="L96" s="30"/>
    </row>
    <row r="97" spans="7:12" ht="18.75" x14ac:dyDescent="0.25">
      <c r="G97" s="107"/>
      <c r="H97" s="107"/>
      <c r="I97" s="30"/>
      <c r="J97" s="30"/>
      <c r="K97" s="30"/>
      <c r="L97" s="30"/>
    </row>
    <row r="98" spans="7:12" ht="18.75" x14ac:dyDescent="0.25">
      <c r="G98" s="107"/>
      <c r="H98" s="107"/>
      <c r="I98" s="30"/>
      <c r="J98" s="30"/>
      <c r="K98" s="30"/>
      <c r="L98" s="30"/>
    </row>
    <row r="99" spans="7:12" ht="18.75" x14ac:dyDescent="0.25">
      <c r="G99" s="107"/>
      <c r="H99" s="107"/>
      <c r="I99" s="30"/>
      <c r="J99" s="30"/>
      <c r="K99" s="30"/>
      <c r="L99" s="30"/>
    </row>
    <row r="100" spans="7:12" ht="18.75" x14ac:dyDescent="0.25">
      <c r="G100" s="107"/>
      <c r="H100" s="107"/>
      <c r="I100" s="30"/>
      <c r="J100" s="30"/>
      <c r="K100" s="30"/>
      <c r="L100" s="30"/>
    </row>
    <row r="101" spans="7:12" ht="18.75" x14ac:dyDescent="0.25">
      <c r="G101" s="107"/>
      <c r="H101" s="107"/>
      <c r="I101" s="30"/>
      <c r="J101" s="30"/>
      <c r="K101" s="30"/>
      <c r="L101" s="30"/>
    </row>
    <row r="102" spans="7:12" ht="18.75" x14ac:dyDescent="0.25">
      <c r="G102" s="107"/>
      <c r="H102" s="107"/>
      <c r="I102" s="30"/>
      <c r="J102" s="30"/>
      <c r="K102" s="30"/>
      <c r="L102" s="30"/>
    </row>
    <row r="103" spans="7:12" ht="18.75" x14ac:dyDescent="0.25">
      <c r="G103" s="107"/>
      <c r="H103" s="107"/>
      <c r="I103" s="30"/>
      <c r="J103" s="30"/>
      <c r="K103" s="30"/>
      <c r="L103" s="30"/>
    </row>
    <row r="104" spans="7:12" ht="18.75" x14ac:dyDescent="0.25">
      <c r="G104" s="107"/>
      <c r="H104" s="107"/>
      <c r="I104" s="30"/>
      <c r="J104" s="30"/>
      <c r="K104" s="30"/>
      <c r="L104" s="30"/>
    </row>
    <row r="105" spans="7:12" ht="18.75" x14ac:dyDescent="0.25">
      <c r="G105" s="107"/>
      <c r="H105" s="107"/>
      <c r="I105" s="30"/>
      <c r="J105" s="30"/>
      <c r="K105" s="30"/>
      <c r="L105" s="30"/>
    </row>
    <row r="106" spans="7:12" ht="18.75" x14ac:dyDescent="0.25">
      <c r="G106" s="107"/>
      <c r="H106" s="107"/>
      <c r="I106" s="30"/>
      <c r="J106" s="30"/>
      <c r="K106" s="30"/>
      <c r="L106" s="30"/>
    </row>
    <row r="107" spans="7:12" ht="18.75" x14ac:dyDescent="0.25">
      <c r="G107" s="107"/>
      <c r="H107" s="107"/>
      <c r="I107" s="30"/>
      <c r="J107" s="30"/>
      <c r="K107" s="30"/>
      <c r="L107" s="30"/>
    </row>
    <row r="108" spans="7:12" ht="18.75" x14ac:dyDescent="0.25">
      <c r="G108" s="107"/>
      <c r="H108" s="107"/>
      <c r="I108" s="30"/>
      <c r="J108" s="30"/>
      <c r="K108" s="30"/>
      <c r="L108" s="30"/>
    </row>
    <row r="109" spans="7:12" ht="18.75" x14ac:dyDescent="0.25">
      <c r="G109" s="107"/>
      <c r="H109" s="107"/>
      <c r="I109" s="30"/>
      <c r="J109" s="30"/>
      <c r="K109" s="30"/>
      <c r="L109" s="30"/>
    </row>
    <row r="110" spans="7:12" ht="18.75" x14ac:dyDescent="0.25">
      <c r="G110" s="107"/>
      <c r="H110" s="107"/>
      <c r="I110" s="30"/>
      <c r="J110" s="30"/>
      <c r="K110" s="30"/>
      <c r="L110" s="30"/>
    </row>
    <row r="111" spans="7:12" ht="18.75" x14ac:dyDescent="0.25">
      <c r="G111" s="107"/>
      <c r="H111" s="107"/>
      <c r="I111" s="30"/>
      <c r="J111" s="30"/>
      <c r="K111" s="30"/>
      <c r="L111" s="30"/>
    </row>
    <row r="112" spans="7:12" ht="18.75" x14ac:dyDescent="0.25">
      <c r="G112" s="107"/>
      <c r="H112" s="107"/>
      <c r="I112" s="30"/>
      <c r="J112" s="30"/>
      <c r="K112" s="30"/>
      <c r="L112" s="30"/>
    </row>
    <row r="113" spans="7:12" ht="18.75" x14ac:dyDescent="0.25">
      <c r="G113" s="107"/>
      <c r="H113" s="107"/>
      <c r="I113" s="30"/>
      <c r="J113" s="30"/>
      <c r="K113" s="30"/>
      <c r="L113" s="30"/>
    </row>
    <row r="114" spans="7:12" ht="18.75" x14ac:dyDescent="0.25">
      <c r="G114" s="107"/>
      <c r="H114" s="107"/>
      <c r="I114" s="30"/>
      <c r="J114" s="30"/>
      <c r="K114" s="30"/>
      <c r="L114" s="30"/>
    </row>
    <row r="115" spans="7:12" ht="18.75" x14ac:dyDescent="0.25">
      <c r="G115" s="107"/>
      <c r="H115" s="107"/>
      <c r="I115" s="30"/>
      <c r="J115" s="30"/>
      <c r="K115" s="30"/>
      <c r="L115" s="30"/>
    </row>
    <row r="116" spans="7:12" ht="18.75" x14ac:dyDescent="0.25">
      <c r="G116" s="107"/>
      <c r="H116" s="107"/>
      <c r="I116" s="30"/>
      <c r="J116" s="30"/>
      <c r="K116" s="30"/>
      <c r="L116" s="30"/>
    </row>
    <row r="117" spans="7:12" ht="18.75" x14ac:dyDescent="0.25">
      <c r="G117" s="107"/>
      <c r="H117" s="107"/>
      <c r="I117" s="30"/>
      <c r="J117" s="30"/>
      <c r="K117" s="30"/>
      <c r="L117" s="30"/>
    </row>
    <row r="118" spans="7:12" ht="18.75" x14ac:dyDescent="0.25">
      <c r="G118" s="107"/>
      <c r="H118" s="107"/>
      <c r="I118" s="30"/>
      <c r="J118" s="30"/>
      <c r="K118" s="30"/>
      <c r="L118" s="30"/>
    </row>
    <row r="119" spans="7:12" ht="18.75" x14ac:dyDescent="0.25">
      <c r="G119" s="107"/>
      <c r="H119" s="107"/>
      <c r="I119" s="30"/>
      <c r="J119" s="30"/>
      <c r="K119" s="30"/>
      <c r="L119" s="30"/>
    </row>
    <row r="120" spans="7:12" ht="18.75" x14ac:dyDescent="0.25">
      <c r="G120" s="107"/>
      <c r="H120" s="107"/>
      <c r="I120" s="30"/>
      <c r="J120" s="30"/>
      <c r="K120" s="30"/>
      <c r="L120" s="30"/>
    </row>
    <row r="121" spans="7:12" ht="18.75" x14ac:dyDescent="0.25">
      <c r="G121" s="107"/>
      <c r="H121" s="107"/>
      <c r="I121" s="30"/>
      <c r="J121" s="30"/>
      <c r="K121" s="30"/>
      <c r="L121" s="30"/>
    </row>
    <row r="122" spans="7:12" ht="18.75" x14ac:dyDescent="0.25">
      <c r="G122" s="107"/>
      <c r="H122" s="107"/>
      <c r="I122" s="30"/>
      <c r="J122" s="30"/>
      <c r="K122" s="30"/>
      <c r="L122" s="30"/>
    </row>
    <row r="123" spans="7:12" ht="18.75" x14ac:dyDescent="0.25">
      <c r="G123" s="107"/>
      <c r="H123" s="107"/>
      <c r="I123" s="30"/>
      <c r="J123" s="30"/>
      <c r="K123" s="30"/>
      <c r="L123" s="30"/>
    </row>
    <row r="124" spans="7:12" ht="18.75" x14ac:dyDescent="0.25">
      <c r="G124" s="107"/>
      <c r="H124" s="107"/>
      <c r="I124" s="30"/>
      <c r="J124" s="30"/>
      <c r="K124" s="30"/>
      <c r="L124" s="30"/>
    </row>
    <row r="125" spans="7:12" ht="18.75" x14ac:dyDescent="0.25">
      <c r="G125" s="107"/>
      <c r="H125" s="107"/>
      <c r="I125" s="30"/>
      <c r="J125" s="30"/>
      <c r="K125" s="30"/>
      <c r="L125" s="30"/>
    </row>
    <row r="126" spans="7:12" ht="18.75" x14ac:dyDescent="0.25">
      <c r="G126" s="107"/>
      <c r="H126" s="107"/>
      <c r="I126" s="30"/>
      <c r="J126" s="30"/>
      <c r="K126" s="30"/>
      <c r="L126" s="30"/>
    </row>
    <row r="127" spans="7:12" ht="18.75" x14ac:dyDescent="0.25">
      <c r="G127" s="107"/>
      <c r="H127" s="107"/>
      <c r="I127" s="30"/>
      <c r="J127" s="30"/>
      <c r="K127" s="30"/>
      <c r="L127" s="30"/>
    </row>
    <row r="128" spans="7:12" ht="18.75" x14ac:dyDescent="0.25">
      <c r="G128" s="107"/>
      <c r="H128" s="107"/>
      <c r="I128" s="30"/>
      <c r="J128" s="30"/>
      <c r="K128" s="30"/>
      <c r="L128" s="30"/>
    </row>
    <row r="129" spans="7:12" ht="18.75" x14ac:dyDescent="0.25">
      <c r="G129" s="107"/>
      <c r="H129" s="107"/>
      <c r="I129" s="30"/>
      <c r="J129" s="30"/>
      <c r="K129" s="30"/>
      <c r="L129" s="30"/>
    </row>
    <row r="130" spans="7:12" ht="18.75" x14ac:dyDescent="0.25">
      <c r="G130" s="107"/>
      <c r="H130" s="107"/>
      <c r="I130" s="30"/>
      <c r="J130" s="30"/>
      <c r="K130" s="30"/>
      <c r="L130" s="30"/>
    </row>
    <row r="131" spans="7:12" ht="18.75" x14ac:dyDescent="0.25">
      <c r="G131" s="107"/>
      <c r="H131" s="107"/>
      <c r="I131" s="30"/>
      <c r="J131" s="30"/>
      <c r="K131" s="30"/>
      <c r="L131" s="30"/>
    </row>
    <row r="132" spans="7:12" ht="18.75" x14ac:dyDescent="0.25">
      <c r="G132" s="107"/>
      <c r="H132" s="107"/>
      <c r="I132" s="30"/>
      <c r="J132" s="30"/>
      <c r="K132" s="30"/>
      <c r="L132" s="30"/>
    </row>
    <row r="133" spans="7:12" ht="18.75" x14ac:dyDescent="0.25">
      <c r="G133" s="107"/>
      <c r="H133" s="107"/>
      <c r="I133" s="30"/>
      <c r="J133" s="30"/>
      <c r="K133" s="30"/>
      <c r="L133" s="30"/>
    </row>
    <row r="134" spans="7:12" ht="18.75" x14ac:dyDescent="0.25">
      <c r="G134" s="107"/>
      <c r="H134" s="107"/>
      <c r="I134" s="30"/>
      <c r="J134" s="30"/>
      <c r="K134" s="30"/>
      <c r="L134" s="30"/>
    </row>
    <row r="135" spans="7:12" ht="18.75" x14ac:dyDescent="0.25">
      <c r="G135" s="107"/>
      <c r="H135" s="107"/>
      <c r="I135" s="30"/>
      <c r="J135" s="30"/>
      <c r="K135" s="30"/>
      <c r="L135" s="30"/>
    </row>
    <row r="136" spans="7:12" ht="18.75" x14ac:dyDescent="0.25">
      <c r="G136" s="107"/>
      <c r="H136" s="107"/>
      <c r="I136" s="30"/>
      <c r="J136" s="30"/>
      <c r="K136" s="30"/>
      <c r="L136" s="30"/>
    </row>
    <row r="137" spans="7:12" ht="18.75" x14ac:dyDescent="0.25">
      <c r="G137" s="107"/>
      <c r="H137" s="107"/>
      <c r="I137" s="30"/>
      <c r="J137" s="30"/>
      <c r="K137" s="30"/>
      <c r="L137" s="30"/>
    </row>
    <row r="138" spans="7:12" ht="18.75" x14ac:dyDescent="0.25">
      <c r="G138" s="107"/>
      <c r="H138" s="107"/>
      <c r="I138" s="30"/>
      <c r="J138" s="30"/>
      <c r="K138" s="30"/>
      <c r="L138" s="30"/>
    </row>
    <row r="139" spans="7:12" ht="18.75" x14ac:dyDescent="0.25">
      <c r="G139" s="107"/>
      <c r="H139" s="107"/>
      <c r="I139" s="30"/>
      <c r="J139" s="30"/>
      <c r="K139" s="30"/>
      <c r="L139" s="30"/>
    </row>
    <row r="140" spans="7:12" ht="18.75" x14ac:dyDescent="0.25">
      <c r="G140" s="107"/>
      <c r="H140" s="107"/>
      <c r="I140" s="30"/>
      <c r="J140" s="30"/>
      <c r="K140" s="30"/>
      <c r="L140" s="30"/>
    </row>
    <row r="141" spans="7:12" ht="18.75" x14ac:dyDescent="0.25">
      <c r="G141" s="107"/>
      <c r="H141" s="107"/>
      <c r="I141" s="30"/>
      <c r="J141" s="30"/>
      <c r="K141" s="30"/>
      <c r="L141" s="30"/>
    </row>
    <row r="142" spans="7:12" ht="18.75" x14ac:dyDescent="0.25">
      <c r="G142" s="107"/>
      <c r="H142" s="107"/>
      <c r="I142" s="30"/>
      <c r="J142" s="30"/>
      <c r="K142" s="30"/>
      <c r="L142" s="30"/>
    </row>
    <row r="143" spans="7:12" ht="18.75" x14ac:dyDescent="0.25">
      <c r="G143" s="107"/>
      <c r="H143" s="107"/>
      <c r="I143" s="30"/>
      <c r="J143" s="30"/>
      <c r="K143" s="30"/>
      <c r="L143" s="30"/>
    </row>
    <row r="144" spans="7:12" ht="18.75" x14ac:dyDescent="0.25">
      <c r="G144" s="107"/>
      <c r="H144" s="107"/>
      <c r="I144" s="30"/>
      <c r="J144" s="30"/>
      <c r="K144" s="30"/>
      <c r="L144" s="30"/>
    </row>
    <row r="145" spans="7:12" ht="18.75" x14ac:dyDescent="0.25">
      <c r="G145" s="107"/>
      <c r="H145" s="107"/>
      <c r="I145" s="30"/>
      <c r="J145" s="30"/>
      <c r="K145" s="30"/>
      <c r="L145" s="30"/>
    </row>
    <row r="146" spans="7:12" ht="18.75" x14ac:dyDescent="0.25">
      <c r="G146" s="107"/>
      <c r="H146" s="107"/>
      <c r="I146" s="30"/>
      <c r="J146" s="30"/>
      <c r="K146" s="30"/>
      <c r="L146" s="30"/>
    </row>
    <row r="147" spans="7:12" ht="18.75" x14ac:dyDescent="0.25">
      <c r="G147" s="107"/>
      <c r="H147" s="107"/>
      <c r="I147" s="30"/>
      <c r="J147" s="30"/>
      <c r="K147" s="30"/>
      <c r="L147" s="30"/>
    </row>
    <row r="148" spans="7:12" ht="18.75" x14ac:dyDescent="0.25">
      <c r="G148" s="107"/>
      <c r="H148" s="107"/>
      <c r="I148" s="30"/>
      <c r="J148" s="30"/>
      <c r="K148" s="30"/>
      <c r="L148" s="30"/>
    </row>
    <row r="149" spans="7:12" ht="18.75" x14ac:dyDescent="0.25">
      <c r="G149" s="107"/>
      <c r="H149" s="107"/>
      <c r="I149" s="30"/>
      <c r="J149" s="30"/>
      <c r="K149" s="30"/>
      <c r="L149" s="30"/>
    </row>
    <row r="150" spans="7:12" ht="18.75" x14ac:dyDescent="0.25">
      <c r="G150" s="107"/>
      <c r="H150" s="107"/>
      <c r="I150" s="30"/>
      <c r="J150" s="30"/>
      <c r="K150" s="30"/>
      <c r="L150" s="30"/>
    </row>
    <row r="151" spans="7:12" ht="18.75" x14ac:dyDescent="0.25">
      <c r="G151" s="107"/>
      <c r="H151" s="107"/>
      <c r="I151" s="30"/>
      <c r="J151" s="30"/>
      <c r="K151" s="30"/>
      <c r="L151" s="30"/>
    </row>
    <row r="152" spans="7:12" ht="18.75" x14ac:dyDescent="0.25">
      <c r="G152" s="107"/>
      <c r="H152" s="107"/>
      <c r="I152" s="30"/>
      <c r="J152" s="30"/>
      <c r="K152" s="30"/>
      <c r="L152" s="30"/>
    </row>
    <row r="153" spans="7:12" ht="18.75" x14ac:dyDescent="0.25">
      <c r="G153" s="107"/>
      <c r="H153" s="107"/>
      <c r="I153" s="30"/>
      <c r="J153" s="30"/>
      <c r="K153" s="30"/>
      <c r="L153" s="30"/>
    </row>
    <row r="154" spans="7:12" ht="18.75" x14ac:dyDescent="0.25">
      <c r="G154" s="107"/>
      <c r="H154" s="107"/>
      <c r="I154" s="30"/>
      <c r="J154" s="30"/>
      <c r="K154" s="30"/>
      <c r="L154" s="30"/>
    </row>
    <row r="155" spans="7:12" ht="18.75" x14ac:dyDescent="0.25">
      <c r="G155" s="107"/>
      <c r="H155" s="107"/>
      <c r="I155" s="30"/>
      <c r="J155" s="30"/>
      <c r="K155" s="30"/>
      <c r="L155" s="30"/>
    </row>
    <row r="156" spans="7:12" ht="18.75" x14ac:dyDescent="0.25">
      <c r="G156" s="107"/>
      <c r="H156" s="107"/>
      <c r="I156" s="30"/>
      <c r="J156" s="30"/>
      <c r="K156" s="30"/>
      <c r="L156" s="30"/>
    </row>
    <row r="157" spans="7:12" ht="18.75" x14ac:dyDescent="0.25">
      <c r="G157" s="107"/>
      <c r="H157" s="107"/>
      <c r="I157" s="30"/>
      <c r="J157" s="30"/>
      <c r="K157" s="30"/>
      <c r="L157" s="30"/>
    </row>
    <row r="158" spans="7:12" ht="18.75" x14ac:dyDescent="0.25">
      <c r="G158" s="107"/>
      <c r="H158" s="107"/>
      <c r="I158" s="30"/>
      <c r="J158" s="30"/>
      <c r="K158" s="30"/>
      <c r="L158" s="30"/>
    </row>
    <row r="159" spans="7:12" ht="18.75" x14ac:dyDescent="0.25">
      <c r="G159" s="107"/>
      <c r="H159" s="107"/>
      <c r="I159" s="30"/>
      <c r="J159" s="30"/>
      <c r="K159" s="30"/>
      <c r="L159" s="30"/>
    </row>
    <row r="160" spans="7:12" ht="18.75" x14ac:dyDescent="0.25">
      <c r="G160" s="107"/>
      <c r="H160" s="107"/>
      <c r="I160" s="30"/>
      <c r="J160" s="30"/>
      <c r="K160" s="30"/>
      <c r="L160" s="30"/>
    </row>
    <row r="161" spans="7:12" ht="18.75" x14ac:dyDescent="0.25">
      <c r="G161" s="107"/>
      <c r="H161" s="107"/>
      <c r="I161" s="30"/>
      <c r="J161" s="30"/>
      <c r="K161" s="30"/>
      <c r="L161" s="30"/>
    </row>
    <row r="162" spans="7:12" ht="18.75" x14ac:dyDescent="0.25">
      <c r="G162" s="107"/>
      <c r="H162" s="107"/>
      <c r="I162" s="30"/>
      <c r="J162" s="30"/>
      <c r="K162" s="30"/>
      <c r="L162" s="30"/>
    </row>
    <row r="163" spans="7:12" ht="18.75" x14ac:dyDescent="0.25">
      <c r="G163" s="107"/>
      <c r="H163" s="107"/>
      <c r="I163" s="30"/>
      <c r="J163" s="30"/>
      <c r="K163" s="30"/>
      <c r="L163" s="30"/>
    </row>
    <row r="164" spans="7:12" ht="18.75" x14ac:dyDescent="0.25">
      <c r="G164" s="107"/>
      <c r="H164" s="107"/>
      <c r="I164" s="30"/>
      <c r="J164" s="30"/>
      <c r="K164" s="30"/>
      <c r="L164" s="30"/>
    </row>
    <row r="165" spans="7:12" ht="18.75" x14ac:dyDescent="0.25">
      <c r="G165" s="107"/>
      <c r="H165" s="107"/>
      <c r="I165" s="30"/>
      <c r="J165" s="30"/>
      <c r="K165" s="30"/>
      <c r="L165" s="30"/>
    </row>
    <row r="166" spans="7:12" ht="18.75" x14ac:dyDescent="0.25">
      <c r="G166" s="107"/>
      <c r="H166" s="107"/>
      <c r="I166" s="30"/>
      <c r="J166" s="30"/>
      <c r="K166" s="30"/>
      <c r="L166" s="30"/>
    </row>
    <row r="167" spans="7:12" ht="18.75" x14ac:dyDescent="0.25">
      <c r="G167" s="107"/>
      <c r="H167" s="107"/>
      <c r="I167" s="30"/>
      <c r="J167" s="30"/>
      <c r="K167" s="30"/>
      <c r="L167" s="30"/>
    </row>
    <row r="168" spans="7:12" ht="18.75" x14ac:dyDescent="0.25">
      <c r="G168" s="107"/>
      <c r="H168" s="107"/>
      <c r="I168" s="30"/>
      <c r="J168" s="30"/>
      <c r="K168" s="30"/>
      <c r="L168" s="30"/>
    </row>
    <row r="169" spans="7:12" ht="18.75" x14ac:dyDescent="0.25">
      <c r="G169" s="107"/>
      <c r="H169" s="107"/>
      <c r="I169" s="30"/>
      <c r="J169" s="30"/>
      <c r="K169" s="30"/>
      <c r="L169" s="30"/>
    </row>
    <row r="170" spans="7:12" ht="18.75" x14ac:dyDescent="0.25">
      <c r="G170" s="107"/>
      <c r="H170" s="107"/>
      <c r="I170" s="30"/>
      <c r="J170" s="30"/>
      <c r="K170" s="30"/>
      <c r="L170" s="30"/>
    </row>
    <row r="171" spans="7:12" ht="18.75" x14ac:dyDescent="0.25">
      <c r="G171" s="107"/>
      <c r="H171" s="107"/>
      <c r="I171" s="30"/>
      <c r="J171" s="30"/>
      <c r="K171" s="30"/>
      <c r="L171" s="30"/>
    </row>
    <row r="172" spans="7:12" ht="18.75" x14ac:dyDescent="0.25">
      <c r="G172" s="107"/>
      <c r="H172" s="107"/>
      <c r="I172" s="30"/>
      <c r="J172" s="30"/>
      <c r="K172" s="30"/>
      <c r="L172" s="30"/>
    </row>
    <row r="173" spans="7:12" ht="15.75" x14ac:dyDescent="0.25">
      <c r="G173" s="26"/>
      <c r="H173" s="26"/>
      <c r="I173" s="26"/>
      <c r="J173" s="26"/>
      <c r="K173" s="26"/>
      <c r="L173" s="26"/>
    </row>
    <row r="174" spans="7:12" ht="15.75" x14ac:dyDescent="0.25">
      <c r="G174" s="26"/>
      <c r="H174" s="26"/>
      <c r="I174" s="26"/>
      <c r="J174" s="26"/>
      <c r="K174" s="26"/>
      <c r="L174" s="26"/>
    </row>
    <row r="175" spans="7:12" ht="15.75" x14ac:dyDescent="0.25">
      <c r="G175" s="26"/>
      <c r="H175" s="26"/>
      <c r="I175" s="26"/>
      <c r="J175" s="26"/>
      <c r="K175" s="26"/>
      <c r="L175" s="26"/>
    </row>
    <row r="176" spans="7:12" ht="15.75" x14ac:dyDescent="0.25">
      <c r="G176" s="26"/>
      <c r="H176" s="26"/>
      <c r="I176" s="26"/>
      <c r="J176" s="26"/>
      <c r="K176" s="26"/>
      <c r="L176" s="26"/>
    </row>
    <row r="177" spans="7:12" ht="15.75" x14ac:dyDescent="0.25">
      <c r="G177" s="26"/>
      <c r="H177" s="26"/>
      <c r="I177" s="26"/>
      <c r="J177" s="26"/>
      <c r="K177" s="26"/>
      <c r="L177" s="26"/>
    </row>
    <row r="178" spans="7:12" ht="15.75" x14ac:dyDescent="0.25">
      <c r="G178" s="26"/>
      <c r="H178" s="26"/>
      <c r="I178" s="26"/>
      <c r="J178" s="26"/>
      <c r="K178" s="26"/>
      <c r="L178" s="26"/>
    </row>
    <row r="179" spans="7:12" ht="15.75" x14ac:dyDescent="0.25">
      <c r="G179" s="26"/>
      <c r="H179" s="26"/>
      <c r="I179" s="26"/>
      <c r="J179" s="26"/>
      <c r="K179" s="26"/>
      <c r="L179" s="26"/>
    </row>
    <row r="180" spans="7:12" ht="15.75" x14ac:dyDescent="0.25">
      <c r="G180" s="26"/>
      <c r="H180" s="26"/>
      <c r="I180" s="26"/>
      <c r="J180" s="26"/>
      <c r="K180" s="26"/>
      <c r="L180" s="26"/>
    </row>
    <row r="181" spans="7:12" ht="15.75" x14ac:dyDescent="0.25">
      <c r="G181" s="26"/>
      <c r="H181" s="26"/>
      <c r="I181" s="26"/>
      <c r="J181" s="26"/>
      <c r="K181" s="26"/>
      <c r="L181" s="26"/>
    </row>
    <row r="182" spans="7:12" ht="15.75" x14ac:dyDescent="0.25">
      <c r="G182" s="26"/>
      <c r="H182" s="26"/>
      <c r="I182" s="26"/>
      <c r="J182" s="26"/>
      <c r="K182" s="26"/>
      <c r="L182" s="26"/>
    </row>
    <row r="183" spans="7:12" ht="15.75" x14ac:dyDescent="0.25">
      <c r="G183" s="26"/>
      <c r="H183" s="26"/>
      <c r="I183" s="26"/>
      <c r="J183" s="26"/>
      <c r="K183" s="26"/>
      <c r="L183" s="26"/>
    </row>
    <row r="184" spans="7:12" ht="15.75" x14ac:dyDescent="0.25">
      <c r="G184" s="26"/>
      <c r="H184" s="26"/>
      <c r="I184" s="26"/>
      <c r="J184" s="26"/>
      <c r="K184" s="26"/>
      <c r="L184" s="26"/>
    </row>
    <row r="185" spans="7:12" ht="15.75" x14ac:dyDescent="0.25">
      <c r="G185" s="26"/>
      <c r="H185" s="26"/>
      <c r="I185" s="26"/>
      <c r="J185" s="26"/>
      <c r="K185" s="26"/>
      <c r="L185" s="26"/>
    </row>
    <row r="186" spans="7:12" ht="15.75" x14ac:dyDescent="0.25">
      <c r="G186" s="26"/>
      <c r="H186" s="26"/>
      <c r="I186" s="26"/>
      <c r="J186" s="26"/>
      <c r="K186" s="26"/>
      <c r="L186" s="26"/>
    </row>
    <row r="187" spans="7:12" ht="15.75" x14ac:dyDescent="0.25">
      <c r="G187" s="26"/>
      <c r="H187" s="26"/>
      <c r="I187" s="26"/>
      <c r="J187" s="26"/>
      <c r="K187" s="26"/>
      <c r="L187" s="26"/>
    </row>
    <row r="188" spans="7:12" ht="15.75" x14ac:dyDescent="0.25">
      <c r="G188" s="26"/>
      <c r="H188" s="26"/>
      <c r="I188" s="26"/>
      <c r="J188" s="26"/>
      <c r="K188" s="26"/>
      <c r="L188" s="26"/>
    </row>
    <row r="189" spans="7:12" ht="15.75" x14ac:dyDescent="0.25">
      <c r="G189" s="26"/>
      <c r="H189" s="26"/>
      <c r="I189" s="26"/>
      <c r="J189" s="26"/>
      <c r="K189" s="26"/>
      <c r="L189" s="26"/>
    </row>
    <row r="190" spans="7:12" ht="15.75" x14ac:dyDescent="0.25">
      <c r="G190" s="26"/>
      <c r="H190" s="26"/>
      <c r="I190" s="26"/>
      <c r="J190" s="26"/>
      <c r="K190" s="26"/>
      <c r="L190" s="26"/>
    </row>
    <row r="191" spans="7:12" ht="15.75" x14ac:dyDescent="0.25">
      <c r="G191" s="26"/>
      <c r="H191" s="26"/>
      <c r="I191" s="26"/>
      <c r="J191" s="26"/>
      <c r="K191" s="26"/>
      <c r="L191" s="26"/>
    </row>
    <row r="192" spans="7:12" ht="15.75" x14ac:dyDescent="0.25">
      <c r="G192" s="26"/>
      <c r="H192" s="26"/>
      <c r="I192" s="26"/>
      <c r="J192" s="26"/>
      <c r="K192" s="26"/>
      <c r="L192" s="26"/>
    </row>
    <row r="193" spans="7:12" ht="15.75" x14ac:dyDescent="0.25">
      <c r="G193" s="26"/>
      <c r="H193" s="26"/>
      <c r="I193" s="26"/>
      <c r="J193" s="26"/>
      <c r="K193" s="26"/>
      <c r="L193" s="26"/>
    </row>
    <row r="194" spans="7:12" ht="15.75" x14ac:dyDescent="0.25">
      <c r="G194" s="26"/>
      <c r="H194" s="26"/>
      <c r="I194" s="26"/>
      <c r="J194" s="26"/>
      <c r="K194" s="26"/>
      <c r="L194" s="26"/>
    </row>
    <row r="195" spans="7:12" ht="15.75" x14ac:dyDescent="0.25">
      <c r="G195" s="26"/>
      <c r="H195" s="26"/>
      <c r="I195" s="26"/>
      <c r="J195" s="26"/>
      <c r="K195" s="26"/>
      <c r="L195" s="26"/>
    </row>
    <row r="196" spans="7:12" ht="15.75" x14ac:dyDescent="0.25">
      <c r="G196" s="26"/>
      <c r="H196" s="26"/>
      <c r="I196" s="26"/>
      <c r="J196" s="26"/>
      <c r="K196" s="26"/>
      <c r="L196" s="26"/>
    </row>
    <row r="197" spans="7:12" ht="15.75" x14ac:dyDescent="0.25">
      <c r="G197" s="26"/>
      <c r="H197" s="26"/>
      <c r="I197" s="26"/>
      <c r="J197" s="26"/>
      <c r="K197" s="26"/>
      <c r="L197" s="26"/>
    </row>
    <row r="198" spans="7:12" ht="15.75" x14ac:dyDescent="0.25">
      <c r="G198" s="26"/>
      <c r="H198" s="26"/>
      <c r="I198" s="26"/>
      <c r="J198" s="26"/>
      <c r="K198" s="26"/>
      <c r="L198" s="26"/>
    </row>
    <row r="199" spans="7:12" ht="15.75" x14ac:dyDescent="0.25">
      <c r="G199" s="26"/>
      <c r="H199" s="26"/>
      <c r="I199" s="26"/>
      <c r="J199" s="26"/>
      <c r="K199" s="26"/>
      <c r="L199" s="26"/>
    </row>
    <row r="200" spans="7:12" ht="15.75" x14ac:dyDescent="0.25">
      <c r="G200" s="26"/>
      <c r="H200" s="26"/>
      <c r="I200" s="26"/>
      <c r="J200" s="26"/>
      <c r="K200" s="26"/>
      <c r="L200" s="26"/>
    </row>
    <row r="201" spans="7:12" ht="15.75" x14ac:dyDescent="0.25">
      <c r="G201" s="26"/>
      <c r="H201" s="26"/>
      <c r="I201" s="26"/>
      <c r="J201" s="26"/>
      <c r="K201" s="26"/>
      <c r="L201" s="26"/>
    </row>
    <row r="202" spans="7:12" ht="15.75" x14ac:dyDescent="0.25">
      <c r="G202" s="26"/>
      <c r="H202" s="26"/>
      <c r="I202" s="26"/>
      <c r="J202" s="26"/>
      <c r="K202" s="26"/>
      <c r="L202" s="26"/>
    </row>
    <row r="203" spans="7:12" ht="15.75" x14ac:dyDescent="0.25">
      <c r="G203" s="26"/>
      <c r="H203" s="26"/>
      <c r="I203" s="26"/>
      <c r="J203" s="26"/>
      <c r="K203" s="26"/>
      <c r="L203" s="26"/>
    </row>
    <row r="204" spans="7:12" ht="15.75" x14ac:dyDescent="0.25">
      <c r="G204" s="26"/>
      <c r="H204" s="26"/>
      <c r="I204" s="26"/>
      <c r="J204" s="26"/>
      <c r="K204" s="26"/>
      <c r="L204" s="26"/>
    </row>
    <row r="205" spans="7:12" ht="15.75" x14ac:dyDescent="0.25">
      <c r="G205" s="26"/>
      <c r="H205" s="26"/>
      <c r="I205" s="26"/>
      <c r="J205" s="26"/>
      <c r="K205" s="26"/>
      <c r="L205" s="26"/>
    </row>
    <row r="206" spans="7:12" ht="15.75" x14ac:dyDescent="0.25">
      <c r="G206" s="26"/>
      <c r="H206" s="26"/>
      <c r="I206" s="26"/>
      <c r="J206" s="26"/>
      <c r="K206" s="26"/>
      <c r="L206" s="26"/>
    </row>
  </sheetData>
  <mergeCells count="1">
    <mergeCell ref="H1:L1"/>
  </mergeCells>
  <conditionalFormatting sqref="D4:D22 D24:D25">
    <cfRule type="cellIs" dxfId="27" priority="369" operator="equal">
      <formula>0</formula>
    </cfRule>
  </conditionalFormatting>
  <dataValidations disablePrompts="1" count="1">
    <dataValidation type="list" allowBlank="1" showInputMessage="1" sqref="H3:L3 H23:L23" xr:uid="{F088A4AF-B5C7-41D9-A73A-A38C71A2119B}">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error="Please select units from the dropdown box" xr:uid="{00000000-0002-0000-1B00-000000000000}">
          <x14:formula1>
            <xm:f>Unit!$A$4:$A$11</xm:f>
          </x14:formula1>
          <xm:sqref>D3 D23</xm:sqref>
        </x14:dataValidation>
        <x14:dataValidation type="list" allowBlank="1" showInputMessage="1" xr:uid="{00000000-0002-0000-1B00-000002000000}">
          <x14:formula1>
            <xm:f>Unit!#REF!</xm:f>
          </x14:formula1>
          <xm:sqref>I27:L172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1F43-F9ED-425B-878E-3A38FC1CE087}">
  <sheetPr codeName="Sheet48">
    <tabColor rgb="FF00B050"/>
  </sheetPr>
  <dimension ref="A1:S195"/>
  <sheetViews>
    <sheetView view="pageBreakPreview" zoomScale="70" zoomScaleNormal="55" zoomScaleSheetLayoutView="70"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7.5703125" style="25" bestFit="1"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Plumbing!A2+1</f>
        <v>17</v>
      </c>
      <c r="B2" s="73" t="s" cm="1">
        <v>2454</v>
      </c>
      <c r="C2" s="75"/>
      <c r="D2" s="76"/>
      <c r="E2" s="77"/>
      <c r="F2" s="78"/>
      <c r="G2" s="207"/>
      <c r="H2" s="221" t="s">
        <v>26</v>
      </c>
      <c r="I2" s="222" t="s">
        <v>27</v>
      </c>
      <c r="J2" s="222" t="s">
        <v>28</v>
      </c>
      <c r="K2" s="222" t="s">
        <v>34</v>
      </c>
      <c r="L2" s="222" t="s">
        <v>615</v>
      </c>
      <c r="M2" s="80"/>
      <c r="N2" s="71"/>
    </row>
    <row r="3" spans="1:19" s="90" customFormat="1" ht="18.75" customHeight="1" x14ac:dyDescent="0.25">
      <c r="A3" s="82">
        <f ca="1">IF(C3&gt;0,MAX($A$1:OFFSET(A3,-1,0))+0.01,"")</f>
        <v>17.010000000000002</v>
      </c>
      <c r="B3" s="27" t="s">
        <v>198</v>
      </c>
      <c r="C3" s="83">
        <v>1</v>
      </c>
      <c r="D3" s="29" t="s">
        <v>24</v>
      </c>
      <c r="E3" s="85"/>
      <c r="F3" s="86">
        <f>IF(E3="inc",0,IF(C3="",0,C3*E3))</f>
        <v>0</v>
      </c>
      <c r="G3" s="208"/>
      <c r="H3" s="30"/>
      <c r="I3" s="30"/>
      <c r="J3" s="30"/>
      <c r="K3" s="30"/>
      <c r="L3" s="30"/>
      <c r="M3" s="87"/>
      <c r="N3" s="32"/>
      <c r="O3" s="25"/>
      <c r="P3" s="25"/>
      <c r="Q3" s="25"/>
      <c r="R3" s="25"/>
      <c r="S3" s="25"/>
    </row>
    <row r="4" spans="1:19" s="94" customFormat="1" ht="15.75" x14ac:dyDescent="0.25">
      <c r="A4" s="24"/>
      <c r="B4" s="165" t="s">
        <v>2394</v>
      </c>
      <c r="C4" s="32">
        <v>1</v>
      </c>
      <c r="D4" s="32" t="s">
        <v>5</v>
      </c>
      <c r="E4" s="26"/>
      <c r="F4" s="33"/>
      <c r="G4" s="208"/>
      <c r="H4" s="26"/>
      <c r="I4" s="26"/>
      <c r="J4" s="26"/>
      <c r="K4" s="26"/>
      <c r="L4" s="26"/>
      <c r="M4" s="34"/>
      <c r="N4" s="32"/>
      <c r="O4" s="44"/>
    </row>
    <row r="5" spans="1:19" s="94" customFormat="1" ht="15.75" x14ac:dyDescent="0.25">
      <c r="A5" s="24"/>
      <c r="B5" s="165" t="s">
        <v>2397</v>
      </c>
      <c r="C5" s="32">
        <v>1</v>
      </c>
      <c r="D5" s="32" t="s">
        <v>5</v>
      </c>
      <c r="E5" s="26"/>
      <c r="F5" s="33"/>
      <c r="G5" s="210"/>
      <c r="H5" s="26"/>
      <c r="I5" s="26"/>
      <c r="J5" s="26"/>
      <c r="K5" s="26"/>
      <c r="L5" s="26"/>
      <c r="M5" s="34"/>
      <c r="N5" s="32"/>
      <c r="O5" s="44"/>
    </row>
    <row r="6" spans="1:19" s="94" customFormat="1" ht="15.75" x14ac:dyDescent="0.25">
      <c r="A6" s="24"/>
      <c r="B6" s="165" t="s">
        <v>2398</v>
      </c>
      <c r="C6" s="32">
        <v>1</v>
      </c>
      <c r="D6" s="32" t="s">
        <v>5</v>
      </c>
      <c r="E6" s="26"/>
      <c r="F6" s="33"/>
      <c r="G6" s="210"/>
      <c r="H6" s="26"/>
      <c r="I6" s="26"/>
      <c r="J6" s="26"/>
      <c r="K6" s="26"/>
      <c r="L6" s="26"/>
      <c r="M6" s="34"/>
      <c r="N6" s="32"/>
      <c r="O6" s="44"/>
    </row>
    <row r="7" spans="1:19" s="94" customFormat="1" ht="15.75" x14ac:dyDescent="0.25">
      <c r="A7" s="24"/>
      <c r="B7" s="165" t="s">
        <v>2400</v>
      </c>
      <c r="C7" s="32">
        <v>1</v>
      </c>
      <c r="D7" s="32" t="s">
        <v>5</v>
      </c>
      <c r="E7" s="26"/>
      <c r="F7" s="33"/>
      <c r="G7" s="210"/>
      <c r="H7" s="26"/>
      <c r="I7" s="26"/>
      <c r="J7" s="26"/>
      <c r="K7" s="26"/>
      <c r="L7" s="26"/>
      <c r="M7" s="34"/>
      <c r="N7" s="32"/>
      <c r="O7" s="44"/>
    </row>
    <row r="8" spans="1:19" s="94" customFormat="1" ht="15.75" x14ac:dyDescent="0.25">
      <c r="A8" s="24"/>
      <c r="B8" s="165" t="s">
        <v>2401</v>
      </c>
      <c r="C8" s="32">
        <v>1</v>
      </c>
      <c r="D8" s="32" t="s">
        <v>5</v>
      </c>
      <c r="E8" s="26"/>
      <c r="F8" s="33"/>
      <c r="G8" s="210"/>
      <c r="H8" s="26"/>
      <c r="I8" s="26"/>
      <c r="J8" s="26"/>
      <c r="K8" s="26"/>
      <c r="L8" s="26"/>
      <c r="M8" s="34"/>
      <c r="N8" s="32"/>
      <c r="O8" s="44"/>
    </row>
    <row r="9" spans="1:19" s="94" customFormat="1" ht="15.75" x14ac:dyDescent="0.25">
      <c r="A9" s="24"/>
      <c r="B9" s="165" t="s">
        <v>2402</v>
      </c>
      <c r="C9" s="32">
        <v>3</v>
      </c>
      <c r="D9" s="32" t="s">
        <v>5</v>
      </c>
      <c r="E9" s="26"/>
      <c r="F9" s="33"/>
      <c r="G9" s="210"/>
      <c r="H9" s="26"/>
      <c r="I9" s="26"/>
      <c r="J9" s="26"/>
      <c r="K9" s="26"/>
      <c r="L9" s="26"/>
      <c r="M9" s="34"/>
      <c r="N9" s="32"/>
      <c r="O9" s="44"/>
    </row>
    <row r="10" spans="1:19" s="94" customFormat="1" ht="31.5" x14ac:dyDescent="0.25">
      <c r="A10" s="24"/>
      <c r="B10" s="388" t="s">
        <v>2399</v>
      </c>
      <c r="C10" s="32">
        <v>1</v>
      </c>
      <c r="D10" s="32" t="s">
        <v>5</v>
      </c>
      <c r="E10" s="26"/>
      <c r="F10" s="33"/>
      <c r="G10" s="210"/>
      <c r="H10" s="26"/>
      <c r="I10" s="26"/>
      <c r="J10" s="26"/>
      <c r="K10" s="26"/>
      <c r="L10" s="26"/>
      <c r="M10" s="34"/>
      <c r="N10" s="32"/>
      <c r="O10" s="44"/>
    </row>
    <row r="11" spans="1:19" s="94" customFormat="1" ht="31.5" x14ac:dyDescent="0.25">
      <c r="A11" s="24"/>
      <c r="B11" s="388" t="s">
        <v>2395</v>
      </c>
      <c r="C11" s="32">
        <v>1</v>
      </c>
      <c r="D11" s="32" t="s">
        <v>5</v>
      </c>
      <c r="E11" s="26"/>
      <c r="F11" s="33"/>
      <c r="G11" s="208"/>
      <c r="H11" s="26"/>
      <c r="I11" s="26"/>
      <c r="J11" s="26"/>
      <c r="K11" s="26"/>
      <c r="L11" s="26"/>
      <c r="M11" s="34"/>
      <c r="N11" s="32"/>
      <c r="O11" s="44"/>
    </row>
    <row r="12" spans="1:19" s="94" customFormat="1" ht="31.5" x14ac:dyDescent="0.25">
      <c r="A12" s="24"/>
      <c r="B12" s="388" t="s">
        <v>2396</v>
      </c>
      <c r="C12" s="32">
        <v>1</v>
      </c>
      <c r="D12" s="32" t="s">
        <v>5</v>
      </c>
      <c r="E12" s="26"/>
      <c r="F12" s="33"/>
      <c r="G12" s="208"/>
      <c r="H12" s="26"/>
      <c r="I12" s="26"/>
      <c r="J12" s="26"/>
      <c r="K12" s="26"/>
      <c r="L12" s="26"/>
      <c r="M12" s="34"/>
      <c r="N12" s="32"/>
      <c r="O12" s="44"/>
    </row>
    <row r="13" spans="1:19" s="94" customFormat="1" ht="15.75" x14ac:dyDescent="0.25">
      <c r="A13" s="24"/>
      <c r="B13" s="24" t="s">
        <v>199</v>
      </c>
      <c r="C13" s="32">
        <v>3</v>
      </c>
      <c r="D13" s="32" t="s">
        <v>5</v>
      </c>
      <c r="E13" s="26"/>
      <c r="F13" s="33"/>
      <c r="G13" s="210"/>
      <c r="H13" s="26"/>
      <c r="I13" s="26"/>
      <c r="J13" s="26"/>
      <c r="K13" s="26"/>
      <c r="L13" s="26"/>
      <c r="M13" s="34"/>
      <c r="N13" s="32"/>
      <c r="O13" s="44"/>
    </row>
    <row r="14" spans="1:19" s="94" customFormat="1" ht="15.75" x14ac:dyDescent="0.25">
      <c r="A14" s="24"/>
      <c r="B14" s="24"/>
      <c r="C14" s="32" t="s">
        <v>2346</v>
      </c>
      <c r="D14" s="32">
        <v>0</v>
      </c>
      <c r="E14" s="26"/>
      <c r="F14" s="33"/>
      <c r="G14" s="210"/>
      <c r="H14" s="26"/>
      <c r="I14" s="26"/>
      <c r="J14" s="26"/>
      <c r="K14" s="26"/>
      <c r="L14" s="26"/>
      <c r="M14" s="34"/>
      <c r="N14" s="32"/>
      <c r="O14" s="44"/>
    </row>
    <row r="15" spans="1:19" s="79" customFormat="1" ht="21.75" thickBot="1" x14ac:dyDescent="0.4">
      <c r="A15" s="99"/>
      <c r="B15" s="394" t="s">
        <v>4</v>
      </c>
      <c r="C15" s="395"/>
      <c r="D15" s="396"/>
      <c r="E15" s="100"/>
      <c r="F15" s="101">
        <f ca="1">SUM(F$2:OFFSET(F15,-1,0))</f>
        <v>0</v>
      </c>
      <c r="G15" s="210"/>
      <c r="H15" s="100"/>
      <c r="I15" s="100"/>
      <c r="J15" s="100"/>
      <c r="K15" s="100"/>
      <c r="L15" s="100"/>
      <c r="M15" s="102"/>
      <c r="N15" s="32"/>
    </row>
    <row r="16" spans="1:19" s="94" customFormat="1" ht="18.75" x14ac:dyDescent="0.25">
      <c r="A16" s="105"/>
      <c r="B16" s="25"/>
      <c r="C16" s="106"/>
      <c r="D16" s="32"/>
      <c r="E16" s="92"/>
      <c r="F16" s="107"/>
      <c r="G16" s="107"/>
      <c r="H16" s="107"/>
      <c r="I16" s="30"/>
      <c r="J16" s="30"/>
      <c r="K16" s="30"/>
      <c r="L16" s="30"/>
      <c r="M16" s="88"/>
      <c r="N16" s="32"/>
    </row>
    <row r="17" spans="1:19" ht="18.75" x14ac:dyDescent="0.25">
      <c r="C17" s="106"/>
      <c r="G17" s="107"/>
      <c r="H17" s="107"/>
      <c r="I17" s="30"/>
      <c r="J17" s="30"/>
      <c r="K17" s="30"/>
      <c r="L17" s="30"/>
      <c r="N17" s="32"/>
    </row>
    <row r="18" spans="1:19" ht="18.75" x14ac:dyDescent="0.25">
      <c r="G18" s="107"/>
      <c r="H18" s="107"/>
      <c r="I18" s="30"/>
      <c r="J18" s="30"/>
      <c r="K18" s="30"/>
      <c r="L18" s="30"/>
      <c r="N18" s="32"/>
    </row>
    <row r="19" spans="1:19" ht="18.75" x14ac:dyDescent="0.25">
      <c r="G19" s="107"/>
      <c r="H19" s="107"/>
      <c r="I19" s="30"/>
      <c r="J19" s="30"/>
      <c r="K19" s="30"/>
      <c r="L19" s="30"/>
      <c r="N19" s="32"/>
    </row>
    <row r="20" spans="1:19" ht="18.75" x14ac:dyDescent="0.25">
      <c r="F20" s="108" t="e">
        <f ca="1">F15-#REF!</f>
        <v>#REF!</v>
      </c>
      <c r="G20" s="107"/>
      <c r="H20" s="107"/>
      <c r="I20" s="30"/>
      <c r="J20" s="30"/>
      <c r="K20" s="30"/>
      <c r="L20" s="30"/>
      <c r="N20" s="32"/>
    </row>
    <row r="21" spans="1:19" ht="18.75" x14ac:dyDescent="0.25">
      <c r="G21" s="107"/>
      <c r="H21" s="107"/>
      <c r="I21" s="30"/>
      <c r="J21" s="30"/>
      <c r="K21" s="30"/>
      <c r="L21" s="30"/>
      <c r="N21" s="32"/>
    </row>
    <row r="22" spans="1:19" ht="18.75" x14ac:dyDescent="0.25">
      <c r="G22" s="107"/>
      <c r="H22" s="107"/>
      <c r="I22" s="30"/>
      <c r="J22" s="30"/>
      <c r="K22" s="30"/>
      <c r="L22" s="30"/>
    </row>
    <row r="23" spans="1:19" ht="18.75" x14ac:dyDescent="0.25">
      <c r="G23" s="107"/>
      <c r="H23" s="107"/>
      <c r="I23" s="30"/>
      <c r="J23" s="30"/>
      <c r="K23" s="30"/>
      <c r="L23" s="30"/>
    </row>
    <row r="24" spans="1:19" ht="18.75" x14ac:dyDescent="0.25">
      <c r="G24" s="107"/>
      <c r="H24" s="107"/>
      <c r="I24" s="30"/>
      <c r="J24" s="30"/>
      <c r="K24" s="30"/>
      <c r="L24" s="30"/>
    </row>
    <row r="25" spans="1:19" ht="18.75" x14ac:dyDescent="0.25">
      <c r="G25" s="107"/>
      <c r="H25" s="107"/>
      <c r="I25" s="30"/>
      <c r="J25" s="30"/>
      <c r="K25" s="30"/>
      <c r="L25" s="30"/>
    </row>
    <row r="26" spans="1:19" ht="18.75" x14ac:dyDescent="0.25">
      <c r="G26" s="107"/>
      <c r="H26" s="107"/>
      <c r="I26" s="30"/>
      <c r="J26" s="30"/>
      <c r="K26" s="30"/>
      <c r="L26" s="30"/>
    </row>
    <row r="27" spans="1:19" ht="18.75" x14ac:dyDescent="0.25">
      <c r="G27" s="107"/>
      <c r="H27" s="107"/>
      <c r="I27" s="30"/>
      <c r="J27" s="30"/>
      <c r="K27" s="30"/>
      <c r="L27" s="30"/>
    </row>
    <row r="28" spans="1:19" ht="18.75" x14ac:dyDescent="0.25">
      <c r="G28" s="107"/>
      <c r="H28" s="107"/>
      <c r="I28" s="30"/>
      <c r="J28" s="30"/>
      <c r="K28" s="30"/>
      <c r="L28" s="30"/>
    </row>
    <row r="29" spans="1:19" ht="18.75" x14ac:dyDescent="0.25">
      <c r="G29" s="107"/>
      <c r="H29" s="107"/>
      <c r="I29" s="30"/>
      <c r="J29" s="30"/>
      <c r="K29" s="30"/>
      <c r="L29" s="30"/>
    </row>
    <row r="30" spans="1:19" s="110" customFormat="1" ht="18.75" x14ac:dyDescent="0.25">
      <c r="A30" s="25"/>
      <c r="B30" s="25"/>
      <c r="D30" s="36"/>
      <c r="E30" s="25"/>
      <c r="F30" s="108"/>
      <c r="G30" s="107"/>
      <c r="H30" s="107"/>
      <c r="I30" s="30"/>
      <c r="J30" s="30"/>
      <c r="K30" s="30"/>
      <c r="L30" s="30"/>
      <c r="M30" s="88"/>
      <c r="N30" s="88"/>
      <c r="O30" s="25"/>
      <c r="P30" s="25"/>
      <c r="Q30" s="25"/>
      <c r="R30" s="25"/>
      <c r="S30" s="25"/>
    </row>
    <row r="31" spans="1:19" s="110" customFormat="1" ht="18.75" x14ac:dyDescent="0.25">
      <c r="A31" s="25"/>
      <c r="B31" s="25"/>
      <c r="D31" s="36"/>
      <c r="E31" s="25"/>
      <c r="F31" s="108"/>
      <c r="G31" s="107"/>
      <c r="H31" s="107"/>
      <c r="I31" s="30"/>
      <c r="J31" s="30"/>
      <c r="K31" s="30"/>
      <c r="L31" s="30"/>
      <c r="M31" s="88"/>
      <c r="N31" s="88"/>
      <c r="O31" s="25"/>
      <c r="P31" s="25"/>
      <c r="Q31" s="25"/>
      <c r="R31" s="25"/>
      <c r="S31" s="25"/>
    </row>
    <row r="32" spans="1:19" s="110" customFormat="1" ht="18.75" x14ac:dyDescent="0.25">
      <c r="A32" s="25"/>
      <c r="B32" s="25"/>
      <c r="D32" s="36"/>
      <c r="E32" s="25"/>
      <c r="F32" s="108"/>
      <c r="G32" s="107"/>
      <c r="H32" s="107"/>
      <c r="I32" s="30"/>
      <c r="J32" s="30"/>
      <c r="K32" s="30"/>
      <c r="L32" s="30"/>
      <c r="M32" s="88"/>
      <c r="N32" s="88"/>
      <c r="O32" s="25"/>
      <c r="P32" s="25"/>
      <c r="Q32" s="25"/>
      <c r="R32" s="25"/>
      <c r="S32" s="25"/>
    </row>
    <row r="33" spans="1:19" s="110" customFormat="1" ht="18.75" x14ac:dyDescent="0.25">
      <c r="A33" s="25"/>
      <c r="B33" s="25"/>
      <c r="D33" s="36"/>
      <c r="E33" s="25"/>
      <c r="F33" s="108"/>
      <c r="G33" s="107"/>
      <c r="H33" s="107"/>
      <c r="I33" s="30"/>
      <c r="J33" s="30"/>
      <c r="K33" s="30"/>
      <c r="L33" s="30"/>
      <c r="M33" s="88"/>
      <c r="N33" s="88"/>
      <c r="O33" s="25"/>
      <c r="P33" s="25"/>
      <c r="Q33" s="25"/>
      <c r="R33" s="25"/>
      <c r="S33" s="25"/>
    </row>
    <row r="34" spans="1:19" s="110" customFormat="1" ht="18.75" x14ac:dyDescent="0.25">
      <c r="A34" s="25"/>
      <c r="B34" s="25"/>
      <c r="D34" s="36"/>
      <c r="E34" s="25"/>
      <c r="F34" s="108"/>
      <c r="G34" s="107"/>
      <c r="H34" s="107"/>
      <c r="I34" s="30"/>
      <c r="J34" s="30"/>
      <c r="K34" s="30"/>
      <c r="L34" s="30"/>
      <c r="M34" s="88"/>
      <c r="N34" s="88"/>
      <c r="O34" s="25"/>
      <c r="P34" s="25"/>
      <c r="Q34" s="25"/>
      <c r="R34" s="25"/>
      <c r="S34" s="25"/>
    </row>
    <row r="35" spans="1:19" s="110" customFormat="1" ht="18.75" x14ac:dyDescent="0.25">
      <c r="A35" s="25"/>
      <c r="B35" s="25"/>
      <c r="D35" s="36"/>
      <c r="E35" s="25"/>
      <c r="F35" s="108"/>
      <c r="G35" s="107"/>
      <c r="H35" s="107"/>
      <c r="I35" s="30"/>
      <c r="J35" s="30"/>
      <c r="K35" s="30"/>
      <c r="L35" s="30"/>
      <c r="M35" s="88"/>
      <c r="N35" s="88"/>
      <c r="O35" s="25"/>
      <c r="P35" s="25"/>
      <c r="Q35" s="25"/>
      <c r="R35" s="25"/>
      <c r="S35" s="25"/>
    </row>
    <row r="36" spans="1:19" s="110" customFormat="1" ht="18.75" x14ac:dyDescent="0.25">
      <c r="A36" s="25"/>
      <c r="B36" s="25"/>
      <c r="D36" s="36"/>
      <c r="E36" s="25"/>
      <c r="F36" s="108"/>
      <c r="G36" s="107"/>
      <c r="H36" s="107"/>
      <c r="I36" s="30"/>
      <c r="J36" s="30"/>
      <c r="K36" s="30"/>
      <c r="L36" s="30"/>
      <c r="M36" s="88"/>
      <c r="N36" s="88"/>
      <c r="O36" s="25"/>
      <c r="P36" s="25"/>
      <c r="Q36" s="25"/>
      <c r="R36" s="25"/>
      <c r="S36" s="25"/>
    </row>
    <row r="37" spans="1:19" s="110" customFormat="1" ht="18.75" x14ac:dyDescent="0.25">
      <c r="A37" s="25"/>
      <c r="B37" s="25"/>
      <c r="D37" s="36"/>
      <c r="E37" s="25"/>
      <c r="F37" s="108"/>
      <c r="G37" s="107"/>
      <c r="H37" s="107"/>
      <c r="I37" s="30"/>
      <c r="J37" s="30"/>
      <c r="K37" s="30"/>
      <c r="L37" s="30"/>
      <c r="M37" s="88"/>
      <c r="N37" s="88"/>
      <c r="O37" s="25"/>
      <c r="P37" s="25"/>
      <c r="Q37" s="25"/>
      <c r="R37" s="25"/>
      <c r="S37" s="25"/>
    </row>
    <row r="38" spans="1:19" s="110" customFormat="1" ht="18.75" x14ac:dyDescent="0.25">
      <c r="A38" s="25"/>
      <c r="B38" s="25"/>
      <c r="D38" s="36"/>
      <c r="E38" s="25"/>
      <c r="F38" s="108"/>
      <c r="G38" s="107"/>
      <c r="H38" s="107"/>
      <c r="I38" s="30"/>
      <c r="J38" s="30"/>
      <c r="K38" s="30"/>
      <c r="L38" s="30"/>
      <c r="M38" s="88"/>
      <c r="N38" s="88"/>
      <c r="O38" s="25"/>
      <c r="P38" s="25"/>
      <c r="Q38" s="25"/>
      <c r="R38" s="25"/>
      <c r="S38" s="25"/>
    </row>
    <row r="39" spans="1:19" s="110" customFormat="1" ht="18.75" x14ac:dyDescent="0.25">
      <c r="A39" s="25"/>
      <c r="B39" s="25"/>
      <c r="D39" s="36"/>
      <c r="E39" s="25"/>
      <c r="F39" s="108"/>
      <c r="G39" s="107"/>
      <c r="H39" s="107"/>
      <c r="I39" s="30"/>
      <c r="J39" s="30"/>
      <c r="K39" s="30"/>
      <c r="L39" s="30"/>
      <c r="M39" s="88"/>
      <c r="N39" s="88"/>
      <c r="O39" s="25"/>
      <c r="P39" s="25"/>
      <c r="Q39" s="25"/>
      <c r="R39" s="25"/>
      <c r="S39" s="25"/>
    </row>
    <row r="40" spans="1:19" s="110" customFormat="1" ht="18.75" x14ac:dyDescent="0.25">
      <c r="A40" s="25"/>
      <c r="B40" s="25"/>
      <c r="D40" s="36"/>
      <c r="E40" s="25"/>
      <c r="F40" s="108"/>
      <c r="G40" s="107"/>
      <c r="H40" s="107"/>
      <c r="I40" s="30"/>
      <c r="J40" s="30"/>
      <c r="K40" s="30"/>
      <c r="L40" s="30"/>
      <c r="M40" s="88"/>
      <c r="N40" s="88"/>
      <c r="O40" s="25"/>
      <c r="P40" s="25"/>
      <c r="Q40" s="25"/>
      <c r="R40" s="25"/>
      <c r="S40" s="25"/>
    </row>
    <row r="41" spans="1:19" s="110" customFormat="1" ht="18.75" x14ac:dyDescent="0.25">
      <c r="A41" s="25"/>
      <c r="B41" s="25"/>
      <c r="D41" s="36"/>
      <c r="E41" s="25"/>
      <c r="F41" s="108"/>
      <c r="G41" s="107"/>
      <c r="H41" s="107"/>
      <c r="I41" s="30"/>
      <c r="J41" s="30"/>
      <c r="K41" s="30"/>
      <c r="L41" s="30"/>
      <c r="M41" s="88"/>
      <c r="N41" s="88"/>
      <c r="O41" s="25"/>
      <c r="P41" s="25"/>
      <c r="Q41" s="25"/>
      <c r="R41" s="25"/>
      <c r="S41" s="25"/>
    </row>
    <row r="42" spans="1:19" s="110" customFormat="1" ht="18.75" x14ac:dyDescent="0.25">
      <c r="A42" s="25"/>
      <c r="B42" s="25"/>
      <c r="D42" s="36"/>
      <c r="E42" s="25"/>
      <c r="F42" s="108"/>
      <c r="G42" s="107"/>
      <c r="H42" s="107"/>
      <c r="I42" s="30"/>
      <c r="J42" s="30"/>
      <c r="K42" s="30"/>
      <c r="L42" s="30"/>
      <c r="M42" s="88"/>
      <c r="N42" s="88"/>
      <c r="O42" s="25"/>
      <c r="P42" s="25"/>
      <c r="Q42" s="25"/>
      <c r="R42" s="25"/>
      <c r="S42" s="25"/>
    </row>
    <row r="43" spans="1:19" ht="18.75" x14ac:dyDescent="0.25">
      <c r="G43" s="107"/>
      <c r="H43" s="107"/>
      <c r="I43" s="30"/>
      <c r="J43" s="30"/>
      <c r="K43" s="30"/>
      <c r="L43" s="30"/>
    </row>
    <row r="44" spans="1:19" ht="18.75" x14ac:dyDescent="0.25">
      <c r="G44" s="107"/>
      <c r="H44" s="107"/>
      <c r="I44" s="30"/>
      <c r="J44" s="30"/>
      <c r="K44" s="30"/>
      <c r="L44" s="30"/>
    </row>
    <row r="45" spans="1:19" ht="18.75" x14ac:dyDescent="0.25">
      <c r="G45" s="107"/>
      <c r="H45" s="107"/>
      <c r="I45" s="30"/>
      <c r="J45" s="30"/>
      <c r="K45" s="30"/>
      <c r="L45" s="30"/>
    </row>
    <row r="46" spans="1:19" ht="18.75" x14ac:dyDescent="0.25">
      <c r="G46" s="107"/>
      <c r="H46" s="107"/>
      <c r="I46" s="30"/>
      <c r="J46" s="30"/>
      <c r="K46" s="30"/>
      <c r="L46" s="30"/>
    </row>
    <row r="47" spans="1:19" ht="18.75" x14ac:dyDescent="0.25">
      <c r="G47" s="107"/>
      <c r="H47" s="107"/>
      <c r="I47" s="30"/>
      <c r="J47" s="30"/>
      <c r="K47" s="30"/>
      <c r="L47" s="30"/>
    </row>
    <row r="48" spans="1:19" ht="18.75" x14ac:dyDescent="0.25">
      <c r="G48" s="107"/>
      <c r="H48" s="107"/>
      <c r="I48" s="30"/>
      <c r="J48" s="30"/>
      <c r="K48" s="30"/>
      <c r="L48" s="30"/>
    </row>
    <row r="49" spans="7:12" ht="18.75" x14ac:dyDescent="0.25">
      <c r="G49" s="107"/>
      <c r="H49" s="107"/>
      <c r="I49" s="30"/>
      <c r="J49" s="30"/>
      <c r="K49" s="30"/>
      <c r="L49" s="30"/>
    </row>
    <row r="50" spans="7:12" ht="18.75" x14ac:dyDescent="0.25">
      <c r="G50" s="107"/>
      <c r="H50" s="107"/>
      <c r="I50" s="30"/>
      <c r="J50" s="30"/>
      <c r="K50" s="30"/>
      <c r="L50" s="30"/>
    </row>
    <row r="51" spans="7:12" ht="18.75" x14ac:dyDescent="0.25">
      <c r="G51" s="107"/>
      <c r="H51" s="107"/>
      <c r="I51" s="30"/>
      <c r="J51" s="30"/>
      <c r="K51" s="30"/>
      <c r="L51" s="30"/>
    </row>
    <row r="52" spans="7:12" ht="18.75" x14ac:dyDescent="0.25">
      <c r="G52" s="107"/>
      <c r="H52" s="107"/>
      <c r="I52" s="30"/>
      <c r="J52" s="30"/>
      <c r="K52" s="30"/>
      <c r="L52" s="30"/>
    </row>
    <row r="53" spans="7:12" ht="18.75" x14ac:dyDescent="0.25">
      <c r="G53" s="107"/>
      <c r="H53" s="107"/>
      <c r="I53" s="30"/>
      <c r="J53" s="30"/>
      <c r="K53" s="30"/>
      <c r="L53" s="30"/>
    </row>
    <row r="54" spans="7:12" ht="18.75" x14ac:dyDescent="0.25">
      <c r="G54" s="107"/>
      <c r="H54" s="107"/>
      <c r="I54" s="30"/>
      <c r="J54" s="30"/>
      <c r="K54" s="30"/>
      <c r="L54" s="30"/>
    </row>
    <row r="55" spans="7:12" ht="18.75" x14ac:dyDescent="0.25">
      <c r="G55" s="107"/>
      <c r="H55" s="107"/>
      <c r="I55" s="30"/>
      <c r="J55" s="30"/>
      <c r="K55" s="30"/>
      <c r="L55" s="30"/>
    </row>
    <row r="56" spans="7:12" ht="18.75" x14ac:dyDescent="0.25">
      <c r="G56" s="107"/>
      <c r="H56" s="107"/>
      <c r="I56" s="30"/>
      <c r="J56" s="30"/>
      <c r="K56" s="30"/>
      <c r="L56" s="30"/>
    </row>
    <row r="57" spans="7:12" ht="18.75" x14ac:dyDescent="0.25">
      <c r="G57" s="107"/>
      <c r="H57" s="107"/>
      <c r="I57" s="30"/>
      <c r="J57" s="30"/>
      <c r="K57" s="30"/>
      <c r="L57" s="30"/>
    </row>
    <row r="58" spans="7:12" ht="18.75" x14ac:dyDescent="0.25">
      <c r="G58" s="107"/>
      <c r="H58" s="107"/>
      <c r="I58" s="30"/>
      <c r="J58" s="30"/>
      <c r="K58" s="30"/>
      <c r="L58" s="30"/>
    </row>
    <row r="59" spans="7:12" ht="18.75" x14ac:dyDescent="0.25">
      <c r="G59" s="107"/>
      <c r="H59" s="107"/>
      <c r="I59" s="30"/>
      <c r="J59" s="30"/>
      <c r="K59" s="30"/>
      <c r="L59" s="30"/>
    </row>
    <row r="60" spans="7:12" ht="18.75" x14ac:dyDescent="0.25">
      <c r="G60" s="107"/>
      <c r="H60" s="107"/>
      <c r="I60" s="30"/>
      <c r="J60" s="30"/>
      <c r="K60" s="30"/>
      <c r="L60" s="30"/>
    </row>
    <row r="61" spans="7:12" ht="18.75" x14ac:dyDescent="0.25">
      <c r="G61" s="107"/>
      <c r="H61" s="107"/>
      <c r="I61" s="30"/>
      <c r="J61" s="30"/>
      <c r="K61" s="30"/>
      <c r="L61" s="30"/>
    </row>
    <row r="62" spans="7:12" ht="18.75" x14ac:dyDescent="0.25">
      <c r="G62" s="107"/>
      <c r="H62" s="107"/>
      <c r="I62" s="30"/>
      <c r="J62" s="30"/>
      <c r="K62" s="30"/>
      <c r="L62" s="30"/>
    </row>
    <row r="63" spans="7:12" ht="18.75" x14ac:dyDescent="0.25">
      <c r="G63" s="107"/>
      <c r="H63" s="107"/>
      <c r="I63" s="30"/>
      <c r="J63" s="30"/>
      <c r="K63" s="30"/>
      <c r="L63" s="30"/>
    </row>
    <row r="64" spans="7:12" ht="18.75" x14ac:dyDescent="0.25">
      <c r="G64" s="107"/>
      <c r="H64" s="107"/>
      <c r="I64" s="30"/>
      <c r="J64" s="30"/>
      <c r="K64" s="30"/>
      <c r="L64" s="30"/>
    </row>
    <row r="65" spans="7:12" ht="18.75" x14ac:dyDescent="0.25">
      <c r="G65" s="107"/>
      <c r="H65" s="107"/>
      <c r="I65" s="30"/>
      <c r="J65" s="30"/>
      <c r="K65" s="30"/>
      <c r="L65" s="30"/>
    </row>
    <row r="66" spans="7:12" ht="18.75" x14ac:dyDescent="0.25">
      <c r="G66" s="107"/>
      <c r="H66" s="107"/>
      <c r="I66" s="30"/>
      <c r="J66" s="30"/>
      <c r="K66" s="30"/>
      <c r="L66" s="30"/>
    </row>
    <row r="67" spans="7:12" ht="18.75" x14ac:dyDescent="0.25">
      <c r="G67" s="107"/>
      <c r="H67" s="107"/>
      <c r="I67" s="30"/>
      <c r="J67" s="30"/>
      <c r="K67" s="30"/>
      <c r="L67" s="30"/>
    </row>
    <row r="68" spans="7:12" ht="18.75" x14ac:dyDescent="0.25">
      <c r="G68" s="107"/>
      <c r="H68" s="107"/>
      <c r="I68" s="30"/>
      <c r="J68" s="30"/>
      <c r="K68" s="30"/>
      <c r="L68" s="30"/>
    </row>
    <row r="69" spans="7:12" ht="18.75" x14ac:dyDescent="0.25">
      <c r="G69" s="107"/>
      <c r="H69" s="107"/>
      <c r="I69" s="30"/>
      <c r="J69" s="30"/>
      <c r="K69" s="30"/>
      <c r="L69" s="30"/>
    </row>
    <row r="70" spans="7:12" ht="18.75" x14ac:dyDescent="0.25">
      <c r="G70" s="107"/>
      <c r="H70" s="107"/>
      <c r="I70" s="30"/>
      <c r="J70" s="30"/>
      <c r="K70" s="30"/>
      <c r="L70" s="30"/>
    </row>
    <row r="71" spans="7:12" ht="18.75" x14ac:dyDescent="0.25">
      <c r="G71" s="107"/>
      <c r="H71" s="107"/>
      <c r="I71" s="30"/>
      <c r="J71" s="30"/>
      <c r="K71" s="30"/>
      <c r="L71" s="30"/>
    </row>
    <row r="72" spans="7:12" ht="18.75" x14ac:dyDescent="0.25">
      <c r="G72" s="107"/>
      <c r="H72" s="107"/>
      <c r="I72" s="30"/>
      <c r="J72" s="30"/>
      <c r="K72" s="30"/>
      <c r="L72" s="30"/>
    </row>
    <row r="73" spans="7:12" ht="18.75" x14ac:dyDescent="0.25">
      <c r="G73" s="107"/>
      <c r="H73" s="107"/>
      <c r="I73" s="30"/>
      <c r="J73" s="30"/>
      <c r="K73" s="30"/>
      <c r="L73" s="30"/>
    </row>
    <row r="74" spans="7:12" ht="18.75" x14ac:dyDescent="0.25">
      <c r="G74" s="107"/>
      <c r="H74" s="107"/>
      <c r="I74" s="30"/>
      <c r="J74" s="30"/>
      <c r="K74" s="30"/>
      <c r="L74" s="30"/>
    </row>
    <row r="75" spans="7:12" ht="18.75" x14ac:dyDescent="0.25">
      <c r="G75" s="107"/>
      <c r="H75" s="107"/>
      <c r="I75" s="30"/>
      <c r="J75" s="30"/>
      <c r="K75" s="30"/>
      <c r="L75" s="30"/>
    </row>
    <row r="76" spans="7:12" ht="18.75" x14ac:dyDescent="0.25">
      <c r="G76" s="107"/>
      <c r="H76" s="107"/>
      <c r="I76" s="30"/>
      <c r="J76" s="30"/>
      <c r="K76" s="30"/>
      <c r="L76" s="30"/>
    </row>
    <row r="77" spans="7:12" ht="18.75" x14ac:dyDescent="0.25">
      <c r="G77" s="107"/>
      <c r="H77" s="107"/>
      <c r="I77" s="30"/>
      <c r="J77" s="30"/>
      <c r="K77" s="30"/>
      <c r="L77" s="30"/>
    </row>
    <row r="78" spans="7:12" ht="18.75" x14ac:dyDescent="0.25">
      <c r="G78" s="107"/>
      <c r="H78" s="107"/>
      <c r="I78" s="30"/>
      <c r="J78" s="30"/>
      <c r="K78" s="30"/>
      <c r="L78" s="30"/>
    </row>
    <row r="79" spans="7:12" ht="18.75" x14ac:dyDescent="0.25">
      <c r="G79" s="107"/>
      <c r="H79" s="107"/>
      <c r="I79" s="30"/>
      <c r="J79" s="30"/>
      <c r="K79" s="30"/>
      <c r="L79" s="30"/>
    </row>
    <row r="80" spans="7:12" ht="18.75" x14ac:dyDescent="0.25">
      <c r="G80" s="107"/>
      <c r="H80" s="107"/>
      <c r="I80" s="30"/>
      <c r="J80" s="30"/>
      <c r="K80" s="30"/>
      <c r="L80" s="30"/>
    </row>
    <row r="81" spans="7:12" ht="18.75" x14ac:dyDescent="0.25">
      <c r="G81" s="107"/>
      <c r="H81" s="107"/>
      <c r="I81" s="30"/>
      <c r="J81" s="30"/>
      <c r="K81" s="30"/>
      <c r="L81" s="30"/>
    </row>
    <row r="82" spans="7:12" ht="18.75" x14ac:dyDescent="0.25">
      <c r="G82" s="107"/>
      <c r="H82" s="107"/>
      <c r="I82" s="30"/>
      <c r="J82" s="30"/>
      <c r="K82" s="30"/>
      <c r="L82" s="30"/>
    </row>
    <row r="83" spans="7:12" ht="18.75" x14ac:dyDescent="0.25">
      <c r="G83" s="107"/>
      <c r="H83" s="107"/>
      <c r="I83" s="30"/>
      <c r="J83" s="30"/>
      <c r="K83" s="30"/>
      <c r="L83" s="30"/>
    </row>
    <row r="84" spans="7:12" ht="18.75" x14ac:dyDescent="0.25">
      <c r="G84" s="107"/>
      <c r="H84" s="107"/>
      <c r="I84" s="30"/>
      <c r="J84" s="30"/>
      <c r="K84" s="30"/>
      <c r="L84" s="30"/>
    </row>
    <row r="85" spans="7:12" ht="18.75" x14ac:dyDescent="0.25">
      <c r="G85" s="107"/>
      <c r="H85" s="107"/>
      <c r="I85" s="30"/>
      <c r="J85" s="30"/>
      <c r="K85" s="30"/>
      <c r="L85" s="30"/>
    </row>
    <row r="86" spans="7:12" ht="18.75" x14ac:dyDescent="0.25">
      <c r="G86" s="107"/>
      <c r="H86" s="107"/>
      <c r="I86" s="30"/>
      <c r="J86" s="30"/>
      <c r="K86" s="30"/>
      <c r="L86" s="30"/>
    </row>
    <row r="87" spans="7:12" ht="18.75" x14ac:dyDescent="0.25">
      <c r="G87" s="107"/>
      <c r="H87" s="107"/>
      <c r="I87" s="30"/>
      <c r="J87" s="30"/>
      <c r="K87" s="30"/>
      <c r="L87" s="30"/>
    </row>
    <row r="88" spans="7:12" ht="18.75" x14ac:dyDescent="0.25">
      <c r="G88" s="107"/>
      <c r="H88" s="107"/>
      <c r="I88" s="30"/>
      <c r="J88" s="30"/>
      <c r="K88" s="30"/>
      <c r="L88" s="30"/>
    </row>
    <row r="89" spans="7:12" ht="18.75" x14ac:dyDescent="0.25">
      <c r="G89" s="107"/>
      <c r="H89" s="107"/>
      <c r="I89" s="30"/>
      <c r="J89" s="30"/>
      <c r="K89" s="30"/>
      <c r="L89" s="30"/>
    </row>
    <row r="90" spans="7:12" ht="18.75" x14ac:dyDescent="0.25">
      <c r="G90" s="107"/>
      <c r="H90" s="107"/>
      <c r="I90" s="30"/>
      <c r="J90" s="30"/>
      <c r="K90" s="30"/>
      <c r="L90" s="30"/>
    </row>
    <row r="91" spans="7:12" ht="18.75" x14ac:dyDescent="0.25">
      <c r="G91" s="107"/>
      <c r="H91" s="107"/>
      <c r="I91" s="30"/>
      <c r="J91" s="30"/>
      <c r="K91" s="30"/>
      <c r="L91" s="30"/>
    </row>
    <row r="92" spans="7:12" ht="18.75" x14ac:dyDescent="0.25">
      <c r="G92" s="107"/>
      <c r="H92" s="107"/>
      <c r="I92" s="30"/>
      <c r="J92" s="30"/>
      <c r="K92" s="30"/>
      <c r="L92" s="30"/>
    </row>
    <row r="93" spans="7:12" ht="18.75" x14ac:dyDescent="0.25">
      <c r="G93" s="107"/>
      <c r="H93" s="107"/>
      <c r="I93" s="30"/>
      <c r="J93" s="30"/>
      <c r="K93" s="30"/>
      <c r="L93" s="30"/>
    </row>
    <row r="94" spans="7:12" ht="18.75" x14ac:dyDescent="0.25">
      <c r="G94" s="107"/>
      <c r="H94" s="107"/>
      <c r="I94" s="30"/>
      <c r="J94" s="30"/>
      <c r="K94" s="30"/>
      <c r="L94" s="30"/>
    </row>
    <row r="95" spans="7:12" ht="18.75" x14ac:dyDescent="0.25">
      <c r="G95" s="107"/>
      <c r="H95" s="107"/>
      <c r="I95" s="30"/>
      <c r="J95" s="30"/>
      <c r="K95" s="30"/>
      <c r="L95" s="30"/>
    </row>
    <row r="96" spans="7:12" ht="18.75" x14ac:dyDescent="0.25">
      <c r="G96" s="107"/>
      <c r="H96" s="107"/>
      <c r="I96" s="30"/>
      <c r="J96" s="30"/>
      <c r="K96" s="30"/>
      <c r="L96" s="30"/>
    </row>
    <row r="97" spans="7:12" ht="18.75" x14ac:dyDescent="0.25">
      <c r="G97" s="107"/>
      <c r="H97" s="107"/>
      <c r="I97" s="30"/>
      <c r="J97" s="30"/>
      <c r="K97" s="30"/>
      <c r="L97" s="30"/>
    </row>
    <row r="98" spans="7:12" ht="18.75" x14ac:dyDescent="0.25">
      <c r="G98" s="107"/>
      <c r="H98" s="107"/>
      <c r="I98" s="30"/>
      <c r="J98" s="30"/>
      <c r="K98" s="30"/>
      <c r="L98" s="30"/>
    </row>
    <row r="99" spans="7:12" ht="18.75" x14ac:dyDescent="0.25">
      <c r="G99" s="107"/>
      <c r="H99" s="107"/>
      <c r="I99" s="30"/>
      <c r="J99" s="30"/>
      <c r="K99" s="30"/>
      <c r="L99" s="30"/>
    </row>
    <row r="100" spans="7:12" ht="18.75" x14ac:dyDescent="0.25">
      <c r="G100" s="107"/>
      <c r="H100" s="107"/>
      <c r="I100" s="30"/>
      <c r="J100" s="30"/>
      <c r="K100" s="30"/>
      <c r="L100" s="30"/>
    </row>
    <row r="101" spans="7:12" ht="18.75" x14ac:dyDescent="0.25">
      <c r="G101" s="107"/>
      <c r="H101" s="107"/>
      <c r="I101" s="30"/>
      <c r="J101" s="30"/>
      <c r="K101" s="30"/>
      <c r="L101" s="30"/>
    </row>
    <row r="102" spans="7:12" ht="18.75" x14ac:dyDescent="0.25">
      <c r="G102" s="107"/>
      <c r="H102" s="107"/>
      <c r="I102" s="30"/>
      <c r="J102" s="30"/>
      <c r="K102" s="30"/>
      <c r="L102" s="30"/>
    </row>
    <row r="103" spans="7:12" ht="18.75" x14ac:dyDescent="0.25">
      <c r="G103" s="107"/>
      <c r="H103" s="107"/>
      <c r="I103" s="30"/>
      <c r="J103" s="30"/>
      <c r="K103" s="30"/>
      <c r="L103" s="30"/>
    </row>
    <row r="104" spans="7:12" ht="18.75" x14ac:dyDescent="0.25">
      <c r="G104" s="107"/>
      <c r="H104" s="107"/>
      <c r="I104" s="30"/>
      <c r="J104" s="30"/>
      <c r="K104" s="30"/>
      <c r="L104" s="30"/>
    </row>
    <row r="105" spans="7:12" ht="18.75" x14ac:dyDescent="0.25">
      <c r="G105" s="107"/>
      <c r="H105" s="107"/>
      <c r="I105" s="30"/>
      <c r="J105" s="30"/>
      <c r="K105" s="30"/>
      <c r="L105" s="30"/>
    </row>
    <row r="106" spans="7:12" ht="18.75" x14ac:dyDescent="0.25">
      <c r="G106" s="107"/>
      <c r="H106" s="107"/>
      <c r="I106" s="30"/>
      <c r="J106" s="30"/>
      <c r="K106" s="30"/>
      <c r="L106" s="30"/>
    </row>
    <row r="107" spans="7:12" ht="18.75" x14ac:dyDescent="0.25">
      <c r="G107" s="107"/>
      <c r="H107" s="107"/>
      <c r="I107" s="30"/>
      <c r="J107" s="30"/>
      <c r="K107" s="30"/>
      <c r="L107" s="30"/>
    </row>
    <row r="108" spans="7:12" ht="18.75" x14ac:dyDescent="0.25">
      <c r="G108" s="107"/>
      <c r="H108" s="107"/>
      <c r="I108" s="30"/>
      <c r="J108" s="30"/>
      <c r="K108" s="30"/>
      <c r="L108" s="30"/>
    </row>
    <row r="109" spans="7:12" ht="18.75" x14ac:dyDescent="0.25">
      <c r="G109" s="107"/>
      <c r="H109" s="107"/>
      <c r="I109" s="30"/>
      <c r="J109" s="30"/>
      <c r="K109" s="30"/>
      <c r="L109" s="30"/>
    </row>
    <row r="110" spans="7:12" ht="18.75" x14ac:dyDescent="0.25">
      <c r="G110" s="107"/>
      <c r="H110" s="107"/>
      <c r="I110" s="30"/>
      <c r="J110" s="30"/>
      <c r="K110" s="30"/>
      <c r="L110" s="30"/>
    </row>
    <row r="111" spans="7:12" ht="18.75" x14ac:dyDescent="0.25">
      <c r="G111" s="107"/>
      <c r="H111" s="107"/>
      <c r="I111" s="30"/>
      <c r="J111" s="30"/>
      <c r="K111" s="30"/>
      <c r="L111" s="30"/>
    </row>
    <row r="112" spans="7:12" ht="18.75" x14ac:dyDescent="0.25">
      <c r="G112" s="107"/>
      <c r="H112" s="107"/>
      <c r="I112" s="30"/>
      <c r="J112" s="30"/>
      <c r="K112" s="30"/>
      <c r="L112" s="30"/>
    </row>
    <row r="113" spans="7:12" ht="18.75" x14ac:dyDescent="0.25">
      <c r="G113" s="107"/>
      <c r="H113" s="107"/>
      <c r="I113" s="30"/>
      <c r="J113" s="30"/>
      <c r="K113" s="30"/>
      <c r="L113" s="30"/>
    </row>
    <row r="114" spans="7:12" ht="18.75" x14ac:dyDescent="0.25">
      <c r="G114" s="107"/>
      <c r="H114" s="107"/>
      <c r="I114" s="30"/>
      <c r="J114" s="30"/>
      <c r="K114" s="30"/>
      <c r="L114" s="30"/>
    </row>
    <row r="115" spans="7:12" ht="18.75" x14ac:dyDescent="0.25">
      <c r="G115" s="107"/>
      <c r="H115" s="107"/>
      <c r="I115" s="30"/>
      <c r="J115" s="30"/>
      <c r="K115" s="30"/>
      <c r="L115" s="30"/>
    </row>
    <row r="116" spans="7:12" ht="18.75" x14ac:dyDescent="0.25">
      <c r="G116" s="107"/>
      <c r="H116" s="107"/>
      <c r="I116" s="30"/>
      <c r="J116" s="30"/>
      <c r="K116" s="30"/>
      <c r="L116" s="30"/>
    </row>
    <row r="117" spans="7:12" ht="18.75" x14ac:dyDescent="0.25">
      <c r="G117" s="107"/>
      <c r="H117" s="107"/>
      <c r="I117" s="30"/>
      <c r="J117" s="30"/>
      <c r="K117" s="30"/>
      <c r="L117" s="30"/>
    </row>
    <row r="118" spans="7:12" ht="18.75" x14ac:dyDescent="0.25">
      <c r="G118" s="107"/>
      <c r="H118" s="107"/>
      <c r="I118" s="30"/>
      <c r="J118" s="30"/>
      <c r="K118" s="30"/>
      <c r="L118" s="30"/>
    </row>
    <row r="119" spans="7:12" ht="18.75" x14ac:dyDescent="0.25">
      <c r="G119" s="107"/>
      <c r="H119" s="107"/>
      <c r="I119" s="30"/>
      <c r="J119" s="30"/>
      <c r="K119" s="30"/>
      <c r="L119" s="30"/>
    </row>
    <row r="120" spans="7:12" ht="18.75" x14ac:dyDescent="0.25">
      <c r="G120" s="107"/>
      <c r="H120" s="107"/>
      <c r="I120" s="30"/>
      <c r="J120" s="30"/>
      <c r="K120" s="30"/>
      <c r="L120" s="30"/>
    </row>
    <row r="121" spans="7:12" ht="18.75" x14ac:dyDescent="0.25">
      <c r="G121" s="107"/>
      <c r="H121" s="107"/>
      <c r="I121" s="30"/>
      <c r="J121" s="30"/>
      <c r="K121" s="30"/>
      <c r="L121" s="30"/>
    </row>
    <row r="122" spans="7:12" ht="18.75" x14ac:dyDescent="0.25">
      <c r="G122" s="107"/>
      <c r="H122" s="107"/>
      <c r="I122" s="30"/>
      <c r="J122" s="30"/>
      <c r="K122" s="30"/>
      <c r="L122" s="30"/>
    </row>
    <row r="123" spans="7:12" ht="18.75" x14ac:dyDescent="0.25">
      <c r="G123" s="107"/>
      <c r="H123" s="107"/>
      <c r="I123" s="30"/>
      <c r="J123" s="30"/>
      <c r="K123" s="30"/>
      <c r="L123" s="30"/>
    </row>
    <row r="124" spans="7:12" ht="18.75" x14ac:dyDescent="0.25">
      <c r="G124" s="107"/>
      <c r="H124" s="107"/>
      <c r="I124" s="30"/>
      <c r="J124" s="30"/>
      <c r="K124" s="30"/>
      <c r="L124" s="30"/>
    </row>
    <row r="125" spans="7:12" ht="18.75" x14ac:dyDescent="0.25">
      <c r="G125" s="107"/>
      <c r="H125" s="107"/>
      <c r="I125" s="30"/>
      <c r="J125" s="30"/>
      <c r="K125" s="30"/>
      <c r="L125" s="30"/>
    </row>
    <row r="126" spans="7:12" ht="18.75" x14ac:dyDescent="0.25">
      <c r="G126" s="107"/>
      <c r="H126" s="107"/>
      <c r="I126" s="30"/>
      <c r="J126" s="30"/>
      <c r="K126" s="30"/>
      <c r="L126" s="30"/>
    </row>
    <row r="127" spans="7:12" ht="18.75" x14ac:dyDescent="0.25">
      <c r="G127" s="107"/>
      <c r="H127" s="107"/>
      <c r="I127" s="30"/>
      <c r="J127" s="30"/>
      <c r="K127" s="30"/>
      <c r="L127" s="30"/>
    </row>
    <row r="128" spans="7:12" ht="18.75" x14ac:dyDescent="0.25">
      <c r="G128" s="107"/>
      <c r="H128" s="107"/>
      <c r="I128" s="30"/>
      <c r="J128" s="30"/>
      <c r="K128" s="30"/>
      <c r="L128" s="30"/>
    </row>
    <row r="129" spans="7:12" ht="18.75" x14ac:dyDescent="0.25">
      <c r="G129" s="107"/>
      <c r="H129" s="107"/>
      <c r="I129" s="30"/>
      <c r="J129" s="30"/>
      <c r="K129" s="30"/>
      <c r="L129" s="30"/>
    </row>
    <row r="130" spans="7:12" ht="18.75" x14ac:dyDescent="0.25">
      <c r="G130" s="107"/>
      <c r="H130" s="107"/>
      <c r="I130" s="30"/>
      <c r="J130" s="30"/>
      <c r="K130" s="30"/>
      <c r="L130" s="30"/>
    </row>
    <row r="131" spans="7:12" ht="18.75" x14ac:dyDescent="0.25">
      <c r="G131" s="107"/>
      <c r="H131" s="107"/>
      <c r="I131" s="30"/>
      <c r="J131" s="30"/>
      <c r="K131" s="30"/>
      <c r="L131" s="30"/>
    </row>
    <row r="132" spans="7:12" ht="18.75" x14ac:dyDescent="0.25">
      <c r="G132" s="107"/>
      <c r="H132" s="107"/>
      <c r="I132" s="30"/>
      <c r="J132" s="30"/>
      <c r="K132" s="30"/>
      <c r="L132" s="30"/>
    </row>
    <row r="133" spans="7:12" ht="18.75" x14ac:dyDescent="0.25">
      <c r="G133" s="107"/>
      <c r="H133" s="107"/>
      <c r="I133" s="30"/>
      <c r="J133" s="30"/>
      <c r="K133" s="30"/>
      <c r="L133" s="30"/>
    </row>
    <row r="134" spans="7:12" ht="18.75" x14ac:dyDescent="0.25">
      <c r="G134" s="107"/>
      <c r="H134" s="107"/>
      <c r="I134" s="30"/>
      <c r="J134" s="30"/>
      <c r="K134" s="30"/>
      <c r="L134" s="30"/>
    </row>
    <row r="135" spans="7:12" ht="18.75" x14ac:dyDescent="0.25">
      <c r="G135" s="107"/>
      <c r="H135" s="107"/>
      <c r="I135" s="30"/>
      <c r="J135" s="30"/>
      <c r="K135" s="30"/>
      <c r="L135" s="30"/>
    </row>
    <row r="136" spans="7:12" ht="18.75" x14ac:dyDescent="0.25">
      <c r="G136" s="107"/>
      <c r="H136" s="107"/>
      <c r="I136" s="30"/>
      <c r="J136" s="30"/>
      <c r="K136" s="30"/>
      <c r="L136" s="30"/>
    </row>
    <row r="137" spans="7:12" ht="18.75" x14ac:dyDescent="0.25">
      <c r="G137" s="107"/>
      <c r="H137" s="107"/>
      <c r="I137" s="30"/>
      <c r="J137" s="30"/>
      <c r="K137" s="30"/>
      <c r="L137" s="30"/>
    </row>
    <row r="138" spans="7:12" ht="18.75" x14ac:dyDescent="0.25">
      <c r="G138" s="107"/>
      <c r="H138" s="107"/>
      <c r="I138" s="30"/>
      <c r="J138" s="30"/>
      <c r="K138" s="30"/>
      <c r="L138" s="30"/>
    </row>
    <row r="139" spans="7:12" ht="18.75" x14ac:dyDescent="0.25">
      <c r="G139" s="107"/>
      <c r="H139" s="107"/>
      <c r="I139" s="30"/>
      <c r="J139" s="30"/>
      <c r="K139" s="30"/>
      <c r="L139" s="30"/>
    </row>
    <row r="140" spans="7:12" ht="18.75" x14ac:dyDescent="0.25">
      <c r="G140" s="107"/>
      <c r="H140" s="107"/>
      <c r="I140" s="30"/>
      <c r="J140" s="30"/>
      <c r="K140" s="30"/>
      <c r="L140" s="30"/>
    </row>
    <row r="141" spans="7:12" ht="18.75" x14ac:dyDescent="0.25">
      <c r="G141" s="107"/>
      <c r="H141" s="107"/>
      <c r="I141" s="30"/>
      <c r="J141" s="30"/>
      <c r="K141" s="30"/>
      <c r="L141" s="30"/>
    </row>
    <row r="142" spans="7:12" ht="18.75" x14ac:dyDescent="0.25">
      <c r="G142" s="107"/>
      <c r="H142" s="107"/>
      <c r="I142" s="30"/>
      <c r="J142" s="30"/>
      <c r="K142" s="30"/>
      <c r="L142" s="30"/>
    </row>
    <row r="143" spans="7:12" ht="18.75" x14ac:dyDescent="0.25">
      <c r="G143" s="107"/>
      <c r="H143" s="107"/>
      <c r="I143" s="30"/>
      <c r="J143" s="30"/>
      <c r="K143" s="30"/>
      <c r="L143" s="30"/>
    </row>
    <row r="144" spans="7:12" ht="18.75" x14ac:dyDescent="0.25">
      <c r="G144" s="107"/>
      <c r="H144" s="107"/>
      <c r="I144" s="30"/>
      <c r="J144" s="30"/>
      <c r="K144" s="30"/>
      <c r="L144" s="30"/>
    </row>
    <row r="145" spans="7:12" ht="18.75" x14ac:dyDescent="0.25">
      <c r="G145" s="107"/>
      <c r="H145" s="107"/>
      <c r="I145" s="30"/>
      <c r="J145" s="30"/>
      <c r="K145" s="30"/>
      <c r="L145" s="30"/>
    </row>
    <row r="146" spans="7:12" ht="18.75" x14ac:dyDescent="0.25">
      <c r="G146" s="107"/>
      <c r="H146" s="107"/>
      <c r="I146" s="30"/>
      <c r="J146" s="30"/>
      <c r="K146" s="30"/>
      <c r="L146" s="30"/>
    </row>
    <row r="147" spans="7:12" ht="18.75" x14ac:dyDescent="0.25">
      <c r="G147" s="107"/>
      <c r="H147" s="107"/>
      <c r="I147" s="30"/>
      <c r="J147" s="30"/>
      <c r="K147" s="30"/>
      <c r="L147" s="30"/>
    </row>
    <row r="148" spans="7:12" ht="18.75" x14ac:dyDescent="0.25">
      <c r="G148" s="107"/>
      <c r="H148" s="107"/>
      <c r="I148" s="30"/>
      <c r="J148" s="30"/>
      <c r="K148" s="30"/>
      <c r="L148" s="30"/>
    </row>
    <row r="149" spans="7:12" ht="18.75" x14ac:dyDescent="0.25">
      <c r="G149" s="107"/>
      <c r="H149" s="107"/>
      <c r="I149" s="30"/>
      <c r="J149" s="30"/>
      <c r="K149" s="30"/>
      <c r="L149" s="30"/>
    </row>
    <row r="150" spans="7:12" ht="18.75" x14ac:dyDescent="0.25">
      <c r="G150" s="107"/>
      <c r="H150" s="107"/>
      <c r="I150" s="30"/>
      <c r="J150" s="30"/>
      <c r="K150" s="30"/>
      <c r="L150" s="30"/>
    </row>
    <row r="151" spans="7:12" ht="18.75" x14ac:dyDescent="0.25">
      <c r="G151" s="107"/>
      <c r="H151" s="107"/>
      <c r="I151" s="30"/>
      <c r="J151" s="30"/>
      <c r="K151" s="30"/>
      <c r="L151" s="30"/>
    </row>
    <row r="152" spans="7:12" ht="18.75" x14ac:dyDescent="0.25">
      <c r="G152" s="107"/>
      <c r="H152" s="107"/>
      <c r="I152" s="30"/>
      <c r="J152" s="30"/>
      <c r="K152" s="30"/>
      <c r="L152" s="30"/>
    </row>
    <row r="153" spans="7:12" ht="18.75" x14ac:dyDescent="0.25">
      <c r="G153" s="107"/>
      <c r="H153" s="107"/>
      <c r="I153" s="30"/>
      <c r="J153" s="30"/>
      <c r="K153" s="30"/>
      <c r="L153" s="30"/>
    </row>
    <row r="154" spans="7:12" ht="18.75" x14ac:dyDescent="0.25">
      <c r="G154" s="107"/>
      <c r="H154" s="107"/>
      <c r="I154" s="30"/>
      <c r="J154" s="30"/>
      <c r="K154" s="30"/>
      <c r="L154" s="30"/>
    </row>
    <row r="155" spans="7:12" ht="18.75" x14ac:dyDescent="0.25">
      <c r="G155" s="107"/>
      <c r="H155" s="107"/>
      <c r="I155" s="30"/>
      <c r="J155" s="30"/>
      <c r="K155" s="30"/>
      <c r="L155" s="30"/>
    </row>
    <row r="156" spans="7:12" ht="18.75" x14ac:dyDescent="0.25">
      <c r="G156" s="107"/>
      <c r="H156" s="107"/>
      <c r="I156" s="30"/>
      <c r="J156" s="30"/>
      <c r="K156" s="30"/>
      <c r="L156" s="30"/>
    </row>
    <row r="157" spans="7:12" ht="18.75" x14ac:dyDescent="0.25">
      <c r="G157" s="107"/>
      <c r="H157" s="107"/>
      <c r="I157" s="30"/>
      <c r="J157" s="30"/>
      <c r="K157" s="30"/>
      <c r="L157" s="30"/>
    </row>
    <row r="158" spans="7:12" ht="18.75" x14ac:dyDescent="0.25">
      <c r="G158" s="107"/>
      <c r="H158" s="107"/>
      <c r="I158" s="30"/>
      <c r="J158" s="30"/>
      <c r="K158" s="30"/>
      <c r="L158" s="30"/>
    </row>
    <row r="159" spans="7:12" ht="18.75" x14ac:dyDescent="0.25">
      <c r="G159" s="107"/>
      <c r="H159" s="107"/>
      <c r="I159" s="30"/>
      <c r="J159" s="30"/>
      <c r="K159" s="30"/>
      <c r="L159" s="30"/>
    </row>
    <row r="160" spans="7:12" ht="18.75" x14ac:dyDescent="0.25">
      <c r="G160" s="107"/>
      <c r="H160" s="107"/>
      <c r="I160" s="30"/>
      <c r="J160" s="30"/>
      <c r="K160" s="30"/>
      <c r="L160" s="30"/>
    </row>
    <row r="161" spans="7:12" ht="18.75" x14ac:dyDescent="0.25">
      <c r="G161" s="107"/>
      <c r="H161" s="107"/>
      <c r="I161" s="30"/>
      <c r="J161" s="30"/>
      <c r="K161" s="30"/>
      <c r="L161" s="30"/>
    </row>
    <row r="162" spans="7:12" ht="15.75" x14ac:dyDescent="0.25">
      <c r="G162" s="26"/>
      <c r="H162" s="26"/>
      <c r="I162" s="26"/>
      <c r="J162" s="26"/>
      <c r="K162" s="26"/>
      <c r="L162" s="26"/>
    </row>
    <row r="163" spans="7:12" ht="15.75" x14ac:dyDescent="0.25">
      <c r="G163" s="26"/>
      <c r="H163" s="26"/>
      <c r="I163" s="26"/>
      <c r="J163" s="26"/>
      <c r="K163" s="26"/>
      <c r="L163" s="26"/>
    </row>
    <row r="164" spans="7:12" ht="15.75" x14ac:dyDescent="0.25">
      <c r="G164" s="26"/>
      <c r="H164" s="26"/>
      <c r="I164" s="26"/>
      <c r="J164" s="26"/>
      <c r="K164" s="26"/>
      <c r="L164" s="26"/>
    </row>
    <row r="165" spans="7:12" ht="15.75" x14ac:dyDescent="0.25">
      <c r="G165" s="26"/>
      <c r="H165" s="26"/>
      <c r="I165" s="26"/>
      <c r="J165" s="26"/>
      <c r="K165" s="26"/>
      <c r="L165" s="26"/>
    </row>
    <row r="166" spans="7:12" ht="15.75" x14ac:dyDescent="0.25">
      <c r="G166" s="26"/>
      <c r="H166" s="26"/>
      <c r="I166" s="26"/>
      <c r="J166" s="26"/>
      <c r="K166" s="26"/>
      <c r="L166" s="26"/>
    </row>
    <row r="167" spans="7:12" ht="15.75" x14ac:dyDescent="0.25">
      <c r="G167" s="26"/>
      <c r="H167" s="26"/>
      <c r="I167" s="26"/>
      <c r="J167" s="26"/>
      <c r="K167" s="26"/>
      <c r="L167" s="26"/>
    </row>
    <row r="168" spans="7:12" ht="15.75" x14ac:dyDescent="0.25">
      <c r="G168" s="26"/>
      <c r="H168" s="26"/>
      <c r="I168" s="26"/>
      <c r="J168" s="26"/>
      <c r="K168" s="26"/>
      <c r="L168" s="26"/>
    </row>
    <row r="169" spans="7:12" ht="15.75" x14ac:dyDescent="0.25">
      <c r="G169" s="26"/>
      <c r="H169" s="26"/>
      <c r="I169" s="26"/>
      <c r="J169" s="26"/>
      <c r="K169" s="26"/>
      <c r="L169" s="26"/>
    </row>
    <row r="170" spans="7:12" ht="15.75" x14ac:dyDescent="0.25">
      <c r="G170" s="26"/>
      <c r="H170" s="26"/>
      <c r="I170" s="26"/>
      <c r="J170" s="26"/>
      <c r="K170" s="26"/>
      <c r="L170" s="26"/>
    </row>
    <row r="171" spans="7:12" ht="15.75" x14ac:dyDescent="0.25">
      <c r="G171" s="26"/>
      <c r="H171" s="26"/>
      <c r="I171" s="26"/>
      <c r="J171" s="26"/>
      <c r="K171" s="26"/>
      <c r="L171" s="26"/>
    </row>
    <row r="172" spans="7:12" ht="15.75" x14ac:dyDescent="0.25">
      <c r="G172" s="26"/>
      <c r="H172" s="26"/>
      <c r="I172" s="26"/>
      <c r="J172" s="26"/>
      <c r="K172" s="26"/>
      <c r="L172" s="26"/>
    </row>
    <row r="173" spans="7:12" ht="15.75" x14ac:dyDescent="0.25">
      <c r="G173" s="26"/>
      <c r="H173" s="26"/>
      <c r="I173" s="26"/>
      <c r="J173" s="26"/>
      <c r="K173" s="26"/>
      <c r="L173" s="26"/>
    </row>
    <row r="174" spans="7:12" ht="15.75" x14ac:dyDescent="0.25">
      <c r="G174" s="26"/>
      <c r="H174" s="26"/>
      <c r="I174" s="26"/>
      <c r="J174" s="26"/>
      <c r="K174" s="26"/>
      <c r="L174" s="26"/>
    </row>
    <row r="175" spans="7:12" ht="15.75" x14ac:dyDescent="0.25">
      <c r="G175" s="26"/>
      <c r="H175" s="26"/>
      <c r="I175" s="26"/>
      <c r="J175" s="26"/>
      <c r="K175" s="26"/>
      <c r="L175" s="26"/>
    </row>
    <row r="176" spans="7:12" ht="15.75" x14ac:dyDescent="0.25">
      <c r="G176" s="26"/>
      <c r="H176" s="26"/>
      <c r="I176" s="26"/>
      <c r="J176" s="26"/>
      <c r="K176" s="26"/>
      <c r="L176" s="26"/>
    </row>
    <row r="177" spans="7:12" ht="15.75" x14ac:dyDescent="0.25">
      <c r="G177" s="26"/>
      <c r="H177" s="26"/>
      <c r="I177" s="26"/>
      <c r="J177" s="26"/>
      <c r="K177" s="26"/>
      <c r="L177" s="26"/>
    </row>
    <row r="178" spans="7:12" ht="15.75" x14ac:dyDescent="0.25">
      <c r="G178" s="26"/>
      <c r="H178" s="26"/>
      <c r="I178" s="26"/>
      <c r="J178" s="26"/>
      <c r="K178" s="26"/>
      <c r="L178" s="26"/>
    </row>
    <row r="179" spans="7:12" ht="15.75" x14ac:dyDescent="0.25">
      <c r="G179" s="26"/>
      <c r="H179" s="26"/>
      <c r="I179" s="26"/>
      <c r="J179" s="26"/>
      <c r="K179" s="26"/>
      <c r="L179" s="26"/>
    </row>
    <row r="180" spans="7:12" ht="15.75" x14ac:dyDescent="0.25">
      <c r="G180" s="26"/>
      <c r="H180" s="26"/>
      <c r="I180" s="26"/>
      <c r="J180" s="26"/>
      <c r="K180" s="26"/>
      <c r="L180" s="26"/>
    </row>
    <row r="181" spans="7:12" ht="15.75" x14ac:dyDescent="0.25">
      <c r="G181" s="26"/>
      <c r="H181" s="26"/>
      <c r="I181" s="26"/>
      <c r="J181" s="26"/>
      <c r="K181" s="26"/>
      <c r="L181" s="26"/>
    </row>
    <row r="182" spans="7:12" ht="15.75" x14ac:dyDescent="0.25">
      <c r="G182" s="26"/>
      <c r="H182" s="26"/>
      <c r="I182" s="26"/>
      <c r="J182" s="26"/>
      <c r="K182" s="26"/>
      <c r="L182" s="26"/>
    </row>
    <row r="183" spans="7:12" ht="15.75" x14ac:dyDescent="0.25">
      <c r="G183" s="26"/>
      <c r="H183" s="26"/>
      <c r="I183" s="26"/>
      <c r="J183" s="26"/>
      <c r="K183" s="26"/>
      <c r="L183" s="26"/>
    </row>
    <row r="184" spans="7:12" ht="15.75" x14ac:dyDescent="0.25">
      <c r="G184" s="26"/>
      <c r="H184" s="26"/>
      <c r="I184" s="26"/>
      <c r="J184" s="26"/>
      <c r="K184" s="26"/>
      <c r="L184" s="26"/>
    </row>
    <row r="185" spans="7:12" ht="15.75" x14ac:dyDescent="0.25">
      <c r="G185" s="26"/>
      <c r="H185" s="26"/>
      <c r="I185" s="26"/>
      <c r="J185" s="26"/>
      <c r="K185" s="26"/>
      <c r="L185" s="26"/>
    </row>
    <row r="186" spans="7:12" ht="15.75" x14ac:dyDescent="0.25">
      <c r="G186" s="26"/>
      <c r="H186" s="26"/>
      <c r="I186" s="26"/>
      <c r="J186" s="26"/>
      <c r="K186" s="26"/>
      <c r="L186" s="26"/>
    </row>
    <row r="187" spans="7:12" ht="15.75" x14ac:dyDescent="0.25">
      <c r="G187" s="26"/>
      <c r="H187" s="26"/>
      <c r="I187" s="26"/>
      <c r="J187" s="26"/>
      <c r="K187" s="26"/>
      <c r="L187" s="26"/>
    </row>
    <row r="188" spans="7:12" ht="15.75" x14ac:dyDescent="0.25">
      <c r="G188" s="26"/>
      <c r="H188" s="26"/>
      <c r="I188" s="26"/>
      <c r="J188" s="26"/>
      <c r="K188" s="26"/>
      <c r="L188" s="26"/>
    </row>
    <row r="189" spans="7:12" ht="15.75" x14ac:dyDescent="0.25">
      <c r="G189" s="26"/>
      <c r="H189" s="26"/>
      <c r="I189" s="26"/>
      <c r="J189" s="26"/>
      <c r="K189" s="26"/>
      <c r="L189" s="26"/>
    </row>
    <row r="190" spans="7:12" ht="15.75" x14ac:dyDescent="0.25">
      <c r="G190" s="26"/>
      <c r="H190" s="26"/>
      <c r="I190" s="26"/>
      <c r="J190" s="26"/>
      <c r="K190" s="26"/>
      <c r="L190" s="26"/>
    </row>
    <row r="191" spans="7:12" ht="15.75" x14ac:dyDescent="0.25">
      <c r="G191" s="26"/>
      <c r="H191" s="26"/>
      <c r="I191" s="26"/>
      <c r="J191" s="26"/>
      <c r="K191" s="26"/>
      <c r="L191" s="26"/>
    </row>
    <row r="192" spans="7:12" ht="15.75" x14ac:dyDescent="0.25">
      <c r="G192" s="26"/>
      <c r="H192" s="26"/>
      <c r="I192" s="26"/>
      <c r="J192" s="26"/>
      <c r="K192" s="26"/>
      <c r="L192" s="26"/>
    </row>
    <row r="193" spans="7:12" ht="15.75" x14ac:dyDescent="0.25">
      <c r="G193" s="26"/>
      <c r="H193" s="26"/>
      <c r="I193" s="26"/>
      <c r="J193" s="26"/>
      <c r="K193" s="26"/>
      <c r="L193" s="26"/>
    </row>
    <row r="194" spans="7:12" ht="15.75" x14ac:dyDescent="0.25">
      <c r="G194" s="26"/>
      <c r="H194" s="26"/>
      <c r="I194" s="26"/>
      <c r="J194" s="26"/>
      <c r="K194" s="26"/>
      <c r="L194" s="26"/>
    </row>
    <row r="195" spans="7:12" ht="15.75" x14ac:dyDescent="0.25">
      <c r="G195" s="26"/>
      <c r="H195" s="26"/>
      <c r="I195" s="26"/>
      <c r="J195" s="26"/>
      <c r="K195" s="26"/>
      <c r="L195" s="26"/>
    </row>
  </sheetData>
  <mergeCells count="1">
    <mergeCell ref="H1:L1"/>
  </mergeCells>
  <conditionalFormatting sqref="D4:D14">
    <cfRule type="cellIs" dxfId="26" priority="15" operator="equal">
      <formula>0</formula>
    </cfRule>
  </conditionalFormatting>
  <dataValidations count="1">
    <dataValidation type="list" allowBlank="1" showInputMessage="1" sqref="H3:L3" xr:uid="{BA635E28-26E9-45B6-AB2D-E68EA9E90627}">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5E3D0F8D-A2A5-4C73-B78C-99C9FAB0D87D}">
          <x14:formula1>
            <xm:f>Unit!$A$4:$A$11</xm:f>
          </x14:formula1>
          <xm:sqref>D3</xm:sqref>
        </x14:dataValidation>
        <x14:dataValidation type="list" allowBlank="1" showInputMessage="1" xr:uid="{8E33616B-3034-4F3D-88CA-FAE60F36A69F}">
          <x14:formula1>
            <xm:f>Unit!#REF!</xm:f>
          </x14:formula1>
          <xm:sqref>I16:L161</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4DE51-DF6C-4148-BD80-E0BA976D2512}">
  <sheetPr codeName="Sheet49">
    <tabColor rgb="FF00B050"/>
  </sheetPr>
  <dimension ref="A1:S203"/>
  <sheetViews>
    <sheetView view="pageBreakPreview" zoomScale="70" zoomScaleNormal="85" zoomScaleSheetLayoutView="70" zoomScalePageLayoutView="85" workbookViewId="0">
      <pane ySplit="2" topLeftCell="A40"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7.5703125" style="25" bestFit="1"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'Plumbing PC Item'!A2+1</f>
        <v>18</v>
      </c>
      <c r="B2" s="73" t="s" cm="1">
        <v>2455</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18.010000000000002</v>
      </c>
      <c r="B3" s="27" t="s">
        <v>228</v>
      </c>
      <c r="C3" s="83">
        <v>1</v>
      </c>
      <c r="D3" s="29" t="s">
        <v>24</v>
      </c>
      <c r="E3" s="85"/>
      <c r="F3" s="86">
        <f>IF(E3="inc",0,IF(C3="",0,C3*E3))</f>
        <v>0</v>
      </c>
      <c r="G3" s="208"/>
      <c r="H3" s="30"/>
      <c r="I3" s="30"/>
      <c r="J3" s="30"/>
      <c r="K3" s="30"/>
      <c r="L3" s="30"/>
      <c r="M3" s="87"/>
      <c r="N3" s="88"/>
      <c r="O3" s="25"/>
      <c r="P3" s="25"/>
      <c r="Q3" s="25"/>
      <c r="R3" s="25"/>
      <c r="S3" s="25"/>
    </row>
    <row r="4" spans="1:19" s="94" customFormat="1" ht="31.5" x14ac:dyDescent="0.25">
      <c r="A4" s="387" t="s">
        <v>2362</v>
      </c>
      <c r="B4" s="24" t="s">
        <v>2363</v>
      </c>
      <c r="C4" s="32">
        <v>1</v>
      </c>
      <c r="D4" s="32" t="s">
        <v>5</v>
      </c>
      <c r="E4" s="26"/>
      <c r="F4" s="33"/>
      <c r="G4" s="208"/>
      <c r="H4" s="26"/>
      <c r="I4" s="26"/>
      <c r="J4" s="26"/>
      <c r="K4" s="26"/>
      <c r="L4" s="26"/>
      <c r="M4" s="34"/>
      <c r="N4" s="32"/>
      <c r="O4" s="44"/>
    </row>
    <row r="5" spans="1:19" s="94" customFormat="1" ht="15.75" x14ac:dyDescent="0.25">
      <c r="A5" s="24"/>
      <c r="B5" s="24" t="s">
        <v>236</v>
      </c>
      <c r="C5" s="32">
        <v>8</v>
      </c>
      <c r="D5" s="32" t="s">
        <v>5</v>
      </c>
      <c r="E5" s="26"/>
      <c r="F5" s="33"/>
      <c r="G5" s="210"/>
      <c r="H5" s="26"/>
      <c r="I5" s="26"/>
      <c r="J5" s="26"/>
      <c r="K5" s="26"/>
      <c r="L5" s="26"/>
      <c r="M5" s="34"/>
      <c r="N5" s="32"/>
      <c r="O5" s="44"/>
    </row>
    <row r="6" spans="1:19" s="94" customFormat="1" ht="15.75" x14ac:dyDescent="0.25">
      <c r="A6" s="24"/>
      <c r="B6" s="24" t="s">
        <v>237</v>
      </c>
      <c r="C6" s="32">
        <v>6</v>
      </c>
      <c r="D6" s="32" t="s">
        <v>5</v>
      </c>
      <c r="E6" s="26"/>
      <c r="F6" s="33"/>
      <c r="G6" s="210"/>
      <c r="H6" s="26"/>
      <c r="I6" s="26"/>
      <c r="J6" s="26"/>
      <c r="K6" s="26"/>
      <c r="L6" s="26"/>
      <c r="M6" s="34"/>
      <c r="N6" s="32"/>
      <c r="O6" s="44"/>
    </row>
    <row r="7" spans="1:19" s="94" customFormat="1" ht="15.75" x14ac:dyDescent="0.25">
      <c r="A7" s="24"/>
      <c r="B7" s="387" t="s">
        <v>2366</v>
      </c>
      <c r="C7" s="32">
        <v>20</v>
      </c>
      <c r="D7" s="32" t="s">
        <v>5</v>
      </c>
      <c r="E7" s="26"/>
      <c r="F7" s="33"/>
      <c r="G7" s="210"/>
      <c r="H7" s="26"/>
      <c r="I7" s="26"/>
      <c r="J7" s="26"/>
      <c r="K7" s="26"/>
      <c r="L7" s="26"/>
      <c r="M7" s="34"/>
      <c r="N7" s="32"/>
      <c r="O7" s="44"/>
    </row>
    <row r="8" spans="1:19" s="94" customFormat="1" ht="15.75" x14ac:dyDescent="0.25">
      <c r="A8" s="24"/>
      <c r="B8" s="24" t="s">
        <v>363</v>
      </c>
      <c r="C8" s="32">
        <v>27</v>
      </c>
      <c r="D8" s="32" t="s">
        <v>5</v>
      </c>
      <c r="E8" s="26"/>
      <c r="F8" s="33"/>
      <c r="G8" s="210"/>
      <c r="H8" s="26"/>
      <c r="I8" s="26"/>
      <c r="J8" s="26"/>
      <c r="K8" s="26"/>
      <c r="L8" s="26"/>
      <c r="M8" s="34"/>
      <c r="N8" s="32"/>
      <c r="O8" s="44"/>
    </row>
    <row r="9" spans="1:19" s="94" customFormat="1" ht="15.75" x14ac:dyDescent="0.25">
      <c r="A9" s="24"/>
      <c r="B9" s="24" t="s">
        <v>2364</v>
      </c>
      <c r="C9" s="32">
        <v>4</v>
      </c>
      <c r="D9" s="32" t="s">
        <v>5</v>
      </c>
      <c r="E9" s="26"/>
      <c r="F9" s="33"/>
      <c r="G9" s="210"/>
      <c r="H9" s="26"/>
      <c r="I9" s="26"/>
      <c r="J9" s="26"/>
      <c r="K9" s="26"/>
      <c r="L9" s="26"/>
      <c r="M9" s="34"/>
      <c r="N9" s="32"/>
      <c r="O9" s="44"/>
    </row>
    <row r="10" spans="1:19" s="94" customFormat="1" ht="15.75" x14ac:dyDescent="0.25">
      <c r="A10" s="24"/>
      <c r="B10" s="24" t="s">
        <v>2365</v>
      </c>
      <c r="C10" s="32">
        <v>5</v>
      </c>
      <c r="D10" s="32" t="s">
        <v>5</v>
      </c>
      <c r="E10" s="26"/>
      <c r="F10" s="33"/>
      <c r="G10" s="210"/>
      <c r="H10" s="26"/>
      <c r="I10" s="26"/>
      <c r="J10" s="26"/>
      <c r="K10" s="26"/>
      <c r="L10" s="26"/>
      <c r="M10" s="34"/>
      <c r="N10" s="32"/>
      <c r="O10" s="44"/>
    </row>
    <row r="11" spans="1:19" s="94" customFormat="1" ht="47.25" x14ac:dyDescent="0.25">
      <c r="A11" s="24"/>
      <c r="B11" s="24" t="s">
        <v>2360</v>
      </c>
      <c r="C11" s="32">
        <v>4</v>
      </c>
      <c r="D11" s="32" t="s">
        <v>5</v>
      </c>
      <c r="E11" s="26"/>
      <c r="F11" s="33"/>
      <c r="G11" s="210"/>
      <c r="H11" s="26"/>
      <c r="I11" s="26"/>
      <c r="J11" s="26"/>
      <c r="K11" s="26"/>
      <c r="L11" s="26"/>
      <c r="M11" s="34"/>
      <c r="N11" s="32"/>
      <c r="O11" s="44"/>
    </row>
    <row r="12" spans="1:19" s="94" customFormat="1" ht="47.25" x14ac:dyDescent="0.25">
      <c r="A12" s="24"/>
      <c r="B12" s="24" t="s">
        <v>2361</v>
      </c>
      <c r="C12" s="32">
        <v>2</v>
      </c>
      <c r="D12" s="32" t="s">
        <v>5</v>
      </c>
      <c r="E12" s="26"/>
      <c r="F12" s="33"/>
      <c r="G12" s="210"/>
      <c r="H12" s="26"/>
      <c r="I12" s="26"/>
      <c r="J12" s="26"/>
      <c r="K12" s="26"/>
      <c r="L12" s="26"/>
      <c r="M12" s="34"/>
      <c r="N12" s="32"/>
      <c r="O12" s="44"/>
    </row>
    <row r="13" spans="1:19" s="94" customFormat="1" ht="31.5" x14ac:dyDescent="0.25">
      <c r="A13" s="24"/>
      <c r="B13" s="24" t="s">
        <v>2359</v>
      </c>
      <c r="C13" s="32">
        <v>21</v>
      </c>
      <c r="D13" s="32" t="s">
        <v>5</v>
      </c>
      <c r="E13" s="26"/>
      <c r="F13" s="33"/>
      <c r="G13" s="210"/>
      <c r="H13" s="26"/>
      <c r="I13" s="26"/>
      <c r="J13" s="26"/>
      <c r="K13" s="26"/>
      <c r="L13" s="26"/>
      <c r="M13" s="34"/>
      <c r="N13" s="32"/>
      <c r="O13" s="44"/>
    </row>
    <row r="14" spans="1:19" s="94" customFormat="1" ht="15.75" x14ac:dyDescent="0.25">
      <c r="A14" s="24"/>
      <c r="B14" s="24" t="s">
        <v>235</v>
      </c>
      <c r="C14" s="32">
        <v>2</v>
      </c>
      <c r="D14" s="32" t="s">
        <v>5</v>
      </c>
      <c r="E14" s="26"/>
      <c r="F14" s="33"/>
      <c r="G14" s="208"/>
      <c r="H14" s="26"/>
      <c r="I14" s="26"/>
      <c r="J14" s="26"/>
      <c r="K14" s="26"/>
      <c r="L14" s="26"/>
      <c r="M14" s="34"/>
      <c r="N14" s="32"/>
      <c r="O14" s="44"/>
    </row>
    <row r="15" spans="1:19" s="94" customFormat="1" ht="15.75" x14ac:dyDescent="0.25">
      <c r="A15" s="24"/>
      <c r="B15" s="387" t="s">
        <v>2367</v>
      </c>
      <c r="C15" s="32">
        <v>2</v>
      </c>
      <c r="D15" s="32" t="s">
        <v>5</v>
      </c>
      <c r="E15" s="26"/>
      <c r="F15" s="33"/>
      <c r="G15" s="208"/>
      <c r="H15" s="26"/>
      <c r="I15" s="26"/>
      <c r="J15" s="26"/>
      <c r="K15" s="26"/>
      <c r="L15" s="26"/>
      <c r="M15" s="34"/>
      <c r="N15" s="32"/>
      <c r="O15" s="44"/>
    </row>
    <row r="16" spans="1:19" s="94" customFormat="1" ht="15.75" x14ac:dyDescent="0.25">
      <c r="A16" s="24"/>
      <c r="B16" s="387" t="s">
        <v>2368</v>
      </c>
      <c r="C16" s="32">
        <v>9</v>
      </c>
      <c r="D16" s="32" t="s">
        <v>5</v>
      </c>
      <c r="E16" s="26"/>
      <c r="F16" s="33"/>
      <c r="G16" s="208"/>
      <c r="H16" s="26"/>
      <c r="I16" s="26"/>
      <c r="J16" s="26"/>
      <c r="K16" s="26"/>
      <c r="L16" s="26"/>
      <c r="M16" s="34"/>
      <c r="N16" s="32"/>
      <c r="O16" s="44"/>
    </row>
    <row r="17" spans="1:19" s="94" customFormat="1" ht="15.75" x14ac:dyDescent="0.25">
      <c r="A17" s="24"/>
      <c r="B17" s="387" t="s">
        <v>2369</v>
      </c>
      <c r="C17" s="32">
        <v>1</v>
      </c>
      <c r="D17" s="32" t="s">
        <v>5</v>
      </c>
      <c r="E17" s="26"/>
      <c r="F17" s="33"/>
      <c r="G17" s="210"/>
      <c r="H17" s="26"/>
      <c r="I17" s="26"/>
      <c r="J17" s="26"/>
      <c r="K17" s="26"/>
      <c r="L17" s="26"/>
      <c r="M17" s="34"/>
      <c r="N17" s="32"/>
      <c r="O17" s="44"/>
    </row>
    <row r="18" spans="1:19" s="94" customFormat="1" ht="15.75" x14ac:dyDescent="0.25">
      <c r="A18" s="24"/>
      <c r="B18" s="387" t="s">
        <v>2370</v>
      </c>
      <c r="C18" s="32">
        <v>1</v>
      </c>
      <c r="D18" s="32" t="s">
        <v>5</v>
      </c>
      <c r="E18" s="26"/>
      <c r="F18" s="33"/>
      <c r="G18" s="210"/>
      <c r="H18" s="26"/>
      <c r="I18" s="26"/>
      <c r="J18" s="26"/>
      <c r="K18" s="26"/>
      <c r="L18" s="26"/>
      <c r="M18" s="34"/>
      <c r="N18" s="32"/>
      <c r="O18" s="44"/>
    </row>
    <row r="19" spans="1:19" s="94" customFormat="1" ht="15.75" x14ac:dyDescent="0.25">
      <c r="A19" s="24"/>
      <c r="B19" s="24"/>
      <c r="C19" s="32" t="s">
        <v>2346</v>
      </c>
      <c r="D19" s="32">
        <v>0</v>
      </c>
      <c r="E19" s="26"/>
      <c r="F19" s="33"/>
      <c r="G19" s="210"/>
      <c r="H19" s="26"/>
      <c r="I19" s="26"/>
      <c r="J19" s="26"/>
      <c r="K19" s="26"/>
      <c r="L19" s="26"/>
      <c r="M19" s="34"/>
      <c r="N19" s="32"/>
      <c r="O19" s="44"/>
    </row>
    <row r="20" spans="1:19" s="90" customFormat="1" ht="37.5" x14ac:dyDescent="0.25">
      <c r="A20" s="82">
        <f ca="1">IF(C20&gt;0,MAX($A$1:OFFSET(A20,-1,0))+0.01,"")</f>
        <v>18.020000000000003</v>
      </c>
      <c r="B20" s="27" t="s">
        <v>2428</v>
      </c>
      <c r="C20" s="97">
        <v>1</v>
      </c>
      <c r="D20" s="29" t="s">
        <v>24</v>
      </c>
      <c r="E20" s="85"/>
      <c r="F20" s="86">
        <f>IF(E20="inc",0,IF(C20="",0,C20*E20))</f>
        <v>0</v>
      </c>
      <c r="G20" s="208"/>
      <c r="H20" s="30"/>
      <c r="I20" s="30"/>
      <c r="J20" s="30"/>
      <c r="K20" s="30"/>
      <c r="L20" s="30"/>
      <c r="M20" s="87"/>
      <c r="N20" s="32"/>
      <c r="O20" s="25"/>
      <c r="P20" s="25"/>
      <c r="Q20" s="25"/>
      <c r="R20" s="25"/>
      <c r="S20" s="25"/>
    </row>
    <row r="21" spans="1:19" s="94" customFormat="1" ht="15.75" x14ac:dyDescent="0.25">
      <c r="A21" s="24"/>
      <c r="B21" s="385"/>
      <c r="C21" s="32">
        <v>1</v>
      </c>
      <c r="D21" s="32" t="s">
        <v>5</v>
      </c>
      <c r="E21" s="26"/>
      <c r="F21" s="33"/>
      <c r="G21" s="210"/>
      <c r="H21" s="26"/>
      <c r="I21" s="26"/>
      <c r="J21" s="26"/>
      <c r="K21" s="26"/>
      <c r="L21" s="26"/>
      <c r="M21" s="34"/>
      <c r="N21" s="32"/>
      <c r="O21" s="44"/>
    </row>
    <row r="22" spans="1:19" s="94" customFormat="1" ht="15.75" x14ac:dyDescent="0.25">
      <c r="A22" s="24"/>
      <c r="B22" s="24"/>
      <c r="C22" s="32" t="s">
        <v>2346</v>
      </c>
      <c r="D22" s="32">
        <v>0</v>
      </c>
      <c r="E22" s="26"/>
      <c r="F22" s="33"/>
      <c r="G22" s="210"/>
      <c r="H22" s="26"/>
      <c r="I22" s="26"/>
      <c r="J22" s="26"/>
      <c r="K22" s="26"/>
      <c r="L22" s="26"/>
      <c r="M22" s="34"/>
      <c r="N22" s="32"/>
      <c r="O22" s="44"/>
    </row>
    <row r="23" spans="1:19" s="79" customFormat="1" ht="21.75" thickBot="1" x14ac:dyDescent="0.4">
      <c r="A23" s="99"/>
      <c r="B23" s="394" t="s">
        <v>4</v>
      </c>
      <c r="C23" s="395"/>
      <c r="D23" s="396"/>
      <c r="E23" s="100"/>
      <c r="F23" s="101">
        <f ca="1">SUM(F$2:OFFSET(F23,-1,0))</f>
        <v>0</v>
      </c>
      <c r="G23" s="210"/>
      <c r="H23" s="100"/>
      <c r="I23" s="100"/>
      <c r="J23" s="100"/>
      <c r="K23" s="100"/>
      <c r="L23" s="100"/>
      <c r="M23" s="102"/>
      <c r="N23" s="32"/>
    </row>
    <row r="24" spans="1:19" s="94" customFormat="1" ht="18.75" x14ac:dyDescent="0.25">
      <c r="A24" s="105"/>
      <c r="B24" s="25"/>
      <c r="C24" s="106"/>
      <c r="D24" s="32"/>
      <c r="E24" s="92"/>
      <c r="F24" s="107"/>
      <c r="G24" s="107"/>
      <c r="H24" s="107"/>
      <c r="I24" s="30"/>
      <c r="J24" s="30"/>
      <c r="K24" s="30"/>
      <c r="L24" s="30"/>
      <c r="M24" s="88"/>
      <c r="N24" s="32"/>
    </row>
    <row r="25" spans="1:19" ht="18.75" x14ac:dyDescent="0.25">
      <c r="C25" s="106"/>
      <c r="G25" s="107"/>
      <c r="H25" s="107"/>
      <c r="I25" s="30"/>
      <c r="J25" s="30"/>
      <c r="K25" s="30"/>
      <c r="L25" s="30"/>
      <c r="N25" s="32"/>
    </row>
    <row r="26" spans="1:19" ht="18.75" x14ac:dyDescent="0.25">
      <c r="G26" s="107"/>
      <c r="H26" s="107"/>
      <c r="I26" s="30"/>
      <c r="J26" s="30"/>
      <c r="K26" s="30"/>
      <c r="L26" s="30"/>
      <c r="N26" s="32"/>
    </row>
    <row r="27" spans="1:19" ht="18.75" x14ac:dyDescent="0.25">
      <c r="G27" s="107"/>
      <c r="H27" s="107"/>
      <c r="I27" s="30"/>
      <c r="J27" s="30"/>
      <c r="K27" s="30"/>
      <c r="L27" s="30"/>
      <c r="N27" s="32"/>
    </row>
    <row r="28" spans="1:19" ht="18.75" x14ac:dyDescent="0.25">
      <c r="F28" s="108" t="e">
        <f ca="1">F23-#REF!</f>
        <v>#REF!</v>
      </c>
      <c r="G28" s="107"/>
      <c r="H28" s="107"/>
      <c r="I28" s="30"/>
      <c r="J28" s="30"/>
      <c r="K28" s="30"/>
      <c r="L28" s="30"/>
      <c r="N28" s="32"/>
    </row>
    <row r="29" spans="1:19" ht="18.75" x14ac:dyDescent="0.25">
      <c r="G29" s="107"/>
      <c r="H29" s="107"/>
      <c r="I29" s="30"/>
      <c r="J29" s="30"/>
      <c r="K29" s="30"/>
      <c r="L29" s="30"/>
      <c r="N29" s="32"/>
    </row>
    <row r="30" spans="1:19" ht="18.75" x14ac:dyDescent="0.25">
      <c r="G30" s="107"/>
      <c r="H30" s="107"/>
      <c r="I30" s="30"/>
      <c r="J30" s="30"/>
      <c r="K30" s="30"/>
      <c r="L30" s="30"/>
    </row>
    <row r="31" spans="1:19" ht="18.75" x14ac:dyDescent="0.25">
      <c r="G31" s="107"/>
      <c r="H31" s="107"/>
      <c r="I31" s="30"/>
      <c r="J31" s="30"/>
      <c r="K31" s="30"/>
      <c r="L31" s="30"/>
    </row>
    <row r="32" spans="1:19" ht="18.75" x14ac:dyDescent="0.25">
      <c r="G32" s="107"/>
      <c r="H32" s="107"/>
      <c r="I32" s="30"/>
      <c r="J32" s="30"/>
      <c r="K32" s="30"/>
      <c r="L32" s="30"/>
    </row>
    <row r="33" spans="1:19" ht="18.75" x14ac:dyDescent="0.25">
      <c r="G33" s="107"/>
      <c r="H33" s="107"/>
      <c r="I33" s="30"/>
      <c r="J33" s="30"/>
      <c r="K33" s="30"/>
      <c r="L33" s="30"/>
    </row>
    <row r="34" spans="1:19" ht="18.75" x14ac:dyDescent="0.25">
      <c r="G34" s="107"/>
      <c r="H34" s="107"/>
      <c r="I34" s="30"/>
      <c r="J34" s="30"/>
      <c r="K34" s="30"/>
      <c r="L34" s="30"/>
    </row>
    <row r="35" spans="1:19" ht="18.75" x14ac:dyDescent="0.25">
      <c r="G35" s="107"/>
      <c r="H35" s="107"/>
      <c r="I35" s="30"/>
      <c r="J35" s="30"/>
      <c r="K35" s="30"/>
      <c r="L35" s="30"/>
    </row>
    <row r="36" spans="1:19" ht="18.75" x14ac:dyDescent="0.25">
      <c r="G36" s="107"/>
      <c r="H36" s="107"/>
      <c r="I36" s="30"/>
      <c r="J36" s="30"/>
      <c r="K36" s="30"/>
      <c r="L36" s="30"/>
    </row>
    <row r="37" spans="1:19" ht="18.75" x14ac:dyDescent="0.25">
      <c r="G37" s="107"/>
      <c r="H37" s="107"/>
      <c r="I37" s="30"/>
      <c r="J37" s="30"/>
      <c r="K37" s="30"/>
      <c r="L37" s="30"/>
    </row>
    <row r="38" spans="1:19" s="110" customFormat="1" ht="18.75" x14ac:dyDescent="0.25">
      <c r="A38" s="25"/>
      <c r="B38" s="25"/>
      <c r="D38" s="36"/>
      <c r="E38" s="25"/>
      <c r="F38" s="108"/>
      <c r="G38" s="107"/>
      <c r="H38" s="107"/>
      <c r="I38" s="30"/>
      <c r="J38" s="30"/>
      <c r="K38" s="30"/>
      <c r="L38" s="30"/>
      <c r="M38" s="88"/>
      <c r="N38" s="88"/>
      <c r="O38" s="25"/>
      <c r="P38" s="25"/>
      <c r="Q38" s="25"/>
      <c r="R38" s="25"/>
      <c r="S38" s="25"/>
    </row>
    <row r="39" spans="1:19" s="110" customFormat="1" ht="18.75" x14ac:dyDescent="0.25">
      <c r="A39" s="25"/>
      <c r="B39" s="25"/>
      <c r="D39" s="36"/>
      <c r="E39" s="25"/>
      <c r="F39" s="108"/>
      <c r="G39" s="107"/>
      <c r="H39" s="107"/>
      <c r="I39" s="30"/>
      <c r="J39" s="30"/>
      <c r="K39" s="30"/>
      <c r="L39" s="30"/>
      <c r="M39" s="88"/>
      <c r="N39" s="88"/>
      <c r="O39" s="25"/>
      <c r="P39" s="25"/>
      <c r="Q39" s="25"/>
      <c r="R39" s="25"/>
      <c r="S39" s="25"/>
    </row>
    <row r="40" spans="1:19" s="110" customFormat="1" ht="18.75" x14ac:dyDescent="0.25">
      <c r="A40" s="25"/>
      <c r="B40" s="25"/>
      <c r="D40" s="36"/>
      <c r="E40" s="25"/>
      <c r="F40" s="108"/>
      <c r="G40" s="107"/>
      <c r="H40" s="107"/>
      <c r="I40" s="30"/>
      <c r="J40" s="30"/>
      <c r="K40" s="30"/>
      <c r="L40" s="30"/>
      <c r="M40" s="88"/>
      <c r="N40" s="88"/>
      <c r="O40" s="25"/>
      <c r="P40" s="25"/>
      <c r="Q40" s="25"/>
      <c r="R40" s="25"/>
      <c r="S40" s="25"/>
    </row>
    <row r="41" spans="1:19" s="110" customFormat="1" ht="18.75" x14ac:dyDescent="0.25">
      <c r="A41" s="25"/>
      <c r="B41" s="25"/>
      <c r="D41" s="36"/>
      <c r="E41" s="25"/>
      <c r="F41" s="108"/>
      <c r="G41" s="107"/>
      <c r="H41" s="107"/>
      <c r="I41" s="30"/>
      <c r="J41" s="30"/>
      <c r="K41" s="30"/>
      <c r="L41" s="30"/>
      <c r="M41" s="88"/>
      <c r="N41" s="88"/>
      <c r="O41" s="25"/>
      <c r="P41" s="25"/>
      <c r="Q41" s="25"/>
      <c r="R41" s="25"/>
      <c r="S41" s="25"/>
    </row>
    <row r="42" spans="1:19" s="110" customFormat="1" ht="18.75" x14ac:dyDescent="0.25">
      <c r="A42" s="25"/>
      <c r="B42" s="25"/>
      <c r="D42" s="36"/>
      <c r="E42" s="25"/>
      <c r="F42" s="108"/>
      <c r="G42" s="107"/>
      <c r="H42" s="107"/>
      <c r="I42" s="30"/>
      <c r="J42" s="30"/>
      <c r="K42" s="30"/>
      <c r="L42" s="30"/>
      <c r="M42" s="88"/>
      <c r="N42" s="88"/>
      <c r="O42" s="25"/>
      <c r="P42" s="25"/>
      <c r="Q42" s="25"/>
      <c r="R42" s="25"/>
      <c r="S42" s="25"/>
    </row>
    <row r="43" spans="1:19" s="110" customFormat="1" ht="18.75" x14ac:dyDescent="0.25">
      <c r="A43" s="25"/>
      <c r="B43" s="25"/>
      <c r="D43" s="36"/>
      <c r="E43" s="25"/>
      <c r="F43" s="108"/>
      <c r="G43" s="107"/>
      <c r="H43" s="107"/>
      <c r="I43" s="30"/>
      <c r="J43" s="30"/>
      <c r="K43" s="30"/>
      <c r="L43" s="30"/>
      <c r="M43" s="88"/>
      <c r="N43" s="88"/>
      <c r="O43" s="25"/>
      <c r="P43" s="25"/>
      <c r="Q43" s="25"/>
      <c r="R43" s="25"/>
      <c r="S43" s="25"/>
    </row>
    <row r="44" spans="1:19" s="110" customFormat="1" ht="18.75" x14ac:dyDescent="0.25">
      <c r="A44" s="25"/>
      <c r="B44" s="25"/>
      <c r="D44" s="36"/>
      <c r="E44" s="25"/>
      <c r="F44" s="108"/>
      <c r="G44" s="107"/>
      <c r="H44" s="107"/>
      <c r="I44" s="30"/>
      <c r="J44" s="30"/>
      <c r="K44" s="30"/>
      <c r="L44" s="30"/>
      <c r="M44" s="88"/>
      <c r="N44" s="88"/>
      <c r="O44" s="25"/>
      <c r="P44" s="25"/>
      <c r="Q44" s="25"/>
      <c r="R44" s="25"/>
      <c r="S44" s="25"/>
    </row>
    <row r="45" spans="1:19" s="110" customFormat="1" ht="18.75" x14ac:dyDescent="0.25">
      <c r="A45" s="25"/>
      <c r="B45" s="25"/>
      <c r="D45" s="36"/>
      <c r="E45" s="25"/>
      <c r="F45" s="108"/>
      <c r="G45" s="107"/>
      <c r="H45" s="107"/>
      <c r="I45" s="30"/>
      <c r="J45" s="30"/>
      <c r="K45" s="30"/>
      <c r="L45" s="30"/>
      <c r="M45" s="88"/>
      <c r="N45" s="88"/>
      <c r="O45" s="25"/>
      <c r="P45" s="25"/>
      <c r="Q45" s="25"/>
      <c r="R45" s="25"/>
      <c r="S45" s="25"/>
    </row>
    <row r="46" spans="1:19" s="110" customFormat="1" ht="18.75" x14ac:dyDescent="0.25">
      <c r="A46" s="25"/>
      <c r="B46" s="25"/>
      <c r="D46" s="36"/>
      <c r="E46" s="25"/>
      <c r="F46" s="108"/>
      <c r="G46" s="107"/>
      <c r="H46" s="107"/>
      <c r="I46" s="30"/>
      <c r="J46" s="30"/>
      <c r="K46" s="30"/>
      <c r="L46" s="30"/>
      <c r="M46" s="88"/>
      <c r="N46" s="88"/>
      <c r="O46" s="25"/>
      <c r="P46" s="25"/>
      <c r="Q46" s="25"/>
      <c r="R46" s="25"/>
      <c r="S46" s="25"/>
    </row>
    <row r="47" spans="1:19" s="110" customFormat="1" ht="18.75" x14ac:dyDescent="0.25">
      <c r="A47" s="25"/>
      <c r="B47" s="25"/>
      <c r="D47" s="36"/>
      <c r="E47" s="25"/>
      <c r="F47" s="108"/>
      <c r="G47" s="107"/>
      <c r="H47" s="107"/>
      <c r="I47" s="30"/>
      <c r="J47" s="30"/>
      <c r="K47" s="30"/>
      <c r="L47" s="30"/>
      <c r="M47" s="88"/>
      <c r="N47" s="88"/>
      <c r="O47" s="25"/>
      <c r="P47" s="25"/>
      <c r="Q47" s="25"/>
      <c r="R47" s="25"/>
      <c r="S47" s="25"/>
    </row>
    <row r="48" spans="1:19" s="110" customFormat="1" ht="18.75" x14ac:dyDescent="0.25">
      <c r="A48" s="25"/>
      <c r="B48" s="25"/>
      <c r="D48" s="36"/>
      <c r="E48" s="25"/>
      <c r="F48" s="108"/>
      <c r="G48" s="107"/>
      <c r="H48" s="107"/>
      <c r="I48" s="30"/>
      <c r="J48" s="30"/>
      <c r="K48" s="30"/>
      <c r="L48" s="30"/>
      <c r="M48" s="88"/>
      <c r="N48" s="88"/>
      <c r="O48" s="25"/>
      <c r="P48" s="25"/>
      <c r="Q48" s="25"/>
      <c r="R48" s="25"/>
      <c r="S48" s="25"/>
    </row>
    <row r="49" spans="1:19" s="110" customFormat="1" ht="18.75" x14ac:dyDescent="0.25">
      <c r="A49" s="25"/>
      <c r="B49" s="25"/>
      <c r="D49" s="36"/>
      <c r="E49" s="25"/>
      <c r="F49" s="108"/>
      <c r="G49" s="107"/>
      <c r="H49" s="107"/>
      <c r="I49" s="30"/>
      <c r="J49" s="30"/>
      <c r="K49" s="30"/>
      <c r="L49" s="30"/>
      <c r="M49" s="88"/>
      <c r="N49" s="88"/>
      <c r="O49" s="25"/>
      <c r="P49" s="25"/>
      <c r="Q49" s="25"/>
      <c r="R49" s="25"/>
      <c r="S49" s="25"/>
    </row>
    <row r="50" spans="1:19" s="110" customFormat="1" ht="18.75" x14ac:dyDescent="0.25">
      <c r="A50" s="25"/>
      <c r="B50" s="25"/>
      <c r="D50" s="36"/>
      <c r="E50" s="25"/>
      <c r="F50" s="108"/>
      <c r="G50" s="107"/>
      <c r="H50" s="107"/>
      <c r="I50" s="30"/>
      <c r="J50" s="30"/>
      <c r="K50" s="30"/>
      <c r="L50" s="30"/>
      <c r="M50" s="88"/>
      <c r="N50" s="88"/>
      <c r="O50" s="25"/>
      <c r="P50" s="25"/>
      <c r="Q50" s="25"/>
      <c r="R50" s="25"/>
      <c r="S50" s="25"/>
    </row>
    <row r="51" spans="1:19" ht="18.75" x14ac:dyDescent="0.25">
      <c r="G51" s="107"/>
      <c r="H51" s="107"/>
      <c r="I51" s="30"/>
      <c r="J51" s="30"/>
      <c r="K51" s="30"/>
      <c r="L51" s="30"/>
    </row>
    <row r="52" spans="1:19" ht="18.75" x14ac:dyDescent="0.25">
      <c r="G52" s="107"/>
      <c r="H52" s="107"/>
      <c r="I52" s="30"/>
      <c r="J52" s="30"/>
      <c r="K52" s="30"/>
      <c r="L52" s="30"/>
    </row>
    <row r="53" spans="1:19" ht="18.75" x14ac:dyDescent="0.25">
      <c r="G53" s="107"/>
      <c r="H53" s="107"/>
      <c r="I53" s="30"/>
      <c r="J53" s="30"/>
      <c r="K53" s="30"/>
      <c r="L53" s="30"/>
    </row>
    <row r="54" spans="1:19" ht="18.75" x14ac:dyDescent="0.25">
      <c r="G54" s="107"/>
      <c r="H54" s="107"/>
      <c r="I54" s="30"/>
      <c r="J54" s="30"/>
      <c r="K54" s="30"/>
      <c r="L54" s="30"/>
    </row>
    <row r="55" spans="1:19" ht="18.75" x14ac:dyDescent="0.25">
      <c r="G55" s="107"/>
      <c r="H55" s="107"/>
      <c r="I55" s="30"/>
      <c r="J55" s="30"/>
      <c r="K55" s="30"/>
      <c r="L55" s="30"/>
    </row>
    <row r="56" spans="1:19" ht="18.75" x14ac:dyDescent="0.25">
      <c r="G56" s="107"/>
      <c r="H56" s="107"/>
      <c r="I56" s="30"/>
      <c r="J56" s="30"/>
      <c r="K56" s="30"/>
      <c r="L56" s="30"/>
    </row>
    <row r="57" spans="1:19" ht="18.75" x14ac:dyDescent="0.25">
      <c r="G57" s="107"/>
      <c r="H57" s="107"/>
      <c r="I57" s="30"/>
      <c r="J57" s="30"/>
      <c r="K57" s="30"/>
      <c r="L57" s="30"/>
    </row>
    <row r="58" spans="1:19" ht="18.75" x14ac:dyDescent="0.25">
      <c r="G58" s="107"/>
      <c r="H58" s="107"/>
      <c r="I58" s="30"/>
      <c r="J58" s="30"/>
      <c r="K58" s="30"/>
      <c r="L58" s="30"/>
    </row>
    <row r="59" spans="1:19" ht="18.75" x14ac:dyDescent="0.25">
      <c r="G59" s="107"/>
      <c r="H59" s="107"/>
      <c r="I59" s="30"/>
      <c r="J59" s="30"/>
      <c r="K59" s="30"/>
      <c r="L59" s="30"/>
    </row>
    <row r="60" spans="1:19" ht="18.75" x14ac:dyDescent="0.25">
      <c r="G60" s="107"/>
      <c r="H60" s="107"/>
      <c r="I60" s="30"/>
      <c r="J60" s="30"/>
      <c r="K60" s="30"/>
      <c r="L60" s="30"/>
    </row>
    <row r="61" spans="1:19" s="88" customFormat="1" ht="18.75" x14ac:dyDescent="0.25">
      <c r="A61" s="25"/>
      <c r="B61" s="25"/>
      <c r="C61" s="110"/>
      <c r="D61" s="36"/>
      <c r="E61" s="25"/>
      <c r="F61" s="108"/>
      <c r="G61" s="107"/>
      <c r="H61" s="107"/>
      <c r="I61" s="30"/>
      <c r="J61" s="30"/>
      <c r="K61" s="30"/>
      <c r="L61" s="30"/>
      <c r="O61" s="25"/>
      <c r="P61" s="25"/>
      <c r="Q61" s="25"/>
      <c r="R61" s="25"/>
      <c r="S61" s="25"/>
    </row>
    <row r="62" spans="1:19" s="88" customFormat="1" ht="18.75" x14ac:dyDescent="0.25">
      <c r="A62" s="25"/>
      <c r="B62" s="25"/>
      <c r="C62" s="110"/>
      <c r="D62" s="36"/>
      <c r="E62" s="25"/>
      <c r="F62" s="108"/>
      <c r="G62" s="107"/>
      <c r="H62" s="107"/>
      <c r="I62" s="30"/>
      <c r="J62" s="30"/>
      <c r="K62" s="30"/>
      <c r="L62" s="30"/>
      <c r="O62" s="25"/>
      <c r="P62" s="25"/>
      <c r="Q62" s="25"/>
      <c r="R62" s="25"/>
      <c r="S62" s="25"/>
    </row>
    <row r="63" spans="1:19" s="88" customFormat="1" ht="18.75" x14ac:dyDescent="0.25">
      <c r="A63" s="25"/>
      <c r="B63" s="25"/>
      <c r="C63" s="110"/>
      <c r="D63" s="36"/>
      <c r="E63" s="25"/>
      <c r="F63" s="108"/>
      <c r="G63" s="107"/>
      <c r="H63" s="107"/>
      <c r="I63" s="30"/>
      <c r="J63" s="30"/>
      <c r="K63" s="30"/>
      <c r="L63" s="30"/>
      <c r="O63" s="25"/>
      <c r="P63" s="25"/>
      <c r="Q63" s="25"/>
      <c r="R63" s="25"/>
      <c r="S63" s="25"/>
    </row>
    <row r="64" spans="1:19" s="88" customFormat="1" ht="18.75" x14ac:dyDescent="0.25">
      <c r="A64" s="25"/>
      <c r="B64" s="25"/>
      <c r="C64" s="110"/>
      <c r="D64" s="36"/>
      <c r="E64" s="25"/>
      <c r="F64" s="108"/>
      <c r="G64" s="107"/>
      <c r="H64" s="107"/>
      <c r="I64" s="30"/>
      <c r="J64" s="30"/>
      <c r="K64" s="30"/>
      <c r="L64" s="30"/>
      <c r="O64" s="25"/>
      <c r="P64" s="25"/>
      <c r="Q64" s="25"/>
      <c r="R64" s="25"/>
      <c r="S64" s="25"/>
    </row>
    <row r="65" spans="1:19" s="88" customFormat="1" ht="18.75" x14ac:dyDescent="0.25">
      <c r="A65" s="25"/>
      <c r="B65" s="25"/>
      <c r="C65" s="110"/>
      <c r="D65" s="36"/>
      <c r="E65" s="25"/>
      <c r="F65" s="108"/>
      <c r="G65" s="107"/>
      <c r="H65" s="107"/>
      <c r="I65" s="30"/>
      <c r="J65" s="30"/>
      <c r="K65" s="30"/>
      <c r="L65" s="30"/>
      <c r="O65" s="25"/>
      <c r="P65" s="25"/>
      <c r="Q65" s="25"/>
      <c r="R65" s="25"/>
      <c r="S65" s="25"/>
    </row>
    <row r="66" spans="1:19" s="88" customFormat="1" ht="18.75" x14ac:dyDescent="0.25">
      <c r="A66" s="25"/>
      <c r="B66" s="25"/>
      <c r="C66" s="110"/>
      <c r="D66" s="36"/>
      <c r="E66" s="25"/>
      <c r="F66" s="108"/>
      <c r="G66" s="107"/>
      <c r="H66" s="107"/>
      <c r="I66" s="30"/>
      <c r="J66" s="30"/>
      <c r="K66" s="30"/>
      <c r="L66" s="30"/>
      <c r="O66" s="25"/>
      <c r="P66" s="25"/>
      <c r="Q66" s="25"/>
      <c r="R66" s="25"/>
      <c r="S66" s="25"/>
    </row>
    <row r="67" spans="1:19" s="88" customFormat="1" ht="18.75" x14ac:dyDescent="0.25">
      <c r="A67" s="25"/>
      <c r="B67" s="25"/>
      <c r="C67" s="110"/>
      <c r="D67" s="36"/>
      <c r="E67" s="25"/>
      <c r="F67" s="108"/>
      <c r="G67" s="107"/>
      <c r="H67" s="107"/>
      <c r="I67" s="30"/>
      <c r="J67" s="30"/>
      <c r="K67" s="30"/>
      <c r="L67" s="30"/>
      <c r="O67" s="25"/>
      <c r="P67" s="25"/>
      <c r="Q67" s="25"/>
      <c r="R67" s="25"/>
      <c r="S67" s="25"/>
    </row>
    <row r="68" spans="1:19" s="88" customFormat="1" ht="18.75" x14ac:dyDescent="0.25">
      <c r="A68" s="25"/>
      <c r="B68" s="25"/>
      <c r="C68" s="110"/>
      <c r="D68" s="36"/>
      <c r="E68" s="25"/>
      <c r="F68" s="108"/>
      <c r="G68" s="107"/>
      <c r="H68" s="107"/>
      <c r="I68" s="30"/>
      <c r="J68" s="30"/>
      <c r="K68" s="30"/>
      <c r="L68" s="30"/>
      <c r="O68" s="25"/>
      <c r="P68" s="25"/>
      <c r="Q68" s="25"/>
      <c r="R68" s="25"/>
      <c r="S68" s="25"/>
    </row>
    <row r="69" spans="1:19" s="88" customFormat="1" ht="18.75" x14ac:dyDescent="0.25">
      <c r="A69" s="25"/>
      <c r="B69" s="25"/>
      <c r="C69" s="110"/>
      <c r="D69" s="36"/>
      <c r="E69" s="25"/>
      <c r="F69" s="108"/>
      <c r="G69" s="107"/>
      <c r="H69" s="107"/>
      <c r="I69" s="30"/>
      <c r="J69" s="30"/>
      <c r="K69" s="30"/>
      <c r="L69" s="30"/>
      <c r="O69" s="25"/>
      <c r="P69" s="25"/>
      <c r="Q69" s="25"/>
      <c r="R69" s="25"/>
      <c r="S69" s="25"/>
    </row>
    <row r="70" spans="1:19" s="88" customFormat="1" ht="18.75" x14ac:dyDescent="0.25">
      <c r="A70" s="25"/>
      <c r="B70" s="25"/>
      <c r="C70" s="110"/>
      <c r="D70" s="36"/>
      <c r="E70" s="25"/>
      <c r="F70" s="108"/>
      <c r="G70" s="107"/>
      <c r="H70" s="107"/>
      <c r="I70" s="30"/>
      <c r="J70" s="30"/>
      <c r="K70" s="30"/>
      <c r="L70" s="30"/>
      <c r="O70" s="25"/>
      <c r="P70" s="25"/>
      <c r="Q70" s="25"/>
      <c r="R70" s="25"/>
      <c r="S70" s="25"/>
    </row>
    <row r="71" spans="1:19" s="88" customFormat="1" ht="18.75" x14ac:dyDescent="0.25">
      <c r="A71" s="25"/>
      <c r="B71" s="25"/>
      <c r="C71" s="110"/>
      <c r="D71" s="36"/>
      <c r="E71" s="25"/>
      <c r="F71" s="108"/>
      <c r="G71" s="107"/>
      <c r="H71" s="107"/>
      <c r="I71" s="30"/>
      <c r="J71" s="30"/>
      <c r="K71" s="30"/>
      <c r="L71" s="30"/>
      <c r="O71" s="25"/>
      <c r="P71" s="25"/>
      <c r="Q71" s="25"/>
      <c r="R71" s="25"/>
      <c r="S71" s="25"/>
    </row>
    <row r="72" spans="1:19" s="88" customFormat="1" ht="18.75" x14ac:dyDescent="0.25">
      <c r="A72" s="25"/>
      <c r="B72" s="25"/>
      <c r="C72" s="110"/>
      <c r="D72" s="36"/>
      <c r="E72" s="25"/>
      <c r="F72" s="108"/>
      <c r="G72" s="107"/>
      <c r="H72" s="107"/>
      <c r="I72" s="30"/>
      <c r="J72" s="30"/>
      <c r="K72" s="30"/>
      <c r="L72" s="30"/>
      <c r="O72" s="25"/>
      <c r="P72" s="25"/>
      <c r="Q72" s="25"/>
      <c r="R72" s="25"/>
      <c r="S72" s="25"/>
    </row>
    <row r="73" spans="1:19" s="88" customFormat="1" ht="18.75" x14ac:dyDescent="0.25">
      <c r="A73" s="25"/>
      <c r="B73" s="25"/>
      <c r="C73" s="110"/>
      <c r="D73" s="36"/>
      <c r="E73" s="25"/>
      <c r="F73" s="108"/>
      <c r="G73" s="107"/>
      <c r="H73" s="107"/>
      <c r="I73" s="30"/>
      <c r="J73" s="30"/>
      <c r="K73" s="30"/>
      <c r="L73" s="30"/>
      <c r="O73" s="25"/>
      <c r="P73" s="25"/>
      <c r="Q73" s="25"/>
      <c r="R73" s="25"/>
      <c r="S73" s="25"/>
    </row>
    <row r="74" spans="1:19" s="88" customFormat="1" ht="18.75" x14ac:dyDescent="0.25">
      <c r="A74" s="25"/>
      <c r="B74" s="25"/>
      <c r="C74" s="110"/>
      <c r="D74" s="36"/>
      <c r="E74" s="25"/>
      <c r="F74" s="108"/>
      <c r="G74" s="107"/>
      <c r="H74" s="107"/>
      <c r="I74" s="30"/>
      <c r="J74" s="30"/>
      <c r="K74" s="30"/>
      <c r="L74" s="30"/>
      <c r="O74" s="25"/>
      <c r="P74" s="25"/>
      <c r="Q74" s="25"/>
      <c r="R74" s="25"/>
      <c r="S74" s="25"/>
    </row>
    <row r="75" spans="1:19" s="88" customFormat="1" ht="18.75" x14ac:dyDescent="0.25">
      <c r="A75" s="25"/>
      <c r="B75" s="25"/>
      <c r="C75" s="110"/>
      <c r="D75" s="36"/>
      <c r="E75" s="25"/>
      <c r="F75" s="108"/>
      <c r="G75" s="107"/>
      <c r="H75" s="107"/>
      <c r="I75" s="30"/>
      <c r="J75" s="30"/>
      <c r="K75" s="30"/>
      <c r="L75" s="30"/>
      <c r="O75" s="25"/>
      <c r="P75" s="25"/>
      <c r="Q75" s="25"/>
      <c r="R75" s="25"/>
      <c r="S75" s="25"/>
    </row>
    <row r="76" spans="1:19" s="88" customFormat="1" ht="18.75" x14ac:dyDescent="0.25">
      <c r="A76" s="25"/>
      <c r="B76" s="25"/>
      <c r="C76" s="110"/>
      <c r="D76" s="36"/>
      <c r="E76" s="25"/>
      <c r="F76" s="108"/>
      <c r="G76" s="107"/>
      <c r="H76" s="107"/>
      <c r="I76" s="30"/>
      <c r="J76" s="30"/>
      <c r="K76" s="30"/>
      <c r="L76" s="30"/>
      <c r="O76" s="25"/>
      <c r="P76" s="25"/>
      <c r="Q76" s="25"/>
      <c r="R76" s="25"/>
      <c r="S76" s="25"/>
    </row>
    <row r="77" spans="1:19" s="88" customFormat="1" ht="18.75" x14ac:dyDescent="0.25">
      <c r="A77" s="25"/>
      <c r="B77" s="25"/>
      <c r="C77" s="110"/>
      <c r="D77" s="36"/>
      <c r="E77" s="25"/>
      <c r="F77" s="108"/>
      <c r="G77" s="107"/>
      <c r="H77" s="107"/>
      <c r="I77" s="30"/>
      <c r="J77" s="30"/>
      <c r="K77" s="30"/>
      <c r="L77" s="30"/>
      <c r="O77" s="25"/>
      <c r="P77" s="25"/>
      <c r="Q77" s="25"/>
      <c r="R77" s="25"/>
      <c r="S77" s="25"/>
    </row>
    <row r="78" spans="1:19" s="88" customFormat="1" ht="18.75" x14ac:dyDescent="0.25">
      <c r="A78" s="25"/>
      <c r="B78" s="25"/>
      <c r="C78" s="110"/>
      <c r="D78" s="36"/>
      <c r="E78" s="25"/>
      <c r="F78" s="108"/>
      <c r="G78" s="107"/>
      <c r="H78" s="107"/>
      <c r="I78" s="30"/>
      <c r="J78" s="30"/>
      <c r="K78" s="30"/>
      <c r="L78" s="30"/>
      <c r="O78" s="25"/>
      <c r="P78" s="25"/>
      <c r="Q78" s="25"/>
      <c r="R78" s="25"/>
      <c r="S78" s="25"/>
    </row>
    <row r="79" spans="1:19" s="88" customFormat="1" ht="18.75" x14ac:dyDescent="0.25">
      <c r="A79" s="25"/>
      <c r="B79" s="25"/>
      <c r="C79" s="110"/>
      <c r="D79" s="36"/>
      <c r="E79" s="25"/>
      <c r="F79" s="108"/>
      <c r="G79" s="107"/>
      <c r="H79" s="107"/>
      <c r="I79" s="30"/>
      <c r="J79" s="30"/>
      <c r="K79" s="30"/>
      <c r="L79" s="30"/>
      <c r="O79" s="25"/>
      <c r="P79" s="25"/>
      <c r="Q79" s="25"/>
      <c r="R79" s="25"/>
      <c r="S79" s="25"/>
    </row>
    <row r="80" spans="1:19" s="88" customFormat="1" ht="18.75" x14ac:dyDescent="0.25">
      <c r="A80" s="25"/>
      <c r="B80" s="25"/>
      <c r="C80" s="110"/>
      <c r="D80" s="36"/>
      <c r="E80" s="25"/>
      <c r="F80" s="108"/>
      <c r="G80" s="107"/>
      <c r="H80" s="107"/>
      <c r="I80" s="30"/>
      <c r="J80" s="30"/>
      <c r="K80" s="30"/>
      <c r="L80" s="30"/>
      <c r="O80" s="25"/>
      <c r="P80" s="25"/>
      <c r="Q80" s="25"/>
      <c r="R80" s="25"/>
      <c r="S80" s="25"/>
    </row>
    <row r="81" spans="1:19" s="88" customFormat="1" ht="18.75" x14ac:dyDescent="0.25">
      <c r="A81" s="25"/>
      <c r="B81" s="25"/>
      <c r="C81" s="110"/>
      <c r="D81" s="36"/>
      <c r="E81" s="25"/>
      <c r="F81" s="108"/>
      <c r="G81" s="107"/>
      <c r="H81" s="107"/>
      <c r="I81" s="30"/>
      <c r="J81" s="30"/>
      <c r="K81" s="30"/>
      <c r="L81" s="30"/>
      <c r="O81" s="25"/>
      <c r="P81" s="25"/>
      <c r="Q81" s="25"/>
      <c r="R81" s="25"/>
      <c r="S81" s="25"/>
    </row>
    <row r="82" spans="1:19" s="88" customFormat="1" ht="18.75" x14ac:dyDescent="0.25">
      <c r="A82" s="25"/>
      <c r="B82" s="25"/>
      <c r="C82" s="110"/>
      <c r="D82" s="36"/>
      <c r="E82" s="25"/>
      <c r="F82" s="108"/>
      <c r="G82" s="107"/>
      <c r="H82" s="107"/>
      <c r="I82" s="30"/>
      <c r="J82" s="30"/>
      <c r="K82" s="30"/>
      <c r="L82" s="30"/>
      <c r="O82" s="25"/>
      <c r="P82" s="25"/>
      <c r="Q82" s="25"/>
      <c r="R82" s="25"/>
      <c r="S82" s="25"/>
    </row>
    <row r="83" spans="1:19" s="88" customFormat="1" ht="18.75" x14ac:dyDescent="0.25">
      <c r="A83" s="25"/>
      <c r="B83" s="25"/>
      <c r="C83" s="110"/>
      <c r="D83" s="36"/>
      <c r="E83" s="25"/>
      <c r="F83" s="108"/>
      <c r="G83" s="107"/>
      <c r="H83" s="107"/>
      <c r="I83" s="30"/>
      <c r="J83" s="30"/>
      <c r="K83" s="30"/>
      <c r="L83" s="30"/>
      <c r="O83" s="25"/>
      <c r="P83" s="25"/>
      <c r="Q83" s="25"/>
      <c r="R83" s="25"/>
      <c r="S83" s="25"/>
    </row>
    <row r="84" spans="1:19" s="88" customFormat="1" ht="18.75" x14ac:dyDescent="0.25">
      <c r="A84" s="25"/>
      <c r="B84" s="25"/>
      <c r="C84" s="110"/>
      <c r="D84" s="36"/>
      <c r="E84" s="25"/>
      <c r="F84" s="108"/>
      <c r="G84" s="107"/>
      <c r="H84" s="107"/>
      <c r="I84" s="30"/>
      <c r="J84" s="30"/>
      <c r="K84" s="30"/>
      <c r="L84" s="30"/>
      <c r="O84" s="25"/>
      <c r="P84" s="25"/>
      <c r="Q84" s="25"/>
      <c r="R84" s="25"/>
      <c r="S84" s="25"/>
    </row>
    <row r="85" spans="1:19" s="88" customFormat="1" ht="18.75" x14ac:dyDescent="0.25">
      <c r="A85" s="25"/>
      <c r="B85" s="25"/>
      <c r="C85" s="110"/>
      <c r="D85" s="36"/>
      <c r="E85" s="25"/>
      <c r="F85" s="108"/>
      <c r="G85" s="107"/>
      <c r="H85" s="107"/>
      <c r="I85" s="30"/>
      <c r="J85" s="30"/>
      <c r="K85" s="30"/>
      <c r="L85" s="30"/>
      <c r="O85" s="25"/>
      <c r="P85" s="25"/>
      <c r="Q85" s="25"/>
      <c r="R85" s="25"/>
      <c r="S85" s="25"/>
    </row>
    <row r="86" spans="1:19" s="88" customFormat="1" ht="18.75" x14ac:dyDescent="0.25">
      <c r="A86" s="25"/>
      <c r="B86" s="25"/>
      <c r="C86" s="110"/>
      <c r="D86" s="36"/>
      <c r="E86" s="25"/>
      <c r="F86" s="108"/>
      <c r="G86" s="107"/>
      <c r="H86" s="107"/>
      <c r="I86" s="30"/>
      <c r="J86" s="30"/>
      <c r="K86" s="30"/>
      <c r="L86" s="30"/>
      <c r="O86" s="25"/>
      <c r="P86" s="25"/>
      <c r="Q86" s="25"/>
      <c r="R86" s="25"/>
      <c r="S86" s="25"/>
    </row>
    <row r="87" spans="1:19" s="88" customFormat="1" ht="18.75" x14ac:dyDescent="0.25">
      <c r="A87" s="25"/>
      <c r="B87" s="25"/>
      <c r="C87" s="110"/>
      <c r="D87" s="36"/>
      <c r="E87" s="25"/>
      <c r="F87" s="108"/>
      <c r="G87" s="107"/>
      <c r="H87" s="107"/>
      <c r="I87" s="30"/>
      <c r="J87" s="30"/>
      <c r="K87" s="30"/>
      <c r="L87" s="30"/>
      <c r="O87" s="25"/>
      <c r="P87" s="25"/>
      <c r="Q87" s="25"/>
      <c r="R87" s="25"/>
      <c r="S87" s="25"/>
    </row>
    <row r="88" spans="1:19" s="88" customFormat="1" ht="18.75" x14ac:dyDescent="0.25">
      <c r="A88" s="25"/>
      <c r="B88" s="25"/>
      <c r="C88" s="110"/>
      <c r="D88" s="36"/>
      <c r="E88" s="25"/>
      <c r="F88" s="108"/>
      <c r="G88" s="107"/>
      <c r="H88" s="107"/>
      <c r="I88" s="30"/>
      <c r="J88" s="30"/>
      <c r="K88" s="30"/>
      <c r="L88" s="30"/>
      <c r="O88" s="25"/>
      <c r="P88" s="25"/>
      <c r="Q88" s="25"/>
      <c r="R88" s="25"/>
      <c r="S88" s="25"/>
    </row>
    <row r="89" spans="1:19" s="88" customFormat="1" ht="18.75" x14ac:dyDescent="0.25">
      <c r="A89" s="25"/>
      <c r="B89" s="25"/>
      <c r="C89" s="110"/>
      <c r="D89" s="36"/>
      <c r="E89" s="25"/>
      <c r="F89" s="108"/>
      <c r="G89" s="107"/>
      <c r="H89" s="107"/>
      <c r="I89" s="30"/>
      <c r="J89" s="30"/>
      <c r="K89" s="30"/>
      <c r="L89" s="30"/>
      <c r="O89" s="25"/>
      <c r="P89" s="25"/>
      <c r="Q89" s="25"/>
      <c r="R89" s="25"/>
      <c r="S89" s="25"/>
    </row>
    <row r="90" spans="1:19" s="88" customFormat="1" ht="18.75" x14ac:dyDescent="0.25">
      <c r="A90" s="25"/>
      <c r="B90" s="25"/>
      <c r="C90" s="110"/>
      <c r="D90" s="36"/>
      <c r="E90" s="25"/>
      <c r="F90" s="108"/>
      <c r="G90" s="107"/>
      <c r="H90" s="107"/>
      <c r="I90" s="30"/>
      <c r="J90" s="30"/>
      <c r="K90" s="30"/>
      <c r="L90" s="30"/>
      <c r="O90" s="25"/>
      <c r="P90" s="25"/>
      <c r="Q90" s="25"/>
      <c r="R90" s="25"/>
      <c r="S90" s="25"/>
    </row>
    <row r="91" spans="1:19" s="88" customFormat="1" ht="18.75" x14ac:dyDescent="0.25">
      <c r="A91" s="25"/>
      <c r="B91" s="25"/>
      <c r="C91" s="110"/>
      <c r="D91" s="36"/>
      <c r="E91" s="25"/>
      <c r="F91" s="108"/>
      <c r="G91" s="107"/>
      <c r="H91" s="107"/>
      <c r="I91" s="30"/>
      <c r="J91" s="30"/>
      <c r="K91" s="30"/>
      <c r="L91" s="30"/>
      <c r="O91" s="25"/>
      <c r="P91" s="25"/>
      <c r="Q91" s="25"/>
      <c r="R91" s="25"/>
      <c r="S91" s="25"/>
    </row>
    <row r="92" spans="1:19" s="88" customFormat="1" ht="18.75" x14ac:dyDescent="0.25">
      <c r="A92" s="25"/>
      <c r="B92" s="25"/>
      <c r="C92" s="110"/>
      <c r="D92" s="36"/>
      <c r="E92" s="25"/>
      <c r="F92" s="108"/>
      <c r="G92" s="107"/>
      <c r="H92" s="107"/>
      <c r="I92" s="30"/>
      <c r="J92" s="30"/>
      <c r="K92" s="30"/>
      <c r="L92" s="30"/>
      <c r="O92" s="25"/>
      <c r="P92" s="25"/>
      <c r="Q92" s="25"/>
      <c r="R92" s="25"/>
      <c r="S92" s="25"/>
    </row>
    <row r="93" spans="1:19" s="88" customFormat="1" ht="18.75" x14ac:dyDescent="0.25">
      <c r="A93" s="25"/>
      <c r="B93" s="25"/>
      <c r="C93" s="110"/>
      <c r="D93" s="36"/>
      <c r="E93" s="25"/>
      <c r="F93" s="108"/>
      <c r="G93" s="107"/>
      <c r="H93" s="107"/>
      <c r="I93" s="30"/>
      <c r="J93" s="30"/>
      <c r="K93" s="30"/>
      <c r="L93" s="30"/>
      <c r="O93" s="25"/>
      <c r="P93" s="25"/>
      <c r="Q93" s="25"/>
      <c r="R93" s="25"/>
      <c r="S93" s="25"/>
    </row>
    <row r="94" spans="1:19" s="88" customFormat="1" ht="18.75" x14ac:dyDescent="0.25">
      <c r="A94" s="25"/>
      <c r="B94" s="25"/>
      <c r="C94" s="110"/>
      <c r="D94" s="36"/>
      <c r="E94" s="25"/>
      <c r="F94" s="108"/>
      <c r="G94" s="107"/>
      <c r="H94" s="107"/>
      <c r="I94" s="30"/>
      <c r="J94" s="30"/>
      <c r="K94" s="30"/>
      <c r="L94" s="30"/>
      <c r="O94" s="25"/>
      <c r="P94" s="25"/>
      <c r="Q94" s="25"/>
      <c r="R94" s="25"/>
      <c r="S94" s="25"/>
    </row>
    <row r="95" spans="1:19" s="88" customFormat="1" ht="18.75" x14ac:dyDescent="0.25">
      <c r="A95" s="25"/>
      <c r="B95" s="25"/>
      <c r="C95" s="110"/>
      <c r="D95" s="36"/>
      <c r="E95" s="25"/>
      <c r="F95" s="108"/>
      <c r="G95" s="107"/>
      <c r="H95" s="107"/>
      <c r="I95" s="30"/>
      <c r="J95" s="30"/>
      <c r="K95" s="30"/>
      <c r="L95" s="30"/>
      <c r="O95" s="25"/>
      <c r="P95" s="25"/>
      <c r="Q95" s="25"/>
      <c r="R95" s="25"/>
      <c r="S95" s="25"/>
    </row>
    <row r="96" spans="1:19" s="88" customFormat="1" ht="18.75" x14ac:dyDescent="0.25">
      <c r="A96" s="25"/>
      <c r="B96" s="25"/>
      <c r="C96" s="110"/>
      <c r="D96" s="36"/>
      <c r="E96" s="25"/>
      <c r="F96" s="108"/>
      <c r="G96" s="107"/>
      <c r="H96" s="107"/>
      <c r="I96" s="30"/>
      <c r="J96" s="30"/>
      <c r="K96" s="30"/>
      <c r="L96" s="30"/>
      <c r="O96" s="25"/>
      <c r="P96" s="25"/>
      <c r="Q96" s="25"/>
      <c r="R96" s="25"/>
      <c r="S96" s="25"/>
    </row>
    <row r="97" spans="1:19" s="88" customFormat="1" ht="18.75" x14ac:dyDescent="0.25">
      <c r="A97" s="25"/>
      <c r="B97" s="25"/>
      <c r="C97" s="110"/>
      <c r="D97" s="36"/>
      <c r="E97" s="25"/>
      <c r="F97" s="108"/>
      <c r="G97" s="107"/>
      <c r="H97" s="107"/>
      <c r="I97" s="30"/>
      <c r="J97" s="30"/>
      <c r="K97" s="30"/>
      <c r="L97" s="30"/>
      <c r="O97" s="25"/>
      <c r="P97" s="25"/>
      <c r="Q97" s="25"/>
      <c r="R97" s="25"/>
      <c r="S97" s="25"/>
    </row>
    <row r="98" spans="1:19" s="88" customFormat="1" ht="18.75" x14ac:dyDescent="0.25">
      <c r="A98" s="25"/>
      <c r="B98" s="25"/>
      <c r="C98" s="110"/>
      <c r="D98" s="36"/>
      <c r="E98" s="25"/>
      <c r="F98" s="108"/>
      <c r="G98" s="107"/>
      <c r="H98" s="107"/>
      <c r="I98" s="30"/>
      <c r="J98" s="30"/>
      <c r="K98" s="30"/>
      <c r="L98" s="30"/>
      <c r="O98" s="25"/>
      <c r="P98" s="25"/>
      <c r="Q98" s="25"/>
      <c r="R98" s="25"/>
      <c r="S98" s="25"/>
    </row>
    <row r="99" spans="1:19" s="88" customFormat="1" ht="18.75" x14ac:dyDescent="0.25">
      <c r="A99" s="25"/>
      <c r="B99" s="25"/>
      <c r="C99" s="110"/>
      <c r="D99" s="36"/>
      <c r="E99" s="25"/>
      <c r="F99" s="108"/>
      <c r="G99" s="107"/>
      <c r="H99" s="107"/>
      <c r="I99" s="30"/>
      <c r="J99" s="30"/>
      <c r="K99" s="30"/>
      <c r="L99" s="30"/>
      <c r="O99" s="25"/>
      <c r="P99" s="25"/>
      <c r="Q99" s="25"/>
      <c r="R99" s="25"/>
      <c r="S99" s="25"/>
    </row>
    <row r="100" spans="1:19" s="88" customFormat="1" ht="18.75" x14ac:dyDescent="0.25">
      <c r="A100" s="25"/>
      <c r="B100" s="25"/>
      <c r="C100" s="110"/>
      <c r="D100" s="36"/>
      <c r="E100" s="25"/>
      <c r="F100" s="108"/>
      <c r="G100" s="107"/>
      <c r="H100" s="107"/>
      <c r="I100" s="30"/>
      <c r="J100" s="30"/>
      <c r="K100" s="30"/>
      <c r="L100" s="30"/>
      <c r="O100" s="25"/>
      <c r="P100" s="25"/>
      <c r="Q100" s="25"/>
      <c r="R100" s="25"/>
      <c r="S100" s="25"/>
    </row>
    <row r="101" spans="1:19" s="88" customFormat="1" ht="18.75" x14ac:dyDescent="0.25">
      <c r="A101" s="25"/>
      <c r="B101" s="25"/>
      <c r="C101" s="110"/>
      <c r="D101" s="36"/>
      <c r="E101" s="25"/>
      <c r="F101" s="108"/>
      <c r="G101" s="107"/>
      <c r="H101" s="107"/>
      <c r="I101" s="30"/>
      <c r="J101" s="30"/>
      <c r="K101" s="30"/>
      <c r="L101" s="30"/>
      <c r="O101" s="25"/>
      <c r="P101" s="25"/>
      <c r="Q101" s="25"/>
      <c r="R101" s="25"/>
      <c r="S101" s="25"/>
    </row>
    <row r="102" spans="1:19" s="88" customFormat="1" ht="18.75" x14ac:dyDescent="0.25">
      <c r="A102" s="25"/>
      <c r="B102" s="25"/>
      <c r="C102" s="110"/>
      <c r="D102" s="36"/>
      <c r="E102" s="25"/>
      <c r="F102" s="108"/>
      <c r="G102" s="107"/>
      <c r="H102" s="107"/>
      <c r="I102" s="30"/>
      <c r="J102" s="30"/>
      <c r="K102" s="30"/>
      <c r="L102" s="30"/>
      <c r="O102" s="25"/>
      <c r="P102" s="25"/>
      <c r="Q102" s="25"/>
      <c r="R102" s="25"/>
      <c r="S102" s="25"/>
    </row>
    <row r="103" spans="1:19" s="88" customFormat="1" ht="18.75" x14ac:dyDescent="0.25">
      <c r="A103" s="25"/>
      <c r="B103" s="25"/>
      <c r="C103" s="110"/>
      <c r="D103" s="36"/>
      <c r="E103" s="25"/>
      <c r="F103" s="108"/>
      <c r="G103" s="107"/>
      <c r="H103" s="107"/>
      <c r="I103" s="30"/>
      <c r="J103" s="30"/>
      <c r="K103" s="30"/>
      <c r="L103" s="30"/>
      <c r="O103" s="25"/>
      <c r="P103" s="25"/>
      <c r="Q103" s="25"/>
      <c r="R103" s="25"/>
      <c r="S103" s="25"/>
    </row>
    <row r="104" spans="1:19" s="88" customFormat="1" ht="18.75" x14ac:dyDescent="0.25">
      <c r="A104" s="25"/>
      <c r="B104" s="25"/>
      <c r="C104" s="110"/>
      <c r="D104" s="36"/>
      <c r="E104" s="25"/>
      <c r="F104" s="108"/>
      <c r="G104" s="107"/>
      <c r="H104" s="107"/>
      <c r="I104" s="30"/>
      <c r="J104" s="30"/>
      <c r="K104" s="30"/>
      <c r="L104" s="30"/>
      <c r="O104" s="25"/>
      <c r="P104" s="25"/>
      <c r="Q104" s="25"/>
      <c r="R104" s="25"/>
      <c r="S104" s="25"/>
    </row>
    <row r="105" spans="1:19" s="88" customFormat="1" ht="18.75" x14ac:dyDescent="0.25">
      <c r="A105" s="25"/>
      <c r="B105" s="25"/>
      <c r="C105" s="110"/>
      <c r="D105" s="36"/>
      <c r="E105" s="25"/>
      <c r="F105" s="108"/>
      <c r="G105" s="107"/>
      <c r="H105" s="107"/>
      <c r="I105" s="30"/>
      <c r="J105" s="30"/>
      <c r="K105" s="30"/>
      <c r="L105" s="30"/>
      <c r="O105" s="25"/>
      <c r="P105" s="25"/>
      <c r="Q105" s="25"/>
      <c r="R105" s="25"/>
      <c r="S105" s="25"/>
    </row>
    <row r="106" spans="1:19" s="88" customFormat="1" ht="18.75" x14ac:dyDescent="0.25">
      <c r="A106" s="25"/>
      <c r="B106" s="25"/>
      <c r="C106" s="110"/>
      <c r="D106" s="36"/>
      <c r="E106" s="25"/>
      <c r="F106" s="108"/>
      <c r="G106" s="107"/>
      <c r="H106" s="107"/>
      <c r="I106" s="30"/>
      <c r="J106" s="30"/>
      <c r="K106" s="30"/>
      <c r="L106" s="30"/>
      <c r="O106" s="25"/>
      <c r="P106" s="25"/>
      <c r="Q106" s="25"/>
      <c r="R106" s="25"/>
      <c r="S106" s="25"/>
    </row>
    <row r="107" spans="1:19" s="88" customFormat="1" ht="18.75" x14ac:dyDescent="0.25">
      <c r="A107" s="25"/>
      <c r="B107" s="25"/>
      <c r="C107" s="110"/>
      <c r="D107" s="36"/>
      <c r="E107" s="25"/>
      <c r="F107" s="108"/>
      <c r="G107" s="107"/>
      <c r="H107" s="107"/>
      <c r="I107" s="30"/>
      <c r="J107" s="30"/>
      <c r="K107" s="30"/>
      <c r="L107" s="30"/>
      <c r="O107" s="25"/>
      <c r="P107" s="25"/>
      <c r="Q107" s="25"/>
      <c r="R107" s="25"/>
      <c r="S107" s="25"/>
    </row>
    <row r="108" spans="1:19" s="88" customFormat="1" ht="18.75" x14ac:dyDescent="0.25">
      <c r="A108" s="25"/>
      <c r="B108" s="25"/>
      <c r="C108" s="110"/>
      <c r="D108" s="36"/>
      <c r="E108" s="25"/>
      <c r="F108" s="108"/>
      <c r="G108" s="107"/>
      <c r="H108" s="107"/>
      <c r="I108" s="30"/>
      <c r="J108" s="30"/>
      <c r="K108" s="30"/>
      <c r="L108" s="30"/>
      <c r="O108" s="25"/>
      <c r="P108" s="25"/>
      <c r="Q108" s="25"/>
      <c r="R108" s="25"/>
      <c r="S108" s="25"/>
    </row>
    <row r="109" spans="1:19" s="88" customFormat="1" ht="18.75" x14ac:dyDescent="0.25">
      <c r="A109" s="25"/>
      <c r="B109" s="25"/>
      <c r="C109" s="110"/>
      <c r="D109" s="36"/>
      <c r="E109" s="25"/>
      <c r="F109" s="108"/>
      <c r="G109" s="107"/>
      <c r="H109" s="107"/>
      <c r="I109" s="30"/>
      <c r="J109" s="30"/>
      <c r="K109" s="30"/>
      <c r="L109" s="30"/>
      <c r="O109" s="25"/>
      <c r="P109" s="25"/>
      <c r="Q109" s="25"/>
      <c r="R109" s="25"/>
      <c r="S109" s="25"/>
    </row>
    <row r="110" spans="1:19" s="88" customFormat="1" ht="18.75" x14ac:dyDescent="0.25">
      <c r="A110" s="25"/>
      <c r="B110" s="25"/>
      <c r="C110" s="110"/>
      <c r="D110" s="36"/>
      <c r="E110" s="25"/>
      <c r="F110" s="108"/>
      <c r="G110" s="107"/>
      <c r="H110" s="107"/>
      <c r="I110" s="30"/>
      <c r="J110" s="30"/>
      <c r="K110" s="30"/>
      <c r="L110" s="30"/>
      <c r="O110" s="25"/>
      <c r="P110" s="25"/>
      <c r="Q110" s="25"/>
      <c r="R110" s="25"/>
      <c r="S110" s="25"/>
    </row>
    <row r="111" spans="1:19" s="88" customFormat="1" ht="18.75" x14ac:dyDescent="0.25">
      <c r="A111" s="25"/>
      <c r="B111" s="25"/>
      <c r="C111" s="110"/>
      <c r="D111" s="36"/>
      <c r="E111" s="25"/>
      <c r="F111" s="108"/>
      <c r="G111" s="107"/>
      <c r="H111" s="107"/>
      <c r="I111" s="30"/>
      <c r="J111" s="30"/>
      <c r="K111" s="30"/>
      <c r="L111" s="30"/>
      <c r="O111" s="25"/>
      <c r="P111" s="25"/>
      <c r="Q111" s="25"/>
      <c r="R111" s="25"/>
      <c r="S111" s="25"/>
    </row>
    <row r="112" spans="1:19" s="88" customFormat="1" ht="18.75" x14ac:dyDescent="0.25">
      <c r="A112" s="25"/>
      <c r="B112" s="25"/>
      <c r="C112" s="110"/>
      <c r="D112" s="36"/>
      <c r="E112" s="25"/>
      <c r="F112" s="108"/>
      <c r="G112" s="107"/>
      <c r="H112" s="107"/>
      <c r="I112" s="30"/>
      <c r="J112" s="30"/>
      <c r="K112" s="30"/>
      <c r="L112" s="30"/>
      <c r="O112" s="25"/>
      <c r="P112" s="25"/>
      <c r="Q112" s="25"/>
      <c r="R112" s="25"/>
      <c r="S112" s="25"/>
    </row>
    <row r="113" spans="1:19" s="88" customFormat="1" ht="18.75" x14ac:dyDescent="0.25">
      <c r="A113" s="25"/>
      <c r="B113" s="25"/>
      <c r="C113" s="110"/>
      <c r="D113" s="36"/>
      <c r="E113" s="25"/>
      <c r="F113" s="108"/>
      <c r="G113" s="107"/>
      <c r="H113" s="107"/>
      <c r="I113" s="30"/>
      <c r="J113" s="30"/>
      <c r="K113" s="30"/>
      <c r="L113" s="30"/>
      <c r="O113" s="25"/>
      <c r="P113" s="25"/>
      <c r="Q113" s="25"/>
      <c r="R113" s="25"/>
      <c r="S113" s="25"/>
    </row>
    <row r="114" spans="1:19" s="88" customFormat="1" ht="18.75" x14ac:dyDescent="0.25">
      <c r="A114" s="25"/>
      <c r="B114" s="25"/>
      <c r="C114" s="110"/>
      <c r="D114" s="36"/>
      <c r="E114" s="25"/>
      <c r="F114" s="108"/>
      <c r="G114" s="107"/>
      <c r="H114" s="107"/>
      <c r="I114" s="30"/>
      <c r="J114" s="30"/>
      <c r="K114" s="30"/>
      <c r="L114" s="30"/>
      <c r="O114" s="25"/>
      <c r="P114" s="25"/>
      <c r="Q114" s="25"/>
      <c r="R114" s="25"/>
      <c r="S114" s="25"/>
    </row>
    <row r="115" spans="1:19" s="88" customFormat="1" ht="18.75" x14ac:dyDescent="0.25">
      <c r="A115" s="25"/>
      <c r="B115" s="25"/>
      <c r="C115" s="110"/>
      <c r="D115" s="36"/>
      <c r="E115" s="25"/>
      <c r="F115" s="108"/>
      <c r="G115" s="107"/>
      <c r="H115" s="107"/>
      <c r="I115" s="30"/>
      <c r="J115" s="30"/>
      <c r="K115" s="30"/>
      <c r="L115" s="30"/>
      <c r="O115" s="25"/>
      <c r="P115" s="25"/>
      <c r="Q115" s="25"/>
      <c r="R115" s="25"/>
      <c r="S115" s="25"/>
    </row>
    <row r="116" spans="1:19" s="88" customFormat="1" ht="18.75" x14ac:dyDescent="0.25">
      <c r="A116" s="25"/>
      <c r="B116" s="25"/>
      <c r="C116" s="110"/>
      <c r="D116" s="36"/>
      <c r="E116" s="25"/>
      <c r="F116" s="108"/>
      <c r="G116" s="107"/>
      <c r="H116" s="107"/>
      <c r="I116" s="30"/>
      <c r="J116" s="30"/>
      <c r="K116" s="30"/>
      <c r="L116" s="30"/>
      <c r="O116" s="25"/>
      <c r="P116" s="25"/>
      <c r="Q116" s="25"/>
      <c r="R116" s="25"/>
      <c r="S116" s="25"/>
    </row>
    <row r="117" spans="1:19" s="88" customFormat="1" ht="18.75" x14ac:dyDescent="0.25">
      <c r="A117" s="25"/>
      <c r="B117" s="25"/>
      <c r="C117" s="110"/>
      <c r="D117" s="36"/>
      <c r="E117" s="25"/>
      <c r="F117" s="108"/>
      <c r="G117" s="107"/>
      <c r="H117" s="107"/>
      <c r="I117" s="30"/>
      <c r="J117" s="30"/>
      <c r="K117" s="30"/>
      <c r="L117" s="30"/>
      <c r="O117" s="25"/>
      <c r="P117" s="25"/>
      <c r="Q117" s="25"/>
      <c r="R117" s="25"/>
      <c r="S117" s="25"/>
    </row>
    <row r="118" spans="1:19" s="88" customFormat="1" ht="18.75" x14ac:dyDescent="0.25">
      <c r="A118" s="25"/>
      <c r="B118" s="25"/>
      <c r="C118" s="110"/>
      <c r="D118" s="36"/>
      <c r="E118" s="25"/>
      <c r="F118" s="108"/>
      <c r="G118" s="107"/>
      <c r="H118" s="107"/>
      <c r="I118" s="30"/>
      <c r="J118" s="30"/>
      <c r="K118" s="30"/>
      <c r="L118" s="30"/>
      <c r="O118" s="25"/>
      <c r="P118" s="25"/>
      <c r="Q118" s="25"/>
      <c r="R118" s="25"/>
      <c r="S118" s="25"/>
    </row>
    <row r="119" spans="1:19" s="88" customFormat="1" ht="18.75" x14ac:dyDescent="0.25">
      <c r="A119" s="25"/>
      <c r="B119" s="25"/>
      <c r="C119" s="110"/>
      <c r="D119" s="36"/>
      <c r="E119" s="25"/>
      <c r="F119" s="108"/>
      <c r="G119" s="107"/>
      <c r="H119" s="107"/>
      <c r="I119" s="30"/>
      <c r="J119" s="30"/>
      <c r="K119" s="30"/>
      <c r="L119" s="30"/>
      <c r="O119" s="25"/>
      <c r="P119" s="25"/>
      <c r="Q119" s="25"/>
      <c r="R119" s="25"/>
      <c r="S119" s="25"/>
    </row>
    <row r="120" spans="1:19" s="88" customFormat="1" ht="18.75" x14ac:dyDescent="0.25">
      <c r="A120" s="25"/>
      <c r="B120" s="25"/>
      <c r="C120" s="110"/>
      <c r="D120" s="36"/>
      <c r="E120" s="25"/>
      <c r="F120" s="108"/>
      <c r="G120" s="107"/>
      <c r="H120" s="107"/>
      <c r="I120" s="30"/>
      <c r="J120" s="30"/>
      <c r="K120" s="30"/>
      <c r="L120" s="30"/>
      <c r="O120" s="25"/>
      <c r="P120" s="25"/>
      <c r="Q120" s="25"/>
      <c r="R120" s="25"/>
      <c r="S120" s="25"/>
    </row>
    <row r="121" spans="1:19" s="88" customFormat="1" ht="18.75" x14ac:dyDescent="0.25">
      <c r="A121" s="25"/>
      <c r="B121" s="25"/>
      <c r="C121" s="110"/>
      <c r="D121" s="36"/>
      <c r="E121" s="25"/>
      <c r="F121" s="108"/>
      <c r="G121" s="107"/>
      <c r="H121" s="107"/>
      <c r="I121" s="30"/>
      <c r="J121" s="30"/>
      <c r="K121" s="30"/>
      <c r="L121" s="30"/>
      <c r="O121" s="25"/>
      <c r="P121" s="25"/>
      <c r="Q121" s="25"/>
      <c r="R121" s="25"/>
      <c r="S121" s="25"/>
    </row>
    <row r="122" spans="1:19" s="88" customFormat="1" ht="18.75" x14ac:dyDescent="0.25">
      <c r="A122" s="25"/>
      <c r="B122" s="25"/>
      <c r="C122" s="110"/>
      <c r="D122" s="36"/>
      <c r="E122" s="25"/>
      <c r="F122" s="108"/>
      <c r="G122" s="107"/>
      <c r="H122" s="107"/>
      <c r="I122" s="30"/>
      <c r="J122" s="30"/>
      <c r="K122" s="30"/>
      <c r="L122" s="30"/>
      <c r="O122" s="25"/>
      <c r="P122" s="25"/>
      <c r="Q122" s="25"/>
      <c r="R122" s="25"/>
      <c r="S122" s="25"/>
    </row>
    <row r="123" spans="1:19" s="88" customFormat="1" ht="18.75" x14ac:dyDescent="0.25">
      <c r="A123" s="25"/>
      <c r="B123" s="25"/>
      <c r="C123" s="110"/>
      <c r="D123" s="36"/>
      <c r="E123" s="25"/>
      <c r="F123" s="108"/>
      <c r="G123" s="107"/>
      <c r="H123" s="107"/>
      <c r="I123" s="30"/>
      <c r="J123" s="30"/>
      <c r="K123" s="30"/>
      <c r="L123" s="30"/>
      <c r="O123" s="25"/>
      <c r="P123" s="25"/>
      <c r="Q123" s="25"/>
      <c r="R123" s="25"/>
      <c r="S123" s="25"/>
    </row>
    <row r="124" spans="1:19" s="88" customFormat="1" ht="18.75" x14ac:dyDescent="0.25">
      <c r="A124" s="25"/>
      <c r="B124" s="25"/>
      <c r="C124" s="110"/>
      <c r="D124" s="36"/>
      <c r="E124" s="25"/>
      <c r="F124" s="108"/>
      <c r="G124" s="107"/>
      <c r="H124" s="107"/>
      <c r="I124" s="30"/>
      <c r="J124" s="30"/>
      <c r="K124" s="30"/>
      <c r="L124" s="30"/>
      <c r="O124" s="25"/>
      <c r="P124" s="25"/>
      <c r="Q124" s="25"/>
      <c r="R124" s="25"/>
      <c r="S124" s="25"/>
    </row>
    <row r="125" spans="1:19" s="88" customFormat="1" ht="18.75" x14ac:dyDescent="0.25">
      <c r="A125" s="25"/>
      <c r="B125" s="25"/>
      <c r="C125" s="110"/>
      <c r="D125" s="36"/>
      <c r="E125" s="25"/>
      <c r="F125" s="108"/>
      <c r="G125" s="107"/>
      <c r="H125" s="107"/>
      <c r="I125" s="30"/>
      <c r="J125" s="30"/>
      <c r="K125" s="30"/>
      <c r="L125" s="30"/>
      <c r="O125" s="25"/>
      <c r="P125" s="25"/>
      <c r="Q125" s="25"/>
      <c r="R125" s="25"/>
      <c r="S125" s="25"/>
    </row>
    <row r="126" spans="1:19" s="88" customFormat="1" ht="18.75" x14ac:dyDescent="0.25">
      <c r="A126" s="25"/>
      <c r="B126" s="25"/>
      <c r="C126" s="110"/>
      <c r="D126" s="36"/>
      <c r="E126" s="25"/>
      <c r="F126" s="108"/>
      <c r="G126" s="107"/>
      <c r="H126" s="107"/>
      <c r="I126" s="30"/>
      <c r="J126" s="30"/>
      <c r="K126" s="30"/>
      <c r="L126" s="30"/>
      <c r="O126" s="25"/>
      <c r="P126" s="25"/>
      <c r="Q126" s="25"/>
      <c r="R126" s="25"/>
      <c r="S126" s="25"/>
    </row>
    <row r="127" spans="1:19" s="88" customFormat="1" ht="18.75" x14ac:dyDescent="0.25">
      <c r="A127" s="25"/>
      <c r="B127" s="25"/>
      <c r="C127" s="110"/>
      <c r="D127" s="36"/>
      <c r="E127" s="25"/>
      <c r="F127" s="108"/>
      <c r="G127" s="107"/>
      <c r="H127" s="107"/>
      <c r="I127" s="30"/>
      <c r="J127" s="30"/>
      <c r="K127" s="30"/>
      <c r="L127" s="30"/>
      <c r="O127" s="25"/>
      <c r="P127" s="25"/>
      <c r="Q127" s="25"/>
      <c r="R127" s="25"/>
      <c r="S127" s="25"/>
    </row>
    <row r="128" spans="1:19" s="88" customFormat="1" ht="18.75" x14ac:dyDescent="0.25">
      <c r="A128" s="25"/>
      <c r="B128" s="25"/>
      <c r="C128" s="110"/>
      <c r="D128" s="36"/>
      <c r="E128" s="25"/>
      <c r="F128" s="108"/>
      <c r="G128" s="107"/>
      <c r="H128" s="107"/>
      <c r="I128" s="30"/>
      <c r="J128" s="30"/>
      <c r="K128" s="30"/>
      <c r="L128" s="30"/>
      <c r="O128" s="25"/>
      <c r="P128" s="25"/>
      <c r="Q128" s="25"/>
      <c r="R128" s="25"/>
      <c r="S128" s="25"/>
    </row>
    <row r="129" spans="1:19" s="88" customFormat="1" ht="18.75" x14ac:dyDescent="0.25">
      <c r="A129" s="25"/>
      <c r="B129" s="25"/>
      <c r="C129" s="110"/>
      <c r="D129" s="36"/>
      <c r="E129" s="25"/>
      <c r="F129" s="108"/>
      <c r="G129" s="107"/>
      <c r="H129" s="107"/>
      <c r="I129" s="30"/>
      <c r="J129" s="30"/>
      <c r="K129" s="30"/>
      <c r="L129" s="30"/>
      <c r="O129" s="25"/>
      <c r="P129" s="25"/>
      <c r="Q129" s="25"/>
      <c r="R129" s="25"/>
      <c r="S129" s="25"/>
    </row>
    <row r="130" spans="1:19" s="88" customFormat="1" ht="18.75" x14ac:dyDescent="0.25">
      <c r="A130" s="25"/>
      <c r="B130" s="25"/>
      <c r="C130" s="110"/>
      <c r="D130" s="36"/>
      <c r="E130" s="25"/>
      <c r="F130" s="108"/>
      <c r="G130" s="107"/>
      <c r="H130" s="107"/>
      <c r="I130" s="30"/>
      <c r="J130" s="30"/>
      <c r="K130" s="30"/>
      <c r="L130" s="30"/>
      <c r="O130" s="25"/>
      <c r="P130" s="25"/>
      <c r="Q130" s="25"/>
      <c r="R130" s="25"/>
      <c r="S130" s="25"/>
    </row>
    <row r="131" spans="1:19" s="88" customFormat="1" ht="18.75" x14ac:dyDescent="0.25">
      <c r="A131" s="25"/>
      <c r="B131" s="25"/>
      <c r="C131" s="110"/>
      <c r="D131" s="36"/>
      <c r="E131" s="25"/>
      <c r="F131" s="108"/>
      <c r="G131" s="107"/>
      <c r="H131" s="107"/>
      <c r="I131" s="30"/>
      <c r="J131" s="30"/>
      <c r="K131" s="30"/>
      <c r="L131" s="30"/>
      <c r="O131" s="25"/>
      <c r="P131" s="25"/>
      <c r="Q131" s="25"/>
      <c r="R131" s="25"/>
      <c r="S131" s="25"/>
    </row>
    <row r="132" spans="1:19" s="88" customFormat="1" ht="18.75" x14ac:dyDescent="0.25">
      <c r="A132" s="25"/>
      <c r="B132" s="25"/>
      <c r="C132" s="110"/>
      <c r="D132" s="36"/>
      <c r="E132" s="25"/>
      <c r="F132" s="108"/>
      <c r="G132" s="107"/>
      <c r="H132" s="107"/>
      <c r="I132" s="30"/>
      <c r="J132" s="30"/>
      <c r="K132" s="30"/>
      <c r="L132" s="30"/>
      <c r="O132" s="25"/>
      <c r="P132" s="25"/>
      <c r="Q132" s="25"/>
      <c r="R132" s="25"/>
      <c r="S132" s="25"/>
    </row>
    <row r="133" spans="1:19" s="88" customFormat="1" ht="18.75" x14ac:dyDescent="0.25">
      <c r="A133" s="25"/>
      <c r="B133" s="25"/>
      <c r="C133" s="110"/>
      <c r="D133" s="36"/>
      <c r="E133" s="25"/>
      <c r="F133" s="108"/>
      <c r="G133" s="107"/>
      <c r="H133" s="107"/>
      <c r="I133" s="30"/>
      <c r="J133" s="30"/>
      <c r="K133" s="30"/>
      <c r="L133" s="30"/>
      <c r="O133" s="25"/>
      <c r="P133" s="25"/>
      <c r="Q133" s="25"/>
      <c r="R133" s="25"/>
      <c r="S133" s="25"/>
    </row>
    <row r="134" spans="1:19" s="88" customFormat="1" ht="18.75" x14ac:dyDescent="0.25">
      <c r="A134" s="25"/>
      <c r="B134" s="25"/>
      <c r="C134" s="110"/>
      <c r="D134" s="36"/>
      <c r="E134" s="25"/>
      <c r="F134" s="108"/>
      <c r="G134" s="107"/>
      <c r="H134" s="107"/>
      <c r="I134" s="30"/>
      <c r="J134" s="30"/>
      <c r="K134" s="30"/>
      <c r="L134" s="30"/>
      <c r="O134" s="25"/>
      <c r="P134" s="25"/>
      <c r="Q134" s="25"/>
      <c r="R134" s="25"/>
      <c r="S134" s="25"/>
    </row>
    <row r="135" spans="1:19" s="88" customFormat="1" ht="18.75" x14ac:dyDescent="0.25">
      <c r="A135" s="25"/>
      <c r="B135" s="25"/>
      <c r="C135" s="110"/>
      <c r="D135" s="36"/>
      <c r="E135" s="25"/>
      <c r="F135" s="108"/>
      <c r="G135" s="107"/>
      <c r="H135" s="107"/>
      <c r="I135" s="30"/>
      <c r="J135" s="30"/>
      <c r="K135" s="30"/>
      <c r="L135" s="30"/>
      <c r="O135" s="25"/>
      <c r="P135" s="25"/>
      <c r="Q135" s="25"/>
      <c r="R135" s="25"/>
      <c r="S135" s="25"/>
    </row>
    <row r="136" spans="1:19" s="88" customFormat="1" ht="18.75" x14ac:dyDescent="0.25">
      <c r="A136" s="25"/>
      <c r="B136" s="25"/>
      <c r="C136" s="110"/>
      <c r="D136" s="36"/>
      <c r="E136" s="25"/>
      <c r="F136" s="108"/>
      <c r="G136" s="107"/>
      <c r="H136" s="107"/>
      <c r="I136" s="30"/>
      <c r="J136" s="30"/>
      <c r="K136" s="30"/>
      <c r="L136" s="30"/>
      <c r="O136" s="25"/>
      <c r="P136" s="25"/>
      <c r="Q136" s="25"/>
      <c r="R136" s="25"/>
      <c r="S136" s="25"/>
    </row>
    <row r="137" spans="1:19" s="88" customFormat="1" ht="18.75" x14ac:dyDescent="0.25">
      <c r="A137" s="25"/>
      <c r="B137" s="25"/>
      <c r="C137" s="110"/>
      <c r="D137" s="36"/>
      <c r="E137" s="25"/>
      <c r="F137" s="108"/>
      <c r="G137" s="107"/>
      <c r="H137" s="107"/>
      <c r="I137" s="30"/>
      <c r="J137" s="30"/>
      <c r="K137" s="30"/>
      <c r="L137" s="30"/>
      <c r="O137" s="25"/>
      <c r="P137" s="25"/>
      <c r="Q137" s="25"/>
      <c r="R137" s="25"/>
      <c r="S137" s="25"/>
    </row>
    <row r="138" spans="1:19" s="88" customFormat="1" ht="18.75" x14ac:dyDescent="0.25">
      <c r="A138" s="25"/>
      <c r="B138" s="25"/>
      <c r="C138" s="110"/>
      <c r="D138" s="36"/>
      <c r="E138" s="25"/>
      <c r="F138" s="108"/>
      <c r="G138" s="107"/>
      <c r="H138" s="107"/>
      <c r="I138" s="30"/>
      <c r="J138" s="30"/>
      <c r="K138" s="30"/>
      <c r="L138" s="30"/>
      <c r="O138" s="25"/>
      <c r="P138" s="25"/>
      <c r="Q138" s="25"/>
      <c r="R138" s="25"/>
      <c r="S138" s="25"/>
    </row>
    <row r="139" spans="1:19" s="88" customFormat="1" ht="18.75" x14ac:dyDescent="0.25">
      <c r="A139" s="25"/>
      <c r="B139" s="25"/>
      <c r="C139" s="110"/>
      <c r="D139" s="36"/>
      <c r="E139" s="25"/>
      <c r="F139" s="108"/>
      <c r="G139" s="107"/>
      <c r="H139" s="107"/>
      <c r="I139" s="30"/>
      <c r="J139" s="30"/>
      <c r="K139" s="30"/>
      <c r="L139" s="30"/>
      <c r="O139" s="25"/>
      <c r="P139" s="25"/>
      <c r="Q139" s="25"/>
      <c r="R139" s="25"/>
      <c r="S139" s="25"/>
    </row>
    <row r="140" spans="1:19" s="88" customFormat="1" ht="18.75" x14ac:dyDescent="0.25">
      <c r="A140" s="25"/>
      <c r="B140" s="25"/>
      <c r="C140" s="110"/>
      <c r="D140" s="36"/>
      <c r="E140" s="25"/>
      <c r="F140" s="108"/>
      <c r="G140" s="107"/>
      <c r="H140" s="107"/>
      <c r="I140" s="30"/>
      <c r="J140" s="30"/>
      <c r="K140" s="30"/>
      <c r="L140" s="30"/>
      <c r="O140" s="25"/>
      <c r="P140" s="25"/>
      <c r="Q140" s="25"/>
      <c r="R140" s="25"/>
      <c r="S140" s="25"/>
    </row>
    <row r="141" spans="1:19" s="88" customFormat="1" ht="18.75" x14ac:dyDescent="0.25">
      <c r="A141" s="25"/>
      <c r="B141" s="25"/>
      <c r="C141" s="110"/>
      <c r="D141" s="36"/>
      <c r="E141" s="25"/>
      <c r="F141" s="108"/>
      <c r="G141" s="107"/>
      <c r="H141" s="107"/>
      <c r="I141" s="30"/>
      <c r="J141" s="30"/>
      <c r="K141" s="30"/>
      <c r="L141" s="30"/>
      <c r="O141" s="25"/>
      <c r="P141" s="25"/>
      <c r="Q141" s="25"/>
      <c r="R141" s="25"/>
      <c r="S141" s="25"/>
    </row>
    <row r="142" spans="1:19" s="88" customFormat="1" ht="18.75" x14ac:dyDescent="0.25">
      <c r="A142" s="25"/>
      <c r="B142" s="25"/>
      <c r="C142" s="110"/>
      <c r="D142" s="36"/>
      <c r="E142" s="25"/>
      <c r="F142" s="108"/>
      <c r="G142" s="107"/>
      <c r="H142" s="107"/>
      <c r="I142" s="30"/>
      <c r="J142" s="30"/>
      <c r="K142" s="30"/>
      <c r="L142" s="30"/>
      <c r="O142" s="25"/>
      <c r="P142" s="25"/>
      <c r="Q142" s="25"/>
      <c r="R142" s="25"/>
      <c r="S142" s="25"/>
    </row>
    <row r="143" spans="1:19" s="88" customFormat="1" ht="18.75" x14ac:dyDescent="0.25">
      <c r="A143" s="25"/>
      <c r="B143" s="25"/>
      <c r="C143" s="110"/>
      <c r="D143" s="36"/>
      <c r="E143" s="25"/>
      <c r="F143" s="108"/>
      <c r="G143" s="107"/>
      <c r="H143" s="107"/>
      <c r="I143" s="30"/>
      <c r="J143" s="30"/>
      <c r="K143" s="30"/>
      <c r="L143" s="30"/>
      <c r="O143" s="25"/>
      <c r="P143" s="25"/>
      <c r="Q143" s="25"/>
      <c r="R143" s="25"/>
      <c r="S143" s="25"/>
    </row>
    <row r="144" spans="1:19" s="88" customFormat="1" ht="18.75" x14ac:dyDescent="0.25">
      <c r="A144" s="25"/>
      <c r="B144" s="25"/>
      <c r="C144" s="110"/>
      <c r="D144" s="36"/>
      <c r="E144" s="25"/>
      <c r="F144" s="108"/>
      <c r="G144" s="107"/>
      <c r="H144" s="107"/>
      <c r="I144" s="30"/>
      <c r="J144" s="30"/>
      <c r="K144" s="30"/>
      <c r="L144" s="30"/>
      <c r="O144" s="25"/>
      <c r="P144" s="25"/>
      <c r="Q144" s="25"/>
      <c r="R144" s="25"/>
      <c r="S144" s="25"/>
    </row>
    <row r="145" spans="1:19" s="88" customFormat="1" ht="18.75" x14ac:dyDescent="0.25">
      <c r="A145" s="25"/>
      <c r="B145" s="25"/>
      <c r="C145" s="110"/>
      <c r="D145" s="36"/>
      <c r="E145" s="25"/>
      <c r="F145" s="108"/>
      <c r="G145" s="107"/>
      <c r="H145" s="107"/>
      <c r="I145" s="30"/>
      <c r="J145" s="30"/>
      <c r="K145" s="30"/>
      <c r="L145" s="30"/>
      <c r="O145" s="25"/>
      <c r="P145" s="25"/>
      <c r="Q145" s="25"/>
      <c r="R145" s="25"/>
      <c r="S145" s="25"/>
    </row>
    <row r="146" spans="1:19" s="88" customFormat="1" ht="18.75" x14ac:dyDescent="0.25">
      <c r="A146" s="25"/>
      <c r="B146" s="25"/>
      <c r="C146" s="110"/>
      <c r="D146" s="36"/>
      <c r="E146" s="25"/>
      <c r="F146" s="108"/>
      <c r="G146" s="107"/>
      <c r="H146" s="107"/>
      <c r="I146" s="30"/>
      <c r="J146" s="30"/>
      <c r="K146" s="30"/>
      <c r="L146" s="30"/>
      <c r="O146" s="25"/>
      <c r="P146" s="25"/>
      <c r="Q146" s="25"/>
      <c r="R146" s="25"/>
      <c r="S146" s="25"/>
    </row>
    <row r="147" spans="1:19" s="88" customFormat="1" ht="18.75" x14ac:dyDescent="0.25">
      <c r="A147" s="25"/>
      <c r="B147" s="25"/>
      <c r="C147" s="110"/>
      <c r="D147" s="36"/>
      <c r="E147" s="25"/>
      <c r="F147" s="108"/>
      <c r="G147" s="107"/>
      <c r="H147" s="107"/>
      <c r="I147" s="30"/>
      <c r="J147" s="30"/>
      <c r="K147" s="30"/>
      <c r="L147" s="30"/>
      <c r="O147" s="25"/>
      <c r="P147" s="25"/>
      <c r="Q147" s="25"/>
      <c r="R147" s="25"/>
      <c r="S147" s="25"/>
    </row>
    <row r="148" spans="1:19" s="88" customFormat="1" ht="18.75" x14ac:dyDescent="0.25">
      <c r="A148" s="25"/>
      <c r="B148" s="25"/>
      <c r="C148" s="110"/>
      <c r="D148" s="36"/>
      <c r="E148" s="25"/>
      <c r="F148" s="108"/>
      <c r="G148" s="107"/>
      <c r="H148" s="107"/>
      <c r="I148" s="30"/>
      <c r="J148" s="30"/>
      <c r="K148" s="30"/>
      <c r="L148" s="30"/>
      <c r="O148" s="25"/>
      <c r="P148" s="25"/>
      <c r="Q148" s="25"/>
      <c r="R148" s="25"/>
      <c r="S148" s="25"/>
    </row>
    <row r="149" spans="1:19" s="88" customFormat="1" ht="18.75" x14ac:dyDescent="0.25">
      <c r="A149" s="25"/>
      <c r="B149" s="25"/>
      <c r="C149" s="110"/>
      <c r="D149" s="36"/>
      <c r="E149" s="25"/>
      <c r="F149" s="108"/>
      <c r="G149" s="107"/>
      <c r="H149" s="107"/>
      <c r="I149" s="30"/>
      <c r="J149" s="30"/>
      <c r="K149" s="30"/>
      <c r="L149" s="30"/>
      <c r="O149" s="25"/>
      <c r="P149" s="25"/>
      <c r="Q149" s="25"/>
      <c r="R149" s="25"/>
      <c r="S149" s="25"/>
    </row>
    <row r="150" spans="1:19" s="88" customFormat="1" ht="18.75" x14ac:dyDescent="0.25">
      <c r="A150" s="25"/>
      <c r="B150" s="25"/>
      <c r="C150" s="110"/>
      <c r="D150" s="36"/>
      <c r="E150" s="25"/>
      <c r="F150" s="108"/>
      <c r="G150" s="107"/>
      <c r="H150" s="107"/>
      <c r="I150" s="30"/>
      <c r="J150" s="30"/>
      <c r="K150" s="30"/>
      <c r="L150" s="30"/>
      <c r="O150" s="25"/>
      <c r="P150" s="25"/>
      <c r="Q150" s="25"/>
      <c r="R150" s="25"/>
      <c r="S150" s="25"/>
    </row>
    <row r="151" spans="1:19" s="88" customFormat="1" ht="18.75" x14ac:dyDescent="0.25">
      <c r="A151" s="25"/>
      <c r="B151" s="25"/>
      <c r="C151" s="110"/>
      <c r="D151" s="36"/>
      <c r="E151" s="25"/>
      <c r="F151" s="108"/>
      <c r="G151" s="107"/>
      <c r="H151" s="107"/>
      <c r="I151" s="30"/>
      <c r="J151" s="30"/>
      <c r="K151" s="30"/>
      <c r="L151" s="30"/>
      <c r="O151" s="25"/>
      <c r="P151" s="25"/>
      <c r="Q151" s="25"/>
      <c r="R151" s="25"/>
      <c r="S151" s="25"/>
    </row>
    <row r="152" spans="1:19" s="88" customFormat="1" ht="18.75" x14ac:dyDescent="0.25">
      <c r="A152" s="25"/>
      <c r="B152" s="25"/>
      <c r="C152" s="110"/>
      <c r="D152" s="36"/>
      <c r="E152" s="25"/>
      <c r="F152" s="108"/>
      <c r="G152" s="107"/>
      <c r="H152" s="107"/>
      <c r="I152" s="30"/>
      <c r="J152" s="30"/>
      <c r="K152" s="30"/>
      <c r="L152" s="30"/>
      <c r="O152" s="25"/>
      <c r="P152" s="25"/>
      <c r="Q152" s="25"/>
      <c r="R152" s="25"/>
      <c r="S152" s="25"/>
    </row>
    <row r="153" spans="1:19" s="88" customFormat="1" ht="18.75" x14ac:dyDescent="0.25">
      <c r="A153" s="25"/>
      <c r="B153" s="25"/>
      <c r="C153" s="110"/>
      <c r="D153" s="36"/>
      <c r="E153" s="25"/>
      <c r="F153" s="108"/>
      <c r="G153" s="107"/>
      <c r="H153" s="107"/>
      <c r="I153" s="30"/>
      <c r="J153" s="30"/>
      <c r="K153" s="30"/>
      <c r="L153" s="30"/>
      <c r="O153" s="25"/>
      <c r="P153" s="25"/>
      <c r="Q153" s="25"/>
      <c r="R153" s="25"/>
      <c r="S153" s="25"/>
    </row>
    <row r="154" spans="1:19" s="88" customFormat="1" ht="18.75" x14ac:dyDescent="0.25">
      <c r="A154" s="25"/>
      <c r="B154" s="25"/>
      <c r="C154" s="110"/>
      <c r="D154" s="36"/>
      <c r="E154" s="25"/>
      <c r="F154" s="108"/>
      <c r="G154" s="107"/>
      <c r="H154" s="107"/>
      <c r="I154" s="30"/>
      <c r="J154" s="30"/>
      <c r="K154" s="30"/>
      <c r="L154" s="30"/>
      <c r="O154" s="25"/>
      <c r="P154" s="25"/>
      <c r="Q154" s="25"/>
      <c r="R154" s="25"/>
      <c r="S154" s="25"/>
    </row>
    <row r="155" spans="1:19" s="88" customFormat="1" ht="18.75" x14ac:dyDescent="0.25">
      <c r="A155" s="25"/>
      <c r="B155" s="25"/>
      <c r="C155" s="110"/>
      <c r="D155" s="36"/>
      <c r="E155" s="25"/>
      <c r="F155" s="108"/>
      <c r="G155" s="107"/>
      <c r="H155" s="107"/>
      <c r="I155" s="30"/>
      <c r="J155" s="30"/>
      <c r="K155" s="30"/>
      <c r="L155" s="30"/>
      <c r="O155" s="25"/>
      <c r="P155" s="25"/>
      <c r="Q155" s="25"/>
      <c r="R155" s="25"/>
      <c r="S155" s="25"/>
    </row>
    <row r="156" spans="1:19" s="88" customFormat="1" ht="18.75" x14ac:dyDescent="0.25">
      <c r="A156" s="25"/>
      <c r="B156" s="25"/>
      <c r="C156" s="110"/>
      <c r="D156" s="36"/>
      <c r="E156" s="25"/>
      <c r="F156" s="108"/>
      <c r="G156" s="107"/>
      <c r="H156" s="107"/>
      <c r="I156" s="30"/>
      <c r="J156" s="30"/>
      <c r="K156" s="30"/>
      <c r="L156" s="30"/>
      <c r="O156" s="25"/>
      <c r="P156" s="25"/>
      <c r="Q156" s="25"/>
      <c r="R156" s="25"/>
      <c r="S156" s="25"/>
    </row>
    <row r="157" spans="1:19" s="88" customFormat="1" ht="18.75" x14ac:dyDescent="0.25">
      <c r="A157" s="25"/>
      <c r="B157" s="25"/>
      <c r="C157" s="110"/>
      <c r="D157" s="36"/>
      <c r="E157" s="25"/>
      <c r="F157" s="108"/>
      <c r="G157" s="107"/>
      <c r="H157" s="107"/>
      <c r="I157" s="30"/>
      <c r="J157" s="30"/>
      <c r="K157" s="30"/>
      <c r="L157" s="30"/>
      <c r="O157" s="25"/>
      <c r="P157" s="25"/>
      <c r="Q157" s="25"/>
      <c r="R157" s="25"/>
      <c r="S157" s="25"/>
    </row>
    <row r="158" spans="1:19" s="88" customFormat="1" ht="18.75" x14ac:dyDescent="0.25">
      <c r="A158" s="25"/>
      <c r="B158" s="25"/>
      <c r="C158" s="110"/>
      <c r="D158" s="36"/>
      <c r="E158" s="25"/>
      <c r="F158" s="108"/>
      <c r="G158" s="107"/>
      <c r="H158" s="107"/>
      <c r="I158" s="30"/>
      <c r="J158" s="30"/>
      <c r="K158" s="30"/>
      <c r="L158" s="30"/>
      <c r="O158" s="25"/>
      <c r="P158" s="25"/>
      <c r="Q158" s="25"/>
      <c r="R158" s="25"/>
      <c r="S158" s="25"/>
    </row>
    <row r="159" spans="1:19" s="88" customFormat="1" ht="18.75" x14ac:dyDescent="0.25">
      <c r="A159" s="25"/>
      <c r="B159" s="25"/>
      <c r="C159" s="110"/>
      <c r="D159" s="36"/>
      <c r="E159" s="25"/>
      <c r="F159" s="108"/>
      <c r="G159" s="107"/>
      <c r="H159" s="107"/>
      <c r="I159" s="30"/>
      <c r="J159" s="30"/>
      <c r="K159" s="30"/>
      <c r="L159" s="30"/>
      <c r="O159" s="25"/>
      <c r="P159" s="25"/>
      <c r="Q159" s="25"/>
      <c r="R159" s="25"/>
      <c r="S159" s="25"/>
    </row>
    <row r="160" spans="1:19" s="88" customFormat="1" ht="18.75" x14ac:dyDescent="0.25">
      <c r="A160" s="25"/>
      <c r="B160" s="25"/>
      <c r="C160" s="110"/>
      <c r="D160" s="36"/>
      <c r="E160" s="25"/>
      <c r="F160" s="108"/>
      <c r="G160" s="107"/>
      <c r="H160" s="107"/>
      <c r="I160" s="30"/>
      <c r="J160" s="30"/>
      <c r="K160" s="30"/>
      <c r="L160" s="30"/>
      <c r="O160" s="25"/>
      <c r="P160" s="25"/>
      <c r="Q160" s="25"/>
      <c r="R160" s="25"/>
      <c r="S160" s="25"/>
    </row>
    <row r="161" spans="1:19" s="88" customFormat="1" ht="18.75" x14ac:dyDescent="0.25">
      <c r="A161" s="25"/>
      <c r="B161" s="25"/>
      <c r="C161" s="110"/>
      <c r="D161" s="36"/>
      <c r="E161" s="25"/>
      <c r="F161" s="108"/>
      <c r="G161" s="107"/>
      <c r="H161" s="107"/>
      <c r="I161" s="30"/>
      <c r="J161" s="30"/>
      <c r="K161" s="30"/>
      <c r="L161" s="30"/>
      <c r="O161" s="25"/>
      <c r="P161" s="25"/>
      <c r="Q161" s="25"/>
      <c r="R161" s="25"/>
      <c r="S161" s="25"/>
    </row>
    <row r="162" spans="1:19" s="88" customFormat="1" ht="18.75" x14ac:dyDescent="0.25">
      <c r="A162" s="25"/>
      <c r="B162" s="25"/>
      <c r="C162" s="110"/>
      <c r="D162" s="36"/>
      <c r="E162" s="25"/>
      <c r="F162" s="108"/>
      <c r="G162" s="107"/>
      <c r="H162" s="107"/>
      <c r="I162" s="30"/>
      <c r="J162" s="30"/>
      <c r="K162" s="30"/>
      <c r="L162" s="30"/>
      <c r="O162" s="25"/>
      <c r="P162" s="25"/>
      <c r="Q162" s="25"/>
      <c r="R162" s="25"/>
      <c r="S162" s="25"/>
    </row>
    <row r="163" spans="1:19" s="88" customFormat="1" ht="18.75" x14ac:dyDescent="0.25">
      <c r="A163" s="25"/>
      <c r="B163" s="25"/>
      <c r="C163" s="110"/>
      <c r="D163" s="36"/>
      <c r="E163" s="25"/>
      <c r="F163" s="108"/>
      <c r="G163" s="107"/>
      <c r="H163" s="107"/>
      <c r="I163" s="30"/>
      <c r="J163" s="30"/>
      <c r="K163" s="30"/>
      <c r="L163" s="30"/>
      <c r="O163" s="25"/>
      <c r="P163" s="25"/>
      <c r="Q163" s="25"/>
      <c r="R163" s="25"/>
      <c r="S163" s="25"/>
    </row>
    <row r="164" spans="1:19" s="88" customFormat="1" ht="18.75" x14ac:dyDescent="0.25">
      <c r="A164" s="25"/>
      <c r="B164" s="25"/>
      <c r="C164" s="110"/>
      <c r="D164" s="36"/>
      <c r="E164" s="25"/>
      <c r="F164" s="108"/>
      <c r="G164" s="107"/>
      <c r="H164" s="107"/>
      <c r="I164" s="30"/>
      <c r="J164" s="30"/>
      <c r="K164" s="30"/>
      <c r="L164" s="30"/>
      <c r="O164" s="25"/>
      <c r="P164" s="25"/>
      <c r="Q164" s="25"/>
      <c r="R164" s="25"/>
      <c r="S164" s="25"/>
    </row>
    <row r="165" spans="1:19" s="88" customFormat="1" ht="18.75" x14ac:dyDescent="0.25">
      <c r="A165" s="25"/>
      <c r="B165" s="25"/>
      <c r="C165" s="110"/>
      <c r="D165" s="36"/>
      <c r="E165" s="25"/>
      <c r="F165" s="108"/>
      <c r="G165" s="107"/>
      <c r="H165" s="107"/>
      <c r="I165" s="30"/>
      <c r="J165" s="30"/>
      <c r="K165" s="30"/>
      <c r="L165" s="30"/>
      <c r="O165" s="25"/>
      <c r="P165" s="25"/>
      <c r="Q165" s="25"/>
      <c r="R165" s="25"/>
      <c r="S165" s="25"/>
    </row>
    <row r="166" spans="1:19" s="88" customFormat="1" ht="18.75" x14ac:dyDescent="0.25">
      <c r="A166" s="25"/>
      <c r="B166" s="25"/>
      <c r="C166" s="110"/>
      <c r="D166" s="36"/>
      <c r="E166" s="25"/>
      <c r="F166" s="108"/>
      <c r="G166" s="107"/>
      <c r="H166" s="107"/>
      <c r="I166" s="30"/>
      <c r="J166" s="30"/>
      <c r="K166" s="30"/>
      <c r="L166" s="30"/>
      <c r="O166" s="25"/>
      <c r="P166" s="25"/>
      <c r="Q166" s="25"/>
      <c r="R166" s="25"/>
      <c r="S166" s="25"/>
    </row>
    <row r="167" spans="1:19" s="88" customFormat="1" ht="18.75" x14ac:dyDescent="0.25">
      <c r="A167" s="25"/>
      <c r="B167" s="25"/>
      <c r="C167" s="110"/>
      <c r="D167" s="36"/>
      <c r="E167" s="25"/>
      <c r="F167" s="108"/>
      <c r="G167" s="107"/>
      <c r="H167" s="107"/>
      <c r="I167" s="30"/>
      <c r="J167" s="30"/>
      <c r="K167" s="30"/>
      <c r="L167" s="30"/>
      <c r="O167" s="25"/>
      <c r="P167" s="25"/>
      <c r="Q167" s="25"/>
      <c r="R167" s="25"/>
      <c r="S167" s="25"/>
    </row>
    <row r="168" spans="1:19" s="88" customFormat="1" ht="18.75" x14ac:dyDescent="0.25">
      <c r="A168" s="25"/>
      <c r="B168" s="25"/>
      <c r="C168" s="110"/>
      <c r="D168" s="36"/>
      <c r="E168" s="25"/>
      <c r="F168" s="108"/>
      <c r="G168" s="107"/>
      <c r="H168" s="107"/>
      <c r="I168" s="30"/>
      <c r="J168" s="30"/>
      <c r="K168" s="30"/>
      <c r="L168" s="30"/>
      <c r="O168" s="25"/>
      <c r="P168" s="25"/>
      <c r="Q168" s="25"/>
      <c r="R168" s="25"/>
      <c r="S168" s="25"/>
    </row>
    <row r="169" spans="1:19" s="88" customFormat="1" ht="18.75" x14ac:dyDescent="0.25">
      <c r="A169" s="25"/>
      <c r="B169" s="25"/>
      <c r="C169" s="110"/>
      <c r="D169" s="36"/>
      <c r="E169" s="25"/>
      <c r="F169" s="108"/>
      <c r="G169" s="107"/>
      <c r="H169" s="107"/>
      <c r="I169" s="30"/>
      <c r="J169" s="30"/>
      <c r="K169" s="30"/>
      <c r="L169" s="30"/>
      <c r="O169" s="25"/>
      <c r="P169" s="25"/>
      <c r="Q169" s="25"/>
      <c r="R169" s="25"/>
      <c r="S169" s="25"/>
    </row>
    <row r="170" spans="1:19" s="88" customFormat="1" ht="15.75" x14ac:dyDescent="0.25">
      <c r="A170" s="25"/>
      <c r="B170" s="25"/>
      <c r="C170" s="110"/>
      <c r="D170" s="36"/>
      <c r="E170" s="25"/>
      <c r="F170" s="108"/>
      <c r="G170" s="26"/>
      <c r="H170" s="26"/>
      <c r="I170" s="26"/>
      <c r="J170" s="26"/>
      <c r="K170" s="26"/>
      <c r="L170" s="26"/>
      <c r="O170" s="25"/>
      <c r="P170" s="25"/>
      <c r="Q170" s="25"/>
      <c r="R170" s="25"/>
      <c r="S170" s="25"/>
    </row>
    <row r="171" spans="1:19" s="88" customFormat="1" ht="15.75" x14ac:dyDescent="0.25">
      <c r="A171" s="25"/>
      <c r="B171" s="25"/>
      <c r="C171" s="110"/>
      <c r="D171" s="36"/>
      <c r="E171" s="25"/>
      <c r="F171" s="108"/>
      <c r="G171" s="26"/>
      <c r="H171" s="26"/>
      <c r="I171" s="26"/>
      <c r="J171" s="26"/>
      <c r="K171" s="26"/>
      <c r="L171" s="26"/>
      <c r="O171" s="25"/>
      <c r="P171" s="25"/>
      <c r="Q171" s="25"/>
      <c r="R171" s="25"/>
      <c r="S171" s="25"/>
    </row>
    <row r="172" spans="1:19" s="88" customFormat="1" ht="15.75" x14ac:dyDescent="0.25">
      <c r="A172" s="25"/>
      <c r="B172" s="25"/>
      <c r="C172" s="110"/>
      <c r="D172" s="36"/>
      <c r="E172" s="25"/>
      <c r="F172" s="108"/>
      <c r="G172" s="26"/>
      <c r="H172" s="26"/>
      <c r="I172" s="26"/>
      <c r="J172" s="26"/>
      <c r="K172" s="26"/>
      <c r="L172" s="26"/>
      <c r="O172" s="25"/>
      <c r="P172" s="25"/>
      <c r="Q172" s="25"/>
      <c r="R172" s="25"/>
      <c r="S172" s="25"/>
    </row>
    <row r="173" spans="1:19" s="88" customFormat="1" ht="15.75" x14ac:dyDescent="0.25">
      <c r="A173" s="25"/>
      <c r="B173" s="25"/>
      <c r="C173" s="110"/>
      <c r="D173" s="36"/>
      <c r="E173" s="25"/>
      <c r="F173" s="108"/>
      <c r="G173" s="26"/>
      <c r="H173" s="26"/>
      <c r="I173" s="26"/>
      <c r="J173" s="26"/>
      <c r="K173" s="26"/>
      <c r="L173" s="26"/>
      <c r="O173" s="25"/>
      <c r="P173" s="25"/>
      <c r="Q173" s="25"/>
      <c r="R173" s="25"/>
      <c r="S173" s="25"/>
    </row>
    <row r="174" spans="1:19" s="88" customFormat="1" ht="15.75" x14ac:dyDescent="0.25">
      <c r="A174" s="25"/>
      <c r="B174" s="25"/>
      <c r="C174" s="110"/>
      <c r="D174" s="36"/>
      <c r="E174" s="25"/>
      <c r="F174" s="108"/>
      <c r="G174" s="26"/>
      <c r="H174" s="26"/>
      <c r="I174" s="26"/>
      <c r="J174" s="26"/>
      <c r="K174" s="26"/>
      <c r="L174" s="26"/>
      <c r="O174" s="25"/>
      <c r="P174" s="25"/>
      <c r="Q174" s="25"/>
      <c r="R174" s="25"/>
      <c r="S174" s="25"/>
    </row>
    <row r="175" spans="1:19" s="88" customFormat="1" ht="15.75" x14ac:dyDescent="0.25">
      <c r="A175" s="25"/>
      <c r="B175" s="25"/>
      <c r="C175" s="110"/>
      <c r="D175" s="36"/>
      <c r="E175" s="25"/>
      <c r="F175" s="108"/>
      <c r="G175" s="26"/>
      <c r="H175" s="26"/>
      <c r="I175" s="26"/>
      <c r="J175" s="26"/>
      <c r="K175" s="26"/>
      <c r="L175" s="26"/>
      <c r="O175" s="25"/>
      <c r="P175" s="25"/>
      <c r="Q175" s="25"/>
      <c r="R175" s="25"/>
      <c r="S175" s="25"/>
    </row>
    <row r="176" spans="1:19" s="88" customFormat="1" ht="15.75" x14ac:dyDescent="0.25">
      <c r="A176" s="25"/>
      <c r="B176" s="25"/>
      <c r="C176" s="110"/>
      <c r="D176" s="36"/>
      <c r="E176" s="25"/>
      <c r="F176" s="108"/>
      <c r="G176" s="26"/>
      <c r="H176" s="26"/>
      <c r="I176" s="26"/>
      <c r="J176" s="26"/>
      <c r="K176" s="26"/>
      <c r="L176" s="26"/>
      <c r="O176" s="25"/>
      <c r="P176" s="25"/>
      <c r="Q176" s="25"/>
      <c r="R176" s="25"/>
      <c r="S176" s="25"/>
    </row>
    <row r="177" spans="1:19" s="88" customFormat="1" ht="15.75" x14ac:dyDescent="0.25">
      <c r="A177" s="25"/>
      <c r="B177" s="25"/>
      <c r="C177" s="110"/>
      <c r="D177" s="36"/>
      <c r="E177" s="25"/>
      <c r="F177" s="108"/>
      <c r="G177" s="26"/>
      <c r="H177" s="26"/>
      <c r="I177" s="26"/>
      <c r="J177" s="26"/>
      <c r="K177" s="26"/>
      <c r="L177" s="26"/>
      <c r="O177" s="25"/>
      <c r="P177" s="25"/>
      <c r="Q177" s="25"/>
      <c r="R177" s="25"/>
      <c r="S177" s="25"/>
    </row>
    <row r="178" spans="1:19" s="88" customFormat="1" ht="15.75" x14ac:dyDescent="0.25">
      <c r="A178" s="25"/>
      <c r="B178" s="25"/>
      <c r="C178" s="110"/>
      <c r="D178" s="36"/>
      <c r="E178" s="25"/>
      <c r="F178" s="108"/>
      <c r="G178" s="26"/>
      <c r="H178" s="26"/>
      <c r="I178" s="26"/>
      <c r="J178" s="26"/>
      <c r="K178" s="26"/>
      <c r="L178" s="26"/>
      <c r="O178" s="25"/>
      <c r="P178" s="25"/>
      <c r="Q178" s="25"/>
      <c r="R178" s="25"/>
      <c r="S178" s="25"/>
    </row>
    <row r="179" spans="1:19" s="88" customFormat="1" ht="15.75" x14ac:dyDescent="0.25">
      <c r="A179" s="25"/>
      <c r="B179" s="25"/>
      <c r="C179" s="110"/>
      <c r="D179" s="36"/>
      <c r="E179" s="25"/>
      <c r="F179" s="108"/>
      <c r="G179" s="26"/>
      <c r="H179" s="26"/>
      <c r="I179" s="26"/>
      <c r="J179" s="26"/>
      <c r="K179" s="26"/>
      <c r="L179" s="26"/>
      <c r="O179" s="25"/>
      <c r="P179" s="25"/>
      <c r="Q179" s="25"/>
      <c r="R179" s="25"/>
      <c r="S179" s="25"/>
    </row>
    <row r="180" spans="1:19" s="88" customFormat="1" ht="15.75" x14ac:dyDescent="0.25">
      <c r="A180" s="25"/>
      <c r="B180" s="25"/>
      <c r="C180" s="110"/>
      <c r="D180" s="36"/>
      <c r="E180" s="25"/>
      <c r="F180" s="108"/>
      <c r="G180" s="26"/>
      <c r="H180" s="26"/>
      <c r="I180" s="26"/>
      <c r="J180" s="26"/>
      <c r="K180" s="26"/>
      <c r="L180" s="26"/>
      <c r="O180" s="25"/>
      <c r="P180" s="25"/>
      <c r="Q180" s="25"/>
      <c r="R180" s="25"/>
      <c r="S180" s="25"/>
    </row>
    <row r="181" spans="1:19" s="88" customFormat="1" ht="15.75" x14ac:dyDescent="0.25">
      <c r="A181" s="25"/>
      <c r="B181" s="25"/>
      <c r="C181" s="110"/>
      <c r="D181" s="36"/>
      <c r="E181" s="25"/>
      <c r="F181" s="108"/>
      <c r="G181" s="26"/>
      <c r="H181" s="26"/>
      <c r="I181" s="26"/>
      <c r="J181" s="26"/>
      <c r="K181" s="26"/>
      <c r="L181" s="26"/>
      <c r="O181" s="25"/>
      <c r="P181" s="25"/>
      <c r="Q181" s="25"/>
      <c r="R181" s="25"/>
      <c r="S181" s="25"/>
    </row>
    <row r="182" spans="1:19" s="88" customFormat="1" ht="15.75" x14ac:dyDescent="0.25">
      <c r="A182" s="25"/>
      <c r="B182" s="25"/>
      <c r="C182" s="110"/>
      <c r="D182" s="36"/>
      <c r="E182" s="25"/>
      <c r="F182" s="108"/>
      <c r="G182" s="26"/>
      <c r="H182" s="26"/>
      <c r="I182" s="26"/>
      <c r="J182" s="26"/>
      <c r="K182" s="26"/>
      <c r="L182" s="26"/>
      <c r="O182" s="25"/>
      <c r="P182" s="25"/>
      <c r="Q182" s="25"/>
      <c r="R182" s="25"/>
      <c r="S182" s="25"/>
    </row>
    <row r="183" spans="1:19" s="88" customFormat="1" ht="15.75" x14ac:dyDescent="0.25">
      <c r="A183" s="25"/>
      <c r="B183" s="25"/>
      <c r="C183" s="110"/>
      <c r="D183" s="36"/>
      <c r="E183" s="25"/>
      <c r="F183" s="108"/>
      <c r="G183" s="26"/>
      <c r="H183" s="26"/>
      <c r="I183" s="26"/>
      <c r="J183" s="26"/>
      <c r="K183" s="26"/>
      <c r="L183" s="26"/>
      <c r="O183" s="25"/>
      <c r="P183" s="25"/>
      <c r="Q183" s="25"/>
      <c r="R183" s="25"/>
      <c r="S183" s="25"/>
    </row>
    <row r="184" spans="1:19" s="88" customFormat="1" ht="15.75" x14ac:dyDescent="0.25">
      <c r="A184" s="25"/>
      <c r="B184" s="25"/>
      <c r="C184" s="110"/>
      <c r="D184" s="36"/>
      <c r="E184" s="25"/>
      <c r="F184" s="108"/>
      <c r="G184" s="26"/>
      <c r="H184" s="26"/>
      <c r="I184" s="26"/>
      <c r="J184" s="26"/>
      <c r="K184" s="26"/>
      <c r="L184" s="26"/>
      <c r="O184" s="25"/>
      <c r="P184" s="25"/>
      <c r="Q184" s="25"/>
      <c r="R184" s="25"/>
      <c r="S184" s="25"/>
    </row>
    <row r="185" spans="1:19" s="88" customFormat="1" ht="15.75" x14ac:dyDescent="0.25">
      <c r="A185" s="25"/>
      <c r="B185" s="25"/>
      <c r="C185" s="110"/>
      <c r="D185" s="36"/>
      <c r="E185" s="25"/>
      <c r="F185" s="108"/>
      <c r="G185" s="26"/>
      <c r="H185" s="26"/>
      <c r="I185" s="26"/>
      <c r="J185" s="26"/>
      <c r="K185" s="26"/>
      <c r="L185" s="26"/>
      <c r="O185" s="25"/>
      <c r="P185" s="25"/>
      <c r="Q185" s="25"/>
      <c r="R185" s="25"/>
      <c r="S185" s="25"/>
    </row>
    <row r="186" spans="1:19" s="88" customFormat="1" ht="15.75" x14ac:dyDescent="0.25">
      <c r="A186" s="25"/>
      <c r="B186" s="25"/>
      <c r="C186" s="110"/>
      <c r="D186" s="36"/>
      <c r="E186" s="25"/>
      <c r="F186" s="108"/>
      <c r="G186" s="26"/>
      <c r="H186" s="26"/>
      <c r="I186" s="26"/>
      <c r="J186" s="26"/>
      <c r="K186" s="26"/>
      <c r="L186" s="26"/>
      <c r="O186" s="25"/>
      <c r="P186" s="25"/>
      <c r="Q186" s="25"/>
      <c r="R186" s="25"/>
      <c r="S186" s="25"/>
    </row>
    <row r="187" spans="1:19" s="88" customFormat="1" ht="15.75" x14ac:dyDescent="0.25">
      <c r="A187" s="25"/>
      <c r="B187" s="25"/>
      <c r="C187" s="110"/>
      <c r="D187" s="36"/>
      <c r="E187" s="25"/>
      <c r="F187" s="108"/>
      <c r="G187" s="26"/>
      <c r="H187" s="26"/>
      <c r="I187" s="26"/>
      <c r="J187" s="26"/>
      <c r="K187" s="26"/>
      <c r="L187" s="26"/>
      <c r="O187" s="25"/>
      <c r="P187" s="25"/>
      <c r="Q187" s="25"/>
      <c r="R187" s="25"/>
      <c r="S187" s="25"/>
    </row>
    <row r="188" spans="1:19" s="88" customFormat="1" ht="15.75" x14ac:dyDescent="0.25">
      <c r="A188" s="25"/>
      <c r="B188" s="25"/>
      <c r="C188" s="110"/>
      <c r="D188" s="36"/>
      <c r="E188" s="25"/>
      <c r="F188" s="108"/>
      <c r="G188" s="26"/>
      <c r="H188" s="26"/>
      <c r="I188" s="26"/>
      <c r="J188" s="26"/>
      <c r="K188" s="26"/>
      <c r="L188" s="26"/>
      <c r="O188" s="25"/>
      <c r="P188" s="25"/>
      <c r="Q188" s="25"/>
      <c r="R188" s="25"/>
      <c r="S188" s="25"/>
    </row>
    <row r="189" spans="1:19" s="88" customFormat="1" ht="15.75" x14ac:dyDescent="0.25">
      <c r="A189" s="25"/>
      <c r="B189" s="25"/>
      <c r="C189" s="110"/>
      <c r="D189" s="36"/>
      <c r="E189" s="25"/>
      <c r="F189" s="108"/>
      <c r="G189" s="26"/>
      <c r="H189" s="26"/>
      <c r="I189" s="26"/>
      <c r="J189" s="26"/>
      <c r="K189" s="26"/>
      <c r="L189" s="26"/>
      <c r="O189" s="25"/>
      <c r="P189" s="25"/>
      <c r="Q189" s="25"/>
      <c r="R189" s="25"/>
      <c r="S189" s="25"/>
    </row>
    <row r="190" spans="1:19" s="88" customFormat="1" ht="15.75" x14ac:dyDescent="0.25">
      <c r="A190" s="25"/>
      <c r="B190" s="25"/>
      <c r="C190" s="110"/>
      <c r="D190" s="36"/>
      <c r="E190" s="25"/>
      <c r="F190" s="108"/>
      <c r="G190" s="26"/>
      <c r="H190" s="26"/>
      <c r="I190" s="26"/>
      <c r="J190" s="26"/>
      <c r="K190" s="26"/>
      <c r="L190" s="26"/>
      <c r="O190" s="25"/>
      <c r="P190" s="25"/>
      <c r="Q190" s="25"/>
      <c r="R190" s="25"/>
      <c r="S190" s="25"/>
    </row>
    <row r="191" spans="1:19" s="88" customFormat="1" ht="15.75" x14ac:dyDescent="0.25">
      <c r="A191" s="25"/>
      <c r="B191" s="25"/>
      <c r="C191" s="110"/>
      <c r="D191" s="36"/>
      <c r="E191" s="25"/>
      <c r="F191" s="108"/>
      <c r="G191" s="26"/>
      <c r="H191" s="26"/>
      <c r="I191" s="26"/>
      <c r="J191" s="26"/>
      <c r="K191" s="26"/>
      <c r="L191" s="26"/>
      <c r="O191" s="25"/>
      <c r="P191" s="25"/>
      <c r="Q191" s="25"/>
      <c r="R191" s="25"/>
      <c r="S191" s="25"/>
    </row>
    <row r="192" spans="1:19" s="88" customFormat="1" ht="15.75" x14ac:dyDescent="0.25">
      <c r="A192" s="25"/>
      <c r="B192" s="25"/>
      <c r="C192" s="110"/>
      <c r="D192" s="36"/>
      <c r="E192" s="25"/>
      <c r="F192" s="108"/>
      <c r="G192" s="26"/>
      <c r="H192" s="26"/>
      <c r="I192" s="26"/>
      <c r="J192" s="26"/>
      <c r="K192" s="26"/>
      <c r="L192" s="26"/>
      <c r="O192" s="25"/>
      <c r="P192" s="25"/>
      <c r="Q192" s="25"/>
      <c r="R192" s="25"/>
      <c r="S192" s="25"/>
    </row>
    <row r="193" spans="1:19" s="88" customFormat="1" ht="15.75" x14ac:dyDescent="0.25">
      <c r="A193" s="25"/>
      <c r="B193" s="25"/>
      <c r="C193" s="110"/>
      <c r="D193" s="36"/>
      <c r="E193" s="25"/>
      <c r="F193" s="108"/>
      <c r="G193" s="26"/>
      <c r="H193" s="26"/>
      <c r="I193" s="26"/>
      <c r="J193" s="26"/>
      <c r="K193" s="26"/>
      <c r="L193" s="26"/>
      <c r="O193" s="25"/>
      <c r="P193" s="25"/>
      <c r="Q193" s="25"/>
      <c r="R193" s="25"/>
      <c r="S193" s="25"/>
    </row>
    <row r="194" spans="1:19" s="88" customFormat="1" ht="15.75" x14ac:dyDescent="0.25">
      <c r="A194" s="25"/>
      <c r="B194" s="25"/>
      <c r="C194" s="110"/>
      <c r="D194" s="36"/>
      <c r="E194" s="25"/>
      <c r="F194" s="108"/>
      <c r="G194" s="26"/>
      <c r="H194" s="26"/>
      <c r="I194" s="26"/>
      <c r="J194" s="26"/>
      <c r="K194" s="26"/>
      <c r="L194" s="26"/>
      <c r="O194" s="25"/>
      <c r="P194" s="25"/>
      <c r="Q194" s="25"/>
      <c r="R194" s="25"/>
      <c r="S194" s="25"/>
    </row>
    <row r="195" spans="1:19" s="88" customFormat="1" ht="15.75" x14ac:dyDescent="0.25">
      <c r="A195" s="25"/>
      <c r="B195" s="25"/>
      <c r="C195" s="110"/>
      <c r="D195" s="36"/>
      <c r="E195" s="25"/>
      <c r="F195" s="108"/>
      <c r="G195" s="26"/>
      <c r="H195" s="26"/>
      <c r="I195" s="26"/>
      <c r="J195" s="26"/>
      <c r="K195" s="26"/>
      <c r="L195" s="26"/>
      <c r="O195" s="25"/>
      <c r="P195" s="25"/>
      <c r="Q195" s="25"/>
      <c r="R195" s="25"/>
      <c r="S195" s="25"/>
    </row>
    <row r="196" spans="1:19" s="88" customFormat="1" ht="15.75" x14ac:dyDescent="0.25">
      <c r="A196" s="25"/>
      <c r="B196" s="25"/>
      <c r="C196" s="110"/>
      <c r="D196" s="36"/>
      <c r="E196" s="25"/>
      <c r="F196" s="108"/>
      <c r="G196" s="26"/>
      <c r="H196" s="26"/>
      <c r="I196" s="26"/>
      <c r="J196" s="26"/>
      <c r="K196" s="26"/>
      <c r="L196" s="26"/>
      <c r="O196" s="25"/>
      <c r="P196" s="25"/>
      <c r="Q196" s="25"/>
      <c r="R196" s="25"/>
      <c r="S196" s="25"/>
    </row>
    <row r="197" spans="1:19" s="88" customFormat="1" ht="15.75" x14ac:dyDescent="0.25">
      <c r="A197" s="25"/>
      <c r="B197" s="25"/>
      <c r="C197" s="110"/>
      <c r="D197" s="36"/>
      <c r="E197" s="25"/>
      <c r="F197" s="108"/>
      <c r="G197" s="26"/>
      <c r="H197" s="26"/>
      <c r="I197" s="26"/>
      <c r="J197" s="26"/>
      <c r="K197" s="26"/>
      <c r="L197" s="26"/>
      <c r="O197" s="25"/>
      <c r="P197" s="25"/>
      <c r="Q197" s="25"/>
      <c r="R197" s="25"/>
      <c r="S197" s="25"/>
    </row>
    <row r="198" spans="1:19" s="88" customFormat="1" ht="15.75" x14ac:dyDescent="0.25">
      <c r="A198" s="25"/>
      <c r="B198" s="25"/>
      <c r="C198" s="110"/>
      <c r="D198" s="36"/>
      <c r="E198" s="25"/>
      <c r="F198" s="108"/>
      <c r="G198" s="26"/>
      <c r="H198" s="26"/>
      <c r="I198" s="26"/>
      <c r="J198" s="26"/>
      <c r="K198" s="26"/>
      <c r="L198" s="26"/>
      <c r="O198" s="25"/>
      <c r="P198" s="25"/>
      <c r="Q198" s="25"/>
      <c r="R198" s="25"/>
      <c r="S198" s="25"/>
    </row>
    <row r="199" spans="1:19" s="88" customFormat="1" ht="15.75" x14ac:dyDescent="0.25">
      <c r="A199" s="25"/>
      <c r="B199" s="25"/>
      <c r="C199" s="110"/>
      <c r="D199" s="36"/>
      <c r="E199" s="25"/>
      <c r="F199" s="108"/>
      <c r="G199" s="26"/>
      <c r="H199" s="26"/>
      <c r="I199" s="26"/>
      <c r="J199" s="26"/>
      <c r="K199" s="26"/>
      <c r="L199" s="26"/>
      <c r="O199" s="25"/>
      <c r="P199" s="25"/>
      <c r="Q199" s="25"/>
      <c r="R199" s="25"/>
      <c r="S199" s="25"/>
    </row>
    <row r="200" spans="1:19" s="88" customFormat="1" ht="15.75" x14ac:dyDescent="0.25">
      <c r="A200" s="25"/>
      <c r="B200" s="25"/>
      <c r="C200" s="110"/>
      <c r="D200" s="36"/>
      <c r="E200" s="25"/>
      <c r="F200" s="108"/>
      <c r="G200" s="26"/>
      <c r="H200" s="26"/>
      <c r="I200" s="26"/>
      <c r="J200" s="26"/>
      <c r="K200" s="26"/>
      <c r="L200" s="26"/>
      <c r="O200" s="25"/>
      <c r="P200" s="25"/>
      <c r="Q200" s="25"/>
      <c r="R200" s="25"/>
      <c r="S200" s="25"/>
    </row>
    <row r="201" spans="1:19" s="88" customFormat="1" ht="15.75" x14ac:dyDescent="0.25">
      <c r="A201" s="25"/>
      <c r="B201" s="25"/>
      <c r="C201" s="110"/>
      <c r="D201" s="36"/>
      <c r="E201" s="25"/>
      <c r="F201" s="108"/>
      <c r="G201" s="26"/>
      <c r="H201" s="26"/>
      <c r="I201" s="26"/>
      <c r="J201" s="26"/>
      <c r="K201" s="26"/>
      <c r="L201" s="26"/>
      <c r="O201" s="25"/>
      <c r="P201" s="25"/>
      <c r="Q201" s="25"/>
      <c r="R201" s="25"/>
      <c r="S201" s="25"/>
    </row>
    <row r="202" spans="1:19" s="88" customFormat="1" ht="15.75" x14ac:dyDescent="0.25">
      <c r="A202" s="25"/>
      <c r="B202" s="25"/>
      <c r="C202" s="110"/>
      <c r="D202" s="36"/>
      <c r="E202" s="25"/>
      <c r="F202" s="108"/>
      <c r="G202" s="26"/>
      <c r="H202" s="26"/>
      <c r="I202" s="26"/>
      <c r="J202" s="26"/>
      <c r="K202" s="26"/>
      <c r="L202" s="26"/>
      <c r="O202" s="25"/>
      <c r="P202" s="25"/>
      <c r="Q202" s="25"/>
      <c r="R202" s="25"/>
      <c r="S202" s="25"/>
    </row>
    <row r="203" spans="1:19" s="88" customFormat="1" ht="15.75" x14ac:dyDescent="0.25">
      <c r="A203" s="25"/>
      <c r="B203" s="25"/>
      <c r="C203" s="110"/>
      <c r="D203" s="36"/>
      <c r="E203" s="25"/>
      <c r="F203" s="108"/>
      <c r="G203" s="26"/>
      <c r="H203" s="26"/>
      <c r="I203" s="26"/>
      <c r="J203" s="26"/>
      <c r="K203" s="26"/>
      <c r="L203" s="26"/>
      <c r="O203" s="25"/>
      <c r="P203" s="25"/>
      <c r="Q203" s="25"/>
      <c r="R203" s="25"/>
      <c r="S203" s="25"/>
    </row>
  </sheetData>
  <mergeCells count="1">
    <mergeCell ref="H1:L1"/>
  </mergeCells>
  <conditionalFormatting sqref="D4:D19 D21:D22">
    <cfRule type="cellIs" dxfId="25" priority="14" operator="equal">
      <formula>0</formula>
    </cfRule>
  </conditionalFormatting>
  <dataValidations count="1">
    <dataValidation type="list" allowBlank="1" showInputMessage="1" sqref="H3:L3 H20:L20" xr:uid="{09099B84-0D45-4643-8A7E-1C2A315773B0}">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64735A1E-DE71-450C-B37E-93C140750C3A}">
          <x14:formula1>
            <xm:f>Unit!$A$4:$A$11</xm:f>
          </x14:formula1>
          <xm:sqref>D20 D3</xm:sqref>
        </x14:dataValidation>
        <x14:dataValidation type="list" allowBlank="1" showInputMessage="1" xr:uid="{D2A08A3B-8EC8-4920-A30E-E3AA0C6FC658}">
          <x14:formula1>
            <xm:f>Unit!#REF!</xm:f>
          </x14:formula1>
          <xm:sqref>I24:L169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E81CC-CA8A-402E-A717-5F0928762D02}">
  <sheetPr codeName="Sheet23">
    <tabColor rgb="FFFFC000"/>
  </sheetPr>
  <dimension ref="B2:E55"/>
  <sheetViews>
    <sheetView workbookViewId="0"/>
  </sheetViews>
  <sheetFormatPr defaultRowHeight="15" x14ac:dyDescent="0.25"/>
  <cols>
    <col min="2" max="2" width="22.85546875" customWidth="1"/>
  </cols>
  <sheetData>
    <row r="2" spans="2:5" x14ac:dyDescent="0.25">
      <c r="B2" s="10"/>
      <c r="C2" s="597" t="s">
        <v>607</v>
      </c>
      <c r="D2" s="598"/>
      <c r="E2" s="599"/>
    </row>
    <row r="3" spans="2:5" ht="45" x14ac:dyDescent="0.25">
      <c r="B3" s="218" t="s">
        <v>606</v>
      </c>
      <c r="C3" s="220" t="s">
        <v>608</v>
      </c>
      <c r="D3" s="220" t="s">
        <v>609</v>
      </c>
      <c r="E3" s="220" t="s">
        <v>610</v>
      </c>
    </row>
    <row r="4" spans="2:5" hidden="1" x14ac:dyDescent="0.25">
      <c r="B4" s="219">
        <v>100000</v>
      </c>
      <c r="C4" s="10">
        <v>11</v>
      </c>
      <c r="D4" s="10">
        <v>14</v>
      </c>
      <c r="E4" s="10">
        <v>18</v>
      </c>
    </row>
    <row r="5" spans="2:5" hidden="1" x14ac:dyDescent="0.25">
      <c r="B5" s="11">
        <v>200000</v>
      </c>
      <c r="C5" s="10">
        <v>14</v>
      </c>
      <c r="D5" s="10">
        <v>17</v>
      </c>
      <c r="E5" s="10">
        <v>22</v>
      </c>
    </row>
    <row r="6" spans="2:5" hidden="1" x14ac:dyDescent="0.25">
      <c r="B6" s="11">
        <v>300000</v>
      </c>
      <c r="C6" s="10">
        <v>15</v>
      </c>
      <c r="D6" s="10">
        <v>19</v>
      </c>
      <c r="E6" s="10">
        <v>25</v>
      </c>
    </row>
    <row r="7" spans="2:5" hidden="1" x14ac:dyDescent="0.25">
      <c r="B7" s="11">
        <v>400000</v>
      </c>
      <c r="C7" s="10">
        <v>17</v>
      </c>
      <c r="D7" s="10">
        <v>21</v>
      </c>
      <c r="E7" s="10">
        <v>27</v>
      </c>
    </row>
    <row r="8" spans="2:5" hidden="1" x14ac:dyDescent="0.25">
      <c r="B8" s="11">
        <v>500000</v>
      </c>
      <c r="C8" s="10">
        <v>18</v>
      </c>
      <c r="D8" s="10">
        <v>22</v>
      </c>
      <c r="E8" s="10">
        <v>29</v>
      </c>
    </row>
    <row r="9" spans="2:5" hidden="1" x14ac:dyDescent="0.25">
      <c r="B9" s="11">
        <v>600000</v>
      </c>
      <c r="C9" s="10">
        <v>19</v>
      </c>
      <c r="D9" s="10">
        <v>24</v>
      </c>
      <c r="E9" s="10">
        <v>31</v>
      </c>
    </row>
    <row r="10" spans="2:5" hidden="1" x14ac:dyDescent="0.25">
      <c r="B10" s="11">
        <v>700000</v>
      </c>
      <c r="C10" s="10">
        <v>20</v>
      </c>
      <c r="D10" s="10">
        <v>25</v>
      </c>
      <c r="E10" s="10">
        <v>32</v>
      </c>
    </row>
    <row r="11" spans="2:5" hidden="1" x14ac:dyDescent="0.25">
      <c r="B11" s="11">
        <v>800000</v>
      </c>
      <c r="C11" s="10">
        <v>21</v>
      </c>
      <c r="D11" s="10">
        <v>26</v>
      </c>
      <c r="E11" s="10">
        <v>34</v>
      </c>
    </row>
    <row r="12" spans="2:5" hidden="1" x14ac:dyDescent="0.25">
      <c r="B12" s="11">
        <v>900000</v>
      </c>
      <c r="C12" s="10">
        <v>21</v>
      </c>
      <c r="D12" s="10">
        <v>27</v>
      </c>
      <c r="E12" s="10">
        <v>35</v>
      </c>
    </row>
    <row r="13" spans="2:5" hidden="1" x14ac:dyDescent="0.25">
      <c r="B13" s="11">
        <v>1000000</v>
      </c>
      <c r="C13" s="10">
        <v>22</v>
      </c>
      <c r="D13" s="10">
        <v>28</v>
      </c>
      <c r="E13" s="10">
        <v>36</v>
      </c>
    </row>
    <row r="14" spans="2:5" hidden="1" x14ac:dyDescent="0.25">
      <c r="B14" s="11">
        <v>2000000</v>
      </c>
      <c r="C14" s="10">
        <v>27</v>
      </c>
      <c r="D14" s="10">
        <v>34</v>
      </c>
      <c r="E14" s="10">
        <v>44</v>
      </c>
    </row>
    <row r="15" spans="2:5" hidden="1" x14ac:dyDescent="0.25">
      <c r="B15" s="11">
        <v>3000000</v>
      </c>
      <c r="C15" s="10">
        <v>31</v>
      </c>
      <c r="D15" s="10">
        <v>38</v>
      </c>
      <c r="E15" s="10">
        <v>50</v>
      </c>
    </row>
    <row r="16" spans="2:5" hidden="1" x14ac:dyDescent="0.25">
      <c r="B16" s="11">
        <v>4000000</v>
      </c>
      <c r="C16" s="10">
        <v>33</v>
      </c>
      <c r="D16" s="10">
        <v>42</v>
      </c>
      <c r="E16" s="10">
        <v>55</v>
      </c>
    </row>
    <row r="17" spans="2:5" hidden="1" x14ac:dyDescent="0.25">
      <c r="B17" s="11">
        <v>5000000</v>
      </c>
      <c r="C17" s="10">
        <v>36</v>
      </c>
      <c r="D17" s="10">
        <v>45</v>
      </c>
      <c r="E17" s="10">
        <v>58</v>
      </c>
    </row>
    <row r="18" spans="2:5" hidden="1" x14ac:dyDescent="0.25">
      <c r="B18" s="11">
        <v>6000000</v>
      </c>
      <c r="C18" s="10">
        <v>38</v>
      </c>
      <c r="D18" s="10">
        <v>47</v>
      </c>
      <c r="E18" s="10">
        <v>62</v>
      </c>
    </row>
    <row r="19" spans="2:5" hidden="1" x14ac:dyDescent="0.25">
      <c r="B19" s="11">
        <v>7000000</v>
      </c>
      <c r="C19" s="10">
        <v>40</v>
      </c>
      <c r="D19" s="10">
        <v>50</v>
      </c>
      <c r="E19" s="10">
        <v>64</v>
      </c>
    </row>
    <row r="20" spans="2:5" hidden="1" x14ac:dyDescent="0.25">
      <c r="B20" s="11">
        <v>8000000</v>
      </c>
      <c r="C20" s="10">
        <v>41</v>
      </c>
      <c r="D20" s="10">
        <v>52</v>
      </c>
      <c r="E20" s="10">
        <v>67</v>
      </c>
    </row>
    <row r="21" spans="2:5" hidden="1" x14ac:dyDescent="0.25">
      <c r="B21" s="11">
        <v>9000000</v>
      </c>
      <c r="C21" s="10">
        <v>43</v>
      </c>
      <c r="D21" s="10">
        <v>53</v>
      </c>
      <c r="E21" s="10">
        <v>70</v>
      </c>
    </row>
    <row r="22" spans="2:5" hidden="1" x14ac:dyDescent="0.25">
      <c r="B22" s="11">
        <v>10000000</v>
      </c>
      <c r="C22" s="10">
        <v>44</v>
      </c>
      <c r="D22" s="10">
        <v>55</v>
      </c>
      <c r="E22" s="10">
        <v>72</v>
      </c>
    </row>
    <row r="23" spans="2:5" hidden="1" x14ac:dyDescent="0.25">
      <c r="B23" s="11">
        <v>110000000</v>
      </c>
      <c r="C23" s="10">
        <v>45</v>
      </c>
      <c r="D23" s="10">
        <v>57</v>
      </c>
      <c r="E23" s="10">
        <v>74</v>
      </c>
    </row>
    <row r="24" spans="2:5" hidden="1" x14ac:dyDescent="0.25">
      <c r="B24" s="11">
        <v>12000000</v>
      </c>
      <c r="C24" s="10">
        <v>47</v>
      </c>
      <c r="D24" s="10">
        <v>58</v>
      </c>
      <c r="E24" s="10">
        <v>76</v>
      </c>
    </row>
    <row r="25" spans="2:5" hidden="1" x14ac:dyDescent="0.25">
      <c r="B25" s="11">
        <v>13000000</v>
      </c>
      <c r="C25" s="10">
        <v>48</v>
      </c>
      <c r="D25" s="10">
        <v>60</v>
      </c>
      <c r="E25" s="10">
        <v>78</v>
      </c>
    </row>
    <row r="26" spans="2:5" hidden="1" x14ac:dyDescent="0.25">
      <c r="B26" s="11">
        <v>14000000</v>
      </c>
      <c r="C26" s="10">
        <v>49</v>
      </c>
      <c r="D26" s="10">
        <v>61</v>
      </c>
      <c r="E26" s="10">
        <v>79</v>
      </c>
    </row>
    <row r="27" spans="2:5" hidden="1" x14ac:dyDescent="0.25">
      <c r="B27" s="11">
        <v>15000000</v>
      </c>
      <c r="C27" s="10">
        <v>50</v>
      </c>
      <c r="D27" s="10">
        <v>62</v>
      </c>
      <c r="E27" s="10">
        <v>81</v>
      </c>
    </row>
    <row r="28" spans="2:5" hidden="1" x14ac:dyDescent="0.25">
      <c r="B28" s="11">
        <v>16000000</v>
      </c>
      <c r="C28" s="10">
        <v>51</v>
      </c>
      <c r="D28" s="10">
        <v>64</v>
      </c>
      <c r="E28" s="10">
        <v>83</v>
      </c>
    </row>
    <row r="29" spans="2:5" hidden="1" x14ac:dyDescent="0.25">
      <c r="B29" s="11">
        <v>17000000</v>
      </c>
      <c r="C29" s="10">
        <v>52</v>
      </c>
      <c r="D29" s="10">
        <v>65</v>
      </c>
      <c r="E29" s="10">
        <v>84</v>
      </c>
    </row>
    <row r="30" spans="2:5" hidden="1" x14ac:dyDescent="0.25">
      <c r="B30" s="11">
        <v>18000000</v>
      </c>
      <c r="C30" s="10">
        <v>53</v>
      </c>
      <c r="D30" s="10">
        <v>66</v>
      </c>
      <c r="E30" s="10">
        <v>86</v>
      </c>
    </row>
    <row r="31" spans="2:5" hidden="1" x14ac:dyDescent="0.25">
      <c r="B31" s="11">
        <v>19000000</v>
      </c>
      <c r="C31" s="10">
        <v>53</v>
      </c>
      <c r="D31" s="10">
        <v>67</v>
      </c>
      <c r="E31" s="10">
        <v>87</v>
      </c>
    </row>
    <row r="32" spans="2:5" hidden="1" x14ac:dyDescent="0.25">
      <c r="B32" s="11">
        <v>20000000</v>
      </c>
      <c r="C32" s="10">
        <v>54</v>
      </c>
      <c r="D32" s="10">
        <v>68</v>
      </c>
      <c r="E32" s="10">
        <v>88</v>
      </c>
    </row>
    <row r="33" spans="2:5" hidden="1" x14ac:dyDescent="0.25">
      <c r="B33" s="11">
        <v>25000000</v>
      </c>
      <c r="C33" s="10">
        <v>58</v>
      </c>
      <c r="D33" s="10">
        <v>73</v>
      </c>
      <c r="E33" s="10">
        <v>94</v>
      </c>
    </row>
    <row r="34" spans="2:5" hidden="1" x14ac:dyDescent="0.25">
      <c r="B34" s="11">
        <v>30000000</v>
      </c>
      <c r="C34" s="10">
        <v>61</v>
      </c>
      <c r="D34" s="10">
        <v>77</v>
      </c>
      <c r="E34" s="10">
        <v>100</v>
      </c>
    </row>
    <row r="35" spans="2:5" hidden="1" x14ac:dyDescent="0.25">
      <c r="B35" s="11">
        <v>35000000</v>
      </c>
      <c r="C35" s="10">
        <v>64</v>
      </c>
      <c r="D35" s="10">
        <v>80</v>
      </c>
      <c r="E35" s="10">
        <v>105</v>
      </c>
    </row>
    <row r="36" spans="2:5" hidden="1" x14ac:dyDescent="0.25">
      <c r="B36" s="11">
        <v>40000000</v>
      </c>
      <c r="C36" s="10">
        <v>67</v>
      </c>
      <c r="D36" s="10">
        <v>84</v>
      </c>
      <c r="E36" s="10">
        <v>109</v>
      </c>
    </row>
    <row r="37" spans="2:5" hidden="1" x14ac:dyDescent="0.25">
      <c r="B37" s="11">
        <v>45000000</v>
      </c>
      <c r="C37" s="10">
        <v>69</v>
      </c>
      <c r="D37" s="10">
        <v>87</v>
      </c>
      <c r="E37" s="10">
        <v>113</v>
      </c>
    </row>
    <row r="38" spans="2:5" hidden="1" x14ac:dyDescent="0.25">
      <c r="B38" s="11">
        <v>50000000</v>
      </c>
      <c r="C38" s="10">
        <v>71</v>
      </c>
      <c r="D38" s="10">
        <v>89</v>
      </c>
      <c r="E38" s="10">
        <v>116</v>
      </c>
    </row>
    <row r="39" spans="2:5" hidden="1" x14ac:dyDescent="0.25">
      <c r="B39" s="11">
        <v>55000000</v>
      </c>
      <c r="C39" s="10">
        <v>74</v>
      </c>
      <c r="D39" s="10">
        <v>92</v>
      </c>
      <c r="E39" s="10">
        <v>120</v>
      </c>
    </row>
    <row r="40" spans="2:5" hidden="1" x14ac:dyDescent="0.25">
      <c r="B40" s="11">
        <v>60000000</v>
      </c>
      <c r="C40" s="10">
        <v>75</v>
      </c>
      <c r="D40" s="10">
        <v>94</v>
      </c>
      <c r="E40" s="10">
        <v>123</v>
      </c>
    </row>
    <row r="41" spans="2:5" hidden="1" x14ac:dyDescent="0.25">
      <c r="B41" s="11">
        <v>65000000</v>
      </c>
      <c r="C41" s="10">
        <v>77</v>
      </c>
      <c r="D41" s="10">
        <v>97</v>
      </c>
      <c r="E41" s="10">
        <v>126</v>
      </c>
    </row>
    <row r="42" spans="2:5" hidden="1" x14ac:dyDescent="0.25">
      <c r="B42" s="11">
        <v>70000000</v>
      </c>
      <c r="C42" s="10">
        <v>79</v>
      </c>
      <c r="D42" s="10">
        <v>99</v>
      </c>
      <c r="E42" s="10">
        <v>129</v>
      </c>
    </row>
    <row r="43" spans="2:5" hidden="1" x14ac:dyDescent="0.25">
      <c r="B43" s="11">
        <v>75000000</v>
      </c>
      <c r="C43" s="10">
        <v>81</v>
      </c>
      <c r="D43" s="10">
        <v>101</v>
      </c>
      <c r="E43" s="10">
        <v>131</v>
      </c>
    </row>
    <row r="44" spans="2:5" hidden="1" x14ac:dyDescent="0.25">
      <c r="B44" s="11">
        <v>80000000</v>
      </c>
      <c r="C44" s="10">
        <v>82</v>
      </c>
      <c r="D44" s="10">
        <v>103</v>
      </c>
      <c r="E44" s="10">
        <v>134</v>
      </c>
    </row>
    <row r="45" spans="2:5" hidden="1" x14ac:dyDescent="0.25">
      <c r="B45" s="11">
        <v>85000000</v>
      </c>
      <c r="C45" s="10">
        <v>84</v>
      </c>
      <c r="D45" s="10">
        <v>105</v>
      </c>
      <c r="E45" s="10">
        <v>136</v>
      </c>
    </row>
    <row r="46" spans="2:5" hidden="1" x14ac:dyDescent="0.25">
      <c r="B46" s="11">
        <v>90000000</v>
      </c>
      <c r="C46" s="10">
        <v>85</v>
      </c>
      <c r="D46" s="10">
        <v>107</v>
      </c>
      <c r="E46" s="10">
        <v>139</v>
      </c>
    </row>
    <row r="47" spans="2:5" hidden="1" x14ac:dyDescent="0.25">
      <c r="B47" s="11">
        <v>95000000</v>
      </c>
      <c r="C47" s="10">
        <v>87</v>
      </c>
      <c r="D47" s="10">
        <v>108</v>
      </c>
      <c r="E47" s="10">
        <v>141</v>
      </c>
    </row>
    <row r="48" spans="2:5" hidden="1" x14ac:dyDescent="0.25">
      <c r="B48" s="11">
        <v>100000000</v>
      </c>
      <c r="C48" s="10">
        <v>88</v>
      </c>
      <c r="D48" s="10">
        <v>110</v>
      </c>
      <c r="E48" s="10">
        <v>143</v>
      </c>
    </row>
    <row r="49" spans="2:2" x14ac:dyDescent="0.25">
      <c r="B49" s="217"/>
    </row>
    <row r="50" spans="2:2" x14ac:dyDescent="0.25">
      <c r="B50" s="217"/>
    </row>
    <row r="51" spans="2:2" x14ac:dyDescent="0.25">
      <c r="B51" s="217"/>
    </row>
    <row r="52" spans="2:2" x14ac:dyDescent="0.25">
      <c r="B52" s="217"/>
    </row>
    <row r="53" spans="2:2" x14ac:dyDescent="0.25">
      <c r="B53" s="217"/>
    </row>
    <row r="54" spans="2:2" x14ac:dyDescent="0.25">
      <c r="B54" s="217"/>
    </row>
    <row r="55" spans="2:2" x14ac:dyDescent="0.25">
      <c r="B55" s="217"/>
    </row>
  </sheetData>
  <sheetProtection algorithmName="SHA-512" hashValue="VRoexEKJ9FQWESId8mgXhg/QoiWj0IIAMp+8bYQCWmjQ37AEeWvYWRKqvgHM21L4OJbnXPxr6LlWi6piauL/Rg==" saltValue="VCVXQ65o34lCcg/tRIhboA==" spinCount="100000" sheet="1" objects="1" scenarios="1"/>
  <mergeCells count="1">
    <mergeCell ref="C2:E2"/>
  </mergeCells>
  <pageMargins left="0.7" right="0.7" top="0.75" bottom="0.75" header="0.3" footer="0.3"/>
  <pageSetup paperSize="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A318-6746-42E8-AA73-5A63A71D42EF}">
  <sheetPr codeName="Sheet50">
    <tabColor rgb="FF00B050"/>
  </sheetPr>
  <dimension ref="A1:S188"/>
  <sheetViews>
    <sheetView view="pageBreakPreview" zoomScale="70" zoomScaleNormal="25" zoomScaleSheetLayoutView="70"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7.5703125" style="25" bestFit="1"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Electrical!A2+1</f>
        <v>19</v>
      </c>
      <c r="B2" s="73" t="s" cm="1">
        <v>2456</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19.010000000000002</v>
      </c>
      <c r="B3" s="27" t="s">
        <v>674</v>
      </c>
      <c r="C3" s="83">
        <v>1</v>
      </c>
      <c r="D3" s="29" t="s">
        <v>24</v>
      </c>
      <c r="E3" s="85"/>
      <c r="F3" s="86">
        <f>IF(E3="inc",0,IF(C3="",0,C3*E3))</f>
        <v>0</v>
      </c>
      <c r="G3" s="208"/>
      <c r="H3" s="30"/>
      <c r="I3" s="30"/>
      <c r="J3" s="30"/>
      <c r="K3" s="30"/>
      <c r="L3" s="30"/>
      <c r="M3" s="87"/>
      <c r="N3" s="32"/>
      <c r="O3" s="25"/>
      <c r="P3" s="25"/>
      <c r="Q3" s="25"/>
      <c r="R3" s="25"/>
      <c r="S3" s="25"/>
    </row>
    <row r="4" spans="1:19" s="94" customFormat="1" ht="47.25" x14ac:dyDescent="0.25">
      <c r="A4" s="24"/>
      <c r="B4" s="24" t="s">
        <v>2360</v>
      </c>
      <c r="C4" s="32">
        <v>4</v>
      </c>
      <c r="D4" s="32" t="s">
        <v>5</v>
      </c>
      <c r="E4" s="26"/>
      <c r="F4" s="33"/>
      <c r="G4" s="210"/>
      <c r="H4" s="26"/>
      <c r="I4" s="26"/>
      <c r="J4" s="26"/>
      <c r="K4" s="26"/>
      <c r="L4" s="26"/>
      <c r="M4" s="34"/>
      <c r="N4" s="32"/>
      <c r="O4" s="44"/>
    </row>
    <row r="5" spans="1:19" s="94" customFormat="1" ht="47.25" x14ac:dyDescent="0.25">
      <c r="A5" s="24"/>
      <c r="B5" s="24" t="s">
        <v>2361</v>
      </c>
      <c r="C5" s="32">
        <v>2</v>
      </c>
      <c r="D5" s="32" t="s">
        <v>5</v>
      </c>
      <c r="E5" s="26"/>
      <c r="F5" s="33"/>
      <c r="G5" s="210"/>
      <c r="H5" s="26"/>
      <c r="I5" s="26"/>
      <c r="J5" s="26"/>
      <c r="K5" s="26"/>
      <c r="L5" s="26"/>
      <c r="M5" s="34"/>
      <c r="N5" s="32"/>
      <c r="O5" s="44"/>
    </row>
    <row r="6" spans="1:19" s="94" customFormat="1" ht="31.5" x14ac:dyDescent="0.25">
      <c r="A6" s="24"/>
      <c r="B6" s="24" t="s">
        <v>2359</v>
      </c>
      <c r="C6" s="32">
        <v>21</v>
      </c>
      <c r="D6" s="32" t="s">
        <v>5</v>
      </c>
      <c r="E6" s="26"/>
      <c r="F6" s="33"/>
      <c r="G6" s="210"/>
      <c r="H6" s="26"/>
      <c r="I6" s="26"/>
      <c r="J6" s="26"/>
      <c r="K6" s="26"/>
      <c r="L6" s="26"/>
      <c r="M6" s="34"/>
      <c r="N6" s="32"/>
      <c r="O6" s="44"/>
    </row>
    <row r="7" spans="1:19" s="94" customFormat="1" ht="15.75" x14ac:dyDescent="0.25">
      <c r="A7" s="24"/>
      <c r="B7" s="24"/>
      <c r="C7" s="32" t="s">
        <v>2346</v>
      </c>
      <c r="D7" s="32">
        <v>0</v>
      </c>
      <c r="E7" s="26"/>
      <c r="F7" s="33"/>
      <c r="G7" s="210"/>
      <c r="H7" s="26"/>
      <c r="I7" s="26"/>
      <c r="J7" s="26"/>
      <c r="K7" s="26"/>
      <c r="L7" s="26"/>
      <c r="M7" s="34"/>
      <c r="N7" s="32"/>
      <c r="O7" s="44"/>
    </row>
    <row r="8" spans="1:19" s="79" customFormat="1" ht="21.75" thickBot="1" x14ac:dyDescent="0.4">
      <c r="A8" s="99"/>
      <c r="B8" s="394" t="s">
        <v>4</v>
      </c>
      <c r="C8" s="395"/>
      <c r="D8" s="396"/>
      <c r="E8" s="100"/>
      <c r="F8" s="101">
        <f ca="1">SUM(F$2:OFFSET(F8,-1,0))</f>
        <v>0</v>
      </c>
      <c r="G8" s="210"/>
      <c r="H8" s="100"/>
      <c r="I8" s="100"/>
      <c r="J8" s="100"/>
      <c r="K8" s="100"/>
      <c r="L8" s="100"/>
      <c r="M8" s="102"/>
      <c r="N8" s="32"/>
    </row>
    <row r="9" spans="1:19" s="94" customFormat="1" ht="15.75" x14ac:dyDescent="0.25">
      <c r="A9" s="105"/>
      <c r="B9" s="25"/>
      <c r="C9" s="106"/>
      <c r="D9" s="32"/>
      <c r="E9" s="92"/>
      <c r="F9" s="107"/>
      <c r="G9" s="107"/>
      <c r="H9" s="107"/>
      <c r="I9" s="26"/>
      <c r="J9" s="26"/>
      <c r="K9" s="26"/>
      <c r="L9" s="26"/>
      <c r="M9" s="88"/>
      <c r="N9" s="32"/>
    </row>
    <row r="10" spans="1:19" ht="15.75" x14ac:dyDescent="0.25">
      <c r="C10" s="106"/>
      <c r="G10" s="107"/>
      <c r="H10" s="107"/>
      <c r="I10" s="26"/>
      <c r="J10" s="26"/>
      <c r="K10" s="26"/>
      <c r="L10" s="26"/>
      <c r="N10" s="32"/>
    </row>
    <row r="11" spans="1:19" ht="15.75" x14ac:dyDescent="0.25">
      <c r="G11" s="107"/>
      <c r="H11" s="107"/>
      <c r="I11" s="26"/>
      <c r="J11" s="26"/>
      <c r="K11" s="26"/>
      <c r="L11" s="26"/>
      <c r="N11" s="32"/>
    </row>
    <row r="12" spans="1:19" ht="15.75" x14ac:dyDescent="0.25">
      <c r="G12" s="107"/>
      <c r="H12" s="107"/>
      <c r="I12" s="26"/>
      <c r="J12" s="26"/>
      <c r="K12" s="26"/>
      <c r="L12" s="26"/>
      <c r="N12" s="32"/>
    </row>
    <row r="13" spans="1:19" ht="15.75" x14ac:dyDescent="0.25">
      <c r="F13" s="108" t="e">
        <f ca="1">F8-#REF!</f>
        <v>#REF!</v>
      </c>
      <c r="G13" s="107"/>
      <c r="H13" s="107"/>
      <c r="I13" s="26"/>
      <c r="J13" s="26"/>
      <c r="K13" s="26"/>
      <c r="L13" s="26"/>
      <c r="N13" s="32"/>
    </row>
    <row r="14" spans="1:19" ht="15.75" x14ac:dyDescent="0.25">
      <c r="G14" s="107"/>
      <c r="H14" s="107"/>
      <c r="I14" s="26"/>
      <c r="J14" s="26"/>
      <c r="K14" s="26"/>
      <c r="L14" s="26"/>
      <c r="N14" s="32"/>
    </row>
    <row r="15" spans="1:19" ht="15.75" x14ac:dyDescent="0.25">
      <c r="G15" s="107"/>
      <c r="H15" s="107"/>
      <c r="I15" s="26"/>
      <c r="J15" s="26"/>
      <c r="K15" s="26"/>
      <c r="L15" s="26"/>
    </row>
    <row r="16" spans="1:19" ht="15.75" x14ac:dyDescent="0.25">
      <c r="G16" s="26"/>
      <c r="H16" s="26"/>
      <c r="I16" s="26"/>
      <c r="J16" s="26"/>
      <c r="K16" s="26"/>
      <c r="L16" s="26"/>
    </row>
    <row r="17" spans="1:19" ht="15.75" x14ac:dyDescent="0.25">
      <c r="G17" s="26"/>
      <c r="H17" s="26"/>
      <c r="I17" s="26"/>
      <c r="J17" s="26"/>
      <c r="K17" s="26"/>
      <c r="L17" s="26"/>
    </row>
    <row r="18" spans="1:19" ht="15.75" x14ac:dyDescent="0.25">
      <c r="G18" s="26"/>
      <c r="H18" s="26"/>
      <c r="I18" s="26"/>
      <c r="J18" s="26"/>
      <c r="K18" s="26"/>
      <c r="L18" s="26"/>
    </row>
    <row r="19" spans="1:19" ht="15.75" x14ac:dyDescent="0.25">
      <c r="G19" s="26"/>
      <c r="H19" s="26"/>
      <c r="I19" s="26"/>
      <c r="J19" s="26"/>
      <c r="K19" s="26"/>
      <c r="L19" s="26"/>
    </row>
    <row r="20" spans="1:19" ht="15.75" x14ac:dyDescent="0.25">
      <c r="G20" s="26"/>
      <c r="H20" s="26"/>
      <c r="I20" s="26"/>
      <c r="J20" s="26"/>
      <c r="K20" s="26"/>
      <c r="L20" s="26"/>
    </row>
    <row r="21" spans="1:19" ht="15.75" x14ac:dyDescent="0.25">
      <c r="G21" s="26"/>
      <c r="H21" s="26"/>
      <c r="I21" s="26"/>
      <c r="J21" s="26"/>
      <c r="K21" s="26"/>
      <c r="L21" s="26"/>
    </row>
    <row r="22" spans="1:19" ht="15.75" x14ac:dyDescent="0.25">
      <c r="G22" s="26"/>
      <c r="H22" s="26"/>
      <c r="I22" s="26"/>
      <c r="J22" s="26"/>
      <c r="K22" s="26"/>
      <c r="L22" s="26"/>
    </row>
    <row r="23" spans="1:19" s="110" customFormat="1" ht="15.75" x14ac:dyDescent="0.25">
      <c r="A23" s="25"/>
      <c r="B23" s="25"/>
      <c r="D23" s="36"/>
      <c r="E23" s="25"/>
      <c r="F23" s="108"/>
      <c r="G23" s="26"/>
      <c r="H23" s="26"/>
      <c r="I23" s="26"/>
      <c r="J23" s="26"/>
      <c r="K23" s="26"/>
      <c r="L23" s="26"/>
      <c r="M23" s="88"/>
      <c r="N23" s="88"/>
      <c r="O23" s="25"/>
      <c r="P23" s="25"/>
      <c r="Q23" s="25"/>
      <c r="R23" s="25"/>
      <c r="S23" s="25"/>
    </row>
    <row r="24" spans="1:19" s="110" customFormat="1" ht="15.75" x14ac:dyDescent="0.25">
      <c r="A24" s="25"/>
      <c r="B24" s="25"/>
      <c r="D24" s="36"/>
      <c r="E24" s="25"/>
      <c r="F24" s="108"/>
      <c r="G24" s="26"/>
      <c r="H24" s="26"/>
      <c r="I24" s="26"/>
      <c r="J24" s="26"/>
      <c r="K24" s="26"/>
      <c r="L24" s="26"/>
      <c r="M24" s="88"/>
      <c r="N24" s="88"/>
      <c r="O24" s="25"/>
      <c r="P24" s="25"/>
      <c r="Q24" s="25"/>
      <c r="R24" s="25"/>
      <c r="S24" s="25"/>
    </row>
    <row r="25" spans="1:19" s="110" customFormat="1" ht="15.75" x14ac:dyDescent="0.25">
      <c r="A25" s="25"/>
      <c r="B25" s="25"/>
      <c r="D25" s="36"/>
      <c r="E25" s="25"/>
      <c r="F25" s="108"/>
      <c r="G25" s="26"/>
      <c r="H25" s="26"/>
      <c r="I25" s="26"/>
      <c r="J25" s="26"/>
      <c r="K25" s="26"/>
      <c r="L25" s="26"/>
      <c r="M25" s="88"/>
      <c r="N25" s="88"/>
      <c r="O25" s="25"/>
      <c r="P25" s="25"/>
      <c r="Q25" s="25"/>
      <c r="R25" s="25"/>
      <c r="S25" s="25"/>
    </row>
    <row r="26" spans="1:19" s="110" customFormat="1" ht="15.75" x14ac:dyDescent="0.25">
      <c r="A26" s="25"/>
      <c r="B26" s="25"/>
      <c r="D26" s="36"/>
      <c r="E26" s="25"/>
      <c r="F26" s="108"/>
      <c r="G26" s="26"/>
      <c r="H26" s="26"/>
      <c r="I26" s="26"/>
      <c r="J26" s="26"/>
      <c r="K26" s="26"/>
      <c r="L26" s="26"/>
      <c r="M26" s="88"/>
      <c r="N26" s="88"/>
      <c r="O26" s="25"/>
      <c r="P26" s="25"/>
      <c r="Q26" s="25"/>
      <c r="R26" s="25"/>
      <c r="S26" s="25"/>
    </row>
    <row r="27" spans="1:19" s="110" customFormat="1" ht="15.75" x14ac:dyDescent="0.25">
      <c r="A27" s="25"/>
      <c r="B27" s="25"/>
      <c r="D27" s="36"/>
      <c r="E27" s="25"/>
      <c r="F27" s="108"/>
      <c r="G27" s="26"/>
      <c r="H27" s="26"/>
      <c r="I27" s="26"/>
      <c r="J27" s="26"/>
      <c r="K27" s="26"/>
      <c r="L27" s="26"/>
      <c r="M27" s="88"/>
      <c r="N27" s="88"/>
      <c r="O27" s="25"/>
      <c r="P27" s="25"/>
      <c r="Q27" s="25"/>
      <c r="R27" s="25"/>
      <c r="S27" s="25"/>
    </row>
    <row r="28" spans="1:19" s="110" customFormat="1" ht="15.75" x14ac:dyDescent="0.25">
      <c r="A28" s="25"/>
      <c r="B28" s="25"/>
      <c r="D28" s="36"/>
      <c r="E28" s="25"/>
      <c r="F28" s="108"/>
      <c r="G28" s="26"/>
      <c r="H28" s="26"/>
      <c r="I28" s="26"/>
      <c r="J28" s="26"/>
      <c r="K28" s="26"/>
      <c r="L28" s="26"/>
      <c r="M28" s="88"/>
      <c r="N28" s="88"/>
      <c r="O28" s="25"/>
      <c r="P28" s="25"/>
      <c r="Q28" s="25"/>
      <c r="R28" s="25"/>
      <c r="S28" s="25"/>
    </row>
    <row r="29" spans="1:19" s="110" customFormat="1" ht="15.75" x14ac:dyDescent="0.25">
      <c r="A29" s="25"/>
      <c r="B29" s="25"/>
      <c r="D29" s="36"/>
      <c r="E29" s="25"/>
      <c r="F29" s="108"/>
      <c r="G29" s="26"/>
      <c r="H29" s="26"/>
      <c r="I29" s="26"/>
      <c r="J29" s="26"/>
      <c r="K29" s="26"/>
      <c r="L29" s="26"/>
      <c r="M29" s="88"/>
      <c r="N29" s="88"/>
      <c r="O29" s="25"/>
      <c r="P29" s="25"/>
      <c r="Q29" s="25"/>
      <c r="R29" s="25"/>
      <c r="S29" s="25"/>
    </row>
    <row r="30" spans="1:19" s="110" customFormat="1" ht="15.75" x14ac:dyDescent="0.25">
      <c r="A30" s="25"/>
      <c r="B30" s="25"/>
      <c r="D30" s="36"/>
      <c r="E30" s="25"/>
      <c r="F30" s="108"/>
      <c r="G30" s="26"/>
      <c r="H30" s="26"/>
      <c r="I30" s="26"/>
      <c r="J30" s="26"/>
      <c r="K30" s="26"/>
      <c r="L30" s="26"/>
      <c r="M30" s="88"/>
      <c r="N30" s="88"/>
      <c r="O30" s="25"/>
      <c r="P30" s="25"/>
      <c r="Q30" s="25"/>
      <c r="R30" s="25"/>
      <c r="S30" s="25"/>
    </row>
    <row r="31" spans="1:19" s="110" customFormat="1" ht="15.75" x14ac:dyDescent="0.25">
      <c r="A31" s="25"/>
      <c r="B31" s="25"/>
      <c r="D31" s="36"/>
      <c r="E31" s="25"/>
      <c r="F31" s="108"/>
      <c r="G31" s="26"/>
      <c r="H31" s="26"/>
      <c r="I31" s="26"/>
      <c r="J31" s="26"/>
      <c r="K31" s="26"/>
      <c r="L31" s="26"/>
      <c r="M31" s="88"/>
      <c r="N31" s="88"/>
      <c r="O31" s="25"/>
      <c r="P31" s="25"/>
      <c r="Q31" s="25"/>
      <c r="R31" s="25"/>
      <c r="S31" s="25"/>
    </row>
    <row r="32" spans="1:19" s="110" customFormat="1" ht="15.75" x14ac:dyDescent="0.25">
      <c r="A32" s="25"/>
      <c r="B32" s="25"/>
      <c r="D32" s="36"/>
      <c r="E32" s="25"/>
      <c r="F32" s="108"/>
      <c r="G32" s="26"/>
      <c r="H32" s="26"/>
      <c r="I32" s="26"/>
      <c r="J32" s="26"/>
      <c r="K32" s="26"/>
      <c r="L32" s="26"/>
      <c r="M32" s="88"/>
      <c r="N32" s="88"/>
      <c r="O32" s="25"/>
      <c r="P32" s="25"/>
      <c r="Q32" s="25"/>
      <c r="R32" s="25"/>
      <c r="S32" s="25"/>
    </row>
    <row r="33" spans="1:19" s="110" customFormat="1" ht="15.75" x14ac:dyDescent="0.25">
      <c r="A33" s="25"/>
      <c r="B33" s="25"/>
      <c r="D33" s="36"/>
      <c r="E33" s="25"/>
      <c r="F33" s="108"/>
      <c r="G33" s="26"/>
      <c r="H33" s="26"/>
      <c r="I33" s="26"/>
      <c r="J33" s="26"/>
      <c r="K33" s="26"/>
      <c r="L33" s="26"/>
      <c r="M33" s="88"/>
      <c r="N33" s="88"/>
      <c r="O33" s="25"/>
      <c r="P33" s="25"/>
      <c r="Q33" s="25"/>
      <c r="R33" s="25"/>
      <c r="S33" s="25"/>
    </row>
    <row r="34" spans="1:19" s="110" customFormat="1" ht="15.75" x14ac:dyDescent="0.25">
      <c r="A34" s="25"/>
      <c r="B34" s="25"/>
      <c r="D34" s="36"/>
      <c r="E34" s="25"/>
      <c r="F34" s="108"/>
      <c r="G34" s="26"/>
      <c r="H34" s="26"/>
      <c r="I34" s="26"/>
      <c r="J34" s="26"/>
      <c r="K34" s="26"/>
      <c r="L34" s="26"/>
      <c r="M34" s="88"/>
      <c r="N34" s="88"/>
      <c r="O34" s="25"/>
      <c r="P34" s="25"/>
      <c r="Q34" s="25"/>
      <c r="R34" s="25"/>
      <c r="S34" s="25"/>
    </row>
    <row r="35" spans="1:19" s="110" customFormat="1" ht="15.75" x14ac:dyDescent="0.25">
      <c r="A35" s="25"/>
      <c r="B35" s="25"/>
      <c r="D35" s="36"/>
      <c r="E35" s="25"/>
      <c r="F35" s="108"/>
      <c r="G35" s="26"/>
      <c r="H35" s="26"/>
      <c r="I35" s="26"/>
      <c r="J35" s="26"/>
      <c r="K35" s="26"/>
      <c r="L35" s="26"/>
      <c r="M35" s="88"/>
      <c r="N35" s="88"/>
      <c r="O35" s="25"/>
      <c r="P35" s="25"/>
      <c r="Q35" s="25"/>
      <c r="R35" s="25"/>
      <c r="S35" s="25"/>
    </row>
    <row r="36" spans="1:19" ht="15.75" x14ac:dyDescent="0.25">
      <c r="G36" s="26"/>
      <c r="H36" s="26"/>
      <c r="I36" s="26"/>
      <c r="J36" s="26"/>
      <c r="K36" s="26"/>
      <c r="L36" s="26"/>
    </row>
    <row r="37" spans="1:19" ht="15.75" x14ac:dyDescent="0.25">
      <c r="G37" s="26"/>
      <c r="H37" s="26"/>
      <c r="I37" s="26"/>
      <c r="J37" s="26"/>
      <c r="K37" s="26"/>
      <c r="L37" s="26"/>
    </row>
    <row r="38" spans="1:19" ht="15.75" x14ac:dyDescent="0.25">
      <c r="G38" s="26"/>
      <c r="H38" s="26"/>
      <c r="I38" s="26"/>
      <c r="J38" s="26"/>
      <c r="K38" s="26"/>
      <c r="L38" s="26"/>
    </row>
    <row r="39" spans="1:19" ht="15.75" x14ac:dyDescent="0.25">
      <c r="G39" s="26"/>
      <c r="H39" s="26"/>
      <c r="I39" s="26"/>
      <c r="J39" s="26"/>
      <c r="K39" s="26"/>
      <c r="L39" s="26"/>
    </row>
    <row r="40" spans="1:19" ht="15.75" x14ac:dyDescent="0.25">
      <c r="G40" s="26"/>
      <c r="H40" s="26"/>
      <c r="I40" s="26"/>
      <c r="J40" s="26"/>
      <c r="K40" s="26"/>
      <c r="L40" s="26"/>
    </row>
    <row r="41" spans="1:19" ht="15.75" x14ac:dyDescent="0.25">
      <c r="G41" s="26"/>
      <c r="H41" s="26"/>
      <c r="I41" s="26"/>
      <c r="J41" s="26"/>
      <c r="K41" s="26"/>
      <c r="L41" s="26"/>
    </row>
    <row r="42" spans="1:19" ht="15.75" x14ac:dyDescent="0.25">
      <c r="G42" s="26"/>
      <c r="H42" s="26"/>
      <c r="I42" s="26"/>
      <c r="J42" s="26"/>
      <c r="K42" s="26"/>
      <c r="L42" s="26"/>
    </row>
    <row r="43" spans="1:19" ht="15.75" x14ac:dyDescent="0.25">
      <c r="G43" s="26"/>
      <c r="H43" s="26"/>
      <c r="I43" s="26"/>
      <c r="J43" s="26"/>
      <c r="K43" s="26"/>
      <c r="L43" s="26"/>
    </row>
    <row r="44" spans="1:19" ht="15.75" x14ac:dyDescent="0.25">
      <c r="G44" s="26"/>
      <c r="H44" s="26"/>
      <c r="I44" s="26"/>
      <c r="J44" s="26"/>
      <c r="K44" s="26"/>
      <c r="L44" s="26"/>
    </row>
    <row r="45" spans="1:19" ht="15.75" x14ac:dyDescent="0.25">
      <c r="G45" s="26"/>
      <c r="H45" s="26"/>
      <c r="I45" s="26"/>
      <c r="J45" s="26"/>
      <c r="K45" s="26"/>
      <c r="L45" s="26"/>
    </row>
    <row r="46" spans="1:19" s="88" customFormat="1" ht="15.75" x14ac:dyDescent="0.25">
      <c r="A46" s="25"/>
      <c r="B46" s="25"/>
      <c r="C46" s="110"/>
      <c r="D46" s="36"/>
      <c r="E46" s="25"/>
      <c r="F46" s="108"/>
      <c r="G46" s="26"/>
      <c r="H46" s="26"/>
      <c r="I46" s="26"/>
      <c r="J46" s="26"/>
      <c r="K46" s="26"/>
      <c r="L46" s="26"/>
      <c r="O46" s="25"/>
      <c r="P46" s="25"/>
      <c r="Q46" s="25"/>
      <c r="R46" s="25"/>
      <c r="S46" s="25"/>
    </row>
    <row r="47" spans="1:19" s="88" customFormat="1" ht="15.75" x14ac:dyDescent="0.25">
      <c r="A47" s="25"/>
      <c r="B47" s="25"/>
      <c r="C47" s="110"/>
      <c r="D47" s="36"/>
      <c r="E47" s="25"/>
      <c r="F47" s="108"/>
      <c r="G47" s="26"/>
      <c r="H47" s="26"/>
      <c r="I47" s="26"/>
      <c r="J47" s="26"/>
      <c r="K47" s="26"/>
      <c r="L47" s="26"/>
      <c r="O47" s="25"/>
      <c r="P47" s="25"/>
      <c r="Q47" s="25"/>
      <c r="R47" s="25"/>
      <c r="S47" s="25"/>
    </row>
    <row r="48" spans="1:19" s="88" customFormat="1" ht="15.75" x14ac:dyDescent="0.25">
      <c r="A48" s="25"/>
      <c r="B48" s="25"/>
      <c r="C48" s="110"/>
      <c r="D48" s="36"/>
      <c r="E48" s="25"/>
      <c r="F48" s="108"/>
      <c r="G48" s="26"/>
      <c r="H48" s="26"/>
      <c r="I48" s="26"/>
      <c r="J48" s="26"/>
      <c r="K48" s="26"/>
      <c r="L48" s="26"/>
      <c r="O48" s="25"/>
      <c r="P48" s="25"/>
      <c r="Q48" s="25"/>
      <c r="R48" s="25"/>
      <c r="S48" s="25"/>
    </row>
    <row r="49" spans="1:19" s="88" customFormat="1" ht="15.75" x14ac:dyDescent="0.25">
      <c r="A49" s="25"/>
      <c r="B49" s="25"/>
      <c r="C49" s="110"/>
      <c r="D49" s="36"/>
      <c r="E49" s="25"/>
      <c r="F49" s="108"/>
      <c r="G49" s="26"/>
      <c r="H49" s="26"/>
      <c r="I49" s="26"/>
      <c r="J49" s="26"/>
      <c r="K49" s="26"/>
      <c r="L49" s="26"/>
      <c r="O49" s="25"/>
      <c r="P49" s="25"/>
      <c r="Q49" s="25"/>
      <c r="R49" s="25"/>
      <c r="S49" s="25"/>
    </row>
    <row r="50" spans="1:19" s="88" customFormat="1" ht="15.75" x14ac:dyDescent="0.25">
      <c r="A50" s="25"/>
      <c r="B50" s="25"/>
      <c r="C50" s="110"/>
      <c r="D50" s="36"/>
      <c r="E50" s="25"/>
      <c r="F50" s="108"/>
      <c r="G50" s="26"/>
      <c r="H50" s="26"/>
      <c r="I50" s="26"/>
      <c r="J50" s="26"/>
      <c r="K50" s="26"/>
      <c r="L50" s="26"/>
      <c r="O50" s="25"/>
      <c r="P50" s="25"/>
      <c r="Q50" s="25"/>
      <c r="R50" s="25"/>
      <c r="S50" s="25"/>
    </row>
    <row r="51" spans="1:19" s="88" customFormat="1" ht="15.75" x14ac:dyDescent="0.25">
      <c r="A51" s="25"/>
      <c r="B51" s="25"/>
      <c r="C51" s="110"/>
      <c r="D51" s="36"/>
      <c r="E51" s="25"/>
      <c r="F51" s="108"/>
      <c r="G51" s="26"/>
      <c r="H51" s="26"/>
      <c r="I51" s="26"/>
      <c r="J51" s="26"/>
      <c r="K51" s="26"/>
      <c r="L51" s="26"/>
      <c r="O51" s="25"/>
      <c r="P51" s="25"/>
      <c r="Q51" s="25"/>
      <c r="R51" s="25"/>
      <c r="S51" s="25"/>
    </row>
    <row r="52" spans="1:19" s="88" customFormat="1" ht="15.75" x14ac:dyDescent="0.25">
      <c r="A52" s="25"/>
      <c r="B52" s="25"/>
      <c r="C52" s="110"/>
      <c r="D52" s="36"/>
      <c r="E52" s="25"/>
      <c r="F52" s="108"/>
      <c r="G52" s="26"/>
      <c r="H52" s="26"/>
      <c r="I52" s="26"/>
      <c r="J52" s="26"/>
      <c r="K52" s="26"/>
      <c r="L52" s="26"/>
      <c r="O52" s="25"/>
      <c r="P52" s="25"/>
      <c r="Q52" s="25"/>
      <c r="R52" s="25"/>
      <c r="S52" s="25"/>
    </row>
    <row r="53" spans="1:19" s="88" customFormat="1" ht="15.75" x14ac:dyDescent="0.25">
      <c r="A53" s="25"/>
      <c r="B53" s="25"/>
      <c r="C53" s="110"/>
      <c r="D53" s="36"/>
      <c r="E53" s="25"/>
      <c r="F53" s="108"/>
      <c r="G53" s="26"/>
      <c r="H53" s="26"/>
      <c r="I53" s="26"/>
      <c r="J53" s="26"/>
      <c r="K53" s="26"/>
      <c r="L53" s="26"/>
      <c r="O53" s="25"/>
      <c r="P53" s="25"/>
      <c r="Q53" s="25"/>
      <c r="R53" s="25"/>
      <c r="S53" s="25"/>
    </row>
    <row r="54" spans="1:19" s="88" customFormat="1" ht="15.75" x14ac:dyDescent="0.25">
      <c r="A54" s="25"/>
      <c r="B54" s="25"/>
      <c r="C54" s="110"/>
      <c r="D54" s="36"/>
      <c r="E54" s="25"/>
      <c r="F54" s="108"/>
      <c r="G54" s="26"/>
      <c r="H54" s="26"/>
      <c r="I54" s="26"/>
      <c r="J54" s="26"/>
      <c r="K54" s="26"/>
      <c r="L54" s="26"/>
      <c r="O54" s="25"/>
      <c r="P54" s="25"/>
      <c r="Q54" s="25"/>
      <c r="R54" s="25"/>
      <c r="S54" s="25"/>
    </row>
    <row r="55" spans="1:19" s="88" customFormat="1" ht="15.75" x14ac:dyDescent="0.25">
      <c r="A55" s="25"/>
      <c r="B55" s="25"/>
      <c r="C55" s="110"/>
      <c r="D55" s="36"/>
      <c r="E55" s="25"/>
      <c r="F55" s="108"/>
      <c r="G55" s="26"/>
      <c r="H55" s="26"/>
      <c r="I55" s="26"/>
      <c r="J55" s="26"/>
      <c r="K55" s="26"/>
      <c r="L55" s="26"/>
      <c r="O55" s="25"/>
      <c r="P55" s="25"/>
      <c r="Q55" s="25"/>
      <c r="R55" s="25"/>
      <c r="S55" s="25"/>
    </row>
    <row r="56" spans="1:19" s="88" customFormat="1" ht="15.75" x14ac:dyDescent="0.25">
      <c r="A56" s="25"/>
      <c r="B56" s="25"/>
      <c r="C56" s="110"/>
      <c r="D56" s="36"/>
      <c r="E56" s="25"/>
      <c r="F56" s="108"/>
      <c r="G56" s="26"/>
      <c r="H56" s="26"/>
      <c r="I56" s="26"/>
      <c r="J56" s="26"/>
      <c r="K56" s="26"/>
      <c r="L56" s="26"/>
      <c r="O56" s="25"/>
      <c r="P56" s="25"/>
      <c r="Q56" s="25"/>
      <c r="R56" s="25"/>
      <c r="S56" s="25"/>
    </row>
    <row r="57" spans="1:19" s="88" customFormat="1" ht="15.75" x14ac:dyDescent="0.25">
      <c r="A57" s="25"/>
      <c r="B57" s="25"/>
      <c r="C57" s="110"/>
      <c r="D57" s="36"/>
      <c r="E57" s="25"/>
      <c r="F57" s="108"/>
      <c r="G57" s="26"/>
      <c r="H57" s="26"/>
      <c r="I57" s="26"/>
      <c r="J57" s="26"/>
      <c r="K57" s="26"/>
      <c r="L57" s="26"/>
      <c r="O57" s="25"/>
      <c r="P57" s="25"/>
      <c r="Q57" s="25"/>
      <c r="R57" s="25"/>
      <c r="S57" s="25"/>
    </row>
    <row r="58" spans="1:19" s="88" customFormat="1" ht="15.75" x14ac:dyDescent="0.25">
      <c r="A58" s="25"/>
      <c r="B58" s="25"/>
      <c r="C58" s="110"/>
      <c r="D58" s="36"/>
      <c r="E58" s="25"/>
      <c r="F58" s="108"/>
      <c r="G58" s="26"/>
      <c r="H58" s="26"/>
      <c r="I58" s="26"/>
      <c r="J58" s="26"/>
      <c r="K58" s="26"/>
      <c r="L58" s="26"/>
      <c r="O58" s="25"/>
      <c r="P58" s="25"/>
      <c r="Q58" s="25"/>
      <c r="R58" s="25"/>
      <c r="S58" s="25"/>
    </row>
    <row r="59" spans="1:19" s="88" customFormat="1" ht="15.75" x14ac:dyDescent="0.25">
      <c r="A59" s="25"/>
      <c r="B59" s="25"/>
      <c r="C59" s="110"/>
      <c r="D59" s="36"/>
      <c r="E59" s="25"/>
      <c r="F59" s="108"/>
      <c r="G59" s="26"/>
      <c r="H59" s="26"/>
      <c r="I59" s="26"/>
      <c r="J59" s="26"/>
      <c r="K59" s="26"/>
      <c r="L59" s="26"/>
      <c r="O59" s="25"/>
      <c r="P59" s="25"/>
      <c r="Q59" s="25"/>
      <c r="R59" s="25"/>
      <c r="S59" s="25"/>
    </row>
    <row r="60" spans="1:19" s="88" customFormat="1" ht="15.75" x14ac:dyDescent="0.25">
      <c r="A60" s="25"/>
      <c r="B60" s="25"/>
      <c r="C60" s="110"/>
      <c r="D60" s="36"/>
      <c r="E60" s="25"/>
      <c r="F60" s="108"/>
      <c r="G60" s="26"/>
      <c r="H60" s="26"/>
      <c r="I60" s="26"/>
      <c r="J60" s="26"/>
      <c r="K60" s="26"/>
      <c r="L60" s="26"/>
      <c r="O60" s="25"/>
      <c r="P60" s="25"/>
      <c r="Q60" s="25"/>
      <c r="R60" s="25"/>
      <c r="S60" s="25"/>
    </row>
    <row r="61" spans="1:19" s="88" customFormat="1" ht="15.75" x14ac:dyDescent="0.25">
      <c r="A61" s="25"/>
      <c r="B61" s="25"/>
      <c r="C61" s="110"/>
      <c r="D61" s="36"/>
      <c r="E61" s="25"/>
      <c r="F61" s="108"/>
      <c r="G61" s="26"/>
      <c r="H61" s="26"/>
      <c r="I61" s="26"/>
      <c r="J61" s="26"/>
      <c r="K61" s="26"/>
      <c r="L61" s="26"/>
      <c r="O61" s="25"/>
      <c r="P61" s="25"/>
      <c r="Q61" s="25"/>
      <c r="R61" s="25"/>
      <c r="S61" s="25"/>
    </row>
    <row r="62" spans="1:19" s="88" customFormat="1" ht="15.75" x14ac:dyDescent="0.25">
      <c r="A62" s="25"/>
      <c r="B62" s="25"/>
      <c r="C62" s="110"/>
      <c r="D62" s="36"/>
      <c r="E62" s="25"/>
      <c r="F62" s="108"/>
      <c r="G62" s="26"/>
      <c r="H62" s="26"/>
      <c r="I62" s="26"/>
      <c r="J62" s="26"/>
      <c r="K62" s="26"/>
      <c r="L62" s="26"/>
      <c r="O62" s="25"/>
      <c r="P62" s="25"/>
      <c r="Q62" s="25"/>
      <c r="R62" s="25"/>
      <c r="S62" s="25"/>
    </row>
    <row r="63" spans="1:19" s="88" customFormat="1" ht="15.75" x14ac:dyDescent="0.25">
      <c r="A63" s="25"/>
      <c r="B63" s="25"/>
      <c r="C63" s="110"/>
      <c r="D63" s="36"/>
      <c r="E63" s="25"/>
      <c r="F63" s="108"/>
      <c r="G63" s="26"/>
      <c r="H63" s="26"/>
      <c r="I63" s="26"/>
      <c r="J63" s="26"/>
      <c r="K63" s="26"/>
      <c r="L63" s="26"/>
      <c r="O63" s="25"/>
      <c r="P63" s="25"/>
      <c r="Q63" s="25"/>
      <c r="R63" s="25"/>
      <c r="S63" s="25"/>
    </row>
    <row r="64" spans="1:19" s="88" customFormat="1" ht="15.75" x14ac:dyDescent="0.25">
      <c r="A64" s="25"/>
      <c r="B64" s="25"/>
      <c r="C64" s="110"/>
      <c r="D64" s="36"/>
      <c r="E64" s="25"/>
      <c r="F64" s="108"/>
      <c r="G64" s="26"/>
      <c r="H64" s="26"/>
      <c r="I64" s="26"/>
      <c r="J64" s="26"/>
      <c r="K64" s="26"/>
      <c r="L64" s="26"/>
      <c r="O64" s="25"/>
      <c r="P64" s="25"/>
      <c r="Q64" s="25"/>
      <c r="R64" s="25"/>
      <c r="S64" s="25"/>
    </row>
    <row r="65" spans="1:19" s="88" customFormat="1" ht="15.75" x14ac:dyDescent="0.25">
      <c r="A65" s="25"/>
      <c r="B65" s="25"/>
      <c r="C65" s="110"/>
      <c r="D65" s="36"/>
      <c r="E65" s="25"/>
      <c r="F65" s="108"/>
      <c r="G65" s="26"/>
      <c r="H65" s="26"/>
      <c r="I65" s="26"/>
      <c r="J65" s="26"/>
      <c r="K65" s="26"/>
      <c r="L65" s="26"/>
      <c r="O65" s="25"/>
      <c r="P65" s="25"/>
      <c r="Q65" s="25"/>
      <c r="R65" s="25"/>
      <c r="S65" s="25"/>
    </row>
    <row r="66" spans="1:19" s="88" customFormat="1" ht="15.75" x14ac:dyDescent="0.25">
      <c r="A66" s="25"/>
      <c r="B66" s="25"/>
      <c r="C66" s="110"/>
      <c r="D66" s="36"/>
      <c r="E66" s="25"/>
      <c r="F66" s="108"/>
      <c r="G66" s="26"/>
      <c r="H66" s="26"/>
      <c r="I66" s="26"/>
      <c r="J66" s="26"/>
      <c r="K66" s="26"/>
      <c r="L66" s="26"/>
      <c r="O66" s="25"/>
      <c r="P66" s="25"/>
      <c r="Q66" s="25"/>
      <c r="R66" s="25"/>
      <c r="S66" s="25"/>
    </row>
    <row r="67" spans="1:19" s="88" customFormat="1" ht="15.75" x14ac:dyDescent="0.25">
      <c r="A67" s="25"/>
      <c r="B67" s="25"/>
      <c r="C67" s="110"/>
      <c r="D67" s="36"/>
      <c r="E67" s="25"/>
      <c r="F67" s="108"/>
      <c r="G67" s="26"/>
      <c r="H67" s="26"/>
      <c r="I67" s="26"/>
      <c r="J67" s="26"/>
      <c r="K67" s="26"/>
      <c r="L67" s="26"/>
      <c r="O67" s="25"/>
      <c r="P67" s="25"/>
      <c r="Q67" s="25"/>
      <c r="R67" s="25"/>
      <c r="S67" s="25"/>
    </row>
    <row r="68" spans="1:19" s="88" customFormat="1" ht="15.75" x14ac:dyDescent="0.25">
      <c r="A68" s="25"/>
      <c r="B68" s="25"/>
      <c r="C68" s="110"/>
      <c r="D68" s="36"/>
      <c r="E68" s="25"/>
      <c r="F68" s="108"/>
      <c r="G68" s="26"/>
      <c r="H68" s="26"/>
      <c r="I68" s="26"/>
      <c r="J68" s="26"/>
      <c r="K68" s="26"/>
      <c r="L68" s="26"/>
      <c r="O68" s="25"/>
      <c r="P68" s="25"/>
      <c r="Q68" s="25"/>
      <c r="R68" s="25"/>
      <c r="S68" s="25"/>
    </row>
    <row r="69" spans="1:19" s="88" customFormat="1" ht="15.75" x14ac:dyDescent="0.25">
      <c r="A69" s="25"/>
      <c r="B69" s="25"/>
      <c r="C69" s="110"/>
      <c r="D69" s="36"/>
      <c r="E69" s="25"/>
      <c r="F69" s="108"/>
      <c r="G69" s="26"/>
      <c r="H69" s="26"/>
      <c r="I69" s="26"/>
      <c r="J69" s="26"/>
      <c r="K69" s="26"/>
      <c r="L69" s="26"/>
      <c r="O69" s="25"/>
      <c r="P69" s="25"/>
      <c r="Q69" s="25"/>
      <c r="R69" s="25"/>
      <c r="S69" s="25"/>
    </row>
    <row r="70" spans="1:19" s="88" customFormat="1" ht="15.75" x14ac:dyDescent="0.25">
      <c r="A70" s="25"/>
      <c r="B70" s="25"/>
      <c r="C70" s="110"/>
      <c r="D70" s="36"/>
      <c r="E70" s="25"/>
      <c r="F70" s="108"/>
      <c r="G70" s="26"/>
      <c r="H70" s="26"/>
      <c r="I70" s="26"/>
      <c r="J70" s="26"/>
      <c r="K70" s="26"/>
      <c r="L70" s="26"/>
      <c r="O70" s="25"/>
      <c r="P70" s="25"/>
      <c r="Q70" s="25"/>
      <c r="R70" s="25"/>
      <c r="S70" s="25"/>
    </row>
    <row r="71" spans="1:19" s="88" customFormat="1" ht="15.75" x14ac:dyDescent="0.25">
      <c r="A71" s="25"/>
      <c r="B71" s="25"/>
      <c r="C71" s="110"/>
      <c r="D71" s="36"/>
      <c r="E71" s="25"/>
      <c r="F71" s="108"/>
      <c r="G71" s="26"/>
      <c r="H71" s="26"/>
      <c r="I71" s="26"/>
      <c r="J71" s="26"/>
      <c r="K71" s="26"/>
      <c r="L71" s="26"/>
      <c r="O71" s="25"/>
      <c r="P71" s="25"/>
      <c r="Q71" s="25"/>
      <c r="R71" s="25"/>
      <c r="S71" s="25"/>
    </row>
    <row r="72" spans="1:19" s="88" customFormat="1" ht="15.75" x14ac:dyDescent="0.25">
      <c r="A72" s="25"/>
      <c r="B72" s="25"/>
      <c r="C72" s="110"/>
      <c r="D72" s="36"/>
      <c r="E72" s="25"/>
      <c r="F72" s="108"/>
      <c r="G72" s="26"/>
      <c r="H72" s="26"/>
      <c r="I72" s="26"/>
      <c r="J72" s="26"/>
      <c r="K72" s="26"/>
      <c r="L72" s="26"/>
      <c r="O72" s="25"/>
      <c r="P72" s="25"/>
      <c r="Q72" s="25"/>
      <c r="R72" s="25"/>
      <c r="S72" s="25"/>
    </row>
    <row r="73" spans="1:19" s="88" customFormat="1" ht="15.75" x14ac:dyDescent="0.25">
      <c r="A73" s="25"/>
      <c r="B73" s="25"/>
      <c r="C73" s="110"/>
      <c r="D73" s="36"/>
      <c r="E73" s="25"/>
      <c r="F73" s="108"/>
      <c r="G73" s="26"/>
      <c r="H73" s="26"/>
      <c r="I73" s="26"/>
      <c r="J73" s="26"/>
      <c r="K73" s="26"/>
      <c r="L73" s="26"/>
      <c r="O73" s="25"/>
      <c r="P73" s="25"/>
      <c r="Q73" s="25"/>
      <c r="R73" s="25"/>
      <c r="S73" s="25"/>
    </row>
    <row r="74" spans="1:19" s="88" customFormat="1" ht="15.75" x14ac:dyDescent="0.25">
      <c r="A74" s="25"/>
      <c r="B74" s="25"/>
      <c r="C74" s="110"/>
      <c r="D74" s="36"/>
      <c r="E74" s="25"/>
      <c r="F74" s="108"/>
      <c r="G74" s="26"/>
      <c r="H74" s="26"/>
      <c r="I74" s="26"/>
      <c r="J74" s="26"/>
      <c r="K74" s="26"/>
      <c r="L74" s="26"/>
      <c r="O74" s="25"/>
      <c r="P74" s="25"/>
      <c r="Q74" s="25"/>
      <c r="R74" s="25"/>
      <c r="S74" s="25"/>
    </row>
    <row r="75" spans="1:19" s="88" customFormat="1" ht="15.75" x14ac:dyDescent="0.25">
      <c r="A75" s="25"/>
      <c r="B75" s="25"/>
      <c r="C75" s="110"/>
      <c r="D75" s="36"/>
      <c r="E75" s="25"/>
      <c r="F75" s="108"/>
      <c r="G75" s="26"/>
      <c r="H75" s="26"/>
      <c r="I75" s="26"/>
      <c r="J75" s="26"/>
      <c r="K75" s="26"/>
      <c r="L75" s="26"/>
      <c r="O75" s="25"/>
      <c r="P75" s="25"/>
      <c r="Q75" s="25"/>
      <c r="R75" s="25"/>
      <c r="S75" s="25"/>
    </row>
    <row r="76" spans="1:19" s="88" customFormat="1" ht="15.75" x14ac:dyDescent="0.25">
      <c r="A76" s="25"/>
      <c r="B76" s="25"/>
      <c r="C76" s="110"/>
      <c r="D76" s="36"/>
      <c r="E76" s="25"/>
      <c r="F76" s="108"/>
      <c r="G76" s="26"/>
      <c r="H76" s="26"/>
      <c r="I76" s="26"/>
      <c r="J76" s="26"/>
      <c r="K76" s="26"/>
      <c r="L76" s="26"/>
      <c r="O76" s="25"/>
      <c r="P76" s="25"/>
      <c r="Q76" s="25"/>
      <c r="R76" s="25"/>
      <c r="S76" s="25"/>
    </row>
    <row r="77" spans="1:19" s="88" customFormat="1" ht="15.75" x14ac:dyDescent="0.25">
      <c r="A77" s="25"/>
      <c r="B77" s="25"/>
      <c r="C77" s="110"/>
      <c r="D77" s="36"/>
      <c r="E77" s="25"/>
      <c r="F77" s="108"/>
      <c r="G77" s="26"/>
      <c r="H77" s="26"/>
      <c r="I77" s="26"/>
      <c r="J77" s="26"/>
      <c r="K77" s="26"/>
      <c r="L77" s="26"/>
      <c r="O77" s="25"/>
      <c r="P77" s="25"/>
      <c r="Q77" s="25"/>
      <c r="R77" s="25"/>
      <c r="S77" s="25"/>
    </row>
    <row r="78" spans="1:19" s="88" customFormat="1" ht="15.75" x14ac:dyDescent="0.25">
      <c r="A78" s="25"/>
      <c r="B78" s="25"/>
      <c r="C78" s="110"/>
      <c r="D78" s="36"/>
      <c r="E78" s="25"/>
      <c r="F78" s="108"/>
      <c r="G78" s="26"/>
      <c r="H78" s="26"/>
      <c r="I78" s="26"/>
      <c r="J78" s="26"/>
      <c r="K78" s="26"/>
      <c r="L78" s="26"/>
      <c r="O78" s="25"/>
      <c r="P78" s="25"/>
      <c r="Q78" s="25"/>
      <c r="R78" s="25"/>
      <c r="S78" s="25"/>
    </row>
    <row r="79" spans="1:19" s="88" customFormat="1" ht="15.75" x14ac:dyDescent="0.25">
      <c r="A79" s="25"/>
      <c r="B79" s="25"/>
      <c r="C79" s="110"/>
      <c r="D79" s="36"/>
      <c r="E79" s="25"/>
      <c r="F79" s="108"/>
      <c r="G79" s="26"/>
      <c r="H79" s="26"/>
      <c r="I79" s="26"/>
      <c r="J79" s="26"/>
      <c r="K79" s="26"/>
      <c r="L79" s="26"/>
      <c r="O79" s="25"/>
      <c r="P79" s="25"/>
      <c r="Q79" s="25"/>
      <c r="R79" s="25"/>
      <c r="S79" s="25"/>
    </row>
    <row r="80" spans="1:19" s="88" customFormat="1" ht="15.75" x14ac:dyDescent="0.25">
      <c r="A80" s="25"/>
      <c r="B80" s="25"/>
      <c r="C80" s="110"/>
      <c r="D80" s="36"/>
      <c r="E80" s="25"/>
      <c r="F80" s="108"/>
      <c r="G80" s="26"/>
      <c r="H80" s="26"/>
      <c r="I80" s="26"/>
      <c r="J80" s="26"/>
      <c r="K80" s="26"/>
      <c r="L80" s="26"/>
      <c r="O80" s="25"/>
      <c r="P80" s="25"/>
      <c r="Q80" s="25"/>
      <c r="R80" s="25"/>
      <c r="S80" s="25"/>
    </row>
    <row r="81" spans="1:19" s="88" customFormat="1" ht="15.75" x14ac:dyDescent="0.25">
      <c r="A81" s="25"/>
      <c r="B81" s="25"/>
      <c r="C81" s="110"/>
      <c r="D81" s="36"/>
      <c r="E81" s="25"/>
      <c r="F81" s="108"/>
      <c r="G81" s="26"/>
      <c r="H81" s="26"/>
      <c r="I81" s="26"/>
      <c r="J81" s="26"/>
      <c r="K81" s="26"/>
      <c r="L81" s="26"/>
      <c r="O81" s="25"/>
      <c r="P81" s="25"/>
      <c r="Q81" s="25"/>
      <c r="R81" s="25"/>
      <c r="S81" s="25"/>
    </row>
    <row r="82" spans="1:19" s="88" customFormat="1" ht="15.75" x14ac:dyDescent="0.25">
      <c r="A82" s="25"/>
      <c r="B82" s="25"/>
      <c r="C82" s="110"/>
      <c r="D82" s="36"/>
      <c r="E82" s="25"/>
      <c r="F82" s="108"/>
      <c r="G82" s="26"/>
      <c r="H82" s="26"/>
      <c r="I82" s="26"/>
      <c r="J82" s="26"/>
      <c r="K82" s="26"/>
      <c r="L82" s="26"/>
      <c r="O82" s="25"/>
      <c r="P82" s="25"/>
      <c r="Q82" s="25"/>
      <c r="R82" s="25"/>
      <c r="S82" s="25"/>
    </row>
    <row r="83" spans="1:19" s="88" customFormat="1" ht="15.75" x14ac:dyDescent="0.25">
      <c r="A83" s="25"/>
      <c r="B83" s="25"/>
      <c r="C83" s="110"/>
      <c r="D83" s="36"/>
      <c r="E83" s="25"/>
      <c r="F83" s="108"/>
      <c r="G83" s="26"/>
      <c r="H83" s="26"/>
      <c r="I83" s="26"/>
      <c r="J83" s="26"/>
      <c r="K83" s="26"/>
      <c r="L83" s="26"/>
      <c r="O83" s="25"/>
      <c r="P83" s="25"/>
      <c r="Q83" s="25"/>
      <c r="R83" s="25"/>
      <c r="S83" s="25"/>
    </row>
    <row r="84" spans="1:19" s="88" customFormat="1" ht="15.75" x14ac:dyDescent="0.25">
      <c r="A84" s="25"/>
      <c r="B84" s="25"/>
      <c r="C84" s="110"/>
      <c r="D84" s="36"/>
      <c r="E84" s="25"/>
      <c r="F84" s="108"/>
      <c r="G84" s="26"/>
      <c r="H84" s="26"/>
      <c r="I84" s="26"/>
      <c r="J84" s="26"/>
      <c r="K84" s="26"/>
      <c r="L84" s="26"/>
      <c r="O84" s="25"/>
      <c r="P84" s="25"/>
      <c r="Q84" s="25"/>
      <c r="R84" s="25"/>
      <c r="S84" s="25"/>
    </row>
    <row r="85" spans="1:19" s="88" customFormat="1" ht="15.75" x14ac:dyDescent="0.25">
      <c r="A85" s="25"/>
      <c r="B85" s="25"/>
      <c r="C85" s="110"/>
      <c r="D85" s="36"/>
      <c r="E85" s="25"/>
      <c r="F85" s="108"/>
      <c r="G85" s="26"/>
      <c r="H85" s="26"/>
      <c r="I85" s="26"/>
      <c r="J85" s="26"/>
      <c r="K85" s="26"/>
      <c r="L85" s="26"/>
      <c r="O85" s="25"/>
      <c r="P85" s="25"/>
      <c r="Q85" s="25"/>
      <c r="R85" s="25"/>
      <c r="S85" s="25"/>
    </row>
    <row r="86" spans="1:19" s="88" customFormat="1" ht="15.75" x14ac:dyDescent="0.25">
      <c r="A86" s="25"/>
      <c r="B86" s="25"/>
      <c r="C86" s="110"/>
      <c r="D86" s="36"/>
      <c r="E86" s="25"/>
      <c r="F86" s="108"/>
      <c r="G86" s="26"/>
      <c r="H86" s="26"/>
      <c r="I86" s="26"/>
      <c r="J86" s="26"/>
      <c r="K86" s="26"/>
      <c r="L86" s="26"/>
      <c r="O86" s="25"/>
      <c r="P86" s="25"/>
      <c r="Q86" s="25"/>
      <c r="R86" s="25"/>
      <c r="S86" s="25"/>
    </row>
    <row r="87" spans="1:19" s="88" customFormat="1" ht="15.75" x14ac:dyDescent="0.25">
      <c r="A87" s="25"/>
      <c r="B87" s="25"/>
      <c r="C87" s="110"/>
      <c r="D87" s="36"/>
      <c r="E87" s="25"/>
      <c r="F87" s="108"/>
      <c r="G87" s="26"/>
      <c r="H87" s="26"/>
      <c r="I87" s="26"/>
      <c r="J87" s="26"/>
      <c r="K87" s="26"/>
      <c r="L87" s="26"/>
      <c r="O87" s="25"/>
      <c r="P87" s="25"/>
      <c r="Q87" s="25"/>
      <c r="R87" s="25"/>
      <c r="S87" s="25"/>
    </row>
    <row r="88" spans="1:19" s="88" customFormat="1" ht="15.75" x14ac:dyDescent="0.25">
      <c r="A88" s="25"/>
      <c r="B88" s="25"/>
      <c r="C88" s="110"/>
      <c r="D88" s="36"/>
      <c r="E88" s="25"/>
      <c r="F88" s="108"/>
      <c r="G88" s="26"/>
      <c r="H88" s="26"/>
      <c r="I88" s="26"/>
      <c r="J88" s="26"/>
      <c r="K88" s="26"/>
      <c r="L88" s="26"/>
      <c r="O88" s="25"/>
      <c r="P88" s="25"/>
      <c r="Q88" s="25"/>
      <c r="R88" s="25"/>
      <c r="S88" s="25"/>
    </row>
    <row r="89" spans="1:19" s="88" customFormat="1" ht="15.75" x14ac:dyDescent="0.25">
      <c r="A89" s="25"/>
      <c r="B89" s="25"/>
      <c r="C89" s="110"/>
      <c r="D89" s="36"/>
      <c r="E89" s="25"/>
      <c r="F89" s="108"/>
      <c r="G89" s="26"/>
      <c r="H89" s="26"/>
      <c r="I89" s="26"/>
      <c r="J89" s="26"/>
      <c r="K89" s="26"/>
      <c r="L89" s="26"/>
      <c r="O89" s="25"/>
      <c r="P89" s="25"/>
      <c r="Q89" s="25"/>
      <c r="R89" s="25"/>
      <c r="S89" s="25"/>
    </row>
    <row r="90" spans="1:19" s="88" customFormat="1" ht="15.75" x14ac:dyDescent="0.25">
      <c r="A90" s="25"/>
      <c r="B90" s="25"/>
      <c r="C90" s="110"/>
      <c r="D90" s="36"/>
      <c r="E90" s="25"/>
      <c r="F90" s="108"/>
      <c r="G90" s="26"/>
      <c r="H90" s="26"/>
      <c r="I90" s="26"/>
      <c r="J90" s="26"/>
      <c r="K90" s="26"/>
      <c r="L90" s="26"/>
      <c r="O90" s="25"/>
      <c r="P90" s="25"/>
      <c r="Q90" s="25"/>
      <c r="R90" s="25"/>
      <c r="S90" s="25"/>
    </row>
    <row r="91" spans="1:19" s="88" customFormat="1" ht="15.75" x14ac:dyDescent="0.25">
      <c r="A91" s="25"/>
      <c r="B91" s="25"/>
      <c r="C91" s="110"/>
      <c r="D91" s="36"/>
      <c r="E91" s="25"/>
      <c r="F91" s="108"/>
      <c r="G91" s="26"/>
      <c r="H91" s="26"/>
      <c r="I91" s="26"/>
      <c r="J91" s="26"/>
      <c r="K91" s="26"/>
      <c r="L91" s="26"/>
      <c r="O91" s="25"/>
      <c r="P91" s="25"/>
      <c r="Q91" s="25"/>
      <c r="R91" s="25"/>
      <c r="S91" s="25"/>
    </row>
    <row r="92" spans="1:19" s="88" customFormat="1" ht="15.75" x14ac:dyDescent="0.25">
      <c r="A92" s="25"/>
      <c r="B92" s="25"/>
      <c r="C92" s="110"/>
      <c r="D92" s="36"/>
      <c r="E92" s="25"/>
      <c r="F92" s="108"/>
      <c r="G92" s="26"/>
      <c r="H92" s="26"/>
      <c r="I92" s="26"/>
      <c r="J92" s="26"/>
      <c r="K92" s="26"/>
      <c r="L92" s="26"/>
      <c r="O92" s="25"/>
      <c r="P92" s="25"/>
      <c r="Q92" s="25"/>
      <c r="R92" s="25"/>
      <c r="S92" s="25"/>
    </row>
    <row r="93" spans="1:19" s="88" customFormat="1" ht="15.75" x14ac:dyDescent="0.25">
      <c r="A93" s="25"/>
      <c r="B93" s="25"/>
      <c r="C93" s="110"/>
      <c r="D93" s="36"/>
      <c r="E93" s="25"/>
      <c r="F93" s="108"/>
      <c r="G93" s="26"/>
      <c r="H93" s="26"/>
      <c r="I93" s="26"/>
      <c r="J93" s="26"/>
      <c r="K93" s="26"/>
      <c r="L93" s="26"/>
      <c r="O93" s="25"/>
      <c r="P93" s="25"/>
      <c r="Q93" s="25"/>
      <c r="R93" s="25"/>
      <c r="S93" s="25"/>
    </row>
    <row r="94" spans="1:19" s="88" customFormat="1" ht="15.75" x14ac:dyDescent="0.25">
      <c r="A94" s="25"/>
      <c r="B94" s="25"/>
      <c r="C94" s="110"/>
      <c r="D94" s="36"/>
      <c r="E94" s="25"/>
      <c r="F94" s="108"/>
      <c r="G94" s="26"/>
      <c r="H94" s="26"/>
      <c r="I94" s="26"/>
      <c r="J94" s="26"/>
      <c r="K94" s="26"/>
      <c r="L94" s="26"/>
      <c r="O94" s="25"/>
      <c r="P94" s="25"/>
      <c r="Q94" s="25"/>
      <c r="R94" s="25"/>
      <c r="S94" s="25"/>
    </row>
    <row r="95" spans="1:19" s="88" customFormat="1" ht="15.75" x14ac:dyDescent="0.25">
      <c r="A95" s="25"/>
      <c r="B95" s="25"/>
      <c r="C95" s="110"/>
      <c r="D95" s="36"/>
      <c r="E95" s="25"/>
      <c r="F95" s="108"/>
      <c r="G95" s="26"/>
      <c r="H95" s="26"/>
      <c r="I95" s="26"/>
      <c r="J95" s="26"/>
      <c r="K95" s="26"/>
      <c r="L95" s="26"/>
      <c r="O95" s="25"/>
      <c r="P95" s="25"/>
      <c r="Q95" s="25"/>
      <c r="R95" s="25"/>
      <c r="S95" s="25"/>
    </row>
    <row r="96" spans="1:19" s="88" customFormat="1" ht="15.75" x14ac:dyDescent="0.25">
      <c r="A96" s="25"/>
      <c r="B96" s="25"/>
      <c r="C96" s="110"/>
      <c r="D96" s="36"/>
      <c r="E96" s="25"/>
      <c r="F96" s="108"/>
      <c r="G96" s="26"/>
      <c r="H96" s="26"/>
      <c r="I96" s="26"/>
      <c r="J96" s="26"/>
      <c r="K96" s="26"/>
      <c r="L96" s="26"/>
      <c r="O96" s="25"/>
      <c r="P96" s="25"/>
      <c r="Q96" s="25"/>
      <c r="R96" s="25"/>
      <c r="S96" s="25"/>
    </row>
    <row r="97" spans="1:19" s="88" customFormat="1" ht="15.75" x14ac:dyDescent="0.25">
      <c r="A97" s="25"/>
      <c r="B97" s="25"/>
      <c r="C97" s="110"/>
      <c r="D97" s="36"/>
      <c r="E97" s="25"/>
      <c r="F97" s="108"/>
      <c r="G97" s="26"/>
      <c r="H97" s="26"/>
      <c r="I97" s="26"/>
      <c r="J97" s="26"/>
      <c r="K97" s="26"/>
      <c r="L97" s="26"/>
      <c r="O97" s="25"/>
      <c r="P97" s="25"/>
      <c r="Q97" s="25"/>
      <c r="R97" s="25"/>
      <c r="S97" s="25"/>
    </row>
    <row r="98" spans="1:19" s="88" customFormat="1" ht="15.75" x14ac:dyDescent="0.25">
      <c r="A98" s="25"/>
      <c r="B98" s="25"/>
      <c r="C98" s="110"/>
      <c r="D98" s="36"/>
      <c r="E98" s="25"/>
      <c r="F98" s="108"/>
      <c r="G98" s="26"/>
      <c r="H98" s="26"/>
      <c r="I98" s="26"/>
      <c r="J98" s="26"/>
      <c r="K98" s="26"/>
      <c r="L98" s="26"/>
      <c r="O98" s="25"/>
      <c r="P98" s="25"/>
      <c r="Q98" s="25"/>
      <c r="R98" s="25"/>
      <c r="S98" s="25"/>
    </row>
    <row r="99" spans="1:19" s="88" customFormat="1" ht="15.75" x14ac:dyDescent="0.25">
      <c r="A99" s="25"/>
      <c r="B99" s="25"/>
      <c r="C99" s="110"/>
      <c r="D99" s="36"/>
      <c r="E99" s="25"/>
      <c r="F99" s="108"/>
      <c r="G99" s="26"/>
      <c r="H99" s="26"/>
      <c r="I99" s="26"/>
      <c r="J99" s="26"/>
      <c r="K99" s="26"/>
      <c r="L99" s="26"/>
      <c r="O99" s="25"/>
      <c r="P99" s="25"/>
      <c r="Q99" s="25"/>
      <c r="R99" s="25"/>
      <c r="S99" s="25"/>
    </row>
    <row r="100" spans="1:19" s="88" customFormat="1" ht="15.75" x14ac:dyDescent="0.25">
      <c r="A100" s="25"/>
      <c r="B100" s="25"/>
      <c r="C100" s="110"/>
      <c r="D100" s="36"/>
      <c r="E100" s="25"/>
      <c r="F100" s="108"/>
      <c r="G100" s="26"/>
      <c r="H100" s="26"/>
      <c r="I100" s="26"/>
      <c r="J100" s="26"/>
      <c r="K100" s="26"/>
      <c r="L100" s="26"/>
      <c r="O100" s="25"/>
      <c r="P100" s="25"/>
      <c r="Q100" s="25"/>
      <c r="R100" s="25"/>
      <c r="S100" s="25"/>
    </row>
    <row r="101" spans="1:19" s="88" customFormat="1" ht="15.75" x14ac:dyDescent="0.25">
      <c r="A101" s="25"/>
      <c r="B101" s="25"/>
      <c r="C101" s="110"/>
      <c r="D101" s="36"/>
      <c r="E101" s="25"/>
      <c r="F101" s="108"/>
      <c r="G101" s="26"/>
      <c r="H101" s="26"/>
      <c r="I101" s="26"/>
      <c r="J101" s="26"/>
      <c r="K101" s="26"/>
      <c r="L101" s="26"/>
      <c r="O101" s="25"/>
      <c r="P101" s="25"/>
      <c r="Q101" s="25"/>
      <c r="R101" s="25"/>
      <c r="S101" s="25"/>
    </row>
    <row r="102" spans="1:19" s="88" customFormat="1" ht="15.75" x14ac:dyDescent="0.25">
      <c r="A102" s="25"/>
      <c r="B102" s="25"/>
      <c r="C102" s="110"/>
      <c r="D102" s="36"/>
      <c r="E102" s="25"/>
      <c r="F102" s="108"/>
      <c r="G102" s="26"/>
      <c r="H102" s="26"/>
      <c r="I102" s="26"/>
      <c r="J102" s="26"/>
      <c r="K102" s="26"/>
      <c r="L102" s="26"/>
      <c r="O102" s="25"/>
      <c r="P102" s="25"/>
      <c r="Q102" s="25"/>
      <c r="R102" s="25"/>
      <c r="S102" s="25"/>
    </row>
    <row r="103" spans="1:19" s="88" customFormat="1" ht="15.75" x14ac:dyDescent="0.25">
      <c r="A103" s="25"/>
      <c r="B103" s="25"/>
      <c r="C103" s="110"/>
      <c r="D103" s="36"/>
      <c r="E103" s="25"/>
      <c r="F103" s="108"/>
      <c r="G103" s="26"/>
      <c r="H103" s="26"/>
      <c r="I103" s="26"/>
      <c r="J103" s="26"/>
      <c r="K103" s="26"/>
      <c r="L103" s="26"/>
      <c r="O103" s="25"/>
      <c r="P103" s="25"/>
      <c r="Q103" s="25"/>
      <c r="R103" s="25"/>
      <c r="S103" s="25"/>
    </row>
    <row r="104" spans="1:19" s="88" customFormat="1" ht="15.75" x14ac:dyDescent="0.25">
      <c r="A104" s="25"/>
      <c r="B104" s="25"/>
      <c r="C104" s="110"/>
      <c r="D104" s="36"/>
      <c r="E104" s="25"/>
      <c r="F104" s="108"/>
      <c r="G104" s="26"/>
      <c r="H104" s="26"/>
      <c r="I104" s="26"/>
      <c r="J104" s="26"/>
      <c r="K104" s="26"/>
      <c r="L104" s="26"/>
      <c r="O104" s="25"/>
      <c r="P104" s="25"/>
      <c r="Q104" s="25"/>
      <c r="R104" s="25"/>
      <c r="S104" s="25"/>
    </row>
    <row r="105" spans="1:19" s="88" customFormat="1" ht="15.75" x14ac:dyDescent="0.25">
      <c r="A105" s="25"/>
      <c r="B105" s="25"/>
      <c r="C105" s="110"/>
      <c r="D105" s="36"/>
      <c r="E105" s="25"/>
      <c r="F105" s="108"/>
      <c r="G105" s="26"/>
      <c r="H105" s="26"/>
      <c r="I105" s="26"/>
      <c r="J105" s="26"/>
      <c r="K105" s="26"/>
      <c r="L105" s="26"/>
      <c r="O105" s="25"/>
      <c r="P105" s="25"/>
      <c r="Q105" s="25"/>
      <c r="R105" s="25"/>
      <c r="S105" s="25"/>
    </row>
    <row r="106" spans="1:19" s="88" customFormat="1" ht="15.75" x14ac:dyDescent="0.25">
      <c r="A106" s="25"/>
      <c r="B106" s="25"/>
      <c r="C106" s="110"/>
      <c r="D106" s="36"/>
      <c r="E106" s="25"/>
      <c r="F106" s="108"/>
      <c r="G106" s="26"/>
      <c r="H106" s="26"/>
      <c r="I106" s="26"/>
      <c r="J106" s="26"/>
      <c r="K106" s="26"/>
      <c r="L106" s="26"/>
      <c r="O106" s="25"/>
      <c r="P106" s="25"/>
      <c r="Q106" s="25"/>
      <c r="R106" s="25"/>
      <c r="S106" s="25"/>
    </row>
    <row r="107" spans="1:19" s="88" customFormat="1" ht="15.75" x14ac:dyDescent="0.25">
      <c r="A107" s="25"/>
      <c r="B107" s="25"/>
      <c r="C107" s="110"/>
      <c r="D107" s="36"/>
      <c r="E107" s="25"/>
      <c r="F107" s="108"/>
      <c r="G107" s="26"/>
      <c r="H107" s="26"/>
      <c r="I107" s="26"/>
      <c r="J107" s="26"/>
      <c r="K107" s="26"/>
      <c r="L107" s="26"/>
      <c r="O107" s="25"/>
      <c r="P107" s="25"/>
      <c r="Q107" s="25"/>
      <c r="R107" s="25"/>
      <c r="S107" s="25"/>
    </row>
    <row r="108" spans="1:19" s="88" customFormat="1" ht="15.75" x14ac:dyDescent="0.25">
      <c r="A108" s="25"/>
      <c r="B108" s="25"/>
      <c r="C108" s="110"/>
      <c r="D108" s="36"/>
      <c r="E108" s="25"/>
      <c r="F108" s="108"/>
      <c r="G108" s="26"/>
      <c r="H108" s="26"/>
      <c r="I108" s="26"/>
      <c r="J108" s="26"/>
      <c r="K108" s="26"/>
      <c r="L108" s="26"/>
      <c r="O108" s="25"/>
      <c r="P108" s="25"/>
      <c r="Q108" s="25"/>
      <c r="R108" s="25"/>
      <c r="S108" s="25"/>
    </row>
    <row r="109" spans="1:19" s="88" customFormat="1" ht="15.75" x14ac:dyDescent="0.25">
      <c r="A109" s="25"/>
      <c r="B109" s="25"/>
      <c r="C109" s="110"/>
      <c r="D109" s="36"/>
      <c r="E109" s="25"/>
      <c r="F109" s="108"/>
      <c r="G109" s="26"/>
      <c r="H109" s="26"/>
      <c r="I109" s="26"/>
      <c r="J109" s="26"/>
      <c r="K109" s="26"/>
      <c r="L109" s="26"/>
      <c r="O109" s="25"/>
      <c r="P109" s="25"/>
      <c r="Q109" s="25"/>
      <c r="R109" s="25"/>
      <c r="S109" s="25"/>
    </row>
    <row r="110" spans="1:19" s="88" customFormat="1" ht="15.75" x14ac:dyDescent="0.25">
      <c r="A110" s="25"/>
      <c r="B110" s="25"/>
      <c r="C110" s="110"/>
      <c r="D110" s="36"/>
      <c r="E110" s="25"/>
      <c r="F110" s="108"/>
      <c r="G110" s="26"/>
      <c r="H110" s="26"/>
      <c r="I110" s="26"/>
      <c r="J110" s="26"/>
      <c r="K110" s="26"/>
      <c r="L110" s="26"/>
      <c r="O110" s="25"/>
      <c r="P110" s="25"/>
      <c r="Q110" s="25"/>
      <c r="R110" s="25"/>
      <c r="S110" s="25"/>
    </row>
    <row r="111" spans="1:19" s="88" customFormat="1" ht="15.75" x14ac:dyDescent="0.25">
      <c r="A111" s="25"/>
      <c r="B111" s="25"/>
      <c r="C111" s="110"/>
      <c r="D111" s="36"/>
      <c r="E111" s="25"/>
      <c r="F111" s="108"/>
      <c r="G111" s="26"/>
      <c r="H111" s="26"/>
      <c r="I111" s="26"/>
      <c r="J111" s="26"/>
      <c r="K111" s="26"/>
      <c r="L111" s="26"/>
      <c r="O111" s="25"/>
      <c r="P111" s="25"/>
      <c r="Q111" s="25"/>
      <c r="R111" s="25"/>
      <c r="S111" s="25"/>
    </row>
    <row r="112" spans="1:19" s="88" customFormat="1" ht="15.75" x14ac:dyDescent="0.25">
      <c r="A112" s="25"/>
      <c r="B112" s="25"/>
      <c r="C112" s="110"/>
      <c r="D112" s="36"/>
      <c r="E112" s="25"/>
      <c r="F112" s="108"/>
      <c r="G112" s="26"/>
      <c r="H112" s="26"/>
      <c r="I112" s="26"/>
      <c r="J112" s="26"/>
      <c r="K112" s="26"/>
      <c r="L112" s="26"/>
      <c r="O112" s="25"/>
      <c r="P112" s="25"/>
      <c r="Q112" s="25"/>
      <c r="R112" s="25"/>
      <c r="S112" s="25"/>
    </row>
    <row r="113" spans="1:19" s="88" customFormat="1" ht="15.75" x14ac:dyDescent="0.25">
      <c r="A113" s="25"/>
      <c r="B113" s="25"/>
      <c r="C113" s="110"/>
      <c r="D113" s="36"/>
      <c r="E113" s="25"/>
      <c r="F113" s="108"/>
      <c r="G113" s="26"/>
      <c r="H113" s="26"/>
      <c r="I113" s="26"/>
      <c r="J113" s="26"/>
      <c r="K113" s="26"/>
      <c r="L113" s="26"/>
      <c r="O113" s="25"/>
      <c r="P113" s="25"/>
      <c r="Q113" s="25"/>
      <c r="R113" s="25"/>
      <c r="S113" s="25"/>
    </row>
    <row r="114" spans="1:19" s="88" customFormat="1" ht="15.75" x14ac:dyDescent="0.25">
      <c r="A114" s="25"/>
      <c r="B114" s="25"/>
      <c r="C114" s="110"/>
      <c r="D114" s="36"/>
      <c r="E114" s="25"/>
      <c r="F114" s="108"/>
      <c r="G114" s="26"/>
      <c r="H114" s="26"/>
      <c r="I114" s="26"/>
      <c r="J114" s="26"/>
      <c r="K114" s="26"/>
      <c r="L114" s="26"/>
      <c r="O114" s="25"/>
      <c r="P114" s="25"/>
      <c r="Q114" s="25"/>
      <c r="R114" s="25"/>
      <c r="S114" s="25"/>
    </row>
    <row r="115" spans="1:19" s="88" customFormat="1" ht="15.75" x14ac:dyDescent="0.25">
      <c r="A115" s="25"/>
      <c r="B115" s="25"/>
      <c r="C115" s="110"/>
      <c r="D115" s="36"/>
      <c r="E115" s="25"/>
      <c r="F115" s="108"/>
      <c r="G115" s="26"/>
      <c r="H115" s="26"/>
      <c r="I115" s="26"/>
      <c r="J115" s="26"/>
      <c r="K115" s="26"/>
      <c r="L115" s="26"/>
      <c r="O115" s="25"/>
      <c r="P115" s="25"/>
      <c r="Q115" s="25"/>
      <c r="R115" s="25"/>
      <c r="S115" s="25"/>
    </row>
    <row r="116" spans="1:19" s="88" customFormat="1" ht="15.75" x14ac:dyDescent="0.25">
      <c r="A116" s="25"/>
      <c r="B116" s="25"/>
      <c r="C116" s="110"/>
      <c r="D116" s="36"/>
      <c r="E116" s="25"/>
      <c r="F116" s="108"/>
      <c r="G116" s="26"/>
      <c r="H116" s="26"/>
      <c r="I116" s="26"/>
      <c r="J116" s="26"/>
      <c r="K116" s="26"/>
      <c r="L116" s="26"/>
      <c r="O116" s="25"/>
      <c r="P116" s="25"/>
      <c r="Q116" s="25"/>
      <c r="R116" s="25"/>
      <c r="S116" s="25"/>
    </row>
    <row r="117" spans="1:19" s="88" customFormat="1" ht="15.75" x14ac:dyDescent="0.25">
      <c r="A117" s="25"/>
      <c r="B117" s="25"/>
      <c r="C117" s="110"/>
      <c r="D117" s="36"/>
      <c r="E117" s="25"/>
      <c r="F117" s="108"/>
      <c r="G117" s="26"/>
      <c r="H117" s="26"/>
      <c r="I117" s="26"/>
      <c r="J117" s="26"/>
      <c r="K117" s="26"/>
      <c r="L117" s="26"/>
      <c r="O117" s="25"/>
      <c r="P117" s="25"/>
      <c r="Q117" s="25"/>
      <c r="R117" s="25"/>
      <c r="S117" s="25"/>
    </row>
    <row r="118" spans="1:19" s="88" customFormat="1" ht="15.75" x14ac:dyDescent="0.25">
      <c r="A118" s="25"/>
      <c r="B118" s="25"/>
      <c r="C118" s="110"/>
      <c r="D118" s="36"/>
      <c r="E118" s="25"/>
      <c r="F118" s="108"/>
      <c r="G118" s="26"/>
      <c r="H118" s="26"/>
      <c r="I118" s="26"/>
      <c r="J118" s="26"/>
      <c r="K118" s="26"/>
      <c r="L118" s="26"/>
      <c r="O118" s="25"/>
      <c r="P118" s="25"/>
      <c r="Q118" s="25"/>
      <c r="R118" s="25"/>
      <c r="S118" s="25"/>
    </row>
    <row r="119" spans="1:19" s="88" customFormat="1" ht="15.75" x14ac:dyDescent="0.25">
      <c r="A119" s="25"/>
      <c r="B119" s="25"/>
      <c r="C119" s="110"/>
      <c r="D119" s="36"/>
      <c r="E119" s="25"/>
      <c r="F119" s="108"/>
      <c r="G119" s="26"/>
      <c r="H119" s="26"/>
      <c r="I119" s="26"/>
      <c r="J119" s="26"/>
      <c r="K119" s="26"/>
      <c r="L119" s="26"/>
      <c r="O119" s="25"/>
      <c r="P119" s="25"/>
      <c r="Q119" s="25"/>
      <c r="R119" s="25"/>
      <c r="S119" s="25"/>
    </row>
    <row r="120" spans="1:19" s="88" customFormat="1" ht="15.75" x14ac:dyDescent="0.25">
      <c r="A120" s="25"/>
      <c r="B120" s="25"/>
      <c r="C120" s="110"/>
      <c r="D120" s="36"/>
      <c r="E120" s="25"/>
      <c r="F120" s="108"/>
      <c r="G120" s="26"/>
      <c r="H120" s="26"/>
      <c r="I120" s="26"/>
      <c r="J120" s="26"/>
      <c r="K120" s="26"/>
      <c r="L120" s="26"/>
      <c r="O120" s="25"/>
      <c r="P120" s="25"/>
      <c r="Q120" s="25"/>
      <c r="R120" s="25"/>
      <c r="S120" s="25"/>
    </row>
    <row r="121" spans="1:19" s="88" customFormat="1" ht="15.75" x14ac:dyDescent="0.25">
      <c r="A121" s="25"/>
      <c r="B121" s="25"/>
      <c r="C121" s="110"/>
      <c r="D121" s="36"/>
      <c r="E121" s="25"/>
      <c r="F121" s="108"/>
      <c r="G121" s="26"/>
      <c r="H121" s="26"/>
      <c r="I121" s="26"/>
      <c r="J121" s="26"/>
      <c r="K121" s="26"/>
      <c r="L121" s="26"/>
      <c r="O121" s="25"/>
      <c r="P121" s="25"/>
      <c r="Q121" s="25"/>
      <c r="R121" s="25"/>
      <c r="S121" s="25"/>
    </row>
    <row r="122" spans="1:19" s="88" customFormat="1" ht="15.75" x14ac:dyDescent="0.25">
      <c r="A122" s="25"/>
      <c r="B122" s="25"/>
      <c r="C122" s="110"/>
      <c r="D122" s="36"/>
      <c r="E122" s="25"/>
      <c r="F122" s="108"/>
      <c r="G122" s="26"/>
      <c r="H122" s="26"/>
      <c r="I122" s="26"/>
      <c r="J122" s="26"/>
      <c r="K122" s="26"/>
      <c r="L122" s="26"/>
      <c r="O122" s="25"/>
      <c r="P122" s="25"/>
      <c r="Q122" s="25"/>
      <c r="R122" s="25"/>
      <c r="S122" s="25"/>
    </row>
    <row r="123" spans="1:19" s="88" customFormat="1" ht="15.75" x14ac:dyDescent="0.25">
      <c r="A123" s="25"/>
      <c r="B123" s="25"/>
      <c r="C123" s="110"/>
      <c r="D123" s="36"/>
      <c r="E123" s="25"/>
      <c r="F123" s="108"/>
      <c r="G123" s="26"/>
      <c r="H123" s="26"/>
      <c r="I123" s="26"/>
      <c r="J123" s="26"/>
      <c r="K123" s="26"/>
      <c r="L123" s="26"/>
      <c r="O123" s="25"/>
      <c r="P123" s="25"/>
      <c r="Q123" s="25"/>
      <c r="R123" s="25"/>
      <c r="S123" s="25"/>
    </row>
    <row r="124" spans="1:19" s="88" customFormat="1" ht="15.75" x14ac:dyDescent="0.25">
      <c r="A124" s="25"/>
      <c r="B124" s="25"/>
      <c r="C124" s="110"/>
      <c r="D124" s="36"/>
      <c r="E124" s="25"/>
      <c r="F124" s="108"/>
      <c r="G124" s="26"/>
      <c r="H124" s="26"/>
      <c r="I124" s="26"/>
      <c r="J124" s="26"/>
      <c r="K124" s="26"/>
      <c r="L124" s="26"/>
      <c r="O124" s="25"/>
      <c r="P124" s="25"/>
      <c r="Q124" s="25"/>
      <c r="R124" s="25"/>
      <c r="S124" s="25"/>
    </row>
    <row r="125" spans="1:19" s="88" customFormat="1" ht="15.75" x14ac:dyDescent="0.25">
      <c r="A125" s="25"/>
      <c r="B125" s="25"/>
      <c r="C125" s="110"/>
      <c r="D125" s="36"/>
      <c r="E125" s="25"/>
      <c r="F125" s="108"/>
      <c r="G125" s="26"/>
      <c r="H125" s="26"/>
      <c r="I125" s="26"/>
      <c r="J125" s="26"/>
      <c r="K125" s="26"/>
      <c r="L125" s="26"/>
      <c r="O125" s="25"/>
      <c r="P125" s="25"/>
      <c r="Q125" s="25"/>
      <c r="R125" s="25"/>
      <c r="S125" s="25"/>
    </row>
    <row r="126" spans="1:19" s="88" customFormat="1" ht="15.75" x14ac:dyDescent="0.25">
      <c r="A126" s="25"/>
      <c r="B126" s="25"/>
      <c r="C126" s="110"/>
      <c r="D126" s="36"/>
      <c r="E126" s="25"/>
      <c r="F126" s="108"/>
      <c r="G126" s="26"/>
      <c r="H126" s="26"/>
      <c r="I126" s="26"/>
      <c r="J126" s="26"/>
      <c r="K126" s="26"/>
      <c r="L126" s="26"/>
      <c r="O126" s="25"/>
      <c r="P126" s="25"/>
      <c r="Q126" s="25"/>
      <c r="R126" s="25"/>
      <c r="S126" s="25"/>
    </row>
    <row r="127" spans="1:19" s="88" customFormat="1" ht="15.75" x14ac:dyDescent="0.25">
      <c r="A127" s="25"/>
      <c r="B127" s="25"/>
      <c r="C127" s="110"/>
      <c r="D127" s="36"/>
      <c r="E127" s="25"/>
      <c r="F127" s="108"/>
      <c r="G127" s="26"/>
      <c r="H127" s="26"/>
      <c r="I127" s="26"/>
      <c r="J127" s="26"/>
      <c r="K127" s="26"/>
      <c r="L127" s="26"/>
      <c r="O127" s="25"/>
      <c r="P127" s="25"/>
      <c r="Q127" s="25"/>
      <c r="R127" s="25"/>
      <c r="S127" s="25"/>
    </row>
    <row r="128" spans="1:19" s="88" customFormat="1" ht="15.75" x14ac:dyDescent="0.25">
      <c r="A128" s="25"/>
      <c r="B128" s="25"/>
      <c r="C128" s="110"/>
      <c r="D128" s="36"/>
      <c r="E128" s="25"/>
      <c r="F128" s="108"/>
      <c r="G128" s="26"/>
      <c r="H128" s="26"/>
      <c r="I128" s="26"/>
      <c r="J128" s="26"/>
      <c r="K128" s="26"/>
      <c r="L128" s="26"/>
      <c r="O128" s="25"/>
      <c r="P128" s="25"/>
      <c r="Q128" s="25"/>
      <c r="R128" s="25"/>
      <c r="S128" s="25"/>
    </row>
    <row r="129" spans="1:19" s="88" customFormat="1" ht="15.75" x14ac:dyDescent="0.25">
      <c r="A129" s="25"/>
      <c r="B129" s="25"/>
      <c r="C129" s="110"/>
      <c r="D129" s="36"/>
      <c r="E129" s="25"/>
      <c r="F129" s="108"/>
      <c r="G129" s="26"/>
      <c r="H129" s="26"/>
      <c r="I129" s="26"/>
      <c r="J129" s="26"/>
      <c r="K129" s="26"/>
      <c r="L129" s="26"/>
      <c r="O129" s="25"/>
      <c r="P129" s="25"/>
      <c r="Q129" s="25"/>
      <c r="R129" s="25"/>
      <c r="S129" s="25"/>
    </row>
    <row r="130" spans="1:19" s="88" customFormat="1" ht="15.75" x14ac:dyDescent="0.25">
      <c r="A130" s="25"/>
      <c r="B130" s="25"/>
      <c r="C130" s="110"/>
      <c r="D130" s="36"/>
      <c r="E130" s="25"/>
      <c r="F130" s="108"/>
      <c r="G130" s="26"/>
      <c r="H130" s="26"/>
      <c r="I130" s="26"/>
      <c r="J130" s="26"/>
      <c r="K130" s="26"/>
      <c r="L130" s="26"/>
      <c r="O130" s="25"/>
      <c r="P130" s="25"/>
      <c r="Q130" s="25"/>
      <c r="R130" s="25"/>
      <c r="S130" s="25"/>
    </row>
    <row r="131" spans="1:19" s="88" customFormat="1" ht="15.75" x14ac:dyDescent="0.25">
      <c r="A131" s="25"/>
      <c r="B131" s="25"/>
      <c r="C131" s="110"/>
      <c r="D131" s="36"/>
      <c r="E131" s="25"/>
      <c r="F131" s="108"/>
      <c r="G131" s="26"/>
      <c r="H131" s="26"/>
      <c r="I131" s="26"/>
      <c r="J131" s="26"/>
      <c r="K131" s="26"/>
      <c r="L131" s="26"/>
      <c r="O131" s="25"/>
      <c r="P131" s="25"/>
      <c r="Q131" s="25"/>
      <c r="R131" s="25"/>
      <c r="S131" s="25"/>
    </row>
    <row r="132" spans="1:19" s="88" customFormat="1" ht="15.75" x14ac:dyDescent="0.25">
      <c r="A132" s="25"/>
      <c r="B132" s="25"/>
      <c r="C132" s="110"/>
      <c r="D132" s="36"/>
      <c r="E132" s="25"/>
      <c r="F132" s="108"/>
      <c r="G132" s="26"/>
      <c r="H132" s="26"/>
      <c r="I132" s="26"/>
      <c r="J132" s="26"/>
      <c r="K132" s="26"/>
      <c r="L132" s="26"/>
      <c r="O132" s="25"/>
      <c r="P132" s="25"/>
      <c r="Q132" s="25"/>
      <c r="R132" s="25"/>
      <c r="S132" s="25"/>
    </row>
    <row r="133" spans="1:19" s="88" customFormat="1" ht="15.75" x14ac:dyDescent="0.25">
      <c r="A133" s="25"/>
      <c r="B133" s="25"/>
      <c r="C133" s="110"/>
      <c r="D133" s="36"/>
      <c r="E133" s="25"/>
      <c r="F133" s="108"/>
      <c r="G133" s="26"/>
      <c r="H133" s="26"/>
      <c r="I133" s="26"/>
      <c r="J133" s="26"/>
      <c r="K133" s="26"/>
      <c r="L133" s="26"/>
      <c r="O133" s="25"/>
      <c r="P133" s="25"/>
      <c r="Q133" s="25"/>
      <c r="R133" s="25"/>
      <c r="S133" s="25"/>
    </row>
    <row r="134" spans="1:19" s="88" customFormat="1" ht="15.75" x14ac:dyDescent="0.25">
      <c r="A134" s="25"/>
      <c r="B134" s="25"/>
      <c r="C134" s="110"/>
      <c r="D134" s="36"/>
      <c r="E134" s="25"/>
      <c r="F134" s="108"/>
      <c r="G134" s="26"/>
      <c r="H134" s="26"/>
      <c r="I134" s="26"/>
      <c r="J134" s="26"/>
      <c r="K134" s="26"/>
      <c r="L134" s="26"/>
      <c r="O134" s="25"/>
      <c r="P134" s="25"/>
      <c r="Q134" s="25"/>
      <c r="R134" s="25"/>
      <c r="S134" s="25"/>
    </row>
    <row r="135" spans="1:19" s="88" customFormat="1" ht="15.75" x14ac:dyDescent="0.25">
      <c r="A135" s="25"/>
      <c r="B135" s="25"/>
      <c r="C135" s="110"/>
      <c r="D135" s="36"/>
      <c r="E135" s="25"/>
      <c r="F135" s="108"/>
      <c r="G135" s="26"/>
      <c r="H135" s="26"/>
      <c r="I135" s="26"/>
      <c r="J135" s="26"/>
      <c r="K135" s="26"/>
      <c r="L135" s="26"/>
      <c r="O135" s="25"/>
      <c r="P135" s="25"/>
      <c r="Q135" s="25"/>
      <c r="R135" s="25"/>
      <c r="S135" s="25"/>
    </row>
    <row r="136" spans="1:19" s="88" customFormat="1" ht="15.75" x14ac:dyDescent="0.25">
      <c r="A136" s="25"/>
      <c r="B136" s="25"/>
      <c r="C136" s="110"/>
      <c r="D136" s="36"/>
      <c r="E136" s="25"/>
      <c r="F136" s="108"/>
      <c r="G136" s="26"/>
      <c r="H136" s="26"/>
      <c r="I136" s="26"/>
      <c r="J136" s="26"/>
      <c r="K136" s="26"/>
      <c r="L136" s="26"/>
      <c r="O136" s="25"/>
      <c r="P136" s="25"/>
      <c r="Q136" s="25"/>
      <c r="R136" s="25"/>
      <c r="S136" s="25"/>
    </row>
    <row r="137" spans="1:19" s="88" customFormat="1" ht="15.75" x14ac:dyDescent="0.25">
      <c r="A137" s="25"/>
      <c r="B137" s="25"/>
      <c r="C137" s="110"/>
      <c r="D137" s="36"/>
      <c r="E137" s="25"/>
      <c r="F137" s="108"/>
      <c r="G137" s="26"/>
      <c r="H137" s="26"/>
      <c r="I137" s="26"/>
      <c r="J137" s="26"/>
      <c r="K137" s="26"/>
      <c r="L137" s="26"/>
      <c r="O137" s="25"/>
      <c r="P137" s="25"/>
      <c r="Q137" s="25"/>
      <c r="R137" s="25"/>
      <c r="S137" s="25"/>
    </row>
    <row r="138" spans="1:19" s="88" customFormat="1" ht="15.75" x14ac:dyDescent="0.25">
      <c r="A138" s="25"/>
      <c r="B138" s="25"/>
      <c r="C138" s="110"/>
      <c r="D138" s="36"/>
      <c r="E138" s="25"/>
      <c r="F138" s="108"/>
      <c r="G138" s="26"/>
      <c r="H138" s="26"/>
      <c r="I138" s="26"/>
      <c r="J138" s="26"/>
      <c r="K138" s="26"/>
      <c r="L138" s="26"/>
      <c r="O138" s="25"/>
      <c r="P138" s="25"/>
      <c r="Q138" s="25"/>
      <c r="R138" s="25"/>
      <c r="S138" s="25"/>
    </row>
    <row r="139" spans="1:19" s="88" customFormat="1" ht="15.75" x14ac:dyDescent="0.25">
      <c r="A139" s="25"/>
      <c r="B139" s="25"/>
      <c r="C139" s="110"/>
      <c r="D139" s="36"/>
      <c r="E139" s="25"/>
      <c r="F139" s="108"/>
      <c r="G139" s="26"/>
      <c r="H139" s="26"/>
      <c r="I139" s="26"/>
      <c r="J139" s="26"/>
      <c r="K139" s="26"/>
      <c r="L139" s="26"/>
      <c r="O139" s="25"/>
      <c r="P139" s="25"/>
      <c r="Q139" s="25"/>
      <c r="R139" s="25"/>
      <c r="S139" s="25"/>
    </row>
    <row r="140" spans="1:19" s="88" customFormat="1" ht="15.75" x14ac:dyDescent="0.25">
      <c r="A140" s="25"/>
      <c r="B140" s="25"/>
      <c r="C140" s="110"/>
      <c r="D140" s="36"/>
      <c r="E140" s="25"/>
      <c r="F140" s="108"/>
      <c r="G140" s="26"/>
      <c r="H140" s="26"/>
      <c r="I140" s="26"/>
      <c r="J140" s="26"/>
      <c r="K140" s="26"/>
      <c r="L140" s="26"/>
      <c r="O140" s="25"/>
      <c r="P140" s="25"/>
      <c r="Q140" s="25"/>
      <c r="R140" s="25"/>
      <c r="S140" s="25"/>
    </row>
    <row r="141" spans="1:19" s="88" customFormat="1" ht="15.75" x14ac:dyDescent="0.25">
      <c r="A141" s="25"/>
      <c r="B141" s="25"/>
      <c r="C141" s="110"/>
      <c r="D141" s="36"/>
      <c r="E141" s="25"/>
      <c r="F141" s="108"/>
      <c r="G141" s="26"/>
      <c r="H141" s="26"/>
      <c r="I141" s="26"/>
      <c r="J141" s="26"/>
      <c r="K141" s="26"/>
      <c r="L141" s="26"/>
      <c r="O141" s="25"/>
      <c r="P141" s="25"/>
      <c r="Q141" s="25"/>
      <c r="R141" s="25"/>
      <c r="S141" s="25"/>
    </row>
    <row r="142" spans="1:19" s="88" customFormat="1" ht="15.75" x14ac:dyDescent="0.25">
      <c r="A142" s="25"/>
      <c r="B142" s="25"/>
      <c r="C142" s="110"/>
      <c r="D142" s="36"/>
      <c r="E142" s="25"/>
      <c r="F142" s="108"/>
      <c r="G142" s="26"/>
      <c r="H142" s="26"/>
      <c r="I142" s="26"/>
      <c r="J142" s="26"/>
      <c r="K142" s="26"/>
      <c r="L142" s="26"/>
      <c r="O142" s="25"/>
      <c r="P142" s="25"/>
      <c r="Q142" s="25"/>
      <c r="R142" s="25"/>
      <c r="S142" s="25"/>
    </row>
    <row r="143" spans="1:19" s="88" customFormat="1" ht="15.75" x14ac:dyDescent="0.25">
      <c r="A143" s="25"/>
      <c r="B143" s="25"/>
      <c r="C143" s="110"/>
      <c r="D143" s="36"/>
      <c r="E143" s="25"/>
      <c r="F143" s="108"/>
      <c r="G143" s="26"/>
      <c r="H143" s="26"/>
      <c r="I143" s="26"/>
      <c r="J143" s="26"/>
      <c r="K143" s="26"/>
      <c r="L143" s="26"/>
      <c r="O143" s="25"/>
      <c r="P143" s="25"/>
      <c r="Q143" s="25"/>
      <c r="R143" s="25"/>
      <c r="S143" s="25"/>
    </row>
    <row r="144" spans="1:19" s="88" customFormat="1" ht="15.75" x14ac:dyDescent="0.25">
      <c r="A144" s="25"/>
      <c r="B144" s="25"/>
      <c r="C144" s="110"/>
      <c r="D144" s="36"/>
      <c r="E144" s="25"/>
      <c r="F144" s="108"/>
      <c r="G144" s="26"/>
      <c r="H144" s="26"/>
      <c r="I144" s="26"/>
      <c r="J144" s="26"/>
      <c r="K144" s="26"/>
      <c r="L144" s="26"/>
      <c r="O144" s="25"/>
      <c r="P144" s="25"/>
      <c r="Q144" s="25"/>
      <c r="R144" s="25"/>
      <c r="S144" s="25"/>
    </row>
    <row r="145" spans="1:19" s="88" customFormat="1" ht="15.75" x14ac:dyDescent="0.25">
      <c r="A145" s="25"/>
      <c r="B145" s="25"/>
      <c r="C145" s="110"/>
      <c r="D145" s="36"/>
      <c r="E145" s="25"/>
      <c r="F145" s="108"/>
      <c r="G145" s="26"/>
      <c r="H145" s="26"/>
      <c r="I145" s="26"/>
      <c r="J145" s="26"/>
      <c r="K145" s="26"/>
      <c r="L145" s="26"/>
      <c r="O145" s="25"/>
      <c r="P145" s="25"/>
      <c r="Q145" s="25"/>
      <c r="R145" s="25"/>
      <c r="S145" s="25"/>
    </row>
    <row r="146" spans="1:19" s="88" customFormat="1" ht="15.75" x14ac:dyDescent="0.25">
      <c r="A146" s="25"/>
      <c r="B146" s="25"/>
      <c r="C146" s="110"/>
      <c r="D146" s="36"/>
      <c r="E146" s="25"/>
      <c r="F146" s="108"/>
      <c r="G146" s="26"/>
      <c r="H146" s="26"/>
      <c r="I146" s="26"/>
      <c r="J146" s="26"/>
      <c r="K146" s="26"/>
      <c r="L146" s="26"/>
      <c r="O146" s="25"/>
      <c r="P146" s="25"/>
      <c r="Q146" s="25"/>
      <c r="R146" s="25"/>
      <c r="S146" s="25"/>
    </row>
    <row r="147" spans="1:19" s="88" customFormat="1" ht="15.75" x14ac:dyDescent="0.25">
      <c r="A147" s="25"/>
      <c r="B147" s="25"/>
      <c r="C147" s="110"/>
      <c r="D147" s="36"/>
      <c r="E147" s="25"/>
      <c r="F147" s="108"/>
      <c r="G147" s="26"/>
      <c r="H147" s="26"/>
      <c r="I147" s="26"/>
      <c r="J147" s="26"/>
      <c r="K147" s="26"/>
      <c r="L147" s="26"/>
      <c r="O147" s="25"/>
      <c r="P147" s="25"/>
      <c r="Q147" s="25"/>
      <c r="R147" s="25"/>
      <c r="S147" s="25"/>
    </row>
    <row r="148" spans="1:19" s="88" customFormat="1" ht="15.75" x14ac:dyDescent="0.25">
      <c r="A148" s="25"/>
      <c r="B148" s="25"/>
      <c r="C148" s="110"/>
      <c r="D148" s="36"/>
      <c r="E148" s="25"/>
      <c r="F148" s="108"/>
      <c r="G148" s="26"/>
      <c r="H148" s="26"/>
      <c r="I148" s="26"/>
      <c r="J148" s="26"/>
      <c r="K148" s="26"/>
      <c r="L148" s="26"/>
      <c r="O148" s="25"/>
      <c r="P148" s="25"/>
      <c r="Q148" s="25"/>
      <c r="R148" s="25"/>
      <c r="S148" s="25"/>
    </row>
    <row r="149" spans="1:19" s="88" customFormat="1" ht="15.75" x14ac:dyDescent="0.25">
      <c r="A149" s="25"/>
      <c r="B149" s="25"/>
      <c r="C149" s="110"/>
      <c r="D149" s="36"/>
      <c r="E149" s="25"/>
      <c r="F149" s="108"/>
      <c r="G149" s="26"/>
      <c r="H149" s="26"/>
      <c r="I149" s="26"/>
      <c r="J149" s="26"/>
      <c r="K149" s="26"/>
      <c r="L149" s="26"/>
      <c r="O149" s="25"/>
      <c r="P149" s="25"/>
      <c r="Q149" s="25"/>
      <c r="R149" s="25"/>
      <c r="S149" s="25"/>
    </row>
    <row r="150" spans="1:19" s="88" customFormat="1" ht="15.75" x14ac:dyDescent="0.25">
      <c r="A150" s="25"/>
      <c r="B150" s="25"/>
      <c r="C150" s="110"/>
      <c r="D150" s="36"/>
      <c r="E150" s="25"/>
      <c r="F150" s="108"/>
      <c r="G150" s="26"/>
      <c r="H150" s="26"/>
      <c r="I150" s="26"/>
      <c r="J150" s="26"/>
      <c r="K150" s="26"/>
      <c r="L150" s="26"/>
      <c r="O150" s="25"/>
      <c r="P150" s="25"/>
      <c r="Q150" s="25"/>
      <c r="R150" s="25"/>
      <c r="S150" s="25"/>
    </row>
    <row r="151" spans="1:19" s="88" customFormat="1" ht="15.75" x14ac:dyDescent="0.25">
      <c r="A151" s="25"/>
      <c r="B151" s="25"/>
      <c r="C151" s="110"/>
      <c r="D151" s="36"/>
      <c r="E151" s="25"/>
      <c r="F151" s="108"/>
      <c r="G151" s="26"/>
      <c r="H151" s="26"/>
      <c r="I151" s="26"/>
      <c r="J151" s="26"/>
      <c r="K151" s="26"/>
      <c r="L151" s="26"/>
      <c r="O151" s="25"/>
      <c r="P151" s="25"/>
      <c r="Q151" s="25"/>
      <c r="R151" s="25"/>
      <c r="S151" s="25"/>
    </row>
    <row r="152" spans="1:19" s="88" customFormat="1" ht="15.75" x14ac:dyDescent="0.25">
      <c r="A152" s="25"/>
      <c r="B152" s="25"/>
      <c r="C152" s="110"/>
      <c r="D152" s="36"/>
      <c r="E152" s="25"/>
      <c r="F152" s="108"/>
      <c r="G152" s="26"/>
      <c r="H152" s="26"/>
      <c r="I152" s="26"/>
      <c r="J152" s="26"/>
      <c r="K152" s="26"/>
      <c r="L152" s="26"/>
      <c r="O152" s="25"/>
      <c r="P152" s="25"/>
      <c r="Q152" s="25"/>
      <c r="R152" s="25"/>
      <c r="S152" s="25"/>
    </row>
    <row r="153" spans="1:19" s="88" customFormat="1" ht="15.75" x14ac:dyDescent="0.25">
      <c r="A153" s="25"/>
      <c r="B153" s="25"/>
      <c r="C153" s="110"/>
      <c r="D153" s="36"/>
      <c r="E153" s="25"/>
      <c r="F153" s="108"/>
      <c r="G153" s="26"/>
      <c r="H153" s="26"/>
      <c r="I153" s="26"/>
      <c r="J153" s="26"/>
      <c r="K153" s="26"/>
      <c r="L153" s="26"/>
      <c r="O153" s="25"/>
      <c r="P153" s="25"/>
      <c r="Q153" s="25"/>
      <c r="R153" s="25"/>
      <c r="S153" s="25"/>
    </row>
    <row r="154" spans="1:19" s="88" customFormat="1" ht="15.75" x14ac:dyDescent="0.25">
      <c r="A154" s="25"/>
      <c r="B154" s="25"/>
      <c r="C154" s="110"/>
      <c r="D154" s="36"/>
      <c r="E154" s="25"/>
      <c r="F154" s="108"/>
      <c r="G154" s="26"/>
      <c r="H154" s="26"/>
      <c r="I154" s="26"/>
      <c r="J154" s="26"/>
      <c r="K154" s="26"/>
      <c r="L154" s="26"/>
      <c r="O154" s="25"/>
      <c r="P154" s="25"/>
      <c r="Q154" s="25"/>
      <c r="R154" s="25"/>
      <c r="S154" s="25"/>
    </row>
    <row r="155" spans="1:19" s="88" customFormat="1" ht="15.75" x14ac:dyDescent="0.25">
      <c r="A155" s="25"/>
      <c r="B155" s="25"/>
      <c r="C155" s="110"/>
      <c r="D155" s="36"/>
      <c r="E155" s="25"/>
      <c r="F155" s="108"/>
      <c r="G155" s="26"/>
      <c r="H155" s="26"/>
      <c r="I155" s="26"/>
      <c r="J155" s="26"/>
      <c r="K155" s="26"/>
      <c r="L155" s="26"/>
      <c r="O155" s="25"/>
      <c r="P155" s="25"/>
      <c r="Q155" s="25"/>
      <c r="R155" s="25"/>
      <c r="S155" s="25"/>
    </row>
    <row r="156" spans="1:19" s="88" customFormat="1" ht="15.75" x14ac:dyDescent="0.25">
      <c r="A156" s="25"/>
      <c r="B156" s="25"/>
      <c r="C156" s="110"/>
      <c r="D156" s="36"/>
      <c r="E156" s="25"/>
      <c r="F156" s="108"/>
      <c r="G156" s="26"/>
      <c r="H156" s="26"/>
      <c r="I156" s="26"/>
      <c r="J156" s="26"/>
      <c r="K156" s="26"/>
      <c r="L156" s="26"/>
      <c r="O156" s="25"/>
      <c r="P156" s="25"/>
      <c r="Q156" s="25"/>
      <c r="R156" s="25"/>
      <c r="S156" s="25"/>
    </row>
    <row r="157" spans="1:19" s="88" customFormat="1" ht="15.75" x14ac:dyDescent="0.25">
      <c r="A157" s="25"/>
      <c r="B157" s="25"/>
      <c r="C157" s="110"/>
      <c r="D157" s="36"/>
      <c r="E157" s="25"/>
      <c r="F157" s="108"/>
      <c r="G157" s="26"/>
      <c r="H157" s="26"/>
      <c r="I157" s="26"/>
      <c r="J157" s="26"/>
      <c r="K157" s="26"/>
      <c r="L157" s="26"/>
      <c r="O157" s="25"/>
      <c r="P157" s="25"/>
      <c r="Q157" s="25"/>
      <c r="R157" s="25"/>
      <c r="S157" s="25"/>
    </row>
    <row r="158" spans="1:19" s="88" customFormat="1" ht="15.75" x14ac:dyDescent="0.25">
      <c r="A158" s="25"/>
      <c r="B158" s="25"/>
      <c r="C158" s="110"/>
      <c r="D158" s="36"/>
      <c r="E158" s="25"/>
      <c r="F158" s="108"/>
      <c r="G158" s="26"/>
      <c r="H158" s="26"/>
      <c r="I158" s="26"/>
      <c r="J158" s="26"/>
      <c r="K158" s="26"/>
      <c r="L158" s="26"/>
      <c r="O158" s="25"/>
      <c r="P158" s="25"/>
      <c r="Q158" s="25"/>
      <c r="R158" s="25"/>
      <c r="S158" s="25"/>
    </row>
    <row r="159" spans="1:19" s="88" customFormat="1" ht="15.75" x14ac:dyDescent="0.25">
      <c r="A159" s="25"/>
      <c r="B159" s="25"/>
      <c r="C159" s="110"/>
      <c r="D159" s="36"/>
      <c r="E159" s="25"/>
      <c r="F159" s="108"/>
      <c r="G159" s="26"/>
      <c r="H159" s="26"/>
      <c r="I159" s="26"/>
      <c r="J159" s="26"/>
      <c r="K159" s="26"/>
      <c r="L159" s="26"/>
      <c r="O159" s="25"/>
      <c r="P159" s="25"/>
      <c r="Q159" s="25"/>
      <c r="R159" s="25"/>
      <c r="S159" s="25"/>
    </row>
    <row r="160" spans="1:19" s="88" customFormat="1" ht="15.75" x14ac:dyDescent="0.25">
      <c r="A160" s="25"/>
      <c r="B160" s="25"/>
      <c r="C160" s="110"/>
      <c r="D160" s="36"/>
      <c r="E160" s="25"/>
      <c r="F160" s="108"/>
      <c r="G160" s="26"/>
      <c r="H160" s="26"/>
      <c r="I160" s="26"/>
      <c r="J160" s="26"/>
      <c r="K160" s="26"/>
      <c r="L160" s="26"/>
      <c r="O160" s="25"/>
      <c r="P160" s="25"/>
      <c r="Q160" s="25"/>
      <c r="R160" s="25"/>
      <c r="S160" s="25"/>
    </row>
    <row r="161" spans="1:19" s="88" customFormat="1" ht="15.75" x14ac:dyDescent="0.25">
      <c r="A161" s="25"/>
      <c r="B161" s="25"/>
      <c r="C161" s="110"/>
      <c r="D161" s="36"/>
      <c r="E161" s="25"/>
      <c r="F161" s="108"/>
      <c r="G161" s="26"/>
      <c r="H161" s="26"/>
      <c r="I161" s="26"/>
      <c r="J161" s="26"/>
      <c r="K161" s="26"/>
      <c r="L161" s="26"/>
      <c r="O161" s="25"/>
      <c r="P161" s="25"/>
      <c r="Q161" s="25"/>
      <c r="R161" s="25"/>
      <c r="S161" s="25"/>
    </row>
    <row r="162" spans="1:19" s="88" customFormat="1" ht="15.75" x14ac:dyDescent="0.25">
      <c r="A162" s="25"/>
      <c r="B162" s="25"/>
      <c r="C162" s="110"/>
      <c r="D162" s="36"/>
      <c r="E162" s="25"/>
      <c r="F162" s="108"/>
      <c r="G162" s="26"/>
      <c r="H162" s="26"/>
      <c r="I162" s="26"/>
      <c r="J162" s="26"/>
      <c r="K162" s="26"/>
      <c r="L162" s="26"/>
      <c r="O162" s="25"/>
      <c r="P162" s="25"/>
      <c r="Q162" s="25"/>
      <c r="R162" s="25"/>
      <c r="S162" s="25"/>
    </row>
    <row r="163" spans="1:19" s="88" customFormat="1" ht="15.75" x14ac:dyDescent="0.25">
      <c r="A163" s="25"/>
      <c r="B163" s="25"/>
      <c r="C163" s="110"/>
      <c r="D163" s="36"/>
      <c r="E163" s="25"/>
      <c r="F163" s="108"/>
      <c r="G163" s="26"/>
      <c r="H163" s="26"/>
      <c r="I163" s="26"/>
      <c r="J163" s="26"/>
      <c r="K163" s="26"/>
      <c r="L163" s="26"/>
      <c r="O163" s="25"/>
      <c r="P163" s="25"/>
      <c r="Q163" s="25"/>
      <c r="R163" s="25"/>
      <c r="S163" s="25"/>
    </row>
    <row r="164" spans="1:19" s="88" customFormat="1" ht="15.75" x14ac:dyDescent="0.25">
      <c r="A164" s="25"/>
      <c r="B164" s="25"/>
      <c r="C164" s="110"/>
      <c r="D164" s="36"/>
      <c r="E164" s="25"/>
      <c r="F164" s="108"/>
      <c r="G164" s="26"/>
      <c r="H164" s="26"/>
      <c r="I164" s="26"/>
      <c r="J164" s="26"/>
      <c r="K164" s="26"/>
      <c r="L164" s="26"/>
      <c r="O164" s="25"/>
      <c r="P164" s="25"/>
      <c r="Q164" s="25"/>
      <c r="R164" s="25"/>
      <c r="S164" s="25"/>
    </row>
    <row r="165" spans="1:19" s="88" customFormat="1" ht="15.75" x14ac:dyDescent="0.25">
      <c r="A165" s="25"/>
      <c r="B165" s="25"/>
      <c r="C165" s="110"/>
      <c r="D165" s="36"/>
      <c r="E165" s="25"/>
      <c r="F165" s="108"/>
      <c r="G165" s="26"/>
      <c r="H165" s="26"/>
      <c r="I165" s="26"/>
      <c r="J165" s="26"/>
      <c r="K165" s="26"/>
      <c r="L165" s="26"/>
      <c r="O165" s="25"/>
      <c r="P165" s="25"/>
      <c r="Q165" s="25"/>
      <c r="R165" s="25"/>
      <c r="S165" s="25"/>
    </row>
    <row r="166" spans="1:19" s="88" customFormat="1" ht="15.75" x14ac:dyDescent="0.25">
      <c r="A166" s="25"/>
      <c r="B166" s="25"/>
      <c r="C166" s="110"/>
      <c r="D166" s="36"/>
      <c r="E166" s="25"/>
      <c r="F166" s="108"/>
      <c r="G166" s="26"/>
      <c r="H166" s="26"/>
      <c r="I166" s="26"/>
      <c r="J166" s="26"/>
      <c r="K166" s="26"/>
      <c r="L166" s="26"/>
      <c r="O166" s="25"/>
      <c r="P166" s="25"/>
      <c r="Q166" s="25"/>
      <c r="R166" s="25"/>
      <c r="S166" s="25"/>
    </row>
    <row r="167" spans="1:19" s="88" customFormat="1" ht="15.75" x14ac:dyDescent="0.25">
      <c r="A167" s="25"/>
      <c r="B167" s="25"/>
      <c r="C167" s="110"/>
      <c r="D167" s="36"/>
      <c r="E167" s="25"/>
      <c r="F167" s="108"/>
      <c r="G167" s="26"/>
      <c r="H167" s="26"/>
      <c r="I167" s="26"/>
      <c r="J167" s="26"/>
      <c r="K167" s="26"/>
      <c r="L167" s="26"/>
      <c r="O167" s="25"/>
      <c r="P167" s="25"/>
      <c r="Q167" s="25"/>
      <c r="R167" s="25"/>
      <c r="S167" s="25"/>
    </row>
    <row r="168" spans="1:19" s="88" customFormat="1" ht="15.75" x14ac:dyDescent="0.25">
      <c r="A168" s="25"/>
      <c r="B168" s="25"/>
      <c r="C168" s="110"/>
      <c r="D168" s="36"/>
      <c r="E168" s="25"/>
      <c r="F168" s="108"/>
      <c r="G168" s="26"/>
      <c r="H168" s="26"/>
      <c r="I168" s="26"/>
      <c r="J168" s="26"/>
      <c r="K168" s="26"/>
      <c r="L168" s="26"/>
      <c r="O168" s="25"/>
      <c r="P168" s="25"/>
      <c r="Q168" s="25"/>
      <c r="R168" s="25"/>
      <c r="S168" s="25"/>
    </row>
    <row r="169" spans="1:19" s="88" customFormat="1" ht="15.75" x14ac:dyDescent="0.25">
      <c r="A169" s="25"/>
      <c r="B169" s="25"/>
      <c r="C169" s="110"/>
      <c r="D169" s="36"/>
      <c r="E169" s="25"/>
      <c r="F169" s="108"/>
      <c r="G169" s="26"/>
      <c r="H169" s="26"/>
      <c r="I169" s="26"/>
      <c r="J169" s="26"/>
      <c r="K169" s="26"/>
      <c r="L169" s="26"/>
      <c r="O169" s="25"/>
      <c r="P169" s="25"/>
      <c r="Q169" s="25"/>
      <c r="R169" s="25"/>
      <c r="S169" s="25"/>
    </row>
    <row r="170" spans="1:19" s="88" customFormat="1" ht="15.75" x14ac:dyDescent="0.25">
      <c r="A170" s="25"/>
      <c r="B170" s="25"/>
      <c r="C170" s="110"/>
      <c r="D170" s="36"/>
      <c r="E170" s="25"/>
      <c r="F170" s="108"/>
      <c r="G170" s="26"/>
      <c r="H170" s="26"/>
      <c r="I170" s="26"/>
      <c r="J170" s="26"/>
      <c r="K170" s="26"/>
      <c r="L170" s="26"/>
      <c r="O170" s="25"/>
      <c r="P170" s="25"/>
      <c r="Q170" s="25"/>
      <c r="R170" s="25"/>
      <c r="S170" s="25"/>
    </row>
    <row r="171" spans="1:19" s="88" customFormat="1" ht="15.75" x14ac:dyDescent="0.25">
      <c r="A171" s="25"/>
      <c r="B171" s="25"/>
      <c r="C171" s="110"/>
      <c r="D171" s="36"/>
      <c r="E171" s="25"/>
      <c r="F171" s="108"/>
      <c r="G171" s="26"/>
      <c r="H171" s="26"/>
      <c r="I171" s="26"/>
      <c r="J171" s="26"/>
      <c r="K171" s="26"/>
      <c r="L171" s="26"/>
      <c r="O171" s="25"/>
      <c r="P171" s="25"/>
      <c r="Q171" s="25"/>
      <c r="R171" s="25"/>
      <c r="S171" s="25"/>
    </row>
    <row r="172" spans="1:19" s="88" customFormat="1" ht="15.75" x14ac:dyDescent="0.25">
      <c r="A172" s="25"/>
      <c r="B172" s="25"/>
      <c r="C172" s="110"/>
      <c r="D172" s="36"/>
      <c r="E172" s="25"/>
      <c r="F172" s="108"/>
      <c r="G172" s="26"/>
      <c r="H172" s="26"/>
      <c r="I172" s="26"/>
      <c r="J172" s="26"/>
      <c r="K172" s="26"/>
      <c r="L172" s="26"/>
      <c r="O172" s="25"/>
      <c r="P172" s="25"/>
      <c r="Q172" s="25"/>
      <c r="R172" s="25"/>
      <c r="S172" s="25"/>
    </row>
    <row r="173" spans="1:19" s="88" customFormat="1" ht="15.75" x14ac:dyDescent="0.25">
      <c r="A173" s="25"/>
      <c r="B173" s="25"/>
      <c r="C173" s="110"/>
      <c r="D173" s="36"/>
      <c r="E173" s="25"/>
      <c r="F173" s="108"/>
      <c r="G173" s="26"/>
      <c r="H173" s="26"/>
      <c r="I173" s="26"/>
      <c r="J173" s="26"/>
      <c r="K173" s="26"/>
      <c r="L173" s="26"/>
      <c r="O173" s="25"/>
      <c r="P173" s="25"/>
      <c r="Q173" s="25"/>
      <c r="R173" s="25"/>
      <c r="S173" s="25"/>
    </row>
    <row r="174" spans="1:19" s="88" customFormat="1" ht="15.75" x14ac:dyDescent="0.25">
      <c r="A174" s="25"/>
      <c r="B174" s="25"/>
      <c r="C174" s="110"/>
      <c r="D174" s="36"/>
      <c r="E174" s="25"/>
      <c r="F174" s="108"/>
      <c r="G174" s="26"/>
      <c r="H174" s="26"/>
      <c r="I174" s="26"/>
      <c r="J174" s="26"/>
      <c r="K174" s="26"/>
      <c r="L174" s="26"/>
      <c r="O174" s="25"/>
      <c r="P174" s="25"/>
      <c r="Q174" s="25"/>
      <c r="R174" s="25"/>
      <c r="S174" s="25"/>
    </row>
    <row r="175" spans="1:19" s="88" customFormat="1" ht="15.75" x14ac:dyDescent="0.25">
      <c r="A175" s="25"/>
      <c r="B175" s="25"/>
      <c r="C175" s="110"/>
      <c r="D175" s="36"/>
      <c r="E175" s="25"/>
      <c r="F175" s="108"/>
      <c r="G175" s="26"/>
      <c r="H175" s="26"/>
      <c r="I175" s="26"/>
      <c r="J175" s="26"/>
      <c r="K175" s="26"/>
      <c r="L175" s="26"/>
      <c r="O175" s="25"/>
      <c r="P175" s="25"/>
      <c r="Q175" s="25"/>
      <c r="R175" s="25"/>
      <c r="S175" s="25"/>
    </row>
    <row r="176" spans="1:19" s="88" customFormat="1" ht="15.75" x14ac:dyDescent="0.25">
      <c r="A176" s="25"/>
      <c r="B176" s="25"/>
      <c r="C176" s="110"/>
      <c r="D176" s="36"/>
      <c r="E176" s="25"/>
      <c r="F176" s="108"/>
      <c r="G176" s="26"/>
      <c r="H176" s="26"/>
      <c r="I176" s="26"/>
      <c r="J176" s="26"/>
      <c r="K176" s="26"/>
      <c r="L176" s="26"/>
      <c r="O176" s="25"/>
      <c r="P176" s="25"/>
      <c r="Q176" s="25"/>
      <c r="R176" s="25"/>
      <c r="S176" s="25"/>
    </row>
    <row r="177" spans="1:19" s="88" customFormat="1" ht="15.75" x14ac:dyDescent="0.25">
      <c r="A177" s="25"/>
      <c r="B177" s="25"/>
      <c r="C177" s="110"/>
      <c r="D177" s="36"/>
      <c r="E177" s="25"/>
      <c r="F177" s="108"/>
      <c r="G177" s="26"/>
      <c r="H177" s="26"/>
      <c r="I177" s="26"/>
      <c r="J177" s="26"/>
      <c r="K177" s="26"/>
      <c r="L177" s="26"/>
      <c r="O177" s="25"/>
      <c r="P177" s="25"/>
      <c r="Q177" s="25"/>
      <c r="R177" s="25"/>
      <c r="S177" s="25"/>
    </row>
    <row r="178" spans="1:19" s="88" customFormat="1" ht="15.75" x14ac:dyDescent="0.25">
      <c r="A178" s="25"/>
      <c r="B178" s="25"/>
      <c r="C178" s="110"/>
      <c r="D178" s="36"/>
      <c r="E178" s="25"/>
      <c r="F178" s="108"/>
      <c r="G178" s="26"/>
      <c r="H178" s="26"/>
      <c r="I178" s="26"/>
      <c r="J178" s="26"/>
      <c r="K178" s="26"/>
      <c r="L178" s="26"/>
      <c r="O178" s="25"/>
      <c r="P178" s="25"/>
      <c r="Q178" s="25"/>
      <c r="R178" s="25"/>
      <c r="S178" s="25"/>
    </row>
    <row r="179" spans="1:19" s="88" customFormat="1" ht="15.75" x14ac:dyDescent="0.25">
      <c r="A179" s="25"/>
      <c r="B179" s="25"/>
      <c r="C179" s="110"/>
      <c r="D179" s="36"/>
      <c r="E179" s="25"/>
      <c r="F179" s="108"/>
      <c r="G179" s="26"/>
      <c r="H179" s="26"/>
      <c r="I179" s="26"/>
      <c r="J179" s="26"/>
      <c r="K179" s="26"/>
      <c r="L179" s="26"/>
      <c r="O179" s="25"/>
      <c r="P179" s="25"/>
      <c r="Q179" s="25"/>
      <c r="R179" s="25"/>
      <c r="S179" s="25"/>
    </row>
    <row r="180" spans="1:19" s="88" customFormat="1" ht="15.75" x14ac:dyDescent="0.25">
      <c r="A180" s="25"/>
      <c r="B180" s="25"/>
      <c r="C180" s="110"/>
      <c r="D180" s="36"/>
      <c r="E180" s="25"/>
      <c r="F180" s="108"/>
      <c r="G180" s="26"/>
      <c r="H180" s="26"/>
      <c r="I180" s="26"/>
      <c r="J180" s="26"/>
      <c r="K180" s="26"/>
      <c r="L180" s="26"/>
      <c r="O180" s="25"/>
      <c r="P180" s="25"/>
      <c r="Q180" s="25"/>
      <c r="R180" s="25"/>
      <c r="S180" s="25"/>
    </row>
    <row r="181" spans="1:19" s="88" customFormat="1" ht="15.75" x14ac:dyDescent="0.25">
      <c r="A181" s="25"/>
      <c r="B181" s="25"/>
      <c r="C181" s="110"/>
      <c r="D181" s="36"/>
      <c r="E181" s="25"/>
      <c r="F181" s="108"/>
      <c r="G181" s="26"/>
      <c r="H181" s="26"/>
      <c r="I181" s="26"/>
      <c r="J181" s="26"/>
      <c r="K181" s="26"/>
      <c r="L181" s="26"/>
      <c r="O181" s="25"/>
      <c r="P181" s="25"/>
      <c r="Q181" s="25"/>
      <c r="R181" s="25"/>
      <c r="S181" s="25"/>
    </row>
    <row r="182" spans="1:19" s="88" customFormat="1" ht="15.75" x14ac:dyDescent="0.25">
      <c r="A182" s="25"/>
      <c r="B182" s="25"/>
      <c r="C182" s="110"/>
      <c r="D182" s="36"/>
      <c r="E182" s="25"/>
      <c r="F182" s="108"/>
      <c r="G182" s="26"/>
      <c r="H182" s="26"/>
      <c r="I182" s="26"/>
      <c r="J182" s="26"/>
      <c r="K182" s="26"/>
      <c r="L182" s="26"/>
      <c r="O182" s="25"/>
      <c r="P182" s="25"/>
      <c r="Q182" s="25"/>
      <c r="R182" s="25"/>
      <c r="S182" s="25"/>
    </row>
    <row r="183" spans="1:19" s="88" customFormat="1" ht="15.75" x14ac:dyDescent="0.25">
      <c r="A183" s="25"/>
      <c r="B183" s="25"/>
      <c r="C183" s="110"/>
      <c r="D183" s="36"/>
      <c r="E183" s="25"/>
      <c r="F183" s="108"/>
      <c r="G183" s="26"/>
      <c r="H183" s="26"/>
      <c r="I183" s="26"/>
      <c r="J183" s="26"/>
      <c r="K183" s="26"/>
      <c r="L183" s="26"/>
      <c r="O183" s="25"/>
      <c r="P183" s="25"/>
      <c r="Q183" s="25"/>
      <c r="R183" s="25"/>
      <c r="S183" s="25"/>
    </row>
    <row r="184" spans="1:19" s="88" customFormat="1" ht="15.75" x14ac:dyDescent="0.25">
      <c r="A184" s="25"/>
      <c r="B184" s="25"/>
      <c r="C184" s="110"/>
      <c r="D184" s="36"/>
      <c r="E184" s="25"/>
      <c r="F184" s="108"/>
      <c r="G184" s="26"/>
      <c r="H184" s="26"/>
      <c r="I184" s="26"/>
      <c r="J184" s="26"/>
      <c r="K184" s="26"/>
      <c r="L184" s="26"/>
      <c r="O184" s="25"/>
      <c r="P184" s="25"/>
      <c r="Q184" s="25"/>
      <c r="R184" s="25"/>
      <c r="S184" s="25"/>
    </row>
    <row r="185" spans="1:19" s="88" customFormat="1" ht="15.75" x14ac:dyDescent="0.25">
      <c r="A185" s="25"/>
      <c r="B185" s="25"/>
      <c r="C185" s="110"/>
      <c r="D185" s="36"/>
      <c r="E185" s="25"/>
      <c r="F185" s="108"/>
      <c r="G185" s="26"/>
      <c r="H185" s="26"/>
      <c r="I185" s="26"/>
      <c r="J185" s="26"/>
      <c r="K185" s="26"/>
      <c r="L185" s="26"/>
      <c r="O185" s="25"/>
      <c r="P185" s="25"/>
      <c r="Q185" s="25"/>
      <c r="R185" s="25"/>
      <c r="S185" s="25"/>
    </row>
    <row r="186" spans="1:19" s="88" customFormat="1" ht="15.75" x14ac:dyDescent="0.25">
      <c r="A186" s="25"/>
      <c r="B186" s="25"/>
      <c r="C186" s="110"/>
      <c r="D186" s="36"/>
      <c r="E186" s="25"/>
      <c r="F186" s="108"/>
      <c r="G186" s="26"/>
      <c r="H186" s="26"/>
      <c r="I186" s="26"/>
      <c r="J186" s="26"/>
      <c r="K186" s="26"/>
      <c r="L186" s="26"/>
      <c r="O186" s="25"/>
      <c r="P186" s="25"/>
      <c r="Q186" s="25"/>
      <c r="R186" s="25"/>
      <c r="S186" s="25"/>
    </row>
    <row r="187" spans="1:19" s="88" customFormat="1" ht="15.75" x14ac:dyDescent="0.25">
      <c r="A187" s="25"/>
      <c r="B187" s="25"/>
      <c r="C187" s="110"/>
      <c r="D187" s="36"/>
      <c r="E187" s="25"/>
      <c r="F187" s="108"/>
      <c r="G187" s="26"/>
      <c r="H187" s="26"/>
      <c r="I187" s="26"/>
      <c r="J187" s="26"/>
      <c r="K187" s="26"/>
      <c r="L187" s="26"/>
      <c r="O187" s="25"/>
      <c r="P187" s="25"/>
      <c r="Q187" s="25"/>
      <c r="R187" s="25"/>
      <c r="S187" s="25"/>
    </row>
    <row r="188" spans="1:19" s="88" customFormat="1" ht="15.75" x14ac:dyDescent="0.25">
      <c r="A188" s="25"/>
      <c r="B188" s="25"/>
      <c r="C188" s="110"/>
      <c r="D188" s="36"/>
      <c r="E188" s="25"/>
      <c r="F188" s="108"/>
      <c r="G188" s="26"/>
      <c r="H188" s="26"/>
      <c r="I188" s="26"/>
      <c r="J188" s="26"/>
      <c r="K188" s="26"/>
      <c r="L188" s="26"/>
      <c r="O188" s="25"/>
      <c r="P188" s="25"/>
      <c r="Q188" s="25"/>
      <c r="R188" s="25"/>
      <c r="S188" s="25"/>
    </row>
  </sheetData>
  <mergeCells count="1">
    <mergeCell ref="H1:L1"/>
  </mergeCells>
  <conditionalFormatting sqref="D4:D7">
    <cfRule type="cellIs" dxfId="24" priority="29" operator="equal">
      <formula>0</formula>
    </cfRule>
  </conditionalFormatting>
  <dataValidations count="1">
    <dataValidation type="list" allowBlank="1" showInputMessage="1" sqref="H3:L3" xr:uid="{A4A0A67B-0C2E-48F3-A9E8-4F17AD6E46CC}">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EEDA3AF5-5703-4427-B8EC-E1D1070DF297}">
          <x14:formula1>
            <xm:f>Unit!$A$4:$A$11</xm:f>
          </x14:formula1>
          <xm:sqref>D3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40929-74B0-4E2D-910D-643D0BC1D9FE}">
  <sheetPr codeName="Sheet51">
    <tabColor rgb="FF00B0F0"/>
  </sheetPr>
  <dimension ref="A1:AL55"/>
  <sheetViews>
    <sheetView workbookViewId="0">
      <selection sqref="A1:O3"/>
    </sheetView>
  </sheetViews>
  <sheetFormatPr defaultColWidth="8.5703125" defaultRowHeight="15" outlineLevelRow="1" x14ac:dyDescent="0.25"/>
  <cols>
    <col min="1" max="1" width="12.85546875" bestFit="1" customWidth="1"/>
    <col min="2" max="2" width="37" bestFit="1" customWidth="1"/>
    <col min="3" max="3" width="14.5703125" bestFit="1" customWidth="1"/>
    <col min="4" max="4" width="11.85546875" customWidth="1"/>
    <col min="5" max="6" width="10.85546875" customWidth="1"/>
    <col min="8" max="8" width="9.85546875" bestFit="1" customWidth="1"/>
    <col min="9" max="9" width="12.42578125" customWidth="1"/>
    <col min="10" max="10" width="11.140625" bestFit="1" customWidth="1"/>
    <col min="11" max="11" width="14.5703125" bestFit="1" customWidth="1"/>
    <col min="17" max="17" width="12" customWidth="1"/>
    <col min="19" max="19" width="11.42578125" bestFit="1" customWidth="1"/>
  </cols>
  <sheetData>
    <row r="1" spans="1:38" s="187" customFormat="1" ht="15" customHeight="1" x14ac:dyDescent="0.3">
      <c r="A1" s="615" t="s">
        <v>707</v>
      </c>
      <c r="B1" s="615"/>
      <c r="C1" s="616"/>
      <c r="D1" s="616"/>
      <c r="E1" s="616"/>
      <c r="F1" s="616"/>
      <c r="G1" s="616"/>
      <c r="H1" s="616"/>
      <c r="I1" s="616"/>
      <c r="J1" s="616"/>
      <c r="K1" s="616"/>
      <c r="L1" s="616"/>
      <c r="M1" s="616"/>
      <c r="N1" s="616"/>
      <c r="O1" s="616"/>
      <c r="P1" s="619" t="s">
        <v>150</v>
      </c>
      <c r="Q1" s="617"/>
      <c r="R1" s="227"/>
      <c r="S1" s="227"/>
      <c r="U1" s="184"/>
      <c r="V1" s="184"/>
      <c r="W1" s="184"/>
      <c r="X1" s="184"/>
      <c r="Y1" s="184"/>
      <c r="Z1" s="184"/>
      <c r="AA1" s="184"/>
      <c r="AB1" s="184"/>
      <c r="AC1" s="184"/>
      <c r="AI1" s="9"/>
      <c r="AJ1" s="9"/>
    </row>
    <row r="2" spans="1:38" s="187" customFormat="1" ht="15.75" customHeight="1" x14ac:dyDescent="0.3">
      <c r="A2" s="616"/>
      <c r="B2" s="616"/>
      <c r="C2" s="617"/>
      <c r="D2" s="617"/>
      <c r="E2" s="617"/>
      <c r="F2" s="617"/>
      <c r="G2" s="617"/>
      <c r="H2" s="617"/>
      <c r="I2" s="617"/>
      <c r="J2" s="617"/>
      <c r="K2" s="617"/>
      <c r="L2" s="617"/>
      <c r="M2" s="617"/>
      <c r="N2" s="617"/>
      <c r="O2" s="616"/>
      <c r="P2" s="617"/>
      <c r="Q2" s="617"/>
      <c r="R2" s="227"/>
      <c r="S2" s="227"/>
      <c r="U2" s="184"/>
      <c r="V2" s="184"/>
      <c r="W2" s="184"/>
      <c r="X2" s="184"/>
      <c r="Y2" s="184"/>
      <c r="Z2" s="184"/>
      <c r="AA2" s="184"/>
      <c r="AB2" s="184"/>
      <c r="AC2" s="184"/>
      <c r="AI2" s="9"/>
      <c r="AJ2" s="9"/>
    </row>
    <row r="3" spans="1:38" s="187" customFormat="1" ht="15" customHeight="1" thickBot="1" x14ac:dyDescent="0.35">
      <c r="A3" s="618"/>
      <c r="B3" s="618"/>
      <c r="C3" s="618"/>
      <c r="D3" s="618"/>
      <c r="E3" s="618"/>
      <c r="F3" s="618"/>
      <c r="G3" s="618"/>
      <c r="H3" s="618"/>
      <c r="I3" s="618"/>
      <c r="J3" s="618"/>
      <c r="K3" s="618"/>
      <c r="L3" s="618"/>
      <c r="M3" s="618"/>
      <c r="N3" s="618"/>
      <c r="O3" s="618"/>
      <c r="P3" s="620">
        <v>44316</v>
      </c>
      <c r="Q3" s="617"/>
      <c r="R3" s="227"/>
      <c r="S3" s="227"/>
      <c r="U3" s="184"/>
      <c r="V3" s="184"/>
      <c r="W3" s="184"/>
      <c r="X3" s="184"/>
      <c r="Y3" s="184"/>
      <c r="Z3" s="184"/>
      <c r="AA3" s="184"/>
      <c r="AB3" s="184"/>
      <c r="AC3" s="184"/>
      <c r="AI3" s="9"/>
      <c r="AJ3" s="9"/>
    </row>
    <row r="4" spans="1:38" s="187" customFormat="1" ht="42.75" customHeight="1" x14ac:dyDescent="0.3">
      <c r="A4" s="6" t="s">
        <v>14</v>
      </c>
      <c r="B4" s="6" t="s">
        <v>715</v>
      </c>
      <c r="C4" s="6" t="s">
        <v>705</v>
      </c>
      <c r="D4" s="6" t="s">
        <v>706</v>
      </c>
      <c r="E4" s="6" t="s">
        <v>9</v>
      </c>
      <c r="F4" s="6" t="s">
        <v>781</v>
      </c>
      <c r="G4" s="6" t="s">
        <v>149</v>
      </c>
      <c r="H4" s="189" t="s">
        <v>510</v>
      </c>
      <c r="I4" s="190" t="s">
        <v>511</v>
      </c>
      <c r="J4" s="5" t="s">
        <v>26</v>
      </c>
      <c r="K4" s="5" t="s">
        <v>27</v>
      </c>
      <c r="L4" s="5" t="s">
        <v>28</v>
      </c>
      <c r="M4" s="5" t="s">
        <v>34</v>
      </c>
      <c r="N4" s="5" t="s">
        <v>32</v>
      </c>
      <c r="O4" s="5" t="s">
        <v>3</v>
      </c>
      <c r="P4" s="9"/>
      <c r="Q4" s="228"/>
      <c r="R4" s="225"/>
      <c r="S4" s="225"/>
      <c r="T4" s="9"/>
      <c r="U4" s="184"/>
      <c r="V4" s="184"/>
      <c r="W4" s="184"/>
      <c r="X4" s="184"/>
      <c r="Y4" s="184"/>
      <c r="Z4" s="184"/>
      <c r="AA4" s="184"/>
      <c r="AB4" s="184"/>
      <c r="AC4" s="184"/>
      <c r="AI4" s="9"/>
      <c r="AJ4" s="9"/>
      <c r="AK4" s="9"/>
      <c r="AL4" s="9"/>
    </row>
    <row r="5" spans="1:38" s="187" customFormat="1" ht="21.75" hidden="1" customHeight="1" outlineLevel="1" x14ac:dyDescent="0.35">
      <c r="A5" s="621" t="s">
        <v>710</v>
      </c>
      <c r="B5" s="621"/>
      <c r="C5" s="621"/>
      <c r="D5" s="621"/>
      <c r="E5" s="621"/>
      <c r="F5" s="621"/>
      <c r="G5" s="621"/>
      <c r="H5" s="621"/>
      <c r="I5" s="621"/>
      <c r="J5" s="621"/>
      <c r="K5" s="621"/>
      <c r="L5" s="621"/>
      <c r="M5" s="621"/>
      <c r="N5" s="621"/>
      <c r="O5" s="621"/>
      <c r="Q5" s="229" t="s">
        <v>705</v>
      </c>
      <c r="R5" s="229" t="s">
        <v>706</v>
      </c>
      <c r="S5" s="229" t="s">
        <v>9</v>
      </c>
    </row>
    <row r="6" spans="1:38" s="187" customFormat="1" hidden="1" outlineLevel="1" x14ac:dyDescent="0.25">
      <c r="A6" s="205" t="s">
        <v>710</v>
      </c>
      <c r="B6" s="206" t="str">
        <f>C6&amp;D6&amp;E6&amp;F6</f>
        <v>1masonryup to 165m2average</v>
      </c>
      <c r="C6" s="4">
        <v>1</v>
      </c>
      <c r="D6" s="4" t="s">
        <v>709</v>
      </c>
      <c r="E6" s="4" t="s">
        <v>711</v>
      </c>
      <c r="F6" s="4" t="s">
        <v>543</v>
      </c>
      <c r="G6" s="4" t="s">
        <v>11</v>
      </c>
      <c r="H6" s="192">
        <v>34.229999999999997</v>
      </c>
      <c r="I6" s="198"/>
      <c r="J6" s="188">
        <f>IF(Notes!$B$9="Domestic",H6, IF(Notes!$B$9="Commercial",I6))</f>
        <v>0</v>
      </c>
      <c r="K6" s="186">
        <v>47.13</v>
      </c>
      <c r="L6" s="8">
        <v>2.5099999999999998</v>
      </c>
      <c r="M6" s="8"/>
      <c r="N6" s="7"/>
      <c r="O6" s="3">
        <f t="shared" ref="O6:O38" si="0">IF(N6&gt;0,N6,SUM(J6:M6))</f>
        <v>49.64</v>
      </c>
      <c r="P6" s="184"/>
      <c r="Q6" s="226">
        <v>1</v>
      </c>
      <c r="R6" s="226" t="s">
        <v>708</v>
      </c>
      <c r="S6" s="226" t="s">
        <v>711</v>
      </c>
      <c r="T6" s="184"/>
      <c r="U6" s="184"/>
      <c r="V6" s="184"/>
      <c r="W6" s="184"/>
      <c r="X6" s="184"/>
      <c r="Y6" s="184"/>
      <c r="Z6" s="184"/>
      <c r="AA6" s="184"/>
      <c r="AB6" s="184"/>
      <c r="AC6" s="184"/>
    </row>
    <row r="7" spans="1:38" s="187" customFormat="1" hidden="1" outlineLevel="1" x14ac:dyDescent="0.25">
      <c r="A7" s="205" t="s">
        <v>710</v>
      </c>
      <c r="B7" s="206" t="str">
        <f t="shared" ref="B7:B53" si="1">C7&amp;D7&amp;E7&amp;F7</f>
        <v>1masonry166 to 235m2average</v>
      </c>
      <c r="C7" s="4">
        <v>1</v>
      </c>
      <c r="D7" s="4" t="s">
        <v>709</v>
      </c>
      <c r="E7" s="4" t="s">
        <v>712</v>
      </c>
      <c r="F7" s="4" t="s">
        <v>543</v>
      </c>
      <c r="G7" s="4" t="s">
        <v>11</v>
      </c>
      <c r="H7" s="192">
        <v>26.96</v>
      </c>
      <c r="I7" s="198"/>
      <c r="J7" s="188">
        <f>IF(Notes!$B$9="Domestic",H7, IF(Notes!$B$9="Commercial",I7))</f>
        <v>0</v>
      </c>
      <c r="K7" s="186">
        <v>32.28</v>
      </c>
      <c r="L7" s="186">
        <v>2.52</v>
      </c>
      <c r="M7" s="8"/>
      <c r="N7" s="7"/>
      <c r="O7" s="3">
        <f t="shared" si="0"/>
        <v>34.800000000000004</v>
      </c>
      <c r="P7" s="184"/>
      <c r="Q7" s="226">
        <v>2</v>
      </c>
      <c r="R7" s="226" t="s">
        <v>709</v>
      </c>
      <c r="S7" s="226" t="s">
        <v>712</v>
      </c>
      <c r="T7" s="184"/>
      <c r="U7" s="184"/>
      <c r="V7" s="184"/>
      <c r="W7" s="184"/>
      <c r="X7" s="184"/>
      <c r="Y7" s="184"/>
      <c r="Z7" s="184"/>
      <c r="AA7" s="184"/>
      <c r="AB7" s="184"/>
      <c r="AC7" s="184"/>
    </row>
    <row r="8" spans="1:38" s="187" customFormat="1" hidden="1" outlineLevel="1" x14ac:dyDescent="0.25">
      <c r="A8" s="205" t="s">
        <v>710</v>
      </c>
      <c r="B8" s="206" t="str">
        <f t="shared" si="1"/>
        <v>1masonry236 to 305m2average</v>
      </c>
      <c r="C8" s="4">
        <v>1</v>
      </c>
      <c r="D8" s="4" t="s">
        <v>709</v>
      </c>
      <c r="E8" s="4" t="s">
        <v>713</v>
      </c>
      <c r="F8" s="4" t="s">
        <v>543</v>
      </c>
      <c r="G8" s="4" t="s">
        <v>11</v>
      </c>
      <c r="H8" s="192">
        <v>22.97</v>
      </c>
      <c r="I8" s="198"/>
      <c r="J8" s="188">
        <f>IF(Notes!$B$9="Domestic",H8, IF(Notes!$B$9="Commercial",I8))</f>
        <v>0</v>
      </c>
      <c r="K8" s="186">
        <v>24.64</v>
      </c>
      <c r="L8" s="186">
        <v>2.52</v>
      </c>
      <c r="M8" s="8"/>
      <c r="N8" s="7"/>
      <c r="O8" s="3">
        <f t="shared" si="0"/>
        <v>27.16</v>
      </c>
      <c r="P8" s="184"/>
      <c r="Q8" s="226"/>
      <c r="R8" s="226"/>
      <c r="S8" s="226" t="s">
        <v>713</v>
      </c>
      <c r="T8" s="184"/>
      <c r="U8" s="184"/>
      <c r="V8" s="184"/>
      <c r="W8" s="184"/>
      <c r="X8" s="184"/>
      <c r="Y8" s="184"/>
      <c r="Z8" s="184"/>
      <c r="AA8" s="184"/>
      <c r="AB8" s="184"/>
      <c r="AC8" s="184"/>
    </row>
    <row r="9" spans="1:38" s="187" customFormat="1" hidden="1" outlineLevel="1" x14ac:dyDescent="0.25">
      <c r="A9" s="205" t="s">
        <v>710</v>
      </c>
      <c r="B9" s="206" t="str">
        <f t="shared" si="1"/>
        <v>1masonry306m2 plusaverage</v>
      </c>
      <c r="C9" s="4">
        <v>1</v>
      </c>
      <c r="D9" s="4" t="s">
        <v>709</v>
      </c>
      <c r="E9" s="4" t="s">
        <v>714</v>
      </c>
      <c r="F9" s="4" t="s">
        <v>543</v>
      </c>
      <c r="G9" s="4" t="s">
        <v>11</v>
      </c>
      <c r="H9" s="192">
        <v>21.62</v>
      </c>
      <c r="I9" s="198"/>
      <c r="J9" s="188">
        <f>IF(Notes!$B$9="Domestic",H9, IF(Notes!$B$9="Commercial",I9))</f>
        <v>0</v>
      </c>
      <c r="K9" s="186">
        <v>21.83</v>
      </c>
      <c r="L9" s="186">
        <v>2.52</v>
      </c>
      <c r="M9" s="8"/>
      <c r="N9" s="7"/>
      <c r="O9" s="3">
        <f t="shared" si="0"/>
        <v>24.349999999999998</v>
      </c>
      <c r="P9" s="184"/>
      <c r="Q9" s="226"/>
      <c r="R9" s="226"/>
      <c r="S9" s="226" t="s">
        <v>714</v>
      </c>
      <c r="T9" s="184"/>
      <c r="U9" s="184"/>
      <c r="V9" s="184"/>
      <c r="W9" s="184"/>
      <c r="X9" s="184"/>
      <c r="Y9" s="184"/>
      <c r="Z9" s="184"/>
      <c r="AA9" s="184"/>
      <c r="AB9" s="184"/>
      <c r="AC9" s="184"/>
    </row>
    <row r="10" spans="1:38" s="187" customFormat="1" hidden="1" outlineLevel="1" x14ac:dyDescent="0.25">
      <c r="A10" s="205" t="s">
        <v>710</v>
      </c>
      <c r="B10" s="206" t="str">
        <f t="shared" si="1"/>
        <v>1timberup to 165m2average</v>
      </c>
      <c r="C10" s="4">
        <v>1</v>
      </c>
      <c r="D10" s="4" t="s">
        <v>708</v>
      </c>
      <c r="E10" s="4" t="s">
        <v>711</v>
      </c>
      <c r="F10" s="4" t="s">
        <v>543</v>
      </c>
      <c r="G10" s="4" t="s">
        <v>11</v>
      </c>
      <c r="H10" s="192">
        <v>25.2</v>
      </c>
      <c r="I10" s="198"/>
      <c r="J10" s="188">
        <f>IF(Notes!$B$9="Domestic",H10, IF(Notes!$B$9="Commercial",I10))</f>
        <v>0</v>
      </c>
      <c r="K10" s="186">
        <v>42.91</v>
      </c>
      <c r="L10" s="8"/>
      <c r="M10" s="8"/>
      <c r="N10" s="7"/>
      <c r="O10" s="3">
        <f t="shared" si="0"/>
        <v>42.91</v>
      </c>
      <c r="P10" s="184"/>
      <c r="Q10" s="226"/>
      <c r="R10" s="226"/>
      <c r="S10" s="226"/>
      <c r="T10" s="184"/>
      <c r="U10" s="184"/>
      <c r="V10" s="184"/>
      <c r="W10" s="184"/>
      <c r="X10" s="184"/>
      <c r="Y10" s="184"/>
      <c r="Z10" s="184"/>
      <c r="AA10" s="184"/>
      <c r="AB10" s="184"/>
      <c r="AC10" s="184"/>
    </row>
    <row r="11" spans="1:38" s="187" customFormat="1" hidden="1" outlineLevel="1" x14ac:dyDescent="0.25">
      <c r="A11" s="205" t="s">
        <v>710</v>
      </c>
      <c r="B11" s="206" t="str">
        <f t="shared" si="1"/>
        <v>1timber166 to 235m2average</v>
      </c>
      <c r="C11" s="4">
        <v>1</v>
      </c>
      <c r="D11" s="4" t="s">
        <v>708</v>
      </c>
      <c r="E11" s="4" t="s">
        <v>712</v>
      </c>
      <c r="F11" s="4" t="s">
        <v>543</v>
      </c>
      <c r="G11" s="4" t="s">
        <v>11</v>
      </c>
      <c r="H11" s="192">
        <v>18.28</v>
      </c>
      <c r="I11" s="198"/>
      <c r="J11" s="188">
        <f>IF(Notes!$B$9="Domestic",H11, IF(Notes!$B$9="Commercial",I11))</f>
        <v>0</v>
      </c>
      <c r="K11" s="186">
        <v>29.05</v>
      </c>
      <c r="L11" s="8"/>
      <c r="M11" s="8"/>
      <c r="N11" s="7"/>
      <c r="O11" s="3">
        <f t="shared" si="0"/>
        <v>29.05</v>
      </c>
      <c r="P11" s="184"/>
      <c r="Q11" s="226"/>
      <c r="R11" s="226"/>
      <c r="S11" s="226"/>
      <c r="T11" s="184"/>
      <c r="U11" s="184"/>
      <c r="V11" s="184"/>
      <c r="W11" s="184"/>
      <c r="X11" s="184"/>
      <c r="Y11" s="184"/>
      <c r="Z11" s="184"/>
      <c r="AA11" s="184"/>
      <c r="AB11" s="184"/>
      <c r="AC11" s="184"/>
    </row>
    <row r="12" spans="1:38" s="187" customFormat="1" hidden="1" outlineLevel="1" x14ac:dyDescent="0.25">
      <c r="A12" s="205" t="s">
        <v>710</v>
      </c>
      <c r="B12" s="206" t="str">
        <f t="shared" si="1"/>
        <v>1timber236 to 305m2average</v>
      </c>
      <c r="C12" s="4">
        <v>1</v>
      </c>
      <c r="D12" s="4" t="s">
        <v>708</v>
      </c>
      <c r="E12" s="4" t="s">
        <v>713</v>
      </c>
      <c r="F12" s="4" t="s">
        <v>543</v>
      </c>
      <c r="G12" s="4" t="s">
        <v>11</v>
      </c>
      <c r="H12" s="192">
        <v>14.59</v>
      </c>
      <c r="I12" s="198"/>
      <c r="J12" s="188">
        <f>IF(Notes!$B$9="Domestic",H12, IF(Notes!$B$9="Commercial",I12))</f>
        <v>0</v>
      </c>
      <c r="K12" s="186">
        <v>21.94</v>
      </c>
      <c r="L12" s="8"/>
      <c r="M12" s="8"/>
      <c r="N12" s="7"/>
      <c r="O12" s="3">
        <f t="shared" si="0"/>
        <v>21.94</v>
      </c>
      <c r="P12" s="184"/>
      <c r="Q12" s="226"/>
      <c r="R12" s="226"/>
      <c r="S12" s="226"/>
      <c r="T12" s="184"/>
      <c r="U12" s="184"/>
      <c r="V12" s="184"/>
      <c r="W12" s="184"/>
      <c r="X12" s="184"/>
      <c r="Y12" s="184"/>
      <c r="Z12" s="184"/>
      <c r="AA12" s="184"/>
      <c r="AB12" s="184"/>
      <c r="AC12" s="184"/>
    </row>
    <row r="13" spans="1:38" s="187" customFormat="1" hidden="1" outlineLevel="1" x14ac:dyDescent="0.25">
      <c r="A13" s="205" t="s">
        <v>710</v>
      </c>
      <c r="B13" s="206" t="str">
        <f t="shared" si="1"/>
        <v>1timber306m2 plusaverage</v>
      </c>
      <c r="C13" s="4">
        <v>1</v>
      </c>
      <c r="D13" s="4" t="s">
        <v>708</v>
      </c>
      <c r="E13" s="4" t="s">
        <v>714</v>
      </c>
      <c r="F13" s="4" t="s">
        <v>543</v>
      </c>
      <c r="G13" s="4" t="s">
        <v>11</v>
      </c>
      <c r="H13" s="192">
        <v>13.21</v>
      </c>
      <c r="I13" s="198"/>
      <c r="J13" s="188">
        <f>IF(Notes!$B$9="Domestic",H13, IF(Notes!$B$9="Commercial",I13))</f>
        <v>0</v>
      </c>
      <c r="K13" s="186">
        <v>19.21</v>
      </c>
      <c r="L13" s="8"/>
      <c r="M13" s="8"/>
      <c r="N13" s="7"/>
      <c r="O13" s="3">
        <f t="shared" ref="O13:O36" si="2">IF(N13&gt;0,N13,SUM(J13:M13))</f>
        <v>19.21</v>
      </c>
      <c r="P13" s="184"/>
      <c r="Q13" s="226"/>
      <c r="R13" s="226"/>
      <c r="S13" s="226"/>
      <c r="T13" s="184"/>
      <c r="U13" s="184"/>
      <c r="V13" s="184"/>
      <c r="W13" s="184"/>
      <c r="X13" s="184"/>
      <c r="Y13" s="184"/>
      <c r="Z13" s="184"/>
      <c r="AA13" s="184"/>
      <c r="AB13" s="184"/>
      <c r="AC13" s="184"/>
    </row>
    <row r="14" spans="1:38" s="187" customFormat="1" hidden="1" outlineLevel="1" x14ac:dyDescent="0.25">
      <c r="A14" s="205" t="s">
        <v>710</v>
      </c>
      <c r="B14" s="206" t="str">
        <f t="shared" si="1"/>
        <v>2masonryup to 165m2average</v>
      </c>
      <c r="C14" s="4">
        <v>2</v>
      </c>
      <c r="D14" s="4" t="s">
        <v>709</v>
      </c>
      <c r="E14" s="4" t="s">
        <v>711</v>
      </c>
      <c r="F14" s="4" t="s">
        <v>543</v>
      </c>
      <c r="G14" s="4" t="s">
        <v>11</v>
      </c>
      <c r="H14" s="192">
        <v>27.19</v>
      </c>
      <c r="I14" s="198"/>
      <c r="J14" s="188">
        <f>IF(Notes!$B$9="Domestic",H14, IF(Notes!$B$9="Commercial",I14))</f>
        <v>0</v>
      </c>
      <c r="K14" s="186">
        <v>32.1</v>
      </c>
      <c r="L14" s="7">
        <v>2.52</v>
      </c>
      <c r="M14" s="8"/>
      <c r="N14" s="7"/>
      <c r="O14" s="3">
        <f t="shared" si="2"/>
        <v>34.620000000000005</v>
      </c>
      <c r="P14" s="184"/>
      <c r="Q14" s="226"/>
      <c r="R14" s="226"/>
      <c r="S14" s="226"/>
      <c r="T14" s="184"/>
      <c r="U14" s="184"/>
      <c r="V14" s="184"/>
      <c r="W14" s="184"/>
      <c r="X14" s="184"/>
      <c r="Y14" s="184"/>
      <c r="Z14" s="184"/>
      <c r="AA14" s="184"/>
      <c r="AB14" s="184"/>
      <c r="AC14" s="184"/>
    </row>
    <row r="15" spans="1:38" s="187" customFormat="1" hidden="1" outlineLevel="1" x14ac:dyDescent="0.25">
      <c r="A15" s="205" t="s">
        <v>710</v>
      </c>
      <c r="B15" s="206" t="str">
        <f t="shared" si="1"/>
        <v>2masonry166 to 235m2average</v>
      </c>
      <c r="C15" s="4">
        <v>2</v>
      </c>
      <c r="D15" s="4" t="s">
        <v>709</v>
      </c>
      <c r="E15" s="4" t="s">
        <v>712</v>
      </c>
      <c r="F15" s="4" t="s">
        <v>543</v>
      </c>
      <c r="G15" s="4" t="s">
        <v>11</v>
      </c>
      <c r="H15" s="192">
        <v>22.54</v>
      </c>
      <c r="I15" s="198"/>
      <c r="J15" s="188">
        <f>IF(Notes!$B$9="Domestic",H15, IF(Notes!$B$9="Commercial",I15))</f>
        <v>0</v>
      </c>
      <c r="K15" s="186">
        <v>26.06</v>
      </c>
      <c r="L15" s="7">
        <v>2</v>
      </c>
      <c r="M15" s="8"/>
      <c r="N15" s="7"/>
      <c r="O15" s="3">
        <f t="shared" si="2"/>
        <v>28.06</v>
      </c>
      <c r="P15" s="184"/>
      <c r="Q15" s="226"/>
      <c r="R15" s="226"/>
      <c r="S15" s="226"/>
      <c r="T15" s="184"/>
      <c r="U15" s="184"/>
      <c r="V15" s="184"/>
      <c r="W15" s="184"/>
      <c r="X15" s="184"/>
      <c r="Y15" s="184"/>
      <c r="Z15" s="184"/>
      <c r="AA15" s="184"/>
      <c r="AB15" s="184"/>
      <c r="AC15" s="184"/>
    </row>
    <row r="16" spans="1:38" s="187" customFormat="1" hidden="1" outlineLevel="1" x14ac:dyDescent="0.25">
      <c r="A16" s="205" t="s">
        <v>710</v>
      </c>
      <c r="B16" s="206" t="str">
        <f t="shared" si="1"/>
        <v>2masonry236 to 305m2average</v>
      </c>
      <c r="C16" s="4">
        <v>2</v>
      </c>
      <c r="D16" s="4" t="s">
        <v>709</v>
      </c>
      <c r="E16" s="4" t="s">
        <v>713</v>
      </c>
      <c r="F16" s="4" t="s">
        <v>543</v>
      </c>
      <c r="G16" s="4" t="s">
        <v>11</v>
      </c>
      <c r="H16" s="192">
        <v>20.2</v>
      </c>
      <c r="I16" s="198"/>
      <c r="J16" s="188">
        <f>IF(Notes!$B$9="Domestic",H16, IF(Notes!$B$9="Commercial",I16))</f>
        <v>0</v>
      </c>
      <c r="K16" s="186">
        <v>22.29</v>
      </c>
      <c r="L16" s="7">
        <v>1.92</v>
      </c>
      <c r="M16" s="8"/>
      <c r="N16" s="7"/>
      <c r="O16" s="3">
        <f t="shared" si="2"/>
        <v>24.21</v>
      </c>
      <c r="P16" s="184"/>
      <c r="Q16" s="226"/>
      <c r="R16" s="226"/>
      <c r="S16" s="226"/>
      <c r="T16" s="184"/>
      <c r="U16" s="184"/>
      <c r="V16" s="184"/>
      <c r="W16" s="184"/>
      <c r="X16" s="184"/>
      <c r="Y16" s="184"/>
      <c r="Z16" s="184"/>
      <c r="AA16" s="184"/>
      <c r="AB16" s="184"/>
      <c r="AC16" s="184"/>
    </row>
    <row r="17" spans="1:29" s="187" customFormat="1" hidden="1" outlineLevel="1" x14ac:dyDescent="0.25">
      <c r="A17" s="205" t="s">
        <v>710</v>
      </c>
      <c r="B17" s="206" t="str">
        <f t="shared" si="1"/>
        <v>2masonry306m2 plusaverage</v>
      </c>
      <c r="C17" s="4">
        <v>2</v>
      </c>
      <c r="D17" s="4" t="s">
        <v>709</v>
      </c>
      <c r="E17" s="4" t="s">
        <v>714</v>
      </c>
      <c r="F17" s="4" t="s">
        <v>543</v>
      </c>
      <c r="G17" s="4" t="s">
        <v>11</v>
      </c>
      <c r="H17" s="192">
        <v>17.73</v>
      </c>
      <c r="I17" s="198"/>
      <c r="J17" s="188">
        <f>IF(Notes!$B$9="Domestic",H17, IF(Notes!$B$9="Commercial",I17))</f>
        <v>0</v>
      </c>
      <c r="K17" s="186">
        <v>19.41</v>
      </c>
      <c r="L17" s="7">
        <v>1.59</v>
      </c>
      <c r="M17" s="8"/>
      <c r="N17" s="7"/>
      <c r="O17" s="3">
        <f t="shared" si="2"/>
        <v>21</v>
      </c>
      <c r="P17" s="184"/>
      <c r="Q17" s="226"/>
      <c r="R17" s="226"/>
      <c r="S17" s="226"/>
      <c r="T17" s="184"/>
      <c r="U17" s="184"/>
      <c r="V17" s="184"/>
      <c r="W17" s="184"/>
      <c r="X17" s="184"/>
      <c r="Y17" s="184"/>
      <c r="Z17" s="184"/>
      <c r="AA17" s="184"/>
      <c r="AB17" s="184"/>
      <c r="AC17" s="184"/>
    </row>
    <row r="18" spans="1:29" s="187" customFormat="1" hidden="1" outlineLevel="1" x14ac:dyDescent="0.25">
      <c r="A18" s="205" t="s">
        <v>710</v>
      </c>
      <c r="B18" s="206" t="str">
        <f t="shared" si="1"/>
        <v>2timberup to 165m2average</v>
      </c>
      <c r="C18" s="4">
        <v>2</v>
      </c>
      <c r="D18" s="4" t="s">
        <v>708</v>
      </c>
      <c r="E18" s="4" t="s">
        <v>711</v>
      </c>
      <c r="F18" s="4" t="s">
        <v>543</v>
      </c>
      <c r="G18" s="4" t="s">
        <v>11</v>
      </c>
      <c r="H18" s="192">
        <v>18.510000000000002</v>
      </c>
      <c r="I18" s="198"/>
      <c r="J18" s="188">
        <f>IF(Notes!$B$9="Domestic",H18, IF(Notes!$B$9="Commercial",I18))</f>
        <v>0</v>
      </c>
      <c r="K18" s="186">
        <v>28.92</v>
      </c>
      <c r="L18" s="8"/>
      <c r="M18" s="8"/>
      <c r="N18" s="7"/>
      <c r="O18" s="3">
        <f t="shared" si="2"/>
        <v>28.92</v>
      </c>
      <c r="P18" s="184"/>
      <c r="Q18" s="226"/>
      <c r="R18" s="226"/>
      <c r="S18" s="226"/>
      <c r="T18" s="184"/>
      <c r="U18" s="184"/>
      <c r="V18" s="184"/>
      <c r="W18" s="184"/>
      <c r="X18" s="184"/>
      <c r="Y18" s="184"/>
      <c r="Z18" s="184"/>
      <c r="AA18" s="184"/>
      <c r="AB18" s="184"/>
      <c r="AC18" s="184"/>
    </row>
    <row r="19" spans="1:29" s="187" customFormat="1" hidden="1" outlineLevel="1" x14ac:dyDescent="0.25">
      <c r="A19" s="205" t="s">
        <v>710</v>
      </c>
      <c r="B19" s="206" t="str">
        <f t="shared" si="1"/>
        <v>2timber166 to 235m2average</v>
      </c>
      <c r="C19" s="4">
        <v>2</v>
      </c>
      <c r="D19" s="4" t="s">
        <v>708</v>
      </c>
      <c r="E19" s="4" t="s">
        <v>712</v>
      </c>
      <c r="F19" s="4" t="s">
        <v>543</v>
      </c>
      <c r="G19" s="4" t="s">
        <v>11</v>
      </c>
      <c r="H19" s="192">
        <v>15.33</v>
      </c>
      <c r="I19" s="198"/>
      <c r="J19" s="188">
        <f>IF(Notes!$B$9="Domestic",H19, IF(Notes!$B$9="Commercial",I19))</f>
        <v>0</v>
      </c>
      <c r="K19" s="186">
        <v>22.96</v>
      </c>
      <c r="L19" s="8"/>
      <c r="M19" s="8"/>
      <c r="N19" s="7"/>
      <c r="O19" s="3">
        <f t="shared" si="2"/>
        <v>22.96</v>
      </c>
      <c r="P19" s="184"/>
      <c r="Q19" s="226"/>
      <c r="R19" s="226"/>
      <c r="S19" s="226"/>
      <c r="T19" s="184"/>
      <c r="U19" s="184"/>
      <c r="V19" s="184"/>
      <c r="W19" s="184"/>
      <c r="X19" s="184"/>
      <c r="Y19" s="184"/>
      <c r="Z19" s="184"/>
      <c r="AA19" s="184"/>
      <c r="AB19" s="184"/>
      <c r="AC19" s="184"/>
    </row>
    <row r="20" spans="1:29" s="187" customFormat="1" hidden="1" outlineLevel="1" x14ac:dyDescent="0.25">
      <c r="A20" s="205" t="s">
        <v>710</v>
      </c>
      <c r="B20" s="206" t="str">
        <f t="shared" si="1"/>
        <v>2timber236 to 305m2average</v>
      </c>
      <c r="C20" s="4">
        <v>2</v>
      </c>
      <c r="D20" s="4" t="s">
        <v>708</v>
      </c>
      <c r="E20" s="4" t="s">
        <v>713</v>
      </c>
      <c r="F20" s="4" t="s">
        <v>543</v>
      </c>
      <c r="G20" s="4" t="s">
        <v>11</v>
      </c>
      <c r="H20" s="192">
        <v>13.14</v>
      </c>
      <c r="I20" s="198"/>
      <c r="J20" s="188">
        <f>IF(Notes!$B$9="Domestic",H20, IF(Notes!$B$9="Commercial",I20))</f>
        <v>0</v>
      </c>
      <c r="K20" s="186">
        <v>19.190000000000001</v>
      </c>
      <c r="L20" s="8"/>
      <c r="M20" s="8"/>
      <c r="N20" s="7"/>
      <c r="O20" s="3">
        <f t="shared" si="2"/>
        <v>19.190000000000001</v>
      </c>
      <c r="P20" s="184"/>
      <c r="Q20" s="226"/>
      <c r="R20" s="226"/>
      <c r="S20" s="226"/>
      <c r="T20" s="184"/>
      <c r="U20" s="184"/>
      <c r="V20" s="184"/>
      <c r="W20" s="184"/>
      <c r="X20" s="184"/>
      <c r="Y20" s="184"/>
      <c r="Z20" s="184"/>
      <c r="AA20" s="184"/>
      <c r="AB20" s="184"/>
      <c r="AC20" s="184"/>
    </row>
    <row r="21" spans="1:29" s="187" customFormat="1" hidden="1" outlineLevel="1" x14ac:dyDescent="0.25">
      <c r="A21" s="205" t="s">
        <v>710</v>
      </c>
      <c r="B21" s="206" t="str">
        <f t="shared" si="1"/>
        <v>2timber306m2 plusaverage</v>
      </c>
      <c r="C21" s="4">
        <v>2</v>
      </c>
      <c r="D21" s="4" t="s">
        <v>708</v>
      </c>
      <c r="E21" s="4" t="s">
        <v>714</v>
      </c>
      <c r="F21" s="4" t="s">
        <v>543</v>
      </c>
      <c r="G21" s="4" t="s">
        <v>11</v>
      </c>
      <c r="H21" s="192">
        <v>11.96</v>
      </c>
      <c r="I21" s="198"/>
      <c r="J21" s="188">
        <f>IF(Notes!$B$9="Domestic",H21, IF(Notes!$B$9="Commercial",I21))</f>
        <v>0</v>
      </c>
      <c r="K21" s="186">
        <v>16.88</v>
      </c>
      <c r="L21" s="8"/>
      <c r="M21" s="8"/>
      <c r="N21" s="7"/>
      <c r="O21" s="3">
        <f t="shared" si="2"/>
        <v>16.88</v>
      </c>
      <c r="P21" s="184"/>
      <c r="Q21" s="226"/>
      <c r="R21" s="226"/>
      <c r="S21" s="226"/>
      <c r="T21" s="184"/>
      <c r="U21" s="184"/>
      <c r="V21" s="184"/>
      <c r="W21" s="184"/>
      <c r="X21" s="184"/>
      <c r="Y21" s="184"/>
      <c r="Z21" s="184"/>
      <c r="AA21" s="184"/>
      <c r="AB21" s="184"/>
      <c r="AC21" s="184"/>
    </row>
    <row r="22" spans="1:29" s="187" customFormat="1" hidden="1" outlineLevel="1" x14ac:dyDescent="0.25">
      <c r="A22" s="205" t="s">
        <v>710</v>
      </c>
      <c r="B22" s="206" t="str">
        <f t="shared" si="1"/>
        <v>1masonryup to 165m2quality</v>
      </c>
      <c r="C22" s="4">
        <v>1</v>
      </c>
      <c r="D22" s="4" t="s">
        <v>709</v>
      </c>
      <c r="E22" s="4" t="s">
        <v>711</v>
      </c>
      <c r="F22" s="4" t="s">
        <v>544</v>
      </c>
      <c r="G22" s="4" t="s">
        <v>11</v>
      </c>
      <c r="H22" s="192">
        <v>43.76</v>
      </c>
      <c r="I22" s="198"/>
      <c r="J22" s="188">
        <f>IF(Notes!$B$9="Domestic",H22, IF(Notes!$B$9="Commercial",I22))</f>
        <v>0</v>
      </c>
      <c r="K22" s="186">
        <v>69.64</v>
      </c>
      <c r="L22" s="8">
        <v>2.5099999999999998</v>
      </c>
      <c r="M22" s="8"/>
      <c r="N22" s="7"/>
      <c r="O22" s="3">
        <f t="shared" si="2"/>
        <v>72.150000000000006</v>
      </c>
      <c r="P22" s="184"/>
      <c r="Q22" s="226"/>
      <c r="R22" s="226"/>
      <c r="S22" s="226"/>
      <c r="T22" s="184"/>
      <c r="U22" s="184"/>
      <c r="V22" s="184"/>
      <c r="W22" s="184"/>
      <c r="X22" s="184"/>
      <c r="Y22" s="184"/>
      <c r="Z22" s="184"/>
      <c r="AA22" s="184"/>
      <c r="AB22" s="184"/>
      <c r="AC22" s="184"/>
    </row>
    <row r="23" spans="1:29" s="187" customFormat="1" hidden="1" outlineLevel="1" x14ac:dyDescent="0.25">
      <c r="A23" s="205" t="s">
        <v>710</v>
      </c>
      <c r="B23" s="206" t="str">
        <f t="shared" si="1"/>
        <v>1masonry166 to 235m2quality</v>
      </c>
      <c r="C23" s="4">
        <v>1</v>
      </c>
      <c r="D23" s="4" t="s">
        <v>709</v>
      </c>
      <c r="E23" s="4" t="s">
        <v>712</v>
      </c>
      <c r="F23" s="4" t="s">
        <v>544</v>
      </c>
      <c r="G23" s="4" t="s">
        <v>11</v>
      </c>
      <c r="H23" s="192">
        <v>33.93</v>
      </c>
      <c r="I23" s="198"/>
      <c r="J23" s="188">
        <f>IF(Notes!$B$9="Domestic",H23, IF(Notes!$B$9="Commercial",I23))</f>
        <v>0</v>
      </c>
      <c r="K23" s="186">
        <v>49.49</v>
      </c>
      <c r="L23" s="186">
        <v>2.52</v>
      </c>
      <c r="M23" s="8"/>
      <c r="N23" s="7"/>
      <c r="O23" s="3">
        <f t="shared" ref="O23:O30" si="3">IF(N23&gt;0,N23,SUM(J23:M23))</f>
        <v>52.010000000000005</v>
      </c>
      <c r="P23" s="184"/>
      <c r="Q23" s="226"/>
      <c r="R23" s="226"/>
      <c r="S23" s="226"/>
      <c r="T23" s="184"/>
      <c r="U23" s="184"/>
      <c r="V23" s="184"/>
      <c r="W23" s="184"/>
      <c r="X23" s="184"/>
      <c r="Y23" s="184"/>
      <c r="Z23" s="184"/>
      <c r="AA23" s="184"/>
      <c r="AB23" s="184"/>
      <c r="AC23" s="184"/>
    </row>
    <row r="24" spans="1:29" s="187" customFormat="1" hidden="1" outlineLevel="1" x14ac:dyDescent="0.25">
      <c r="A24" s="205" t="s">
        <v>710</v>
      </c>
      <c r="B24" s="206" t="str">
        <f t="shared" si="1"/>
        <v>1masonry236 to 305m2quality</v>
      </c>
      <c r="C24" s="4">
        <v>1</v>
      </c>
      <c r="D24" s="4" t="s">
        <v>709</v>
      </c>
      <c r="E24" s="4" t="s">
        <v>713</v>
      </c>
      <c r="F24" s="4" t="s">
        <v>544</v>
      </c>
      <c r="G24" s="4" t="s">
        <v>11</v>
      </c>
      <c r="H24" s="192">
        <v>29.28</v>
      </c>
      <c r="I24" s="198"/>
      <c r="J24" s="188">
        <f>IF(Notes!$B$9="Domestic",H24, IF(Notes!$B$9="Commercial",I24))</f>
        <v>0</v>
      </c>
      <c r="K24" s="186">
        <v>41.21</v>
      </c>
      <c r="L24" s="186">
        <v>2.52</v>
      </c>
      <c r="M24" s="8"/>
      <c r="N24" s="7"/>
      <c r="O24" s="3">
        <f t="shared" si="3"/>
        <v>43.730000000000004</v>
      </c>
      <c r="P24" s="184"/>
      <c r="Q24" s="226"/>
      <c r="R24" s="226"/>
      <c r="S24" s="226"/>
      <c r="T24" s="184"/>
      <c r="U24" s="184"/>
      <c r="V24" s="184"/>
      <c r="W24" s="184"/>
      <c r="X24" s="184"/>
      <c r="Y24" s="184"/>
      <c r="Z24" s="184"/>
      <c r="AA24" s="184"/>
      <c r="AB24" s="184"/>
      <c r="AC24" s="184"/>
    </row>
    <row r="25" spans="1:29" s="187" customFormat="1" hidden="1" outlineLevel="1" x14ac:dyDescent="0.25">
      <c r="A25" s="205" t="s">
        <v>710</v>
      </c>
      <c r="B25" s="206" t="str">
        <f t="shared" si="1"/>
        <v>1masonry306m2 plusquality</v>
      </c>
      <c r="C25" s="4">
        <v>1</v>
      </c>
      <c r="D25" s="4" t="s">
        <v>709</v>
      </c>
      <c r="E25" s="4" t="s">
        <v>714</v>
      </c>
      <c r="F25" s="4" t="s">
        <v>544</v>
      </c>
      <c r="G25" s="4" t="s">
        <v>11</v>
      </c>
      <c r="H25" s="192">
        <v>26.63</v>
      </c>
      <c r="I25" s="198"/>
      <c r="J25" s="188">
        <f>IF(Notes!$B$9="Domestic",H25, IF(Notes!$B$9="Commercial",I25))</f>
        <v>0</v>
      </c>
      <c r="K25" s="186">
        <v>34.99</v>
      </c>
      <c r="L25" s="186">
        <v>2.52</v>
      </c>
      <c r="M25" s="8"/>
      <c r="N25" s="7"/>
      <c r="O25" s="3">
        <f t="shared" si="3"/>
        <v>37.510000000000005</v>
      </c>
      <c r="P25" s="184"/>
      <c r="Q25" s="226"/>
      <c r="R25" s="226"/>
      <c r="S25" s="226"/>
      <c r="T25" s="184"/>
      <c r="U25" s="184"/>
      <c r="V25" s="184"/>
      <c r="W25" s="184"/>
      <c r="X25" s="184"/>
      <c r="Y25" s="184"/>
      <c r="Z25" s="184"/>
      <c r="AA25" s="184"/>
      <c r="AB25" s="184"/>
      <c r="AC25" s="184"/>
    </row>
    <row r="26" spans="1:29" s="187" customFormat="1" hidden="1" outlineLevel="1" x14ac:dyDescent="0.25">
      <c r="A26" s="205" t="s">
        <v>710</v>
      </c>
      <c r="B26" s="206" t="str">
        <f t="shared" si="1"/>
        <v>1timberup to 165m2quality</v>
      </c>
      <c r="C26" s="4">
        <v>1</v>
      </c>
      <c r="D26" s="4" t="s">
        <v>708</v>
      </c>
      <c r="E26" s="4" t="s">
        <v>711</v>
      </c>
      <c r="F26" s="4" t="s">
        <v>544</v>
      </c>
      <c r="G26" s="4" t="s">
        <v>11</v>
      </c>
      <c r="H26" s="192">
        <v>34.729999999999997</v>
      </c>
      <c r="I26" s="198"/>
      <c r="J26" s="188">
        <f>IF(Notes!$B$9="Domestic",H26, IF(Notes!$B$9="Commercial",I26))</f>
        <v>0</v>
      </c>
      <c r="K26" s="186">
        <v>65.42</v>
      </c>
      <c r="L26" s="8"/>
      <c r="M26" s="8"/>
      <c r="N26" s="7"/>
      <c r="O26" s="3">
        <f t="shared" si="3"/>
        <v>65.42</v>
      </c>
      <c r="P26" s="184"/>
      <c r="Q26" s="226"/>
      <c r="R26" s="226"/>
      <c r="S26" s="226"/>
      <c r="T26" s="184"/>
      <c r="U26" s="184"/>
      <c r="V26" s="184"/>
      <c r="W26" s="184"/>
      <c r="X26" s="184"/>
      <c r="Y26" s="184"/>
      <c r="Z26" s="184"/>
      <c r="AA26" s="184"/>
      <c r="AB26" s="184"/>
      <c r="AC26" s="184"/>
    </row>
    <row r="27" spans="1:29" s="187" customFormat="1" hidden="1" outlineLevel="1" x14ac:dyDescent="0.25">
      <c r="A27" s="205" t="s">
        <v>710</v>
      </c>
      <c r="B27" s="206" t="str">
        <f t="shared" si="1"/>
        <v>1timber166 to 235m2quality</v>
      </c>
      <c r="C27" s="4">
        <v>1</v>
      </c>
      <c r="D27" s="4" t="s">
        <v>708</v>
      </c>
      <c r="E27" s="4" t="s">
        <v>712</v>
      </c>
      <c r="F27" s="4" t="s">
        <v>544</v>
      </c>
      <c r="G27" s="4" t="s">
        <v>11</v>
      </c>
      <c r="H27" s="192">
        <v>25.25</v>
      </c>
      <c r="I27" s="198"/>
      <c r="J27" s="188">
        <f>IF(Notes!$B$9="Domestic",H27, IF(Notes!$B$9="Commercial",I27))</f>
        <v>0</v>
      </c>
      <c r="K27" s="186">
        <v>46.25</v>
      </c>
      <c r="L27" s="8"/>
      <c r="M27" s="8"/>
      <c r="N27" s="7"/>
      <c r="O27" s="3">
        <f t="shared" si="3"/>
        <v>46.25</v>
      </c>
      <c r="P27" s="184"/>
      <c r="Q27" s="226"/>
      <c r="R27" s="226"/>
      <c r="S27" s="226"/>
      <c r="T27" s="184"/>
      <c r="U27" s="184"/>
      <c r="V27" s="184"/>
      <c r="W27" s="184"/>
      <c r="X27" s="184"/>
      <c r="Y27" s="184"/>
      <c r="Z27" s="184"/>
      <c r="AA27" s="184"/>
      <c r="AB27" s="184"/>
      <c r="AC27" s="184"/>
    </row>
    <row r="28" spans="1:29" s="187" customFormat="1" hidden="1" outlineLevel="1" x14ac:dyDescent="0.25">
      <c r="A28" s="205" t="s">
        <v>710</v>
      </c>
      <c r="B28" s="206" t="str">
        <f t="shared" si="1"/>
        <v>1timber236 to 305m2quality</v>
      </c>
      <c r="C28" s="4">
        <v>1</v>
      </c>
      <c r="D28" s="4" t="s">
        <v>708</v>
      </c>
      <c r="E28" s="4" t="s">
        <v>713</v>
      </c>
      <c r="F28" s="4" t="s">
        <v>544</v>
      </c>
      <c r="G28" s="4" t="s">
        <v>11</v>
      </c>
      <c r="H28" s="192">
        <v>20.89</v>
      </c>
      <c r="I28" s="198"/>
      <c r="J28" s="188">
        <f>IF(Notes!$B$9="Domestic",H28, IF(Notes!$B$9="Commercial",I28))</f>
        <v>0</v>
      </c>
      <c r="K28" s="186">
        <v>38.5</v>
      </c>
      <c r="L28" s="8"/>
      <c r="M28" s="8"/>
      <c r="N28" s="7"/>
      <c r="O28" s="3">
        <f t="shared" si="3"/>
        <v>38.5</v>
      </c>
      <c r="P28" s="184"/>
      <c r="Q28" s="226"/>
      <c r="R28" s="226"/>
      <c r="S28" s="226"/>
      <c r="T28" s="184"/>
      <c r="U28" s="184"/>
      <c r="V28" s="184"/>
      <c r="W28" s="184"/>
      <c r="X28" s="184"/>
      <c r="Y28" s="184"/>
      <c r="Z28" s="184"/>
      <c r="AA28" s="184"/>
      <c r="AB28" s="184"/>
      <c r="AC28" s="184"/>
    </row>
    <row r="29" spans="1:29" s="187" customFormat="1" hidden="1" outlineLevel="1" x14ac:dyDescent="0.25">
      <c r="A29" s="205" t="s">
        <v>710</v>
      </c>
      <c r="B29" s="206" t="str">
        <f t="shared" si="1"/>
        <v>1timber306m2 plusquality</v>
      </c>
      <c r="C29" s="4">
        <v>1</v>
      </c>
      <c r="D29" s="4" t="s">
        <v>708</v>
      </c>
      <c r="E29" s="4" t="s">
        <v>714</v>
      </c>
      <c r="F29" s="4" t="s">
        <v>544</v>
      </c>
      <c r="G29" s="4" t="s">
        <v>11</v>
      </c>
      <c r="H29" s="192">
        <v>18.22</v>
      </c>
      <c r="I29" s="198"/>
      <c r="J29" s="188">
        <f>IF(Notes!$B$9="Domestic",H29, IF(Notes!$B$9="Commercial",I29))</f>
        <v>0</v>
      </c>
      <c r="K29" s="186">
        <v>32.36</v>
      </c>
      <c r="L29" s="8"/>
      <c r="M29" s="8"/>
      <c r="N29" s="7"/>
      <c r="O29" s="3">
        <f t="shared" si="3"/>
        <v>32.36</v>
      </c>
      <c r="P29" s="184"/>
      <c r="Q29" s="226"/>
      <c r="R29" s="226"/>
      <c r="S29" s="226"/>
      <c r="T29" s="184"/>
      <c r="U29" s="184"/>
      <c r="V29" s="184"/>
      <c r="W29" s="184"/>
      <c r="X29" s="184"/>
      <c r="Y29" s="184"/>
      <c r="Z29" s="184"/>
      <c r="AA29" s="184"/>
      <c r="AB29" s="184"/>
      <c r="AC29" s="184"/>
    </row>
    <row r="30" spans="1:29" s="187" customFormat="1" hidden="1" outlineLevel="1" x14ac:dyDescent="0.25">
      <c r="A30" s="205" t="s">
        <v>710</v>
      </c>
      <c r="B30" s="206" t="str">
        <f t="shared" si="1"/>
        <v>2masonryup to 165m2quality</v>
      </c>
      <c r="C30" s="4">
        <v>2</v>
      </c>
      <c r="D30" s="4" t="s">
        <v>709</v>
      </c>
      <c r="E30" s="4" t="s">
        <v>711</v>
      </c>
      <c r="F30" s="4" t="s">
        <v>544</v>
      </c>
      <c r="G30" s="4" t="s">
        <v>11</v>
      </c>
      <c r="H30" s="192">
        <v>34.159999999999997</v>
      </c>
      <c r="I30" s="198"/>
      <c r="J30" s="188">
        <f>IF(Notes!$B$9="Domestic",H30, IF(Notes!$B$9="Commercial",I30))</f>
        <v>0</v>
      </c>
      <c r="K30" s="186">
        <v>49.3</v>
      </c>
      <c r="L30" s="7">
        <v>2.52</v>
      </c>
      <c r="M30" s="8"/>
      <c r="N30" s="7"/>
      <c r="O30" s="3">
        <f t="shared" si="3"/>
        <v>51.82</v>
      </c>
      <c r="P30" s="184"/>
      <c r="Q30" s="226"/>
      <c r="R30" s="226"/>
      <c r="S30" s="226"/>
      <c r="T30" s="184"/>
      <c r="U30" s="184"/>
      <c r="V30" s="184"/>
      <c r="W30" s="184"/>
      <c r="X30" s="184"/>
      <c r="Y30" s="184"/>
      <c r="Z30" s="184"/>
      <c r="AA30" s="184"/>
      <c r="AB30" s="184"/>
      <c r="AC30" s="184"/>
    </row>
    <row r="31" spans="1:29" s="187" customFormat="1" hidden="1" outlineLevel="1" x14ac:dyDescent="0.25">
      <c r="A31" s="205" t="s">
        <v>710</v>
      </c>
      <c r="B31" s="206" t="str">
        <f t="shared" si="1"/>
        <v>2masonry166 to 235m2quality</v>
      </c>
      <c r="C31" s="4">
        <v>2</v>
      </c>
      <c r="D31" s="4" t="s">
        <v>709</v>
      </c>
      <c r="E31" s="4" t="s">
        <v>712</v>
      </c>
      <c r="F31" s="4" t="s">
        <v>544</v>
      </c>
      <c r="G31" s="4" t="s">
        <v>11</v>
      </c>
      <c r="H31" s="192">
        <v>28.85</v>
      </c>
      <c r="I31" s="198"/>
      <c r="J31" s="188">
        <f>IF(Notes!$B$9="Domestic",H31, IF(Notes!$B$9="Commercial",I31))</f>
        <v>0</v>
      </c>
      <c r="K31" s="186">
        <v>42.62</v>
      </c>
      <c r="L31" s="7">
        <v>2</v>
      </c>
      <c r="M31" s="8"/>
      <c r="N31" s="7"/>
      <c r="O31" s="3">
        <f t="shared" si="2"/>
        <v>44.62</v>
      </c>
      <c r="P31" s="184"/>
      <c r="Q31" s="226"/>
      <c r="R31" s="226"/>
      <c r="S31" s="226"/>
      <c r="T31" s="184"/>
      <c r="U31" s="184"/>
      <c r="V31" s="184"/>
      <c r="W31" s="184"/>
      <c r="X31" s="184"/>
      <c r="Y31" s="184"/>
      <c r="Z31" s="184"/>
      <c r="AA31" s="184"/>
      <c r="AB31" s="184"/>
      <c r="AC31" s="184"/>
    </row>
    <row r="32" spans="1:29" s="187" customFormat="1" hidden="1" outlineLevel="1" x14ac:dyDescent="0.25">
      <c r="A32" s="205" t="s">
        <v>710</v>
      </c>
      <c r="B32" s="206" t="str">
        <f t="shared" si="1"/>
        <v>2masonry236 to 305m2quality</v>
      </c>
      <c r="C32" s="4">
        <v>2</v>
      </c>
      <c r="D32" s="4" t="s">
        <v>709</v>
      </c>
      <c r="E32" s="4" t="s">
        <v>713</v>
      </c>
      <c r="F32" s="4" t="s">
        <v>544</v>
      </c>
      <c r="G32" s="4" t="s">
        <v>11</v>
      </c>
      <c r="H32" s="192">
        <v>25.66</v>
      </c>
      <c r="I32" s="198"/>
      <c r="J32" s="188">
        <f>IF(Notes!$B$9="Domestic",H32, IF(Notes!$B$9="Commercial",I32))</f>
        <v>0</v>
      </c>
      <c r="K32" s="186">
        <v>36.950000000000003</v>
      </c>
      <c r="L32" s="7">
        <v>1.92</v>
      </c>
      <c r="M32" s="8"/>
      <c r="N32" s="7"/>
      <c r="O32" s="3">
        <f t="shared" si="2"/>
        <v>38.870000000000005</v>
      </c>
      <c r="P32" s="184"/>
      <c r="Q32" s="226"/>
      <c r="R32" s="226"/>
      <c r="S32" s="226"/>
      <c r="T32" s="184"/>
      <c r="U32" s="184"/>
      <c r="V32" s="184"/>
      <c r="W32" s="184"/>
      <c r="X32" s="184"/>
      <c r="Y32" s="184"/>
      <c r="Z32" s="184"/>
      <c r="AA32" s="184"/>
      <c r="AB32" s="184"/>
      <c r="AC32" s="184"/>
    </row>
    <row r="33" spans="1:29" s="187" customFormat="1" hidden="1" outlineLevel="1" x14ac:dyDescent="0.25">
      <c r="A33" s="205" t="s">
        <v>710</v>
      </c>
      <c r="B33" s="206" t="str">
        <f t="shared" si="1"/>
        <v>2masonry306m2 plusquality</v>
      </c>
      <c r="C33" s="4">
        <v>2</v>
      </c>
      <c r="D33" s="4" t="s">
        <v>709</v>
      </c>
      <c r="E33" s="4" t="s">
        <v>714</v>
      </c>
      <c r="F33" s="4" t="s">
        <v>544</v>
      </c>
      <c r="G33" s="4" t="s">
        <v>11</v>
      </c>
      <c r="H33" s="192">
        <v>23.02</v>
      </c>
      <c r="I33" s="198"/>
      <c r="J33" s="188">
        <f>IF(Notes!$B$9="Domestic",H33, IF(Notes!$B$9="Commercial",I33))</f>
        <v>0</v>
      </c>
      <c r="K33" s="186">
        <v>34.090000000000003</v>
      </c>
      <c r="L33" s="7">
        <v>1.59</v>
      </c>
      <c r="M33" s="8"/>
      <c r="N33" s="7"/>
      <c r="O33" s="3">
        <f t="shared" si="2"/>
        <v>35.680000000000007</v>
      </c>
      <c r="P33" s="184"/>
      <c r="Q33" s="226"/>
      <c r="R33" s="226"/>
      <c r="S33" s="226"/>
      <c r="T33" s="184"/>
      <c r="U33" s="184"/>
      <c r="V33" s="184"/>
      <c r="W33" s="184"/>
      <c r="X33" s="184"/>
      <c r="Y33" s="184"/>
      <c r="Z33" s="184"/>
      <c r="AA33" s="184"/>
      <c r="AB33" s="184"/>
      <c r="AC33" s="184"/>
    </row>
    <row r="34" spans="1:29" s="187" customFormat="1" hidden="1" outlineLevel="1" x14ac:dyDescent="0.25">
      <c r="A34" s="205" t="s">
        <v>710</v>
      </c>
      <c r="B34" s="206" t="str">
        <f t="shared" si="1"/>
        <v>2timberup to 165m2quality</v>
      </c>
      <c r="C34" s="4">
        <v>2</v>
      </c>
      <c r="D34" s="4" t="s">
        <v>708</v>
      </c>
      <c r="E34" s="4" t="s">
        <v>711</v>
      </c>
      <c r="F34" s="4" t="s">
        <v>544</v>
      </c>
      <c r="G34" s="4" t="s">
        <v>11</v>
      </c>
      <c r="H34" s="192">
        <v>25.48</v>
      </c>
      <c r="I34" s="198"/>
      <c r="J34" s="188">
        <f>IF(Notes!$B$9="Domestic",H34, IF(Notes!$B$9="Commercial",I34))</f>
        <v>0</v>
      </c>
      <c r="K34" s="186">
        <v>46.13</v>
      </c>
      <c r="L34" s="8"/>
      <c r="M34" s="8"/>
      <c r="N34" s="7"/>
      <c r="O34" s="3">
        <f t="shared" si="2"/>
        <v>46.13</v>
      </c>
      <c r="P34" s="184"/>
      <c r="Q34" s="226"/>
      <c r="R34" s="226"/>
      <c r="S34" s="226"/>
      <c r="T34" s="184"/>
      <c r="U34" s="184"/>
      <c r="V34" s="184"/>
      <c r="W34" s="184"/>
      <c r="X34" s="184"/>
      <c r="Y34" s="184"/>
      <c r="Z34" s="184"/>
      <c r="AA34" s="184"/>
      <c r="AB34" s="184"/>
      <c r="AC34" s="184"/>
    </row>
    <row r="35" spans="1:29" s="187" customFormat="1" hidden="1" outlineLevel="1" x14ac:dyDescent="0.25">
      <c r="A35" s="205" t="s">
        <v>710</v>
      </c>
      <c r="B35" s="206" t="str">
        <f t="shared" si="1"/>
        <v>2timber166 to 235m2quality</v>
      </c>
      <c r="C35" s="4">
        <v>2</v>
      </c>
      <c r="D35" s="4" t="s">
        <v>708</v>
      </c>
      <c r="E35" s="4" t="s">
        <v>712</v>
      </c>
      <c r="F35" s="4" t="s">
        <v>544</v>
      </c>
      <c r="G35" s="4" t="s">
        <v>11</v>
      </c>
      <c r="H35" s="192">
        <v>21.64</v>
      </c>
      <c r="I35" s="198"/>
      <c r="J35" s="188">
        <f>IF(Notes!$B$9="Domestic",H35, IF(Notes!$B$9="Commercial",I35))</f>
        <v>0</v>
      </c>
      <c r="K35" s="186">
        <v>39.520000000000003</v>
      </c>
      <c r="L35" s="8"/>
      <c r="M35" s="8"/>
      <c r="N35" s="7"/>
      <c r="O35" s="3">
        <f t="shared" si="2"/>
        <v>39.520000000000003</v>
      </c>
      <c r="P35" s="184"/>
      <c r="Q35" s="226"/>
      <c r="R35" s="226"/>
      <c r="S35" s="226"/>
      <c r="T35" s="184"/>
      <c r="U35" s="184"/>
      <c r="V35" s="184"/>
      <c r="W35" s="184"/>
      <c r="X35" s="184"/>
      <c r="Y35" s="184"/>
      <c r="Z35" s="184"/>
      <c r="AA35" s="184"/>
      <c r="AB35" s="184"/>
      <c r="AC35" s="184"/>
    </row>
    <row r="36" spans="1:29" s="187" customFormat="1" hidden="1" outlineLevel="1" x14ac:dyDescent="0.25">
      <c r="A36" s="205" t="s">
        <v>710</v>
      </c>
      <c r="B36" s="206" t="str">
        <f t="shared" si="1"/>
        <v>2timber236 to 305m2quality</v>
      </c>
      <c r="C36" s="4">
        <v>2</v>
      </c>
      <c r="D36" s="4" t="s">
        <v>708</v>
      </c>
      <c r="E36" s="4" t="s">
        <v>713</v>
      </c>
      <c r="F36" s="4" t="s">
        <v>544</v>
      </c>
      <c r="G36" s="4" t="s">
        <v>11</v>
      </c>
      <c r="H36" s="192">
        <v>18.61</v>
      </c>
      <c r="I36" s="198"/>
      <c r="J36" s="188">
        <f>IF(Notes!$B$9="Domestic",H36, IF(Notes!$B$9="Commercial",I36))</f>
        <v>0</v>
      </c>
      <c r="K36" s="186">
        <v>33.85</v>
      </c>
      <c r="L36" s="8"/>
      <c r="M36" s="8"/>
      <c r="N36" s="7"/>
      <c r="O36" s="3">
        <f t="shared" si="2"/>
        <v>33.85</v>
      </c>
      <c r="P36" s="184"/>
      <c r="Q36" s="226"/>
      <c r="R36" s="226"/>
      <c r="S36" s="226"/>
      <c r="T36" s="184"/>
      <c r="U36" s="184"/>
      <c r="V36" s="184"/>
      <c r="W36" s="184"/>
      <c r="X36" s="184"/>
      <c r="Y36" s="184"/>
      <c r="Z36" s="184"/>
      <c r="AA36" s="184"/>
      <c r="AB36" s="184"/>
      <c r="AC36" s="184"/>
    </row>
    <row r="37" spans="1:29" s="187" customFormat="1" hidden="1" outlineLevel="1" x14ac:dyDescent="0.25">
      <c r="A37" s="205" t="s">
        <v>710</v>
      </c>
      <c r="B37" s="206" t="str">
        <f t="shared" si="1"/>
        <v>2timber306m2 plusquality</v>
      </c>
      <c r="C37" s="4">
        <v>2</v>
      </c>
      <c r="D37" s="4" t="s">
        <v>708</v>
      </c>
      <c r="E37" s="4" t="s">
        <v>714</v>
      </c>
      <c r="F37" s="4" t="s">
        <v>544</v>
      </c>
      <c r="G37" s="4" t="s">
        <v>11</v>
      </c>
      <c r="H37" s="192">
        <v>17.239999999999998</v>
      </c>
      <c r="I37" s="198"/>
      <c r="J37" s="188">
        <f>IF(Notes!$B$9="Domestic",H37, IF(Notes!$B$9="Commercial",I37))</f>
        <v>0</v>
      </c>
      <c r="K37" s="186">
        <v>31.56</v>
      </c>
      <c r="L37" s="7"/>
      <c r="M37" s="8"/>
      <c r="N37" s="7"/>
      <c r="O37" s="3">
        <f t="shared" si="0"/>
        <v>31.56</v>
      </c>
      <c r="P37" s="184"/>
      <c r="Q37" s="226"/>
      <c r="R37" s="226"/>
      <c r="S37" s="226"/>
      <c r="T37" s="184"/>
      <c r="U37" s="184"/>
      <c r="V37" s="184"/>
      <c r="W37" s="184"/>
      <c r="X37" s="184"/>
      <c r="Y37" s="184"/>
      <c r="Z37" s="184"/>
      <c r="AA37" s="184"/>
      <c r="AB37" s="184"/>
      <c r="AC37" s="184"/>
    </row>
    <row r="38" spans="1:29" s="187" customFormat="1" hidden="1" outlineLevel="1" x14ac:dyDescent="0.25">
      <c r="A38" s="205" t="s">
        <v>710</v>
      </c>
      <c r="B38" s="206" t="str">
        <f t="shared" si="1"/>
        <v>1masonryup to 165m2prestige</v>
      </c>
      <c r="C38" s="4">
        <v>1</v>
      </c>
      <c r="D38" s="4" t="s">
        <v>709</v>
      </c>
      <c r="E38" s="4" t="s">
        <v>711</v>
      </c>
      <c r="F38" s="4" t="s">
        <v>545</v>
      </c>
      <c r="G38" s="4" t="s">
        <v>11</v>
      </c>
      <c r="H38" s="192">
        <v>50.91</v>
      </c>
      <c r="I38" s="198"/>
      <c r="J38" s="188">
        <f>IF(Notes!$B$9="Domestic",H38, IF(Notes!$B$9="Commercial",I38))</f>
        <v>0</v>
      </c>
      <c r="K38" s="191">
        <v>92.57</v>
      </c>
      <c r="L38" s="7">
        <v>2.5099999999999998</v>
      </c>
      <c r="M38" s="8"/>
      <c r="N38" s="7"/>
      <c r="O38" s="3">
        <f t="shared" si="0"/>
        <v>95.08</v>
      </c>
      <c r="P38" s="184"/>
      <c r="Q38" s="226"/>
      <c r="R38" s="226"/>
      <c r="S38" s="226"/>
      <c r="T38" s="184"/>
      <c r="U38" s="184"/>
      <c r="V38" s="184"/>
      <c r="W38" s="184"/>
      <c r="X38" s="184"/>
      <c r="Y38" s="184"/>
      <c r="Z38" s="184"/>
      <c r="AA38" s="184"/>
      <c r="AB38" s="184"/>
      <c r="AC38" s="184"/>
    </row>
    <row r="39" spans="1:29" s="187" customFormat="1" hidden="1" outlineLevel="1" x14ac:dyDescent="0.25">
      <c r="A39" s="205" t="s">
        <v>710</v>
      </c>
      <c r="B39" s="206" t="str">
        <f t="shared" si="1"/>
        <v>1masonry166 to 235m2prestige</v>
      </c>
      <c r="C39" s="4">
        <v>1</v>
      </c>
      <c r="D39" s="4" t="s">
        <v>709</v>
      </c>
      <c r="E39" s="4" t="s">
        <v>712</v>
      </c>
      <c r="F39" s="4" t="s">
        <v>545</v>
      </c>
      <c r="G39" s="4" t="s">
        <v>11</v>
      </c>
      <c r="H39" s="192">
        <v>38.58</v>
      </c>
      <c r="I39" s="198"/>
      <c r="J39" s="188">
        <f>IF(Notes!$B$9="Domestic",H39, IF(Notes!$B$9="Commercial",I39))</f>
        <v>0</v>
      </c>
      <c r="K39" s="191">
        <v>66.16</v>
      </c>
      <c r="L39" s="7">
        <v>2.52</v>
      </c>
      <c r="M39" s="8"/>
      <c r="N39" s="7"/>
      <c r="O39" s="3">
        <f t="shared" ref="O39:O53" si="4">IF(N39&gt;0,N39,SUM(J39:M39))</f>
        <v>68.679999999999993</v>
      </c>
      <c r="P39" s="184"/>
      <c r="Q39" s="226"/>
      <c r="R39" s="226"/>
      <c r="S39" s="226"/>
      <c r="T39" s="184"/>
      <c r="U39" s="184"/>
      <c r="V39" s="184"/>
      <c r="W39" s="184"/>
      <c r="X39" s="184"/>
      <c r="Y39" s="184"/>
      <c r="Z39" s="184"/>
      <c r="AA39" s="184"/>
      <c r="AB39" s="184"/>
      <c r="AC39" s="184"/>
    </row>
    <row r="40" spans="1:29" s="187" customFormat="1" hidden="1" outlineLevel="1" x14ac:dyDescent="0.25">
      <c r="A40" s="205" t="s">
        <v>710</v>
      </c>
      <c r="B40" s="206" t="str">
        <f t="shared" si="1"/>
        <v>1masonry236 to 305m2prestige</v>
      </c>
      <c r="C40" s="4">
        <v>1</v>
      </c>
      <c r="D40" s="4" t="s">
        <v>709</v>
      </c>
      <c r="E40" s="4" t="s">
        <v>713</v>
      </c>
      <c r="F40" s="4" t="s">
        <v>545</v>
      </c>
      <c r="G40" s="4" t="s">
        <v>11</v>
      </c>
      <c r="H40" s="192">
        <v>32.729999999999997</v>
      </c>
      <c r="I40" s="198"/>
      <c r="J40" s="188">
        <f>IF(Notes!$B$9="Domestic",H40, IF(Notes!$B$9="Commercial",I40))</f>
        <v>0</v>
      </c>
      <c r="K40" s="191">
        <v>56.19</v>
      </c>
      <c r="L40" s="7">
        <v>2.52</v>
      </c>
      <c r="M40" s="8"/>
      <c r="N40" s="7"/>
      <c r="O40" s="3">
        <f t="shared" si="4"/>
        <v>58.71</v>
      </c>
      <c r="P40" s="184"/>
      <c r="Q40" s="226"/>
      <c r="R40" s="226"/>
      <c r="S40" s="226"/>
      <c r="T40" s="184"/>
      <c r="U40" s="184"/>
      <c r="V40" s="184"/>
      <c r="W40" s="184"/>
      <c r="X40" s="184"/>
      <c r="Y40" s="184"/>
      <c r="Z40" s="184"/>
      <c r="AA40" s="184"/>
      <c r="AB40" s="184"/>
      <c r="AC40" s="184"/>
    </row>
    <row r="41" spans="1:29" s="187" customFormat="1" hidden="1" outlineLevel="1" x14ac:dyDescent="0.25">
      <c r="A41" s="205" t="s">
        <v>710</v>
      </c>
      <c r="B41" s="206" t="str">
        <f t="shared" si="1"/>
        <v>1masonry306m2 plusprestige</v>
      </c>
      <c r="C41" s="4">
        <v>1</v>
      </c>
      <c r="D41" s="4" t="s">
        <v>709</v>
      </c>
      <c r="E41" s="4" t="s">
        <v>714</v>
      </c>
      <c r="F41" s="4" t="s">
        <v>545</v>
      </c>
      <c r="G41" s="4" t="s">
        <v>11</v>
      </c>
      <c r="H41" s="192">
        <v>29.36</v>
      </c>
      <c r="I41" s="198"/>
      <c r="J41" s="188">
        <f>IF(Notes!$B$9="Domestic",H41, IF(Notes!$B$9="Commercial",I41))</f>
        <v>0</v>
      </c>
      <c r="K41" s="191">
        <v>46.88</v>
      </c>
      <c r="L41" s="7">
        <v>2.52</v>
      </c>
      <c r="M41" s="8"/>
      <c r="N41" s="7"/>
      <c r="O41" s="3">
        <f t="shared" si="4"/>
        <v>49.400000000000006</v>
      </c>
      <c r="P41" s="184"/>
      <c r="Q41" s="226"/>
      <c r="R41" s="226"/>
      <c r="S41" s="226"/>
      <c r="T41" s="184"/>
      <c r="U41" s="184"/>
      <c r="V41" s="184"/>
      <c r="W41" s="184"/>
      <c r="X41" s="184"/>
      <c r="Y41" s="184"/>
      <c r="Z41" s="184"/>
      <c r="AA41" s="184"/>
      <c r="AB41" s="184"/>
      <c r="AC41" s="184"/>
    </row>
    <row r="42" spans="1:29" s="187" customFormat="1" hidden="1" outlineLevel="1" x14ac:dyDescent="0.25">
      <c r="A42" s="205" t="s">
        <v>710</v>
      </c>
      <c r="B42" s="206" t="str">
        <f t="shared" si="1"/>
        <v>1timberup to 165m2prestige</v>
      </c>
      <c r="C42" s="4">
        <v>1</v>
      </c>
      <c r="D42" s="4" t="s">
        <v>708</v>
      </c>
      <c r="E42" s="4" t="s">
        <v>711</v>
      </c>
      <c r="F42" s="4" t="s">
        <v>545</v>
      </c>
      <c r="G42" s="4" t="s">
        <v>11</v>
      </c>
      <c r="H42" s="192">
        <v>41.88</v>
      </c>
      <c r="I42" s="198"/>
      <c r="J42" s="188">
        <f>IF(Notes!$B$9="Domestic",H42, IF(Notes!$B$9="Commercial",I42))</f>
        <v>0</v>
      </c>
      <c r="K42" s="191">
        <v>88.36</v>
      </c>
      <c r="L42" s="7"/>
      <c r="M42" s="8"/>
      <c r="N42" s="7"/>
      <c r="O42" s="3">
        <f t="shared" si="4"/>
        <v>88.36</v>
      </c>
      <c r="P42" s="184"/>
      <c r="Q42" s="226"/>
      <c r="R42" s="226"/>
      <c r="S42" s="226"/>
      <c r="T42" s="184"/>
      <c r="U42" s="184"/>
      <c r="V42" s="184"/>
      <c r="W42" s="184"/>
      <c r="X42" s="184"/>
      <c r="Y42" s="184"/>
      <c r="Z42" s="184"/>
      <c r="AA42" s="184"/>
      <c r="AB42" s="184"/>
      <c r="AC42" s="184"/>
    </row>
    <row r="43" spans="1:29" s="187" customFormat="1" hidden="1" outlineLevel="1" x14ac:dyDescent="0.25">
      <c r="A43" s="205" t="s">
        <v>710</v>
      </c>
      <c r="B43" s="206" t="str">
        <f t="shared" si="1"/>
        <v>1timber166 to 235m2prestige</v>
      </c>
      <c r="C43" s="4">
        <v>1</v>
      </c>
      <c r="D43" s="4" t="s">
        <v>708</v>
      </c>
      <c r="E43" s="4" t="s">
        <v>712</v>
      </c>
      <c r="F43" s="4" t="s">
        <v>545</v>
      </c>
      <c r="G43" s="4" t="s">
        <v>11</v>
      </c>
      <c r="H43" s="192">
        <v>29.89</v>
      </c>
      <c r="I43" s="198"/>
      <c r="J43" s="188">
        <f>IF(Notes!$B$9="Domestic",H43, IF(Notes!$B$9="Commercial",I43))</f>
        <v>0</v>
      </c>
      <c r="K43" s="191">
        <v>62.93</v>
      </c>
      <c r="L43" s="7"/>
      <c r="M43" s="8"/>
      <c r="N43" s="7"/>
      <c r="O43" s="3">
        <f t="shared" si="4"/>
        <v>62.93</v>
      </c>
      <c r="P43" s="184"/>
      <c r="Q43" s="226"/>
      <c r="R43" s="226"/>
      <c r="S43" s="226"/>
      <c r="T43" s="184"/>
      <c r="U43" s="184"/>
      <c r="V43" s="184"/>
      <c r="W43" s="184"/>
      <c r="X43" s="184"/>
      <c r="Y43" s="184"/>
      <c r="Z43" s="184"/>
      <c r="AA43" s="184"/>
      <c r="AB43" s="184"/>
      <c r="AC43" s="184"/>
    </row>
    <row r="44" spans="1:29" s="187" customFormat="1" hidden="1" outlineLevel="1" x14ac:dyDescent="0.25">
      <c r="A44" s="205" t="s">
        <v>710</v>
      </c>
      <c r="B44" s="206" t="str">
        <f t="shared" si="1"/>
        <v>1timber236 to 305m2prestige</v>
      </c>
      <c r="C44" s="4">
        <v>1</v>
      </c>
      <c r="D44" s="4" t="s">
        <v>708</v>
      </c>
      <c r="E44" s="4" t="s">
        <v>713</v>
      </c>
      <c r="F44" s="4" t="s">
        <v>545</v>
      </c>
      <c r="G44" s="4" t="s">
        <v>11</v>
      </c>
      <c r="H44" s="192">
        <v>24.34</v>
      </c>
      <c r="I44" s="198"/>
      <c r="J44" s="188">
        <f>IF(Notes!$B$9="Domestic",H44, IF(Notes!$B$9="Commercial",I44))</f>
        <v>0</v>
      </c>
      <c r="K44" s="191">
        <v>53.48</v>
      </c>
      <c r="L44" s="7"/>
      <c r="M44" s="8"/>
      <c r="N44" s="7"/>
      <c r="O44" s="3">
        <f t="shared" si="4"/>
        <v>53.48</v>
      </c>
      <c r="P44" s="184"/>
      <c r="Q44" s="226"/>
      <c r="R44" s="226"/>
      <c r="S44" s="226"/>
      <c r="T44" s="184"/>
      <c r="U44" s="184"/>
      <c r="V44" s="184"/>
      <c r="W44" s="184"/>
      <c r="X44" s="184"/>
      <c r="Y44" s="184"/>
      <c r="Z44" s="184"/>
      <c r="AA44" s="184"/>
      <c r="AB44" s="184"/>
      <c r="AC44" s="184"/>
    </row>
    <row r="45" spans="1:29" s="187" customFormat="1" hidden="1" outlineLevel="1" x14ac:dyDescent="0.25">
      <c r="A45" s="205" t="s">
        <v>710</v>
      </c>
      <c r="B45" s="206" t="str">
        <f t="shared" si="1"/>
        <v>1timber306m2 plusprestige</v>
      </c>
      <c r="C45" s="4">
        <v>1</v>
      </c>
      <c r="D45" s="4" t="s">
        <v>708</v>
      </c>
      <c r="E45" s="4" t="s">
        <v>714</v>
      </c>
      <c r="F45" s="4" t="s">
        <v>545</v>
      </c>
      <c r="G45" s="4" t="s">
        <v>11</v>
      </c>
      <c r="H45" s="192">
        <v>20.95</v>
      </c>
      <c r="I45" s="198"/>
      <c r="J45" s="188">
        <f>IF(Notes!$B$9="Domestic",H45, IF(Notes!$B$9="Commercial",I45))</f>
        <v>0</v>
      </c>
      <c r="K45" s="191">
        <v>44.25</v>
      </c>
      <c r="L45" s="7"/>
      <c r="M45" s="8"/>
      <c r="N45" s="7"/>
      <c r="O45" s="3">
        <f t="shared" si="4"/>
        <v>44.25</v>
      </c>
      <c r="P45" s="184"/>
      <c r="Q45" s="226"/>
      <c r="R45" s="226"/>
      <c r="S45" s="226"/>
      <c r="T45" s="184"/>
      <c r="U45" s="184"/>
      <c r="V45" s="184"/>
      <c r="W45" s="184"/>
      <c r="X45" s="184"/>
      <c r="Y45" s="184"/>
      <c r="Z45" s="184"/>
      <c r="AA45" s="184"/>
      <c r="AB45" s="184"/>
      <c r="AC45" s="184"/>
    </row>
    <row r="46" spans="1:29" s="187" customFormat="1" hidden="1" outlineLevel="1" x14ac:dyDescent="0.25">
      <c r="A46" s="205" t="s">
        <v>710</v>
      </c>
      <c r="B46" s="206" t="str">
        <f t="shared" si="1"/>
        <v>2masonryup to 165m2prestige</v>
      </c>
      <c r="C46" s="4">
        <v>2</v>
      </c>
      <c r="D46" s="4" t="s">
        <v>709</v>
      </c>
      <c r="E46" s="4" t="s">
        <v>711</v>
      </c>
      <c r="F46" s="4" t="s">
        <v>545</v>
      </c>
      <c r="G46" s="4" t="s">
        <v>11</v>
      </c>
      <c r="H46" s="192">
        <v>38.81</v>
      </c>
      <c r="I46" s="198"/>
      <c r="J46" s="188">
        <f>IF(Notes!$B$9="Domestic",H46, IF(Notes!$B$9="Commercial",I46))</f>
        <v>0</v>
      </c>
      <c r="K46" s="191">
        <v>65.98</v>
      </c>
      <c r="L46" s="7">
        <v>2.52</v>
      </c>
      <c r="M46" s="8"/>
      <c r="N46" s="7"/>
      <c r="O46" s="3">
        <f t="shared" si="4"/>
        <v>68.5</v>
      </c>
      <c r="P46" s="184"/>
      <c r="Q46" s="226"/>
      <c r="R46" s="226"/>
      <c r="S46" s="226"/>
      <c r="T46" s="184"/>
      <c r="U46" s="184"/>
      <c r="V46" s="184"/>
      <c r="W46" s="184"/>
      <c r="X46" s="184"/>
      <c r="Y46" s="184"/>
      <c r="Z46" s="184"/>
      <c r="AA46" s="184"/>
      <c r="AB46" s="184"/>
      <c r="AC46" s="184"/>
    </row>
    <row r="47" spans="1:29" s="187" customFormat="1" hidden="1" outlineLevel="1" x14ac:dyDescent="0.25">
      <c r="A47" s="205" t="s">
        <v>710</v>
      </c>
      <c r="B47" s="206" t="str">
        <f t="shared" si="1"/>
        <v>2masonry166 to 235m2prestige</v>
      </c>
      <c r="C47" s="4">
        <v>2</v>
      </c>
      <c r="D47" s="4" t="s">
        <v>709</v>
      </c>
      <c r="E47" s="4" t="s">
        <v>712</v>
      </c>
      <c r="F47" s="4" t="s">
        <v>545</v>
      </c>
      <c r="G47" s="4" t="s">
        <v>11</v>
      </c>
      <c r="H47" s="192">
        <v>32.29</v>
      </c>
      <c r="I47" s="198"/>
      <c r="J47" s="188">
        <f>IF(Notes!$B$9="Domestic",H47, IF(Notes!$B$9="Commercial",I47))</f>
        <v>0</v>
      </c>
      <c r="K47" s="191">
        <v>57.61</v>
      </c>
      <c r="L47" s="7">
        <v>2</v>
      </c>
      <c r="M47" s="8"/>
      <c r="N47" s="7"/>
      <c r="O47" s="3">
        <f t="shared" si="4"/>
        <v>59.61</v>
      </c>
      <c r="P47" s="184"/>
      <c r="Q47" s="226"/>
      <c r="R47" s="226"/>
      <c r="S47" s="226"/>
      <c r="T47" s="184"/>
      <c r="U47" s="184"/>
      <c r="V47" s="184"/>
      <c r="W47" s="184"/>
      <c r="X47" s="184"/>
      <c r="Y47" s="184"/>
      <c r="Z47" s="184"/>
      <c r="AA47" s="184"/>
      <c r="AB47" s="184"/>
      <c r="AC47" s="184"/>
    </row>
    <row r="48" spans="1:29" s="187" customFormat="1" hidden="1" outlineLevel="1" x14ac:dyDescent="0.25">
      <c r="A48" s="205" t="s">
        <v>710</v>
      </c>
      <c r="B48" s="206" t="str">
        <f t="shared" si="1"/>
        <v>2masonry236 to 305m2prestige</v>
      </c>
      <c r="C48" s="4">
        <v>2</v>
      </c>
      <c r="D48" s="4" t="s">
        <v>709</v>
      </c>
      <c r="E48" s="4" t="s">
        <v>713</v>
      </c>
      <c r="F48" s="4" t="s">
        <v>545</v>
      </c>
      <c r="G48" s="4" t="s">
        <v>11</v>
      </c>
      <c r="H48" s="192">
        <v>28.4</v>
      </c>
      <c r="I48" s="198"/>
      <c r="J48" s="188">
        <f>IF(Notes!$B$9="Domestic",H48, IF(Notes!$B$9="Commercial",I48))</f>
        <v>0</v>
      </c>
      <c r="K48" s="191">
        <v>49.89</v>
      </c>
      <c r="L48" s="7">
        <v>1.92</v>
      </c>
      <c r="M48" s="8"/>
      <c r="N48" s="7"/>
      <c r="O48" s="3">
        <f t="shared" si="4"/>
        <v>51.81</v>
      </c>
      <c r="P48" s="184"/>
      <c r="Q48" s="226"/>
      <c r="R48" s="226"/>
      <c r="S48" s="226"/>
      <c r="T48" s="184"/>
      <c r="U48" s="184"/>
      <c r="V48" s="184"/>
      <c r="W48" s="184"/>
      <c r="X48" s="184"/>
      <c r="Y48" s="184"/>
      <c r="Z48" s="184"/>
      <c r="AA48" s="184"/>
      <c r="AB48" s="184"/>
      <c r="AC48" s="184"/>
    </row>
    <row r="49" spans="1:29" s="187" customFormat="1" hidden="1" outlineLevel="1" x14ac:dyDescent="0.25">
      <c r="A49" s="205" t="s">
        <v>710</v>
      </c>
      <c r="B49" s="206" t="str">
        <f t="shared" si="1"/>
        <v>2masonry306m2 plusprestige</v>
      </c>
      <c r="C49" s="4">
        <v>2</v>
      </c>
      <c r="D49" s="4" t="s">
        <v>709</v>
      </c>
      <c r="E49" s="4" t="s">
        <v>714</v>
      </c>
      <c r="F49" s="4" t="s">
        <v>545</v>
      </c>
      <c r="G49" s="4" t="s">
        <v>11</v>
      </c>
      <c r="H49" s="192">
        <v>25.29</v>
      </c>
      <c r="I49" s="198"/>
      <c r="J49" s="188">
        <f>IF(Notes!$B$9="Domestic",H49, IF(Notes!$B$9="Commercial",I49))</f>
        <v>0</v>
      </c>
      <c r="K49" s="191">
        <v>46.55</v>
      </c>
      <c r="L49" s="7">
        <v>1.59</v>
      </c>
      <c r="M49" s="8"/>
      <c r="N49" s="7"/>
      <c r="O49" s="3">
        <f t="shared" si="4"/>
        <v>48.14</v>
      </c>
      <c r="P49" s="184"/>
      <c r="Q49" s="226"/>
      <c r="R49" s="226"/>
      <c r="S49" s="226"/>
      <c r="T49" s="184"/>
      <c r="U49" s="184"/>
      <c r="V49" s="184"/>
      <c r="W49" s="184"/>
      <c r="X49" s="184"/>
      <c r="Y49" s="184"/>
      <c r="Z49" s="184"/>
      <c r="AA49" s="184"/>
      <c r="AB49" s="184"/>
      <c r="AC49" s="184"/>
    </row>
    <row r="50" spans="1:29" s="187" customFormat="1" hidden="1" outlineLevel="1" x14ac:dyDescent="0.25">
      <c r="A50" s="205" t="s">
        <v>710</v>
      </c>
      <c r="B50" s="206" t="str">
        <f t="shared" si="1"/>
        <v>2timberup to 165m2prestige</v>
      </c>
      <c r="C50" s="4">
        <v>2</v>
      </c>
      <c r="D50" s="4" t="s">
        <v>708</v>
      </c>
      <c r="E50" s="4" t="s">
        <v>711</v>
      </c>
      <c r="F50" s="4" t="s">
        <v>545</v>
      </c>
      <c r="G50" s="4" t="s">
        <v>11</v>
      </c>
      <c r="H50" s="192">
        <v>30.12</v>
      </c>
      <c r="I50" s="198"/>
      <c r="J50" s="188">
        <f>IF(Notes!$B$9="Domestic",H50, IF(Notes!$B$9="Commercial",I50))</f>
        <v>0</v>
      </c>
      <c r="K50" s="191">
        <v>62.81</v>
      </c>
      <c r="L50" s="7"/>
      <c r="M50" s="8"/>
      <c r="N50" s="7"/>
      <c r="O50" s="3">
        <f t="shared" si="4"/>
        <v>62.81</v>
      </c>
      <c r="P50" s="184"/>
      <c r="Q50" s="226"/>
      <c r="R50" s="226"/>
      <c r="S50" s="226"/>
      <c r="T50" s="184"/>
      <c r="U50" s="184"/>
      <c r="V50" s="184"/>
      <c r="W50" s="184"/>
      <c r="X50" s="184"/>
      <c r="Y50" s="184"/>
      <c r="Z50" s="184"/>
      <c r="AA50" s="184"/>
      <c r="AB50" s="184"/>
      <c r="AC50" s="184"/>
    </row>
    <row r="51" spans="1:29" s="187" customFormat="1" hidden="1" outlineLevel="1" x14ac:dyDescent="0.25">
      <c r="A51" s="205" t="s">
        <v>710</v>
      </c>
      <c r="B51" s="206" t="str">
        <f t="shared" si="1"/>
        <v>2timber166 to 235m2prestige</v>
      </c>
      <c r="C51" s="4">
        <v>2</v>
      </c>
      <c r="D51" s="4" t="s">
        <v>708</v>
      </c>
      <c r="E51" s="4" t="s">
        <v>712</v>
      </c>
      <c r="F51" s="4" t="s">
        <v>545</v>
      </c>
      <c r="G51" s="4" t="s">
        <v>11</v>
      </c>
      <c r="H51" s="192">
        <v>25.08</v>
      </c>
      <c r="I51" s="198"/>
      <c r="J51" s="188">
        <f>IF(Notes!$B$9="Domestic",H51, IF(Notes!$B$9="Commercial",I51))</f>
        <v>0</v>
      </c>
      <c r="K51" s="191">
        <v>54.5</v>
      </c>
      <c r="L51" s="7"/>
      <c r="M51" s="8"/>
      <c r="N51" s="7"/>
      <c r="O51" s="3">
        <f t="shared" si="4"/>
        <v>54.5</v>
      </c>
      <c r="P51" s="184"/>
      <c r="Q51" s="226"/>
      <c r="R51" s="226"/>
      <c r="S51" s="226"/>
      <c r="T51" s="184"/>
      <c r="U51" s="184"/>
      <c r="V51" s="184"/>
      <c r="W51" s="184"/>
      <c r="X51" s="184"/>
      <c r="Y51" s="184"/>
      <c r="Z51" s="184"/>
      <c r="AA51" s="184"/>
      <c r="AB51" s="184"/>
      <c r="AC51" s="184"/>
    </row>
    <row r="52" spans="1:29" s="187" customFormat="1" hidden="1" outlineLevel="1" x14ac:dyDescent="0.25">
      <c r="A52" s="205" t="s">
        <v>710</v>
      </c>
      <c r="B52" s="206" t="str">
        <f t="shared" si="1"/>
        <v>2timber236 to 305m2prestige</v>
      </c>
      <c r="C52" s="4">
        <v>2</v>
      </c>
      <c r="D52" s="4" t="s">
        <v>708</v>
      </c>
      <c r="E52" s="4" t="s">
        <v>713</v>
      </c>
      <c r="F52" s="4" t="s">
        <v>545</v>
      </c>
      <c r="G52" s="4" t="s">
        <v>11</v>
      </c>
      <c r="H52" s="192">
        <v>21.34</v>
      </c>
      <c r="I52" s="198"/>
      <c r="J52" s="188">
        <f>IF(Notes!$B$9="Domestic",H52, IF(Notes!$B$9="Commercial",I52))</f>
        <v>0</v>
      </c>
      <c r="K52" s="191">
        <v>46.79</v>
      </c>
      <c r="L52" s="7"/>
      <c r="M52" s="8"/>
      <c r="N52" s="7"/>
      <c r="O52" s="3">
        <f t="shared" si="4"/>
        <v>46.79</v>
      </c>
      <c r="P52" s="184"/>
      <c r="Q52" s="226"/>
      <c r="R52" s="226"/>
      <c r="S52" s="226"/>
      <c r="T52" s="184"/>
      <c r="U52" s="184"/>
      <c r="V52" s="184"/>
      <c r="W52" s="184"/>
      <c r="X52" s="184"/>
      <c r="Y52" s="184"/>
      <c r="Z52" s="184"/>
      <c r="AA52" s="184"/>
      <c r="AB52" s="184"/>
      <c r="AC52" s="184"/>
    </row>
    <row r="53" spans="1:29" s="187" customFormat="1" hidden="1" outlineLevel="1" x14ac:dyDescent="0.25">
      <c r="A53" s="205" t="s">
        <v>710</v>
      </c>
      <c r="B53" s="206" t="str">
        <f t="shared" si="1"/>
        <v>2timber306m2 plusprestige</v>
      </c>
      <c r="C53" s="4">
        <v>2</v>
      </c>
      <c r="D53" s="4" t="s">
        <v>708</v>
      </c>
      <c r="E53" s="4" t="s">
        <v>714</v>
      </c>
      <c r="F53" s="4" t="s">
        <v>545</v>
      </c>
      <c r="G53" s="4" t="s">
        <v>11</v>
      </c>
      <c r="H53" s="192">
        <v>19.510000000000002</v>
      </c>
      <c r="I53" s="198"/>
      <c r="J53" s="188">
        <f>IF(Notes!$B$9="Domestic",H53, IF(Notes!$B$9="Commercial",I53))</f>
        <v>0</v>
      </c>
      <c r="K53" s="191">
        <v>44.02</v>
      </c>
      <c r="L53" s="7"/>
      <c r="M53" s="8"/>
      <c r="N53" s="7"/>
      <c r="O53" s="3">
        <f t="shared" si="4"/>
        <v>44.02</v>
      </c>
      <c r="P53" s="184"/>
      <c r="Q53" s="226"/>
      <c r="R53" s="226"/>
      <c r="S53" s="226"/>
      <c r="T53" s="184"/>
      <c r="U53" s="184"/>
      <c r="V53" s="184"/>
      <c r="W53" s="184"/>
      <c r="X53" s="184"/>
      <c r="Y53" s="184"/>
      <c r="Z53" s="184"/>
      <c r="AA53" s="184"/>
      <c r="AB53" s="184"/>
      <c r="AC53" s="184"/>
    </row>
    <row r="54" spans="1:29" s="187" customFormat="1" hidden="1" outlineLevel="1" x14ac:dyDescent="0.25">
      <c r="A54" s="612" t="str">
        <f>C54&amp;D54&amp;E54</f>
        <v/>
      </c>
      <c r="B54" s="613"/>
      <c r="C54" s="613"/>
      <c r="D54" s="613"/>
      <c r="E54" s="613"/>
      <c r="F54" s="613"/>
      <c r="G54" s="613"/>
      <c r="H54" s="613"/>
      <c r="I54" s="613"/>
      <c r="J54" s="613"/>
      <c r="K54" s="613"/>
      <c r="L54" s="613"/>
      <c r="M54" s="613"/>
      <c r="N54" s="613"/>
      <c r="O54" s="614"/>
      <c r="P54" s="184"/>
      <c r="Q54" s="226"/>
      <c r="R54" s="226"/>
      <c r="S54" s="226"/>
      <c r="T54" s="184"/>
      <c r="U54" s="184"/>
      <c r="V54" s="184"/>
      <c r="W54" s="184"/>
      <c r="X54" s="184"/>
      <c r="Y54" s="184"/>
      <c r="Z54" s="184"/>
      <c r="AA54" s="184"/>
      <c r="AB54" s="184"/>
      <c r="AC54" s="184"/>
    </row>
    <row r="55" spans="1:29" collapsed="1" x14ac:dyDescent="0.25"/>
  </sheetData>
  <sheetProtection algorithmName="SHA-512" hashValue="uF7nwycFJsT4l5N+i83U9p70gLzQOBmN5G32CKgcEK+xGcxyxIaj5aFrPMfH2rxXvk6EYYqlmQZKUB5TPnQGaQ==" saltValue="ZaP+vdRTfmN58LGvbCoMmw==" spinCount="100000" sheet="1" objects="1" scenarios="1"/>
  <mergeCells count="5">
    <mergeCell ref="A1:O3"/>
    <mergeCell ref="P1:Q2"/>
    <mergeCell ref="P3:Q3"/>
    <mergeCell ref="A5:O5"/>
    <mergeCell ref="A54:O5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A7C75-F097-41B4-AD0D-FCC21137FD4A}">
  <sheetPr codeName="Sheet52">
    <tabColor rgb="FF00B050"/>
  </sheetPr>
  <dimension ref="A1:S186"/>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7.5703125" style="25" bestFit="1"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'Electrical PC Item'!A2+1</f>
        <v>20</v>
      </c>
      <c r="B2" s="73" t="s" cm="1">
        <v>2457</v>
      </c>
      <c r="C2" s="75"/>
      <c r="D2" s="76"/>
      <c r="E2" s="77"/>
      <c r="F2" s="78"/>
      <c r="G2" s="207"/>
      <c r="H2" s="221" t="s">
        <v>26</v>
      </c>
      <c r="I2" s="222" t="s">
        <v>27</v>
      </c>
      <c r="J2" s="222" t="s">
        <v>28</v>
      </c>
      <c r="K2" s="222" t="s">
        <v>34</v>
      </c>
      <c r="L2" s="222" t="s">
        <v>615</v>
      </c>
      <c r="M2" s="80"/>
      <c r="N2" s="71"/>
    </row>
    <row r="3" spans="1:19" s="90" customFormat="1" ht="37.5" x14ac:dyDescent="0.25">
      <c r="A3" s="82">
        <f ca="1">IF(C3&gt;0,MAX($A$1:OFFSET(A3,-1,0))+0.01,"")</f>
        <v>20.010000000000002</v>
      </c>
      <c r="B3" s="27" t="s">
        <v>2424</v>
      </c>
      <c r="C3" s="83">
        <v>1</v>
      </c>
      <c r="D3" s="29" t="s">
        <v>24</v>
      </c>
      <c r="E3" s="85"/>
      <c r="F3" s="86">
        <f>IF(E3="inc",0,IF(C3="",0,C3*E3))</f>
        <v>0</v>
      </c>
      <c r="G3" s="208"/>
      <c r="H3" s="30"/>
      <c r="I3" s="30"/>
      <c r="J3" s="30"/>
      <c r="K3" s="30"/>
      <c r="L3" s="30"/>
      <c r="M3" s="87"/>
      <c r="N3" s="88"/>
      <c r="O3" s="25"/>
      <c r="P3" s="25"/>
      <c r="Q3" s="25"/>
      <c r="R3" s="25"/>
      <c r="S3" s="25"/>
    </row>
    <row r="4" spans="1:19" s="94" customFormat="1" ht="31.5" x14ac:dyDescent="0.25">
      <c r="A4" s="24"/>
      <c r="B4" s="24" t="s">
        <v>2420</v>
      </c>
      <c r="C4" s="32">
        <v>120.247</v>
      </c>
      <c r="D4" s="32" t="s">
        <v>11</v>
      </c>
      <c r="E4" s="26"/>
      <c r="F4" s="33"/>
      <c r="G4" s="210"/>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79" customFormat="1" ht="21.75" thickBot="1" x14ac:dyDescent="0.4">
      <c r="A6" s="99"/>
      <c r="B6" s="394" t="s">
        <v>4</v>
      </c>
      <c r="C6" s="395"/>
      <c r="D6" s="396"/>
      <c r="E6" s="100"/>
      <c r="F6" s="101">
        <f ca="1">SUM(F$2:OFFSET(F6,-1,0))</f>
        <v>0</v>
      </c>
      <c r="G6" s="210"/>
      <c r="H6" s="100"/>
      <c r="I6" s="100"/>
      <c r="J6" s="100"/>
      <c r="K6" s="100"/>
      <c r="L6" s="100"/>
      <c r="M6" s="102"/>
      <c r="N6" s="32"/>
    </row>
    <row r="7" spans="1:19" s="94" customFormat="1" ht="18.75" x14ac:dyDescent="0.25">
      <c r="A7" s="105"/>
      <c r="B7" s="25"/>
      <c r="C7" s="106"/>
      <c r="D7" s="32"/>
      <c r="E7" s="92"/>
      <c r="F7" s="107"/>
      <c r="G7" s="107"/>
      <c r="H7" s="107"/>
      <c r="I7" s="30"/>
      <c r="J7" s="30"/>
      <c r="K7" s="30"/>
      <c r="L7" s="30"/>
      <c r="M7" s="88"/>
      <c r="N7" s="32"/>
    </row>
    <row r="8" spans="1:19" ht="18.75" x14ac:dyDescent="0.25">
      <c r="C8" s="106"/>
      <c r="G8" s="107"/>
      <c r="H8" s="107"/>
      <c r="I8" s="30"/>
      <c r="J8" s="30"/>
      <c r="K8" s="30"/>
      <c r="L8" s="30"/>
      <c r="N8" s="32"/>
    </row>
    <row r="9" spans="1:19" ht="18.75" x14ac:dyDescent="0.25">
      <c r="G9" s="107"/>
      <c r="H9" s="107"/>
      <c r="I9" s="30"/>
      <c r="J9" s="30"/>
      <c r="K9" s="30"/>
      <c r="L9" s="30"/>
      <c r="N9" s="32"/>
    </row>
    <row r="10" spans="1:19" ht="18.75" x14ac:dyDescent="0.25">
      <c r="G10" s="107"/>
      <c r="H10" s="107"/>
      <c r="I10" s="30"/>
      <c r="J10" s="30"/>
      <c r="K10" s="30"/>
      <c r="L10" s="30"/>
      <c r="N10" s="32"/>
    </row>
    <row r="11" spans="1:19" ht="18.75" x14ac:dyDescent="0.25">
      <c r="F11" s="108" t="e">
        <f ca="1">F6-#REF!</f>
        <v>#REF!</v>
      </c>
      <c r="G11" s="107"/>
      <c r="H11" s="107"/>
      <c r="I11" s="30"/>
      <c r="J11" s="30"/>
      <c r="K11" s="30"/>
      <c r="L11" s="30"/>
      <c r="N11" s="32"/>
    </row>
    <row r="12" spans="1:19" ht="18.75" x14ac:dyDescent="0.25">
      <c r="G12" s="107"/>
      <c r="H12" s="107"/>
      <c r="I12" s="30"/>
      <c r="J12" s="30"/>
      <c r="K12" s="30"/>
      <c r="L12" s="30"/>
      <c r="N12" s="32"/>
    </row>
    <row r="13" spans="1:19" ht="18.75" x14ac:dyDescent="0.25">
      <c r="G13" s="107"/>
      <c r="H13" s="107"/>
      <c r="I13" s="30"/>
      <c r="J13" s="30"/>
      <c r="K13" s="30"/>
      <c r="L13" s="30"/>
    </row>
    <row r="14" spans="1:19" ht="18.75" x14ac:dyDescent="0.25">
      <c r="G14" s="107"/>
      <c r="H14" s="107"/>
      <c r="I14" s="30"/>
      <c r="J14" s="30"/>
      <c r="K14" s="30"/>
      <c r="L14" s="30"/>
    </row>
    <row r="15" spans="1:19" ht="18.75" x14ac:dyDescent="0.25">
      <c r="G15" s="107"/>
      <c r="H15" s="107"/>
      <c r="I15" s="30"/>
      <c r="J15" s="30"/>
      <c r="K15" s="30"/>
      <c r="L15" s="30"/>
    </row>
    <row r="16" spans="1:19" ht="18.75" x14ac:dyDescent="0.25">
      <c r="G16" s="107"/>
      <c r="H16" s="107"/>
      <c r="I16" s="30"/>
      <c r="J16" s="30"/>
      <c r="K16" s="30"/>
      <c r="L16" s="30"/>
    </row>
    <row r="17" spans="1:19" ht="18.75" x14ac:dyDescent="0.25">
      <c r="G17" s="107"/>
      <c r="H17" s="107"/>
      <c r="I17" s="30"/>
      <c r="J17" s="30"/>
      <c r="K17" s="30"/>
      <c r="L17" s="30"/>
    </row>
    <row r="18" spans="1:19" ht="18.75" x14ac:dyDescent="0.25">
      <c r="G18" s="107"/>
      <c r="H18" s="107"/>
      <c r="I18" s="30"/>
      <c r="J18" s="30"/>
      <c r="K18" s="30"/>
      <c r="L18" s="30"/>
    </row>
    <row r="19" spans="1:19" ht="18.75" x14ac:dyDescent="0.25">
      <c r="G19" s="107"/>
      <c r="H19" s="107"/>
      <c r="I19" s="30"/>
      <c r="J19" s="30"/>
      <c r="K19" s="30"/>
      <c r="L19" s="30"/>
    </row>
    <row r="20" spans="1:19" ht="18.75" x14ac:dyDescent="0.25">
      <c r="G20" s="107"/>
      <c r="H20" s="107"/>
      <c r="I20" s="30"/>
      <c r="J20" s="30"/>
      <c r="K20" s="30"/>
      <c r="L20" s="30"/>
    </row>
    <row r="21" spans="1:19" s="110" customFormat="1" ht="18.75" x14ac:dyDescent="0.25">
      <c r="A21" s="25"/>
      <c r="B21" s="25"/>
      <c r="D21" s="36"/>
      <c r="E21" s="25"/>
      <c r="F21" s="108"/>
      <c r="G21" s="107"/>
      <c r="H21" s="107"/>
      <c r="I21" s="30"/>
      <c r="J21" s="30"/>
      <c r="K21" s="30"/>
      <c r="L21" s="30"/>
      <c r="M21" s="88"/>
      <c r="N21" s="88"/>
      <c r="O21" s="25"/>
      <c r="P21" s="25"/>
      <c r="Q21" s="25"/>
      <c r="R21" s="25"/>
      <c r="S21" s="25"/>
    </row>
    <row r="22" spans="1:19" s="110" customFormat="1" ht="18.75" x14ac:dyDescent="0.25">
      <c r="A22" s="25"/>
      <c r="B22" s="25"/>
      <c r="D22" s="36"/>
      <c r="E22" s="25"/>
      <c r="F22" s="108"/>
      <c r="G22" s="107"/>
      <c r="H22" s="107"/>
      <c r="I22" s="30"/>
      <c r="J22" s="30"/>
      <c r="K22" s="30"/>
      <c r="L22" s="30"/>
      <c r="M22" s="88"/>
      <c r="N22" s="88"/>
      <c r="O22" s="25"/>
      <c r="P22" s="25"/>
      <c r="Q22" s="25"/>
      <c r="R22" s="25"/>
      <c r="S22" s="25"/>
    </row>
    <row r="23" spans="1:19" s="110" customFormat="1" ht="18.75" x14ac:dyDescent="0.25">
      <c r="A23" s="25"/>
      <c r="B23" s="25"/>
      <c r="D23" s="36"/>
      <c r="E23" s="25"/>
      <c r="F23" s="108"/>
      <c r="G23" s="107"/>
      <c r="H23" s="107"/>
      <c r="I23" s="30"/>
      <c r="J23" s="30"/>
      <c r="K23" s="30"/>
      <c r="L23" s="30"/>
      <c r="M23" s="88"/>
      <c r="N23" s="88"/>
      <c r="O23" s="25"/>
      <c r="P23" s="25"/>
      <c r="Q23" s="25"/>
      <c r="R23" s="25"/>
      <c r="S23" s="25"/>
    </row>
    <row r="24" spans="1:19" s="110" customFormat="1" ht="18.75" x14ac:dyDescent="0.25">
      <c r="A24" s="25"/>
      <c r="B24" s="25"/>
      <c r="D24" s="36"/>
      <c r="E24" s="25"/>
      <c r="F24" s="108"/>
      <c r="G24" s="107"/>
      <c r="H24" s="107"/>
      <c r="I24" s="30"/>
      <c r="J24" s="30"/>
      <c r="K24" s="30"/>
      <c r="L24" s="30"/>
      <c r="M24" s="88"/>
      <c r="N24" s="88"/>
      <c r="O24" s="25"/>
      <c r="P24" s="25"/>
      <c r="Q24" s="25"/>
      <c r="R24" s="25"/>
      <c r="S24" s="25"/>
    </row>
    <row r="25" spans="1:19" s="110" customFormat="1" ht="18.75" x14ac:dyDescent="0.25">
      <c r="A25" s="25"/>
      <c r="B25" s="25"/>
      <c r="D25" s="36"/>
      <c r="E25" s="25"/>
      <c r="F25" s="108"/>
      <c r="G25" s="107"/>
      <c r="H25" s="107"/>
      <c r="I25" s="30"/>
      <c r="J25" s="30"/>
      <c r="K25" s="30"/>
      <c r="L25" s="30"/>
      <c r="M25" s="88"/>
      <c r="N25" s="88"/>
      <c r="O25" s="25"/>
      <c r="P25" s="25"/>
      <c r="Q25" s="25"/>
      <c r="R25" s="25"/>
      <c r="S25" s="25"/>
    </row>
    <row r="26" spans="1:19" s="110" customFormat="1" ht="18.75" x14ac:dyDescent="0.25">
      <c r="A26" s="25"/>
      <c r="B26" s="25"/>
      <c r="D26" s="36"/>
      <c r="E26" s="25"/>
      <c r="F26" s="108"/>
      <c r="G26" s="107"/>
      <c r="H26" s="107"/>
      <c r="I26" s="30"/>
      <c r="J26" s="30"/>
      <c r="K26" s="30"/>
      <c r="L26" s="30"/>
      <c r="M26" s="88"/>
      <c r="N26" s="88"/>
      <c r="O26" s="25"/>
      <c r="P26" s="25"/>
      <c r="Q26" s="25"/>
      <c r="R26" s="25"/>
      <c r="S26" s="25"/>
    </row>
    <row r="27" spans="1:19" s="110" customFormat="1" ht="18.75" x14ac:dyDescent="0.25">
      <c r="A27" s="25"/>
      <c r="B27" s="25"/>
      <c r="D27" s="36"/>
      <c r="E27" s="25"/>
      <c r="F27" s="108"/>
      <c r="G27" s="107"/>
      <c r="H27" s="107"/>
      <c r="I27" s="30"/>
      <c r="J27" s="30"/>
      <c r="K27" s="30"/>
      <c r="L27" s="30"/>
      <c r="M27" s="88"/>
      <c r="N27" s="88"/>
      <c r="O27" s="25"/>
      <c r="P27" s="25"/>
      <c r="Q27" s="25"/>
      <c r="R27" s="25"/>
      <c r="S27" s="25"/>
    </row>
    <row r="28" spans="1:19" s="110" customFormat="1" ht="18.75" x14ac:dyDescent="0.25">
      <c r="A28" s="25"/>
      <c r="B28" s="25"/>
      <c r="D28" s="36"/>
      <c r="E28" s="25"/>
      <c r="F28" s="108"/>
      <c r="G28" s="107"/>
      <c r="H28" s="107"/>
      <c r="I28" s="30"/>
      <c r="J28" s="30"/>
      <c r="K28" s="30"/>
      <c r="L28" s="30"/>
      <c r="M28" s="88"/>
      <c r="N28" s="88"/>
      <c r="O28" s="25"/>
      <c r="P28" s="25"/>
      <c r="Q28" s="25"/>
      <c r="R28" s="25"/>
      <c r="S28" s="25"/>
    </row>
    <row r="29" spans="1:19" s="110" customFormat="1" ht="18.75" x14ac:dyDescent="0.25">
      <c r="A29" s="25"/>
      <c r="B29" s="25"/>
      <c r="D29" s="36"/>
      <c r="E29" s="25"/>
      <c r="F29" s="108"/>
      <c r="G29" s="107"/>
      <c r="H29" s="107"/>
      <c r="I29" s="30"/>
      <c r="J29" s="30"/>
      <c r="K29" s="30"/>
      <c r="L29" s="30"/>
      <c r="M29" s="88"/>
      <c r="N29" s="88"/>
      <c r="O29" s="25"/>
      <c r="P29" s="25"/>
      <c r="Q29" s="25"/>
      <c r="R29" s="25"/>
      <c r="S29" s="25"/>
    </row>
    <row r="30" spans="1:19" s="110" customFormat="1" ht="18.75" x14ac:dyDescent="0.25">
      <c r="A30" s="25"/>
      <c r="B30" s="25"/>
      <c r="D30" s="36"/>
      <c r="E30" s="25"/>
      <c r="F30" s="108"/>
      <c r="G30" s="107"/>
      <c r="H30" s="107"/>
      <c r="I30" s="30"/>
      <c r="J30" s="30"/>
      <c r="K30" s="30"/>
      <c r="L30" s="30"/>
      <c r="M30" s="88"/>
      <c r="N30" s="88"/>
      <c r="O30" s="25"/>
      <c r="P30" s="25"/>
      <c r="Q30" s="25"/>
      <c r="R30" s="25"/>
      <c r="S30" s="25"/>
    </row>
    <row r="31" spans="1:19" s="110" customFormat="1" ht="18.75" x14ac:dyDescent="0.25">
      <c r="A31" s="25"/>
      <c r="B31" s="25"/>
      <c r="D31" s="36"/>
      <c r="E31" s="25"/>
      <c r="F31" s="108"/>
      <c r="G31" s="107"/>
      <c r="H31" s="107"/>
      <c r="I31" s="30"/>
      <c r="J31" s="30"/>
      <c r="K31" s="30"/>
      <c r="L31" s="30"/>
      <c r="M31" s="88"/>
      <c r="N31" s="88"/>
      <c r="O31" s="25"/>
      <c r="P31" s="25"/>
      <c r="Q31" s="25"/>
      <c r="R31" s="25"/>
      <c r="S31" s="25"/>
    </row>
    <row r="32" spans="1:19" s="110" customFormat="1" ht="18.75" x14ac:dyDescent="0.25">
      <c r="A32" s="25"/>
      <c r="B32" s="25"/>
      <c r="D32" s="36"/>
      <c r="E32" s="25"/>
      <c r="F32" s="108"/>
      <c r="G32" s="107"/>
      <c r="H32" s="107"/>
      <c r="I32" s="30"/>
      <c r="J32" s="30"/>
      <c r="K32" s="30"/>
      <c r="L32" s="30"/>
      <c r="M32" s="88"/>
      <c r="N32" s="88"/>
      <c r="O32" s="25"/>
      <c r="P32" s="25"/>
      <c r="Q32" s="25"/>
      <c r="R32" s="25"/>
      <c r="S32" s="25"/>
    </row>
    <row r="33" spans="1:19" s="110" customFormat="1" ht="18.75" x14ac:dyDescent="0.25">
      <c r="A33" s="25"/>
      <c r="B33" s="25"/>
      <c r="D33" s="36"/>
      <c r="E33" s="25"/>
      <c r="F33" s="108"/>
      <c r="G33" s="107"/>
      <c r="H33" s="107"/>
      <c r="I33" s="30"/>
      <c r="J33" s="30"/>
      <c r="K33" s="30"/>
      <c r="L33" s="30"/>
      <c r="M33" s="88"/>
      <c r="N33" s="88"/>
      <c r="O33" s="25"/>
      <c r="P33" s="25"/>
      <c r="Q33" s="25"/>
      <c r="R33" s="25"/>
      <c r="S33" s="25"/>
    </row>
    <row r="34" spans="1:19" ht="18.75" x14ac:dyDescent="0.25">
      <c r="G34" s="107"/>
      <c r="H34" s="107"/>
      <c r="I34" s="30"/>
      <c r="J34" s="30"/>
      <c r="K34" s="30"/>
      <c r="L34" s="30"/>
    </row>
    <row r="35" spans="1:19" ht="18.75" x14ac:dyDescent="0.25">
      <c r="G35" s="107"/>
      <c r="H35" s="107"/>
      <c r="I35" s="30"/>
      <c r="J35" s="30"/>
      <c r="K35" s="30"/>
      <c r="L35" s="30"/>
    </row>
    <row r="36" spans="1:19" ht="18.75" x14ac:dyDescent="0.25">
      <c r="G36" s="107"/>
      <c r="H36" s="107"/>
      <c r="I36" s="30"/>
      <c r="J36" s="30"/>
      <c r="K36" s="30"/>
      <c r="L36" s="30"/>
    </row>
    <row r="37" spans="1:19" ht="18.75" x14ac:dyDescent="0.25">
      <c r="G37" s="107"/>
      <c r="H37" s="107"/>
      <c r="I37" s="30"/>
      <c r="J37" s="30"/>
      <c r="K37" s="30"/>
      <c r="L37" s="30"/>
    </row>
    <row r="38" spans="1:19" ht="18.75" x14ac:dyDescent="0.25">
      <c r="G38" s="107"/>
      <c r="H38" s="107"/>
      <c r="I38" s="30"/>
      <c r="J38" s="30"/>
      <c r="K38" s="30"/>
      <c r="L38" s="30"/>
    </row>
    <row r="39" spans="1:19" ht="18.75" x14ac:dyDescent="0.25">
      <c r="G39" s="107"/>
      <c r="H39" s="107"/>
      <c r="I39" s="30"/>
      <c r="J39" s="30"/>
      <c r="K39" s="30"/>
      <c r="L39" s="30"/>
    </row>
    <row r="40" spans="1:19" ht="18.75" x14ac:dyDescent="0.25">
      <c r="G40" s="107"/>
      <c r="H40" s="107"/>
      <c r="I40" s="30"/>
      <c r="J40" s="30"/>
      <c r="K40" s="30"/>
      <c r="L40" s="30"/>
    </row>
    <row r="41" spans="1:19" ht="18.75" x14ac:dyDescent="0.25">
      <c r="G41" s="107"/>
      <c r="H41" s="107"/>
      <c r="I41" s="30"/>
      <c r="J41" s="30"/>
      <c r="K41" s="30"/>
      <c r="L41" s="30"/>
    </row>
    <row r="42" spans="1:19" ht="18.75" x14ac:dyDescent="0.25">
      <c r="G42" s="107"/>
      <c r="H42" s="107"/>
      <c r="I42" s="30"/>
      <c r="J42" s="30"/>
      <c r="K42" s="30"/>
      <c r="L42" s="30"/>
    </row>
    <row r="43" spans="1:19" ht="18.75" x14ac:dyDescent="0.25">
      <c r="G43" s="107"/>
      <c r="H43" s="107"/>
      <c r="I43" s="30"/>
      <c r="J43" s="30"/>
      <c r="K43" s="30"/>
      <c r="L43" s="30"/>
    </row>
    <row r="44" spans="1:19" s="88" customFormat="1" ht="18.75" x14ac:dyDescent="0.25">
      <c r="A44" s="25"/>
      <c r="B44" s="25"/>
      <c r="C44" s="110"/>
      <c r="D44" s="36"/>
      <c r="E44" s="25"/>
      <c r="F44" s="108"/>
      <c r="G44" s="107"/>
      <c r="H44" s="107"/>
      <c r="I44" s="30"/>
      <c r="J44" s="30"/>
      <c r="K44" s="30"/>
      <c r="L44" s="30"/>
      <c r="O44" s="25"/>
      <c r="P44" s="25"/>
      <c r="Q44" s="25"/>
      <c r="R44" s="25"/>
      <c r="S44" s="25"/>
    </row>
    <row r="45" spans="1:19" s="88" customFormat="1" ht="18.75" x14ac:dyDescent="0.25">
      <c r="A45" s="25"/>
      <c r="B45" s="25"/>
      <c r="C45" s="110"/>
      <c r="D45" s="36"/>
      <c r="E45" s="25"/>
      <c r="F45" s="108"/>
      <c r="G45" s="107"/>
      <c r="H45" s="107"/>
      <c r="I45" s="30"/>
      <c r="J45" s="30"/>
      <c r="K45" s="30"/>
      <c r="L45" s="30"/>
      <c r="O45" s="25"/>
      <c r="P45" s="25"/>
      <c r="Q45" s="25"/>
      <c r="R45" s="25"/>
      <c r="S45" s="25"/>
    </row>
    <row r="46" spans="1:19" s="88" customFormat="1" ht="18.75" x14ac:dyDescent="0.25">
      <c r="A46" s="25"/>
      <c r="B46" s="25"/>
      <c r="C46" s="110"/>
      <c r="D46" s="36"/>
      <c r="E46" s="25"/>
      <c r="F46" s="108"/>
      <c r="G46" s="107"/>
      <c r="H46" s="107"/>
      <c r="I46" s="30"/>
      <c r="J46" s="30"/>
      <c r="K46" s="30"/>
      <c r="L46" s="30"/>
      <c r="O46" s="25"/>
      <c r="P46" s="25"/>
      <c r="Q46" s="25"/>
      <c r="R46" s="25"/>
      <c r="S46" s="25"/>
    </row>
    <row r="47" spans="1:19" s="88" customFormat="1" ht="18.75" x14ac:dyDescent="0.25">
      <c r="A47" s="25"/>
      <c r="B47" s="25"/>
      <c r="C47" s="110"/>
      <c r="D47" s="36"/>
      <c r="E47" s="25"/>
      <c r="F47" s="108"/>
      <c r="G47" s="107"/>
      <c r="H47" s="107"/>
      <c r="I47" s="30"/>
      <c r="J47" s="30"/>
      <c r="K47" s="30"/>
      <c r="L47" s="30"/>
      <c r="O47" s="25"/>
      <c r="P47" s="25"/>
      <c r="Q47" s="25"/>
      <c r="R47" s="25"/>
      <c r="S47" s="25"/>
    </row>
    <row r="48" spans="1:19" s="88" customFormat="1" ht="18.75" x14ac:dyDescent="0.25">
      <c r="A48" s="25"/>
      <c r="B48" s="25"/>
      <c r="C48" s="110"/>
      <c r="D48" s="36"/>
      <c r="E48" s="25"/>
      <c r="F48" s="108"/>
      <c r="G48" s="107"/>
      <c r="H48" s="107"/>
      <c r="I48" s="30"/>
      <c r="J48" s="30"/>
      <c r="K48" s="30"/>
      <c r="L48" s="30"/>
      <c r="O48" s="25"/>
      <c r="P48" s="25"/>
      <c r="Q48" s="25"/>
      <c r="R48" s="25"/>
      <c r="S48" s="25"/>
    </row>
    <row r="49" spans="1:19" s="88" customFormat="1" ht="18.75" x14ac:dyDescent="0.25">
      <c r="A49" s="25"/>
      <c r="B49" s="25"/>
      <c r="C49" s="110"/>
      <c r="D49" s="36"/>
      <c r="E49" s="25"/>
      <c r="F49" s="108"/>
      <c r="G49" s="107"/>
      <c r="H49" s="107"/>
      <c r="I49" s="30"/>
      <c r="J49" s="30"/>
      <c r="K49" s="30"/>
      <c r="L49" s="30"/>
      <c r="O49" s="25"/>
      <c r="P49" s="25"/>
      <c r="Q49" s="25"/>
      <c r="R49" s="25"/>
      <c r="S49" s="25"/>
    </row>
    <row r="50" spans="1:19" s="88" customFormat="1" ht="18.75" x14ac:dyDescent="0.25">
      <c r="A50" s="25"/>
      <c r="B50" s="25"/>
      <c r="C50" s="110"/>
      <c r="D50" s="36"/>
      <c r="E50" s="25"/>
      <c r="F50" s="108"/>
      <c r="G50" s="107"/>
      <c r="H50" s="107"/>
      <c r="I50" s="30"/>
      <c r="J50" s="30"/>
      <c r="K50" s="30"/>
      <c r="L50" s="30"/>
      <c r="O50" s="25"/>
      <c r="P50" s="25"/>
      <c r="Q50" s="25"/>
      <c r="R50" s="25"/>
      <c r="S50" s="25"/>
    </row>
    <row r="51" spans="1:19" s="88" customFormat="1" ht="18.75" x14ac:dyDescent="0.25">
      <c r="A51" s="25"/>
      <c r="B51" s="25"/>
      <c r="C51" s="110"/>
      <c r="D51" s="36"/>
      <c r="E51" s="25"/>
      <c r="F51" s="108"/>
      <c r="G51" s="107"/>
      <c r="H51" s="107"/>
      <c r="I51" s="30"/>
      <c r="J51" s="30"/>
      <c r="K51" s="30"/>
      <c r="L51" s="30"/>
      <c r="O51" s="25"/>
      <c r="P51" s="25"/>
      <c r="Q51" s="25"/>
      <c r="R51" s="25"/>
      <c r="S51" s="25"/>
    </row>
    <row r="52" spans="1:19" s="88" customFormat="1" ht="18.75" x14ac:dyDescent="0.25">
      <c r="A52" s="25"/>
      <c r="B52" s="25"/>
      <c r="C52" s="110"/>
      <c r="D52" s="36"/>
      <c r="E52" s="25"/>
      <c r="F52" s="108"/>
      <c r="G52" s="107"/>
      <c r="H52" s="107"/>
      <c r="I52" s="30"/>
      <c r="J52" s="30"/>
      <c r="K52" s="30"/>
      <c r="L52" s="30"/>
      <c r="O52" s="25"/>
      <c r="P52" s="25"/>
      <c r="Q52" s="25"/>
      <c r="R52" s="25"/>
      <c r="S52" s="25"/>
    </row>
    <row r="53" spans="1:19" s="88" customFormat="1" ht="18.75" x14ac:dyDescent="0.25">
      <c r="A53" s="25"/>
      <c r="B53" s="25"/>
      <c r="C53" s="110"/>
      <c r="D53" s="36"/>
      <c r="E53" s="25"/>
      <c r="F53" s="108"/>
      <c r="G53" s="107"/>
      <c r="H53" s="107"/>
      <c r="I53" s="30"/>
      <c r="J53" s="30"/>
      <c r="K53" s="30"/>
      <c r="L53" s="30"/>
      <c r="O53" s="25"/>
      <c r="P53" s="25"/>
      <c r="Q53" s="25"/>
      <c r="R53" s="25"/>
      <c r="S53" s="25"/>
    </row>
    <row r="54" spans="1:19" s="88" customFormat="1" ht="18.75" x14ac:dyDescent="0.25">
      <c r="A54" s="25"/>
      <c r="B54" s="25"/>
      <c r="C54" s="110"/>
      <c r="D54" s="36"/>
      <c r="E54" s="25"/>
      <c r="F54" s="108"/>
      <c r="G54" s="107"/>
      <c r="H54" s="107"/>
      <c r="I54" s="30"/>
      <c r="J54" s="30"/>
      <c r="K54" s="30"/>
      <c r="L54" s="30"/>
      <c r="O54" s="25"/>
      <c r="P54" s="25"/>
      <c r="Q54" s="25"/>
      <c r="R54" s="25"/>
      <c r="S54" s="25"/>
    </row>
    <row r="55" spans="1:19" s="88" customFormat="1" ht="18.75" x14ac:dyDescent="0.25">
      <c r="A55" s="25"/>
      <c r="B55" s="25"/>
      <c r="C55" s="110"/>
      <c r="D55" s="36"/>
      <c r="E55" s="25"/>
      <c r="F55" s="108"/>
      <c r="G55" s="107"/>
      <c r="H55" s="107"/>
      <c r="I55" s="30"/>
      <c r="J55" s="30"/>
      <c r="K55" s="30"/>
      <c r="L55" s="30"/>
      <c r="O55" s="25"/>
      <c r="P55" s="25"/>
      <c r="Q55" s="25"/>
      <c r="R55" s="25"/>
      <c r="S55" s="25"/>
    </row>
    <row r="56" spans="1:19" s="88" customFormat="1" ht="18.75" x14ac:dyDescent="0.25">
      <c r="A56" s="25"/>
      <c r="B56" s="25"/>
      <c r="C56" s="110"/>
      <c r="D56" s="36"/>
      <c r="E56" s="25"/>
      <c r="F56" s="108"/>
      <c r="G56" s="107"/>
      <c r="H56" s="107"/>
      <c r="I56" s="30"/>
      <c r="J56" s="30"/>
      <c r="K56" s="30"/>
      <c r="L56" s="30"/>
      <c r="O56" s="25"/>
      <c r="P56" s="25"/>
      <c r="Q56" s="25"/>
      <c r="R56" s="25"/>
      <c r="S56" s="25"/>
    </row>
    <row r="57" spans="1:19" s="88" customFormat="1" ht="18.75" x14ac:dyDescent="0.25">
      <c r="A57" s="25"/>
      <c r="B57" s="25"/>
      <c r="C57" s="110"/>
      <c r="D57" s="36"/>
      <c r="E57" s="25"/>
      <c r="F57" s="108"/>
      <c r="G57" s="107"/>
      <c r="H57" s="107"/>
      <c r="I57" s="30"/>
      <c r="J57" s="30"/>
      <c r="K57" s="30"/>
      <c r="L57" s="30"/>
      <c r="O57" s="25"/>
      <c r="P57" s="25"/>
      <c r="Q57" s="25"/>
      <c r="R57" s="25"/>
      <c r="S57" s="25"/>
    </row>
    <row r="58" spans="1:19" s="88" customFormat="1" ht="18.75" x14ac:dyDescent="0.25">
      <c r="A58" s="25"/>
      <c r="B58" s="25"/>
      <c r="C58" s="110"/>
      <c r="D58" s="36"/>
      <c r="E58" s="25"/>
      <c r="F58" s="108"/>
      <c r="G58" s="107"/>
      <c r="H58" s="107"/>
      <c r="I58" s="30"/>
      <c r="J58" s="30"/>
      <c r="K58" s="30"/>
      <c r="L58" s="30"/>
      <c r="O58" s="25"/>
      <c r="P58" s="25"/>
      <c r="Q58" s="25"/>
      <c r="R58" s="25"/>
      <c r="S58" s="25"/>
    </row>
    <row r="59" spans="1:19" s="88" customFormat="1" ht="18.75" x14ac:dyDescent="0.25">
      <c r="A59" s="25"/>
      <c r="B59" s="25"/>
      <c r="C59" s="110"/>
      <c r="D59" s="36"/>
      <c r="E59" s="25"/>
      <c r="F59" s="108"/>
      <c r="G59" s="107"/>
      <c r="H59" s="107"/>
      <c r="I59" s="30"/>
      <c r="J59" s="30"/>
      <c r="K59" s="30"/>
      <c r="L59" s="30"/>
      <c r="O59" s="25"/>
      <c r="P59" s="25"/>
      <c r="Q59" s="25"/>
      <c r="R59" s="25"/>
      <c r="S59" s="25"/>
    </row>
    <row r="60" spans="1:19" s="88" customFormat="1" ht="18.75" x14ac:dyDescent="0.25">
      <c r="A60" s="25"/>
      <c r="B60" s="25"/>
      <c r="C60" s="110"/>
      <c r="D60" s="36"/>
      <c r="E60" s="25"/>
      <c r="F60" s="108"/>
      <c r="G60" s="107"/>
      <c r="H60" s="107"/>
      <c r="I60" s="30"/>
      <c r="J60" s="30"/>
      <c r="K60" s="30"/>
      <c r="L60" s="30"/>
      <c r="O60" s="25"/>
      <c r="P60" s="25"/>
      <c r="Q60" s="25"/>
      <c r="R60" s="25"/>
      <c r="S60" s="25"/>
    </row>
    <row r="61" spans="1:19" s="88" customFormat="1" ht="18.75" x14ac:dyDescent="0.25">
      <c r="A61" s="25"/>
      <c r="B61" s="25"/>
      <c r="C61" s="110"/>
      <c r="D61" s="36"/>
      <c r="E61" s="25"/>
      <c r="F61" s="108"/>
      <c r="G61" s="107"/>
      <c r="H61" s="107"/>
      <c r="I61" s="30"/>
      <c r="J61" s="30"/>
      <c r="K61" s="30"/>
      <c r="L61" s="30"/>
      <c r="O61" s="25"/>
      <c r="P61" s="25"/>
      <c r="Q61" s="25"/>
      <c r="R61" s="25"/>
      <c r="S61" s="25"/>
    </row>
    <row r="62" spans="1:19" s="88" customFormat="1" ht="18.75" x14ac:dyDescent="0.25">
      <c r="A62" s="25"/>
      <c r="B62" s="25"/>
      <c r="C62" s="110"/>
      <c r="D62" s="36"/>
      <c r="E62" s="25"/>
      <c r="F62" s="108"/>
      <c r="G62" s="107"/>
      <c r="H62" s="107"/>
      <c r="I62" s="30"/>
      <c r="J62" s="30"/>
      <c r="K62" s="30"/>
      <c r="L62" s="30"/>
      <c r="O62" s="25"/>
      <c r="P62" s="25"/>
      <c r="Q62" s="25"/>
      <c r="R62" s="25"/>
      <c r="S62" s="25"/>
    </row>
    <row r="63" spans="1:19" s="88" customFormat="1" ht="18.75" x14ac:dyDescent="0.25">
      <c r="A63" s="25"/>
      <c r="B63" s="25"/>
      <c r="C63" s="110"/>
      <c r="D63" s="36"/>
      <c r="E63" s="25"/>
      <c r="F63" s="108"/>
      <c r="G63" s="107"/>
      <c r="H63" s="107"/>
      <c r="I63" s="30"/>
      <c r="J63" s="30"/>
      <c r="K63" s="30"/>
      <c r="L63" s="30"/>
      <c r="O63" s="25"/>
      <c r="P63" s="25"/>
      <c r="Q63" s="25"/>
      <c r="R63" s="25"/>
      <c r="S63" s="25"/>
    </row>
    <row r="64" spans="1:19" s="88" customFormat="1" ht="18.75" x14ac:dyDescent="0.25">
      <c r="A64" s="25"/>
      <c r="B64" s="25"/>
      <c r="C64" s="110"/>
      <c r="D64" s="36"/>
      <c r="E64" s="25"/>
      <c r="F64" s="108"/>
      <c r="G64" s="107"/>
      <c r="H64" s="107"/>
      <c r="I64" s="30"/>
      <c r="J64" s="30"/>
      <c r="K64" s="30"/>
      <c r="L64" s="30"/>
      <c r="O64" s="25"/>
      <c r="P64" s="25"/>
      <c r="Q64" s="25"/>
      <c r="R64" s="25"/>
      <c r="S64" s="25"/>
    </row>
    <row r="65" spans="1:19" s="88" customFormat="1" ht="18.75" x14ac:dyDescent="0.25">
      <c r="A65" s="25"/>
      <c r="B65" s="25"/>
      <c r="C65" s="110"/>
      <c r="D65" s="36"/>
      <c r="E65" s="25"/>
      <c r="F65" s="108"/>
      <c r="G65" s="107"/>
      <c r="H65" s="107"/>
      <c r="I65" s="30"/>
      <c r="J65" s="30"/>
      <c r="K65" s="30"/>
      <c r="L65" s="30"/>
      <c r="O65" s="25"/>
      <c r="P65" s="25"/>
      <c r="Q65" s="25"/>
      <c r="R65" s="25"/>
      <c r="S65" s="25"/>
    </row>
    <row r="66" spans="1:19" s="88" customFormat="1" ht="18.75" x14ac:dyDescent="0.25">
      <c r="A66" s="25"/>
      <c r="B66" s="25"/>
      <c r="C66" s="110"/>
      <c r="D66" s="36"/>
      <c r="E66" s="25"/>
      <c r="F66" s="108"/>
      <c r="G66" s="107"/>
      <c r="H66" s="107"/>
      <c r="I66" s="30"/>
      <c r="J66" s="30"/>
      <c r="K66" s="30"/>
      <c r="L66" s="30"/>
      <c r="O66" s="25"/>
      <c r="P66" s="25"/>
      <c r="Q66" s="25"/>
      <c r="R66" s="25"/>
      <c r="S66" s="25"/>
    </row>
    <row r="67" spans="1:19" s="88" customFormat="1" ht="18.75" x14ac:dyDescent="0.25">
      <c r="A67" s="25"/>
      <c r="B67" s="25"/>
      <c r="C67" s="110"/>
      <c r="D67" s="36"/>
      <c r="E67" s="25"/>
      <c r="F67" s="108"/>
      <c r="G67" s="107"/>
      <c r="H67" s="107"/>
      <c r="I67" s="30"/>
      <c r="J67" s="30"/>
      <c r="K67" s="30"/>
      <c r="L67" s="30"/>
      <c r="O67" s="25"/>
      <c r="P67" s="25"/>
      <c r="Q67" s="25"/>
      <c r="R67" s="25"/>
      <c r="S67" s="25"/>
    </row>
    <row r="68" spans="1:19" s="88" customFormat="1" ht="18.75" x14ac:dyDescent="0.25">
      <c r="A68" s="25"/>
      <c r="B68" s="25"/>
      <c r="C68" s="110"/>
      <c r="D68" s="36"/>
      <c r="E68" s="25"/>
      <c r="F68" s="108"/>
      <c r="G68" s="107"/>
      <c r="H68" s="107"/>
      <c r="I68" s="30"/>
      <c r="J68" s="30"/>
      <c r="K68" s="30"/>
      <c r="L68" s="30"/>
      <c r="O68" s="25"/>
      <c r="P68" s="25"/>
      <c r="Q68" s="25"/>
      <c r="R68" s="25"/>
      <c r="S68" s="25"/>
    </row>
    <row r="69" spans="1:19" s="88" customFormat="1" ht="18.75" x14ac:dyDescent="0.25">
      <c r="A69" s="25"/>
      <c r="B69" s="25"/>
      <c r="C69" s="110"/>
      <c r="D69" s="36"/>
      <c r="E69" s="25"/>
      <c r="F69" s="108"/>
      <c r="G69" s="107"/>
      <c r="H69" s="107"/>
      <c r="I69" s="30"/>
      <c r="J69" s="30"/>
      <c r="K69" s="30"/>
      <c r="L69" s="30"/>
      <c r="O69" s="25"/>
      <c r="P69" s="25"/>
      <c r="Q69" s="25"/>
      <c r="R69" s="25"/>
      <c r="S69" s="25"/>
    </row>
    <row r="70" spans="1:19" s="88" customFormat="1" ht="18.75" x14ac:dyDescent="0.25">
      <c r="A70" s="25"/>
      <c r="B70" s="25"/>
      <c r="C70" s="110"/>
      <c r="D70" s="36"/>
      <c r="E70" s="25"/>
      <c r="F70" s="108"/>
      <c r="G70" s="107"/>
      <c r="H70" s="107"/>
      <c r="I70" s="30"/>
      <c r="J70" s="30"/>
      <c r="K70" s="30"/>
      <c r="L70" s="30"/>
      <c r="O70" s="25"/>
      <c r="P70" s="25"/>
      <c r="Q70" s="25"/>
      <c r="R70" s="25"/>
      <c r="S70" s="25"/>
    </row>
    <row r="71" spans="1:19" s="88" customFormat="1" ht="18.75" x14ac:dyDescent="0.25">
      <c r="A71" s="25"/>
      <c r="B71" s="25"/>
      <c r="C71" s="110"/>
      <c r="D71" s="36"/>
      <c r="E71" s="25"/>
      <c r="F71" s="108"/>
      <c r="G71" s="107"/>
      <c r="H71" s="107"/>
      <c r="I71" s="30"/>
      <c r="J71" s="30"/>
      <c r="K71" s="30"/>
      <c r="L71" s="30"/>
      <c r="O71" s="25"/>
      <c r="P71" s="25"/>
      <c r="Q71" s="25"/>
      <c r="R71" s="25"/>
      <c r="S71" s="25"/>
    </row>
    <row r="72" spans="1:19" s="88" customFormat="1" ht="18.75" x14ac:dyDescent="0.25">
      <c r="A72" s="25"/>
      <c r="B72" s="25"/>
      <c r="C72" s="110"/>
      <c r="D72" s="36"/>
      <c r="E72" s="25"/>
      <c r="F72" s="108"/>
      <c r="G72" s="107"/>
      <c r="H72" s="107"/>
      <c r="I72" s="30"/>
      <c r="J72" s="30"/>
      <c r="K72" s="30"/>
      <c r="L72" s="30"/>
      <c r="O72" s="25"/>
      <c r="P72" s="25"/>
      <c r="Q72" s="25"/>
      <c r="R72" s="25"/>
      <c r="S72" s="25"/>
    </row>
    <row r="73" spans="1:19" s="88" customFormat="1" ht="18.75" x14ac:dyDescent="0.25">
      <c r="A73" s="25"/>
      <c r="B73" s="25"/>
      <c r="C73" s="110"/>
      <c r="D73" s="36"/>
      <c r="E73" s="25"/>
      <c r="F73" s="108"/>
      <c r="G73" s="107"/>
      <c r="H73" s="107"/>
      <c r="I73" s="30"/>
      <c r="J73" s="30"/>
      <c r="K73" s="30"/>
      <c r="L73" s="30"/>
      <c r="O73" s="25"/>
      <c r="P73" s="25"/>
      <c r="Q73" s="25"/>
      <c r="R73" s="25"/>
      <c r="S73" s="25"/>
    </row>
    <row r="74" spans="1:19" s="88" customFormat="1" ht="18.75" x14ac:dyDescent="0.25">
      <c r="A74" s="25"/>
      <c r="B74" s="25"/>
      <c r="C74" s="110"/>
      <c r="D74" s="36"/>
      <c r="E74" s="25"/>
      <c r="F74" s="108"/>
      <c r="G74" s="107"/>
      <c r="H74" s="107"/>
      <c r="I74" s="30"/>
      <c r="J74" s="30"/>
      <c r="K74" s="30"/>
      <c r="L74" s="30"/>
      <c r="O74" s="25"/>
      <c r="P74" s="25"/>
      <c r="Q74" s="25"/>
      <c r="R74" s="25"/>
      <c r="S74" s="25"/>
    </row>
    <row r="75" spans="1:19" s="88" customFormat="1" ht="18.75" x14ac:dyDescent="0.25">
      <c r="A75" s="25"/>
      <c r="B75" s="25"/>
      <c r="C75" s="110"/>
      <c r="D75" s="36"/>
      <c r="E75" s="25"/>
      <c r="F75" s="108"/>
      <c r="G75" s="107"/>
      <c r="H75" s="107"/>
      <c r="I75" s="30"/>
      <c r="J75" s="30"/>
      <c r="K75" s="30"/>
      <c r="L75" s="30"/>
      <c r="O75" s="25"/>
      <c r="P75" s="25"/>
      <c r="Q75" s="25"/>
      <c r="R75" s="25"/>
      <c r="S75" s="25"/>
    </row>
    <row r="76" spans="1:19" s="88" customFormat="1" ht="18.75" x14ac:dyDescent="0.25">
      <c r="A76" s="25"/>
      <c r="B76" s="25"/>
      <c r="C76" s="110"/>
      <c r="D76" s="36"/>
      <c r="E76" s="25"/>
      <c r="F76" s="108"/>
      <c r="G76" s="107"/>
      <c r="H76" s="107"/>
      <c r="I76" s="30"/>
      <c r="J76" s="30"/>
      <c r="K76" s="30"/>
      <c r="L76" s="30"/>
      <c r="O76" s="25"/>
      <c r="P76" s="25"/>
      <c r="Q76" s="25"/>
      <c r="R76" s="25"/>
      <c r="S76" s="25"/>
    </row>
    <row r="77" spans="1:19" s="88" customFormat="1" ht="18.75" x14ac:dyDescent="0.25">
      <c r="A77" s="25"/>
      <c r="B77" s="25"/>
      <c r="C77" s="110"/>
      <c r="D77" s="36"/>
      <c r="E77" s="25"/>
      <c r="F77" s="108"/>
      <c r="G77" s="107"/>
      <c r="H77" s="107"/>
      <c r="I77" s="30"/>
      <c r="J77" s="30"/>
      <c r="K77" s="30"/>
      <c r="L77" s="30"/>
      <c r="O77" s="25"/>
      <c r="P77" s="25"/>
      <c r="Q77" s="25"/>
      <c r="R77" s="25"/>
      <c r="S77" s="25"/>
    </row>
    <row r="78" spans="1:19" s="88" customFormat="1" ht="18.75" x14ac:dyDescent="0.25">
      <c r="A78" s="25"/>
      <c r="B78" s="25"/>
      <c r="C78" s="110"/>
      <c r="D78" s="36"/>
      <c r="E78" s="25"/>
      <c r="F78" s="108"/>
      <c r="G78" s="107"/>
      <c r="H78" s="107"/>
      <c r="I78" s="30"/>
      <c r="J78" s="30"/>
      <c r="K78" s="30"/>
      <c r="L78" s="30"/>
      <c r="O78" s="25"/>
      <c r="P78" s="25"/>
      <c r="Q78" s="25"/>
      <c r="R78" s="25"/>
      <c r="S78" s="25"/>
    </row>
    <row r="79" spans="1:19" s="88" customFormat="1" ht="18.75" x14ac:dyDescent="0.25">
      <c r="A79" s="25"/>
      <c r="B79" s="25"/>
      <c r="C79" s="110"/>
      <c r="D79" s="36"/>
      <c r="E79" s="25"/>
      <c r="F79" s="108"/>
      <c r="G79" s="107"/>
      <c r="H79" s="107"/>
      <c r="I79" s="30"/>
      <c r="J79" s="30"/>
      <c r="K79" s="30"/>
      <c r="L79" s="30"/>
      <c r="O79" s="25"/>
      <c r="P79" s="25"/>
      <c r="Q79" s="25"/>
      <c r="R79" s="25"/>
      <c r="S79" s="25"/>
    </row>
    <row r="80" spans="1:19" s="88" customFormat="1" ht="18.75" x14ac:dyDescent="0.25">
      <c r="A80" s="25"/>
      <c r="B80" s="25"/>
      <c r="C80" s="110"/>
      <c r="D80" s="36"/>
      <c r="E80" s="25"/>
      <c r="F80" s="108"/>
      <c r="G80" s="107"/>
      <c r="H80" s="107"/>
      <c r="I80" s="30"/>
      <c r="J80" s="30"/>
      <c r="K80" s="30"/>
      <c r="L80" s="30"/>
      <c r="O80" s="25"/>
      <c r="P80" s="25"/>
      <c r="Q80" s="25"/>
      <c r="R80" s="25"/>
      <c r="S80" s="25"/>
    </row>
    <row r="81" spans="1:19" s="88" customFormat="1" ht="18.75" x14ac:dyDescent="0.25">
      <c r="A81" s="25"/>
      <c r="B81" s="25"/>
      <c r="C81" s="110"/>
      <c r="D81" s="36"/>
      <c r="E81" s="25"/>
      <c r="F81" s="108"/>
      <c r="G81" s="107"/>
      <c r="H81" s="107"/>
      <c r="I81" s="30"/>
      <c r="J81" s="30"/>
      <c r="K81" s="30"/>
      <c r="L81" s="30"/>
      <c r="O81" s="25"/>
      <c r="P81" s="25"/>
      <c r="Q81" s="25"/>
      <c r="R81" s="25"/>
      <c r="S81" s="25"/>
    </row>
    <row r="82" spans="1:19" s="88" customFormat="1" ht="18.75" x14ac:dyDescent="0.25">
      <c r="A82" s="25"/>
      <c r="B82" s="25"/>
      <c r="C82" s="110"/>
      <c r="D82" s="36"/>
      <c r="E82" s="25"/>
      <c r="F82" s="108"/>
      <c r="G82" s="107"/>
      <c r="H82" s="107"/>
      <c r="I82" s="30"/>
      <c r="J82" s="30"/>
      <c r="K82" s="30"/>
      <c r="L82" s="30"/>
      <c r="O82" s="25"/>
      <c r="P82" s="25"/>
      <c r="Q82" s="25"/>
      <c r="R82" s="25"/>
      <c r="S82" s="25"/>
    </row>
    <row r="83" spans="1:19" s="88" customFormat="1" ht="18.75" x14ac:dyDescent="0.25">
      <c r="A83" s="25"/>
      <c r="B83" s="25"/>
      <c r="C83" s="110"/>
      <c r="D83" s="36"/>
      <c r="E83" s="25"/>
      <c r="F83" s="108"/>
      <c r="G83" s="107"/>
      <c r="H83" s="107"/>
      <c r="I83" s="30"/>
      <c r="J83" s="30"/>
      <c r="K83" s="30"/>
      <c r="L83" s="30"/>
      <c r="O83" s="25"/>
      <c r="P83" s="25"/>
      <c r="Q83" s="25"/>
      <c r="R83" s="25"/>
      <c r="S83" s="25"/>
    </row>
    <row r="84" spans="1:19" s="88" customFormat="1" ht="18.75" x14ac:dyDescent="0.25">
      <c r="A84" s="25"/>
      <c r="B84" s="25"/>
      <c r="C84" s="110"/>
      <c r="D84" s="36"/>
      <c r="E84" s="25"/>
      <c r="F84" s="108"/>
      <c r="G84" s="107"/>
      <c r="H84" s="107"/>
      <c r="I84" s="30"/>
      <c r="J84" s="30"/>
      <c r="K84" s="30"/>
      <c r="L84" s="30"/>
      <c r="O84" s="25"/>
      <c r="P84" s="25"/>
      <c r="Q84" s="25"/>
      <c r="R84" s="25"/>
      <c r="S84" s="25"/>
    </row>
    <row r="85" spans="1:19" s="88" customFormat="1" ht="18.75" x14ac:dyDescent="0.25">
      <c r="A85" s="25"/>
      <c r="B85" s="25"/>
      <c r="C85" s="110"/>
      <c r="D85" s="36"/>
      <c r="E85" s="25"/>
      <c r="F85" s="108"/>
      <c r="G85" s="107"/>
      <c r="H85" s="107"/>
      <c r="I85" s="30"/>
      <c r="J85" s="30"/>
      <c r="K85" s="30"/>
      <c r="L85" s="30"/>
      <c r="O85" s="25"/>
      <c r="P85" s="25"/>
      <c r="Q85" s="25"/>
      <c r="R85" s="25"/>
      <c r="S85" s="25"/>
    </row>
    <row r="86" spans="1:19" s="88" customFormat="1" ht="18.75" x14ac:dyDescent="0.25">
      <c r="A86" s="25"/>
      <c r="B86" s="25"/>
      <c r="C86" s="110"/>
      <c r="D86" s="36"/>
      <c r="E86" s="25"/>
      <c r="F86" s="108"/>
      <c r="G86" s="107"/>
      <c r="H86" s="107"/>
      <c r="I86" s="30"/>
      <c r="J86" s="30"/>
      <c r="K86" s="30"/>
      <c r="L86" s="30"/>
      <c r="O86" s="25"/>
      <c r="P86" s="25"/>
      <c r="Q86" s="25"/>
      <c r="R86" s="25"/>
      <c r="S86" s="25"/>
    </row>
    <row r="87" spans="1:19" s="88" customFormat="1" ht="18.75" x14ac:dyDescent="0.25">
      <c r="A87" s="25"/>
      <c r="B87" s="25"/>
      <c r="C87" s="110"/>
      <c r="D87" s="36"/>
      <c r="E87" s="25"/>
      <c r="F87" s="108"/>
      <c r="G87" s="107"/>
      <c r="H87" s="107"/>
      <c r="I87" s="30"/>
      <c r="J87" s="30"/>
      <c r="K87" s="30"/>
      <c r="L87" s="30"/>
      <c r="O87" s="25"/>
      <c r="P87" s="25"/>
      <c r="Q87" s="25"/>
      <c r="R87" s="25"/>
      <c r="S87" s="25"/>
    </row>
    <row r="88" spans="1:19" s="88" customFormat="1" ht="18.75" x14ac:dyDescent="0.25">
      <c r="A88" s="25"/>
      <c r="B88" s="25"/>
      <c r="C88" s="110"/>
      <c r="D88" s="36"/>
      <c r="E88" s="25"/>
      <c r="F88" s="108"/>
      <c r="G88" s="107"/>
      <c r="H88" s="107"/>
      <c r="I88" s="30"/>
      <c r="J88" s="30"/>
      <c r="K88" s="30"/>
      <c r="L88" s="30"/>
      <c r="O88" s="25"/>
      <c r="P88" s="25"/>
      <c r="Q88" s="25"/>
      <c r="R88" s="25"/>
      <c r="S88" s="25"/>
    </row>
    <row r="89" spans="1:19" s="88" customFormat="1" ht="18.75" x14ac:dyDescent="0.25">
      <c r="A89" s="25"/>
      <c r="B89" s="25"/>
      <c r="C89" s="110"/>
      <c r="D89" s="36"/>
      <c r="E89" s="25"/>
      <c r="F89" s="108"/>
      <c r="G89" s="107"/>
      <c r="H89" s="107"/>
      <c r="I89" s="30"/>
      <c r="J89" s="30"/>
      <c r="K89" s="30"/>
      <c r="L89" s="30"/>
      <c r="O89" s="25"/>
      <c r="P89" s="25"/>
      <c r="Q89" s="25"/>
      <c r="R89" s="25"/>
      <c r="S89" s="25"/>
    </row>
    <row r="90" spans="1:19" s="88" customFormat="1" ht="18.75" x14ac:dyDescent="0.25">
      <c r="A90" s="25"/>
      <c r="B90" s="25"/>
      <c r="C90" s="110"/>
      <c r="D90" s="36"/>
      <c r="E90" s="25"/>
      <c r="F90" s="108"/>
      <c r="G90" s="107"/>
      <c r="H90" s="107"/>
      <c r="I90" s="30"/>
      <c r="J90" s="30"/>
      <c r="K90" s="30"/>
      <c r="L90" s="30"/>
      <c r="O90" s="25"/>
      <c r="P90" s="25"/>
      <c r="Q90" s="25"/>
      <c r="R90" s="25"/>
      <c r="S90" s="25"/>
    </row>
    <row r="91" spans="1:19" s="88" customFormat="1" ht="18.75" x14ac:dyDescent="0.25">
      <c r="A91" s="25"/>
      <c r="B91" s="25"/>
      <c r="C91" s="110"/>
      <c r="D91" s="36"/>
      <c r="E91" s="25"/>
      <c r="F91" s="108"/>
      <c r="G91" s="107"/>
      <c r="H91" s="107"/>
      <c r="I91" s="30"/>
      <c r="J91" s="30"/>
      <c r="K91" s="30"/>
      <c r="L91" s="30"/>
      <c r="O91" s="25"/>
      <c r="P91" s="25"/>
      <c r="Q91" s="25"/>
      <c r="R91" s="25"/>
      <c r="S91" s="25"/>
    </row>
    <row r="92" spans="1:19" s="88" customFormat="1" ht="18.75" x14ac:dyDescent="0.25">
      <c r="A92" s="25"/>
      <c r="B92" s="25"/>
      <c r="C92" s="110"/>
      <c r="D92" s="36"/>
      <c r="E92" s="25"/>
      <c r="F92" s="108"/>
      <c r="G92" s="107"/>
      <c r="H92" s="107"/>
      <c r="I92" s="30"/>
      <c r="J92" s="30"/>
      <c r="K92" s="30"/>
      <c r="L92" s="30"/>
      <c r="O92" s="25"/>
      <c r="P92" s="25"/>
      <c r="Q92" s="25"/>
      <c r="R92" s="25"/>
      <c r="S92" s="25"/>
    </row>
    <row r="93" spans="1:19" s="88" customFormat="1" ht="18.75" x14ac:dyDescent="0.25">
      <c r="A93" s="25"/>
      <c r="B93" s="25"/>
      <c r="C93" s="110"/>
      <c r="D93" s="36"/>
      <c r="E93" s="25"/>
      <c r="F93" s="108"/>
      <c r="G93" s="107"/>
      <c r="H93" s="107"/>
      <c r="I93" s="30"/>
      <c r="J93" s="30"/>
      <c r="K93" s="30"/>
      <c r="L93" s="30"/>
      <c r="O93" s="25"/>
      <c r="P93" s="25"/>
      <c r="Q93" s="25"/>
      <c r="R93" s="25"/>
      <c r="S93" s="25"/>
    </row>
    <row r="94" spans="1:19" s="88" customFormat="1" ht="18.75" x14ac:dyDescent="0.25">
      <c r="A94" s="25"/>
      <c r="B94" s="25"/>
      <c r="C94" s="110"/>
      <c r="D94" s="36"/>
      <c r="E94" s="25"/>
      <c r="F94" s="108"/>
      <c r="G94" s="107"/>
      <c r="H94" s="107"/>
      <c r="I94" s="30"/>
      <c r="J94" s="30"/>
      <c r="K94" s="30"/>
      <c r="L94" s="30"/>
      <c r="O94" s="25"/>
      <c r="P94" s="25"/>
      <c r="Q94" s="25"/>
      <c r="R94" s="25"/>
      <c r="S94" s="25"/>
    </row>
    <row r="95" spans="1:19" s="88" customFormat="1" ht="18.75" x14ac:dyDescent="0.25">
      <c r="A95" s="25"/>
      <c r="B95" s="25"/>
      <c r="C95" s="110"/>
      <c r="D95" s="36"/>
      <c r="E95" s="25"/>
      <c r="F95" s="108"/>
      <c r="G95" s="107"/>
      <c r="H95" s="107"/>
      <c r="I95" s="30"/>
      <c r="J95" s="30"/>
      <c r="K95" s="30"/>
      <c r="L95" s="30"/>
      <c r="O95" s="25"/>
      <c r="P95" s="25"/>
      <c r="Q95" s="25"/>
      <c r="R95" s="25"/>
      <c r="S95" s="25"/>
    </row>
    <row r="96" spans="1:19" s="88" customFormat="1" ht="18.75" x14ac:dyDescent="0.25">
      <c r="A96" s="25"/>
      <c r="B96" s="25"/>
      <c r="C96" s="110"/>
      <c r="D96" s="36"/>
      <c r="E96" s="25"/>
      <c r="F96" s="108"/>
      <c r="G96" s="107"/>
      <c r="H96" s="107"/>
      <c r="I96" s="30"/>
      <c r="J96" s="30"/>
      <c r="K96" s="30"/>
      <c r="L96" s="30"/>
      <c r="O96" s="25"/>
      <c r="P96" s="25"/>
      <c r="Q96" s="25"/>
      <c r="R96" s="25"/>
      <c r="S96" s="25"/>
    </row>
    <row r="97" spans="1:19" s="88" customFormat="1" ht="18.75" x14ac:dyDescent="0.25">
      <c r="A97" s="25"/>
      <c r="B97" s="25"/>
      <c r="C97" s="110"/>
      <c r="D97" s="36"/>
      <c r="E97" s="25"/>
      <c r="F97" s="108"/>
      <c r="G97" s="107"/>
      <c r="H97" s="107"/>
      <c r="I97" s="30"/>
      <c r="J97" s="30"/>
      <c r="K97" s="30"/>
      <c r="L97" s="30"/>
      <c r="O97" s="25"/>
      <c r="P97" s="25"/>
      <c r="Q97" s="25"/>
      <c r="R97" s="25"/>
      <c r="S97" s="25"/>
    </row>
    <row r="98" spans="1:19" s="88" customFormat="1" ht="18.75" x14ac:dyDescent="0.25">
      <c r="A98" s="25"/>
      <c r="B98" s="25"/>
      <c r="C98" s="110"/>
      <c r="D98" s="36"/>
      <c r="E98" s="25"/>
      <c r="F98" s="108"/>
      <c r="G98" s="107"/>
      <c r="H98" s="107"/>
      <c r="I98" s="30"/>
      <c r="J98" s="30"/>
      <c r="K98" s="30"/>
      <c r="L98" s="30"/>
      <c r="O98" s="25"/>
      <c r="P98" s="25"/>
      <c r="Q98" s="25"/>
      <c r="R98" s="25"/>
      <c r="S98" s="25"/>
    </row>
    <row r="99" spans="1:19" s="88" customFormat="1" ht="18.75" x14ac:dyDescent="0.25">
      <c r="A99" s="25"/>
      <c r="B99" s="25"/>
      <c r="C99" s="110"/>
      <c r="D99" s="36"/>
      <c r="E99" s="25"/>
      <c r="F99" s="108"/>
      <c r="G99" s="107"/>
      <c r="H99" s="107"/>
      <c r="I99" s="30"/>
      <c r="J99" s="30"/>
      <c r="K99" s="30"/>
      <c r="L99" s="30"/>
      <c r="O99" s="25"/>
      <c r="P99" s="25"/>
      <c r="Q99" s="25"/>
      <c r="R99" s="25"/>
      <c r="S99" s="25"/>
    </row>
    <row r="100" spans="1:19" s="88" customFormat="1" ht="18.75" x14ac:dyDescent="0.25">
      <c r="A100" s="25"/>
      <c r="B100" s="25"/>
      <c r="C100" s="110"/>
      <c r="D100" s="36"/>
      <c r="E100" s="25"/>
      <c r="F100" s="108"/>
      <c r="G100" s="107"/>
      <c r="H100" s="107"/>
      <c r="I100" s="30"/>
      <c r="J100" s="30"/>
      <c r="K100" s="30"/>
      <c r="L100" s="30"/>
      <c r="O100" s="25"/>
      <c r="P100" s="25"/>
      <c r="Q100" s="25"/>
      <c r="R100" s="25"/>
      <c r="S100" s="25"/>
    </row>
    <row r="101" spans="1:19" s="88" customFormat="1" ht="18.75" x14ac:dyDescent="0.25">
      <c r="A101" s="25"/>
      <c r="B101" s="25"/>
      <c r="C101" s="110"/>
      <c r="D101" s="36"/>
      <c r="E101" s="25"/>
      <c r="F101" s="108"/>
      <c r="G101" s="107"/>
      <c r="H101" s="107"/>
      <c r="I101" s="30"/>
      <c r="J101" s="30"/>
      <c r="K101" s="30"/>
      <c r="L101" s="30"/>
      <c r="O101" s="25"/>
      <c r="P101" s="25"/>
      <c r="Q101" s="25"/>
      <c r="R101" s="25"/>
      <c r="S101" s="25"/>
    </row>
    <row r="102" spans="1:19" s="88" customFormat="1" ht="18.75" x14ac:dyDescent="0.25">
      <c r="A102" s="25"/>
      <c r="B102" s="25"/>
      <c r="C102" s="110"/>
      <c r="D102" s="36"/>
      <c r="E102" s="25"/>
      <c r="F102" s="108"/>
      <c r="G102" s="107"/>
      <c r="H102" s="107"/>
      <c r="I102" s="30"/>
      <c r="J102" s="30"/>
      <c r="K102" s="30"/>
      <c r="L102" s="30"/>
      <c r="O102" s="25"/>
      <c r="P102" s="25"/>
      <c r="Q102" s="25"/>
      <c r="R102" s="25"/>
      <c r="S102" s="25"/>
    </row>
    <row r="103" spans="1:19" s="88" customFormat="1" ht="18.75" x14ac:dyDescent="0.25">
      <c r="A103" s="25"/>
      <c r="B103" s="25"/>
      <c r="C103" s="110"/>
      <c r="D103" s="36"/>
      <c r="E103" s="25"/>
      <c r="F103" s="108"/>
      <c r="G103" s="107"/>
      <c r="H103" s="107"/>
      <c r="I103" s="30"/>
      <c r="J103" s="30"/>
      <c r="K103" s="30"/>
      <c r="L103" s="30"/>
      <c r="O103" s="25"/>
      <c r="P103" s="25"/>
      <c r="Q103" s="25"/>
      <c r="R103" s="25"/>
      <c r="S103" s="25"/>
    </row>
    <row r="104" spans="1:19" s="88" customFormat="1" ht="18.75" x14ac:dyDescent="0.25">
      <c r="A104" s="25"/>
      <c r="B104" s="25"/>
      <c r="C104" s="110"/>
      <c r="D104" s="36"/>
      <c r="E104" s="25"/>
      <c r="F104" s="108"/>
      <c r="G104" s="107"/>
      <c r="H104" s="107"/>
      <c r="I104" s="30"/>
      <c r="J104" s="30"/>
      <c r="K104" s="30"/>
      <c r="L104" s="30"/>
      <c r="O104" s="25"/>
      <c r="P104" s="25"/>
      <c r="Q104" s="25"/>
      <c r="R104" s="25"/>
      <c r="S104" s="25"/>
    </row>
    <row r="105" spans="1:19" s="88" customFormat="1" ht="18.75" x14ac:dyDescent="0.25">
      <c r="A105" s="25"/>
      <c r="B105" s="25"/>
      <c r="C105" s="110"/>
      <c r="D105" s="36"/>
      <c r="E105" s="25"/>
      <c r="F105" s="108"/>
      <c r="G105" s="107"/>
      <c r="H105" s="107"/>
      <c r="I105" s="30"/>
      <c r="J105" s="30"/>
      <c r="K105" s="30"/>
      <c r="L105" s="30"/>
      <c r="O105" s="25"/>
      <c r="P105" s="25"/>
      <c r="Q105" s="25"/>
      <c r="R105" s="25"/>
      <c r="S105" s="25"/>
    </row>
    <row r="106" spans="1:19" s="88" customFormat="1" ht="18.75" x14ac:dyDescent="0.25">
      <c r="A106" s="25"/>
      <c r="B106" s="25"/>
      <c r="C106" s="110"/>
      <c r="D106" s="36"/>
      <c r="E106" s="25"/>
      <c r="F106" s="108"/>
      <c r="G106" s="107"/>
      <c r="H106" s="107"/>
      <c r="I106" s="30"/>
      <c r="J106" s="30"/>
      <c r="K106" s="30"/>
      <c r="L106" s="30"/>
      <c r="O106" s="25"/>
      <c r="P106" s="25"/>
      <c r="Q106" s="25"/>
      <c r="R106" s="25"/>
      <c r="S106" s="25"/>
    </row>
    <row r="107" spans="1:19" s="88" customFormat="1" ht="18.75" x14ac:dyDescent="0.25">
      <c r="A107" s="25"/>
      <c r="B107" s="25"/>
      <c r="C107" s="110"/>
      <c r="D107" s="36"/>
      <c r="E107" s="25"/>
      <c r="F107" s="108"/>
      <c r="G107" s="107"/>
      <c r="H107" s="107"/>
      <c r="I107" s="30"/>
      <c r="J107" s="30"/>
      <c r="K107" s="30"/>
      <c r="L107" s="30"/>
      <c r="O107" s="25"/>
      <c r="P107" s="25"/>
      <c r="Q107" s="25"/>
      <c r="R107" s="25"/>
      <c r="S107" s="25"/>
    </row>
    <row r="108" spans="1:19" s="88" customFormat="1" ht="18.75" x14ac:dyDescent="0.25">
      <c r="A108" s="25"/>
      <c r="B108" s="25"/>
      <c r="C108" s="110"/>
      <c r="D108" s="36"/>
      <c r="E108" s="25"/>
      <c r="F108" s="108"/>
      <c r="G108" s="107"/>
      <c r="H108" s="107"/>
      <c r="I108" s="30"/>
      <c r="J108" s="30"/>
      <c r="K108" s="30"/>
      <c r="L108" s="30"/>
      <c r="O108" s="25"/>
      <c r="P108" s="25"/>
      <c r="Q108" s="25"/>
      <c r="R108" s="25"/>
      <c r="S108" s="25"/>
    </row>
    <row r="109" spans="1:19" s="88" customFormat="1" ht="18.75" x14ac:dyDescent="0.25">
      <c r="A109" s="25"/>
      <c r="B109" s="25"/>
      <c r="C109" s="110"/>
      <c r="D109" s="36"/>
      <c r="E109" s="25"/>
      <c r="F109" s="108"/>
      <c r="G109" s="107"/>
      <c r="H109" s="107"/>
      <c r="I109" s="30"/>
      <c r="J109" s="30"/>
      <c r="K109" s="30"/>
      <c r="L109" s="30"/>
      <c r="O109" s="25"/>
      <c r="P109" s="25"/>
      <c r="Q109" s="25"/>
      <c r="R109" s="25"/>
      <c r="S109" s="25"/>
    </row>
    <row r="110" spans="1:19" s="88" customFormat="1" ht="18.75" x14ac:dyDescent="0.25">
      <c r="A110" s="25"/>
      <c r="B110" s="25"/>
      <c r="C110" s="110"/>
      <c r="D110" s="36"/>
      <c r="E110" s="25"/>
      <c r="F110" s="108"/>
      <c r="G110" s="107"/>
      <c r="H110" s="107"/>
      <c r="I110" s="30"/>
      <c r="J110" s="30"/>
      <c r="K110" s="30"/>
      <c r="L110" s="30"/>
      <c r="O110" s="25"/>
      <c r="P110" s="25"/>
      <c r="Q110" s="25"/>
      <c r="R110" s="25"/>
      <c r="S110" s="25"/>
    </row>
    <row r="111" spans="1:19" s="88" customFormat="1" ht="18.75" x14ac:dyDescent="0.25">
      <c r="A111" s="25"/>
      <c r="B111" s="25"/>
      <c r="C111" s="110"/>
      <c r="D111" s="36"/>
      <c r="E111" s="25"/>
      <c r="F111" s="108"/>
      <c r="G111" s="107"/>
      <c r="H111" s="107"/>
      <c r="I111" s="30"/>
      <c r="J111" s="30"/>
      <c r="K111" s="30"/>
      <c r="L111" s="30"/>
      <c r="O111" s="25"/>
      <c r="P111" s="25"/>
      <c r="Q111" s="25"/>
      <c r="R111" s="25"/>
      <c r="S111" s="25"/>
    </row>
    <row r="112" spans="1:19" s="88" customFormat="1" ht="18.75" x14ac:dyDescent="0.25">
      <c r="A112" s="25"/>
      <c r="B112" s="25"/>
      <c r="C112" s="110"/>
      <c r="D112" s="36"/>
      <c r="E112" s="25"/>
      <c r="F112" s="108"/>
      <c r="G112" s="107"/>
      <c r="H112" s="107"/>
      <c r="I112" s="30"/>
      <c r="J112" s="30"/>
      <c r="K112" s="30"/>
      <c r="L112" s="30"/>
      <c r="O112" s="25"/>
      <c r="P112" s="25"/>
      <c r="Q112" s="25"/>
      <c r="R112" s="25"/>
      <c r="S112" s="25"/>
    </row>
    <row r="113" spans="1:19" s="88" customFormat="1" ht="18.75" x14ac:dyDescent="0.25">
      <c r="A113" s="25"/>
      <c r="B113" s="25"/>
      <c r="C113" s="110"/>
      <c r="D113" s="36"/>
      <c r="E113" s="25"/>
      <c r="F113" s="108"/>
      <c r="G113" s="107"/>
      <c r="H113" s="107"/>
      <c r="I113" s="30"/>
      <c r="J113" s="30"/>
      <c r="K113" s="30"/>
      <c r="L113" s="30"/>
      <c r="O113" s="25"/>
      <c r="P113" s="25"/>
      <c r="Q113" s="25"/>
      <c r="R113" s="25"/>
      <c r="S113" s="25"/>
    </row>
    <row r="114" spans="1:19" s="88" customFormat="1" ht="18.75" x14ac:dyDescent="0.25">
      <c r="A114" s="25"/>
      <c r="B114" s="25"/>
      <c r="C114" s="110"/>
      <c r="D114" s="36"/>
      <c r="E114" s="25"/>
      <c r="F114" s="108"/>
      <c r="G114" s="107"/>
      <c r="H114" s="107"/>
      <c r="I114" s="30"/>
      <c r="J114" s="30"/>
      <c r="K114" s="30"/>
      <c r="L114" s="30"/>
      <c r="O114" s="25"/>
      <c r="P114" s="25"/>
      <c r="Q114" s="25"/>
      <c r="R114" s="25"/>
      <c r="S114" s="25"/>
    </row>
    <row r="115" spans="1:19" s="88" customFormat="1" ht="18.75" x14ac:dyDescent="0.25">
      <c r="A115" s="25"/>
      <c r="B115" s="25"/>
      <c r="C115" s="110"/>
      <c r="D115" s="36"/>
      <c r="E115" s="25"/>
      <c r="F115" s="108"/>
      <c r="G115" s="107"/>
      <c r="H115" s="107"/>
      <c r="I115" s="30"/>
      <c r="J115" s="30"/>
      <c r="K115" s="30"/>
      <c r="L115" s="30"/>
      <c r="O115" s="25"/>
      <c r="P115" s="25"/>
      <c r="Q115" s="25"/>
      <c r="R115" s="25"/>
      <c r="S115" s="25"/>
    </row>
    <row r="116" spans="1:19" s="88" customFormat="1" ht="18.75" x14ac:dyDescent="0.25">
      <c r="A116" s="25"/>
      <c r="B116" s="25"/>
      <c r="C116" s="110"/>
      <c r="D116" s="36"/>
      <c r="E116" s="25"/>
      <c r="F116" s="108"/>
      <c r="G116" s="107"/>
      <c r="H116" s="107"/>
      <c r="I116" s="30"/>
      <c r="J116" s="30"/>
      <c r="K116" s="30"/>
      <c r="L116" s="30"/>
      <c r="O116" s="25"/>
      <c r="P116" s="25"/>
      <c r="Q116" s="25"/>
      <c r="R116" s="25"/>
      <c r="S116" s="25"/>
    </row>
    <row r="117" spans="1:19" s="88" customFormat="1" ht="18.75" x14ac:dyDescent="0.25">
      <c r="A117" s="25"/>
      <c r="B117" s="25"/>
      <c r="C117" s="110"/>
      <c r="D117" s="36"/>
      <c r="E117" s="25"/>
      <c r="F117" s="108"/>
      <c r="G117" s="107"/>
      <c r="H117" s="107"/>
      <c r="I117" s="30"/>
      <c r="J117" s="30"/>
      <c r="K117" s="30"/>
      <c r="L117" s="30"/>
      <c r="O117" s="25"/>
      <c r="P117" s="25"/>
      <c r="Q117" s="25"/>
      <c r="R117" s="25"/>
      <c r="S117" s="25"/>
    </row>
    <row r="118" spans="1:19" s="88" customFormat="1" ht="18.75" x14ac:dyDescent="0.25">
      <c r="A118" s="25"/>
      <c r="B118" s="25"/>
      <c r="C118" s="110"/>
      <c r="D118" s="36"/>
      <c r="E118" s="25"/>
      <c r="F118" s="108"/>
      <c r="G118" s="107"/>
      <c r="H118" s="107"/>
      <c r="I118" s="30"/>
      <c r="J118" s="30"/>
      <c r="K118" s="30"/>
      <c r="L118" s="30"/>
      <c r="O118" s="25"/>
      <c r="P118" s="25"/>
      <c r="Q118" s="25"/>
      <c r="R118" s="25"/>
      <c r="S118" s="25"/>
    </row>
    <row r="119" spans="1:19" s="88" customFormat="1" ht="18.75" x14ac:dyDescent="0.25">
      <c r="A119" s="25"/>
      <c r="B119" s="25"/>
      <c r="C119" s="110"/>
      <c r="D119" s="36"/>
      <c r="E119" s="25"/>
      <c r="F119" s="108"/>
      <c r="G119" s="107"/>
      <c r="H119" s="107"/>
      <c r="I119" s="30"/>
      <c r="J119" s="30"/>
      <c r="K119" s="30"/>
      <c r="L119" s="30"/>
      <c r="O119" s="25"/>
      <c r="P119" s="25"/>
      <c r="Q119" s="25"/>
      <c r="R119" s="25"/>
      <c r="S119" s="25"/>
    </row>
    <row r="120" spans="1:19" s="88" customFormat="1" ht="18.75" x14ac:dyDescent="0.25">
      <c r="A120" s="25"/>
      <c r="B120" s="25"/>
      <c r="C120" s="110"/>
      <c r="D120" s="36"/>
      <c r="E120" s="25"/>
      <c r="F120" s="108"/>
      <c r="G120" s="107"/>
      <c r="H120" s="107"/>
      <c r="I120" s="30"/>
      <c r="J120" s="30"/>
      <c r="K120" s="30"/>
      <c r="L120" s="30"/>
      <c r="O120" s="25"/>
      <c r="P120" s="25"/>
      <c r="Q120" s="25"/>
      <c r="R120" s="25"/>
      <c r="S120" s="25"/>
    </row>
    <row r="121" spans="1:19" s="88" customFormat="1" ht="18.75" x14ac:dyDescent="0.25">
      <c r="A121" s="25"/>
      <c r="B121" s="25"/>
      <c r="C121" s="110"/>
      <c r="D121" s="36"/>
      <c r="E121" s="25"/>
      <c r="F121" s="108"/>
      <c r="G121" s="107"/>
      <c r="H121" s="107"/>
      <c r="I121" s="30"/>
      <c r="J121" s="30"/>
      <c r="K121" s="30"/>
      <c r="L121" s="30"/>
      <c r="O121" s="25"/>
      <c r="P121" s="25"/>
      <c r="Q121" s="25"/>
      <c r="R121" s="25"/>
      <c r="S121" s="25"/>
    </row>
    <row r="122" spans="1:19" s="88" customFormat="1" ht="18.75" x14ac:dyDescent="0.25">
      <c r="A122" s="25"/>
      <c r="B122" s="25"/>
      <c r="C122" s="110"/>
      <c r="D122" s="36"/>
      <c r="E122" s="25"/>
      <c r="F122" s="108"/>
      <c r="G122" s="107"/>
      <c r="H122" s="107"/>
      <c r="I122" s="30"/>
      <c r="J122" s="30"/>
      <c r="K122" s="30"/>
      <c r="L122" s="30"/>
      <c r="O122" s="25"/>
      <c r="P122" s="25"/>
      <c r="Q122" s="25"/>
      <c r="R122" s="25"/>
      <c r="S122" s="25"/>
    </row>
    <row r="123" spans="1:19" s="88" customFormat="1" ht="18.75" x14ac:dyDescent="0.25">
      <c r="A123" s="25"/>
      <c r="B123" s="25"/>
      <c r="C123" s="110"/>
      <c r="D123" s="36"/>
      <c r="E123" s="25"/>
      <c r="F123" s="108"/>
      <c r="G123" s="107"/>
      <c r="H123" s="107"/>
      <c r="I123" s="30"/>
      <c r="J123" s="30"/>
      <c r="K123" s="30"/>
      <c r="L123" s="30"/>
      <c r="O123" s="25"/>
      <c r="P123" s="25"/>
      <c r="Q123" s="25"/>
      <c r="R123" s="25"/>
      <c r="S123" s="25"/>
    </row>
    <row r="124" spans="1:19" s="88" customFormat="1" ht="18.75" x14ac:dyDescent="0.25">
      <c r="A124" s="25"/>
      <c r="B124" s="25"/>
      <c r="C124" s="110"/>
      <c r="D124" s="36"/>
      <c r="E124" s="25"/>
      <c r="F124" s="108"/>
      <c r="G124" s="107"/>
      <c r="H124" s="107"/>
      <c r="I124" s="30"/>
      <c r="J124" s="30"/>
      <c r="K124" s="30"/>
      <c r="L124" s="30"/>
      <c r="O124" s="25"/>
      <c r="P124" s="25"/>
      <c r="Q124" s="25"/>
      <c r="R124" s="25"/>
      <c r="S124" s="25"/>
    </row>
    <row r="125" spans="1:19" s="88" customFormat="1" ht="18.75" x14ac:dyDescent="0.25">
      <c r="A125" s="25"/>
      <c r="B125" s="25"/>
      <c r="C125" s="110"/>
      <c r="D125" s="36"/>
      <c r="E125" s="25"/>
      <c r="F125" s="108"/>
      <c r="G125" s="107"/>
      <c r="H125" s="107"/>
      <c r="I125" s="30"/>
      <c r="J125" s="30"/>
      <c r="K125" s="30"/>
      <c r="L125" s="30"/>
      <c r="O125" s="25"/>
      <c r="P125" s="25"/>
      <c r="Q125" s="25"/>
      <c r="R125" s="25"/>
      <c r="S125" s="25"/>
    </row>
    <row r="126" spans="1:19" s="88" customFormat="1" ht="18.75" x14ac:dyDescent="0.25">
      <c r="A126" s="25"/>
      <c r="B126" s="25"/>
      <c r="C126" s="110"/>
      <c r="D126" s="36"/>
      <c r="E126" s="25"/>
      <c r="F126" s="108"/>
      <c r="G126" s="107"/>
      <c r="H126" s="107"/>
      <c r="I126" s="30"/>
      <c r="J126" s="30"/>
      <c r="K126" s="30"/>
      <c r="L126" s="30"/>
      <c r="O126" s="25"/>
      <c r="P126" s="25"/>
      <c r="Q126" s="25"/>
      <c r="R126" s="25"/>
      <c r="S126" s="25"/>
    </row>
    <row r="127" spans="1:19" s="88" customFormat="1" ht="18.75" x14ac:dyDescent="0.25">
      <c r="A127" s="25"/>
      <c r="B127" s="25"/>
      <c r="C127" s="110"/>
      <c r="D127" s="36"/>
      <c r="E127" s="25"/>
      <c r="F127" s="108"/>
      <c r="G127" s="107"/>
      <c r="H127" s="107"/>
      <c r="I127" s="30"/>
      <c r="J127" s="30"/>
      <c r="K127" s="30"/>
      <c r="L127" s="30"/>
      <c r="O127" s="25"/>
      <c r="P127" s="25"/>
      <c r="Q127" s="25"/>
      <c r="R127" s="25"/>
      <c r="S127" s="25"/>
    </row>
    <row r="128" spans="1:19" s="88" customFormat="1" ht="18.75" x14ac:dyDescent="0.25">
      <c r="A128" s="25"/>
      <c r="B128" s="25"/>
      <c r="C128" s="110"/>
      <c r="D128" s="36"/>
      <c r="E128" s="25"/>
      <c r="F128" s="108"/>
      <c r="G128" s="107"/>
      <c r="H128" s="107"/>
      <c r="I128" s="30"/>
      <c r="J128" s="30"/>
      <c r="K128" s="30"/>
      <c r="L128" s="30"/>
      <c r="O128" s="25"/>
      <c r="P128" s="25"/>
      <c r="Q128" s="25"/>
      <c r="R128" s="25"/>
      <c r="S128" s="25"/>
    </row>
    <row r="129" spans="1:19" s="88" customFormat="1" ht="18.75" x14ac:dyDescent="0.25">
      <c r="A129" s="25"/>
      <c r="B129" s="25"/>
      <c r="C129" s="110"/>
      <c r="D129" s="36"/>
      <c r="E129" s="25"/>
      <c r="F129" s="108"/>
      <c r="G129" s="107"/>
      <c r="H129" s="107"/>
      <c r="I129" s="30"/>
      <c r="J129" s="30"/>
      <c r="K129" s="30"/>
      <c r="L129" s="30"/>
      <c r="O129" s="25"/>
      <c r="P129" s="25"/>
      <c r="Q129" s="25"/>
      <c r="R129" s="25"/>
      <c r="S129" s="25"/>
    </row>
    <row r="130" spans="1:19" s="88" customFormat="1" ht="18.75" x14ac:dyDescent="0.25">
      <c r="A130" s="25"/>
      <c r="B130" s="25"/>
      <c r="C130" s="110"/>
      <c r="D130" s="36"/>
      <c r="E130" s="25"/>
      <c r="F130" s="108"/>
      <c r="G130" s="107"/>
      <c r="H130" s="107"/>
      <c r="I130" s="30"/>
      <c r="J130" s="30"/>
      <c r="K130" s="30"/>
      <c r="L130" s="30"/>
      <c r="O130" s="25"/>
      <c r="P130" s="25"/>
      <c r="Q130" s="25"/>
      <c r="R130" s="25"/>
      <c r="S130" s="25"/>
    </row>
    <row r="131" spans="1:19" s="88" customFormat="1" ht="18.75" x14ac:dyDescent="0.25">
      <c r="A131" s="25"/>
      <c r="B131" s="25"/>
      <c r="C131" s="110"/>
      <c r="D131" s="36"/>
      <c r="E131" s="25"/>
      <c r="F131" s="108"/>
      <c r="G131" s="107"/>
      <c r="H131" s="107"/>
      <c r="I131" s="30"/>
      <c r="J131" s="30"/>
      <c r="K131" s="30"/>
      <c r="L131" s="30"/>
      <c r="O131" s="25"/>
      <c r="P131" s="25"/>
      <c r="Q131" s="25"/>
      <c r="R131" s="25"/>
      <c r="S131" s="25"/>
    </row>
    <row r="132" spans="1:19" s="88" customFormat="1" ht="18.75" x14ac:dyDescent="0.25">
      <c r="A132" s="25"/>
      <c r="B132" s="25"/>
      <c r="C132" s="110"/>
      <c r="D132" s="36"/>
      <c r="E132" s="25"/>
      <c r="F132" s="108"/>
      <c r="G132" s="107"/>
      <c r="H132" s="107"/>
      <c r="I132" s="30"/>
      <c r="J132" s="30"/>
      <c r="K132" s="30"/>
      <c r="L132" s="30"/>
      <c r="O132" s="25"/>
      <c r="P132" s="25"/>
      <c r="Q132" s="25"/>
      <c r="R132" s="25"/>
      <c r="S132" s="25"/>
    </row>
    <row r="133" spans="1:19" s="88" customFormat="1" ht="18.75" x14ac:dyDescent="0.25">
      <c r="A133" s="25"/>
      <c r="B133" s="25"/>
      <c r="C133" s="110"/>
      <c r="D133" s="36"/>
      <c r="E133" s="25"/>
      <c r="F133" s="108"/>
      <c r="G133" s="107"/>
      <c r="H133" s="107"/>
      <c r="I133" s="30"/>
      <c r="J133" s="30"/>
      <c r="K133" s="30"/>
      <c r="L133" s="30"/>
      <c r="O133" s="25"/>
      <c r="P133" s="25"/>
      <c r="Q133" s="25"/>
      <c r="R133" s="25"/>
      <c r="S133" s="25"/>
    </row>
    <row r="134" spans="1:19" s="88" customFormat="1" ht="18.75" x14ac:dyDescent="0.25">
      <c r="A134" s="25"/>
      <c r="B134" s="25"/>
      <c r="C134" s="110"/>
      <c r="D134" s="36"/>
      <c r="E134" s="25"/>
      <c r="F134" s="108"/>
      <c r="G134" s="107"/>
      <c r="H134" s="107"/>
      <c r="I134" s="30"/>
      <c r="J134" s="30"/>
      <c r="K134" s="30"/>
      <c r="L134" s="30"/>
      <c r="O134" s="25"/>
      <c r="P134" s="25"/>
      <c r="Q134" s="25"/>
      <c r="R134" s="25"/>
      <c r="S134" s="25"/>
    </row>
    <row r="135" spans="1:19" s="88" customFormat="1" ht="18.75" x14ac:dyDescent="0.25">
      <c r="A135" s="25"/>
      <c r="B135" s="25"/>
      <c r="C135" s="110"/>
      <c r="D135" s="36"/>
      <c r="E135" s="25"/>
      <c r="F135" s="108"/>
      <c r="G135" s="107"/>
      <c r="H135" s="107"/>
      <c r="I135" s="30"/>
      <c r="J135" s="30"/>
      <c r="K135" s="30"/>
      <c r="L135" s="30"/>
      <c r="O135" s="25"/>
      <c r="P135" s="25"/>
      <c r="Q135" s="25"/>
      <c r="R135" s="25"/>
      <c r="S135" s="25"/>
    </row>
    <row r="136" spans="1:19" s="88" customFormat="1" ht="18.75" x14ac:dyDescent="0.25">
      <c r="A136" s="25"/>
      <c r="B136" s="25"/>
      <c r="C136" s="110"/>
      <c r="D136" s="36"/>
      <c r="E136" s="25"/>
      <c r="F136" s="108"/>
      <c r="G136" s="107"/>
      <c r="H136" s="107"/>
      <c r="I136" s="30"/>
      <c r="J136" s="30"/>
      <c r="K136" s="30"/>
      <c r="L136" s="30"/>
      <c r="O136" s="25"/>
      <c r="P136" s="25"/>
      <c r="Q136" s="25"/>
      <c r="R136" s="25"/>
      <c r="S136" s="25"/>
    </row>
    <row r="137" spans="1:19" s="88" customFormat="1" ht="18.75" x14ac:dyDescent="0.25">
      <c r="A137" s="25"/>
      <c r="B137" s="25"/>
      <c r="C137" s="110"/>
      <c r="D137" s="36"/>
      <c r="E137" s="25"/>
      <c r="F137" s="108"/>
      <c r="G137" s="107"/>
      <c r="H137" s="107"/>
      <c r="I137" s="30"/>
      <c r="J137" s="30"/>
      <c r="K137" s="30"/>
      <c r="L137" s="30"/>
      <c r="O137" s="25"/>
      <c r="P137" s="25"/>
      <c r="Q137" s="25"/>
      <c r="R137" s="25"/>
      <c r="S137" s="25"/>
    </row>
    <row r="138" spans="1:19" s="88" customFormat="1" ht="18.75" x14ac:dyDescent="0.25">
      <c r="A138" s="25"/>
      <c r="B138" s="25"/>
      <c r="C138" s="110"/>
      <c r="D138" s="36"/>
      <c r="E138" s="25"/>
      <c r="F138" s="108"/>
      <c r="G138" s="107"/>
      <c r="H138" s="107"/>
      <c r="I138" s="30"/>
      <c r="J138" s="30"/>
      <c r="K138" s="30"/>
      <c r="L138" s="30"/>
      <c r="O138" s="25"/>
      <c r="P138" s="25"/>
      <c r="Q138" s="25"/>
      <c r="R138" s="25"/>
      <c r="S138" s="25"/>
    </row>
    <row r="139" spans="1:19" s="88" customFormat="1" ht="18.75" x14ac:dyDescent="0.25">
      <c r="A139" s="25"/>
      <c r="B139" s="25"/>
      <c r="C139" s="110"/>
      <c r="D139" s="36"/>
      <c r="E139" s="25"/>
      <c r="F139" s="108"/>
      <c r="G139" s="107"/>
      <c r="H139" s="107"/>
      <c r="I139" s="30"/>
      <c r="J139" s="30"/>
      <c r="K139" s="30"/>
      <c r="L139" s="30"/>
      <c r="O139" s="25"/>
      <c r="P139" s="25"/>
      <c r="Q139" s="25"/>
      <c r="R139" s="25"/>
      <c r="S139" s="25"/>
    </row>
    <row r="140" spans="1:19" s="88" customFormat="1" ht="18.75" x14ac:dyDescent="0.25">
      <c r="A140" s="25"/>
      <c r="B140" s="25"/>
      <c r="C140" s="110"/>
      <c r="D140" s="36"/>
      <c r="E140" s="25"/>
      <c r="F140" s="108"/>
      <c r="G140" s="107"/>
      <c r="H140" s="107"/>
      <c r="I140" s="30"/>
      <c r="J140" s="30"/>
      <c r="K140" s="30"/>
      <c r="L140" s="30"/>
      <c r="O140" s="25"/>
      <c r="P140" s="25"/>
      <c r="Q140" s="25"/>
      <c r="R140" s="25"/>
      <c r="S140" s="25"/>
    </row>
    <row r="141" spans="1:19" s="88" customFormat="1" ht="18.75" x14ac:dyDescent="0.25">
      <c r="A141" s="25"/>
      <c r="B141" s="25"/>
      <c r="C141" s="110"/>
      <c r="D141" s="36"/>
      <c r="E141" s="25"/>
      <c r="F141" s="108"/>
      <c r="G141" s="107"/>
      <c r="H141" s="107"/>
      <c r="I141" s="30"/>
      <c r="J141" s="30"/>
      <c r="K141" s="30"/>
      <c r="L141" s="30"/>
      <c r="O141" s="25"/>
      <c r="P141" s="25"/>
      <c r="Q141" s="25"/>
      <c r="R141" s="25"/>
      <c r="S141" s="25"/>
    </row>
    <row r="142" spans="1:19" s="88" customFormat="1" ht="18.75" x14ac:dyDescent="0.25">
      <c r="A142" s="25"/>
      <c r="B142" s="25"/>
      <c r="C142" s="110"/>
      <c r="D142" s="36"/>
      <c r="E142" s="25"/>
      <c r="F142" s="108"/>
      <c r="G142" s="107"/>
      <c r="H142" s="107"/>
      <c r="I142" s="30"/>
      <c r="J142" s="30"/>
      <c r="K142" s="30"/>
      <c r="L142" s="30"/>
      <c r="O142" s="25"/>
      <c r="P142" s="25"/>
      <c r="Q142" s="25"/>
      <c r="R142" s="25"/>
      <c r="S142" s="25"/>
    </row>
    <row r="143" spans="1:19" s="88" customFormat="1" ht="18.75" x14ac:dyDescent="0.25">
      <c r="A143" s="25"/>
      <c r="B143" s="25"/>
      <c r="C143" s="110"/>
      <c r="D143" s="36"/>
      <c r="E143" s="25"/>
      <c r="F143" s="108"/>
      <c r="G143" s="107"/>
      <c r="H143" s="107"/>
      <c r="I143" s="30"/>
      <c r="J143" s="30"/>
      <c r="K143" s="30"/>
      <c r="L143" s="30"/>
      <c r="O143" s="25"/>
      <c r="P143" s="25"/>
      <c r="Q143" s="25"/>
      <c r="R143" s="25"/>
      <c r="S143" s="25"/>
    </row>
    <row r="144" spans="1:19" s="88" customFormat="1" ht="18.75" x14ac:dyDescent="0.25">
      <c r="A144" s="25"/>
      <c r="B144" s="25"/>
      <c r="C144" s="110"/>
      <c r="D144" s="36"/>
      <c r="E144" s="25"/>
      <c r="F144" s="108"/>
      <c r="G144" s="107"/>
      <c r="H144" s="107"/>
      <c r="I144" s="30"/>
      <c r="J144" s="30"/>
      <c r="K144" s="30"/>
      <c r="L144" s="30"/>
      <c r="O144" s="25"/>
      <c r="P144" s="25"/>
      <c r="Q144" s="25"/>
      <c r="R144" s="25"/>
      <c r="S144" s="25"/>
    </row>
    <row r="145" spans="1:19" s="88" customFormat="1" ht="18.75" x14ac:dyDescent="0.25">
      <c r="A145" s="25"/>
      <c r="B145" s="25"/>
      <c r="C145" s="110"/>
      <c r="D145" s="36"/>
      <c r="E145" s="25"/>
      <c r="F145" s="108"/>
      <c r="G145" s="107"/>
      <c r="H145" s="107"/>
      <c r="I145" s="30"/>
      <c r="J145" s="30"/>
      <c r="K145" s="30"/>
      <c r="L145" s="30"/>
      <c r="O145" s="25"/>
      <c r="P145" s="25"/>
      <c r="Q145" s="25"/>
      <c r="R145" s="25"/>
      <c r="S145" s="25"/>
    </row>
    <row r="146" spans="1:19" s="88" customFormat="1" ht="18.75" x14ac:dyDescent="0.25">
      <c r="A146" s="25"/>
      <c r="B146" s="25"/>
      <c r="C146" s="110"/>
      <c r="D146" s="36"/>
      <c r="E146" s="25"/>
      <c r="F146" s="108"/>
      <c r="G146" s="107"/>
      <c r="H146" s="107"/>
      <c r="I146" s="30"/>
      <c r="J146" s="30"/>
      <c r="K146" s="30"/>
      <c r="L146" s="30"/>
      <c r="O146" s="25"/>
      <c r="P146" s="25"/>
      <c r="Q146" s="25"/>
      <c r="R146" s="25"/>
      <c r="S146" s="25"/>
    </row>
    <row r="147" spans="1:19" s="88" customFormat="1" ht="18.75" x14ac:dyDescent="0.25">
      <c r="A147" s="25"/>
      <c r="B147" s="25"/>
      <c r="C147" s="110"/>
      <c r="D147" s="36"/>
      <c r="E147" s="25"/>
      <c r="F147" s="108"/>
      <c r="G147" s="107"/>
      <c r="H147" s="107"/>
      <c r="I147" s="30"/>
      <c r="J147" s="30"/>
      <c r="K147" s="30"/>
      <c r="L147" s="30"/>
      <c r="O147" s="25"/>
      <c r="P147" s="25"/>
      <c r="Q147" s="25"/>
      <c r="R147" s="25"/>
      <c r="S147" s="25"/>
    </row>
    <row r="148" spans="1:19" s="88" customFormat="1" ht="18.75" x14ac:dyDescent="0.25">
      <c r="A148" s="25"/>
      <c r="B148" s="25"/>
      <c r="C148" s="110"/>
      <c r="D148" s="36"/>
      <c r="E148" s="25"/>
      <c r="F148" s="108"/>
      <c r="G148" s="107"/>
      <c r="H148" s="107"/>
      <c r="I148" s="30"/>
      <c r="J148" s="30"/>
      <c r="K148" s="30"/>
      <c r="L148" s="30"/>
      <c r="O148" s="25"/>
      <c r="P148" s="25"/>
      <c r="Q148" s="25"/>
      <c r="R148" s="25"/>
      <c r="S148" s="25"/>
    </row>
    <row r="149" spans="1:19" s="88" customFormat="1" ht="18.75" x14ac:dyDescent="0.25">
      <c r="A149" s="25"/>
      <c r="B149" s="25"/>
      <c r="C149" s="110"/>
      <c r="D149" s="36"/>
      <c r="E149" s="25"/>
      <c r="F149" s="108"/>
      <c r="G149" s="107"/>
      <c r="H149" s="107"/>
      <c r="I149" s="30"/>
      <c r="J149" s="30"/>
      <c r="K149" s="30"/>
      <c r="L149" s="30"/>
      <c r="O149" s="25"/>
      <c r="P149" s="25"/>
      <c r="Q149" s="25"/>
      <c r="R149" s="25"/>
      <c r="S149" s="25"/>
    </row>
    <row r="150" spans="1:19" s="88" customFormat="1" ht="18.75" x14ac:dyDescent="0.25">
      <c r="A150" s="25"/>
      <c r="B150" s="25"/>
      <c r="C150" s="110"/>
      <c r="D150" s="36"/>
      <c r="E150" s="25"/>
      <c r="F150" s="108"/>
      <c r="G150" s="107"/>
      <c r="H150" s="107"/>
      <c r="I150" s="30"/>
      <c r="J150" s="30"/>
      <c r="K150" s="30"/>
      <c r="L150" s="30"/>
      <c r="O150" s="25"/>
      <c r="P150" s="25"/>
      <c r="Q150" s="25"/>
      <c r="R150" s="25"/>
      <c r="S150" s="25"/>
    </row>
    <row r="151" spans="1:19" s="88" customFormat="1" ht="18.75" x14ac:dyDescent="0.25">
      <c r="A151" s="25"/>
      <c r="B151" s="25"/>
      <c r="C151" s="110"/>
      <c r="D151" s="36"/>
      <c r="E151" s="25"/>
      <c r="F151" s="108"/>
      <c r="G151" s="107"/>
      <c r="H151" s="107"/>
      <c r="I151" s="30"/>
      <c r="J151" s="30"/>
      <c r="K151" s="30"/>
      <c r="L151" s="30"/>
      <c r="O151" s="25"/>
      <c r="P151" s="25"/>
      <c r="Q151" s="25"/>
      <c r="R151" s="25"/>
      <c r="S151" s="25"/>
    </row>
    <row r="152" spans="1:19" s="88" customFormat="1" ht="18.75" x14ac:dyDescent="0.25">
      <c r="A152" s="25"/>
      <c r="B152" s="25"/>
      <c r="C152" s="110"/>
      <c r="D152" s="36"/>
      <c r="E152" s="25"/>
      <c r="F152" s="108"/>
      <c r="G152" s="107"/>
      <c r="H152" s="107"/>
      <c r="I152" s="30"/>
      <c r="J152" s="30"/>
      <c r="K152" s="30"/>
      <c r="L152" s="30"/>
      <c r="O152" s="25"/>
      <c r="P152" s="25"/>
      <c r="Q152" s="25"/>
      <c r="R152" s="25"/>
      <c r="S152" s="25"/>
    </row>
    <row r="153" spans="1:19" s="88" customFormat="1" ht="15.75" x14ac:dyDescent="0.25">
      <c r="A153" s="25"/>
      <c r="B153" s="25"/>
      <c r="C153" s="110"/>
      <c r="D153" s="36"/>
      <c r="E153" s="25"/>
      <c r="F153" s="108"/>
      <c r="G153" s="26"/>
      <c r="H153" s="26"/>
      <c r="I153" s="26"/>
      <c r="J153" s="26"/>
      <c r="K153" s="26"/>
      <c r="L153" s="26"/>
      <c r="O153" s="25"/>
      <c r="P153" s="25"/>
      <c r="Q153" s="25"/>
      <c r="R153" s="25"/>
      <c r="S153" s="25"/>
    </row>
    <row r="154" spans="1:19" s="88" customFormat="1" ht="15.75" x14ac:dyDescent="0.25">
      <c r="A154" s="25"/>
      <c r="B154" s="25"/>
      <c r="C154" s="110"/>
      <c r="D154" s="36"/>
      <c r="E154" s="25"/>
      <c r="F154" s="108"/>
      <c r="G154" s="26"/>
      <c r="H154" s="26"/>
      <c r="I154" s="26"/>
      <c r="J154" s="26"/>
      <c r="K154" s="26"/>
      <c r="L154" s="26"/>
      <c r="O154" s="25"/>
      <c r="P154" s="25"/>
      <c r="Q154" s="25"/>
      <c r="R154" s="25"/>
      <c r="S154" s="25"/>
    </row>
    <row r="155" spans="1:19" s="88" customFormat="1" ht="15.75" x14ac:dyDescent="0.25">
      <c r="A155" s="25"/>
      <c r="B155" s="25"/>
      <c r="C155" s="110"/>
      <c r="D155" s="36"/>
      <c r="E155" s="25"/>
      <c r="F155" s="108"/>
      <c r="G155" s="26"/>
      <c r="H155" s="26"/>
      <c r="I155" s="26"/>
      <c r="J155" s="26"/>
      <c r="K155" s="26"/>
      <c r="L155" s="26"/>
      <c r="O155" s="25"/>
      <c r="P155" s="25"/>
      <c r="Q155" s="25"/>
      <c r="R155" s="25"/>
      <c r="S155" s="25"/>
    </row>
    <row r="156" spans="1:19" s="88" customFormat="1" ht="15.75" x14ac:dyDescent="0.25">
      <c r="A156" s="25"/>
      <c r="B156" s="25"/>
      <c r="C156" s="110"/>
      <c r="D156" s="36"/>
      <c r="E156" s="25"/>
      <c r="F156" s="108"/>
      <c r="G156" s="26"/>
      <c r="H156" s="26"/>
      <c r="I156" s="26"/>
      <c r="J156" s="26"/>
      <c r="K156" s="26"/>
      <c r="L156" s="26"/>
      <c r="O156" s="25"/>
      <c r="P156" s="25"/>
      <c r="Q156" s="25"/>
      <c r="R156" s="25"/>
      <c r="S156" s="25"/>
    </row>
    <row r="157" spans="1:19" s="88" customFormat="1" ht="15.75" x14ac:dyDescent="0.25">
      <c r="A157" s="25"/>
      <c r="B157" s="25"/>
      <c r="C157" s="110"/>
      <c r="D157" s="36"/>
      <c r="E157" s="25"/>
      <c r="F157" s="108"/>
      <c r="G157" s="26"/>
      <c r="H157" s="26"/>
      <c r="I157" s="26"/>
      <c r="J157" s="26"/>
      <c r="K157" s="26"/>
      <c r="L157" s="26"/>
      <c r="O157" s="25"/>
      <c r="P157" s="25"/>
      <c r="Q157" s="25"/>
      <c r="R157" s="25"/>
      <c r="S157" s="25"/>
    </row>
    <row r="158" spans="1:19" s="88" customFormat="1" ht="15.75" x14ac:dyDescent="0.25">
      <c r="A158" s="25"/>
      <c r="B158" s="25"/>
      <c r="C158" s="110"/>
      <c r="D158" s="36"/>
      <c r="E158" s="25"/>
      <c r="F158" s="108"/>
      <c r="G158" s="26"/>
      <c r="H158" s="26"/>
      <c r="I158" s="26"/>
      <c r="J158" s="26"/>
      <c r="K158" s="26"/>
      <c r="L158" s="26"/>
      <c r="O158" s="25"/>
      <c r="P158" s="25"/>
      <c r="Q158" s="25"/>
      <c r="R158" s="25"/>
      <c r="S158" s="25"/>
    </row>
    <row r="159" spans="1:19" s="88" customFormat="1" ht="15.75" x14ac:dyDescent="0.25">
      <c r="A159" s="25"/>
      <c r="B159" s="25"/>
      <c r="C159" s="110"/>
      <c r="D159" s="36"/>
      <c r="E159" s="25"/>
      <c r="F159" s="108"/>
      <c r="G159" s="26"/>
      <c r="H159" s="26"/>
      <c r="I159" s="26"/>
      <c r="J159" s="26"/>
      <c r="K159" s="26"/>
      <c r="L159" s="26"/>
      <c r="O159" s="25"/>
      <c r="P159" s="25"/>
      <c r="Q159" s="25"/>
      <c r="R159" s="25"/>
      <c r="S159" s="25"/>
    </row>
    <row r="160" spans="1:19" s="88" customFormat="1" ht="15.75" x14ac:dyDescent="0.25">
      <c r="A160" s="25"/>
      <c r="B160" s="25"/>
      <c r="C160" s="110"/>
      <c r="D160" s="36"/>
      <c r="E160" s="25"/>
      <c r="F160" s="108"/>
      <c r="G160" s="26"/>
      <c r="H160" s="26"/>
      <c r="I160" s="26"/>
      <c r="J160" s="26"/>
      <c r="K160" s="26"/>
      <c r="L160" s="26"/>
      <c r="O160" s="25"/>
      <c r="P160" s="25"/>
      <c r="Q160" s="25"/>
      <c r="R160" s="25"/>
      <c r="S160" s="25"/>
    </row>
    <row r="161" spans="1:19" s="88" customFormat="1" ht="15.75" x14ac:dyDescent="0.25">
      <c r="A161" s="25"/>
      <c r="B161" s="25"/>
      <c r="C161" s="110"/>
      <c r="D161" s="36"/>
      <c r="E161" s="25"/>
      <c r="F161" s="108"/>
      <c r="G161" s="26"/>
      <c r="H161" s="26"/>
      <c r="I161" s="26"/>
      <c r="J161" s="26"/>
      <c r="K161" s="26"/>
      <c r="L161" s="26"/>
      <c r="O161" s="25"/>
      <c r="P161" s="25"/>
      <c r="Q161" s="25"/>
      <c r="R161" s="25"/>
      <c r="S161" s="25"/>
    </row>
    <row r="162" spans="1:19" s="88" customFormat="1" ht="15.75" x14ac:dyDescent="0.25">
      <c r="A162" s="25"/>
      <c r="B162" s="25"/>
      <c r="C162" s="110"/>
      <c r="D162" s="36"/>
      <c r="E162" s="25"/>
      <c r="F162" s="108"/>
      <c r="G162" s="26"/>
      <c r="H162" s="26"/>
      <c r="I162" s="26"/>
      <c r="J162" s="26"/>
      <c r="K162" s="26"/>
      <c r="L162" s="26"/>
      <c r="O162" s="25"/>
      <c r="P162" s="25"/>
      <c r="Q162" s="25"/>
      <c r="R162" s="25"/>
      <c r="S162" s="25"/>
    </row>
    <row r="163" spans="1:19" s="88" customFormat="1" ht="15.75" x14ac:dyDescent="0.25">
      <c r="A163" s="25"/>
      <c r="B163" s="25"/>
      <c r="C163" s="110"/>
      <c r="D163" s="36"/>
      <c r="E163" s="25"/>
      <c r="F163" s="108"/>
      <c r="G163" s="26"/>
      <c r="H163" s="26"/>
      <c r="I163" s="26"/>
      <c r="J163" s="26"/>
      <c r="K163" s="26"/>
      <c r="L163" s="26"/>
      <c r="O163" s="25"/>
      <c r="P163" s="25"/>
      <c r="Q163" s="25"/>
      <c r="R163" s="25"/>
      <c r="S163" s="25"/>
    </row>
    <row r="164" spans="1:19" s="88" customFormat="1" ht="15.75" x14ac:dyDescent="0.25">
      <c r="A164" s="25"/>
      <c r="B164" s="25"/>
      <c r="C164" s="110"/>
      <c r="D164" s="36"/>
      <c r="E164" s="25"/>
      <c r="F164" s="108"/>
      <c r="G164" s="26"/>
      <c r="H164" s="26"/>
      <c r="I164" s="26"/>
      <c r="J164" s="26"/>
      <c r="K164" s="26"/>
      <c r="L164" s="26"/>
      <c r="O164" s="25"/>
      <c r="P164" s="25"/>
      <c r="Q164" s="25"/>
      <c r="R164" s="25"/>
      <c r="S164" s="25"/>
    </row>
    <row r="165" spans="1:19" s="88" customFormat="1" ht="15.75" x14ac:dyDescent="0.25">
      <c r="A165" s="25"/>
      <c r="B165" s="25"/>
      <c r="C165" s="110"/>
      <c r="D165" s="36"/>
      <c r="E165" s="25"/>
      <c r="F165" s="108"/>
      <c r="G165" s="26"/>
      <c r="H165" s="26"/>
      <c r="I165" s="26"/>
      <c r="J165" s="26"/>
      <c r="K165" s="26"/>
      <c r="L165" s="26"/>
      <c r="O165" s="25"/>
      <c r="P165" s="25"/>
      <c r="Q165" s="25"/>
      <c r="R165" s="25"/>
      <c r="S165" s="25"/>
    </row>
    <row r="166" spans="1:19" s="88" customFormat="1" ht="15.75" x14ac:dyDescent="0.25">
      <c r="A166" s="25"/>
      <c r="B166" s="25"/>
      <c r="C166" s="110"/>
      <c r="D166" s="36"/>
      <c r="E166" s="25"/>
      <c r="F166" s="108"/>
      <c r="G166" s="26"/>
      <c r="H166" s="26"/>
      <c r="I166" s="26"/>
      <c r="J166" s="26"/>
      <c r="K166" s="26"/>
      <c r="L166" s="26"/>
      <c r="O166" s="25"/>
      <c r="P166" s="25"/>
      <c r="Q166" s="25"/>
      <c r="R166" s="25"/>
      <c r="S166" s="25"/>
    </row>
    <row r="167" spans="1:19" s="88" customFormat="1" ht="15.75" x14ac:dyDescent="0.25">
      <c r="A167" s="25"/>
      <c r="B167" s="25"/>
      <c r="C167" s="110"/>
      <c r="D167" s="36"/>
      <c r="E167" s="25"/>
      <c r="F167" s="108"/>
      <c r="G167" s="26"/>
      <c r="H167" s="26"/>
      <c r="I167" s="26"/>
      <c r="J167" s="26"/>
      <c r="K167" s="26"/>
      <c r="L167" s="26"/>
      <c r="O167" s="25"/>
      <c r="P167" s="25"/>
      <c r="Q167" s="25"/>
      <c r="R167" s="25"/>
      <c r="S167" s="25"/>
    </row>
    <row r="168" spans="1:19" s="88" customFormat="1" ht="15.75" x14ac:dyDescent="0.25">
      <c r="A168" s="25"/>
      <c r="B168" s="25"/>
      <c r="C168" s="110"/>
      <c r="D168" s="36"/>
      <c r="E168" s="25"/>
      <c r="F168" s="108"/>
      <c r="G168" s="26"/>
      <c r="H168" s="26"/>
      <c r="I168" s="26"/>
      <c r="J168" s="26"/>
      <c r="K168" s="26"/>
      <c r="L168" s="26"/>
      <c r="O168" s="25"/>
      <c r="P168" s="25"/>
      <c r="Q168" s="25"/>
      <c r="R168" s="25"/>
      <c r="S168" s="25"/>
    </row>
    <row r="169" spans="1:19" s="88" customFormat="1" ht="15.75" x14ac:dyDescent="0.25">
      <c r="A169" s="25"/>
      <c r="B169" s="25"/>
      <c r="C169" s="110"/>
      <c r="D169" s="36"/>
      <c r="E169" s="25"/>
      <c r="F169" s="108"/>
      <c r="G169" s="26"/>
      <c r="H169" s="26"/>
      <c r="I169" s="26"/>
      <c r="J169" s="26"/>
      <c r="K169" s="26"/>
      <c r="L169" s="26"/>
      <c r="O169" s="25"/>
      <c r="P169" s="25"/>
      <c r="Q169" s="25"/>
      <c r="R169" s="25"/>
      <c r="S169" s="25"/>
    </row>
    <row r="170" spans="1:19" s="88" customFormat="1" ht="15.75" x14ac:dyDescent="0.25">
      <c r="A170" s="25"/>
      <c r="B170" s="25"/>
      <c r="C170" s="110"/>
      <c r="D170" s="36"/>
      <c r="E170" s="25"/>
      <c r="F170" s="108"/>
      <c r="G170" s="26"/>
      <c r="H170" s="26"/>
      <c r="I170" s="26"/>
      <c r="J170" s="26"/>
      <c r="K170" s="26"/>
      <c r="L170" s="26"/>
      <c r="O170" s="25"/>
      <c r="P170" s="25"/>
      <c r="Q170" s="25"/>
      <c r="R170" s="25"/>
      <c r="S170" s="25"/>
    </row>
    <row r="171" spans="1:19" s="88" customFormat="1" ht="15.75" x14ac:dyDescent="0.25">
      <c r="A171" s="25"/>
      <c r="B171" s="25"/>
      <c r="C171" s="110"/>
      <c r="D171" s="36"/>
      <c r="E171" s="25"/>
      <c r="F171" s="108"/>
      <c r="G171" s="26"/>
      <c r="H171" s="26"/>
      <c r="I171" s="26"/>
      <c r="J171" s="26"/>
      <c r="K171" s="26"/>
      <c r="L171" s="26"/>
      <c r="O171" s="25"/>
      <c r="P171" s="25"/>
      <c r="Q171" s="25"/>
      <c r="R171" s="25"/>
      <c r="S171" s="25"/>
    </row>
    <row r="172" spans="1:19" s="88" customFormat="1" ht="15.75" x14ac:dyDescent="0.25">
      <c r="A172" s="25"/>
      <c r="B172" s="25"/>
      <c r="C172" s="110"/>
      <c r="D172" s="36"/>
      <c r="E172" s="25"/>
      <c r="F172" s="108"/>
      <c r="G172" s="26"/>
      <c r="H172" s="26"/>
      <c r="I172" s="26"/>
      <c r="J172" s="26"/>
      <c r="K172" s="26"/>
      <c r="L172" s="26"/>
      <c r="O172" s="25"/>
      <c r="P172" s="25"/>
      <c r="Q172" s="25"/>
      <c r="R172" s="25"/>
      <c r="S172" s="25"/>
    </row>
    <row r="173" spans="1:19" s="88" customFormat="1" ht="15.75" x14ac:dyDescent="0.25">
      <c r="A173" s="25"/>
      <c r="B173" s="25"/>
      <c r="C173" s="110"/>
      <c r="D173" s="36"/>
      <c r="E173" s="25"/>
      <c r="F173" s="108"/>
      <c r="G173" s="26"/>
      <c r="H173" s="26"/>
      <c r="I173" s="26"/>
      <c r="J173" s="26"/>
      <c r="K173" s="26"/>
      <c r="L173" s="26"/>
      <c r="O173" s="25"/>
      <c r="P173" s="25"/>
      <c r="Q173" s="25"/>
      <c r="R173" s="25"/>
      <c r="S173" s="25"/>
    </row>
    <row r="174" spans="1:19" s="88" customFormat="1" ht="15.75" x14ac:dyDescent="0.25">
      <c r="A174" s="25"/>
      <c r="B174" s="25"/>
      <c r="C174" s="110"/>
      <c r="D174" s="36"/>
      <c r="E174" s="25"/>
      <c r="F174" s="108"/>
      <c r="G174" s="26"/>
      <c r="H174" s="26"/>
      <c r="I174" s="26"/>
      <c r="J174" s="26"/>
      <c r="K174" s="26"/>
      <c r="L174" s="26"/>
      <c r="O174" s="25"/>
      <c r="P174" s="25"/>
      <c r="Q174" s="25"/>
      <c r="R174" s="25"/>
      <c r="S174" s="25"/>
    </row>
    <row r="175" spans="1:19" s="88" customFormat="1" ht="15.75" x14ac:dyDescent="0.25">
      <c r="A175" s="25"/>
      <c r="B175" s="25"/>
      <c r="C175" s="110"/>
      <c r="D175" s="36"/>
      <c r="E175" s="25"/>
      <c r="F175" s="108"/>
      <c r="G175" s="26"/>
      <c r="H175" s="26"/>
      <c r="I175" s="26"/>
      <c r="J175" s="26"/>
      <c r="K175" s="26"/>
      <c r="L175" s="26"/>
      <c r="O175" s="25"/>
      <c r="P175" s="25"/>
      <c r="Q175" s="25"/>
      <c r="R175" s="25"/>
      <c r="S175" s="25"/>
    </row>
    <row r="176" spans="1:19" s="88" customFormat="1" ht="15.75" x14ac:dyDescent="0.25">
      <c r="A176" s="25"/>
      <c r="B176" s="25"/>
      <c r="C176" s="110"/>
      <c r="D176" s="36"/>
      <c r="E176" s="25"/>
      <c r="F176" s="108"/>
      <c r="G176" s="26"/>
      <c r="H176" s="26"/>
      <c r="I176" s="26"/>
      <c r="J176" s="26"/>
      <c r="K176" s="26"/>
      <c r="L176" s="26"/>
      <c r="O176" s="25"/>
      <c r="P176" s="25"/>
      <c r="Q176" s="25"/>
      <c r="R176" s="25"/>
      <c r="S176" s="25"/>
    </row>
    <row r="177" spans="1:19" s="88" customFormat="1" ht="15.75" x14ac:dyDescent="0.25">
      <c r="A177" s="25"/>
      <c r="B177" s="25"/>
      <c r="C177" s="110"/>
      <c r="D177" s="36"/>
      <c r="E177" s="25"/>
      <c r="F177" s="108"/>
      <c r="G177" s="26"/>
      <c r="H177" s="26"/>
      <c r="I177" s="26"/>
      <c r="J177" s="26"/>
      <c r="K177" s="26"/>
      <c r="L177" s="26"/>
      <c r="O177" s="25"/>
      <c r="P177" s="25"/>
      <c r="Q177" s="25"/>
      <c r="R177" s="25"/>
      <c r="S177" s="25"/>
    </row>
    <row r="178" spans="1:19" s="88" customFormat="1" ht="15.75" x14ac:dyDescent="0.25">
      <c r="A178" s="25"/>
      <c r="B178" s="25"/>
      <c r="C178" s="110"/>
      <c r="D178" s="36"/>
      <c r="E178" s="25"/>
      <c r="F178" s="108"/>
      <c r="G178" s="26"/>
      <c r="H178" s="26"/>
      <c r="I178" s="26"/>
      <c r="J178" s="26"/>
      <c r="K178" s="26"/>
      <c r="L178" s="26"/>
      <c r="O178" s="25"/>
      <c r="P178" s="25"/>
      <c r="Q178" s="25"/>
      <c r="R178" s="25"/>
      <c r="S178" s="25"/>
    </row>
    <row r="179" spans="1:19" s="88" customFormat="1" ht="15.75" x14ac:dyDescent="0.25">
      <c r="A179" s="25"/>
      <c r="B179" s="25"/>
      <c r="C179" s="110"/>
      <c r="D179" s="36"/>
      <c r="E179" s="25"/>
      <c r="F179" s="108"/>
      <c r="G179" s="26"/>
      <c r="H179" s="26"/>
      <c r="I179" s="26"/>
      <c r="J179" s="26"/>
      <c r="K179" s="26"/>
      <c r="L179" s="26"/>
      <c r="O179" s="25"/>
      <c r="P179" s="25"/>
      <c r="Q179" s="25"/>
      <c r="R179" s="25"/>
      <c r="S179" s="25"/>
    </row>
    <row r="180" spans="1:19" s="88" customFormat="1" ht="15.75" x14ac:dyDescent="0.25">
      <c r="A180" s="25"/>
      <c r="B180" s="25"/>
      <c r="C180" s="110"/>
      <c r="D180" s="36"/>
      <c r="E180" s="25"/>
      <c r="F180" s="108"/>
      <c r="G180" s="26"/>
      <c r="H180" s="26"/>
      <c r="I180" s="26"/>
      <c r="J180" s="26"/>
      <c r="K180" s="26"/>
      <c r="L180" s="26"/>
      <c r="O180" s="25"/>
      <c r="P180" s="25"/>
      <c r="Q180" s="25"/>
      <c r="R180" s="25"/>
      <c r="S180" s="25"/>
    </row>
    <row r="181" spans="1:19" s="88" customFormat="1" ht="15.75" x14ac:dyDescent="0.25">
      <c r="A181" s="25"/>
      <c r="B181" s="25"/>
      <c r="C181" s="110"/>
      <c r="D181" s="36"/>
      <c r="E181" s="25"/>
      <c r="F181" s="108"/>
      <c r="G181" s="26"/>
      <c r="H181" s="26"/>
      <c r="I181" s="26"/>
      <c r="J181" s="26"/>
      <c r="K181" s="26"/>
      <c r="L181" s="26"/>
      <c r="O181" s="25"/>
      <c r="P181" s="25"/>
      <c r="Q181" s="25"/>
      <c r="R181" s="25"/>
      <c r="S181" s="25"/>
    </row>
    <row r="182" spans="1:19" s="88" customFormat="1" ht="15.75" x14ac:dyDescent="0.25">
      <c r="A182" s="25"/>
      <c r="B182" s="25"/>
      <c r="C182" s="110"/>
      <c r="D182" s="36"/>
      <c r="E182" s="25"/>
      <c r="F182" s="108"/>
      <c r="G182" s="26"/>
      <c r="H182" s="26"/>
      <c r="I182" s="26"/>
      <c r="J182" s="26"/>
      <c r="K182" s="26"/>
      <c r="L182" s="26"/>
      <c r="O182" s="25"/>
      <c r="P182" s="25"/>
      <c r="Q182" s="25"/>
      <c r="R182" s="25"/>
      <c r="S182" s="25"/>
    </row>
    <row r="183" spans="1:19" s="88" customFormat="1" ht="15.75" x14ac:dyDescent="0.25">
      <c r="A183" s="25"/>
      <c r="B183" s="25"/>
      <c r="C183" s="110"/>
      <c r="D183" s="36"/>
      <c r="E183" s="25"/>
      <c r="F183" s="108"/>
      <c r="G183" s="26"/>
      <c r="H183" s="26"/>
      <c r="I183" s="26"/>
      <c r="J183" s="26"/>
      <c r="K183" s="26"/>
      <c r="L183" s="26"/>
      <c r="O183" s="25"/>
      <c r="P183" s="25"/>
      <c r="Q183" s="25"/>
      <c r="R183" s="25"/>
      <c r="S183" s="25"/>
    </row>
    <row r="184" spans="1:19" s="88" customFormat="1" ht="15.75" x14ac:dyDescent="0.25">
      <c r="A184" s="25"/>
      <c r="B184" s="25"/>
      <c r="C184" s="110"/>
      <c r="D184" s="36"/>
      <c r="E184" s="25"/>
      <c r="F184" s="108"/>
      <c r="G184" s="26"/>
      <c r="H184" s="26"/>
      <c r="I184" s="26"/>
      <c r="J184" s="26"/>
      <c r="K184" s="26"/>
      <c r="L184" s="26"/>
      <c r="O184" s="25"/>
      <c r="P184" s="25"/>
      <c r="Q184" s="25"/>
      <c r="R184" s="25"/>
      <c r="S184" s="25"/>
    </row>
    <row r="185" spans="1:19" s="88" customFormat="1" ht="15.75" x14ac:dyDescent="0.25">
      <c r="A185" s="25"/>
      <c r="B185" s="25"/>
      <c r="C185" s="110"/>
      <c r="D185" s="36"/>
      <c r="E185" s="25"/>
      <c r="F185" s="108"/>
      <c r="G185" s="26"/>
      <c r="H185" s="26"/>
      <c r="I185" s="26"/>
      <c r="J185" s="26"/>
      <c r="K185" s="26"/>
      <c r="L185" s="26"/>
      <c r="O185" s="25"/>
      <c r="P185" s="25"/>
      <c r="Q185" s="25"/>
      <c r="R185" s="25"/>
      <c r="S185" s="25"/>
    </row>
    <row r="186" spans="1:19" s="88" customFormat="1" ht="15.75" x14ac:dyDescent="0.25">
      <c r="A186" s="25"/>
      <c r="B186" s="25"/>
      <c r="C186" s="110"/>
      <c r="D186" s="36"/>
      <c r="E186" s="25"/>
      <c r="F186" s="108"/>
      <c r="G186" s="26"/>
      <c r="H186" s="26"/>
      <c r="I186" s="26"/>
      <c r="J186" s="26"/>
      <c r="K186" s="26"/>
      <c r="L186" s="26"/>
      <c r="O186" s="25"/>
      <c r="P186" s="25"/>
      <c r="Q186" s="25"/>
      <c r="R186" s="25"/>
      <c r="S186" s="25"/>
    </row>
  </sheetData>
  <mergeCells count="1">
    <mergeCell ref="H1:L1"/>
  </mergeCells>
  <conditionalFormatting sqref="D4:D5">
    <cfRule type="cellIs" dxfId="23" priority="254" operator="equal">
      <formula>0</formula>
    </cfRule>
  </conditionalFormatting>
  <dataValidations count="1">
    <dataValidation type="list" allowBlank="1" showInputMessage="1" sqref="H3:L3" xr:uid="{91EC6E61-5EC7-49E2-BDAA-B55827256396}">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1D9FBFB1-53DA-46D5-B87F-D5E9FE5843A9}">
          <x14:formula1>
            <xm:f>Unit!$A$4:$A$11</xm:f>
          </x14:formula1>
          <xm:sqref>D3</xm:sqref>
        </x14:dataValidation>
        <x14:dataValidation type="list" allowBlank="1" showInputMessage="1" xr:uid="{CE36D893-93D2-4FAF-82CC-DB1176A3EA28}">
          <x14:formula1>
            <xm:f>Unit!#REF!</xm:f>
          </x14:formula1>
          <xm:sqref>I7:L152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590A9-C6E9-463A-A84B-B1EEB67E73FA}">
  <sheetPr codeName="Sheet53">
    <tabColor rgb="FF00B050"/>
  </sheetPr>
  <dimension ref="A1:S186"/>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7.5703125" style="25" bestFit="1"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Mechanical!A2+1</f>
        <v>21</v>
      </c>
      <c r="B2" s="73" t="s" cm="1">
        <v>2458</v>
      </c>
      <c r="C2" s="75"/>
      <c r="D2" s="76"/>
      <c r="E2" s="77"/>
      <c r="F2" s="78"/>
      <c r="G2" s="207"/>
      <c r="H2" s="221" t="s">
        <v>26</v>
      </c>
      <c r="I2" s="222" t="s">
        <v>27</v>
      </c>
      <c r="J2" s="222" t="s">
        <v>28</v>
      </c>
      <c r="K2" s="222" t="s">
        <v>34</v>
      </c>
      <c r="L2" s="222" t="s">
        <v>615</v>
      </c>
      <c r="M2" s="80"/>
      <c r="N2" s="71"/>
    </row>
    <row r="3" spans="1:19" s="90" customFormat="1" ht="37.5" x14ac:dyDescent="0.25">
      <c r="A3" s="82">
        <f ca="1">IF(C3&gt;0,MAX($A$1:OFFSET(A3,-1,0))+0.01,"")</f>
        <v>21.01</v>
      </c>
      <c r="B3" s="27" t="s">
        <v>2425</v>
      </c>
      <c r="C3" s="83">
        <v>1</v>
      </c>
      <c r="D3" s="29" t="s">
        <v>24</v>
      </c>
      <c r="E3" s="85"/>
      <c r="F3" s="86">
        <f>IF(E3="inc",0,IF(C3="",0,C3*E3))</f>
        <v>0</v>
      </c>
      <c r="G3" s="208"/>
      <c r="H3" s="30"/>
      <c r="I3" s="30"/>
      <c r="J3" s="30"/>
      <c r="K3" s="30"/>
      <c r="L3" s="30"/>
      <c r="M3" s="87"/>
      <c r="N3" s="88"/>
      <c r="O3" s="25"/>
      <c r="P3" s="25"/>
      <c r="Q3" s="25"/>
      <c r="R3" s="25"/>
      <c r="S3" s="25"/>
    </row>
    <row r="4" spans="1:19" s="94" customFormat="1" ht="15.75" x14ac:dyDescent="0.25">
      <c r="A4" s="24"/>
      <c r="B4" s="24" t="s">
        <v>2328</v>
      </c>
      <c r="C4" s="32">
        <v>120.247</v>
      </c>
      <c r="D4" s="32" t="s">
        <v>11</v>
      </c>
      <c r="E4" s="26"/>
      <c r="F4" s="33"/>
      <c r="G4" s="208"/>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79" customFormat="1" ht="21.75" thickBot="1" x14ac:dyDescent="0.4">
      <c r="A6" s="99"/>
      <c r="B6" s="394" t="s">
        <v>4</v>
      </c>
      <c r="C6" s="395"/>
      <c r="D6" s="396"/>
      <c r="E6" s="100"/>
      <c r="F6" s="101">
        <f ca="1">SUM(F$2:OFFSET(F6,-1,0))</f>
        <v>0</v>
      </c>
      <c r="G6" s="210"/>
      <c r="H6" s="100"/>
      <c r="I6" s="100"/>
      <c r="J6" s="100"/>
      <c r="K6" s="100"/>
      <c r="L6" s="100"/>
      <c r="M6" s="102"/>
      <c r="N6" s="32"/>
    </row>
    <row r="7" spans="1:19" s="94" customFormat="1" ht="18.75" x14ac:dyDescent="0.25">
      <c r="A7" s="105"/>
      <c r="B7" s="25"/>
      <c r="C7" s="106"/>
      <c r="D7" s="32"/>
      <c r="E7" s="92"/>
      <c r="F7" s="107"/>
      <c r="G7" s="107"/>
      <c r="H7" s="107"/>
      <c r="I7" s="30"/>
      <c r="J7" s="30"/>
      <c r="K7" s="30"/>
      <c r="L7" s="30"/>
      <c r="M7" s="88"/>
      <c r="N7" s="32"/>
    </row>
    <row r="8" spans="1:19" ht="18.75" x14ac:dyDescent="0.25">
      <c r="C8" s="106"/>
      <c r="G8" s="107"/>
      <c r="H8" s="107"/>
      <c r="I8" s="30"/>
      <c r="J8" s="30"/>
      <c r="K8" s="30"/>
      <c r="L8" s="30"/>
      <c r="N8" s="32"/>
    </row>
    <row r="9" spans="1:19" ht="18.75" x14ac:dyDescent="0.25">
      <c r="G9" s="107"/>
      <c r="H9" s="107"/>
      <c r="I9" s="30"/>
      <c r="J9" s="30"/>
      <c r="K9" s="30"/>
      <c r="L9" s="30"/>
      <c r="N9" s="32"/>
    </row>
    <row r="10" spans="1:19" ht="18.75" x14ac:dyDescent="0.25">
      <c r="G10" s="107"/>
      <c r="H10" s="107"/>
      <c r="I10" s="30"/>
      <c r="J10" s="30"/>
      <c r="K10" s="30"/>
      <c r="L10" s="30"/>
      <c r="N10" s="32"/>
    </row>
    <row r="11" spans="1:19" ht="18.75" x14ac:dyDescent="0.25">
      <c r="F11" s="108" t="e">
        <f ca="1">F6-#REF!</f>
        <v>#REF!</v>
      </c>
      <c r="G11" s="107"/>
      <c r="H11" s="107"/>
      <c r="I11" s="30"/>
      <c r="J11" s="30"/>
      <c r="K11" s="30"/>
      <c r="L11" s="30"/>
      <c r="N11" s="32"/>
    </row>
    <row r="12" spans="1:19" ht="18.75" x14ac:dyDescent="0.25">
      <c r="G12" s="107"/>
      <c r="H12" s="107"/>
      <c r="I12" s="30"/>
      <c r="J12" s="30"/>
      <c r="K12" s="30"/>
      <c r="L12" s="30"/>
      <c r="N12" s="32"/>
    </row>
    <row r="13" spans="1:19" ht="18.75" x14ac:dyDescent="0.25">
      <c r="G13" s="107"/>
      <c r="H13" s="107"/>
      <c r="I13" s="30"/>
      <c r="J13" s="30"/>
      <c r="K13" s="30"/>
      <c r="L13" s="30"/>
    </row>
    <row r="14" spans="1:19" ht="18.75" x14ac:dyDescent="0.25">
      <c r="G14" s="107"/>
      <c r="H14" s="107"/>
      <c r="I14" s="30"/>
      <c r="J14" s="30"/>
      <c r="K14" s="30"/>
      <c r="L14" s="30"/>
    </row>
    <row r="15" spans="1:19" ht="18.75" x14ac:dyDescent="0.25">
      <c r="G15" s="107"/>
      <c r="H15" s="107"/>
      <c r="I15" s="30"/>
      <c r="J15" s="30"/>
      <c r="K15" s="30"/>
      <c r="L15" s="30"/>
    </row>
    <row r="16" spans="1:19" ht="18.75" x14ac:dyDescent="0.25">
      <c r="G16" s="107"/>
      <c r="H16" s="107"/>
      <c r="I16" s="30"/>
      <c r="J16" s="30"/>
      <c r="K16" s="30"/>
      <c r="L16" s="30"/>
    </row>
    <row r="17" spans="1:19" ht="18.75" x14ac:dyDescent="0.25">
      <c r="G17" s="107"/>
      <c r="H17" s="107"/>
      <c r="I17" s="30"/>
      <c r="J17" s="30"/>
      <c r="K17" s="30"/>
      <c r="L17" s="30"/>
    </row>
    <row r="18" spans="1:19" ht="18.75" x14ac:dyDescent="0.25">
      <c r="G18" s="107"/>
      <c r="H18" s="107"/>
      <c r="I18" s="30"/>
      <c r="J18" s="30"/>
      <c r="K18" s="30"/>
      <c r="L18" s="30"/>
    </row>
    <row r="19" spans="1:19" ht="18.75" x14ac:dyDescent="0.25">
      <c r="G19" s="107"/>
      <c r="H19" s="107"/>
      <c r="I19" s="30"/>
      <c r="J19" s="30"/>
      <c r="K19" s="30"/>
      <c r="L19" s="30"/>
    </row>
    <row r="20" spans="1:19" ht="18.75" x14ac:dyDescent="0.25">
      <c r="G20" s="107"/>
      <c r="H20" s="107"/>
      <c r="I20" s="30"/>
      <c r="J20" s="30"/>
      <c r="K20" s="30"/>
      <c r="L20" s="30"/>
    </row>
    <row r="21" spans="1:19" s="110" customFormat="1" ht="18.75" x14ac:dyDescent="0.25">
      <c r="A21" s="25"/>
      <c r="B21" s="25"/>
      <c r="D21" s="36"/>
      <c r="E21" s="25"/>
      <c r="F21" s="108"/>
      <c r="G21" s="107"/>
      <c r="H21" s="107"/>
      <c r="I21" s="30"/>
      <c r="J21" s="30"/>
      <c r="K21" s="30"/>
      <c r="L21" s="30"/>
      <c r="M21" s="88"/>
      <c r="N21" s="88"/>
      <c r="O21" s="25"/>
      <c r="P21" s="25"/>
      <c r="Q21" s="25"/>
      <c r="R21" s="25"/>
      <c r="S21" s="25"/>
    </row>
    <row r="22" spans="1:19" s="110" customFormat="1" ht="18.75" x14ac:dyDescent="0.25">
      <c r="A22" s="25"/>
      <c r="B22" s="25"/>
      <c r="D22" s="36"/>
      <c r="E22" s="25"/>
      <c r="F22" s="108"/>
      <c r="G22" s="107"/>
      <c r="H22" s="107"/>
      <c r="I22" s="30"/>
      <c r="J22" s="30"/>
      <c r="K22" s="30"/>
      <c r="L22" s="30"/>
      <c r="M22" s="88"/>
      <c r="N22" s="88"/>
      <c r="O22" s="25"/>
      <c r="P22" s="25"/>
      <c r="Q22" s="25"/>
      <c r="R22" s="25"/>
      <c r="S22" s="25"/>
    </row>
    <row r="23" spans="1:19" s="110" customFormat="1" ht="18.75" x14ac:dyDescent="0.25">
      <c r="A23" s="25"/>
      <c r="B23" s="25"/>
      <c r="D23" s="36"/>
      <c r="E23" s="25"/>
      <c r="F23" s="108"/>
      <c r="G23" s="107"/>
      <c r="H23" s="107"/>
      <c r="I23" s="30"/>
      <c r="J23" s="30"/>
      <c r="K23" s="30"/>
      <c r="L23" s="30"/>
      <c r="M23" s="88"/>
      <c r="N23" s="88"/>
      <c r="O23" s="25"/>
      <c r="P23" s="25"/>
      <c r="Q23" s="25"/>
      <c r="R23" s="25"/>
      <c r="S23" s="25"/>
    </row>
    <row r="24" spans="1:19" s="110" customFormat="1" ht="18.75" x14ac:dyDescent="0.25">
      <c r="A24" s="25"/>
      <c r="B24" s="25"/>
      <c r="D24" s="36"/>
      <c r="E24" s="25"/>
      <c r="F24" s="108"/>
      <c r="G24" s="107"/>
      <c r="H24" s="107"/>
      <c r="I24" s="30"/>
      <c r="J24" s="30"/>
      <c r="K24" s="30"/>
      <c r="L24" s="30"/>
      <c r="M24" s="88"/>
      <c r="N24" s="88"/>
      <c r="O24" s="25"/>
      <c r="P24" s="25"/>
      <c r="Q24" s="25"/>
      <c r="R24" s="25"/>
      <c r="S24" s="25"/>
    </row>
    <row r="25" spans="1:19" s="110" customFormat="1" ht="18.75" x14ac:dyDescent="0.25">
      <c r="A25" s="25"/>
      <c r="B25" s="25"/>
      <c r="D25" s="36"/>
      <c r="E25" s="25"/>
      <c r="F25" s="108"/>
      <c r="G25" s="107"/>
      <c r="H25" s="107"/>
      <c r="I25" s="30"/>
      <c r="J25" s="30"/>
      <c r="K25" s="30"/>
      <c r="L25" s="30"/>
      <c r="M25" s="88"/>
      <c r="N25" s="88"/>
      <c r="O25" s="25"/>
      <c r="P25" s="25"/>
      <c r="Q25" s="25"/>
      <c r="R25" s="25"/>
      <c r="S25" s="25"/>
    </row>
    <row r="26" spans="1:19" s="110" customFormat="1" ht="18.75" x14ac:dyDescent="0.25">
      <c r="A26" s="25"/>
      <c r="B26" s="25"/>
      <c r="D26" s="36"/>
      <c r="E26" s="25"/>
      <c r="F26" s="108"/>
      <c r="G26" s="107"/>
      <c r="H26" s="107"/>
      <c r="I26" s="30"/>
      <c r="J26" s="30"/>
      <c r="K26" s="30"/>
      <c r="L26" s="30"/>
      <c r="M26" s="88"/>
      <c r="N26" s="88"/>
      <c r="O26" s="25"/>
      <c r="P26" s="25"/>
      <c r="Q26" s="25"/>
      <c r="R26" s="25"/>
      <c r="S26" s="25"/>
    </row>
    <row r="27" spans="1:19" s="110" customFormat="1" ht="18.75" x14ac:dyDescent="0.25">
      <c r="A27" s="25"/>
      <c r="B27" s="25"/>
      <c r="D27" s="36"/>
      <c r="E27" s="25"/>
      <c r="F27" s="108"/>
      <c r="G27" s="107"/>
      <c r="H27" s="107"/>
      <c r="I27" s="30"/>
      <c r="J27" s="30"/>
      <c r="K27" s="30"/>
      <c r="L27" s="30"/>
      <c r="M27" s="88"/>
      <c r="N27" s="88"/>
      <c r="O27" s="25"/>
      <c r="P27" s="25"/>
      <c r="Q27" s="25"/>
      <c r="R27" s="25"/>
      <c r="S27" s="25"/>
    </row>
    <row r="28" spans="1:19" s="110" customFormat="1" ht="18.75" x14ac:dyDescent="0.25">
      <c r="A28" s="25"/>
      <c r="B28" s="25"/>
      <c r="D28" s="36"/>
      <c r="E28" s="25"/>
      <c r="F28" s="108"/>
      <c r="G28" s="107"/>
      <c r="H28" s="107"/>
      <c r="I28" s="30"/>
      <c r="J28" s="30"/>
      <c r="K28" s="30"/>
      <c r="L28" s="30"/>
      <c r="M28" s="88"/>
      <c r="N28" s="88"/>
      <c r="O28" s="25"/>
      <c r="P28" s="25"/>
      <c r="Q28" s="25"/>
      <c r="R28" s="25"/>
      <c r="S28" s="25"/>
    </row>
    <row r="29" spans="1:19" s="110" customFormat="1" ht="18.75" x14ac:dyDescent="0.25">
      <c r="A29" s="25"/>
      <c r="B29" s="25"/>
      <c r="D29" s="36"/>
      <c r="E29" s="25"/>
      <c r="F29" s="108"/>
      <c r="G29" s="107"/>
      <c r="H29" s="107"/>
      <c r="I29" s="30"/>
      <c r="J29" s="30"/>
      <c r="K29" s="30"/>
      <c r="L29" s="30"/>
      <c r="M29" s="88"/>
      <c r="N29" s="88"/>
      <c r="O29" s="25"/>
      <c r="P29" s="25"/>
      <c r="Q29" s="25"/>
      <c r="R29" s="25"/>
      <c r="S29" s="25"/>
    </row>
    <row r="30" spans="1:19" s="110" customFormat="1" ht="18.75" x14ac:dyDescent="0.25">
      <c r="A30" s="25"/>
      <c r="B30" s="25"/>
      <c r="D30" s="36"/>
      <c r="E30" s="25"/>
      <c r="F30" s="108"/>
      <c r="G30" s="107"/>
      <c r="H30" s="107"/>
      <c r="I30" s="30"/>
      <c r="J30" s="30"/>
      <c r="K30" s="30"/>
      <c r="L30" s="30"/>
      <c r="M30" s="88"/>
      <c r="N30" s="88"/>
      <c r="O30" s="25"/>
      <c r="P30" s="25"/>
      <c r="Q30" s="25"/>
      <c r="R30" s="25"/>
      <c r="S30" s="25"/>
    </row>
    <row r="31" spans="1:19" s="110" customFormat="1" ht="18.75" x14ac:dyDescent="0.25">
      <c r="A31" s="25"/>
      <c r="B31" s="25"/>
      <c r="D31" s="36"/>
      <c r="E31" s="25"/>
      <c r="F31" s="108"/>
      <c r="G31" s="107"/>
      <c r="H31" s="107"/>
      <c r="I31" s="30"/>
      <c r="J31" s="30"/>
      <c r="K31" s="30"/>
      <c r="L31" s="30"/>
      <c r="M31" s="88"/>
      <c r="N31" s="88"/>
      <c r="O31" s="25"/>
      <c r="P31" s="25"/>
      <c r="Q31" s="25"/>
      <c r="R31" s="25"/>
      <c r="S31" s="25"/>
    </row>
    <row r="32" spans="1:19" s="110" customFormat="1" ht="18.75" x14ac:dyDescent="0.25">
      <c r="A32" s="25"/>
      <c r="B32" s="25"/>
      <c r="D32" s="36"/>
      <c r="E32" s="25"/>
      <c r="F32" s="108"/>
      <c r="G32" s="107"/>
      <c r="H32" s="107"/>
      <c r="I32" s="30"/>
      <c r="J32" s="30"/>
      <c r="K32" s="30"/>
      <c r="L32" s="30"/>
      <c r="M32" s="88"/>
      <c r="N32" s="88"/>
      <c r="O32" s="25"/>
      <c r="P32" s="25"/>
      <c r="Q32" s="25"/>
      <c r="R32" s="25"/>
      <c r="S32" s="25"/>
    </row>
    <row r="33" spans="1:19" s="110" customFormat="1" ht="18.75" x14ac:dyDescent="0.25">
      <c r="A33" s="25"/>
      <c r="B33" s="25"/>
      <c r="D33" s="36"/>
      <c r="E33" s="25"/>
      <c r="F33" s="108"/>
      <c r="G33" s="107"/>
      <c r="H33" s="107"/>
      <c r="I33" s="30"/>
      <c r="J33" s="30"/>
      <c r="K33" s="30"/>
      <c r="L33" s="30"/>
      <c r="M33" s="88"/>
      <c r="N33" s="88"/>
      <c r="O33" s="25"/>
      <c r="P33" s="25"/>
      <c r="Q33" s="25"/>
      <c r="R33" s="25"/>
      <c r="S33" s="25"/>
    </row>
    <row r="34" spans="1:19" ht="18.75" x14ac:dyDescent="0.25">
      <c r="G34" s="107"/>
      <c r="H34" s="107"/>
      <c r="I34" s="30"/>
      <c r="J34" s="30"/>
      <c r="K34" s="30"/>
      <c r="L34" s="30"/>
    </row>
    <row r="35" spans="1:19" ht="18.75" x14ac:dyDescent="0.25">
      <c r="G35" s="107"/>
      <c r="H35" s="107"/>
      <c r="I35" s="30"/>
      <c r="J35" s="30"/>
      <c r="K35" s="30"/>
      <c r="L35" s="30"/>
    </row>
    <row r="36" spans="1:19" ht="18.75" x14ac:dyDescent="0.25">
      <c r="G36" s="107"/>
      <c r="H36" s="107"/>
      <c r="I36" s="30"/>
      <c r="J36" s="30"/>
      <c r="K36" s="30"/>
      <c r="L36" s="30"/>
    </row>
    <row r="37" spans="1:19" ht="18.75" x14ac:dyDescent="0.25">
      <c r="G37" s="107"/>
      <c r="H37" s="107"/>
      <c r="I37" s="30"/>
      <c r="J37" s="30"/>
      <c r="K37" s="30"/>
      <c r="L37" s="30"/>
    </row>
    <row r="38" spans="1:19" ht="18.75" x14ac:dyDescent="0.25">
      <c r="G38" s="107"/>
      <c r="H38" s="107"/>
      <c r="I38" s="30"/>
      <c r="J38" s="30"/>
      <c r="K38" s="30"/>
      <c r="L38" s="30"/>
    </row>
    <row r="39" spans="1:19" ht="18.75" x14ac:dyDescent="0.25">
      <c r="G39" s="107"/>
      <c r="H39" s="107"/>
      <c r="I39" s="30"/>
      <c r="J39" s="30"/>
      <c r="K39" s="30"/>
      <c r="L39" s="30"/>
    </row>
    <row r="40" spans="1:19" ht="18.75" x14ac:dyDescent="0.25">
      <c r="G40" s="107"/>
      <c r="H40" s="107"/>
      <c r="I40" s="30"/>
      <c r="J40" s="30"/>
      <c r="K40" s="30"/>
      <c r="L40" s="30"/>
    </row>
    <row r="41" spans="1:19" ht="18.75" x14ac:dyDescent="0.25">
      <c r="G41" s="107"/>
      <c r="H41" s="107"/>
      <c r="I41" s="30"/>
      <c r="J41" s="30"/>
      <c r="K41" s="30"/>
      <c r="L41" s="30"/>
    </row>
    <row r="42" spans="1:19" ht="18.75" x14ac:dyDescent="0.25">
      <c r="G42" s="107"/>
      <c r="H42" s="107"/>
      <c r="I42" s="30"/>
      <c r="J42" s="30"/>
      <c r="K42" s="30"/>
      <c r="L42" s="30"/>
    </row>
    <row r="43" spans="1:19" ht="18.75" x14ac:dyDescent="0.25">
      <c r="G43" s="107"/>
      <c r="H43" s="107"/>
      <c r="I43" s="30"/>
      <c r="J43" s="30"/>
      <c r="K43" s="30"/>
      <c r="L43" s="30"/>
    </row>
    <row r="44" spans="1:19" s="88" customFormat="1" ht="18.75" x14ac:dyDescent="0.25">
      <c r="A44" s="25"/>
      <c r="B44" s="25"/>
      <c r="C44" s="110"/>
      <c r="D44" s="36"/>
      <c r="E44" s="25"/>
      <c r="F44" s="108"/>
      <c r="G44" s="107"/>
      <c r="H44" s="107"/>
      <c r="I44" s="30"/>
      <c r="J44" s="30"/>
      <c r="K44" s="30"/>
      <c r="L44" s="30"/>
      <c r="O44" s="25"/>
      <c r="P44" s="25"/>
      <c r="Q44" s="25"/>
      <c r="R44" s="25"/>
      <c r="S44" s="25"/>
    </row>
    <row r="45" spans="1:19" s="88" customFormat="1" ht="18.75" x14ac:dyDescent="0.25">
      <c r="A45" s="25"/>
      <c r="B45" s="25"/>
      <c r="C45" s="110"/>
      <c r="D45" s="36"/>
      <c r="E45" s="25"/>
      <c r="F45" s="108"/>
      <c r="G45" s="107"/>
      <c r="H45" s="107"/>
      <c r="I45" s="30"/>
      <c r="J45" s="30"/>
      <c r="K45" s="30"/>
      <c r="L45" s="30"/>
      <c r="O45" s="25"/>
      <c r="P45" s="25"/>
      <c r="Q45" s="25"/>
      <c r="R45" s="25"/>
      <c r="S45" s="25"/>
    </row>
    <row r="46" spans="1:19" s="88" customFormat="1" ht="18.75" x14ac:dyDescent="0.25">
      <c r="A46" s="25"/>
      <c r="B46" s="25"/>
      <c r="C46" s="110"/>
      <c r="D46" s="36"/>
      <c r="E46" s="25"/>
      <c r="F46" s="108"/>
      <c r="G46" s="107"/>
      <c r="H46" s="107"/>
      <c r="I46" s="30"/>
      <c r="J46" s="30"/>
      <c r="K46" s="30"/>
      <c r="L46" s="30"/>
      <c r="O46" s="25"/>
      <c r="P46" s="25"/>
      <c r="Q46" s="25"/>
      <c r="R46" s="25"/>
      <c r="S46" s="25"/>
    </row>
    <row r="47" spans="1:19" s="88" customFormat="1" ht="18.75" x14ac:dyDescent="0.25">
      <c r="A47" s="25"/>
      <c r="B47" s="25"/>
      <c r="C47" s="110"/>
      <c r="D47" s="36"/>
      <c r="E47" s="25"/>
      <c r="F47" s="108"/>
      <c r="G47" s="107"/>
      <c r="H47" s="107"/>
      <c r="I47" s="30"/>
      <c r="J47" s="30"/>
      <c r="K47" s="30"/>
      <c r="L47" s="30"/>
      <c r="O47" s="25"/>
      <c r="P47" s="25"/>
      <c r="Q47" s="25"/>
      <c r="R47" s="25"/>
      <c r="S47" s="25"/>
    </row>
    <row r="48" spans="1:19" s="88" customFormat="1" ht="18.75" x14ac:dyDescent="0.25">
      <c r="A48" s="25"/>
      <c r="B48" s="25"/>
      <c r="C48" s="110"/>
      <c r="D48" s="36"/>
      <c r="E48" s="25"/>
      <c r="F48" s="108"/>
      <c r="G48" s="107"/>
      <c r="H48" s="107"/>
      <c r="I48" s="30"/>
      <c r="J48" s="30"/>
      <c r="K48" s="30"/>
      <c r="L48" s="30"/>
      <c r="O48" s="25"/>
      <c r="P48" s="25"/>
      <c r="Q48" s="25"/>
      <c r="R48" s="25"/>
      <c r="S48" s="25"/>
    </row>
    <row r="49" spans="1:19" s="88" customFormat="1" ht="18.75" x14ac:dyDescent="0.25">
      <c r="A49" s="25"/>
      <c r="B49" s="25"/>
      <c r="C49" s="110"/>
      <c r="D49" s="36"/>
      <c r="E49" s="25"/>
      <c r="F49" s="108"/>
      <c r="G49" s="107"/>
      <c r="H49" s="107"/>
      <c r="I49" s="30"/>
      <c r="J49" s="30"/>
      <c r="K49" s="30"/>
      <c r="L49" s="30"/>
      <c r="O49" s="25"/>
      <c r="P49" s="25"/>
      <c r="Q49" s="25"/>
      <c r="R49" s="25"/>
      <c r="S49" s="25"/>
    </row>
    <row r="50" spans="1:19" s="88" customFormat="1" ht="18.75" x14ac:dyDescent="0.25">
      <c r="A50" s="25"/>
      <c r="B50" s="25"/>
      <c r="C50" s="110"/>
      <c r="D50" s="36"/>
      <c r="E50" s="25"/>
      <c r="F50" s="108"/>
      <c r="G50" s="107"/>
      <c r="H50" s="107"/>
      <c r="I50" s="30"/>
      <c r="J50" s="30"/>
      <c r="K50" s="30"/>
      <c r="L50" s="30"/>
      <c r="O50" s="25"/>
      <c r="P50" s="25"/>
      <c r="Q50" s="25"/>
      <c r="R50" s="25"/>
      <c r="S50" s="25"/>
    </row>
    <row r="51" spans="1:19" s="88" customFormat="1" ht="18.75" x14ac:dyDescent="0.25">
      <c r="A51" s="25"/>
      <c r="B51" s="25"/>
      <c r="C51" s="110"/>
      <c r="D51" s="36"/>
      <c r="E51" s="25"/>
      <c r="F51" s="108"/>
      <c r="G51" s="107"/>
      <c r="H51" s="107"/>
      <c r="I51" s="30"/>
      <c r="J51" s="30"/>
      <c r="K51" s="30"/>
      <c r="L51" s="30"/>
      <c r="O51" s="25"/>
      <c r="P51" s="25"/>
      <c r="Q51" s="25"/>
      <c r="R51" s="25"/>
      <c r="S51" s="25"/>
    </row>
    <row r="52" spans="1:19" s="88" customFormat="1" ht="18.75" x14ac:dyDescent="0.25">
      <c r="A52" s="25"/>
      <c r="B52" s="25"/>
      <c r="C52" s="110"/>
      <c r="D52" s="36"/>
      <c r="E52" s="25"/>
      <c r="F52" s="108"/>
      <c r="G52" s="107"/>
      <c r="H52" s="107"/>
      <c r="I52" s="30"/>
      <c r="J52" s="30"/>
      <c r="K52" s="30"/>
      <c r="L52" s="30"/>
      <c r="O52" s="25"/>
      <c r="P52" s="25"/>
      <c r="Q52" s="25"/>
      <c r="R52" s="25"/>
      <c r="S52" s="25"/>
    </row>
    <row r="53" spans="1:19" s="88" customFormat="1" ht="18.75" x14ac:dyDescent="0.25">
      <c r="A53" s="25"/>
      <c r="B53" s="25"/>
      <c r="C53" s="110"/>
      <c r="D53" s="36"/>
      <c r="E53" s="25"/>
      <c r="F53" s="108"/>
      <c r="G53" s="107"/>
      <c r="H53" s="107"/>
      <c r="I53" s="30"/>
      <c r="J53" s="30"/>
      <c r="K53" s="30"/>
      <c r="L53" s="30"/>
      <c r="O53" s="25"/>
      <c r="P53" s="25"/>
      <c r="Q53" s="25"/>
      <c r="R53" s="25"/>
      <c r="S53" s="25"/>
    </row>
    <row r="54" spans="1:19" s="88" customFormat="1" ht="18.75" x14ac:dyDescent="0.25">
      <c r="A54" s="25"/>
      <c r="B54" s="25"/>
      <c r="C54" s="110"/>
      <c r="D54" s="36"/>
      <c r="E54" s="25"/>
      <c r="F54" s="108"/>
      <c r="G54" s="107"/>
      <c r="H54" s="107"/>
      <c r="I54" s="30"/>
      <c r="J54" s="30"/>
      <c r="K54" s="30"/>
      <c r="L54" s="30"/>
      <c r="O54" s="25"/>
      <c r="P54" s="25"/>
      <c r="Q54" s="25"/>
      <c r="R54" s="25"/>
      <c r="S54" s="25"/>
    </row>
    <row r="55" spans="1:19" s="88" customFormat="1" ht="18.75" x14ac:dyDescent="0.25">
      <c r="A55" s="25"/>
      <c r="B55" s="25"/>
      <c r="C55" s="110"/>
      <c r="D55" s="36"/>
      <c r="E55" s="25"/>
      <c r="F55" s="108"/>
      <c r="G55" s="107"/>
      <c r="H55" s="107"/>
      <c r="I55" s="30"/>
      <c r="J55" s="30"/>
      <c r="K55" s="30"/>
      <c r="L55" s="30"/>
      <c r="O55" s="25"/>
      <c r="P55" s="25"/>
      <c r="Q55" s="25"/>
      <c r="R55" s="25"/>
      <c r="S55" s="25"/>
    </row>
    <row r="56" spans="1:19" s="88" customFormat="1" ht="18.75" x14ac:dyDescent="0.25">
      <c r="A56" s="25"/>
      <c r="B56" s="25"/>
      <c r="C56" s="110"/>
      <c r="D56" s="36"/>
      <c r="E56" s="25"/>
      <c r="F56" s="108"/>
      <c r="G56" s="107"/>
      <c r="H56" s="107"/>
      <c r="I56" s="30"/>
      <c r="J56" s="30"/>
      <c r="K56" s="30"/>
      <c r="L56" s="30"/>
      <c r="O56" s="25"/>
      <c r="P56" s="25"/>
      <c r="Q56" s="25"/>
      <c r="R56" s="25"/>
      <c r="S56" s="25"/>
    </row>
    <row r="57" spans="1:19" s="88" customFormat="1" ht="18.75" x14ac:dyDescent="0.25">
      <c r="A57" s="25"/>
      <c r="B57" s="25"/>
      <c r="C57" s="110"/>
      <c r="D57" s="36"/>
      <c r="E57" s="25"/>
      <c r="F57" s="108"/>
      <c r="G57" s="107"/>
      <c r="H57" s="107"/>
      <c r="I57" s="30"/>
      <c r="J57" s="30"/>
      <c r="K57" s="30"/>
      <c r="L57" s="30"/>
      <c r="O57" s="25"/>
      <c r="P57" s="25"/>
      <c r="Q57" s="25"/>
      <c r="R57" s="25"/>
      <c r="S57" s="25"/>
    </row>
    <row r="58" spans="1:19" s="88" customFormat="1" ht="18.75" x14ac:dyDescent="0.25">
      <c r="A58" s="25"/>
      <c r="B58" s="25"/>
      <c r="C58" s="110"/>
      <c r="D58" s="36"/>
      <c r="E58" s="25"/>
      <c r="F58" s="108"/>
      <c r="G58" s="107"/>
      <c r="H58" s="107"/>
      <c r="I58" s="30"/>
      <c r="J58" s="30"/>
      <c r="K58" s="30"/>
      <c r="L58" s="30"/>
      <c r="O58" s="25"/>
      <c r="P58" s="25"/>
      <c r="Q58" s="25"/>
      <c r="R58" s="25"/>
      <c r="S58" s="25"/>
    </row>
    <row r="59" spans="1:19" s="88" customFormat="1" ht="18.75" x14ac:dyDescent="0.25">
      <c r="A59" s="25"/>
      <c r="B59" s="25"/>
      <c r="C59" s="110"/>
      <c r="D59" s="36"/>
      <c r="E59" s="25"/>
      <c r="F59" s="108"/>
      <c r="G59" s="107"/>
      <c r="H59" s="107"/>
      <c r="I59" s="30"/>
      <c r="J59" s="30"/>
      <c r="K59" s="30"/>
      <c r="L59" s="30"/>
      <c r="O59" s="25"/>
      <c r="P59" s="25"/>
      <c r="Q59" s="25"/>
      <c r="R59" s="25"/>
      <c r="S59" s="25"/>
    </row>
    <row r="60" spans="1:19" s="88" customFormat="1" ht="18.75" x14ac:dyDescent="0.25">
      <c r="A60" s="25"/>
      <c r="B60" s="25"/>
      <c r="C60" s="110"/>
      <c r="D60" s="36"/>
      <c r="E60" s="25"/>
      <c r="F60" s="108"/>
      <c r="G60" s="107"/>
      <c r="H60" s="107"/>
      <c r="I60" s="30"/>
      <c r="J60" s="30"/>
      <c r="K60" s="30"/>
      <c r="L60" s="30"/>
      <c r="O60" s="25"/>
      <c r="P60" s="25"/>
      <c r="Q60" s="25"/>
      <c r="R60" s="25"/>
      <c r="S60" s="25"/>
    </row>
    <row r="61" spans="1:19" s="88" customFormat="1" ht="18.75" x14ac:dyDescent="0.25">
      <c r="A61" s="25"/>
      <c r="B61" s="25"/>
      <c r="C61" s="110"/>
      <c r="D61" s="36"/>
      <c r="E61" s="25"/>
      <c r="F61" s="108"/>
      <c r="G61" s="107"/>
      <c r="H61" s="107"/>
      <c r="I61" s="30"/>
      <c r="J61" s="30"/>
      <c r="K61" s="30"/>
      <c r="L61" s="30"/>
      <c r="O61" s="25"/>
      <c r="P61" s="25"/>
      <c r="Q61" s="25"/>
      <c r="R61" s="25"/>
      <c r="S61" s="25"/>
    </row>
    <row r="62" spans="1:19" s="88" customFormat="1" ht="18.75" x14ac:dyDescent="0.25">
      <c r="A62" s="25"/>
      <c r="B62" s="25"/>
      <c r="C62" s="110"/>
      <c r="D62" s="36"/>
      <c r="E62" s="25"/>
      <c r="F62" s="108"/>
      <c r="G62" s="107"/>
      <c r="H62" s="107"/>
      <c r="I62" s="30"/>
      <c r="J62" s="30"/>
      <c r="K62" s="30"/>
      <c r="L62" s="30"/>
      <c r="O62" s="25"/>
      <c r="P62" s="25"/>
      <c r="Q62" s="25"/>
      <c r="R62" s="25"/>
      <c r="S62" s="25"/>
    </row>
    <row r="63" spans="1:19" s="88" customFormat="1" ht="18.75" x14ac:dyDescent="0.25">
      <c r="A63" s="25"/>
      <c r="B63" s="25"/>
      <c r="C63" s="110"/>
      <c r="D63" s="36"/>
      <c r="E63" s="25"/>
      <c r="F63" s="108"/>
      <c r="G63" s="107"/>
      <c r="H63" s="107"/>
      <c r="I63" s="30"/>
      <c r="J63" s="30"/>
      <c r="K63" s="30"/>
      <c r="L63" s="30"/>
      <c r="O63" s="25"/>
      <c r="P63" s="25"/>
      <c r="Q63" s="25"/>
      <c r="R63" s="25"/>
      <c r="S63" s="25"/>
    </row>
    <row r="64" spans="1:19" s="88" customFormat="1" ht="18.75" x14ac:dyDescent="0.25">
      <c r="A64" s="25"/>
      <c r="B64" s="25"/>
      <c r="C64" s="110"/>
      <c r="D64" s="36"/>
      <c r="E64" s="25"/>
      <c r="F64" s="108"/>
      <c r="G64" s="107"/>
      <c r="H64" s="107"/>
      <c r="I64" s="30"/>
      <c r="J64" s="30"/>
      <c r="K64" s="30"/>
      <c r="L64" s="30"/>
      <c r="O64" s="25"/>
      <c r="P64" s="25"/>
      <c r="Q64" s="25"/>
      <c r="R64" s="25"/>
      <c r="S64" s="25"/>
    </row>
    <row r="65" spans="1:19" s="88" customFormat="1" ht="18.75" x14ac:dyDescent="0.25">
      <c r="A65" s="25"/>
      <c r="B65" s="25"/>
      <c r="C65" s="110"/>
      <c r="D65" s="36"/>
      <c r="E65" s="25"/>
      <c r="F65" s="108"/>
      <c r="G65" s="107"/>
      <c r="H65" s="107"/>
      <c r="I65" s="30"/>
      <c r="J65" s="30"/>
      <c r="K65" s="30"/>
      <c r="L65" s="30"/>
      <c r="O65" s="25"/>
      <c r="P65" s="25"/>
      <c r="Q65" s="25"/>
      <c r="R65" s="25"/>
      <c r="S65" s="25"/>
    </row>
    <row r="66" spans="1:19" s="88" customFormat="1" ht="18.75" x14ac:dyDescent="0.25">
      <c r="A66" s="25"/>
      <c r="B66" s="25"/>
      <c r="C66" s="110"/>
      <c r="D66" s="36"/>
      <c r="E66" s="25"/>
      <c r="F66" s="108"/>
      <c r="G66" s="107"/>
      <c r="H66" s="107"/>
      <c r="I66" s="30"/>
      <c r="J66" s="30"/>
      <c r="K66" s="30"/>
      <c r="L66" s="30"/>
      <c r="O66" s="25"/>
      <c r="P66" s="25"/>
      <c r="Q66" s="25"/>
      <c r="R66" s="25"/>
      <c r="S66" s="25"/>
    </row>
    <row r="67" spans="1:19" s="88" customFormat="1" ht="18.75" x14ac:dyDescent="0.25">
      <c r="A67" s="25"/>
      <c r="B67" s="25"/>
      <c r="C67" s="110"/>
      <c r="D67" s="36"/>
      <c r="E67" s="25"/>
      <c r="F67" s="108"/>
      <c r="G67" s="107"/>
      <c r="H67" s="107"/>
      <c r="I67" s="30"/>
      <c r="J67" s="30"/>
      <c r="K67" s="30"/>
      <c r="L67" s="30"/>
      <c r="O67" s="25"/>
      <c r="P67" s="25"/>
      <c r="Q67" s="25"/>
      <c r="R67" s="25"/>
      <c r="S67" s="25"/>
    </row>
    <row r="68" spans="1:19" s="88" customFormat="1" ht="18.75" x14ac:dyDescent="0.25">
      <c r="A68" s="25"/>
      <c r="B68" s="25"/>
      <c r="C68" s="110"/>
      <c r="D68" s="36"/>
      <c r="E68" s="25"/>
      <c r="F68" s="108"/>
      <c r="G68" s="107"/>
      <c r="H68" s="107"/>
      <c r="I68" s="30"/>
      <c r="J68" s="30"/>
      <c r="K68" s="30"/>
      <c r="L68" s="30"/>
      <c r="O68" s="25"/>
      <c r="P68" s="25"/>
      <c r="Q68" s="25"/>
      <c r="R68" s="25"/>
      <c r="S68" s="25"/>
    </row>
    <row r="69" spans="1:19" s="88" customFormat="1" ht="18.75" x14ac:dyDescent="0.25">
      <c r="A69" s="25"/>
      <c r="B69" s="25"/>
      <c r="C69" s="110"/>
      <c r="D69" s="36"/>
      <c r="E69" s="25"/>
      <c r="F69" s="108"/>
      <c r="G69" s="107"/>
      <c r="H69" s="107"/>
      <c r="I69" s="30"/>
      <c r="J69" s="30"/>
      <c r="K69" s="30"/>
      <c r="L69" s="30"/>
      <c r="O69" s="25"/>
      <c r="P69" s="25"/>
      <c r="Q69" s="25"/>
      <c r="R69" s="25"/>
      <c r="S69" s="25"/>
    </row>
    <row r="70" spans="1:19" s="88" customFormat="1" ht="18.75" x14ac:dyDescent="0.25">
      <c r="A70" s="25"/>
      <c r="B70" s="25"/>
      <c r="C70" s="110"/>
      <c r="D70" s="36"/>
      <c r="E70" s="25"/>
      <c r="F70" s="108"/>
      <c r="G70" s="107"/>
      <c r="H70" s="107"/>
      <c r="I70" s="30"/>
      <c r="J70" s="30"/>
      <c r="K70" s="30"/>
      <c r="L70" s="30"/>
      <c r="O70" s="25"/>
      <c r="P70" s="25"/>
      <c r="Q70" s="25"/>
      <c r="R70" s="25"/>
      <c r="S70" s="25"/>
    </row>
    <row r="71" spans="1:19" s="88" customFormat="1" ht="18.75" x14ac:dyDescent="0.25">
      <c r="A71" s="25"/>
      <c r="B71" s="25"/>
      <c r="C71" s="110"/>
      <c r="D71" s="36"/>
      <c r="E71" s="25"/>
      <c r="F71" s="108"/>
      <c r="G71" s="107"/>
      <c r="H71" s="107"/>
      <c r="I71" s="30"/>
      <c r="J71" s="30"/>
      <c r="K71" s="30"/>
      <c r="L71" s="30"/>
      <c r="O71" s="25"/>
      <c r="P71" s="25"/>
      <c r="Q71" s="25"/>
      <c r="R71" s="25"/>
      <c r="S71" s="25"/>
    </row>
    <row r="72" spans="1:19" s="88" customFormat="1" ht="18.75" x14ac:dyDescent="0.25">
      <c r="A72" s="25"/>
      <c r="B72" s="25"/>
      <c r="C72" s="110"/>
      <c r="D72" s="36"/>
      <c r="E72" s="25"/>
      <c r="F72" s="108"/>
      <c r="G72" s="107"/>
      <c r="H72" s="107"/>
      <c r="I72" s="30"/>
      <c r="J72" s="30"/>
      <c r="K72" s="30"/>
      <c r="L72" s="30"/>
      <c r="O72" s="25"/>
      <c r="P72" s="25"/>
      <c r="Q72" s="25"/>
      <c r="R72" s="25"/>
      <c r="S72" s="25"/>
    </row>
    <row r="73" spans="1:19" s="88" customFormat="1" ht="18.75" x14ac:dyDescent="0.25">
      <c r="A73" s="25"/>
      <c r="B73" s="25"/>
      <c r="C73" s="110"/>
      <c r="D73" s="36"/>
      <c r="E73" s="25"/>
      <c r="F73" s="108"/>
      <c r="G73" s="107"/>
      <c r="H73" s="107"/>
      <c r="I73" s="30"/>
      <c r="J73" s="30"/>
      <c r="K73" s="30"/>
      <c r="L73" s="30"/>
      <c r="O73" s="25"/>
      <c r="P73" s="25"/>
      <c r="Q73" s="25"/>
      <c r="R73" s="25"/>
      <c r="S73" s="25"/>
    </row>
    <row r="74" spans="1:19" s="88" customFormat="1" ht="18.75" x14ac:dyDescent="0.25">
      <c r="A74" s="25"/>
      <c r="B74" s="25"/>
      <c r="C74" s="110"/>
      <c r="D74" s="36"/>
      <c r="E74" s="25"/>
      <c r="F74" s="108"/>
      <c r="G74" s="107"/>
      <c r="H74" s="107"/>
      <c r="I74" s="30"/>
      <c r="J74" s="30"/>
      <c r="K74" s="30"/>
      <c r="L74" s="30"/>
      <c r="O74" s="25"/>
      <c r="P74" s="25"/>
      <c r="Q74" s="25"/>
      <c r="R74" s="25"/>
      <c r="S74" s="25"/>
    </row>
    <row r="75" spans="1:19" s="88" customFormat="1" ht="18.75" x14ac:dyDescent="0.25">
      <c r="A75" s="25"/>
      <c r="B75" s="25"/>
      <c r="C75" s="110"/>
      <c r="D75" s="36"/>
      <c r="E75" s="25"/>
      <c r="F75" s="108"/>
      <c r="G75" s="107"/>
      <c r="H75" s="107"/>
      <c r="I75" s="30"/>
      <c r="J75" s="30"/>
      <c r="K75" s="30"/>
      <c r="L75" s="30"/>
      <c r="O75" s="25"/>
      <c r="P75" s="25"/>
      <c r="Q75" s="25"/>
      <c r="R75" s="25"/>
      <c r="S75" s="25"/>
    </row>
    <row r="76" spans="1:19" s="88" customFormat="1" ht="18.75" x14ac:dyDescent="0.25">
      <c r="A76" s="25"/>
      <c r="B76" s="25"/>
      <c r="C76" s="110"/>
      <c r="D76" s="36"/>
      <c r="E76" s="25"/>
      <c r="F76" s="108"/>
      <c r="G76" s="107"/>
      <c r="H76" s="107"/>
      <c r="I76" s="30"/>
      <c r="J76" s="30"/>
      <c r="K76" s="30"/>
      <c r="L76" s="30"/>
      <c r="O76" s="25"/>
      <c r="P76" s="25"/>
      <c r="Q76" s="25"/>
      <c r="R76" s="25"/>
      <c r="S76" s="25"/>
    </row>
    <row r="77" spans="1:19" s="88" customFormat="1" ht="18.75" x14ac:dyDescent="0.25">
      <c r="A77" s="25"/>
      <c r="B77" s="25"/>
      <c r="C77" s="110"/>
      <c r="D77" s="36"/>
      <c r="E77" s="25"/>
      <c r="F77" s="108"/>
      <c r="G77" s="107"/>
      <c r="H77" s="107"/>
      <c r="I77" s="30"/>
      <c r="J77" s="30"/>
      <c r="K77" s="30"/>
      <c r="L77" s="30"/>
      <c r="O77" s="25"/>
      <c r="P77" s="25"/>
      <c r="Q77" s="25"/>
      <c r="R77" s="25"/>
      <c r="S77" s="25"/>
    </row>
    <row r="78" spans="1:19" s="88" customFormat="1" ht="18.75" x14ac:dyDescent="0.25">
      <c r="A78" s="25"/>
      <c r="B78" s="25"/>
      <c r="C78" s="110"/>
      <c r="D78" s="36"/>
      <c r="E78" s="25"/>
      <c r="F78" s="108"/>
      <c r="G78" s="107"/>
      <c r="H78" s="107"/>
      <c r="I78" s="30"/>
      <c r="J78" s="30"/>
      <c r="K78" s="30"/>
      <c r="L78" s="30"/>
      <c r="O78" s="25"/>
      <c r="P78" s="25"/>
      <c r="Q78" s="25"/>
      <c r="R78" s="25"/>
      <c r="S78" s="25"/>
    </row>
    <row r="79" spans="1:19" s="88" customFormat="1" ht="18.75" x14ac:dyDescent="0.25">
      <c r="A79" s="25"/>
      <c r="B79" s="25"/>
      <c r="C79" s="110"/>
      <c r="D79" s="36"/>
      <c r="E79" s="25"/>
      <c r="F79" s="108"/>
      <c r="G79" s="107"/>
      <c r="H79" s="107"/>
      <c r="I79" s="30"/>
      <c r="J79" s="30"/>
      <c r="K79" s="30"/>
      <c r="L79" s="30"/>
      <c r="O79" s="25"/>
      <c r="P79" s="25"/>
      <c r="Q79" s="25"/>
      <c r="R79" s="25"/>
      <c r="S79" s="25"/>
    </row>
    <row r="80" spans="1:19" s="88" customFormat="1" ht="18.75" x14ac:dyDescent="0.25">
      <c r="A80" s="25"/>
      <c r="B80" s="25"/>
      <c r="C80" s="110"/>
      <c r="D80" s="36"/>
      <c r="E80" s="25"/>
      <c r="F80" s="108"/>
      <c r="G80" s="107"/>
      <c r="H80" s="107"/>
      <c r="I80" s="30"/>
      <c r="J80" s="30"/>
      <c r="K80" s="30"/>
      <c r="L80" s="30"/>
      <c r="O80" s="25"/>
      <c r="P80" s="25"/>
      <c r="Q80" s="25"/>
      <c r="R80" s="25"/>
      <c r="S80" s="25"/>
    </row>
    <row r="81" spans="1:19" s="88" customFormat="1" ht="18.75" x14ac:dyDescent="0.25">
      <c r="A81" s="25"/>
      <c r="B81" s="25"/>
      <c r="C81" s="110"/>
      <c r="D81" s="36"/>
      <c r="E81" s="25"/>
      <c r="F81" s="108"/>
      <c r="G81" s="107"/>
      <c r="H81" s="107"/>
      <c r="I81" s="30"/>
      <c r="J81" s="30"/>
      <c r="K81" s="30"/>
      <c r="L81" s="30"/>
      <c r="O81" s="25"/>
      <c r="P81" s="25"/>
      <c r="Q81" s="25"/>
      <c r="R81" s="25"/>
      <c r="S81" s="25"/>
    </row>
    <row r="82" spans="1:19" s="88" customFormat="1" ht="18.75" x14ac:dyDescent="0.25">
      <c r="A82" s="25"/>
      <c r="B82" s="25"/>
      <c r="C82" s="110"/>
      <c r="D82" s="36"/>
      <c r="E82" s="25"/>
      <c r="F82" s="108"/>
      <c r="G82" s="107"/>
      <c r="H82" s="107"/>
      <c r="I82" s="30"/>
      <c r="J82" s="30"/>
      <c r="K82" s="30"/>
      <c r="L82" s="30"/>
      <c r="O82" s="25"/>
      <c r="P82" s="25"/>
      <c r="Q82" s="25"/>
      <c r="R82" s="25"/>
      <c r="S82" s="25"/>
    </row>
    <row r="83" spans="1:19" s="88" customFormat="1" ht="18.75" x14ac:dyDescent="0.25">
      <c r="A83" s="25"/>
      <c r="B83" s="25"/>
      <c r="C83" s="110"/>
      <c r="D83" s="36"/>
      <c r="E83" s="25"/>
      <c r="F83" s="108"/>
      <c r="G83" s="107"/>
      <c r="H83" s="107"/>
      <c r="I83" s="30"/>
      <c r="J83" s="30"/>
      <c r="K83" s="30"/>
      <c r="L83" s="30"/>
      <c r="O83" s="25"/>
      <c r="P83" s="25"/>
      <c r="Q83" s="25"/>
      <c r="R83" s="25"/>
      <c r="S83" s="25"/>
    </row>
    <row r="84" spans="1:19" s="88" customFormat="1" ht="18.75" x14ac:dyDescent="0.25">
      <c r="A84" s="25"/>
      <c r="B84" s="25"/>
      <c r="C84" s="110"/>
      <c r="D84" s="36"/>
      <c r="E84" s="25"/>
      <c r="F84" s="108"/>
      <c r="G84" s="107"/>
      <c r="H84" s="107"/>
      <c r="I84" s="30"/>
      <c r="J84" s="30"/>
      <c r="K84" s="30"/>
      <c r="L84" s="30"/>
      <c r="O84" s="25"/>
      <c r="P84" s="25"/>
      <c r="Q84" s="25"/>
      <c r="R84" s="25"/>
      <c r="S84" s="25"/>
    </row>
    <row r="85" spans="1:19" s="88" customFormat="1" ht="18.75" x14ac:dyDescent="0.25">
      <c r="A85" s="25"/>
      <c r="B85" s="25"/>
      <c r="C85" s="110"/>
      <c r="D85" s="36"/>
      <c r="E85" s="25"/>
      <c r="F85" s="108"/>
      <c r="G85" s="107"/>
      <c r="H85" s="107"/>
      <c r="I85" s="30"/>
      <c r="J85" s="30"/>
      <c r="K85" s="30"/>
      <c r="L85" s="30"/>
      <c r="O85" s="25"/>
      <c r="P85" s="25"/>
      <c r="Q85" s="25"/>
      <c r="R85" s="25"/>
      <c r="S85" s="25"/>
    </row>
    <row r="86" spans="1:19" s="88" customFormat="1" ht="18.75" x14ac:dyDescent="0.25">
      <c r="A86" s="25"/>
      <c r="B86" s="25"/>
      <c r="C86" s="110"/>
      <c r="D86" s="36"/>
      <c r="E86" s="25"/>
      <c r="F86" s="108"/>
      <c r="G86" s="107"/>
      <c r="H86" s="107"/>
      <c r="I86" s="30"/>
      <c r="J86" s="30"/>
      <c r="K86" s="30"/>
      <c r="L86" s="30"/>
      <c r="O86" s="25"/>
      <c r="P86" s="25"/>
      <c r="Q86" s="25"/>
      <c r="R86" s="25"/>
      <c r="S86" s="25"/>
    </row>
    <row r="87" spans="1:19" s="88" customFormat="1" ht="18.75" x14ac:dyDescent="0.25">
      <c r="A87" s="25"/>
      <c r="B87" s="25"/>
      <c r="C87" s="110"/>
      <c r="D87" s="36"/>
      <c r="E87" s="25"/>
      <c r="F87" s="108"/>
      <c r="G87" s="107"/>
      <c r="H87" s="107"/>
      <c r="I87" s="30"/>
      <c r="J87" s="30"/>
      <c r="K87" s="30"/>
      <c r="L87" s="30"/>
      <c r="O87" s="25"/>
      <c r="P87" s="25"/>
      <c r="Q87" s="25"/>
      <c r="R87" s="25"/>
      <c r="S87" s="25"/>
    </row>
    <row r="88" spans="1:19" s="88" customFormat="1" ht="18.75" x14ac:dyDescent="0.25">
      <c r="A88" s="25"/>
      <c r="B88" s="25"/>
      <c r="C88" s="110"/>
      <c r="D88" s="36"/>
      <c r="E88" s="25"/>
      <c r="F88" s="108"/>
      <c r="G88" s="107"/>
      <c r="H88" s="107"/>
      <c r="I88" s="30"/>
      <c r="J88" s="30"/>
      <c r="K88" s="30"/>
      <c r="L88" s="30"/>
      <c r="O88" s="25"/>
      <c r="P88" s="25"/>
      <c r="Q88" s="25"/>
      <c r="R88" s="25"/>
      <c r="S88" s="25"/>
    </row>
    <row r="89" spans="1:19" s="88" customFormat="1" ht="18.75" x14ac:dyDescent="0.25">
      <c r="A89" s="25"/>
      <c r="B89" s="25"/>
      <c r="C89" s="110"/>
      <c r="D89" s="36"/>
      <c r="E89" s="25"/>
      <c r="F89" s="108"/>
      <c r="G89" s="107"/>
      <c r="H89" s="107"/>
      <c r="I89" s="30"/>
      <c r="J89" s="30"/>
      <c r="K89" s="30"/>
      <c r="L89" s="30"/>
      <c r="O89" s="25"/>
      <c r="P89" s="25"/>
      <c r="Q89" s="25"/>
      <c r="R89" s="25"/>
      <c r="S89" s="25"/>
    </row>
    <row r="90" spans="1:19" s="88" customFormat="1" ht="18.75" x14ac:dyDescent="0.25">
      <c r="A90" s="25"/>
      <c r="B90" s="25"/>
      <c r="C90" s="110"/>
      <c r="D90" s="36"/>
      <c r="E90" s="25"/>
      <c r="F90" s="108"/>
      <c r="G90" s="107"/>
      <c r="H90" s="107"/>
      <c r="I90" s="30"/>
      <c r="J90" s="30"/>
      <c r="K90" s="30"/>
      <c r="L90" s="30"/>
      <c r="O90" s="25"/>
      <c r="P90" s="25"/>
      <c r="Q90" s="25"/>
      <c r="R90" s="25"/>
      <c r="S90" s="25"/>
    </row>
    <row r="91" spans="1:19" s="88" customFormat="1" ht="18.75" x14ac:dyDescent="0.25">
      <c r="A91" s="25"/>
      <c r="B91" s="25"/>
      <c r="C91" s="110"/>
      <c r="D91" s="36"/>
      <c r="E91" s="25"/>
      <c r="F91" s="108"/>
      <c r="G91" s="107"/>
      <c r="H91" s="107"/>
      <c r="I91" s="30"/>
      <c r="J91" s="30"/>
      <c r="K91" s="30"/>
      <c r="L91" s="30"/>
      <c r="O91" s="25"/>
      <c r="P91" s="25"/>
      <c r="Q91" s="25"/>
      <c r="R91" s="25"/>
      <c r="S91" s="25"/>
    </row>
    <row r="92" spans="1:19" s="88" customFormat="1" ht="18.75" x14ac:dyDescent="0.25">
      <c r="A92" s="25"/>
      <c r="B92" s="25"/>
      <c r="C92" s="110"/>
      <c r="D92" s="36"/>
      <c r="E92" s="25"/>
      <c r="F92" s="108"/>
      <c r="G92" s="107"/>
      <c r="H92" s="107"/>
      <c r="I92" s="30"/>
      <c r="J92" s="30"/>
      <c r="K92" s="30"/>
      <c r="L92" s="30"/>
      <c r="O92" s="25"/>
      <c r="P92" s="25"/>
      <c r="Q92" s="25"/>
      <c r="R92" s="25"/>
      <c r="S92" s="25"/>
    </row>
    <row r="93" spans="1:19" s="88" customFormat="1" ht="18.75" x14ac:dyDescent="0.25">
      <c r="A93" s="25"/>
      <c r="B93" s="25"/>
      <c r="C93" s="110"/>
      <c r="D93" s="36"/>
      <c r="E93" s="25"/>
      <c r="F93" s="108"/>
      <c r="G93" s="107"/>
      <c r="H93" s="107"/>
      <c r="I93" s="30"/>
      <c r="J93" s="30"/>
      <c r="K93" s="30"/>
      <c r="L93" s="30"/>
      <c r="O93" s="25"/>
      <c r="P93" s="25"/>
      <c r="Q93" s="25"/>
      <c r="R93" s="25"/>
      <c r="S93" s="25"/>
    </row>
    <row r="94" spans="1:19" s="88" customFormat="1" ht="18.75" x14ac:dyDescent="0.25">
      <c r="A94" s="25"/>
      <c r="B94" s="25"/>
      <c r="C94" s="110"/>
      <c r="D94" s="36"/>
      <c r="E94" s="25"/>
      <c r="F94" s="108"/>
      <c r="G94" s="107"/>
      <c r="H94" s="107"/>
      <c r="I94" s="30"/>
      <c r="J94" s="30"/>
      <c r="K94" s="30"/>
      <c r="L94" s="30"/>
      <c r="O94" s="25"/>
      <c r="P94" s="25"/>
      <c r="Q94" s="25"/>
      <c r="R94" s="25"/>
      <c r="S94" s="25"/>
    </row>
    <row r="95" spans="1:19" s="88" customFormat="1" ht="18.75" x14ac:dyDescent="0.25">
      <c r="A95" s="25"/>
      <c r="B95" s="25"/>
      <c r="C95" s="110"/>
      <c r="D95" s="36"/>
      <c r="E95" s="25"/>
      <c r="F95" s="108"/>
      <c r="G95" s="107"/>
      <c r="H95" s="107"/>
      <c r="I95" s="30"/>
      <c r="J95" s="30"/>
      <c r="K95" s="30"/>
      <c r="L95" s="30"/>
      <c r="O95" s="25"/>
      <c r="P95" s="25"/>
      <c r="Q95" s="25"/>
      <c r="R95" s="25"/>
      <c r="S95" s="25"/>
    </row>
    <row r="96" spans="1:19" s="88" customFormat="1" ht="18.75" x14ac:dyDescent="0.25">
      <c r="A96" s="25"/>
      <c r="B96" s="25"/>
      <c r="C96" s="110"/>
      <c r="D96" s="36"/>
      <c r="E96" s="25"/>
      <c r="F96" s="108"/>
      <c r="G96" s="107"/>
      <c r="H96" s="107"/>
      <c r="I96" s="30"/>
      <c r="J96" s="30"/>
      <c r="K96" s="30"/>
      <c r="L96" s="30"/>
      <c r="O96" s="25"/>
      <c r="P96" s="25"/>
      <c r="Q96" s="25"/>
      <c r="R96" s="25"/>
      <c r="S96" s="25"/>
    </row>
    <row r="97" spans="1:19" s="88" customFormat="1" ht="18.75" x14ac:dyDescent="0.25">
      <c r="A97" s="25"/>
      <c r="B97" s="25"/>
      <c r="C97" s="110"/>
      <c r="D97" s="36"/>
      <c r="E97" s="25"/>
      <c r="F97" s="108"/>
      <c r="G97" s="107"/>
      <c r="H97" s="107"/>
      <c r="I97" s="30"/>
      <c r="J97" s="30"/>
      <c r="K97" s="30"/>
      <c r="L97" s="30"/>
      <c r="O97" s="25"/>
      <c r="P97" s="25"/>
      <c r="Q97" s="25"/>
      <c r="R97" s="25"/>
      <c r="S97" s="25"/>
    </row>
    <row r="98" spans="1:19" s="88" customFormat="1" ht="18.75" x14ac:dyDescent="0.25">
      <c r="A98" s="25"/>
      <c r="B98" s="25"/>
      <c r="C98" s="110"/>
      <c r="D98" s="36"/>
      <c r="E98" s="25"/>
      <c r="F98" s="108"/>
      <c r="G98" s="107"/>
      <c r="H98" s="107"/>
      <c r="I98" s="30"/>
      <c r="J98" s="30"/>
      <c r="K98" s="30"/>
      <c r="L98" s="30"/>
      <c r="O98" s="25"/>
      <c r="P98" s="25"/>
      <c r="Q98" s="25"/>
      <c r="R98" s="25"/>
      <c r="S98" s="25"/>
    </row>
    <row r="99" spans="1:19" s="88" customFormat="1" ht="18.75" x14ac:dyDescent="0.25">
      <c r="A99" s="25"/>
      <c r="B99" s="25"/>
      <c r="C99" s="110"/>
      <c r="D99" s="36"/>
      <c r="E99" s="25"/>
      <c r="F99" s="108"/>
      <c r="G99" s="107"/>
      <c r="H99" s="107"/>
      <c r="I99" s="30"/>
      <c r="J99" s="30"/>
      <c r="K99" s="30"/>
      <c r="L99" s="30"/>
      <c r="O99" s="25"/>
      <c r="P99" s="25"/>
      <c r="Q99" s="25"/>
      <c r="R99" s="25"/>
      <c r="S99" s="25"/>
    </row>
    <row r="100" spans="1:19" s="88" customFormat="1" ht="18.75" x14ac:dyDescent="0.25">
      <c r="A100" s="25"/>
      <c r="B100" s="25"/>
      <c r="C100" s="110"/>
      <c r="D100" s="36"/>
      <c r="E100" s="25"/>
      <c r="F100" s="108"/>
      <c r="G100" s="107"/>
      <c r="H100" s="107"/>
      <c r="I100" s="30"/>
      <c r="J100" s="30"/>
      <c r="K100" s="30"/>
      <c r="L100" s="30"/>
      <c r="O100" s="25"/>
      <c r="P100" s="25"/>
      <c r="Q100" s="25"/>
      <c r="R100" s="25"/>
      <c r="S100" s="25"/>
    </row>
    <row r="101" spans="1:19" s="88" customFormat="1" ht="18.75" x14ac:dyDescent="0.25">
      <c r="A101" s="25"/>
      <c r="B101" s="25"/>
      <c r="C101" s="110"/>
      <c r="D101" s="36"/>
      <c r="E101" s="25"/>
      <c r="F101" s="108"/>
      <c r="G101" s="107"/>
      <c r="H101" s="107"/>
      <c r="I101" s="30"/>
      <c r="J101" s="30"/>
      <c r="K101" s="30"/>
      <c r="L101" s="30"/>
      <c r="O101" s="25"/>
      <c r="P101" s="25"/>
      <c r="Q101" s="25"/>
      <c r="R101" s="25"/>
      <c r="S101" s="25"/>
    </row>
    <row r="102" spans="1:19" s="88" customFormat="1" ht="18.75" x14ac:dyDescent="0.25">
      <c r="A102" s="25"/>
      <c r="B102" s="25"/>
      <c r="C102" s="110"/>
      <c r="D102" s="36"/>
      <c r="E102" s="25"/>
      <c r="F102" s="108"/>
      <c r="G102" s="107"/>
      <c r="H102" s="107"/>
      <c r="I102" s="30"/>
      <c r="J102" s="30"/>
      <c r="K102" s="30"/>
      <c r="L102" s="30"/>
      <c r="O102" s="25"/>
      <c r="P102" s="25"/>
      <c r="Q102" s="25"/>
      <c r="R102" s="25"/>
      <c r="S102" s="25"/>
    </row>
    <row r="103" spans="1:19" s="88" customFormat="1" ht="18.75" x14ac:dyDescent="0.25">
      <c r="A103" s="25"/>
      <c r="B103" s="25"/>
      <c r="C103" s="110"/>
      <c r="D103" s="36"/>
      <c r="E103" s="25"/>
      <c r="F103" s="108"/>
      <c r="G103" s="107"/>
      <c r="H103" s="107"/>
      <c r="I103" s="30"/>
      <c r="J103" s="30"/>
      <c r="K103" s="30"/>
      <c r="L103" s="30"/>
      <c r="O103" s="25"/>
      <c r="P103" s="25"/>
      <c r="Q103" s="25"/>
      <c r="R103" s="25"/>
      <c r="S103" s="25"/>
    </row>
    <row r="104" spans="1:19" s="88" customFormat="1" ht="18.75" x14ac:dyDescent="0.25">
      <c r="A104" s="25"/>
      <c r="B104" s="25"/>
      <c r="C104" s="110"/>
      <c r="D104" s="36"/>
      <c r="E104" s="25"/>
      <c r="F104" s="108"/>
      <c r="G104" s="107"/>
      <c r="H104" s="107"/>
      <c r="I104" s="30"/>
      <c r="J104" s="30"/>
      <c r="K104" s="30"/>
      <c r="L104" s="30"/>
      <c r="O104" s="25"/>
      <c r="P104" s="25"/>
      <c r="Q104" s="25"/>
      <c r="R104" s="25"/>
      <c r="S104" s="25"/>
    </row>
    <row r="105" spans="1:19" s="88" customFormat="1" ht="18.75" x14ac:dyDescent="0.25">
      <c r="A105" s="25"/>
      <c r="B105" s="25"/>
      <c r="C105" s="110"/>
      <c r="D105" s="36"/>
      <c r="E105" s="25"/>
      <c r="F105" s="108"/>
      <c r="G105" s="107"/>
      <c r="H105" s="107"/>
      <c r="I105" s="30"/>
      <c r="J105" s="30"/>
      <c r="K105" s="30"/>
      <c r="L105" s="30"/>
      <c r="O105" s="25"/>
      <c r="P105" s="25"/>
      <c r="Q105" s="25"/>
      <c r="R105" s="25"/>
      <c r="S105" s="25"/>
    </row>
    <row r="106" spans="1:19" s="88" customFormat="1" ht="18.75" x14ac:dyDescent="0.25">
      <c r="A106" s="25"/>
      <c r="B106" s="25"/>
      <c r="C106" s="110"/>
      <c r="D106" s="36"/>
      <c r="E106" s="25"/>
      <c r="F106" s="108"/>
      <c r="G106" s="107"/>
      <c r="H106" s="107"/>
      <c r="I106" s="30"/>
      <c r="J106" s="30"/>
      <c r="K106" s="30"/>
      <c r="L106" s="30"/>
      <c r="O106" s="25"/>
      <c r="P106" s="25"/>
      <c r="Q106" s="25"/>
      <c r="R106" s="25"/>
      <c r="S106" s="25"/>
    </row>
    <row r="107" spans="1:19" s="88" customFormat="1" ht="18.75" x14ac:dyDescent="0.25">
      <c r="A107" s="25"/>
      <c r="B107" s="25"/>
      <c r="C107" s="110"/>
      <c r="D107" s="36"/>
      <c r="E107" s="25"/>
      <c r="F107" s="108"/>
      <c r="G107" s="107"/>
      <c r="H107" s="107"/>
      <c r="I107" s="30"/>
      <c r="J107" s="30"/>
      <c r="K107" s="30"/>
      <c r="L107" s="30"/>
      <c r="O107" s="25"/>
      <c r="P107" s="25"/>
      <c r="Q107" s="25"/>
      <c r="R107" s="25"/>
      <c r="S107" s="25"/>
    </row>
    <row r="108" spans="1:19" s="88" customFormat="1" ht="18.75" x14ac:dyDescent="0.25">
      <c r="A108" s="25"/>
      <c r="B108" s="25"/>
      <c r="C108" s="110"/>
      <c r="D108" s="36"/>
      <c r="E108" s="25"/>
      <c r="F108" s="108"/>
      <c r="G108" s="107"/>
      <c r="H108" s="107"/>
      <c r="I108" s="30"/>
      <c r="J108" s="30"/>
      <c r="K108" s="30"/>
      <c r="L108" s="30"/>
      <c r="O108" s="25"/>
      <c r="P108" s="25"/>
      <c r="Q108" s="25"/>
      <c r="R108" s="25"/>
      <c r="S108" s="25"/>
    </row>
    <row r="109" spans="1:19" s="88" customFormat="1" ht="18.75" x14ac:dyDescent="0.25">
      <c r="A109" s="25"/>
      <c r="B109" s="25"/>
      <c r="C109" s="110"/>
      <c r="D109" s="36"/>
      <c r="E109" s="25"/>
      <c r="F109" s="108"/>
      <c r="G109" s="107"/>
      <c r="H109" s="107"/>
      <c r="I109" s="30"/>
      <c r="J109" s="30"/>
      <c r="K109" s="30"/>
      <c r="L109" s="30"/>
      <c r="O109" s="25"/>
      <c r="P109" s="25"/>
      <c r="Q109" s="25"/>
      <c r="R109" s="25"/>
      <c r="S109" s="25"/>
    </row>
    <row r="110" spans="1:19" s="88" customFormat="1" ht="18.75" x14ac:dyDescent="0.25">
      <c r="A110" s="25"/>
      <c r="B110" s="25"/>
      <c r="C110" s="110"/>
      <c r="D110" s="36"/>
      <c r="E110" s="25"/>
      <c r="F110" s="108"/>
      <c r="G110" s="107"/>
      <c r="H110" s="107"/>
      <c r="I110" s="30"/>
      <c r="J110" s="30"/>
      <c r="K110" s="30"/>
      <c r="L110" s="30"/>
      <c r="O110" s="25"/>
      <c r="P110" s="25"/>
      <c r="Q110" s="25"/>
      <c r="R110" s="25"/>
      <c r="S110" s="25"/>
    </row>
    <row r="111" spans="1:19" s="88" customFormat="1" ht="18.75" x14ac:dyDescent="0.25">
      <c r="A111" s="25"/>
      <c r="B111" s="25"/>
      <c r="C111" s="110"/>
      <c r="D111" s="36"/>
      <c r="E111" s="25"/>
      <c r="F111" s="108"/>
      <c r="G111" s="107"/>
      <c r="H111" s="107"/>
      <c r="I111" s="30"/>
      <c r="J111" s="30"/>
      <c r="K111" s="30"/>
      <c r="L111" s="30"/>
      <c r="O111" s="25"/>
      <c r="P111" s="25"/>
      <c r="Q111" s="25"/>
      <c r="R111" s="25"/>
      <c r="S111" s="25"/>
    </row>
    <row r="112" spans="1:19" s="88" customFormat="1" ht="18.75" x14ac:dyDescent="0.25">
      <c r="A112" s="25"/>
      <c r="B112" s="25"/>
      <c r="C112" s="110"/>
      <c r="D112" s="36"/>
      <c r="E112" s="25"/>
      <c r="F112" s="108"/>
      <c r="G112" s="107"/>
      <c r="H112" s="107"/>
      <c r="I112" s="30"/>
      <c r="J112" s="30"/>
      <c r="K112" s="30"/>
      <c r="L112" s="30"/>
      <c r="O112" s="25"/>
      <c r="P112" s="25"/>
      <c r="Q112" s="25"/>
      <c r="R112" s="25"/>
      <c r="S112" s="25"/>
    </row>
    <row r="113" spans="1:19" s="88" customFormat="1" ht="18.75" x14ac:dyDescent="0.25">
      <c r="A113" s="25"/>
      <c r="B113" s="25"/>
      <c r="C113" s="110"/>
      <c r="D113" s="36"/>
      <c r="E113" s="25"/>
      <c r="F113" s="108"/>
      <c r="G113" s="107"/>
      <c r="H113" s="107"/>
      <c r="I113" s="30"/>
      <c r="J113" s="30"/>
      <c r="K113" s="30"/>
      <c r="L113" s="30"/>
      <c r="O113" s="25"/>
      <c r="P113" s="25"/>
      <c r="Q113" s="25"/>
      <c r="R113" s="25"/>
      <c r="S113" s="25"/>
    </row>
    <row r="114" spans="1:19" s="88" customFormat="1" ht="18.75" x14ac:dyDescent="0.25">
      <c r="A114" s="25"/>
      <c r="B114" s="25"/>
      <c r="C114" s="110"/>
      <c r="D114" s="36"/>
      <c r="E114" s="25"/>
      <c r="F114" s="108"/>
      <c r="G114" s="107"/>
      <c r="H114" s="107"/>
      <c r="I114" s="30"/>
      <c r="J114" s="30"/>
      <c r="K114" s="30"/>
      <c r="L114" s="30"/>
      <c r="O114" s="25"/>
      <c r="P114" s="25"/>
      <c r="Q114" s="25"/>
      <c r="R114" s="25"/>
      <c r="S114" s="25"/>
    </row>
    <row r="115" spans="1:19" s="88" customFormat="1" ht="18.75" x14ac:dyDescent="0.25">
      <c r="A115" s="25"/>
      <c r="B115" s="25"/>
      <c r="C115" s="110"/>
      <c r="D115" s="36"/>
      <c r="E115" s="25"/>
      <c r="F115" s="108"/>
      <c r="G115" s="107"/>
      <c r="H115" s="107"/>
      <c r="I115" s="30"/>
      <c r="J115" s="30"/>
      <c r="K115" s="30"/>
      <c r="L115" s="30"/>
      <c r="O115" s="25"/>
      <c r="P115" s="25"/>
      <c r="Q115" s="25"/>
      <c r="R115" s="25"/>
      <c r="S115" s="25"/>
    </row>
    <row r="116" spans="1:19" s="88" customFormat="1" ht="18.75" x14ac:dyDescent="0.25">
      <c r="A116" s="25"/>
      <c r="B116" s="25"/>
      <c r="C116" s="110"/>
      <c r="D116" s="36"/>
      <c r="E116" s="25"/>
      <c r="F116" s="108"/>
      <c r="G116" s="107"/>
      <c r="H116" s="107"/>
      <c r="I116" s="30"/>
      <c r="J116" s="30"/>
      <c r="K116" s="30"/>
      <c r="L116" s="30"/>
      <c r="O116" s="25"/>
      <c r="P116" s="25"/>
      <c r="Q116" s="25"/>
      <c r="R116" s="25"/>
      <c r="S116" s="25"/>
    </row>
    <row r="117" spans="1:19" s="88" customFormat="1" ht="18.75" x14ac:dyDescent="0.25">
      <c r="A117" s="25"/>
      <c r="B117" s="25"/>
      <c r="C117" s="110"/>
      <c r="D117" s="36"/>
      <c r="E117" s="25"/>
      <c r="F117" s="108"/>
      <c r="G117" s="107"/>
      <c r="H117" s="107"/>
      <c r="I117" s="30"/>
      <c r="J117" s="30"/>
      <c r="K117" s="30"/>
      <c r="L117" s="30"/>
      <c r="O117" s="25"/>
      <c r="P117" s="25"/>
      <c r="Q117" s="25"/>
      <c r="R117" s="25"/>
      <c r="S117" s="25"/>
    </row>
    <row r="118" spans="1:19" s="88" customFormat="1" ht="18.75" x14ac:dyDescent="0.25">
      <c r="A118" s="25"/>
      <c r="B118" s="25"/>
      <c r="C118" s="110"/>
      <c r="D118" s="36"/>
      <c r="E118" s="25"/>
      <c r="F118" s="108"/>
      <c r="G118" s="107"/>
      <c r="H118" s="107"/>
      <c r="I118" s="30"/>
      <c r="J118" s="30"/>
      <c r="K118" s="30"/>
      <c r="L118" s="30"/>
      <c r="O118" s="25"/>
      <c r="P118" s="25"/>
      <c r="Q118" s="25"/>
      <c r="R118" s="25"/>
      <c r="S118" s="25"/>
    </row>
    <row r="119" spans="1:19" s="88" customFormat="1" ht="18.75" x14ac:dyDescent="0.25">
      <c r="A119" s="25"/>
      <c r="B119" s="25"/>
      <c r="C119" s="110"/>
      <c r="D119" s="36"/>
      <c r="E119" s="25"/>
      <c r="F119" s="108"/>
      <c r="G119" s="107"/>
      <c r="H119" s="107"/>
      <c r="I119" s="30"/>
      <c r="J119" s="30"/>
      <c r="K119" s="30"/>
      <c r="L119" s="30"/>
      <c r="O119" s="25"/>
      <c r="P119" s="25"/>
      <c r="Q119" s="25"/>
      <c r="R119" s="25"/>
      <c r="S119" s="25"/>
    </row>
    <row r="120" spans="1:19" s="88" customFormat="1" ht="18.75" x14ac:dyDescent="0.25">
      <c r="A120" s="25"/>
      <c r="B120" s="25"/>
      <c r="C120" s="110"/>
      <c r="D120" s="36"/>
      <c r="E120" s="25"/>
      <c r="F120" s="108"/>
      <c r="G120" s="107"/>
      <c r="H120" s="107"/>
      <c r="I120" s="30"/>
      <c r="J120" s="30"/>
      <c r="K120" s="30"/>
      <c r="L120" s="30"/>
      <c r="O120" s="25"/>
      <c r="P120" s="25"/>
      <c r="Q120" s="25"/>
      <c r="R120" s="25"/>
      <c r="S120" s="25"/>
    </row>
    <row r="121" spans="1:19" s="88" customFormat="1" ht="18.75" x14ac:dyDescent="0.25">
      <c r="A121" s="25"/>
      <c r="B121" s="25"/>
      <c r="C121" s="110"/>
      <c r="D121" s="36"/>
      <c r="E121" s="25"/>
      <c r="F121" s="108"/>
      <c r="G121" s="107"/>
      <c r="H121" s="107"/>
      <c r="I121" s="30"/>
      <c r="J121" s="30"/>
      <c r="K121" s="30"/>
      <c r="L121" s="30"/>
      <c r="O121" s="25"/>
      <c r="P121" s="25"/>
      <c r="Q121" s="25"/>
      <c r="R121" s="25"/>
      <c r="S121" s="25"/>
    </row>
    <row r="122" spans="1:19" s="88" customFormat="1" ht="18.75" x14ac:dyDescent="0.25">
      <c r="A122" s="25"/>
      <c r="B122" s="25"/>
      <c r="C122" s="110"/>
      <c r="D122" s="36"/>
      <c r="E122" s="25"/>
      <c r="F122" s="108"/>
      <c r="G122" s="107"/>
      <c r="H122" s="107"/>
      <c r="I122" s="30"/>
      <c r="J122" s="30"/>
      <c r="K122" s="30"/>
      <c r="L122" s="30"/>
      <c r="O122" s="25"/>
      <c r="P122" s="25"/>
      <c r="Q122" s="25"/>
      <c r="R122" s="25"/>
      <c r="S122" s="25"/>
    </row>
    <row r="123" spans="1:19" s="88" customFormat="1" ht="18.75" x14ac:dyDescent="0.25">
      <c r="A123" s="25"/>
      <c r="B123" s="25"/>
      <c r="C123" s="110"/>
      <c r="D123" s="36"/>
      <c r="E123" s="25"/>
      <c r="F123" s="108"/>
      <c r="G123" s="107"/>
      <c r="H123" s="107"/>
      <c r="I123" s="30"/>
      <c r="J123" s="30"/>
      <c r="K123" s="30"/>
      <c r="L123" s="30"/>
      <c r="O123" s="25"/>
      <c r="P123" s="25"/>
      <c r="Q123" s="25"/>
      <c r="R123" s="25"/>
      <c r="S123" s="25"/>
    </row>
    <row r="124" spans="1:19" s="88" customFormat="1" ht="18.75" x14ac:dyDescent="0.25">
      <c r="A124" s="25"/>
      <c r="B124" s="25"/>
      <c r="C124" s="110"/>
      <c r="D124" s="36"/>
      <c r="E124" s="25"/>
      <c r="F124" s="108"/>
      <c r="G124" s="107"/>
      <c r="H124" s="107"/>
      <c r="I124" s="30"/>
      <c r="J124" s="30"/>
      <c r="K124" s="30"/>
      <c r="L124" s="30"/>
      <c r="O124" s="25"/>
      <c r="P124" s="25"/>
      <c r="Q124" s="25"/>
      <c r="R124" s="25"/>
      <c r="S124" s="25"/>
    </row>
    <row r="125" spans="1:19" s="88" customFormat="1" ht="18.75" x14ac:dyDescent="0.25">
      <c r="A125" s="25"/>
      <c r="B125" s="25"/>
      <c r="C125" s="110"/>
      <c r="D125" s="36"/>
      <c r="E125" s="25"/>
      <c r="F125" s="108"/>
      <c r="G125" s="107"/>
      <c r="H125" s="107"/>
      <c r="I125" s="30"/>
      <c r="J125" s="30"/>
      <c r="K125" s="30"/>
      <c r="L125" s="30"/>
      <c r="O125" s="25"/>
      <c r="P125" s="25"/>
      <c r="Q125" s="25"/>
      <c r="R125" s="25"/>
      <c r="S125" s="25"/>
    </row>
    <row r="126" spans="1:19" s="88" customFormat="1" ht="18.75" x14ac:dyDescent="0.25">
      <c r="A126" s="25"/>
      <c r="B126" s="25"/>
      <c r="C126" s="110"/>
      <c r="D126" s="36"/>
      <c r="E126" s="25"/>
      <c r="F126" s="108"/>
      <c r="G126" s="107"/>
      <c r="H126" s="107"/>
      <c r="I126" s="30"/>
      <c r="J126" s="30"/>
      <c r="K126" s="30"/>
      <c r="L126" s="30"/>
      <c r="O126" s="25"/>
      <c r="P126" s="25"/>
      <c r="Q126" s="25"/>
      <c r="R126" s="25"/>
      <c r="S126" s="25"/>
    </row>
    <row r="127" spans="1:19" s="88" customFormat="1" ht="18.75" x14ac:dyDescent="0.25">
      <c r="A127" s="25"/>
      <c r="B127" s="25"/>
      <c r="C127" s="110"/>
      <c r="D127" s="36"/>
      <c r="E127" s="25"/>
      <c r="F127" s="108"/>
      <c r="G127" s="107"/>
      <c r="H127" s="107"/>
      <c r="I127" s="30"/>
      <c r="J127" s="30"/>
      <c r="K127" s="30"/>
      <c r="L127" s="30"/>
      <c r="O127" s="25"/>
      <c r="P127" s="25"/>
      <c r="Q127" s="25"/>
      <c r="R127" s="25"/>
      <c r="S127" s="25"/>
    </row>
    <row r="128" spans="1:19" s="88" customFormat="1" ht="18.75" x14ac:dyDescent="0.25">
      <c r="A128" s="25"/>
      <c r="B128" s="25"/>
      <c r="C128" s="110"/>
      <c r="D128" s="36"/>
      <c r="E128" s="25"/>
      <c r="F128" s="108"/>
      <c r="G128" s="107"/>
      <c r="H128" s="107"/>
      <c r="I128" s="30"/>
      <c r="J128" s="30"/>
      <c r="K128" s="30"/>
      <c r="L128" s="30"/>
      <c r="O128" s="25"/>
      <c r="P128" s="25"/>
      <c r="Q128" s="25"/>
      <c r="R128" s="25"/>
      <c r="S128" s="25"/>
    </row>
    <row r="129" spans="1:19" s="88" customFormat="1" ht="18.75" x14ac:dyDescent="0.25">
      <c r="A129" s="25"/>
      <c r="B129" s="25"/>
      <c r="C129" s="110"/>
      <c r="D129" s="36"/>
      <c r="E129" s="25"/>
      <c r="F129" s="108"/>
      <c r="G129" s="107"/>
      <c r="H129" s="107"/>
      <c r="I129" s="30"/>
      <c r="J129" s="30"/>
      <c r="K129" s="30"/>
      <c r="L129" s="30"/>
      <c r="O129" s="25"/>
      <c r="P129" s="25"/>
      <c r="Q129" s="25"/>
      <c r="R129" s="25"/>
      <c r="S129" s="25"/>
    </row>
    <row r="130" spans="1:19" s="88" customFormat="1" ht="18.75" x14ac:dyDescent="0.25">
      <c r="A130" s="25"/>
      <c r="B130" s="25"/>
      <c r="C130" s="110"/>
      <c r="D130" s="36"/>
      <c r="E130" s="25"/>
      <c r="F130" s="108"/>
      <c r="G130" s="107"/>
      <c r="H130" s="107"/>
      <c r="I130" s="30"/>
      <c r="J130" s="30"/>
      <c r="K130" s="30"/>
      <c r="L130" s="30"/>
      <c r="O130" s="25"/>
      <c r="P130" s="25"/>
      <c r="Q130" s="25"/>
      <c r="R130" s="25"/>
      <c r="S130" s="25"/>
    </row>
    <row r="131" spans="1:19" s="88" customFormat="1" ht="18.75" x14ac:dyDescent="0.25">
      <c r="A131" s="25"/>
      <c r="B131" s="25"/>
      <c r="C131" s="110"/>
      <c r="D131" s="36"/>
      <c r="E131" s="25"/>
      <c r="F131" s="108"/>
      <c r="G131" s="107"/>
      <c r="H131" s="107"/>
      <c r="I131" s="30"/>
      <c r="J131" s="30"/>
      <c r="K131" s="30"/>
      <c r="L131" s="30"/>
      <c r="O131" s="25"/>
      <c r="P131" s="25"/>
      <c r="Q131" s="25"/>
      <c r="R131" s="25"/>
      <c r="S131" s="25"/>
    </row>
    <row r="132" spans="1:19" s="88" customFormat="1" ht="18.75" x14ac:dyDescent="0.25">
      <c r="A132" s="25"/>
      <c r="B132" s="25"/>
      <c r="C132" s="110"/>
      <c r="D132" s="36"/>
      <c r="E132" s="25"/>
      <c r="F132" s="108"/>
      <c r="G132" s="107"/>
      <c r="H132" s="107"/>
      <c r="I132" s="30"/>
      <c r="J132" s="30"/>
      <c r="K132" s="30"/>
      <c r="L132" s="30"/>
      <c r="O132" s="25"/>
      <c r="P132" s="25"/>
      <c r="Q132" s="25"/>
      <c r="R132" s="25"/>
      <c r="S132" s="25"/>
    </row>
    <row r="133" spans="1:19" s="88" customFormat="1" ht="18.75" x14ac:dyDescent="0.25">
      <c r="A133" s="25"/>
      <c r="B133" s="25"/>
      <c r="C133" s="110"/>
      <c r="D133" s="36"/>
      <c r="E133" s="25"/>
      <c r="F133" s="108"/>
      <c r="G133" s="107"/>
      <c r="H133" s="107"/>
      <c r="I133" s="30"/>
      <c r="J133" s="30"/>
      <c r="K133" s="30"/>
      <c r="L133" s="30"/>
      <c r="O133" s="25"/>
      <c r="P133" s="25"/>
      <c r="Q133" s="25"/>
      <c r="R133" s="25"/>
      <c r="S133" s="25"/>
    </row>
    <row r="134" spans="1:19" s="88" customFormat="1" ht="18.75" x14ac:dyDescent="0.25">
      <c r="A134" s="25"/>
      <c r="B134" s="25"/>
      <c r="C134" s="110"/>
      <c r="D134" s="36"/>
      <c r="E134" s="25"/>
      <c r="F134" s="108"/>
      <c r="G134" s="107"/>
      <c r="H134" s="107"/>
      <c r="I134" s="30"/>
      <c r="J134" s="30"/>
      <c r="K134" s="30"/>
      <c r="L134" s="30"/>
      <c r="O134" s="25"/>
      <c r="P134" s="25"/>
      <c r="Q134" s="25"/>
      <c r="R134" s="25"/>
      <c r="S134" s="25"/>
    </row>
    <row r="135" spans="1:19" s="88" customFormat="1" ht="18.75" x14ac:dyDescent="0.25">
      <c r="A135" s="25"/>
      <c r="B135" s="25"/>
      <c r="C135" s="110"/>
      <c r="D135" s="36"/>
      <c r="E135" s="25"/>
      <c r="F135" s="108"/>
      <c r="G135" s="107"/>
      <c r="H135" s="107"/>
      <c r="I135" s="30"/>
      <c r="J135" s="30"/>
      <c r="K135" s="30"/>
      <c r="L135" s="30"/>
      <c r="O135" s="25"/>
      <c r="P135" s="25"/>
      <c r="Q135" s="25"/>
      <c r="R135" s="25"/>
      <c r="S135" s="25"/>
    </row>
    <row r="136" spans="1:19" s="88" customFormat="1" ht="18.75" x14ac:dyDescent="0.25">
      <c r="A136" s="25"/>
      <c r="B136" s="25"/>
      <c r="C136" s="110"/>
      <c r="D136" s="36"/>
      <c r="E136" s="25"/>
      <c r="F136" s="108"/>
      <c r="G136" s="107"/>
      <c r="H136" s="107"/>
      <c r="I136" s="30"/>
      <c r="J136" s="30"/>
      <c r="K136" s="30"/>
      <c r="L136" s="30"/>
      <c r="O136" s="25"/>
      <c r="P136" s="25"/>
      <c r="Q136" s="25"/>
      <c r="R136" s="25"/>
      <c r="S136" s="25"/>
    </row>
    <row r="137" spans="1:19" s="88" customFormat="1" ht="18.75" x14ac:dyDescent="0.25">
      <c r="A137" s="25"/>
      <c r="B137" s="25"/>
      <c r="C137" s="110"/>
      <c r="D137" s="36"/>
      <c r="E137" s="25"/>
      <c r="F137" s="108"/>
      <c r="G137" s="107"/>
      <c r="H137" s="107"/>
      <c r="I137" s="30"/>
      <c r="J137" s="30"/>
      <c r="K137" s="30"/>
      <c r="L137" s="30"/>
      <c r="O137" s="25"/>
      <c r="P137" s="25"/>
      <c r="Q137" s="25"/>
      <c r="R137" s="25"/>
      <c r="S137" s="25"/>
    </row>
    <row r="138" spans="1:19" s="88" customFormat="1" ht="18.75" x14ac:dyDescent="0.25">
      <c r="A138" s="25"/>
      <c r="B138" s="25"/>
      <c r="C138" s="110"/>
      <c r="D138" s="36"/>
      <c r="E138" s="25"/>
      <c r="F138" s="108"/>
      <c r="G138" s="107"/>
      <c r="H138" s="107"/>
      <c r="I138" s="30"/>
      <c r="J138" s="30"/>
      <c r="K138" s="30"/>
      <c r="L138" s="30"/>
      <c r="O138" s="25"/>
      <c r="P138" s="25"/>
      <c r="Q138" s="25"/>
      <c r="R138" s="25"/>
      <c r="S138" s="25"/>
    </row>
    <row r="139" spans="1:19" s="88" customFormat="1" ht="18.75" x14ac:dyDescent="0.25">
      <c r="A139" s="25"/>
      <c r="B139" s="25"/>
      <c r="C139" s="110"/>
      <c r="D139" s="36"/>
      <c r="E139" s="25"/>
      <c r="F139" s="108"/>
      <c r="G139" s="107"/>
      <c r="H139" s="107"/>
      <c r="I139" s="30"/>
      <c r="J139" s="30"/>
      <c r="K139" s="30"/>
      <c r="L139" s="30"/>
      <c r="O139" s="25"/>
      <c r="P139" s="25"/>
      <c r="Q139" s="25"/>
      <c r="R139" s="25"/>
      <c r="S139" s="25"/>
    </row>
    <row r="140" spans="1:19" s="88" customFormat="1" ht="18.75" x14ac:dyDescent="0.25">
      <c r="A140" s="25"/>
      <c r="B140" s="25"/>
      <c r="C140" s="110"/>
      <c r="D140" s="36"/>
      <c r="E140" s="25"/>
      <c r="F140" s="108"/>
      <c r="G140" s="107"/>
      <c r="H140" s="107"/>
      <c r="I140" s="30"/>
      <c r="J140" s="30"/>
      <c r="K140" s="30"/>
      <c r="L140" s="30"/>
      <c r="O140" s="25"/>
      <c r="P140" s="25"/>
      <c r="Q140" s="25"/>
      <c r="R140" s="25"/>
      <c r="S140" s="25"/>
    </row>
    <row r="141" spans="1:19" s="88" customFormat="1" ht="18.75" x14ac:dyDescent="0.25">
      <c r="A141" s="25"/>
      <c r="B141" s="25"/>
      <c r="C141" s="110"/>
      <c r="D141" s="36"/>
      <c r="E141" s="25"/>
      <c r="F141" s="108"/>
      <c r="G141" s="107"/>
      <c r="H141" s="107"/>
      <c r="I141" s="30"/>
      <c r="J141" s="30"/>
      <c r="K141" s="30"/>
      <c r="L141" s="30"/>
      <c r="O141" s="25"/>
      <c r="P141" s="25"/>
      <c r="Q141" s="25"/>
      <c r="R141" s="25"/>
      <c r="S141" s="25"/>
    </row>
    <row r="142" spans="1:19" s="88" customFormat="1" ht="18.75" x14ac:dyDescent="0.25">
      <c r="A142" s="25"/>
      <c r="B142" s="25"/>
      <c r="C142" s="110"/>
      <c r="D142" s="36"/>
      <c r="E142" s="25"/>
      <c r="F142" s="108"/>
      <c r="G142" s="107"/>
      <c r="H142" s="107"/>
      <c r="I142" s="30"/>
      <c r="J142" s="30"/>
      <c r="K142" s="30"/>
      <c r="L142" s="30"/>
      <c r="O142" s="25"/>
      <c r="P142" s="25"/>
      <c r="Q142" s="25"/>
      <c r="R142" s="25"/>
      <c r="S142" s="25"/>
    </row>
    <row r="143" spans="1:19" s="88" customFormat="1" ht="18.75" x14ac:dyDescent="0.25">
      <c r="A143" s="25"/>
      <c r="B143" s="25"/>
      <c r="C143" s="110"/>
      <c r="D143" s="36"/>
      <c r="E143" s="25"/>
      <c r="F143" s="108"/>
      <c r="G143" s="107"/>
      <c r="H143" s="107"/>
      <c r="I143" s="30"/>
      <c r="J143" s="30"/>
      <c r="K143" s="30"/>
      <c r="L143" s="30"/>
      <c r="O143" s="25"/>
      <c r="P143" s="25"/>
      <c r="Q143" s="25"/>
      <c r="R143" s="25"/>
      <c r="S143" s="25"/>
    </row>
    <row r="144" spans="1:19" s="88" customFormat="1" ht="18.75" x14ac:dyDescent="0.25">
      <c r="A144" s="25"/>
      <c r="B144" s="25"/>
      <c r="C144" s="110"/>
      <c r="D144" s="36"/>
      <c r="E144" s="25"/>
      <c r="F144" s="108"/>
      <c r="G144" s="107"/>
      <c r="H144" s="107"/>
      <c r="I144" s="30"/>
      <c r="J144" s="30"/>
      <c r="K144" s="30"/>
      <c r="L144" s="30"/>
      <c r="O144" s="25"/>
      <c r="P144" s="25"/>
      <c r="Q144" s="25"/>
      <c r="R144" s="25"/>
      <c r="S144" s="25"/>
    </row>
    <row r="145" spans="1:19" s="88" customFormat="1" ht="18.75" x14ac:dyDescent="0.25">
      <c r="A145" s="25"/>
      <c r="B145" s="25"/>
      <c r="C145" s="110"/>
      <c r="D145" s="36"/>
      <c r="E145" s="25"/>
      <c r="F145" s="108"/>
      <c r="G145" s="107"/>
      <c r="H145" s="107"/>
      <c r="I145" s="30"/>
      <c r="J145" s="30"/>
      <c r="K145" s="30"/>
      <c r="L145" s="30"/>
      <c r="O145" s="25"/>
      <c r="P145" s="25"/>
      <c r="Q145" s="25"/>
      <c r="R145" s="25"/>
      <c r="S145" s="25"/>
    </row>
    <row r="146" spans="1:19" s="88" customFormat="1" ht="18.75" x14ac:dyDescent="0.25">
      <c r="A146" s="25"/>
      <c r="B146" s="25"/>
      <c r="C146" s="110"/>
      <c r="D146" s="36"/>
      <c r="E146" s="25"/>
      <c r="F146" s="108"/>
      <c r="G146" s="107"/>
      <c r="H146" s="107"/>
      <c r="I146" s="30"/>
      <c r="J146" s="30"/>
      <c r="K146" s="30"/>
      <c r="L146" s="30"/>
      <c r="O146" s="25"/>
      <c r="P146" s="25"/>
      <c r="Q146" s="25"/>
      <c r="R146" s="25"/>
      <c r="S146" s="25"/>
    </row>
    <row r="147" spans="1:19" s="88" customFormat="1" ht="18.75" x14ac:dyDescent="0.25">
      <c r="A147" s="25"/>
      <c r="B147" s="25"/>
      <c r="C147" s="110"/>
      <c r="D147" s="36"/>
      <c r="E147" s="25"/>
      <c r="F147" s="108"/>
      <c r="G147" s="107"/>
      <c r="H147" s="107"/>
      <c r="I147" s="30"/>
      <c r="J147" s="30"/>
      <c r="K147" s="30"/>
      <c r="L147" s="30"/>
      <c r="O147" s="25"/>
      <c r="P147" s="25"/>
      <c r="Q147" s="25"/>
      <c r="R147" s="25"/>
      <c r="S147" s="25"/>
    </row>
    <row r="148" spans="1:19" s="88" customFormat="1" ht="18.75" x14ac:dyDescent="0.25">
      <c r="A148" s="25"/>
      <c r="B148" s="25"/>
      <c r="C148" s="110"/>
      <c r="D148" s="36"/>
      <c r="E148" s="25"/>
      <c r="F148" s="108"/>
      <c r="G148" s="107"/>
      <c r="H148" s="107"/>
      <c r="I148" s="30"/>
      <c r="J148" s="30"/>
      <c r="K148" s="30"/>
      <c r="L148" s="30"/>
      <c r="O148" s="25"/>
      <c r="P148" s="25"/>
      <c r="Q148" s="25"/>
      <c r="R148" s="25"/>
      <c r="S148" s="25"/>
    </row>
    <row r="149" spans="1:19" s="88" customFormat="1" ht="18.75" x14ac:dyDescent="0.25">
      <c r="A149" s="25"/>
      <c r="B149" s="25"/>
      <c r="C149" s="110"/>
      <c r="D149" s="36"/>
      <c r="E149" s="25"/>
      <c r="F149" s="108"/>
      <c r="G149" s="107"/>
      <c r="H149" s="107"/>
      <c r="I149" s="30"/>
      <c r="J149" s="30"/>
      <c r="K149" s="30"/>
      <c r="L149" s="30"/>
      <c r="O149" s="25"/>
      <c r="P149" s="25"/>
      <c r="Q149" s="25"/>
      <c r="R149" s="25"/>
      <c r="S149" s="25"/>
    </row>
    <row r="150" spans="1:19" s="88" customFormat="1" ht="18.75" x14ac:dyDescent="0.25">
      <c r="A150" s="25"/>
      <c r="B150" s="25"/>
      <c r="C150" s="110"/>
      <c r="D150" s="36"/>
      <c r="E150" s="25"/>
      <c r="F150" s="108"/>
      <c r="G150" s="107"/>
      <c r="H150" s="107"/>
      <c r="I150" s="30"/>
      <c r="J150" s="30"/>
      <c r="K150" s="30"/>
      <c r="L150" s="30"/>
      <c r="O150" s="25"/>
      <c r="P150" s="25"/>
      <c r="Q150" s="25"/>
      <c r="R150" s="25"/>
      <c r="S150" s="25"/>
    </row>
    <row r="151" spans="1:19" s="88" customFormat="1" ht="18.75" x14ac:dyDescent="0.25">
      <c r="A151" s="25"/>
      <c r="B151" s="25"/>
      <c r="C151" s="110"/>
      <c r="D151" s="36"/>
      <c r="E151" s="25"/>
      <c r="F151" s="108"/>
      <c r="G151" s="107"/>
      <c r="H151" s="107"/>
      <c r="I151" s="30"/>
      <c r="J151" s="30"/>
      <c r="K151" s="30"/>
      <c r="L151" s="30"/>
      <c r="O151" s="25"/>
      <c r="P151" s="25"/>
      <c r="Q151" s="25"/>
      <c r="R151" s="25"/>
      <c r="S151" s="25"/>
    </row>
    <row r="152" spans="1:19" s="88" customFormat="1" ht="18.75" x14ac:dyDescent="0.25">
      <c r="A152" s="25"/>
      <c r="B152" s="25"/>
      <c r="C152" s="110"/>
      <c r="D152" s="36"/>
      <c r="E152" s="25"/>
      <c r="F152" s="108"/>
      <c r="G152" s="107"/>
      <c r="H152" s="107"/>
      <c r="I152" s="30"/>
      <c r="J152" s="30"/>
      <c r="K152" s="30"/>
      <c r="L152" s="30"/>
      <c r="O152" s="25"/>
      <c r="P152" s="25"/>
      <c r="Q152" s="25"/>
      <c r="R152" s="25"/>
      <c r="S152" s="25"/>
    </row>
    <row r="153" spans="1:19" s="88" customFormat="1" ht="15.75" x14ac:dyDescent="0.25">
      <c r="A153" s="25"/>
      <c r="B153" s="25"/>
      <c r="C153" s="110"/>
      <c r="D153" s="36"/>
      <c r="E153" s="25"/>
      <c r="F153" s="108"/>
      <c r="G153" s="26"/>
      <c r="H153" s="26"/>
      <c r="I153" s="26"/>
      <c r="J153" s="26"/>
      <c r="K153" s="26"/>
      <c r="L153" s="26"/>
      <c r="O153" s="25"/>
      <c r="P153" s="25"/>
      <c r="Q153" s="25"/>
      <c r="R153" s="25"/>
      <c r="S153" s="25"/>
    </row>
    <row r="154" spans="1:19" s="88" customFormat="1" ht="15.75" x14ac:dyDescent="0.25">
      <c r="A154" s="25"/>
      <c r="B154" s="25"/>
      <c r="C154" s="110"/>
      <c r="D154" s="36"/>
      <c r="E154" s="25"/>
      <c r="F154" s="108"/>
      <c r="G154" s="26"/>
      <c r="H154" s="26"/>
      <c r="I154" s="26"/>
      <c r="J154" s="26"/>
      <c r="K154" s="26"/>
      <c r="L154" s="26"/>
      <c r="O154" s="25"/>
      <c r="P154" s="25"/>
      <c r="Q154" s="25"/>
      <c r="R154" s="25"/>
      <c r="S154" s="25"/>
    </row>
    <row r="155" spans="1:19" s="88" customFormat="1" ht="15.75" x14ac:dyDescent="0.25">
      <c r="A155" s="25"/>
      <c r="B155" s="25"/>
      <c r="C155" s="110"/>
      <c r="D155" s="36"/>
      <c r="E155" s="25"/>
      <c r="F155" s="108"/>
      <c r="G155" s="26"/>
      <c r="H155" s="26"/>
      <c r="I155" s="26"/>
      <c r="J155" s="26"/>
      <c r="K155" s="26"/>
      <c r="L155" s="26"/>
      <c r="O155" s="25"/>
      <c r="P155" s="25"/>
      <c r="Q155" s="25"/>
      <c r="R155" s="25"/>
      <c r="S155" s="25"/>
    </row>
    <row r="156" spans="1:19" s="88" customFormat="1" ht="15.75" x14ac:dyDescent="0.25">
      <c r="A156" s="25"/>
      <c r="B156" s="25"/>
      <c r="C156" s="110"/>
      <c r="D156" s="36"/>
      <c r="E156" s="25"/>
      <c r="F156" s="108"/>
      <c r="G156" s="26"/>
      <c r="H156" s="26"/>
      <c r="I156" s="26"/>
      <c r="J156" s="26"/>
      <c r="K156" s="26"/>
      <c r="L156" s="26"/>
      <c r="O156" s="25"/>
      <c r="P156" s="25"/>
      <c r="Q156" s="25"/>
      <c r="R156" s="25"/>
      <c r="S156" s="25"/>
    </row>
    <row r="157" spans="1:19" s="88" customFormat="1" ht="15.75" x14ac:dyDescent="0.25">
      <c r="A157" s="25"/>
      <c r="B157" s="25"/>
      <c r="C157" s="110"/>
      <c r="D157" s="36"/>
      <c r="E157" s="25"/>
      <c r="F157" s="108"/>
      <c r="G157" s="26"/>
      <c r="H157" s="26"/>
      <c r="I157" s="26"/>
      <c r="J157" s="26"/>
      <c r="K157" s="26"/>
      <c r="L157" s="26"/>
      <c r="O157" s="25"/>
      <c r="P157" s="25"/>
      <c r="Q157" s="25"/>
      <c r="R157" s="25"/>
      <c r="S157" s="25"/>
    </row>
    <row r="158" spans="1:19" s="88" customFormat="1" ht="15.75" x14ac:dyDescent="0.25">
      <c r="A158" s="25"/>
      <c r="B158" s="25"/>
      <c r="C158" s="110"/>
      <c r="D158" s="36"/>
      <c r="E158" s="25"/>
      <c r="F158" s="108"/>
      <c r="G158" s="26"/>
      <c r="H158" s="26"/>
      <c r="I158" s="26"/>
      <c r="J158" s="26"/>
      <c r="K158" s="26"/>
      <c r="L158" s="26"/>
      <c r="O158" s="25"/>
      <c r="P158" s="25"/>
      <c r="Q158" s="25"/>
      <c r="R158" s="25"/>
      <c r="S158" s="25"/>
    </row>
    <row r="159" spans="1:19" s="88" customFormat="1" ht="15.75" x14ac:dyDescent="0.25">
      <c r="A159" s="25"/>
      <c r="B159" s="25"/>
      <c r="C159" s="110"/>
      <c r="D159" s="36"/>
      <c r="E159" s="25"/>
      <c r="F159" s="108"/>
      <c r="G159" s="26"/>
      <c r="H159" s="26"/>
      <c r="I159" s="26"/>
      <c r="J159" s="26"/>
      <c r="K159" s="26"/>
      <c r="L159" s="26"/>
      <c r="O159" s="25"/>
      <c r="P159" s="25"/>
      <c r="Q159" s="25"/>
      <c r="R159" s="25"/>
      <c r="S159" s="25"/>
    </row>
    <row r="160" spans="1:19" s="88" customFormat="1" ht="15.75" x14ac:dyDescent="0.25">
      <c r="A160" s="25"/>
      <c r="B160" s="25"/>
      <c r="C160" s="110"/>
      <c r="D160" s="36"/>
      <c r="E160" s="25"/>
      <c r="F160" s="108"/>
      <c r="G160" s="26"/>
      <c r="H160" s="26"/>
      <c r="I160" s="26"/>
      <c r="J160" s="26"/>
      <c r="K160" s="26"/>
      <c r="L160" s="26"/>
      <c r="O160" s="25"/>
      <c r="P160" s="25"/>
      <c r="Q160" s="25"/>
      <c r="R160" s="25"/>
      <c r="S160" s="25"/>
    </row>
    <row r="161" spans="1:19" s="88" customFormat="1" ht="15.75" x14ac:dyDescent="0.25">
      <c r="A161" s="25"/>
      <c r="B161" s="25"/>
      <c r="C161" s="110"/>
      <c r="D161" s="36"/>
      <c r="E161" s="25"/>
      <c r="F161" s="108"/>
      <c r="G161" s="26"/>
      <c r="H161" s="26"/>
      <c r="I161" s="26"/>
      <c r="J161" s="26"/>
      <c r="K161" s="26"/>
      <c r="L161" s="26"/>
      <c r="O161" s="25"/>
      <c r="P161" s="25"/>
      <c r="Q161" s="25"/>
      <c r="R161" s="25"/>
      <c r="S161" s="25"/>
    </row>
    <row r="162" spans="1:19" s="88" customFormat="1" ht="15.75" x14ac:dyDescent="0.25">
      <c r="A162" s="25"/>
      <c r="B162" s="25"/>
      <c r="C162" s="110"/>
      <c r="D162" s="36"/>
      <c r="E162" s="25"/>
      <c r="F162" s="108"/>
      <c r="G162" s="26"/>
      <c r="H162" s="26"/>
      <c r="I162" s="26"/>
      <c r="J162" s="26"/>
      <c r="K162" s="26"/>
      <c r="L162" s="26"/>
      <c r="O162" s="25"/>
      <c r="P162" s="25"/>
      <c r="Q162" s="25"/>
      <c r="R162" s="25"/>
      <c r="S162" s="25"/>
    </row>
    <row r="163" spans="1:19" s="88" customFormat="1" ht="15.75" x14ac:dyDescent="0.25">
      <c r="A163" s="25"/>
      <c r="B163" s="25"/>
      <c r="C163" s="110"/>
      <c r="D163" s="36"/>
      <c r="E163" s="25"/>
      <c r="F163" s="108"/>
      <c r="G163" s="26"/>
      <c r="H163" s="26"/>
      <c r="I163" s="26"/>
      <c r="J163" s="26"/>
      <c r="K163" s="26"/>
      <c r="L163" s="26"/>
      <c r="O163" s="25"/>
      <c r="P163" s="25"/>
      <c r="Q163" s="25"/>
      <c r="R163" s="25"/>
      <c r="S163" s="25"/>
    </row>
    <row r="164" spans="1:19" s="88" customFormat="1" ht="15.75" x14ac:dyDescent="0.25">
      <c r="A164" s="25"/>
      <c r="B164" s="25"/>
      <c r="C164" s="110"/>
      <c r="D164" s="36"/>
      <c r="E164" s="25"/>
      <c r="F164" s="108"/>
      <c r="G164" s="26"/>
      <c r="H164" s="26"/>
      <c r="I164" s="26"/>
      <c r="J164" s="26"/>
      <c r="K164" s="26"/>
      <c r="L164" s="26"/>
      <c r="O164" s="25"/>
      <c r="P164" s="25"/>
      <c r="Q164" s="25"/>
      <c r="R164" s="25"/>
      <c r="S164" s="25"/>
    </row>
    <row r="165" spans="1:19" s="88" customFormat="1" ht="15.75" x14ac:dyDescent="0.25">
      <c r="A165" s="25"/>
      <c r="B165" s="25"/>
      <c r="C165" s="110"/>
      <c r="D165" s="36"/>
      <c r="E165" s="25"/>
      <c r="F165" s="108"/>
      <c r="G165" s="26"/>
      <c r="H165" s="26"/>
      <c r="I165" s="26"/>
      <c r="J165" s="26"/>
      <c r="K165" s="26"/>
      <c r="L165" s="26"/>
      <c r="O165" s="25"/>
      <c r="P165" s="25"/>
      <c r="Q165" s="25"/>
      <c r="R165" s="25"/>
      <c r="S165" s="25"/>
    </row>
    <row r="166" spans="1:19" s="88" customFormat="1" ht="15.75" x14ac:dyDescent="0.25">
      <c r="A166" s="25"/>
      <c r="B166" s="25"/>
      <c r="C166" s="110"/>
      <c r="D166" s="36"/>
      <c r="E166" s="25"/>
      <c r="F166" s="108"/>
      <c r="G166" s="26"/>
      <c r="H166" s="26"/>
      <c r="I166" s="26"/>
      <c r="J166" s="26"/>
      <c r="K166" s="26"/>
      <c r="L166" s="26"/>
      <c r="O166" s="25"/>
      <c r="P166" s="25"/>
      <c r="Q166" s="25"/>
      <c r="R166" s="25"/>
      <c r="S166" s="25"/>
    </row>
    <row r="167" spans="1:19" s="88" customFormat="1" ht="15.75" x14ac:dyDescent="0.25">
      <c r="A167" s="25"/>
      <c r="B167" s="25"/>
      <c r="C167" s="110"/>
      <c r="D167" s="36"/>
      <c r="E167" s="25"/>
      <c r="F167" s="108"/>
      <c r="G167" s="26"/>
      <c r="H167" s="26"/>
      <c r="I167" s="26"/>
      <c r="J167" s="26"/>
      <c r="K167" s="26"/>
      <c r="L167" s="26"/>
      <c r="O167" s="25"/>
      <c r="P167" s="25"/>
      <c r="Q167" s="25"/>
      <c r="R167" s="25"/>
      <c r="S167" s="25"/>
    </row>
    <row r="168" spans="1:19" s="88" customFormat="1" ht="15.75" x14ac:dyDescent="0.25">
      <c r="A168" s="25"/>
      <c r="B168" s="25"/>
      <c r="C168" s="110"/>
      <c r="D168" s="36"/>
      <c r="E168" s="25"/>
      <c r="F168" s="108"/>
      <c r="G168" s="26"/>
      <c r="H168" s="26"/>
      <c r="I168" s="26"/>
      <c r="J168" s="26"/>
      <c r="K168" s="26"/>
      <c r="L168" s="26"/>
      <c r="O168" s="25"/>
      <c r="P168" s="25"/>
      <c r="Q168" s="25"/>
      <c r="R168" s="25"/>
      <c r="S168" s="25"/>
    </row>
    <row r="169" spans="1:19" s="88" customFormat="1" ht="15.75" x14ac:dyDescent="0.25">
      <c r="A169" s="25"/>
      <c r="B169" s="25"/>
      <c r="C169" s="110"/>
      <c r="D169" s="36"/>
      <c r="E169" s="25"/>
      <c r="F169" s="108"/>
      <c r="G169" s="26"/>
      <c r="H169" s="26"/>
      <c r="I169" s="26"/>
      <c r="J169" s="26"/>
      <c r="K169" s="26"/>
      <c r="L169" s="26"/>
      <c r="O169" s="25"/>
      <c r="P169" s="25"/>
      <c r="Q169" s="25"/>
      <c r="R169" s="25"/>
      <c r="S169" s="25"/>
    </row>
    <row r="170" spans="1:19" s="88" customFormat="1" ht="15.75" x14ac:dyDescent="0.25">
      <c r="A170" s="25"/>
      <c r="B170" s="25"/>
      <c r="C170" s="110"/>
      <c r="D170" s="36"/>
      <c r="E170" s="25"/>
      <c r="F170" s="108"/>
      <c r="G170" s="26"/>
      <c r="H170" s="26"/>
      <c r="I170" s="26"/>
      <c r="J170" s="26"/>
      <c r="K170" s="26"/>
      <c r="L170" s="26"/>
      <c r="O170" s="25"/>
      <c r="P170" s="25"/>
      <c r="Q170" s="25"/>
      <c r="R170" s="25"/>
      <c r="S170" s="25"/>
    </row>
    <row r="171" spans="1:19" s="88" customFormat="1" ht="15.75" x14ac:dyDescent="0.25">
      <c r="A171" s="25"/>
      <c r="B171" s="25"/>
      <c r="C171" s="110"/>
      <c r="D171" s="36"/>
      <c r="E171" s="25"/>
      <c r="F171" s="108"/>
      <c r="G171" s="26"/>
      <c r="H171" s="26"/>
      <c r="I171" s="26"/>
      <c r="J171" s="26"/>
      <c r="K171" s="26"/>
      <c r="L171" s="26"/>
      <c r="O171" s="25"/>
      <c r="P171" s="25"/>
      <c r="Q171" s="25"/>
      <c r="R171" s="25"/>
      <c r="S171" s="25"/>
    </row>
    <row r="172" spans="1:19" s="88" customFormat="1" ht="15.75" x14ac:dyDescent="0.25">
      <c r="A172" s="25"/>
      <c r="B172" s="25"/>
      <c r="C172" s="110"/>
      <c r="D172" s="36"/>
      <c r="E172" s="25"/>
      <c r="F172" s="108"/>
      <c r="G172" s="26"/>
      <c r="H172" s="26"/>
      <c r="I172" s="26"/>
      <c r="J172" s="26"/>
      <c r="K172" s="26"/>
      <c r="L172" s="26"/>
      <c r="O172" s="25"/>
      <c r="P172" s="25"/>
      <c r="Q172" s="25"/>
      <c r="R172" s="25"/>
      <c r="S172" s="25"/>
    </row>
    <row r="173" spans="1:19" s="88" customFormat="1" ht="15.75" x14ac:dyDescent="0.25">
      <c r="A173" s="25"/>
      <c r="B173" s="25"/>
      <c r="C173" s="110"/>
      <c r="D173" s="36"/>
      <c r="E173" s="25"/>
      <c r="F173" s="108"/>
      <c r="G173" s="26"/>
      <c r="H173" s="26"/>
      <c r="I173" s="26"/>
      <c r="J173" s="26"/>
      <c r="K173" s="26"/>
      <c r="L173" s="26"/>
      <c r="O173" s="25"/>
      <c r="P173" s="25"/>
      <c r="Q173" s="25"/>
      <c r="R173" s="25"/>
      <c r="S173" s="25"/>
    </row>
    <row r="174" spans="1:19" s="88" customFormat="1" ht="15.75" x14ac:dyDescent="0.25">
      <c r="A174" s="25"/>
      <c r="B174" s="25"/>
      <c r="C174" s="110"/>
      <c r="D174" s="36"/>
      <c r="E174" s="25"/>
      <c r="F174" s="108"/>
      <c r="G174" s="26"/>
      <c r="H174" s="26"/>
      <c r="I174" s="26"/>
      <c r="J174" s="26"/>
      <c r="K174" s="26"/>
      <c r="L174" s="26"/>
      <c r="O174" s="25"/>
      <c r="P174" s="25"/>
      <c r="Q174" s="25"/>
      <c r="R174" s="25"/>
      <c r="S174" s="25"/>
    </row>
    <row r="175" spans="1:19" s="88" customFormat="1" ht="15.75" x14ac:dyDescent="0.25">
      <c r="A175" s="25"/>
      <c r="B175" s="25"/>
      <c r="C175" s="110"/>
      <c r="D175" s="36"/>
      <c r="E175" s="25"/>
      <c r="F175" s="108"/>
      <c r="G175" s="26"/>
      <c r="H175" s="26"/>
      <c r="I175" s="26"/>
      <c r="J175" s="26"/>
      <c r="K175" s="26"/>
      <c r="L175" s="26"/>
      <c r="O175" s="25"/>
      <c r="P175" s="25"/>
      <c r="Q175" s="25"/>
      <c r="R175" s="25"/>
      <c r="S175" s="25"/>
    </row>
    <row r="176" spans="1:19" s="88" customFormat="1" ht="15.75" x14ac:dyDescent="0.25">
      <c r="A176" s="25"/>
      <c r="B176" s="25"/>
      <c r="C176" s="110"/>
      <c r="D176" s="36"/>
      <c r="E176" s="25"/>
      <c r="F176" s="108"/>
      <c r="G176" s="26"/>
      <c r="H176" s="26"/>
      <c r="I176" s="26"/>
      <c r="J176" s="26"/>
      <c r="K176" s="26"/>
      <c r="L176" s="26"/>
      <c r="O176" s="25"/>
      <c r="P176" s="25"/>
      <c r="Q176" s="25"/>
      <c r="R176" s="25"/>
      <c r="S176" s="25"/>
    </row>
    <row r="177" spans="1:19" s="88" customFormat="1" ht="15.75" x14ac:dyDescent="0.25">
      <c r="A177" s="25"/>
      <c r="B177" s="25"/>
      <c r="C177" s="110"/>
      <c r="D177" s="36"/>
      <c r="E177" s="25"/>
      <c r="F177" s="108"/>
      <c r="G177" s="26"/>
      <c r="H177" s="26"/>
      <c r="I177" s="26"/>
      <c r="J177" s="26"/>
      <c r="K177" s="26"/>
      <c r="L177" s="26"/>
      <c r="O177" s="25"/>
      <c r="P177" s="25"/>
      <c r="Q177" s="25"/>
      <c r="R177" s="25"/>
      <c r="S177" s="25"/>
    </row>
    <row r="178" spans="1:19" s="88" customFormat="1" ht="15.75" x14ac:dyDescent="0.25">
      <c r="A178" s="25"/>
      <c r="B178" s="25"/>
      <c r="C178" s="110"/>
      <c r="D178" s="36"/>
      <c r="E178" s="25"/>
      <c r="F178" s="108"/>
      <c r="G178" s="26"/>
      <c r="H178" s="26"/>
      <c r="I178" s="26"/>
      <c r="J178" s="26"/>
      <c r="K178" s="26"/>
      <c r="L178" s="26"/>
      <c r="O178" s="25"/>
      <c r="P178" s="25"/>
      <c r="Q178" s="25"/>
      <c r="R178" s="25"/>
      <c r="S178" s="25"/>
    </row>
    <row r="179" spans="1:19" s="88" customFormat="1" ht="15.75" x14ac:dyDescent="0.25">
      <c r="A179" s="25"/>
      <c r="B179" s="25"/>
      <c r="C179" s="110"/>
      <c r="D179" s="36"/>
      <c r="E179" s="25"/>
      <c r="F179" s="108"/>
      <c r="G179" s="26"/>
      <c r="H179" s="26"/>
      <c r="I179" s="26"/>
      <c r="J179" s="26"/>
      <c r="K179" s="26"/>
      <c r="L179" s="26"/>
      <c r="O179" s="25"/>
      <c r="P179" s="25"/>
      <c r="Q179" s="25"/>
      <c r="R179" s="25"/>
      <c r="S179" s="25"/>
    </row>
    <row r="180" spans="1:19" s="88" customFormat="1" ht="15.75" x14ac:dyDescent="0.25">
      <c r="A180" s="25"/>
      <c r="B180" s="25"/>
      <c r="C180" s="110"/>
      <c r="D180" s="36"/>
      <c r="E180" s="25"/>
      <c r="F180" s="108"/>
      <c r="G180" s="26"/>
      <c r="H180" s="26"/>
      <c r="I180" s="26"/>
      <c r="J180" s="26"/>
      <c r="K180" s="26"/>
      <c r="L180" s="26"/>
      <c r="O180" s="25"/>
      <c r="P180" s="25"/>
      <c r="Q180" s="25"/>
      <c r="R180" s="25"/>
      <c r="S180" s="25"/>
    </row>
    <row r="181" spans="1:19" s="88" customFormat="1" ht="15.75" x14ac:dyDescent="0.25">
      <c r="A181" s="25"/>
      <c r="B181" s="25"/>
      <c r="C181" s="110"/>
      <c r="D181" s="36"/>
      <c r="E181" s="25"/>
      <c r="F181" s="108"/>
      <c r="G181" s="26"/>
      <c r="H181" s="26"/>
      <c r="I181" s="26"/>
      <c r="J181" s="26"/>
      <c r="K181" s="26"/>
      <c r="L181" s="26"/>
      <c r="O181" s="25"/>
      <c r="P181" s="25"/>
      <c r="Q181" s="25"/>
      <c r="R181" s="25"/>
      <c r="S181" s="25"/>
    </row>
    <row r="182" spans="1:19" s="88" customFormat="1" ht="15.75" x14ac:dyDescent="0.25">
      <c r="A182" s="25"/>
      <c r="B182" s="25"/>
      <c r="C182" s="110"/>
      <c r="D182" s="36"/>
      <c r="E182" s="25"/>
      <c r="F182" s="108"/>
      <c r="G182" s="26"/>
      <c r="H182" s="26"/>
      <c r="I182" s="26"/>
      <c r="J182" s="26"/>
      <c r="K182" s="26"/>
      <c r="L182" s="26"/>
      <c r="O182" s="25"/>
      <c r="P182" s="25"/>
      <c r="Q182" s="25"/>
      <c r="R182" s="25"/>
      <c r="S182" s="25"/>
    </row>
    <row r="183" spans="1:19" s="88" customFormat="1" ht="15.75" x14ac:dyDescent="0.25">
      <c r="A183" s="25"/>
      <c r="B183" s="25"/>
      <c r="C183" s="110"/>
      <c r="D183" s="36"/>
      <c r="E183" s="25"/>
      <c r="F183" s="108"/>
      <c r="G183" s="26"/>
      <c r="H183" s="26"/>
      <c r="I183" s="26"/>
      <c r="J183" s="26"/>
      <c r="K183" s="26"/>
      <c r="L183" s="26"/>
      <c r="O183" s="25"/>
      <c r="P183" s="25"/>
      <c r="Q183" s="25"/>
      <c r="R183" s="25"/>
      <c r="S183" s="25"/>
    </row>
    <row r="184" spans="1:19" s="88" customFormat="1" ht="15.75" x14ac:dyDescent="0.25">
      <c r="A184" s="25"/>
      <c r="B184" s="25"/>
      <c r="C184" s="110"/>
      <c r="D184" s="36"/>
      <c r="E184" s="25"/>
      <c r="F184" s="108"/>
      <c r="G184" s="26"/>
      <c r="H184" s="26"/>
      <c r="I184" s="26"/>
      <c r="J184" s="26"/>
      <c r="K184" s="26"/>
      <c r="L184" s="26"/>
      <c r="O184" s="25"/>
      <c r="P184" s="25"/>
      <c r="Q184" s="25"/>
      <c r="R184" s="25"/>
      <c r="S184" s="25"/>
    </row>
    <row r="185" spans="1:19" s="88" customFormat="1" ht="15.75" x14ac:dyDescent="0.25">
      <c r="A185" s="25"/>
      <c r="B185" s="25"/>
      <c r="C185" s="110"/>
      <c r="D185" s="36"/>
      <c r="E185" s="25"/>
      <c r="F185" s="108"/>
      <c r="G185" s="26"/>
      <c r="H185" s="26"/>
      <c r="I185" s="26"/>
      <c r="J185" s="26"/>
      <c r="K185" s="26"/>
      <c r="L185" s="26"/>
      <c r="O185" s="25"/>
      <c r="P185" s="25"/>
      <c r="Q185" s="25"/>
      <c r="R185" s="25"/>
      <c r="S185" s="25"/>
    </row>
    <row r="186" spans="1:19" s="88" customFormat="1" ht="15.75" x14ac:dyDescent="0.25">
      <c r="A186" s="25"/>
      <c r="B186" s="25"/>
      <c r="C186" s="110"/>
      <c r="D186" s="36"/>
      <c r="E186" s="25"/>
      <c r="F186" s="108"/>
      <c r="G186" s="26"/>
      <c r="H186" s="26"/>
      <c r="I186" s="26"/>
      <c r="J186" s="26"/>
      <c r="K186" s="26"/>
      <c r="L186" s="26"/>
      <c r="O186" s="25"/>
      <c r="P186" s="25"/>
      <c r="Q186" s="25"/>
      <c r="R186" s="25"/>
      <c r="S186" s="25"/>
    </row>
  </sheetData>
  <mergeCells count="1">
    <mergeCell ref="H1:L1"/>
  </mergeCells>
  <conditionalFormatting sqref="D4:D5">
    <cfRule type="cellIs" dxfId="22" priority="253" operator="equal">
      <formula>0</formula>
    </cfRule>
  </conditionalFormatting>
  <dataValidations count="1">
    <dataValidation type="list" allowBlank="1" showInputMessage="1" sqref="H3:L3" xr:uid="{AC0D1D81-5557-4B08-B7AA-11DB36210EA8}">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B4489419-180D-478B-AA08-EE67F2934162}">
          <x14:formula1>
            <xm:f>Unit!$A$4:$A$11</xm:f>
          </x14:formula1>
          <xm:sqref>D3</xm:sqref>
        </x14:dataValidation>
        <x14:dataValidation type="list" allowBlank="1" showInputMessage="1" xr:uid="{31210624-819A-4C22-8521-39E36FD222C0}">
          <x14:formula1>
            <xm:f>Unit!#REF!</xm:f>
          </x14:formula1>
          <xm:sqref>I7:L152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00B050"/>
  </sheetPr>
  <dimension ref="A1:S133"/>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Fire!A2+1</f>
        <v>22</v>
      </c>
      <c r="B2" s="73" t="s" cm="1">
        <v>2459</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22.01</v>
      </c>
      <c r="B3" s="27" t="s">
        <v>2235</v>
      </c>
      <c r="C3" s="98">
        <v>7.34</v>
      </c>
      <c r="D3" s="29" t="s">
        <v>11</v>
      </c>
      <c r="E3" s="85"/>
      <c r="F3" s="86">
        <f>IF(E3="inc",0,IF(C3="",0,C3*E3))</f>
        <v>0</v>
      </c>
      <c r="G3" s="208"/>
      <c r="H3" s="30"/>
      <c r="I3" s="30"/>
      <c r="J3" s="30"/>
      <c r="K3" s="30"/>
      <c r="L3" s="30"/>
      <c r="M3" s="87"/>
      <c r="N3" s="88"/>
      <c r="O3" s="25"/>
      <c r="P3" s="25"/>
      <c r="Q3" s="25"/>
      <c r="R3" s="25"/>
      <c r="S3" s="25"/>
    </row>
    <row r="4" spans="1:19" s="94" customFormat="1" ht="15.75" x14ac:dyDescent="0.25">
      <c r="A4" s="24"/>
      <c r="B4" s="24" t="s">
        <v>2460</v>
      </c>
      <c r="C4" s="32">
        <v>7.34</v>
      </c>
      <c r="D4" s="32" t="s">
        <v>11</v>
      </c>
      <c r="E4" s="26"/>
      <c r="F4" s="33"/>
      <c r="G4" s="208"/>
      <c r="H4" s="26"/>
      <c r="I4" s="26"/>
      <c r="J4" s="26"/>
      <c r="K4" s="26"/>
      <c r="L4" s="26"/>
      <c r="M4" s="34"/>
      <c r="N4" s="32"/>
      <c r="O4" s="44"/>
    </row>
    <row r="5" spans="1:19" s="94" customFormat="1" ht="15.75" x14ac:dyDescent="0.25">
      <c r="A5" s="24"/>
      <c r="B5" s="24"/>
      <c r="C5" s="32" t="s">
        <v>2346</v>
      </c>
      <c r="D5" s="32" t="s">
        <v>2346</v>
      </c>
      <c r="E5" s="26"/>
      <c r="F5" s="33"/>
      <c r="G5" s="210"/>
      <c r="H5" s="26"/>
      <c r="I5" s="26"/>
      <c r="J5" s="26"/>
      <c r="K5" s="26"/>
      <c r="L5" s="26"/>
      <c r="M5" s="34"/>
      <c r="N5" s="32"/>
      <c r="O5" s="44"/>
    </row>
    <row r="6" spans="1:19" s="90" customFormat="1" ht="18.75" x14ac:dyDescent="0.25">
      <c r="A6" s="82">
        <f ca="1">IF(C6&gt;0,MAX($A$1:OFFSET(A6,-1,0))+0.01,"")</f>
        <v>22.020000000000003</v>
      </c>
      <c r="B6" s="27" t="s">
        <v>2244</v>
      </c>
      <c r="C6" s="98">
        <v>97</v>
      </c>
      <c r="D6" s="29" t="s">
        <v>5</v>
      </c>
      <c r="E6" s="85"/>
      <c r="F6" s="86">
        <f>IF(E6="inc",0,IF(C6="",0,C6*E6))</f>
        <v>0</v>
      </c>
      <c r="G6" s="208"/>
      <c r="H6" s="30"/>
      <c r="I6" s="30"/>
      <c r="J6" s="30"/>
      <c r="K6" s="30"/>
      <c r="L6" s="30"/>
      <c r="M6" s="87"/>
      <c r="N6" s="88"/>
      <c r="O6" s="25"/>
      <c r="P6" s="25"/>
      <c r="Q6" s="25"/>
      <c r="R6" s="25"/>
      <c r="S6" s="25"/>
    </row>
    <row r="7" spans="1:19" s="94" customFormat="1" ht="15.75" x14ac:dyDescent="0.25">
      <c r="A7" s="24"/>
      <c r="B7" s="24" t="s">
        <v>2461</v>
      </c>
      <c r="C7" s="32">
        <v>97</v>
      </c>
      <c r="D7" s="32" t="s">
        <v>5</v>
      </c>
      <c r="E7" s="26"/>
      <c r="F7" s="33"/>
      <c r="G7" s="208"/>
      <c r="H7" s="26"/>
      <c r="I7" s="26"/>
      <c r="J7" s="26"/>
      <c r="K7" s="26"/>
      <c r="L7" s="26"/>
      <c r="M7" s="34"/>
      <c r="N7" s="32"/>
      <c r="O7" s="44"/>
    </row>
    <row r="8" spans="1:19" s="94" customFormat="1" ht="15.75" x14ac:dyDescent="0.25">
      <c r="A8" s="24"/>
      <c r="B8" s="24"/>
      <c r="C8" s="32" t="s">
        <v>2346</v>
      </c>
      <c r="D8" s="32">
        <v>0</v>
      </c>
      <c r="E8" s="26"/>
      <c r="F8" s="33"/>
      <c r="G8" s="210"/>
      <c r="H8" s="26"/>
      <c r="I8" s="26"/>
      <c r="J8" s="26"/>
      <c r="K8" s="26"/>
      <c r="L8" s="26"/>
      <c r="M8" s="34"/>
      <c r="N8" s="32"/>
      <c r="O8" s="44"/>
    </row>
    <row r="9" spans="1:19" s="90" customFormat="1" ht="18.75" x14ac:dyDescent="0.25">
      <c r="A9" s="82">
        <f ca="1">IF(C9&gt;0,MAX($A$1:OFFSET(A9,-1,0))+0.01,"")</f>
        <v>22.030000000000005</v>
      </c>
      <c r="B9" s="27" t="s">
        <v>2245</v>
      </c>
      <c r="C9" s="98">
        <v>97</v>
      </c>
      <c r="D9" s="29" t="s">
        <v>5</v>
      </c>
      <c r="E9" s="85"/>
      <c r="F9" s="86">
        <f>IF(E9="inc",0,IF(C9="",0,C9*E9))</f>
        <v>0</v>
      </c>
      <c r="G9" s="208"/>
      <c r="H9" s="30"/>
      <c r="I9" s="30"/>
      <c r="J9" s="30"/>
      <c r="K9" s="30"/>
      <c r="L9" s="30"/>
      <c r="M9" s="87"/>
      <c r="N9" s="88"/>
      <c r="O9" s="25"/>
      <c r="P9" s="25"/>
      <c r="Q9" s="25"/>
      <c r="R9" s="25"/>
      <c r="S9" s="25"/>
    </row>
    <row r="10" spans="1:19" s="94" customFormat="1" ht="15.75" x14ac:dyDescent="0.25">
      <c r="A10" s="24"/>
      <c r="B10" s="24" t="s">
        <v>2462</v>
      </c>
      <c r="C10" s="32">
        <v>97</v>
      </c>
      <c r="D10" s="32" t="s">
        <v>5</v>
      </c>
      <c r="E10" s="26"/>
      <c r="F10" s="33"/>
      <c r="G10" s="208"/>
      <c r="H10" s="26"/>
      <c r="I10" s="26"/>
      <c r="J10" s="26"/>
      <c r="K10" s="26"/>
      <c r="L10" s="26"/>
      <c r="M10" s="34"/>
      <c r="N10" s="32"/>
      <c r="O10" s="44"/>
    </row>
    <row r="11" spans="1:19" s="94" customFormat="1" ht="15.75" x14ac:dyDescent="0.25">
      <c r="A11" s="24"/>
      <c r="B11" s="24"/>
      <c r="C11" s="32" t="s">
        <v>2346</v>
      </c>
      <c r="D11" s="32">
        <v>0</v>
      </c>
      <c r="E11" s="26"/>
      <c r="F11" s="33"/>
      <c r="G11" s="210"/>
      <c r="H11" s="26"/>
      <c r="I11" s="26"/>
      <c r="J11" s="26"/>
      <c r="K11" s="26"/>
      <c r="L11" s="26"/>
      <c r="M11" s="34"/>
      <c r="N11" s="32"/>
      <c r="O11" s="44"/>
    </row>
    <row r="12" spans="1:19" s="90" customFormat="1" ht="18.75" x14ac:dyDescent="0.25">
      <c r="A12" s="82">
        <f ca="1">IF(C12&gt;0,MAX($A$1:OFFSET(A12,-1,0))+0.01,"")</f>
        <v>22.040000000000006</v>
      </c>
      <c r="B12" s="27" t="s">
        <v>2246</v>
      </c>
      <c r="C12" s="98">
        <v>0.16489999999999999</v>
      </c>
      <c r="D12" s="29" t="s">
        <v>218</v>
      </c>
      <c r="E12" s="85"/>
      <c r="F12" s="86">
        <f>IF(E12="inc",0,IF(C12="",0,C12*E12))</f>
        <v>0</v>
      </c>
      <c r="G12" s="208"/>
      <c r="H12" s="30"/>
      <c r="I12" s="30"/>
      <c r="J12" s="30"/>
      <c r="K12" s="30"/>
      <c r="L12" s="30"/>
      <c r="M12" s="87"/>
      <c r="N12" s="88"/>
      <c r="O12" s="25"/>
      <c r="P12" s="25"/>
      <c r="Q12" s="25"/>
      <c r="R12" s="25"/>
      <c r="S12" s="25"/>
    </row>
    <row r="13" spans="1:19" s="94" customFormat="1" ht="15.75" x14ac:dyDescent="0.25">
      <c r="A13" s="24"/>
      <c r="B13" s="24" t="s">
        <v>2463</v>
      </c>
      <c r="C13" s="32">
        <v>0.16489999999999999</v>
      </c>
      <c r="D13" s="32" t="s">
        <v>218</v>
      </c>
      <c r="E13" s="26"/>
      <c r="F13" s="33"/>
      <c r="G13" s="210"/>
      <c r="H13" s="26"/>
      <c r="I13" s="26"/>
      <c r="J13" s="26"/>
      <c r="K13" s="26"/>
      <c r="L13" s="26"/>
      <c r="M13" s="34"/>
      <c r="N13" s="32"/>
      <c r="O13" s="44"/>
    </row>
    <row r="14" spans="1:19" s="94" customFormat="1" ht="15.75" x14ac:dyDescent="0.25">
      <c r="A14" s="24"/>
      <c r="B14" s="24"/>
      <c r="C14" s="32" t="s">
        <v>2346</v>
      </c>
      <c r="D14" s="32">
        <v>0</v>
      </c>
      <c r="E14" s="26"/>
      <c r="F14" s="33"/>
      <c r="G14" s="210"/>
      <c r="H14" s="26"/>
      <c r="I14" s="26"/>
      <c r="J14" s="26"/>
      <c r="K14" s="26"/>
      <c r="L14" s="26"/>
      <c r="M14" s="34"/>
      <c r="N14" s="32"/>
      <c r="O14" s="44"/>
    </row>
    <row r="15" spans="1:19" s="90" customFormat="1" ht="18.75" x14ac:dyDescent="0.25">
      <c r="A15" s="82">
        <f ca="1">IF(C15&gt;0,MAX($A$1:OFFSET(A15,-1,0))+0.01,"")</f>
        <v>22.050000000000008</v>
      </c>
      <c r="B15" s="27" t="s">
        <v>2247</v>
      </c>
      <c r="C15" s="98">
        <v>3</v>
      </c>
      <c r="D15" s="29" t="s">
        <v>2236</v>
      </c>
      <c r="E15" s="85"/>
      <c r="F15" s="86">
        <f>IF(E15="inc",0,IF(C15="",0,C15*E15))</f>
        <v>0</v>
      </c>
      <c r="G15" s="208"/>
      <c r="H15" s="30"/>
      <c r="I15" s="30"/>
      <c r="J15" s="30"/>
      <c r="K15" s="30"/>
      <c r="L15" s="30"/>
      <c r="M15" s="87"/>
      <c r="N15" s="88"/>
      <c r="O15" s="25"/>
      <c r="P15" s="25"/>
      <c r="Q15" s="25"/>
      <c r="R15" s="25"/>
      <c r="S15" s="25"/>
    </row>
    <row r="16" spans="1:19" s="94" customFormat="1" ht="15.75" x14ac:dyDescent="0.25">
      <c r="A16" s="24"/>
      <c r="B16" s="24" t="s">
        <v>2464</v>
      </c>
      <c r="C16" s="32">
        <v>3</v>
      </c>
      <c r="D16" s="32" t="s">
        <v>2236</v>
      </c>
      <c r="E16" s="26"/>
      <c r="F16" s="33"/>
      <c r="G16" s="210"/>
      <c r="H16" s="26"/>
      <c r="I16" s="26"/>
      <c r="J16" s="26"/>
      <c r="K16" s="26"/>
      <c r="L16" s="26"/>
      <c r="M16" s="34"/>
      <c r="N16" s="32"/>
      <c r="O16" s="44"/>
    </row>
    <row r="17" spans="1:19" s="94" customFormat="1" ht="15.75" x14ac:dyDescent="0.25">
      <c r="A17" s="24"/>
      <c r="B17" s="24"/>
      <c r="C17" s="32" t="s">
        <v>2346</v>
      </c>
      <c r="D17" s="32">
        <v>0</v>
      </c>
      <c r="E17" s="26"/>
      <c r="F17" s="33"/>
      <c r="G17" s="210"/>
      <c r="H17" s="26"/>
      <c r="I17" s="26"/>
      <c r="J17" s="26"/>
      <c r="K17" s="26"/>
      <c r="L17" s="26"/>
      <c r="M17" s="34"/>
      <c r="N17" s="32"/>
      <c r="O17" s="44"/>
    </row>
    <row r="18" spans="1:19" s="90" customFormat="1" ht="18.75" x14ac:dyDescent="0.25">
      <c r="A18" s="82">
        <f ca="1">IF(C18&gt;0,MAX($A$1:OFFSET(A18,-1,0))+0.01,"")</f>
        <v>22.060000000000009</v>
      </c>
      <c r="B18" s="27" t="s">
        <v>2248</v>
      </c>
      <c r="C18" s="98">
        <v>3</v>
      </c>
      <c r="D18" s="29" t="s">
        <v>2236</v>
      </c>
      <c r="E18" s="85"/>
      <c r="F18" s="86">
        <f>IF(E18="inc",0,IF(C18="",0,C18*E18))</f>
        <v>0</v>
      </c>
      <c r="G18" s="208"/>
      <c r="H18" s="30"/>
      <c r="I18" s="30"/>
      <c r="J18" s="30"/>
      <c r="K18" s="30"/>
      <c r="L18" s="30"/>
      <c r="M18" s="87"/>
      <c r="N18" s="88"/>
      <c r="O18" s="25"/>
      <c r="P18" s="25"/>
      <c r="Q18" s="25"/>
      <c r="R18" s="25"/>
      <c r="S18" s="25"/>
    </row>
    <row r="19" spans="1:19" s="94" customFormat="1" ht="15.75" x14ac:dyDescent="0.25">
      <c r="A19" s="24"/>
      <c r="B19" s="382" t="s">
        <v>2237</v>
      </c>
      <c r="C19" s="32">
        <v>3</v>
      </c>
      <c r="D19" s="32" t="s">
        <v>2236</v>
      </c>
      <c r="E19" s="26"/>
      <c r="F19" s="33"/>
      <c r="G19" s="210"/>
      <c r="H19" s="26"/>
      <c r="I19" s="26"/>
      <c r="J19" s="26"/>
      <c r="K19" s="26"/>
      <c r="L19" s="26"/>
      <c r="M19" s="34"/>
      <c r="N19" s="32"/>
      <c r="O19" s="44"/>
    </row>
    <row r="20" spans="1:19" s="94" customFormat="1" ht="15.75" x14ac:dyDescent="0.25">
      <c r="A20" s="24"/>
      <c r="B20" s="24"/>
      <c r="C20" s="32" t="s">
        <v>2346</v>
      </c>
      <c r="D20" s="32">
        <v>0</v>
      </c>
      <c r="E20" s="26"/>
      <c r="F20" s="33"/>
      <c r="G20" s="210"/>
      <c r="H20" s="26"/>
      <c r="I20" s="26"/>
      <c r="J20" s="26"/>
      <c r="K20" s="26"/>
      <c r="L20" s="26"/>
      <c r="M20" s="34"/>
      <c r="N20" s="32"/>
      <c r="O20" s="44"/>
    </row>
    <row r="21" spans="1:19" s="90" customFormat="1" ht="18.75" x14ac:dyDescent="0.25">
      <c r="A21" s="82">
        <f ca="1">IF(C21&gt;0,MAX($A$1:OFFSET(A21,-1,0))+0.01,"")</f>
        <v>22.070000000000011</v>
      </c>
      <c r="B21" s="27" t="s">
        <v>2249</v>
      </c>
      <c r="C21" s="98">
        <v>44.04</v>
      </c>
      <c r="D21" s="29" t="s">
        <v>15</v>
      </c>
      <c r="E21" s="85"/>
      <c r="F21" s="86">
        <f>IF(E21="inc",0,IF(C21="",0,C21*E21))</f>
        <v>0</v>
      </c>
      <c r="G21" s="208"/>
      <c r="H21" s="30"/>
      <c r="I21" s="30"/>
      <c r="J21" s="30"/>
      <c r="K21" s="30"/>
      <c r="L21" s="30"/>
      <c r="M21" s="87"/>
      <c r="N21" s="88"/>
      <c r="O21" s="25"/>
      <c r="P21" s="25"/>
      <c r="Q21" s="25"/>
      <c r="R21" s="25"/>
      <c r="S21" s="25"/>
    </row>
    <row r="22" spans="1:19" s="94" customFormat="1" ht="15.75" x14ac:dyDescent="0.25">
      <c r="A22" s="24"/>
      <c r="B22" s="24" t="s">
        <v>2465</v>
      </c>
      <c r="C22" s="32">
        <v>44.04</v>
      </c>
      <c r="D22" s="32" t="s">
        <v>15</v>
      </c>
      <c r="E22" s="26"/>
      <c r="F22" s="33"/>
      <c r="G22" s="210"/>
      <c r="H22" s="26"/>
      <c r="I22" s="26"/>
      <c r="J22" s="26"/>
      <c r="K22" s="26"/>
      <c r="L22" s="26"/>
      <c r="M22" s="34"/>
      <c r="N22" s="32"/>
      <c r="O22" s="44"/>
    </row>
    <row r="23" spans="1:19" s="94" customFormat="1" ht="15.75" x14ac:dyDescent="0.25">
      <c r="A23" s="24"/>
      <c r="B23" s="24"/>
      <c r="C23" s="32" t="s">
        <v>2346</v>
      </c>
      <c r="D23" s="32">
        <v>0</v>
      </c>
      <c r="E23" s="26"/>
      <c r="F23" s="33"/>
      <c r="G23" s="210"/>
      <c r="H23" s="26"/>
      <c r="I23" s="26"/>
      <c r="J23" s="26"/>
      <c r="K23" s="26"/>
      <c r="L23" s="26"/>
      <c r="M23" s="34"/>
      <c r="N23" s="32"/>
      <c r="O23" s="44"/>
    </row>
    <row r="24" spans="1:19" s="90" customFormat="1" ht="18.75" x14ac:dyDescent="0.25">
      <c r="A24" s="82">
        <f ca="1">IF(C24&gt;0,MAX($A$1:OFFSET(A24,-1,0))+0.01,"")</f>
        <v>22.080000000000013</v>
      </c>
      <c r="B24" s="27" t="s">
        <v>2250</v>
      </c>
      <c r="C24" s="98">
        <v>44.04</v>
      </c>
      <c r="D24" s="29" t="s">
        <v>15</v>
      </c>
      <c r="E24" s="85"/>
      <c r="F24" s="86">
        <f>IF(E24="inc",0,IF(C24="",0,C24*E24))</f>
        <v>0</v>
      </c>
      <c r="G24" s="208"/>
      <c r="H24" s="30"/>
      <c r="I24" s="30"/>
      <c r="J24" s="30"/>
      <c r="K24" s="30"/>
      <c r="L24" s="30"/>
      <c r="M24" s="87"/>
      <c r="N24" s="88"/>
      <c r="O24" s="25"/>
      <c r="P24" s="25"/>
      <c r="Q24" s="25"/>
      <c r="R24" s="25"/>
      <c r="S24" s="25"/>
    </row>
    <row r="25" spans="1:19" s="94" customFormat="1" ht="15.75" x14ac:dyDescent="0.25">
      <c r="A25" s="24"/>
      <c r="B25" s="24" t="s">
        <v>2466</v>
      </c>
      <c r="C25" s="32">
        <v>44.04</v>
      </c>
      <c r="D25" s="32" t="s">
        <v>15</v>
      </c>
      <c r="E25" s="26"/>
      <c r="F25" s="33"/>
      <c r="G25" s="210"/>
      <c r="H25" s="26"/>
      <c r="I25" s="26"/>
      <c r="J25" s="26"/>
      <c r="K25" s="26"/>
      <c r="L25" s="26"/>
      <c r="M25" s="34"/>
      <c r="N25" s="32"/>
      <c r="O25" s="44"/>
    </row>
    <row r="26" spans="1:19" s="94" customFormat="1" ht="15.75" x14ac:dyDescent="0.25">
      <c r="A26" s="24"/>
      <c r="B26" s="24"/>
      <c r="C26" s="32" t="s">
        <v>2346</v>
      </c>
      <c r="D26" s="32">
        <v>0</v>
      </c>
      <c r="E26" s="26"/>
      <c r="F26" s="33"/>
      <c r="G26" s="210"/>
      <c r="H26" s="26"/>
      <c r="I26" s="26"/>
      <c r="J26" s="26"/>
      <c r="K26" s="26"/>
      <c r="L26" s="26"/>
      <c r="M26" s="34"/>
      <c r="N26" s="32"/>
      <c r="O26" s="44"/>
    </row>
    <row r="27" spans="1:19" s="90" customFormat="1" ht="18.75" x14ac:dyDescent="0.25">
      <c r="A27" s="82">
        <f ca="1">IF(C27&gt;0,MAX($A$1:OFFSET(A27,-1,0))+0.01,"")</f>
        <v>22.090000000000014</v>
      </c>
      <c r="B27" s="27" t="s">
        <v>2255</v>
      </c>
      <c r="C27" s="98">
        <v>13.324999999999999</v>
      </c>
      <c r="D27" s="29" t="s">
        <v>5</v>
      </c>
      <c r="E27" s="85"/>
      <c r="F27" s="86">
        <f>IF(E27="inc",0,IF(C27="",0,C27*E27))</f>
        <v>0</v>
      </c>
      <c r="G27" s="208"/>
      <c r="H27" s="30"/>
      <c r="I27" s="30"/>
      <c r="J27" s="30"/>
      <c r="K27" s="30"/>
      <c r="L27" s="30"/>
      <c r="M27" s="87"/>
      <c r="N27" s="88"/>
      <c r="O27" s="25"/>
      <c r="P27" s="25"/>
      <c r="Q27" s="25"/>
      <c r="R27" s="25"/>
      <c r="S27" s="25"/>
    </row>
    <row r="28" spans="1:19" s="94" customFormat="1" ht="15.75" x14ac:dyDescent="0.25">
      <c r="A28" s="24"/>
      <c r="B28" s="24" t="s">
        <v>2467</v>
      </c>
      <c r="C28" s="32">
        <v>13.324999999999999</v>
      </c>
      <c r="D28" s="32" t="s">
        <v>5</v>
      </c>
      <c r="E28" s="26"/>
      <c r="F28" s="33"/>
      <c r="G28" s="210"/>
      <c r="H28" s="26"/>
      <c r="I28" s="26"/>
      <c r="J28" s="26"/>
      <c r="K28" s="26"/>
      <c r="L28" s="26"/>
      <c r="M28" s="34"/>
      <c r="N28" s="32"/>
      <c r="O28" s="44"/>
    </row>
    <row r="29" spans="1:19" s="94" customFormat="1" ht="15.75" x14ac:dyDescent="0.25">
      <c r="A29" s="24"/>
      <c r="B29" s="24"/>
      <c r="C29" s="32" t="s">
        <v>2346</v>
      </c>
      <c r="D29" s="32">
        <v>0</v>
      </c>
      <c r="E29" s="26"/>
      <c r="F29" s="33"/>
      <c r="G29" s="210"/>
      <c r="H29" s="26"/>
      <c r="I29" s="26"/>
      <c r="J29" s="26"/>
      <c r="K29" s="26"/>
      <c r="L29" s="26"/>
      <c r="M29" s="34"/>
      <c r="N29" s="32"/>
      <c r="O29" s="44"/>
    </row>
    <row r="30" spans="1:19" s="90" customFormat="1" ht="18.75" x14ac:dyDescent="0.25">
      <c r="A30" s="82">
        <f ca="1">IF(C30&gt;0,MAX($A$1:OFFSET(A30,-1,0))+0.01,"")</f>
        <v>22.100000000000016</v>
      </c>
      <c r="B30" s="27" t="s">
        <v>2256</v>
      </c>
      <c r="C30" s="98">
        <v>13.324999999999999</v>
      </c>
      <c r="D30" s="29" t="s">
        <v>5</v>
      </c>
      <c r="E30" s="85"/>
      <c r="F30" s="86">
        <f>IF(E30="inc",0,IF(C30="",0,C30*E30))</f>
        <v>0</v>
      </c>
      <c r="G30" s="208"/>
      <c r="H30" s="30"/>
      <c r="I30" s="30"/>
      <c r="J30" s="30"/>
      <c r="K30" s="30"/>
      <c r="L30" s="30"/>
      <c r="M30" s="87"/>
      <c r="N30" s="88"/>
      <c r="O30" s="25"/>
      <c r="P30" s="25"/>
      <c r="Q30" s="25"/>
      <c r="R30" s="25"/>
      <c r="S30" s="25"/>
    </row>
    <row r="31" spans="1:19" s="94" customFormat="1" ht="15.75" x14ac:dyDescent="0.25">
      <c r="A31" s="24"/>
      <c r="B31" s="24" t="s">
        <v>2468</v>
      </c>
      <c r="C31" s="32">
        <v>13.324999999999999</v>
      </c>
      <c r="D31" s="32" t="s">
        <v>5</v>
      </c>
      <c r="E31" s="26"/>
      <c r="F31" s="33"/>
      <c r="G31" s="210"/>
      <c r="H31" s="26"/>
      <c r="I31" s="26"/>
      <c r="J31" s="26"/>
      <c r="K31" s="26"/>
      <c r="L31" s="26"/>
      <c r="M31" s="34"/>
      <c r="N31" s="32"/>
      <c r="O31" s="44"/>
    </row>
    <row r="32" spans="1:19" s="94" customFormat="1" ht="15.75" x14ac:dyDescent="0.25">
      <c r="A32" s="24"/>
      <c r="B32" s="24"/>
      <c r="C32" s="32" t="s">
        <v>2346</v>
      </c>
      <c r="D32" s="32">
        <v>0</v>
      </c>
      <c r="E32" s="26"/>
      <c r="F32" s="33"/>
      <c r="G32" s="210"/>
      <c r="H32" s="26"/>
      <c r="I32" s="26"/>
      <c r="J32" s="26"/>
      <c r="K32" s="26"/>
      <c r="L32" s="26"/>
      <c r="M32" s="34"/>
      <c r="N32" s="32"/>
      <c r="O32" s="44"/>
    </row>
    <row r="33" spans="1:19" s="90" customFormat="1" ht="18.75" x14ac:dyDescent="0.25">
      <c r="A33" s="82">
        <f ca="1">IF(C33&gt;0,MAX($A$1:OFFSET(A33,-1,0))+0.01,"")</f>
        <v>22.110000000000017</v>
      </c>
      <c r="B33" s="27" t="s">
        <v>2251</v>
      </c>
      <c r="C33" s="98">
        <v>7.34</v>
      </c>
      <c r="D33" s="29" t="s">
        <v>11</v>
      </c>
      <c r="E33" s="85"/>
      <c r="F33" s="86">
        <f>IF(E33="inc",0,IF(C33="",0,C33*E33))</f>
        <v>0</v>
      </c>
      <c r="G33" s="208"/>
      <c r="H33" s="30"/>
      <c r="I33" s="30"/>
      <c r="J33" s="30"/>
      <c r="K33" s="30"/>
      <c r="L33" s="30"/>
      <c r="M33" s="87"/>
      <c r="N33" s="88"/>
      <c r="O33" s="25"/>
      <c r="P33" s="25"/>
      <c r="Q33" s="25"/>
      <c r="R33" s="25"/>
      <c r="S33" s="25"/>
    </row>
    <row r="34" spans="1:19" s="94" customFormat="1" ht="15.75" x14ac:dyDescent="0.25">
      <c r="A34" s="24"/>
      <c r="B34" s="24" t="s">
        <v>2469</v>
      </c>
      <c r="C34" s="32">
        <v>7.34</v>
      </c>
      <c r="D34" s="32" t="s">
        <v>11</v>
      </c>
      <c r="E34" s="26"/>
      <c r="F34" s="33"/>
      <c r="G34" s="208"/>
      <c r="H34" s="26"/>
      <c r="I34" s="26"/>
      <c r="J34" s="26"/>
      <c r="K34" s="26"/>
      <c r="L34" s="26"/>
      <c r="M34" s="34"/>
      <c r="N34" s="32"/>
      <c r="O34" s="44"/>
    </row>
    <row r="35" spans="1:19" s="94" customFormat="1" ht="15.75" x14ac:dyDescent="0.25">
      <c r="A35" s="24"/>
      <c r="B35" s="24"/>
      <c r="C35" s="32" t="s">
        <v>2346</v>
      </c>
      <c r="D35" s="32">
        <v>0</v>
      </c>
      <c r="E35" s="26"/>
      <c r="F35" s="33"/>
      <c r="G35" s="210"/>
      <c r="H35" s="26"/>
      <c r="I35" s="26"/>
      <c r="J35" s="26"/>
      <c r="K35" s="26"/>
      <c r="L35" s="26"/>
      <c r="M35" s="34"/>
      <c r="N35" s="32"/>
      <c r="O35" s="44"/>
    </row>
    <row r="36" spans="1:19" s="90" customFormat="1" ht="56.25" x14ac:dyDescent="0.25">
      <c r="A36" s="82">
        <f ca="1">IF(C36&gt;0,MAX($A$1:OFFSET(A36,-1,0))+0.01,"")</f>
        <v>22.120000000000019</v>
      </c>
      <c r="B36" s="27" t="s">
        <v>2280</v>
      </c>
      <c r="C36" s="98">
        <v>1</v>
      </c>
      <c r="D36" s="29" t="s">
        <v>24</v>
      </c>
      <c r="E36" s="85"/>
      <c r="F36" s="86">
        <f>IF(E36="inc",0,IF(C36="",0,C36*E36))</f>
        <v>0</v>
      </c>
      <c r="G36" s="208"/>
      <c r="H36" s="30"/>
      <c r="I36" s="30"/>
      <c r="J36" s="30"/>
      <c r="K36" s="30"/>
      <c r="L36" s="30"/>
      <c r="M36" s="87"/>
      <c r="N36" s="88"/>
      <c r="O36" s="25"/>
      <c r="P36" s="25"/>
      <c r="Q36" s="25"/>
      <c r="R36" s="25"/>
      <c r="S36" s="25"/>
    </row>
    <row r="37" spans="1:19" s="94" customFormat="1" ht="15.75" x14ac:dyDescent="0.25">
      <c r="A37" s="24"/>
      <c r="B37" s="24"/>
      <c r="C37" s="32">
        <v>1</v>
      </c>
      <c r="D37" s="32" t="s">
        <v>5</v>
      </c>
      <c r="E37" s="26"/>
      <c r="F37" s="33"/>
      <c r="G37" s="210"/>
      <c r="H37" s="26"/>
      <c r="I37" s="26"/>
      <c r="J37" s="26"/>
      <c r="K37" s="26"/>
      <c r="L37" s="26"/>
      <c r="M37" s="34"/>
      <c r="N37" s="32"/>
      <c r="O37" s="44"/>
    </row>
    <row r="38" spans="1:19" s="94" customFormat="1" ht="15.75" x14ac:dyDescent="0.25">
      <c r="A38" s="24"/>
      <c r="B38" s="24"/>
      <c r="C38" s="32" t="s">
        <v>2346</v>
      </c>
      <c r="D38" s="32">
        <v>0</v>
      </c>
      <c r="E38" s="26"/>
      <c r="F38" s="33"/>
      <c r="G38" s="210"/>
      <c r="H38" s="26"/>
      <c r="I38" s="26"/>
      <c r="J38" s="26"/>
      <c r="K38" s="26"/>
      <c r="L38" s="26"/>
      <c r="M38" s="34"/>
      <c r="N38" s="32"/>
      <c r="O38" s="44"/>
    </row>
    <row r="39" spans="1:19" s="90" customFormat="1" ht="18.75" x14ac:dyDescent="0.25">
      <c r="A39" s="82">
        <f ca="1">IF(C39&gt;0,MAX($A$1:OFFSET(A39,-1,0))+0.01,"")</f>
        <v>22.13000000000002</v>
      </c>
      <c r="B39" s="27" t="s">
        <v>2252</v>
      </c>
      <c r="C39" s="98">
        <v>7.34</v>
      </c>
      <c r="D39" s="29" t="s">
        <v>11</v>
      </c>
      <c r="E39" s="85"/>
      <c r="F39" s="86">
        <f>IF(E39="inc",0,IF(C39="",0,C39*E39))</f>
        <v>0</v>
      </c>
      <c r="G39" s="208"/>
      <c r="H39" s="30"/>
      <c r="I39" s="30"/>
      <c r="J39" s="30"/>
      <c r="K39" s="30"/>
      <c r="L39" s="30"/>
      <c r="M39" s="87"/>
      <c r="N39" s="88"/>
      <c r="O39" s="25"/>
      <c r="P39" s="25"/>
      <c r="Q39" s="25"/>
      <c r="R39" s="25"/>
      <c r="S39" s="25"/>
    </row>
    <row r="40" spans="1:19" s="94" customFormat="1" ht="15.75" x14ac:dyDescent="0.25">
      <c r="A40" s="24"/>
      <c r="B40" s="382" t="s">
        <v>2254</v>
      </c>
      <c r="C40" s="32">
        <v>7.34</v>
      </c>
      <c r="D40" s="32" t="s">
        <v>11</v>
      </c>
      <c r="E40" s="26"/>
      <c r="F40" s="33"/>
      <c r="G40" s="210"/>
      <c r="H40" s="26"/>
      <c r="I40" s="26"/>
      <c r="J40" s="26"/>
      <c r="K40" s="26"/>
      <c r="L40" s="26"/>
      <c r="M40" s="34"/>
      <c r="N40" s="32"/>
      <c r="O40" s="44"/>
    </row>
    <row r="41" spans="1:19" s="94" customFormat="1" ht="15.75" x14ac:dyDescent="0.25">
      <c r="A41" s="24"/>
      <c r="B41" s="24"/>
      <c r="C41" s="32" t="s">
        <v>2346</v>
      </c>
      <c r="D41" s="32">
        <v>0</v>
      </c>
      <c r="E41" s="26"/>
      <c r="F41" s="33"/>
      <c r="G41" s="210"/>
      <c r="H41" s="26"/>
      <c r="I41" s="26"/>
      <c r="J41" s="26"/>
      <c r="K41" s="26"/>
      <c r="L41" s="26"/>
      <c r="M41" s="34"/>
      <c r="N41" s="32"/>
      <c r="O41" s="44"/>
    </row>
    <row r="42" spans="1:19" s="79" customFormat="1" ht="21.75" thickBot="1" x14ac:dyDescent="0.4">
      <c r="A42" s="99"/>
      <c r="B42" s="394" t="s">
        <v>4</v>
      </c>
      <c r="C42" s="395"/>
      <c r="D42" s="396"/>
      <c r="E42" s="100"/>
      <c r="F42" s="101">
        <f ca="1">SUM(F$2:OFFSET(F42,-1,0))</f>
        <v>0</v>
      </c>
      <c r="G42" s="210"/>
      <c r="H42" s="100"/>
      <c r="I42" s="100"/>
      <c r="J42" s="100"/>
      <c r="K42" s="100"/>
      <c r="L42" s="100"/>
      <c r="M42" s="102"/>
      <c r="N42" s="103"/>
    </row>
    <row r="43" spans="1:19" s="94" customFormat="1" ht="15.75" x14ac:dyDescent="0.25">
      <c r="A43" s="105"/>
      <c r="B43" s="25"/>
      <c r="C43" s="106"/>
      <c r="D43" s="32"/>
      <c r="E43" s="92"/>
      <c r="F43" s="107"/>
      <c r="G43" s="107"/>
      <c r="H43" s="107"/>
      <c r="I43" s="25"/>
      <c r="J43" s="25"/>
      <c r="K43" s="25"/>
      <c r="L43" s="25"/>
      <c r="M43" s="88"/>
      <c r="N43" s="88"/>
    </row>
    <row r="44" spans="1:19" ht="15.75" x14ac:dyDescent="0.25">
      <c r="C44" s="106"/>
      <c r="G44" s="107"/>
      <c r="H44" s="107"/>
    </row>
    <row r="45" spans="1:19" ht="15.75" x14ac:dyDescent="0.25">
      <c r="G45" s="107"/>
      <c r="H45" s="107"/>
    </row>
    <row r="46" spans="1:19" ht="15.75" x14ac:dyDescent="0.25">
      <c r="G46" s="107"/>
      <c r="H46" s="107"/>
    </row>
    <row r="47" spans="1:19" ht="15.75" x14ac:dyDescent="0.25">
      <c r="F47" s="108" t="e">
        <f ca="1">F42-#REF!</f>
        <v>#REF!</v>
      </c>
      <c r="G47" s="107"/>
      <c r="H47" s="107"/>
    </row>
    <row r="48" spans="1:19" ht="15.75" x14ac:dyDescent="0.25">
      <c r="G48" s="107"/>
      <c r="H48" s="107"/>
    </row>
    <row r="49" spans="1:19" ht="15.75" x14ac:dyDescent="0.25">
      <c r="G49" s="107"/>
      <c r="H49" s="107"/>
    </row>
    <row r="50" spans="1:19" ht="15.75" x14ac:dyDescent="0.25">
      <c r="G50" s="107"/>
      <c r="H50" s="107"/>
    </row>
    <row r="51" spans="1:19" ht="15.75" x14ac:dyDescent="0.25">
      <c r="G51" s="107"/>
      <c r="H51" s="107"/>
    </row>
    <row r="52" spans="1:19" ht="15.75" x14ac:dyDescent="0.25">
      <c r="G52" s="107"/>
      <c r="H52" s="107"/>
    </row>
    <row r="53" spans="1:19" ht="15.75" x14ac:dyDescent="0.25">
      <c r="G53" s="107"/>
      <c r="H53" s="107"/>
    </row>
    <row r="54" spans="1:19" ht="15.75" x14ac:dyDescent="0.25">
      <c r="G54" s="107"/>
      <c r="H54" s="107"/>
    </row>
    <row r="55" spans="1:19" ht="15.75" x14ac:dyDescent="0.25">
      <c r="G55" s="107"/>
      <c r="H55" s="107"/>
    </row>
    <row r="56" spans="1:19" ht="15.75" x14ac:dyDescent="0.25">
      <c r="G56" s="107"/>
      <c r="H56" s="107"/>
    </row>
    <row r="57" spans="1:19" s="110" customFormat="1" ht="15.75" x14ac:dyDescent="0.25">
      <c r="A57" s="25"/>
      <c r="B57" s="25"/>
      <c r="D57" s="36"/>
      <c r="E57" s="25"/>
      <c r="F57" s="108"/>
      <c r="G57" s="107"/>
      <c r="H57" s="107"/>
      <c r="I57" s="25"/>
      <c r="J57" s="25"/>
      <c r="K57" s="25"/>
      <c r="L57" s="25"/>
      <c r="M57" s="88"/>
      <c r="N57" s="88"/>
      <c r="O57" s="25"/>
      <c r="P57" s="25"/>
      <c r="Q57" s="25"/>
      <c r="R57" s="25"/>
      <c r="S57" s="25"/>
    </row>
    <row r="58" spans="1:19" s="110" customFormat="1" ht="15.75" x14ac:dyDescent="0.25">
      <c r="A58" s="25"/>
      <c r="B58" s="25"/>
      <c r="D58" s="36"/>
      <c r="E58" s="25"/>
      <c r="F58" s="108"/>
      <c r="G58" s="107"/>
      <c r="H58" s="107"/>
      <c r="I58" s="25"/>
      <c r="J58" s="25"/>
      <c r="K58" s="25"/>
      <c r="L58" s="25"/>
      <c r="M58" s="88"/>
      <c r="N58" s="88"/>
      <c r="O58" s="25"/>
      <c r="P58" s="25"/>
      <c r="Q58" s="25"/>
      <c r="R58" s="25"/>
      <c r="S58" s="25"/>
    </row>
    <row r="59" spans="1:19" s="110" customFormat="1" ht="15.75" x14ac:dyDescent="0.25">
      <c r="A59" s="25"/>
      <c r="B59" s="25"/>
      <c r="D59" s="36"/>
      <c r="E59" s="25"/>
      <c r="F59" s="108"/>
      <c r="G59" s="107"/>
      <c r="H59" s="107"/>
      <c r="I59" s="25"/>
      <c r="J59" s="25"/>
      <c r="K59" s="25"/>
      <c r="L59" s="25"/>
      <c r="M59" s="88"/>
      <c r="N59" s="88"/>
      <c r="O59" s="25"/>
      <c r="P59" s="25"/>
      <c r="Q59" s="25"/>
      <c r="R59" s="25"/>
      <c r="S59" s="25"/>
    </row>
    <row r="60" spans="1:19" s="110" customFormat="1" ht="15.75" x14ac:dyDescent="0.25">
      <c r="A60" s="25"/>
      <c r="B60" s="25"/>
      <c r="D60" s="36"/>
      <c r="E60" s="25"/>
      <c r="F60" s="108"/>
      <c r="G60" s="107"/>
      <c r="H60" s="107"/>
      <c r="I60" s="25"/>
      <c r="J60" s="25"/>
      <c r="K60" s="25"/>
      <c r="L60" s="25"/>
      <c r="M60" s="88"/>
      <c r="N60" s="88"/>
      <c r="O60" s="25"/>
      <c r="P60" s="25"/>
      <c r="Q60" s="25"/>
      <c r="R60" s="25"/>
      <c r="S60" s="25"/>
    </row>
    <row r="61" spans="1:19" s="110" customFormat="1" ht="15.75" x14ac:dyDescent="0.25">
      <c r="A61" s="25"/>
      <c r="B61" s="25"/>
      <c r="D61" s="36"/>
      <c r="E61" s="25"/>
      <c r="F61" s="108"/>
      <c r="G61" s="107"/>
      <c r="H61" s="107"/>
      <c r="I61" s="25"/>
      <c r="J61" s="25"/>
      <c r="K61" s="25"/>
      <c r="L61" s="25"/>
      <c r="M61" s="88"/>
      <c r="N61" s="88"/>
      <c r="O61" s="25"/>
      <c r="P61" s="25"/>
      <c r="Q61" s="25"/>
      <c r="R61" s="25"/>
      <c r="S61" s="25"/>
    </row>
    <row r="62" spans="1:19" s="110" customFormat="1" ht="15.75" x14ac:dyDescent="0.25">
      <c r="A62" s="25"/>
      <c r="B62" s="25"/>
      <c r="D62" s="36"/>
      <c r="E62" s="25"/>
      <c r="F62" s="108"/>
      <c r="G62" s="107"/>
      <c r="H62" s="107"/>
      <c r="I62" s="25"/>
      <c r="J62" s="25"/>
      <c r="K62" s="25"/>
      <c r="L62" s="25"/>
      <c r="M62" s="88"/>
      <c r="N62" s="88"/>
      <c r="O62" s="25"/>
      <c r="P62" s="25"/>
      <c r="Q62" s="25"/>
      <c r="R62" s="25"/>
      <c r="S62" s="25"/>
    </row>
    <row r="63" spans="1:19" s="110" customFormat="1" ht="15.75" x14ac:dyDescent="0.25">
      <c r="A63" s="25"/>
      <c r="B63" s="25"/>
      <c r="D63" s="36"/>
      <c r="E63" s="25"/>
      <c r="F63" s="108"/>
      <c r="G63" s="107"/>
      <c r="H63" s="107"/>
      <c r="I63" s="25"/>
      <c r="J63" s="25"/>
      <c r="K63" s="25"/>
      <c r="L63" s="25"/>
      <c r="M63" s="88"/>
      <c r="N63" s="88"/>
      <c r="O63" s="25"/>
      <c r="P63" s="25"/>
      <c r="Q63" s="25"/>
      <c r="R63" s="25"/>
      <c r="S63" s="25"/>
    </row>
    <row r="64" spans="1:19" s="110" customFormat="1" ht="15.75" x14ac:dyDescent="0.25">
      <c r="A64" s="25"/>
      <c r="B64" s="25"/>
      <c r="D64" s="36"/>
      <c r="E64" s="25"/>
      <c r="F64" s="108"/>
      <c r="G64" s="107"/>
      <c r="H64" s="107"/>
      <c r="I64" s="25"/>
      <c r="J64" s="25"/>
      <c r="K64" s="25"/>
      <c r="L64" s="25"/>
      <c r="M64" s="88"/>
      <c r="N64" s="88"/>
      <c r="O64" s="25"/>
      <c r="P64" s="25"/>
      <c r="Q64" s="25"/>
      <c r="R64" s="25"/>
      <c r="S64" s="25"/>
    </row>
    <row r="65" spans="1:19" s="110" customFormat="1" ht="15.75" x14ac:dyDescent="0.25">
      <c r="A65" s="25"/>
      <c r="B65" s="25"/>
      <c r="D65" s="36"/>
      <c r="E65" s="25"/>
      <c r="F65" s="108"/>
      <c r="G65" s="107"/>
      <c r="H65" s="107"/>
      <c r="I65" s="25"/>
      <c r="J65" s="25"/>
      <c r="K65" s="25"/>
      <c r="L65" s="25"/>
      <c r="M65" s="88"/>
      <c r="N65" s="88"/>
      <c r="O65" s="25"/>
      <c r="P65" s="25"/>
      <c r="Q65" s="25"/>
      <c r="R65" s="25"/>
      <c r="S65" s="25"/>
    </row>
    <row r="66" spans="1:19" s="110" customFormat="1" ht="15.75" x14ac:dyDescent="0.25">
      <c r="A66" s="25"/>
      <c r="B66" s="25"/>
      <c r="D66" s="36"/>
      <c r="E66" s="25"/>
      <c r="F66" s="108"/>
      <c r="G66" s="107"/>
      <c r="H66" s="107"/>
      <c r="I66" s="25"/>
      <c r="J66" s="25"/>
      <c r="K66" s="25"/>
      <c r="L66" s="25"/>
      <c r="M66" s="88"/>
      <c r="N66" s="88"/>
      <c r="O66" s="25"/>
      <c r="P66" s="25"/>
      <c r="Q66" s="25"/>
      <c r="R66" s="25"/>
      <c r="S66" s="25"/>
    </row>
    <row r="67" spans="1:19" s="110" customFormat="1" ht="15.75" x14ac:dyDescent="0.25">
      <c r="A67" s="25"/>
      <c r="B67" s="25"/>
      <c r="D67" s="36"/>
      <c r="E67" s="25"/>
      <c r="F67" s="108"/>
      <c r="G67" s="107"/>
      <c r="H67" s="107"/>
      <c r="I67" s="25"/>
      <c r="J67" s="25"/>
      <c r="K67" s="25"/>
      <c r="L67" s="25"/>
      <c r="M67" s="88"/>
      <c r="N67" s="88"/>
      <c r="O67" s="25"/>
      <c r="P67" s="25"/>
      <c r="Q67" s="25"/>
      <c r="R67" s="25"/>
      <c r="S67" s="25"/>
    </row>
    <row r="68" spans="1:19" s="110" customFormat="1" ht="15.75" x14ac:dyDescent="0.25">
      <c r="A68" s="25"/>
      <c r="B68" s="25"/>
      <c r="D68" s="36"/>
      <c r="E68" s="25"/>
      <c r="F68" s="108"/>
      <c r="G68" s="107"/>
      <c r="H68" s="107"/>
      <c r="I68" s="25"/>
      <c r="J68" s="25"/>
      <c r="K68" s="25"/>
      <c r="L68" s="25"/>
      <c r="M68" s="88"/>
      <c r="N68" s="88"/>
      <c r="O68" s="25"/>
      <c r="P68" s="25"/>
      <c r="Q68" s="25"/>
      <c r="R68" s="25"/>
      <c r="S68" s="25"/>
    </row>
    <row r="69" spans="1:19" s="110" customFormat="1" ht="15.75" x14ac:dyDescent="0.25">
      <c r="A69" s="25"/>
      <c r="B69" s="25"/>
      <c r="D69" s="36"/>
      <c r="E69" s="25"/>
      <c r="F69" s="108"/>
      <c r="G69" s="107"/>
      <c r="H69" s="107"/>
      <c r="I69" s="25"/>
      <c r="J69" s="25"/>
      <c r="K69" s="25"/>
      <c r="L69" s="25"/>
      <c r="M69" s="88"/>
      <c r="N69" s="88"/>
      <c r="O69" s="25"/>
      <c r="P69" s="25"/>
      <c r="Q69" s="25"/>
      <c r="R69" s="25"/>
      <c r="S69" s="25"/>
    </row>
    <row r="70" spans="1:19" ht="15.75" x14ac:dyDescent="0.25">
      <c r="G70" s="107"/>
      <c r="H70" s="107"/>
    </row>
    <row r="71" spans="1:19" ht="15.75" x14ac:dyDescent="0.25">
      <c r="G71" s="107"/>
      <c r="H71" s="107"/>
    </row>
    <row r="72" spans="1:19" ht="15.75" x14ac:dyDescent="0.25">
      <c r="G72" s="107"/>
      <c r="H72" s="107"/>
    </row>
    <row r="73" spans="1:19" ht="15.75" x14ac:dyDescent="0.25">
      <c r="G73" s="107"/>
      <c r="H73" s="107"/>
    </row>
    <row r="74" spans="1:19" ht="15.75" x14ac:dyDescent="0.25">
      <c r="G74" s="107"/>
      <c r="H74" s="107"/>
    </row>
    <row r="75" spans="1:19" ht="15.75" x14ac:dyDescent="0.25">
      <c r="G75" s="107"/>
      <c r="H75" s="107"/>
    </row>
    <row r="76" spans="1:19" ht="15.75" x14ac:dyDescent="0.25">
      <c r="G76" s="107"/>
      <c r="H76" s="107"/>
    </row>
    <row r="77" spans="1:19" ht="15.75" x14ac:dyDescent="0.25">
      <c r="G77" s="107"/>
      <c r="H77" s="107"/>
    </row>
    <row r="78" spans="1:19" ht="15.75" x14ac:dyDescent="0.25">
      <c r="G78" s="107"/>
      <c r="H78" s="107"/>
    </row>
    <row r="79" spans="1:19" ht="15.75" x14ac:dyDescent="0.25">
      <c r="G79" s="107"/>
      <c r="H79" s="107"/>
    </row>
    <row r="80" spans="1:19" ht="15.75" x14ac:dyDescent="0.25">
      <c r="G80" s="107"/>
      <c r="H80" s="107"/>
    </row>
    <row r="81" spans="7:8" ht="15.75" x14ac:dyDescent="0.25">
      <c r="G81" s="107"/>
      <c r="H81" s="107"/>
    </row>
    <row r="82" spans="7:8" ht="15.75" x14ac:dyDescent="0.25">
      <c r="G82" s="107"/>
      <c r="H82" s="107"/>
    </row>
    <row r="83" spans="7:8" ht="15.75" x14ac:dyDescent="0.25">
      <c r="G83" s="107"/>
      <c r="H83" s="107"/>
    </row>
    <row r="84" spans="7:8" ht="15.75" x14ac:dyDescent="0.25">
      <c r="G84" s="107"/>
      <c r="H84" s="107"/>
    </row>
    <row r="85" spans="7:8" ht="15.75" x14ac:dyDescent="0.25">
      <c r="G85" s="107"/>
      <c r="H85" s="107"/>
    </row>
    <row r="86" spans="7:8" ht="15.75" x14ac:dyDescent="0.25">
      <c r="G86" s="107"/>
      <c r="H86" s="107"/>
    </row>
    <row r="87" spans="7:8" ht="15.75" x14ac:dyDescent="0.25">
      <c r="G87" s="107"/>
      <c r="H87" s="107"/>
    </row>
    <row r="88" spans="7:8" ht="15.75" x14ac:dyDescent="0.25">
      <c r="G88" s="107"/>
      <c r="H88" s="107"/>
    </row>
    <row r="89" spans="7:8" ht="15.75" x14ac:dyDescent="0.25">
      <c r="G89" s="107"/>
      <c r="H89" s="107"/>
    </row>
    <row r="90" spans="7:8" ht="15.75" x14ac:dyDescent="0.25">
      <c r="G90" s="107"/>
      <c r="H90" s="107"/>
    </row>
    <row r="91" spans="7:8" ht="15.75" x14ac:dyDescent="0.25">
      <c r="G91" s="107"/>
      <c r="H91" s="107"/>
    </row>
    <row r="92" spans="7:8" ht="15.75" x14ac:dyDescent="0.25">
      <c r="G92" s="107"/>
      <c r="H92" s="107"/>
    </row>
    <row r="93" spans="7:8" ht="15.75" x14ac:dyDescent="0.25">
      <c r="G93" s="107"/>
      <c r="H93" s="107"/>
    </row>
    <row r="94" spans="7:8" ht="15.75" x14ac:dyDescent="0.25">
      <c r="G94" s="107"/>
      <c r="H94" s="107"/>
    </row>
    <row r="95" spans="7:8" ht="15.75" x14ac:dyDescent="0.25">
      <c r="G95" s="107"/>
      <c r="H95" s="107"/>
    </row>
    <row r="96" spans="7:8" ht="15.75" x14ac:dyDescent="0.25">
      <c r="G96" s="107"/>
      <c r="H96" s="107"/>
    </row>
    <row r="97" spans="7:8" ht="15.75" x14ac:dyDescent="0.25">
      <c r="G97" s="107"/>
      <c r="H97" s="107"/>
    </row>
    <row r="98" spans="7:8" ht="15.75" x14ac:dyDescent="0.25">
      <c r="G98" s="107"/>
      <c r="H98" s="107"/>
    </row>
    <row r="99" spans="7:8" ht="15.75" x14ac:dyDescent="0.25">
      <c r="G99" s="107"/>
      <c r="H99" s="107"/>
    </row>
    <row r="100" spans="7:8" ht="15.75" x14ac:dyDescent="0.25">
      <c r="G100" s="107"/>
      <c r="H100" s="107"/>
    </row>
    <row r="101" spans="7:8" ht="15.75" x14ac:dyDescent="0.25">
      <c r="G101" s="107"/>
      <c r="H101" s="107"/>
    </row>
    <row r="102" spans="7:8" ht="15.75" x14ac:dyDescent="0.25">
      <c r="G102" s="107"/>
      <c r="H102" s="107"/>
    </row>
    <row r="103" spans="7:8" ht="15.75" x14ac:dyDescent="0.25">
      <c r="G103" s="107"/>
      <c r="H103" s="107"/>
    </row>
    <row r="104" spans="7:8" ht="15.75" x14ac:dyDescent="0.25">
      <c r="G104" s="107"/>
      <c r="H104" s="107"/>
    </row>
    <row r="105" spans="7:8" ht="15.75" x14ac:dyDescent="0.25">
      <c r="G105" s="107"/>
      <c r="H105" s="107"/>
    </row>
    <row r="106" spans="7:8" ht="15.75" x14ac:dyDescent="0.25">
      <c r="G106" s="107"/>
      <c r="H106" s="107"/>
    </row>
    <row r="107" spans="7:8" ht="15.75" x14ac:dyDescent="0.25">
      <c r="G107" s="107"/>
      <c r="H107" s="107"/>
    </row>
    <row r="108" spans="7:8" ht="15.75" x14ac:dyDescent="0.25">
      <c r="G108" s="107"/>
      <c r="H108" s="107"/>
    </row>
    <row r="109" spans="7:8" ht="15.75" x14ac:dyDescent="0.25">
      <c r="G109" s="107"/>
      <c r="H109" s="107"/>
    </row>
    <row r="110" spans="7:8" ht="15.75" x14ac:dyDescent="0.25">
      <c r="G110" s="107"/>
      <c r="H110" s="107"/>
    </row>
    <row r="111" spans="7:8" ht="15.75" x14ac:dyDescent="0.25">
      <c r="G111" s="107"/>
      <c r="H111" s="107"/>
    </row>
    <row r="112" spans="7:8" ht="15.75" x14ac:dyDescent="0.25">
      <c r="G112" s="107"/>
      <c r="H112" s="107"/>
    </row>
    <row r="113" spans="7:8" ht="15.75" x14ac:dyDescent="0.25">
      <c r="G113" s="107"/>
      <c r="H113" s="107"/>
    </row>
    <row r="114" spans="7:8" ht="15.75" x14ac:dyDescent="0.25">
      <c r="G114" s="107"/>
      <c r="H114" s="107"/>
    </row>
    <row r="115" spans="7:8" ht="15.75" x14ac:dyDescent="0.25">
      <c r="G115" s="107"/>
      <c r="H115" s="107"/>
    </row>
    <row r="116" spans="7:8" ht="15.75" x14ac:dyDescent="0.25">
      <c r="G116" s="107"/>
      <c r="H116" s="107"/>
    </row>
    <row r="117" spans="7:8" ht="15.75" x14ac:dyDescent="0.25">
      <c r="G117" s="107"/>
      <c r="H117" s="107"/>
    </row>
    <row r="118" spans="7:8" ht="15.75" x14ac:dyDescent="0.25">
      <c r="G118" s="107"/>
      <c r="H118" s="107"/>
    </row>
    <row r="119" spans="7:8" ht="15.75" x14ac:dyDescent="0.25">
      <c r="G119" s="107"/>
      <c r="H119" s="107"/>
    </row>
    <row r="120" spans="7:8" ht="15.75" x14ac:dyDescent="0.25">
      <c r="G120" s="107"/>
      <c r="H120" s="107"/>
    </row>
    <row r="121" spans="7:8" ht="15.75" x14ac:dyDescent="0.25">
      <c r="G121" s="107"/>
      <c r="H121" s="107"/>
    </row>
    <row r="122" spans="7:8" ht="15.75" x14ac:dyDescent="0.25">
      <c r="G122" s="107"/>
      <c r="H122" s="107"/>
    </row>
    <row r="123" spans="7:8" ht="15.75" x14ac:dyDescent="0.25">
      <c r="G123" s="107"/>
      <c r="H123" s="107"/>
    </row>
    <row r="124" spans="7:8" ht="15.75" x14ac:dyDescent="0.25">
      <c r="G124" s="107"/>
      <c r="H124" s="107"/>
    </row>
    <row r="125" spans="7:8" ht="15.75" x14ac:dyDescent="0.25">
      <c r="G125" s="107"/>
      <c r="H125" s="107"/>
    </row>
    <row r="126" spans="7:8" ht="15.75" x14ac:dyDescent="0.25">
      <c r="G126" s="107"/>
      <c r="H126" s="107"/>
    </row>
    <row r="127" spans="7:8" ht="15.75" x14ac:dyDescent="0.25">
      <c r="G127" s="107"/>
      <c r="H127" s="107"/>
    </row>
    <row r="128" spans="7:8" ht="15.75" x14ac:dyDescent="0.25">
      <c r="G128" s="107"/>
      <c r="H128" s="107"/>
    </row>
    <row r="129" spans="7:8" ht="15.75" x14ac:dyDescent="0.25">
      <c r="G129" s="107"/>
      <c r="H129" s="107"/>
    </row>
    <row r="130" spans="7:8" ht="15.75" x14ac:dyDescent="0.25">
      <c r="G130" s="107"/>
      <c r="H130" s="107"/>
    </row>
    <row r="131" spans="7:8" ht="15.75" x14ac:dyDescent="0.25">
      <c r="G131" s="107"/>
      <c r="H131" s="107"/>
    </row>
    <row r="132" spans="7:8" ht="15.75" x14ac:dyDescent="0.25">
      <c r="G132" s="107"/>
      <c r="H132" s="107"/>
    </row>
    <row r="133" spans="7:8" ht="15.75" x14ac:dyDescent="0.25">
      <c r="G133" s="107"/>
      <c r="H133" s="107"/>
    </row>
  </sheetData>
  <mergeCells count="1">
    <mergeCell ref="H1:L1"/>
  </mergeCells>
  <conditionalFormatting sqref="D4:D5 D7:D8 D10:D11 D13:D14 D16:D17 D19:D20 D22:D23 D25:D26 D28:D29 D31:D32 D34:D35 D37:D38 D40:D41">
    <cfRule type="cellIs" dxfId="21" priority="188" operator="equal">
      <formula>0</formula>
    </cfRule>
  </conditionalFormatting>
  <dataValidations count="1">
    <dataValidation type="list" allowBlank="1" showInputMessage="1" sqref="H9:L9 H3:L3 H6:L6 H33:L33 H18:L18 H21:L21 H24:L24 H27:L27 H30:L30 H12:L12 H15:L15 H39:L39 H36:L36" xr:uid="{6A2DCC85-41C3-446E-8F6A-56270CB3D996}">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00000000-0002-0000-1C00-000000000000}">
          <x14:formula1>
            <xm:f>Unit!$A$4:$A$11</xm:f>
          </x14:formula1>
          <xm:sqref>D30 D3 D33 D6 D9 D27 D24 D21 D12 D39 D36</xm:sqref>
        </x14:dataValidation>
        <x14:dataValidation type="list" allowBlank="1" showInputMessage="1" error="Please select units from the dropdown box" xr:uid="{9D6CE2AC-283C-473C-9382-56A9F63CCB57}">
          <x14:formula1>
            <xm:f>Unit!$A$4:$A$11</xm:f>
          </x14:formula1>
          <xm:sqref>D15 D18</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E4BC9-15B2-41B3-805E-1011386E86DE}">
  <sheetPr codeName="Sheet54">
    <tabColor rgb="FF00B0F0"/>
  </sheetPr>
  <dimension ref="A1:AB177"/>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1861</v>
      </c>
      <c r="B1" s="295"/>
      <c r="C1" s="295"/>
      <c r="D1" s="295"/>
      <c r="E1" s="295"/>
      <c r="F1" s="295"/>
      <c r="G1" s="295"/>
      <c r="H1" s="295"/>
      <c r="I1" s="657" t="s">
        <v>687</v>
      </c>
      <c r="J1" s="658"/>
      <c r="K1" s="295"/>
      <c r="L1" s="295"/>
      <c r="M1" s="295"/>
      <c r="N1" s="295"/>
      <c r="O1" s="295"/>
      <c r="P1" s="295"/>
      <c r="Q1" s="295"/>
      <c r="R1" s="295"/>
      <c r="S1" s="296" t="s">
        <v>888</v>
      </c>
      <c r="T1" s="301">
        <v>44937</v>
      </c>
      <c r="U1" s="301"/>
      <c r="V1" s="301"/>
      <c r="W1" s="301"/>
      <c r="X1" s="301"/>
      <c r="Y1" s="301"/>
      <c r="Z1" s="301"/>
      <c r="AA1" s="301"/>
      <c r="AB1" s="301"/>
    </row>
    <row r="2" spans="1:28" ht="15.75" x14ac:dyDescent="0.25">
      <c r="I2" s="292">
        <v>81.290000000000006</v>
      </c>
      <c r="J2" s="293">
        <v>95.58</v>
      </c>
      <c r="K2" s="291">
        <v>1</v>
      </c>
      <c r="L2" s="291">
        <v>1</v>
      </c>
      <c r="U2" s="291">
        <v>1</v>
      </c>
      <c r="V2" s="291">
        <v>1</v>
      </c>
      <c r="W2" s="291">
        <v>1</v>
      </c>
      <c r="X2" s="291">
        <v>1</v>
      </c>
      <c r="Y2" s="291">
        <v>1</v>
      </c>
      <c r="Z2" s="291">
        <v>1</v>
      </c>
      <c r="AA2" s="291">
        <v>1</v>
      </c>
      <c r="AB2" s="291">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2257</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562/340</f>
        <v>1.6529411764705881</v>
      </c>
      <c r="V5" s="291">
        <f>340/340</f>
        <v>1</v>
      </c>
      <c r="W5" s="291">
        <f>390/340</f>
        <v>1.1470588235294117</v>
      </c>
      <c r="X5" s="291">
        <f>459/340</f>
        <v>1.35</v>
      </c>
      <c r="Y5" s="291">
        <f>389/340</f>
        <v>1.1441176470588235</v>
      </c>
      <c r="Z5" s="291">
        <f>385/340</f>
        <v>1.1323529411764706</v>
      </c>
      <c r="AA5" s="291">
        <f>395/340</f>
        <v>1.161764705882353</v>
      </c>
      <c r="AB5" s="291">
        <f>451/340</f>
        <v>1.3264705882352941</v>
      </c>
    </row>
    <row r="6" spans="1:28" s="305" customFormat="1" ht="14.45" hidden="1" customHeight="1" outlineLevel="1" x14ac:dyDescent="0.25">
      <c r="A6" s="278"/>
      <c r="B6" s="279" t="str">
        <f>C6&amp;D6&amp;E6&amp;F6</f>
        <v>block supply390Lx90Wx190Hcommon</v>
      </c>
      <c r="C6" s="278" t="s">
        <v>2202</v>
      </c>
      <c r="D6" s="278" t="s">
        <v>2194</v>
      </c>
      <c r="E6" s="278" t="s">
        <v>2206</v>
      </c>
      <c r="F6" s="278"/>
      <c r="G6" s="278" t="s">
        <v>5</v>
      </c>
      <c r="H6" s="290"/>
      <c r="I6" s="280">
        <f t="shared" ref="I6:I9" si="0">$I$2*H6</f>
        <v>0</v>
      </c>
      <c r="J6" s="281">
        <f>$J$2*H6</f>
        <v>0</v>
      </c>
      <c r="K6" s="282">
        <f>IF(Notes!$B$9="Domestic",I6, IF(Notes!$B$9="Commercial",J6))*$K$5</f>
        <v>0</v>
      </c>
      <c r="L6" s="283">
        <f>IF(SUM(O6:Q6)=0,0,((SUM(O6:Q6)+(K6+SUM(M6:Q6))*(INDEX($U$5:$AB$5,MATCH(Notes!$C$16,$U$3:$AB$3,0))-100%))*$L$5))</f>
        <v>2.64</v>
      </c>
      <c r="M6" s="286"/>
      <c r="N6" s="286"/>
      <c r="O6" s="285">
        <v>2.64</v>
      </c>
      <c r="P6" s="285"/>
      <c r="Q6" s="285"/>
      <c r="R6" s="278"/>
      <c r="S6" s="278"/>
      <c r="T6" s="278"/>
      <c r="U6" s="304"/>
    </row>
    <row r="7" spans="1:28" s="305" customFormat="1" ht="14.45" hidden="1" customHeight="1" outlineLevel="1" x14ac:dyDescent="0.25">
      <c r="A7" s="278"/>
      <c r="B7" s="279" t="str">
        <f t="shared" ref="B7:B9" si="1">C7&amp;D7&amp;E7&amp;F7</f>
        <v>block supply390Lx140Wx190Hcommon</v>
      </c>
      <c r="C7" s="278" t="s">
        <v>2202</v>
      </c>
      <c r="D7" s="278" t="s">
        <v>2195</v>
      </c>
      <c r="E7" s="278" t="s">
        <v>2206</v>
      </c>
      <c r="F7" s="278"/>
      <c r="G7" s="278" t="s">
        <v>5</v>
      </c>
      <c r="H7" s="290"/>
      <c r="I7" s="280">
        <f t="shared" si="0"/>
        <v>0</v>
      </c>
      <c r="J7" s="281">
        <f t="shared" ref="J7:J9" si="2">$J$2*H7</f>
        <v>0</v>
      </c>
      <c r="K7" s="282">
        <f>IF(Notes!$B$9="Domestic",I7, IF(Notes!$B$9="Commercial",J7))*$K$5</f>
        <v>0</v>
      </c>
      <c r="L7" s="283">
        <f>IF(SUM(O7:Q7)=0,0,((SUM(O7:Q7)+(K7+SUM(M7:Q7))*(INDEX($U$5:$AB$5,MATCH(Notes!$C$16,$U$3:$AB$3,0))-100%))*$L$5))</f>
        <v>2.79</v>
      </c>
      <c r="M7" s="286"/>
      <c r="N7" s="286"/>
      <c r="O7" s="285">
        <v>2.79</v>
      </c>
      <c r="P7" s="285"/>
      <c r="Q7" s="285"/>
      <c r="R7" s="278"/>
      <c r="S7" s="278"/>
      <c r="T7" s="278"/>
      <c r="U7" s="304"/>
    </row>
    <row r="8" spans="1:28" s="305" customFormat="1" ht="14.45" hidden="1" customHeight="1" outlineLevel="1" x14ac:dyDescent="0.25">
      <c r="A8" s="278"/>
      <c r="B8" s="279" t="str">
        <f t="shared" si="1"/>
        <v>block supply390Lx190Wx190Hcommon</v>
      </c>
      <c r="C8" s="278" t="s">
        <v>2202</v>
      </c>
      <c r="D8" s="278" t="s">
        <v>2196</v>
      </c>
      <c r="E8" s="278" t="s">
        <v>2206</v>
      </c>
      <c r="F8" s="278"/>
      <c r="G8" s="278" t="s">
        <v>5</v>
      </c>
      <c r="H8" s="290"/>
      <c r="I8" s="280">
        <f t="shared" si="0"/>
        <v>0</v>
      </c>
      <c r="J8" s="281">
        <f t="shared" si="2"/>
        <v>0</v>
      </c>
      <c r="K8" s="282">
        <f>IF(Notes!$B$9="Domestic",I8, IF(Notes!$B$9="Commercial",J8))*$K$5</f>
        <v>0</v>
      </c>
      <c r="L8" s="283">
        <f>IF(SUM(O8:Q8)=0,0,((SUM(O8:Q8)+(K8+SUM(M8:Q8))*(INDEX($U$5:$AB$5,MATCH(Notes!$C$16,$U$3:$AB$3,0))-100%))*$L$5))</f>
        <v>3.4</v>
      </c>
      <c r="M8" s="286"/>
      <c r="N8" s="286"/>
      <c r="O8" s="285">
        <v>3.4</v>
      </c>
      <c r="P8" s="285"/>
      <c r="Q8" s="285"/>
      <c r="R8" s="278"/>
      <c r="S8" s="278"/>
      <c r="T8" s="278"/>
      <c r="U8" s="304"/>
    </row>
    <row r="9" spans="1:28" s="305" customFormat="1" ht="14.45" hidden="1" customHeight="1" outlineLevel="1" x14ac:dyDescent="0.25">
      <c r="A9" s="278"/>
      <c r="B9" s="279" t="str">
        <f t="shared" si="1"/>
        <v>block supply390Lx290Wx190Hcommon</v>
      </c>
      <c r="C9" s="278" t="s">
        <v>2202</v>
      </c>
      <c r="D9" s="278" t="s">
        <v>2197</v>
      </c>
      <c r="E9" s="278" t="s">
        <v>2206</v>
      </c>
      <c r="F9" s="278"/>
      <c r="G9" s="278" t="s">
        <v>5</v>
      </c>
      <c r="H9" s="290"/>
      <c r="I9" s="280">
        <f t="shared" si="0"/>
        <v>0</v>
      </c>
      <c r="J9" s="281">
        <f t="shared" si="2"/>
        <v>0</v>
      </c>
      <c r="K9" s="282">
        <f>IF(Notes!$B$9="Domestic",I9, IF(Notes!$B$9="Commercial",J9))*$K$5</f>
        <v>0</v>
      </c>
      <c r="L9" s="283">
        <f>IF(SUM(O9:Q9)=0,0,((SUM(O9:Q9)+(K9+SUM(M9:Q9))*(INDEX($U$5:$AB$5,MATCH(Notes!$C$16,$U$3:$AB$3,0))-100%))*$L$5))</f>
        <v>5.17</v>
      </c>
      <c r="M9" s="286"/>
      <c r="N9" s="286"/>
      <c r="O9" s="285">
        <v>5.17</v>
      </c>
      <c r="P9" s="285"/>
      <c r="Q9" s="285"/>
      <c r="R9" s="278"/>
      <c r="S9" s="278"/>
      <c r="T9" s="278"/>
    </row>
    <row r="10" spans="1:28" s="305" customFormat="1" ht="14.45" hidden="1" customHeight="1" outlineLevel="1" x14ac:dyDescent="0.25">
      <c r="A10" s="278"/>
      <c r="B10" s="279" t="str">
        <f>C10&amp;D10&amp;E10&amp;F10</f>
        <v>block supply390Lx90Wx190Hfaceaverage</v>
      </c>
      <c r="C10" s="278" t="s">
        <v>2202</v>
      </c>
      <c r="D10" s="278" t="s">
        <v>2194</v>
      </c>
      <c r="E10" s="278" t="s">
        <v>2207</v>
      </c>
      <c r="F10" s="278" t="s">
        <v>543</v>
      </c>
      <c r="G10" s="278" t="s">
        <v>5</v>
      </c>
      <c r="H10" s="290"/>
      <c r="I10" s="280">
        <f t="shared" ref="I10:I13" si="3">$I$2*H10</f>
        <v>0</v>
      </c>
      <c r="J10" s="281">
        <f>$J$2*H10</f>
        <v>0</v>
      </c>
      <c r="K10" s="282">
        <f>IF(Notes!$B$9="Domestic",I10, IF(Notes!$B$9="Commercial",J10))*$K$5</f>
        <v>0</v>
      </c>
      <c r="L10" s="283">
        <f>IF(SUM(O10:Q10)=0,0,((SUM(O10:Q10)+(K10+SUM(M10:Q10))*(INDEX($U$5:$AB$5,MATCH(Notes!$C$16,$U$3:$AB$3,0))-100%))*$L$5))</f>
        <v>3.3792000000000004</v>
      </c>
      <c r="M10" s="286"/>
      <c r="N10" s="286"/>
      <c r="O10" s="311">
        <f>O6*1.28</f>
        <v>3.3792000000000004</v>
      </c>
      <c r="P10" s="285"/>
      <c r="Q10" s="285"/>
      <c r="R10" s="278"/>
      <c r="S10" s="278"/>
      <c r="T10" s="278"/>
      <c r="U10" s="304"/>
    </row>
    <row r="11" spans="1:28" s="305" customFormat="1" ht="14.45" hidden="1" customHeight="1" outlineLevel="1" x14ac:dyDescent="0.25">
      <c r="A11" s="278"/>
      <c r="B11" s="279" t="str">
        <f t="shared" ref="B11:B13" si="4">C11&amp;D11&amp;E11&amp;F11</f>
        <v>block supply390Lx140Wx190Hfaceaverage</v>
      </c>
      <c r="C11" s="278" t="s">
        <v>2202</v>
      </c>
      <c r="D11" s="278" t="s">
        <v>2195</v>
      </c>
      <c r="E11" s="278" t="s">
        <v>2207</v>
      </c>
      <c r="F11" s="278" t="s">
        <v>543</v>
      </c>
      <c r="G11" s="278" t="s">
        <v>5</v>
      </c>
      <c r="H11" s="290"/>
      <c r="I11" s="280">
        <f t="shared" si="3"/>
        <v>0</v>
      </c>
      <c r="J11" s="281">
        <f t="shared" ref="J11:J13" si="5">$J$2*H11</f>
        <v>0</v>
      </c>
      <c r="K11" s="282">
        <f>IF(Notes!$B$9="Domestic",I11, IF(Notes!$B$9="Commercial",J11))*$K$5</f>
        <v>0</v>
      </c>
      <c r="L11" s="283">
        <f>IF(SUM(O11:Q11)=0,0,((SUM(O11:Q11)+(K11+SUM(M11:Q11))*(INDEX($U$5:$AB$5,MATCH(Notes!$C$16,$U$3:$AB$3,0))-100%))*$L$5))</f>
        <v>3.5712000000000002</v>
      </c>
      <c r="M11" s="286"/>
      <c r="N11" s="286"/>
      <c r="O11" s="311">
        <f t="shared" ref="O11:O13" si="6">O7*1.28</f>
        <v>3.5712000000000002</v>
      </c>
      <c r="P11" s="285"/>
      <c r="Q11" s="285"/>
      <c r="R11" s="278"/>
      <c r="S11" s="278"/>
      <c r="T11" s="278"/>
      <c r="U11" s="304"/>
    </row>
    <row r="12" spans="1:28" s="305" customFormat="1" ht="14.45" hidden="1" customHeight="1" outlineLevel="1" x14ac:dyDescent="0.25">
      <c r="A12" s="278"/>
      <c r="B12" s="279" t="str">
        <f t="shared" si="4"/>
        <v>block supply390Lx190Wx190Hfaceaverage</v>
      </c>
      <c r="C12" s="278" t="s">
        <v>2202</v>
      </c>
      <c r="D12" s="278" t="s">
        <v>2196</v>
      </c>
      <c r="E12" s="278" t="s">
        <v>2207</v>
      </c>
      <c r="F12" s="278" t="s">
        <v>543</v>
      </c>
      <c r="G12" s="278" t="s">
        <v>5</v>
      </c>
      <c r="H12" s="290"/>
      <c r="I12" s="280">
        <f t="shared" si="3"/>
        <v>0</v>
      </c>
      <c r="J12" s="281">
        <f t="shared" si="5"/>
        <v>0</v>
      </c>
      <c r="K12" s="282">
        <f>IF(Notes!$B$9="Domestic",I12, IF(Notes!$B$9="Commercial",J12))*$K$5</f>
        <v>0</v>
      </c>
      <c r="L12" s="283">
        <f>IF(SUM(O12:Q12)=0,0,((SUM(O12:Q12)+(K12+SUM(M12:Q12))*(INDEX($U$5:$AB$5,MATCH(Notes!$C$16,$U$3:$AB$3,0))-100%))*$L$5))</f>
        <v>4.3520000000000003</v>
      </c>
      <c r="M12" s="286"/>
      <c r="N12" s="286"/>
      <c r="O12" s="311">
        <f t="shared" si="6"/>
        <v>4.3520000000000003</v>
      </c>
      <c r="P12" s="285"/>
      <c r="Q12" s="285"/>
      <c r="R12" s="278"/>
      <c r="S12" s="278"/>
      <c r="T12" s="278"/>
      <c r="U12" s="304"/>
    </row>
    <row r="13" spans="1:28" s="305" customFormat="1" ht="14.45" hidden="1" customHeight="1" outlineLevel="1" x14ac:dyDescent="0.25">
      <c r="A13" s="278"/>
      <c r="B13" s="279" t="str">
        <f t="shared" si="4"/>
        <v>block supply390Lx290Wx190Hfaceaverage</v>
      </c>
      <c r="C13" s="278" t="s">
        <v>2202</v>
      </c>
      <c r="D13" s="278" t="s">
        <v>2197</v>
      </c>
      <c r="E13" s="278" t="s">
        <v>2207</v>
      </c>
      <c r="F13" s="278" t="s">
        <v>543</v>
      </c>
      <c r="G13" s="278" t="s">
        <v>5</v>
      </c>
      <c r="H13" s="290"/>
      <c r="I13" s="280">
        <f t="shared" si="3"/>
        <v>0</v>
      </c>
      <c r="J13" s="281">
        <f t="shared" si="5"/>
        <v>0</v>
      </c>
      <c r="K13" s="282">
        <f>IF(Notes!$B$9="Domestic",I13, IF(Notes!$B$9="Commercial",J13))*$K$5</f>
        <v>0</v>
      </c>
      <c r="L13" s="283">
        <f>IF(SUM(O13:Q13)=0,0,((SUM(O13:Q13)+(K13+SUM(M13:Q13))*(INDEX($U$5:$AB$5,MATCH(Notes!$C$16,$U$3:$AB$3,0))-100%))*$L$5))</f>
        <v>6.6176000000000004</v>
      </c>
      <c r="M13" s="286"/>
      <c r="N13" s="286"/>
      <c r="O13" s="311">
        <f t="shared" si="6"/>
        <v>6.6176000000000004</v>
      </c>
      <c r="P13" s="285"/>
      <c r="Q13" s="285"/>
      <c r="R13" s="278"/>
      <c r="S13" s="278"/>
      <c r="T13" s="278"/>
    </row>
    <row r="14" spans="1:28" s="305" customFormat="1" ht="14.45" hidden="1" customHeight="1" outlineLevel="1" x14ac:dyDescent="0.25">
      <c r="A14" s="278"/>
      <c r="B14" s="279" t="str">
        <f>C14&amp;D14&amp;E14&amp;F14</f>
        <v>block supply390Lx90Wx190Hfacequality</v>
      </c>
      <c r="C14" s="278" t="s">
        <v>2202</v>
      </c>
      <c r="D14" s="278" t="s">
        <v>2194</v>
      </c>
      <c r="E14" s="278" t="s">
        <v>2207</v>
      </c>
      <c r="F14" s="278" t="s">
        <v>544</v>
      </c>
      <c r="G14" s="278" t="s">
        <v>5</v>
      </c>
      <c r="H14" s="290"/>
      <c r="I14" s="280">
        <f t="shared" ref="I14:I17" si="7">$I$2*H14</f>
        <v>0</v>
      </c>
      <c r="J14" s="281">
        <f>$J$2*H14</f>
        <v>0</v>
      </c>
      <c r="K14" s="282">
        <f>IF(Notes!$B$9="Domestic",I14, IF(Notes!$B$9="Commercial",J14))*$K$5</f>
        <v>0</v>
      </c>
      <c r="L14" s="283">
        <f>IF(SUM(O14:Q14)=0,0,((SUM(O14:Q14)+(K14+SUM(M14:Q14))*(INDEX($U$5:$AB$5,MATCH(Notes!$C$16,$U$3:$AB$3,0))-100%))*$L$5))</f>
        <v>4.2240000000000002</v>
      </c>
      <c r="M14" s="286"/>
      <c r="N14" s="286"/>
      <c r="O14" s="311">
        <f>O10*1.25</f>
        <v>4.2240000000000002</v>
      </c>
      <c r="P14" s="285"/>
      <c r="Q14" s="285"/>
      <c r="R14" s="278"/>
      <c r="S14" s="278"/>
      <c r="T14" s="278"/>
      <c r="U14" s="304"/>
    </row>
    <row r="15" spans="1:28" s="305" customFormat="1" ht="14.45" hidden="1" customHeight="1" outlineLevel="1" x14ac:dyDescent="0.25">
      <c r="A15" s="278"/>
      <c r="B15" s="279" t="str">
        <f t="shared" ref="B15:B17" si="8">C15&amp;D15&amp;E15&amp;F15</f>
        <v>block supply390Lx140Wx190Hfacequality</v>
      </c>
      <c r="C15" s="278" t="s">
        <v>2202</v>
      </c>
      <c r="D15" s="278" t="s">
        <v>2195</v>
      </c>
      <c r="E15" s="278" t="s">
        <v>2207</v>
      </c>
      <c r="F15" s="278" t="s">
        <v>544</v>
      </c>
      <c r="G15" s="278" t="s">
        <v>5</v>
      </c>
      <c r="H15" s="290"/>
      <c r="I15" s="280">
        <f t="shared" si="7"/>
        <v>0</v>
      </c>
      <c r="J15" s="281">
        <f t="shared" ref="J15:J17" si="9">$J$2*H15</f>
        <v>0</v>
      </c>
      <c r="K15" s="282">
        <f>IF(Notes!$B$9="Domestic",I15, IF(Notes!$B$9="Commercial",J15))*$K$5</f>
        <v>0</v>
      </c>
      <c r="L15" s="283">
        <f>IF(SUM(O15:Q15)=0,0,((SUM(O15:Q15)+(K15+SUM(M15:Q15))*(INDEX($U$5:$AB$5,MATCH(Notes!$C$16,$U$3:$AB$3,0))-100%))*$L$5))</f>
        <v>4.4640000000000004</v>
      </c>
      <c r="M15" s="286"/>
      <c r="N15" s="286"/>
      <c r="O15" s="311">
        <f t="shared" ref="O15:O17" si="10">O11*1.25</f>
        <v>4.4640000000000004</v>
      </c>
      <c r="P15" s="285"/>
      <c r="Q15" s="285"/>
      <c r="R15" s="278"/>
      <c r="S15" s="278"/>
      <c r="T15" s="278"/>
      <c r="U15" s="304"/>
    </row>
    <row r="16" spans="1:28" s="305" customFormat="1" ht="14.45" hidden="1" customHeight="1" outlineLevel="1" x14ac:dyDescent="0.25">
      <c r="A16" s="278"/>
      <c r="B16" s="279" t="str">
        <f t="shared" si="8"/>
        <v>block supply390Lx190Wx190Hfacequality</v>
      </c>
      <c r="C16" s="278" t="s">
        <v>2202</v>
      </c>
      <c r="D16" s="278" t="s">
        <v>2196</v>
      </c>
      <c r="E16" s="278" t="s">
        <v>2207</v>
      </c>
      <c r="F16" s="278" t="s">
        <v>544</v>
      </c>
      <c r="G16" s="278" t="s">
        <v>5</v>
      </c>
      <c r="H16" s="290"/>
      <c r="I16" s="280">
        <f t="shared" si="7"/>
        <v>0</v>
      </c>
      <c r="J16" s="281">
        <f t="shared" si="9"/>
        <v>0</v>
      </c>
      <c r="K16" s="282">
        <f>IF(Notes!$B$9="Domestic",I16, IF(Notes!$B$9="Commercial",J16))*$K$5</f>
        <v>0</v>
      </c>
      <c r="L16" s="283">
        <f>IF(SUM(O16:Q16)=0,0,((SUM(O16:Q16)+(K16+SUM(M16:Q16))*(INDEX($U$5:$AB$5,MATCH(Notes!$C$16,$U$3:$AB$3,0))-100%))*$L$5))</f>
        <v>5.44</v>
      </c>
      <c r="M16" s="286"/>
      <c r="N16" s="286"/>
      <c r="O16" s="311">
        <f t="shared" si="10"/>
        <v>5.44</v>
      </c>
      <c r="P16" s="285"/>
      <c r="Q16" s="285"/>
      <c r="R16" s="278"/>
      <c r="S16" s="278"/>
      <c r="T16" s="278"/>
      <c r="U16" s="304"/>
    </row>
    <row r="17" spans="1:28" s="305" customFormat="1" ht="14.45" hidden="1" customHeight="1" outlineLevel="1" x14ac:dyDescent="0.25">
      <c r="A17" s="278"/>
      <c r="B17" s="279" t="str">
        <f t="shared" si="8"/>
        <v>block supply390Lx290Wx190Hfacequality</v>
      </c>
      <c r="C17" s="278" t="s">
        <v>2202</v>
      </c>
      <c r="D17" s="278" t="s">
        <v>2197</v>
      </c>
      <c r="E17" s="278" t="s">
        <v>2207</v>
      </c>
      <c r="F17" s="278" t="s">
        <v>544</v>
      </c>
      <c r="G17" s="278" t="s">
        <v>5</v>
      </c>
      <c r="H17" s="290"/>
      <c r="I17" s="280">
        <f t="shared" si="7"/>
        <v>0</v>
      </c>
      <c r="J17" s="281">
        <f t="shared" si="9"/>
        <v>0</v>
      </c>
      <c r="K17" s="282">
        <f>IF(Notes!$B$9="Domestic",I17, IF(Notes!$B$9="Commercial",J17))*$K$5</f>
        <v>0</v>
      </c>
      <c r="L17" s="283">
        <f>IF(SUM(O17:Q17)=0,0,((SUM(O17:Q17)+(K17+SUM(M17:Q17))*(INDEX($U$5:$AB$5,MATCH(Notes!$C$16,$U$3:$AB$3,0))-100%))*$L$5))</f>
        <v>8.2720000000000002</v>
      </c>
      <c r="M17" s="286"/>
      <c r="N17" s="286"/>
      <c r="O17" s="311">
        <f t="shared" si="10"/>
        <v>8.2720000000000002</v>
      </c>
      <c r="P17" s="285"/>
      <c r="Q17" s="285"/>
      <c r="R17" s="278"/>
      <c r="S17" s="278"/>
      <c r="T17" s="278"/>
    </row>
    <row r="18" spans="1:28" s="305" customFormat="1" ht="14.45" hidden="1" customHeight="1" outlineLevel="1" x14ac:dyDescent="0.25">
      <c r="A18" s="278"/>
      <c r="B18" s="279" t="str">
        <f>C18&amp;D18&amp;E18&amp;F18</f>
        <v>block supply390Lx90Wx190Hfaceprestige</v>
      </c>
      <c r="C18" s="278" t="s">
        <v>2202</v>
      </c>
      <c r="D18" s="278" t="s">
        <v>2194</v>
      </c>
      <c r="E18" s="278" t="s">
        <v>2207</v>
      </c>
      <c r="F18" s="278" t="s">
        <v>545</v>
      </c>
      <c r="G18" s="278" t="s">
        <v>5</v>
      </c>
      <c r="H18" s="290"/>
      <c r="I18" s="280">
        <f t="shared" ref="I18:I21" si="11">$I$2*H18</f>
        <v>0</v>
      </c>
      <c r="J18" s="281">
        <f>$J$2*H18</f>
        <v>0</v>
      </c>
      <c r="K18" s="282">
        <f>IF(Notes!$B$9="Domestic",I18, IF(Notes!$B$9="Commercial",J18))*$K$5</f>
        <v>0</v>
      </c>
      <c r="L18" s="283">
        <f>IF(SUM(O18:Q18)=0,0,((SUM(O18:Q18)+(K18+SUM(M18:Q18))*(INDEX($U$5:$AB$5,MATCH(Notes!$C$16,$U$3:$AB$3,0))-100%))*$L$5))</f>
        <v>4.8660480000000002</v>
      </c>
      <c r="M18" s="286"/>
      <c r="N18" s="286"/>
      <c r="O18" s="311">
        <f>O10*1.44</f>
        <v>4.8660480000000002</v>
      </c>
      <c r="P18" s="285"/>
      <c r="Q18" s="285"/>
      <c r="R18" s="278"/>
      <c r="S18" s="278"/>
      <c r="T18" s="278"/>
      <c r="U18" s="304"/>
    </row>
    <row r="19" spans="1:28" s="305" customFormat="1" ht="14.45" hidden="1" customHeight="1" outlineLevel="1" x14ac:dyDescent="0.25">
      <c r="A19" s="278"/>
      <c r="B19" s="279" t="str">
        <f t="shared" ref="B19:B21" si="12">C19&amp;D19&amp;E19&amp;F19</f>
        <v>block supply390Lx140Wx190Hfaceprestige</v>
      </c>
      <c r="C19" s="278" t="s">
        <v>2202</v>
      </c>
      <c r="D19" s="278" t="s">
        <v>2195</v>
      </c>
      <c r="E19" s="278" t="s">
        <v>2207</v>
      </c>
      <c r="F19" s="278" t="s">
        <v>545</v>
      </c>
      <c r="G19" s="278" t="s">
        <v>5</v>
      </c>
      <c r="H19" s="290"/>
      <c r="I19" s="280">
        <f t="shared" si="11"/>
        <v>0</v>
      </c>
      <c r="J19" s="281">
        <f t="shared" ref="J19:J21" si="13">$J$2*H19</f>
        <v>0</v>
      </c>
      <c r="K19" s="282">
        <f>IF(Notes!$B$9="Domestic",I19, IF(Notes!$B$9="Commercial",J19))*$K$5</f>
        <v>0</v>
      </c>
      <c r="L19" s="283">
        <f>IF(SUM(O19:Q19)=0,0,((SUM(O19:Q19)+(K19+SUM(M19:Q19))*(INDEX($U$5:$AB$5,MATCH(Notes!$C$16,$U$3:$AB$3,0))-100%))*$L$5))</f>
        <v>5.1425280000000004</v>
      </c>
      <c r="M19" s="286"/>
      <c r="N19" s="286"/>
      <c r="O19" s="311">
        <f t="shared" ref="O19:O21" si="14">O11*1.44</f>
        <v>5.1425280000000004</v>
      </c>
      <c r="P19" s="285"/>
      <c r="Q19" s="285"/>
      <c r="R19" s="278"/>
      <c r="S19" s="278"/>
      <c r="T19" s="278"/>
      <c r="U19" s="304"/>
    </row>
    <row r="20" spans="1:28" s="305" customFormat="1" ht="14.45" hidden="1" customHeight="1" outlineLevel="1" x14ac:dyDescent="0.25">
      <c r="A20" s="278"/>
      <c r="B20" s="279" t="str">
        <f t="shared" si="12"/>
        <v>block supply390Lx190Wx190Hfaceprestige</v>
      </c>
      <c r="C20" s="278" t="s">
        <v>2202</v>
      </c>
      <c r="D20" s="278" t="s">
        <v>2196</v>
      </c>
      <c r="E20" s="278" t="s">
        <v>2207</v>
      </c>
      <c r="F20" s="278" t="s">
        <v>545</v>
      </c>
      <c r="G20" s="278" t="s">
        <v>5</v>
      </c>
      <c r="H20" s="290"/>
      <c r="I20" s="280">
        <f t="shared" si="11"/>
        <v>0</v>
      </c>
      <c r="J20" s="281">
        <f t="shared" si="13"/>
        <v>0</v>
      </c>
      <c r="K20" s="282">
        <f>IF(Notes!$B$9="Domestic",I20, IF(Notes!$B$9="Commercial",J20))*$K$5</f>
        <v>0</v>
      </c>
      <c r="L20" s="283">
        <f>IF(SUM(O20:Q20)=0,0,((SUM(O20:Q20)+(K20+SUM(M20:Q20))*(INDEX($U$5:$AB$5,MATCH(Notes!$C$16,$U$3:$AB$3,0))-100%))*$L$5))</f>
        <v>6.2668800000000005</v>
      </c>
      <c r="M20" s="286"/>
      <c r="N20" s="286"/>
      <c r="O20" s="311">
        <f t="shared" si="14"/>
        <v>6.2668800000000005</v>
      </c>
      <c r="P20" s="285"/>
      <c r="Q20" s="285"/>
      <c r="R20" s="278"/>
      <c r="S20" s="278"/>
      <c r="T20" s="278"/>
      <c r="U20" s="304"/>
    </row>
    <row r="21" spans="1:28" s="305" customFormat="1" ht="14.45" hidden="1" customHeight="1" outlineLevel="1" x14ac:dyDescent="0.25">
      <c r="A21" s="278"/>
      <c r="B21" s="279" t="str">
        <f t="shared" si="12"/>
        <v>block supply390Lx290Wx190Hfaceprestige</v>
      </c>
      <c r="C21" s="278" t="s">
        <v>2202</v>
      </c>
      <c r="D21" s="278" t="s">
        <v>2197</v>
      </c>
      <c r="E21" s="278" t="s">
        <v>2207</v>
      </c>
      <c r="F21" s="278" t="s">
        <v>545</v>
      </c>
      <c r="G21" s="278" t="s">
        <v>5</v>
      </c>
      <c r="H21" s="290"/>
      <c r="I21" s="280">
        <f t="shared" si="11"/>
        <v>0</v>
      </c>
      <c r="J21" s="281">
        <f t="shared" si="13"/>
        <v>0</v>
      </c>
      <c r="K21" s="282">
        <f>IF(Notes!$B$9="Domestic",I21, IF(Notes!$B$9="Commercial",J21))*$K$5</f>
        <v>0</v>
      </c>
      <c r="L21" s="283">
        <f>IF(SUM(O21:Q21)=0,0,((SUM(O21:Q21)+(K21+SUM(M21:Q21))*(INDEX($U$5:$AB$5,MATCH(Notes!$C$16,$U$3:$AB$3,0))-100%))*$L$5))</f>
        <v>9.529344</v>
      </c>
      <c r="M21" s="286"/>
      <c r="N21" s="286"/>
      <c r="O21" s="311">
        <f t="shared" si="14"/>
        <v>9.529344</v>
      </c>
      <c r="P21" s="285"/>
      <c r="Q21" s="285"/>
      <c r="R21" s="278"/>
      <c r="S21" s="278"/>
      <c r="T21" s="278"/>
    </row>
    <row r="22" spans="1:28" ht="21" hidden="1" outlineLevel="1" x14ac:dyDescent="0.25">
      <c r="A22" s="299" t="s">
        <v>2258</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row>
    <row r="23" spans="1:28" ht="15.75" hidden="1" outlineLevel="1" x14ac:dyDescent="0.25">
      <c r="A23" s="291"/>
      <c r="B23" s="291"/>
      <c r="C23" s="291"/>
      <c r="D23" s="291"/>
      <c r="E23" s="291"/>
      <c r="F23" s="291"/>
      <c r="G23" s="291"/>
      <c r="H23" s="291"/>
      <c r="I23" s="291"/>
      <c r="J23" s="291"/>
      <c r="K23" s="291">
        <f>K$2</f>
        <v>1</v>
      </c>
      <c r="L23" s="291">
        <f>L$2</f>
        <v>1</v>
      </c>
      <c r="M23" s="291"/>
      <c r="N23" s="291"/>
      <c r="O23" s="303"/>
      <c r="P23" s="303"/>
      <c r="Q23" s="303"/>
      <c r="R23" s="291"/>
      <c r="S23" s="291"/>
      <c r="T23" s="291"/>
      <c r="U23" s="291">
        <f>615/670</f>
        <v>0.91791044776119401</v>
      </c>
      <c r="V23" s="291">
        <f>670/670</f>
        <v>1</v>
      </c>
      <c r="W23" s="291">
        <f>750/670</f>
        <v>1.1194029850746268</v>
      </c>
      <c r="X23" s="291">
        <f>835/670</f>
        <v>1.2462686567164178</v>
      </c>
      <c r="Y23" s="291">
        <f>775/670</f>
        <v>1.1567164179104477</v>
      </c>
      <c r="Z23" s="291">
        <f>500*1.43/670</f>
        <v>1.0671641791044777</v>
      </c>
      <c r="AA23" s="291">
        <f t="shared" ref="AA23" si="15">670/670</f>
        <v>1</v>
      </c>
      <c r="AB23" s="291">
        <f>500/670</f>
        <v>0.74626865671641796</v>
      </c>
    </row>
    <row r="24" spans="1:28" s="305" customFormat="1" ht="14.45" hidden="1" customHeight="1" outlineLevel="1" x14ac:dyDescent="0.25">
      <c r="A24" s="278"/>
      <c r="B24" s="279" t="str">
        <f>C24&amp;D24&amp;E24&amp;F24</f>
        <v>blocklaying390Lx90Wx190Hcommon</v>
      </c>
      <c r="C24" s="278" t="s">
        <v>2203</v>
      </c>
      <c r="D24" s="278" t="s">
        <v>2194</v>
      </c>
      <c r="E24" s="278" t="s">
        <v>2206</v>
      </c>
      <c r="F24" s="278"/>
      <c r="G24" s="278" t="s">
        <v>5</v>
      </c>
      <c r="H24" s="290">
        <v>6.8000000000000005E-2</v>
      </c>
      <c r="I24" s="280">
        <f>$I$2*H24</f>
        <v>5.5277200000000004</v>
      </c>
      <c r="J24" s="281">
        <f>$J$2*H24</f>
        <v>6.4994400000000008</v>
      </c>
      <c r="K24" s="282">
        <f>IF(Notes!$B$9="Domestic",I24, IF(Notes!$B$9="Commercial",J24))*$K$23</f>
        <v>6.4994400000000008</v>
      </c>
      <c r="L24" s="283">
        <f>IF(SUM(O24:Q24)=0,0,((SUM(O24:Q24)+(K24+SUM(M24:Q24))*(INDEX($U$23:$AB$23,MATCH(Notes!$C$16,$U$3:$AB$3,0))-100%))*$L$23))</f>
        <v>0</v>
      </c>
      <c r="M24" s="286"/>
      <c r="N24" s="286"/>
      <c r="O24" s="285"/>
      <c r="P24" s="285"/>
      <c r="Q24" s="285"/>
      <c r="R24" s="278"/>
      <c r="S24" s="278"/>
      <c r="T24" s="278"/>
      <c r="U24" s="304"/>
    </row>
    <row r="25" spans="1:28" s="305" customFormat="1" ht="14.45" hidden="1" customHeight="1" outlineLevel="1" x14ac:dyDescent="0.25">
      <c r="A25" s="278"/>
      <c r="B25" s="279" t="str">
        <f t="shared" ref="B25:B27" si="16">C25&amp;D25&amp;E25&amp;F25</f>
        <v>blocklaying390Lx140Wx190Hcommon</v>
      </c>
      <c r="C25" s="278" t="s">
        <v>2203</v>
      </c>
      <c r="D25" s="278" t="s">
        <v>2195</v>
      </c>
      <c r="E25" s="278" t="s">
        <v>2206</v>
      </c>
      <c r="F25" s="278"/>
      <c r="G25" s="278" t="s">
        <v>5</v>
      </c>
      <c r="H25" s="290">
        <v>7.6999999999999999E-2</v>
      </c>
      <c r="I25" s="280">
        <f>$I$2*H25</f>
        <v>6.2593300000000003</v>
      </c>
      <c r="J25" s="281">
        <f t="shared" ref="J25:J27" si="17">$J$2*H25</f>
        <v>7.3596599999999999</v>
      </c>
      <c r="K25" s="282">
        <f>IF(Notes!$B$9="Domestic",I25, IF(Notes!$B$9="Commercial",J25))*$K$23</f>
        <v>7.3596599999999999</v>
      </c>
      <c r="L25" s="283">
        <f>IF(SUM(O25:Q25)=0,0,((SUM(O25:Q25)+(K25+SUM(M25:Q25))*(INDEX($U$23:$AB$23,MATCH(Notes!$C$16,$U$3:$AB$3,0))-100%))*$L$23))</f>
        <v>0</v>
      </c>
      <c r="M25" s="286"/>
      <c r="N25" s="286"/>
      <c r="O25" s="285"/>
      <c r="P25" s="285"/>
      <c r="Q25" s="285"/>
      <c r="R25" s="278"/>
      <c r="S25" s="278"/>
      <c r="T25" s="278"/>
      <c r="U25" s="304"/>
    </row>
    <row r="26" spans="1:28" s="305" customFormat="1" ht="14.45" hidden="1" customHeight="1" outlineLevel="1" x14ac:dyDescent="0.25">
      <c r="A26" s="278"/>
      <c r="B26" s="279" t="str">
        <f t="shared" si="16"/>
        <v>blocklaying390Lx190Wx190Hcommon</v>
      </c>
      <c r="C26" s="278" t="s">
        <v>2203</v>
      </c>
      <c r="D26" s="278" t="s">
        <v>2196</v>
      </c>
      <c r="E26" s="278" t="s">
        <v>2206</v>
      </c>
      <c r="F26" s="278"/>
      <c r="G26" s="278" t="s">
        <v>5</v>
      </c>
      <c r="H26" s="290">
        <v>8.3000000000000004E-2</v>
      </c>
      <c r="I26" s="280">
        <f t="shared" ref="I26:I27" si="18">$I$2*H26</f>
        <v>6.7470700000000008</v>
      </c>
      <c r="J26" s="281">
        <f t="shared" si="17"/>
        <v>7.9331399999999999</v>
      </c>
      <c r="K26" s="282">
        <f>IF(Notes!$B$9="Domestic",I26, IF(Notes!$B$9="Commercial",J26))*$K$23</f>
        <v>7.9331399999999999</v>
      </c>
      <c r="L26" s="283">
        <f>IF(SUM(O26:Q26)=0,0,((SUM(O26:Q26)+(K26+SUM(M26:Q26))*(INDEX($U$23:$AB$23,MATCH(Notes!$C$16,$U$3:$AB$3,0))-100%))*$L$23))</f>
        <v>0</v>
      </c>
      <c r="M26" s="286"/>
      <c r="N26" s="286"/>
      <c r="O26" s="285"/>
      <c r="P26" s="285"/>
      <c r="Q26" s="285"/>
      <c r="R26" s="278"/>
      <c r="S26" s="278"/>
      <c r="T26" s="278"/>
      <c r="U26" s="304"/>
    </row>
    <row r="27" spans="1:28" s="305" customFormat="1" hidden="1" outlineLevel="1" x14ac:dyDescent="0.25">
      <c r="A27" s="278"/>
      <c r="B27" s="279" t="str">
        <f t="shared" si="16"/>
        <v>blocklaying390Lx290Wx190Hcommon</v>
      </c>
      <c r="C27" s="278" t="s">
        <v>2203</v>
      </c>
      <c r="D27" s="278" t="s">
        <v>2197</v>
      </c>
      <c r="E27" s="278" t="s">
        <v>2206</v>
      </c>
      <c r="F27" s="278"/>
      <c r="G27" s="278" t="s">
        <v>5</v>
      </c>
      <c r="H27" s="290">
        <v>0.09</v>
      </c>
      <c r="I27" s="280">
        <f t="shared" si="18"/>
        <v>7.3161000000000005</v>
      </c>
      <c r="J27" s="281">
        <f t="shared" si="17"/>
        <v>8.6021999999999998</v>
      </c>
      <c r="K27" s="282">
        <f>IF(Notes!$B$9="Domestic",I27, IF(Notes!$B$9="Commercial",J27))*$K$23</f>
        <v>8.6021999999999998</v>
      </c>
      <c r="L27" s="283">
        <f>IF(SUM(O27:Q27)=0,0,((SUM(O27:Q27)+(K27+SUM(M27:Q27))*(INDEX($U$23:$AB$23,MATCH(Notes!$C$16,$U$3:$AB$3,0))-100%))*$L$23))</f>
        <v>0</v>
      </c>
      <c r="M27" s="286"/>
      <c r="N27" s="286"/>
      <c r="O27" s="285"/>
      <c r="P27" s="285"/>
      <c r="Q27" s="285"/>
      <c r="R27" s="278"/>
      <c r="S27" s="278"/>
      <c r="T27" s="278"/>
      <c r="U27" s="304"/>
    </row>
    <row r="28" spans="1:28" s="305" customFormat="1" ht="14.45" hidden="1" customHeight="1" outlineLevel="1" x14ac:dyDescent="0.25">
      <c r="A28" s="278"/>
      <c r="B28" s="279" t="str">
        <f>C28&amp;D28&amp;E28&amp;F28</f>
        <v>blocklaying390Lx90Wx190Hface</v>
      </c>
      <c r="C28" s="278" t="s">
        <v>2203</v>
      </c>
      <c r="D28" s="278" t="s">
        <v>2194</v>
      </c>
      <c r="E28" s="278" t="s">
        <v>2207</v>
      </c>
      <c r="F28" s="278"/>
      <c r="G28" s="278" t="s">
        <v>5</v>
      </c>
      <c r="H28" s="328">
        <f>H24*1.11</f>
        <v>7.5480000000000005E-2</v>
      </c>
      <c r="I28" s="280">
        <f>$I$2*H28</f>
        <v>6.1357692000000013</v>
      </c>
      <c r="J28" s="281">
        <f>$J$2*H28</f>
        <v>7.2143784000000002</v>
      </c>
      <c r="K28" s="282">
        <f>IF(Notes!$B$9="Domestic",I28, IF(Notes!$B$9="Commercial",J28))*$K$23</f>
        <v>7.2143784000000002</v>
      </c>
      <c r="L28" s="283">
        <f>IF(SUM(O28:Q28)=0,0,((SUM(O28:Q28)+(K28+SUM(M28:Q28))*(INDEX($U$23:$AB$23,MATCH(Notes!$C$16,$U$3:$AB$3,0))-100%))*$L$23))</f>
        <v>0</v>
      </c>
      <c r="M28" s="286"/>
      <c r="N28" s="286"/>
      <c r="O28" s="285"/>
      <c r="P28" s="285"/>
      <c r="Q28" s="285"/>
      <c r="R28" s="278"/>
      <c r="S28" s="278"/>
      <c r="T28" s="278"/>
      <c r="U28" s="304"/>
    </row>
    <row r="29" spans="1:28" s="305" customFormat="1" ht="14.45" hidden="1" customHeight="1" outlineLevel="1" x14ac:dyDescent="0.25">
      <c r="A29" s="278"/>
      <c r="B29" s="279" t="str">
        <f t="shared" ref="B29:B31" si="19">C29&amp;D29&amp;E29&amp;F29</f>
        <v>blocklaying390Lx140Wx190Hface</v>
      </c>
      <c r="C29" s="278" t="s">
        <v>2203</v>
      </c>
      <c r="D29" s="278" t="s">
        <v>2195</v>
      </c>
      <c r="E29" s="278" t="s">
        <v>2207</v>
      </c>
      <c r="F29" s="278"/>
      <c r="G29" s="278" t="s">
        <v>5</v>
      </c>
      <c r="H29" s="328">
        <f t="shared" ref="H29:H31" si="20">H25*1.11</f>
        <v>8.5470000000000004E-2</v>
      </c>
      <c r="I29" s="280">
        <f>$I$2*H29</f>
        <v>6.9478563000000007</v>
      </c>
      <c r="J29" s="281">
        <f t="shared" ref="J29:J31" si="21">$J$2*H29</f>
        <v>8.1692225999999994</v>
      </c>
      <c r="K29" s="282">
        <f>IF(Notes!$B$9="Domestic",I29, IF(Notes!$B$9="Commercial",J29))*$K$23</f>
        <v>8.1692225999999994</v>
      </c>
      <c r="L29" s="283">
        <f>IF(SUM(O29:Q29)=0,0,((SUM(O29:Q29)+(K29+SUM(M29:Q29))*(INDEX($U$23:$AB$23,MATCH(Notes!$C$16,$U$3:$AB$3,0))-100%))*$L$23))</f>
        <v>0</v>
      </c>
      <c r="M29" s="286"/>
      <c r="N29" s="286"/>
      <c r="O29" s="285"/>
      <c r="P29" s="285"/>
      <c r="Q29" s="285"/>
      <c r="R29" s="278"/>
      <c r="S29" s="278"/>
      <c r="T29" s="278"/>
      <c r="U29" s="304"/>
    </row>
    <row r="30" spans="1:28" s="305" customFormat="1" ht="14.45" hidden="1" customHeight="1" outlineLevel="1" x14ac:dyDescent="0.25">
      <c r="A30" s="278"/>
      <c r="B30" s="279" t="str">
        <f t="shared" si="19"/>
        <v>blocklaying390Lx190Wx190Hface</v>
      </c>
      <c r="C30" s="278" t="s">
        <v>2203</v>
      </c>
      <c r="D30" s="278" t="s">
        <v>2196</v>
      </c>
      <c r="E30" s="278" t="s">
        <v>2207</v>
      </c>
      <c r="F30" s="278"/>
      <c r="G30" s="278" t="s">
        <v>5</v>
      </c>
      <c r="H30" s="328">
        <f t="shared" si="20"/>
        <v>9.2130000000000017E-2</v>
      </c>
      <c r="I30" s="280">
        <f t="shared" ref="I30:I31" si="22">$I$2*H30</f>
        <v>7.4892477000000017</v>
      </c>
      <c r="J30" s="281">
        <f t="shared" si="21"/>
        <v>8.8057854000000013</v>
      </c>
      <c r="K30" s="282">
        <f>IF(Notes!$B$9="Domestic",I30, IF(Notes!$B$9="Commercial",J30))*$K$23</f>
        <v>8.8057854000000013</v>
      </c>
      <c r="L30" s="283">
        <f>IF(SUM(O30:Q30)=0,0,((SUM(O30:Q30)+(K30+SUM(M30:Q30))*(INDEX($U$23:$AB$23,MATCH(Notes!$C$16,$U$3:$AB$3,0))-100%))*$L$23))</f>
        <v>0</v>
      </c>
      <c r="M30" s="286"/>
      <c r="N30" s="286"/>
      <c r="O30" s="285"/>
      <c r="P30" s="285"/>
      <c r="Q30" s="285"/>
      <c r="R30" s="278"/>
      <c r="S30" s="278"/>
      <c r="T30" s="278"/>
      <c r="U30" s="304"/>
    </row>
    <row r="31" spans="1:28" s="305" customFormat="1" hidden="1" outlineLevel="1" x14ac:dyDescent="0.25">
      <c r="A31" s="278"/>
      <c r="B31" s="279" t="str">
        <f t="shared" si="19"/>
        <v>blocklaying390Lx290Wx190Hface</v>
      </c>
      <c r="C31" s="278" t="s">
        <v>2203</v>
      </c>
      <c r="D31" s="278" t="s">
        <v>2197</v>
      </c>
      <c r="E31" s="278" t="s">
        <v>2207</v>
      </c>
      <c r="F31" s="278"/>
      <c r="G31" s="278" t="s">
        <v>5</v>
      </c>
      <c r="H31" s="328">
        <f t="shared" si="20"/>
        <v>9.9900000000000003E-2</v>
      </c>
      <c r="I31" s="280">
        <f t="shared" si="22"/>
        <v>8.1208710000000011</v>
      </c>
      <c r="J31" s="281">
        <f t="shared" si="21"/>
        <v>9.5484419999999997</v>
      </c>
      <c r="K31" s="282">
        <f>IF(Notes!$B$9="Domestic",I31, IF(Notes!$B$9="Commercial",J31))*$K$23</f>
        <v>9.5484419999999997</v>
      </c>
      <c r="L31" s="283">
        <f>IF(SUM(O31:Q31)=0,0,((SUM(O31:Q31)+(K31+SUM(M31:Q31))*(INDEX($U$23:$AB$23,MATCH(Notes!$C$16,$U$3:$AB$3,0))-100%))*$L$23))</f>
        <v>0</v>
      </c>
      <c r="M31" s="286"/>
      <c r="N31" s="286"/>
      <c r="O31" s="285"/>
      <c r="P31" s="285"/>
      <c r="Q31" s="285"/>
      <c r="R31" s="278"/>
      <c r="S31" s="278"/>
      <c r="T31" s="278"/>
      <c r="U31" s="304"/>
    </row>
    <row r="32" spans="1:28" ht="21" hidden="1" outlineLevel="1" x14ac:dyDescent="0.25">
      <c r="A32" s="299" t="s">
        <v>2259</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row>
    <row r="33" spans="1:28" ht="15.75" hidden="1" outlineLevel="1" x14ac:dyDescent="0.25">
      <c r="A33" s="291"/>
      <c r="B33" s="291"/>
      <c r="C33" s="291"/>
      <c r="D33" s="291"/>
      <c r="E33" s="291"/>
      <c r="F33" s="291"/>
      <c r="G33" s="291"/>
      <c r="H33" s="291"/>
      <c r="I33" s="291"/>
      <c r="J33" s="291"/>
      <c r="K33" s="291">
        <f>K$2</f>
        <v>1</v>
      </c>
      <c r="L33" s="291">
        <f>L$2</f>
        <v>1</v>
      </c>
      <c r="M33" s="291"/>
      <c r="N33" s="291"/>
      <c r="O33" s="303"/>
      <c r="P33" s="303"/>
      <c r="Q33" s="303"/>
      <c r="R33" s="291"/>
      <c r="S33" s="291"/>
      <c r="T33" s="291"/>
      <c r="U33" s="291">
        <f>97.5/97.5</f>
        <v>1</v>
      </c>
      <c r="V33" s="291">
        <f>97.5/97.5</f>
        <v>1</v>
      </c>
      <c r="W33" s="291">
        <f>112.5/97.5</f>
        <v>1.1538461538461537</v>
      </c>
      <c r="X33" s="291">
        <f>92.5/97.5</f>
        <v>0.94871794871794868</v>
      </c>
      <c r="Y33" s="291">
        <f>150/97.5</f>
        <v>1.5384615384615385</v>
      </c>
      <c r="Z33" s="291">
        <f>130/97.5</f>
        <v>1.3333333333333333</v>
      </c>
      <c r="AA33" s="291">
        <f>132/97.5</f>
        <v>1.3538461538461539</v>
      </c>
      <c r="AB33" s="291">
        <f>90/97.5</f>
        <v>0.92307692307692313</v>
      </c>
    </row>
    <row r="34" spans="1:28" s="305" customFormat="1" ht="14.45" hidden="1" customHeight="1" outlineLevel="1" x14ac:dyDescent="0.25">
      <c r="A34" s="278"/>
      <c r="B34" s="279" t="str">
        <f>C34&amp;D34&amp;E34&amp;F34</f>
        <v>sand supplyyellow</v>
      </c>
      <c r="C34" s="278" t="s">
        <v>2209</v>
      </c>
      <c r="D34" s="278"/>
      <c r="E34" s="278" t="s">
        <v>2210</v>
      </c>
      <c r="F34" s="278"/>
      <c r="G34" s="278" t="s">
        <v>930</v>
      </c>
      <c r="H34" s="290"/>
      <c r="I34" s="280">
        <f>$I$2*H34</f>
        <v>0</v>
      </c>
      <c r="J34" s="281">
        <f>$J$2*H34</f>
        <v>0</v>
      </c>
      <c r="K34" s="282">
        <f>IF(Notes!$B$9="Domestic",I34, IF(Notes!$B$9="Commercial",J34))*$K$33</f>
        <v>0</v>
      </c>
      <c r="L34" s="283">
        <f>IF(SUM(O34:Q34)=0,0,((SUM(O34:Q34)+(K34+SUM(M34:Q34))*(INDEX($U$33:$AB$33,MATCH(Notes!$C$16,$U$3:$AB$3,0))-100%))*$L$33))</f>
        <v>73.53</v>
      </c>
      <c r="M34" s="286"/>
      <c r="N34" s="286"/>
      <c r="O34" s="285">
        <v>73.53</v>
      </c>
      <c r="P34" s="285"/>
      <c r="Q34" s="285"/>
      <c r="R34" s="278"/>
      <c r="S34" s="278"/>
      <c r="T34" s="278"/>
      <c r="U34" s="304"/>
    </row>
    <row r="35" spans="1:28" s="305" customFormat="1" ht="14.45" hidden="1" customHeight="1" outlineLevel="1" x14ac:dyDescent="0.25">
      <c r="A35" s="278"/>
      <c r="B35" s="279" t="str">
        <f t="shared" ref="B35" si="23">C35&amp;D35&amp;E35&amp;F35</f>
        <v>sand supplywhite</v>
      </c>
      <c r="C35" s="278" t="s">
        <v>2209</v>
      </c>
      <c r="D35" s="278"/>
      <c r="E35" s="278" t="s">
        <v>2211</v>
      </c>
      <c r="F35" s="278"/>
      <c r="G35" s="278" t="s">
        <v>930</v>
      </c>
      <c r="H35" s="290"/>
      <c r="I35" s="280">
        <f t="shared" ref="I35" si="24">$I$2*H35</f>
        <v>0</v>
      </c>
      <c r="J35" s="281">
        <f t="shared" ref="J35" si="25">$J$2*H35</f>
        <v>0</v>
      </c>
      <c r="K35" s="282">
        <f>IF(Notes!$B$9="Domestic",I35, IF(Notes!$B$9="Commercial",J35))*$K$33</f>
        <v>0</v>
      </c>
      <c r="L35" s="283">
        <f>IF(SUM(O35:Q35)=0,0,((SUM(O35:Q35)+(K35+SUM(M35:Q35))*(INDEX($U$33:$AB$33,MATCH(Notes!$C$16,$U$3:$AB$3,0))-100%))*$L$33))</f>
        <v>159.13999999999999</v>
      </c>
      <c r="M35" s="286"/>
      <c r="N35" s="286"/>
      <c r="O35" s="285">
        <v>159.13999999999999</v>
      </c>
      <c r="P35" s="285"/>
      <c r="Q35" s="285"/>
      <c r="R35" s="278"/>
      <c r="S35" s="278"/>
      <c r="T35" s="278"/>
      <c r="U35" s="304"/>
    </row>
    <row r="36" spans="1:28" ht="21" hidden="1" outlineLevel="1" x14ac:dyDescent="0.25">
      <c r="A36" s="299" t="s">
        <v>2260</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row>
    <row r="37" spans="1:28" ht="15.75" hidden="1" outlineLevel="1" x14ac:dyDescent="0.25">
      <c r="A37" s="291"/>
      <c r="B37" s="291"/>
      <c r="C37" s="291"/>
      <c r="D37" s="291"/>
      <c r="E37" s="291"/>
      <c r="F37" s="291"/>
      <c r="G37" s="291"/>
      <c r="H37" s="291"/>
      <c r="I37" s="291"/>
      <c r="J37" s="291"/>
      <c r="K37" s="291">
        <f>K$2</f>
        <v>1</v>
      </c>
      <c r="L37" s="291">
        <f>L$2</f>
        <v>1</v>
      </c>
      <c r="M37" s="291"/>
      <c r="N37" s="291"/>
      <c r="O37" s="303"/>
      <c r="P37" s="303"/>
      <c r="Q37" s="303"/>
      <c r="R37" s="291"/>
      <c r="S37" s="291"/>
      <c r="T37" s="291"/>
      <c r="U37" s="381">
        <f>U$33</f>
        <v>1</v>
      </c>
      <c r="V37" s="381">
        <f t="shared" ref="V37:AB37" si="26">V$33</f>
        <v>1</v>
      </c>
      <c r="W37" s="381">
        <f t="shared" si="26"/>
        <v>1.1538461538461537</v>
      </c>
      <c r="X37" s="381">
        <f t="shared" si="26"/>
        <v>0.94871794871794868</v>
      </c>
      <c r="Y37" s="381">
        <f t="shared" si="26"/>
        <v>1.5384615384615385</v>
      </c>
      <c r="Z37" s="381">
        <f t="shared" si="26"/>
        <v>1.3333333333333333</v>
      </c>
      <c r="AA37" s="381">
        <f t="shared" si="26"/>
        <v>1.3538461538461539</v>
      </c>
      <c r="AB37" s="381">
        <f t="shared" si="26"/>
        <v>0.92307692307692313</v>
      </c>
    </row>
    <row r="38" spans="1:28" s="305" customFormat="1" ht="14.45" hidden="1" customHeight="1" outlineLevel="1" x14ac:dyDescent="0.25">
      <c r="A38" s="278"/>
      <c r="B38" s="279" t="str">
        <f>C38&amp;D38&amp;E38&amp;F38</f>
        <v>cement supplygrey</v>
      </c>
      <c r="C38" s="278" t="s">
        <v>2213</v>
      </c>
      <c r="D38" s="278"/>
      <c r="E38" s="278" t="s">
        <v>2215</v>
      </c>
      <c r="F38" s="278"/>
      <c r="G38" s="278" t="s">
        <v>2212</v>
      </c>
      <c r="H38" s="290"/>
      <c r="I38" s="280">
        <f>$I$2*H38</f>
        <v>0</v>
      </c>
      <c r="J38" s="281">
        <f>$J$2*H38</f>
        <v>0</v>
      </c>
      <c r="K38" s="282">
        <f>IF(Notes!$B$9="Domestic",I38, IF(Notes!$B$9="Commercial",J38))*$K$37</f>
        <v>0</v>
      </c>
      <c r="L38" s="283">
        <f>IF(SUM(O38:Q38)=0,0,((SUM(O38:Q38)+(K38+SUM(M38:Q38))*(INDEX($U$37:$AB$37,MATCH(Notes!$C$16,$U$3:$AB$3,0))-100%))*$L$37))</f>
        <v>7.78</v>
      </c>
      <c r="M38" s="286"/>
      <c r="N38" s="286"/>
      <c r="O38" s="285">
        <v>7.78</v>
      </c>
      <c r="P38" s="285"/>
      <c r="Q38" s="285"/>
      <c r="R38" s="278"/>
      <c r="S38" s="278"/>
      <c r="T38" s="278"/>
      <c r="U38" s="304"/>
    </row>
    <row r="39" spans="1:28" s="305" customFormat="1" ht="14.45" hidden="1" customHeight="1" outlineLevel="1" x14ac:dyDescent="0.25">
      <c r="A39" s="278"/>
      <c r="B39" s="279" t="str">
        <f>C39&amp;D39&amp;E39&amp;F39</f>
        <v>cement supplyoff white</v>
      </c>
      <c r="C39" s="278" t="s">
        <v>2213</v>
      </c>
      <c r="D39" s="278"/>
      <c r="E39" s="278" t="s">
        <v>2214</v>
      </c>
      <c r="F39" s="278"/>
      <c r="G39" s="278" t="s">
        <v>2212</v>
      </c>
      <c r="H39" s="290"/>
      <c r="I39" s="280">
        <f>$I$2*H39</f>
        <v>0</v>
      </c>
      <c r="J39" s="281">
        <f>$J$2*H39</f>
        <v>0</v>
      </c>
      <c r="K39" s="282">
        <f>IF(Notes!$B$9="Domestic",I39, IF(Notes!$B$9="Commercial",J39))*$K$37</f>
        <v>0</v>
      </c>
      <c r="L39" s="283">
        <f>IF(SUM(O39:Q39)=0,0,((SUM(O39:Q39)+(K39+SUM(M39:Q39))*(INDEX($U$37:$AB$37,MATCH(Notes!$C$16,$U$3:$AB$3,0))-100%))*$L$37))</f>
        <v>15.21</v>
      </c>
      <c r="M39" s="286"/>
      <c r="N39" s="286"/>
      <c r="O39" s="285">
        <v>15.21</v>
      </c>
      <c r="P39" s="285"/>
      <c r="Q39" s="285"/>
      <c r="R39" s="278"/>
      <c r="S39" s="278"/>
      <c r="T39" s="278"/>
      <c r="U39" s="304"/>
    </row>
    <row r="40" spans="1:28" ht="21" hidden="1" outlineLevel="1" x14ac:dyDescent="0.25">
      <c r="A40" s="299" t="s">
        <v>2261</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row>
    <row r="41" spans="1:28" ht="15.75" hidden="1" outlineLevel="1" x14ac:dyDescent="0.25">
      <c r="A41" s="291"/>
      <c r="B41" s="291"/>
      <c r="C41" s="291"/>
      <c r="D41" s="291"/>
      <c r="E41" s="291"/>
      <c r="F41" s="291"/>
      <c r="G41" s="291"/>
      <c r="H41" s="291"/>
      <c r="I41" s="291"/>
      <c r="J41" s="291"/>
      <c r="K41" s="291">
        <f>K$2</f>
        <v>1</v>
      </c>
      <c r="L41" s="291">
        <f>L$2</f>
        <v>1</v>
      </c>
      <c r="M41" s="291"/>
      <c r="N41" s="291"/>
      <c r="O41" s="303"/>
      <c r="P41" s="303"/>
      <c r="Q41" s="303"/>
      <c r="R41" s="291"/>
      <c r="S41" s="291"/>
      <c r="T41" s="291"/>
      <c r="U41" s="381">
        <f>U$33</f>
        <v>1</v>
      </c>
      <c r="V41" s="381">
        <f t="shared" ref="V41:AB41" si="27">V$33</f>
        <v>1</v>
      </c>
      <c r="W41" s="381">
        <f t="shared" si="27"/>
        <v>1.1538461538461537</v>
      </c>
      <c r="X41" s="381">
        <f t="shared" si="27"/>
        <v>0.94871794871794868</v>
      </c>
      <c r="Y41" s="381">
        <f t="shared" si="27"/>
        <v>1.5384615384615385</v>
      </c>
      <c r="Z41" s="381">
        <f t="shared" si="27"/>
        <v>1.3333333333333333</v>
      </c>
      <c r="AA41" s="381">
        <f t="shared" si="27"/>
        <v>1.3538461538461539</v>
      </c>
      <c r="AB41" s="381">
        <f t="shared" si="27"/>
        <v>0.92307692307692313</v>
      </c>
    </row>
    <row r="42" spans="1:28" s="305" customFormat="1" hidden="1" outlineLevel="1" x14ac:dyDescent="0.25">
      <c r="A42" s="278"/>
      <c r="B42" s="279" t="str">
        <f>C42&amp;D42&amp;E42&amp;F42</f>
        <v>lime supply</v>
      </c>
      <c r="C42" s="278" t="s">
        <v>2216</v>
      </c>
      <c r="D42" s="278"/>
      <c r="E42" s="278"/>
      <c r="F42" s="278"/>
      <c r="G42" s="278" t="s">
        <v>2212</v>
      </c>
      <c r="H42" s="290"/>
      <c r="I42" s="280">
        <f>$I$2*H42</f>
        <v>0</v>
      </c>
      <c r="J42" s="281">
        <f>$J$2*H42</f>
        <v>0</v>
      </c>
      <c r="K42" s="282">
        <f>IF(Notes!$B$9="Domestic",I42, IF(Notes!$B$9="Commercial",J42))*$K$41</f>
        <v>0</v>
      </c>
      <c r="L42" s="283">
        <f>IF(SUM(O42:Q42)=0,0,((SUM(O42:Q42)+(K42+SUM(M42:Q42))*(INDEX($U$41:$AB$41,MATCH(Notes!$C$16,$U$3:$AB$3,0))-100%))*$L$41))</f>
        <v>11.67</v>
      </c>
      <c r="M42" s="286"/>
      <c r="N42" s="286"/>
      <c r="O42" s="285">
        <v>11.67</v>
      </c>
      <c r="P42" s="285"/>
      <c r="Q42" s="285"/>
      <c r="R42" s="278"/>
      <c r="S42" s="278"/>
      <c r="T42" s="278"/>
    </row>
    <row r="43" spans="1:28" ht="21" hidden="1" outlineLevel="1" x14ac:dyDescent="0.25">
      <c r="A43" s="299" t="s">
        <v>2262</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row>
    <row r="44" spans="1:28" ht="15.75" hidden="1" outlineLevel="1" x14ac:dyDescent="0.25">
      <c r="A44" s="291"/>
      <c r="B44" s="291"/>
      <c r="C44" s="291"/>
      <c r="D44" s="291"/>
      <c r="E44" s="291"/>
      <c r="F44" s="291"/>
      <c r="G44" s="291"/>
      <c r="H44" s="291"/>
      <c r="I44" s="291"/>
      <c r="J44" s="291"/>
      <c r="K44" s="291">
        <f>K$2</f>
        <v>1</v>
      </c>
      <c r="L44" s="291">
        <f>L$2</f>
        <v>1</v>
      </c>
      <c r="M44" s="291"/>
      <c r="N44" s="291"/>
      <c r="O44" s="303"/>
      <c r="P44" s="303"/>
      <c r="Q44" s="303"/>
      <c r="R44" s="291"/>
      <c r="S44" s="291"/>
      <c r="T44" s="291"/>
      <c r="U44" s="291">
        <f>3325*1.25/3395</f>
        <v>1.2242268041237114</v>
      </c>
      <c r="V44" s="291">
        <f>3395/3395</f>
        <v>1</v>
      </c>
      <c r="W44" s="291">
        <f>2900/3395</f>
        <v>0.85419734904270983</v>
      </c>
      <c r="X44" s="291">
        <f>2980*1.5/3395</f>
        <v>1.3166421207658321</v>
      </c>
      <c r="Y44" s="291">
        <f>2690/3395</f>
        <v>0.79234167893961704</v>
      </c>
      <c r="Z44" s="291">
        <f>2850/3395</f>
        <v>0.83946980854197351</v>
      </c>
      <c r="AA44" s="291">
        <f>3200/3395</f>
        <v>0.94256259204712811</v>
      </c>
      <c r="AB44" s="291">
        <f>3535/3395</f>
        <v>1.0412371134020619</v>
      </c>
    </row>
    <row r="45" spans="1:28" s="305" customFormat="1" hidden="1" outlineLevel="1" x14ac:dyDescent="0.25">
      <c r="A45" s="278"/>
      <c r="B45" s="279" t="str">
        <f>C45&amp;D45&amp;E45&amp;F45</f>
        <v>reo supplyN12-200</v>
      </c>
      <c r="C45" s="278" t="s">
        <v>2217</v>
      </c>
      <c r="D45" s="278" t="s">
        <v>2239</v>
      </c>
      <c r="E45" s="278"/>
      <c r="F45" s="278"/>
      <c r="G45" s="278" t="s">
        <v>15</v>
      </c>
      <c r="H45" s="290"/>
      <c r="I45" s="280">
        <f>$I$2*H45</f>
        <v>0</v>
      </c>
      <c r="J45" s="281">
        <f>$J$2*H45</f>
        <v>0</v>
      </c>
      <c r="K45" s="282">
        <f>IF(Notes!$B$9="Domestic",I45, IF(Notes!$B$9="Commercial",J45))*$K$44</f>
        <v>0</v>
      </c>
      <c r="L45" s="283">
        <f>IF(SUM(O45:Q45)=0,0,((SUM(O45:Q45)+(K45+SUM(M45:Q45))*(INDEX($U$44:$AB$44,MATCH(Notes!$C$16,$U$3:$AB$3,0))-100%))*$L$44))</f>
        <v>2.3199999999999998</v>
      </c>
      <c r="M45" s="286"/>
      <c r="N45" s="286"/>
      <c r="O45" s="285">
        <v>2.3199999999999998</v>
      </c>
      <c r="P45" s="285"/>
      <c r="Q45" s="285"/>
      <c r="R45" s="278"/>
      <c r="S45" s="278"/>
      <c r="T45" s="278"/>
    </row>
    <row r="46" spans="1:28" s="305" customFormat="1" hidden="1" outlineLevel="1" x14ac:dyDescent="0.25">
      <c r="A46" s="278"/>
      <c r="B46" s="279" t="str">
        <f t="shared" ref="B46:B47" si="28">C46&amp;D46&amp;E46&amp;F46</f>
        <v>reo supplyN12-400</v>
      </c>
      <c r="C46" s="278" t="s">
        <v>2217</v>
      </c>
      <c r="D46" s="278" t="s">
        <v>2238</v>
      </c>
      <c r="E46" s="278"/>
      <c r="F46" s="278"/>
      <c r="G46" s="278" t="s">
        <v>15</v>
      </c>
      <c r="H46" s="290"/>
      <c r="I46" s="280">
        <f t="shared" ref="I46:I47" si="29">$I$2*H46</f>
        <v>0</v>
      </c>
      <c r="J46" s="281">
        <f t="shared" ref="J46:J47" si="30">$J$2*H46</f>
        <v>0</v>
      </c>
      <c r="K46" s="282">
        <f>IF(Notes!$B$9="Domestic",I46, IF(Notes!$B$9="Commercial",J46))*$K$44</f>
        <v>0</v>
      </c>
      <c r="L46" s="283">
        <f>IF(SUM(O46:Q46)=0,0,((SUM(O46:Q46)+(K46+SUM(M46:Q46))*(INDEX($U$44:$AB$44,MATCH(Notes!$C$16,$U$3:$AB$3,0))-100%))*$L$44))</f>
        <v>2.3199999999999998</v>
      </c>
      <c r="M46" s="286"/>
      <c r="N46" s="286"/>
      <c r="O46" s="285">
        <v>2.3199999999999998</v>
      </c>
      <c r="P46" s="285"/>
      <c r="Q46" s="285"/>
      <c r="R46" s="278"/>
      <c r="S46" s="278"/>
      <c r="T46" s="278"/>
    </row>
    <row r="47" spans="1:28" s="305" customFormat="1" hidden="1" outlineLevel="1" x14ac:dyDescent="0.25">
      <c r="A47" s="278"/>
      <c r="B47" s="279" t="str">
        <f t="shared" si="28"/>
        <v>reo supplyN16-200</v>
      </c>
      <c r="C47" s="278" t="s">
        <v>2217</v>
      </c>
      <c r="D47" s="278" t="s">
        <v>2240</v>
      </c>
      <c r="E47" s="278"/>
      <c r="F47" s="278"/>
      <c r="G47" s="278" t="s">
        <v>15</v>
      </c>
      <c r="H47" s="290"/>
      <c r="I47" s="280">
        <f t="shared" si="29"/>
        <v>0</v>
      </c>
      <c r="J47" s="281">
        <f t="shared" si="30"/>
        <v>0</v>
      </c>
      <c r="K47" s="282">
        <f>IF(Notes!$B$9="Domestic",I47, IF(Notes!$B$9="Commercial",J47))*$K$44</f>
        <v>0</v>
      </c>
      <c r="L47" s="283">
        <f>IF(SUM(O47:Q47)=0,0,((SUM(O47:Q47)+(K47+SUM(M47:Q47))*(INDEX($U$44:$AB$44,MATCH(Notes!$C$16,$U$3:$AB$3,0))-100%))*$L$44))</f>
        <v>4.1100000000000003</v>
      </c>
      <c r="M47" s="286"/>
      <c r="N47" s="286"/>
      <c r="O47" s="285">
        <v>4.1100000000000003</v>
      </c>
      <c r="P47" s="285"/>
      <c r="Q47" s="285"/>
      <c r="R47" s="278"/>
      <c r="S47" s="278"/>
      <c r="T47" s="278"/>
    </row>
    <row r="48" spans="1:28" s="305" customFormat="1" hidden="1" outlineLevel="1" x14ac:dyDescent="0.25">
      <c r="A48" s="278"/>
      <c r="B48" s="279" t="str">
        <f>C48&amp;D48&amp;E48&amp;F48</f>
        <v>reo supplyN16-400</v>
      </c>
      <c r="C48" s="278" t="s">
        <v>2217</v>
      </c>
      <c r="D48" s="278" t="s">
        <v>2241</v>
      </c>
      <c r="E48" s="278"/>
      <c r="F48" s="278"/>
      <c r="G48" s="278" t="s">
        <v>15</v>
      </c>
      <c r="H48" s="290"/>
      <c r="I48" s="280">
        <f>$I$2*H48</f>
        <v>0</v>
      </c>
      <c r="J48" s="281">
        <f>$J$2*H48</f>
        <v>0</v>
      </c>
      <c r="K48" s="282">
        <f>IF(Notes!$B$9="Domestic",I48, IF(Notes!$B$9="Commercial",J48))*$K$44</f>
        <v>0</v>
      </c>
      <c r="L48" s="283">
        <f>IF(SUM(O48:Q48)=0,0,((SUM(O48:Q48)+(K48+SUM(M48:Q48))*(INDEX($U$44:$AB$44,MATCH(Notes!$C$16,$U$3:$AB$3,0))-100%))*$L$44))</f>
        <v>4.1100000000000003</v>
      </c>
      <c r="M48" s="286"/>
      <c r="N48" s="286"/>
      <c r="O48" s="285">
        <v>4.1100000000000003</v>
      </c>
      <c r="P48" s="285"/>
      <c r="Q48" s="285"/>
      <c r="R48" s="278"/>
      <c r="S48" s="278"/>
      <c r="T48" s="278"/>
    </row>
    <row r="49" spans="1:28" s="305" customFormat="1" hidden="1" outlineLevel="1" x14ac:dyDescent="0.25">
      <c r="A49" s="278"/>
      <c r="B49" s="279" t="str">
        <f t="shared" ref="B49:B50" si="31">C49&amp;D49&amp;E49&amp;F49</f>
        <v>reo supplyN20-200</v>
      </c>
      <c r="C49" s="278" t="s">
        <v>2217</v>
      </c>
      <c r="D49" s="278" t="s">
        <v>2242</v>
      </c>
      <c r="E49" s="278"/>
      <c r="F49" s="278"/>
      <c r="G49" s="278" t="s">
        <v>15</v>
      </c>
      <c r="H49" s="290"/>
      <c r="I49" s="280">
        <f t="shared" ref="I49:I50" si="32">$I$2*H49</f>
        <v>0</v>
      </c>
      <c r="J49" s="281">
        <f t="shared" ref="J49:J50" si="33">$J$2*H49</f>
        <v>0</v>
      </c>
      <c r="K49" s="282">
        <f>IF(Notes!$B$9="Domestic",I49, IF(Notes!$B$9="Commercial",J49))*$K$44</f>
        <v>0</v>
      </c>
      <c r="L49" s="283">
        <f>IF(SUM(O49:Q49)=0,0,((SUM(O49:Q49)+(K49+SUM(M49:Q49))*(INDEX($U$44:$AB$44,MATCH(Notes!$C$16,$U$3:$AB$3,0))-100%))*$L$44))</f>
        <v>6.43</v>
      </c>
      <c r="M49" s="286"/>
      <c r="N49" s="286"/>
      <c r="O49" s="285">
        <v>6.43</v>
      </c>
      <c r="P49" s="285"/>
      <c r="Q49" s="285"/>
      <c r="R49" s="278"/>
      <c r="S49" s="278"/>
      <c r="T49" s="278"/>
    </row>
    <row r="50" spans="1:28" s="305" customFormat="1" hidden="1" outlineLevel="1" x14ac:dyDescent="0.25">
      <c r="A50" s="278"/>
      <c r="B50" s="279" t="str">
        <f t="shared" si="31"/>
        <v>reo supplyN20-400</v>
      </c>
      <c r="C50" s="278" t="s">
        <v>2217</v>
      </c>
      <c r="D50" s="278" t="s">
        <v>2243</v>
      </c>
      <c r="E50" s="278"/>
      <c r="F50" s="278"/>
      <c r="G50" s="278" t="s">
        <v>15</v>
      </c>
      <c r="H50" s="290"/>
      <c r="I50" s="280">
        <f t="shared" si="32"/>
        <v>0</v>
      </c>
      <c r="J50" s="281">
        <f t="shared" si="33"/>
        <v>0</v>
      </c>
      <c r="K50" s="282">
        <f>IF(Notes!$B$9="Domestic",I50, IF(Notes!$B$9="Commercial",J50))*$K$44</f>
        <v>0</v>
      </c>
      <c r="L50" s="283">
        <f>IF(SUM(O50:Q50)=0,0,((SUM(O50:Q50)+(K50+SUM(M50:Q50))*(INDEX($U$44:$AB$44,MATCH(Notes!$C$16,$U$3:$AB$3,0))-100%))*$L$44))</f>
        <v>6.43</v>
      </c>
      <c r="M50" s="286"/>
      <c r="N50" s="286"/>
      <c r="O50" s="285">
        <v>6.43</v>
      </c>
      <c r="P50" s="285"/>
      <c r="Q50" s="285"/>
      <c r="R50" s="278"/>
      <c r="S50" s="278"/>
      <c r="T50" s="278"/>
    </row>
    <row r="51" spans="1:28" ht="21" hidden="1" outlineLevel="1" x14ac:dyDescent="0.25">
      <c r="A51" s="299" t="s">
        <v>2263</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row>
    <row r="52" spans="1:28" ht="15.75" hidden="1" outlineLevel="1" x14ac:dyDescent="0.25">
      <c r="A52" s="291"/>
      <c r="B52" s="291"/>
      <c r="C52" s="291"/>
      <c r="D52" s="291"/>
      <c r="E52" s="291"/>
      <c r="F52" s="291"/>
      <c r="G52" s="291"/>
      <c r="H52" s="291"/>
      <c r="I52" s="291"/>
      <c r="J52" s="291"/>
      <c r="K52" s="291">
        <f>K$2</f>
        <v>1</v>
      </c>
      <c r="L52" s="291">
        <f>L$2</f>
        <v>1</v>
      </c>
      <c r="M52" s="291"/>
      <c r="N52" s="291"/>
      <c r="O52" s="303"/>
      <c r="P52" s="303"/>
      <c r="Q52" s="303"/>
      <c r="R52" s="291"/>
      <c r="S52" s="291"/>
      <c r="T52" s="291"/>
      <c r="U52" s="381">
        <f>U$23</f>
        <v>0.91791044776119401</v>
      </c>
      <c r="V52" s="381">
        <f t="shared" ref="V52:AB52" si="34">V$23</f>
        <v>1</v>
      </c>
      <c r="W52" s="381">
        <f t="shared" si="34"/>
        <v>1.1194029850746268</v>
      </c>
      <c r="X52" s="381">
        <f t="shared" si="34"/>
        <v>1.2462686567164178</v>
      </c>
      <c r="Y52" s="381">
        <f t="shared" si="34"/>
        <v>1.1567164179104477</v>
      </c>
      <c r="Z52" s="381">
        <f t="shared" si="34"/>
        <v>1.0671641791044777</v>
      </c>
      <c r="AA52" s="381">
        <f t="shared" si="34"/>
        <v>1</v>
      </c>
      <c r="AB52" s="381">
        <f t="shared" si="34"/>
        <v>0.74626865671641796</v>
      </c>
    </row>
    <row r="53" spans="1:28" s="305" customFormat="1" hidden="1" outlineLevel="1" x14ac:dyDescent="0.25">
      <c r="A53" s="278"/>
      <c r="B53" s="279" t="str">
        <f>C53&amp;D53&amp;E53&amp;F53</f>
        <v>reo installationN12-200</v>
      </c>
      <c r="C53" s="278" t="s">
        <v>2218</v>
      </c>
      <c r="D53" s="278" t="s">
        <v>2239</v>
      </c>
      <c r="E53" s="278"/>
      <c r="F53" s="278"/>
      <c r="G53" s="278" t="s">
        <v>15</v>
      </c>
      <c r="H53" s="290">
        <v>3.4000000000000002E-2</v>
      </c>
      <c r="I53" s="280">
        <f>$I$2*H53</f>
        <v>2.7638600000000002</v>
      </c>
      <c r="J53" s="281">
        <f>$J$2*H53</f>
        <v>3.2497200000000004</v>
      </c>
      <c r="K53" s="282">
        <f>IF(Notes!$B$9="Domestic",I53, IF(Notes!$B$9="Commercial",J53))*$K$52</f>
        <v>3.2497200000000004</v>
      </c>
      <c r="L53" s="283">
        <f>IF(SUM(O53:Q53)=0,0,((SUM(O53:Q53)+(K53+SUM(M53:Q53))*(INDEX($U$52:$AB$52,MATCH(Notes!$C$16,$U$3:$AB$3,0))-100%))*$L$52))</f>
        <v>0</v>
      </c>
      <c r="M53" s="286"/>
      <c r="N53" s="286"/>
      <c r="O53" s="285"/>
      <c r="P53" s="285"/>
      <c r="Q53" s="285"/>
      <c r="R53" s="278"/>
      <c r="S53" s="278"/>
      <c r="T53" s="278"/>
    </row>
    <row r="54" spans="1:28" s="305" customFormat="1" hidden="1" outlineLevel="1" x14ac:dyDescent="0.25">
      <c r="A54" s="278"/>
      <c r="B54" s="279" t="str">
        <f>C54&amp;D54&amp;E54&amp;F54</f>
        <v>reo installationN12-400</v>
      </c>
      <c r="C54" s="278" t="s">
        <v>2218</v>
      </c>
      <c r="D54" s="278" t="s">
        <v>2238</v>
      </c>
      <c r="E54" s="278"/>
      <c r="F54" s="278"/>
      <c r="G54" s="278" t="s">
        <v>15</v>
      </c>
      <c r="H54" s="290">
        <v>3.4000000000000002E-2</v>
      </c>
      <c r="I54" s="280">
        <f>$I$2*H54</f>
        <v>2.7638600000000002</v>
      </c>
      <c r="J54" s="281">
        <f>$J$2*H54</f>
        <v>3.2497200000000004</v>
      </c>
      <c r="K54" s="282">
        <f>IF(Notes!$B$9="Domestic",I54, IF(Notes!$B$9="Commercial",J54))*$K$52</f>
        <v>3.2497200000000004</v>
      </c>
      <c r="L54" s="283">
        <f>IF(SUM(O54:Q54)=0,0,((SUM(O54:Q54)+(K54+SUM(M54:Q54))*(INDEX($U$52:$AB$52,MATCH(Notes!$C$16,$U$3:$AB$3,0))-100%))*$L$52))</f>
        <v>0</v>
      </c>
      <c r="M54" s="286"/>
      <c r="N54" s="286"/>
      <c r="O54" s="285"/>
      <c r="P54" s="285"/>
      <c r="Q54" s="285"/>
      <c r="R54" s="278"/>
      <c r="S54" s="278"/>
      <c r="T54" s="278"/>
    </row>
    <row r="55" spans="1:28" s="305" customFormat="1" hidden="1" outlineLevel="1" x14ac:dyDescent="0.25">
      <c r="A55" s="278"/>
      <c r="B55" s="279" t="str">
        <f t="shared" ref="B55:B58" si="35">C55&amp;D55&amp;E55&amp;F55</f>
        <v>reo installationN16-200</v>
      </c>
      <c r="C55" s="278" t="s">
        <v>2218</v>
      </c>
      <c r="D55" s="278" t="s">
        <v>2240</v>
      </c>
      <c r="E55" s="278"/>
      <c r="F55" s="278"/>
      <c r="G55" s="278" t="s">
        <v>15</v>
      </c>
      <c r="H55" s="290">
        <v>3.4000000000000002E-2</v>
      </c>
      <c r="I55" s="280">
        <f t="shared" ref="I55:I58" si="36">$I$2*H55</f>
        <v>2.7638600000000002</v>
      </c>
      <c r="J55" s="281">
        <f t="shared" ref="J55:J58" si="37">$J$2*H55</f>
        <v>3.2497200000000004</v>
      </c>
      <c r="K55" s="282">
        <f>IF(Notes!$B$9="Domestic",I55, IF(Notes!$B$9="Commercial",J55))*$K$52</f>
        <v>3.2497200000000004</v>
      </c>
      <c r="L55" s="283">
        <f>IF(SUM(O55:Q55)=0,0,((SUM(O55:Q55)+(K55+SUM(M55:Q55))*(INDEX($U$52:$AB$52,MATCH(Notes!$C$16,$U$3:$AB$3,0))-100%))*$L$52))</f>
        <v>0</v>
      </c>
      <c r="M55" s="286"/>
      <c r="N55" s="286"/>
      <c r="O55" s="285"/>
      <c r="P55" s="285"/>
      <c r="Q55" s="285"/>
      <c r="R55" s="278"/>
      <c r="S55" s="278"/>
      <c r="T55" s="278"/>
    </row>
    <row r="56" spans="1:28" s="305" customFormat="1" hidden="1" outlineLevel="1" x14ac:dyDescent="0.25">
      <c r="A56" s="278"/>
      <c r="B56" s="279" t="str">
        <f t="shared" ref="B56:B57" si="38">C56&amp;D56&amp;E56&amp;F56</f>
        <v>reo installationN16-400</v>
      </c>
      <c r="C56" s="278" t="s">
        <v>2218</v>
      </c>
      <c r="D56" s="278" t="s">
        <v>2241</v>
      </c>
      <c r="E56" s="278"/>
      <c r="F56" s="278"/>
      <c r="G56" s="278" t="s">
        <v>15</v>
      </c>
      <c r="H56" s="290">
        <v>3.4000000000000002E-2</v>
      </c>
      <c r="I56" s="280">
        <f t="shared" ref="I56:I57" si="39">$I$2*H56</f>
        <v>2.7638600000000002</v>
      </c>
      <c r="J56" s="281">
        <f t="shared" ref="J56:J57" si="40">$J$2*H56</f>
        <v>3.2497200000000004</v>
      </c>
      <c r="K56" s="282">
        <f>IF(Notes!$B$9="Domestic",I56, IF(Notes!$B$9="Commercial",J56))*$K$52</f>
        <v>3.2497200000000004</v>
      </c>
      <c r="L56" s="283">
        <f>IF(SUM(O56:Q56)=0,0,((SUM(O56:Q56)+(K56+SUM(M56:Q56))*(INDEX($U$52:$AB$52,MATCH(Notes!$C$16,$U$3:$AB$3,0))-100%))*$L$52))</f>
        <v>0</v>
      </c>
      <c r="M56" s="286"/>
      <c r="N56" s="286"/>
      <c r="O56" s="285"/>
      <c r="P56" s="285"/>
      <c r="Q56" s="285"/>
      <c r="R56" s="278"/>
      <c r="S56" s="278"/>
      <c r="T56" s="278"/>
    </row>
    <row r="57" spans="1:28" s="305" customFormat="1" hidden="1" outlineLevel="1" x14ac:dyDescent="0.25">
      <c r="A57" s="278"/>
      <c r="B57" s="279" t="str">
        <f t="shared" si="38"/>
        <v>reo installationN20-200</v>
      </c>
      <c r="C57" s="278" t="s">
        <v>2218</v>
      </c>
      <c r="D57" s="278" t="s">
        <v>2242</v>
      </c>
      <c r="E57" s="278"/>
      <c r="F57" s="278"/>
      <c r="G57" s="278" t="s">
        <v>15</v>
      </c>
      <c r="H57" s="290">
        <v>3.4000000000000002E-2</v>
      </c>
      <c r="I57" s="280">
        <f t="shared" si="39"/>
        <v>2.7638600000000002</v>
      </c>
      <c r="J57" s="281">
        <f t="shared" si="40"/>
        <v>3.2497200000000004</v>
      </c>
      <c r="K57" s="282">
        <f>IF(Notes!$B$9="Domestic",I57, IF(Notes!$B$9="Commercial",J57))*$K$52</f>
        <v>3.2497200000000004</v>
      </c>
      <c r="L57" s="283">
        <f>IF(SUM(O57:Q57)=0,0,((SUM(O57:Q57)+(K57+SUM(M57:Q57))*(INDEX($U$52:$AB$52,MATCH(Notes!$C$16,$U$3:$AB$3,0))-100%))*$L$52))</f>
        <v>0</v>
      </c>
      <c r="M57" s="286"/>
      <c r="N57" s="286"/>
      <c r="O57" s="285"/>
      <c r="P57" s="285"/>
      <c r="Q57" s="285"/>
      <c r="R57" s="278"/>
      <c r="S57" s="278"/>
      <c r="T57" s="278"/>
    </row>
    <row r="58" spans="1:28" s="305" customFormat="1" hidden="1" outlineLevel="1" x14ac:dyDescent="0.25">
      <c r="A58" s="278"/>
      <c r="B58" s="279" t="str">
        <f t="shared" si="35"/>
        <v>reo installationN20-400</v>
      </c>
      <c r="C58" s="278" t="s">
        <v>2218</v>
      </c>
      <c r="D58" s="278" t="s">
        <v>2243</v>
      </c>
      <c r="E58" s="278"/>
      <c r="F58" s="278"/>
      <c r="G58" s="278" t="s">
        <v>15</v>
      </c>
      <c r="H58" s="290">
        <v>3.4000000000000002E-2</v>
      </c>
      <c r="I58" s="280">
        <f t="shared" si="36"/>
        <v>2.7638600000000002</v>
      </c>
      <c r="J58" s="281">
        <f t="shared" si="37"/>
        <v>3.2497200000000004</v>
      </c>
      <c r="K58" s="282">
        <f>IF(Notes!$B$9="Domestic",I58, IF(Notes!$B$9="Commercial",J58))*$K$52</f>
        <v>3.2497200000000004</v>
      </c>
      <c r="L58" s="283">
        <f>IF(SUM(O58:Q58)=0,0,((SUM(O58:Q58)+(K58+SUM(M58:Q58))*(INDEX($U$52:$AB$52,MATCH(Notes!$C$16,$U$3:$AB$3,0))-100%))*$L$52))</f>
        <v>0</v>
      </c>
      <c r="M58" s="286"/>
      <c r="N58" s="286"/>
      <c r="O58" s="285"/>
      <c r="P58" s="285"/>
      <c r="Q58" s="285"/>
      <c r="R58" s="278"/>
      <c r="S58" s="278"/>
      <c r="T58" s="278"/>
    </row>
    <row r="59" spans="1:28" ht="21" hidden="1" outlineLevel="1" x14ac:dyDescent="0.25">
      <c r="A59" s="299" t="s">
        <v>2268</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row>
    <row r="60" spans="1:28" ht="15.75" hidden="1" outlineLevel="1" x14ac:dyDescent="0.25">
      <c r="A60" s="291"/>
      <c r="B60" s="291"/>
      <c r="C60" s="291"/>
      <c r="D60" s="291"/>
      <c r="E60" s="291"/>
      <c r="F60" s="291"/>
      <c r="G60" s="291"/>
      <c r="H60" s="291"/>
      <c r="I60" s="291"/>
      <c r="J60" s="291"/>
      <c r="K60" s="291">
        <f>K$2</f>
        <v>1</v>
      </c>
      <c r="L60" s="291">
        <f>L$2</f>
        <v>1</v>
      </c>
      <c r="M60" s="291"/>
      <c r="N60" s="291"/>
      <c r="O60" s="303"/>
      <c r="P60" s="303"/>
      <c r="Q60" s="303"/>
      <c r="R60" s="291"/>
      <c r="S60" s="291"/>
      <c r="T60" s="291"/>
      <c r="U60" s="291">
        <f>3325*1.25/3395</f>
        <v>1.2242268041237114</v>
      </c>
      <c r="V60" s="291">
        <f>3395/3395</f>
        <v>1</v>
      </c>
      <c r="W60" s="291">
        <f>2900/3395</f>
        <v>0.85419734904270983</v>
      </c>
      <c r="X60" s="291">
        <f>2980*1.5/3395</f>
        <v>1.3166421207658321</v>
      </c>
      <c r="Y60" s="291">
        <f>2690/3395</f>
        <v>0.79234167893961704</v>
      </c>
      <c r="Z60" s="291">
        <f>2850/3395</f>
        <v>0.83946980854197351</v>
      </c>
      <c r="AA60" s="291">
        <f>3200/3395</f>
        <v>0.94256259204712811</v>
      </c>
      <c r="AB60" s="291">
        <f>3535/3395</f>
        <v>1.0412371134020619</v>
      </c>
    </row>
    <row r="61" spans="1:28" s="305" customFormat="1" hidden="1" outlineLevel="1" x14ac:dyDescent="0.25">
      <c r="A61" s="278"/>
      <c r="B61" s="279" t="str">
        <f>C61&amp;D61&amp;E61&amp;F61</f>
        <v>starter supplyN12-200</v>
      </c>
      <c r="C61" s="278" t="s">
        <v>2221</v>
      </c>
      <c r="D61" s="278" t="s">
        <v>2239</v>
      </c>
      <c r="E61" s="278"/>
      <c r="F61" s="278"/>
      <c r="G61" s="278" t="s">
        <v>5</v>
      </c>
      <c r="H61" s="290"/>
      <c r="I61" s="280">
        <f>$I$2*H61</f>
        <v>0</v>
      </c>
      <c r="J61" s="281">
        <f>$J$2*H61</f>
        <v>0</v>
      </c>
      <c r="K61" s="282">
        <f>IF(Notes!$B$9="Domestic",I61, IF(Notes!$B$9="Commercial",J61))*$K$60</f>
        <v>0</v>
      </c>
      <c r="L61" s="283">
        <f>IF(SUM(O61:Q61)=0,0,((SUM(O61:Q61)+(K61+SUM(M61:Q61))*(INDEX($U$60:$AB$60,MATCH(Notes!$C$16,$U$3:$AB$3,0))-100%))*$L$60))</f>
        <v>4.7300000000000004</v>
      </c>
      <c r="M61" s="286"/>
      <c r="N61" s="286"/>
      <c r="O61" s="285">
        <v>4.7300000000000004</v>
      </c>
      <c r="P61" s="285"/>
      <c r="Q61" s="285"/>
      <c r="R61" s="278"/>
      <c r="S61" s="278"/>
      <c r="T61" s="278"/>
    </row>
    <row r="62" spans="1:28" s="305" customFormat="1" hidden="1" outlineLevel="1" x14ac:dyDescent="0.25">
      <c r="A62" s="278"/>
      <c r="B62" s="279" t="str">
        <f>C62&amp;D62&amp;E62&amp;F62</f>
        <v>starter supplyN12-400</v>
      </c>
      <c r="C62" s="278" t="s">
        <v>2221</v>
      </c>
      <c r="D62" s="278" t="s">
        <v>2238</v>
      </c>
      <c r="E62" s="278"/>
      <c r="F62" s="278"/>
      <c r="G62" s="278" t="s">
        <v>5</v>
      </c>
      <c r="H62" s="290"/>
      <c r="I62" s="280">
        <f>$I$2*H62</f>
        <v>0</v>
      </c>
      <c r="J62" s="281">
        <f>$J$2*H62</f>
        <v>0</v>
      </c>
      <c r="K62" s="282">
        <f>IF(Notes!$B$9="Domestic",I62, IF(Notes!$B$9="Commercial",J62))*$K$60</f>
        <v>0</v>
      </c>
      <c r="L62" s="283">
        <f>IF(SUM(O62:Q62)=0,0,((SUM(O62:Q62)+(K62+SUM(M62:Q62))*(INDEX($U$60:$AB$60,MATCH(Notes!$C$16,$U$3:$AB$3,0))-100%))*$L$60))</f>
        <v>4.7300000000000004</v>
      </c>
      <c r="M62" s="286"/>
      <c r="N62" s="286"/>
      <c r="O62" s="285">
        <v>4.7300000000000004</v>
      </c>
      <c r="P62" s="285"/>
      <c r="Q62" s="285"/>
      <c r="R62" s="278"/>
      <c r="S62" s="278"/>
      <c r="T62" s="278"/>
    </row>
    <row r="63" spans="1:28" s="305" customFormat="1" hidden="1" outlineLevel="1" x14ac:dyDescent="0.25">
      <c r="A63" s="278"/>
      <c r="B63" s="279" t="str">
        <f t="shared" ref="B63:B66" si="41">C63&amp;D63&amp;E63&amp;F63</f>
        <v>starter supplyN16-200</v>
      </c>
      <c r="C63" s="278" t="s">
        <v>2221</v>
      </c>
      <c r="D63" s="278" t="s">
        <v>2240</v>
      </c>
      <c r="E63" s="278"/>
      <c r="F63" s="278"/>
      <c r="G63" s="278" t="s">
        <v>5</v>
      </c>
      <c r="H63" s="290"/>
      <c r="I63" s="280">
        <f t="shared" ref="I63:I66" si="42">$I$2*H63</f>
        <v>0</v>
      </c>
      <c r="J63" s="281">
        <f t="shared" ref="J63:J66" si="43">$J$2*H63</f>
        <v>0</v>
      </c>
      <c r="K63" s="282">
        <f>IF(Notes!$B$9="Domestic",I63, IF(Notes!$B$9="Commercial",J63))*$K$60</f>
        <v>0</v>
      </c>
      <c r="L63" s="283">
        <f>IF(SUM(O63:Q63)=0,0,((SUM(O63:Q63)+(K63+SUM(M63:Q63))*(INDEX($U$60:$AB$60,MATCH(Notes!$C$16,$U$3:$AB$3,0))-100%))*$L$60))</f>
        <v>8.36</v>
      </c>
      <c r="M63" s="286"/>
      <c r="N63" s="286"/>
      <c r="O63" s="285">
        <v>8.36</v>
      </c>
      <c r="P63" s="285"/>
      <c r="Q63" s="285"/>
      <c r="R63" s="278"/>
      <c r="S63" s="278"/>
      <c r="T63" s="278"/>
    </row>
    <row r="64" spans="1:28" s="305" customFormat="1" hidden="1" outlineLevel="1" x14ac:dyDescent="0.25">
      <c r="A64" s="278"/>
      <c r="B64" s="279" t="str">
        <f t="shared" ref="B64:B65" si="44">C64&amp;D64&amp;E64&amp;F64</f>
        <v>starter supplyN16-400</v>
      </c>
      <c r="C64" s="278" t="s">
        <v>2221</v>
      </c>
      <c r="D64" s="278" t="s">
        <v>2241</v>
      </c>
      <c r="E64" s="278"/>
      <c r="F64" s="278"/>
      <c r="G64" s="278" t="s">
        <v>5</v>
      </c>
      <c r="H64" s="290"/>
      <c r="I64" s="280">
        <f t="shared" ref="I64:I65" si="45">$I$2*H64</f>
        <v>0</v>
      </c>
      <c r="J64" s="281">
        <f t="shared" ref="J64:J65" si="46">$J$2*H64</f>
        <v>0</v>
      </c>
      <c r="K64" s="282">
        <f>IF(Notes!$B$9="Domestic",I64, IF(Notes!$B$9="Commercial",J64))*$K$60</f>
        <v>0</v>
      </c>
      <c r="L64" s="283">
        <f>IF(SUM(O64:Q64)=0,0,((SUM(O64:Q64)+(K64+SUM(M64:Q64))*(INDEX($U$60:$AB$60,MATCH(Notes!$C$16,$U$3:$AB$3,0))-100%))*$L$60))</f>
        <v>8.36</v>
      </c>
      <c r="M64" s="286"/>
      <c r="N64" s="286"/>
      <c r="O64" s="285">
        <v>8.36</v>
      </c>
      <c r="P64" s="285"/>
      <c r="Q64" s="285"/>
      <c r="R64" s="278"/>
      <c r="S64" s="278"/>
      <c r="T64" s="278"/>
    </row>
    <row r="65" spans="1:28" s="305" customFormat="1" hidden="1" outlineLevel="1" x14ac:dyDescent="0.25">
      <c r="A65" s="278"/>
      <c r="B65" s="279" t="str">
        <f t="shared" si="44"/>
        <v>starter supplyN20-200</v>
      </c>
      <c r="C65" s="278" t="s">
        <v>2221</v>
      </c>
      <c r="D65" s="278" t="s">
        <v>2242</v>
      </c>
      <c r="E65" s="278"/>
      <c r="F65" s="278"/>
      <c r="G65" s="278" t="s">
        <v>5</v>
      </c>
      <c r="H65" s="290"/>
      <c r="I65" s="280">
        <f t="shared" si="45"/>
        <v>0</v>
      </c>
      <c r="J65" s="281">
        <f t="shared" si="46"/>
        <v>0</v>
      </c>
      <c r="K65" s="282">
        <f>IF(Notes!$B$9="Domestic",I65, IF(Notes!$B$9="Commercial",J65))*$K$60</f>
        <v>0</v>
      </c>
      <c r="L65" s="283">
        <f>IF(SUM(O65:Q65)=0,0,((SUM(O65:Q65)+(K65+SUM(M65:Q65))*(INDEX($U$60:$AB$60,MATCH(Notes!$C$16,$U$3:$AB$3,0))-100%))*$L$60))</f>
        <v>12.86</v>
      </c>
      <c r="M65" s="286"/>
      <c r="N65" s="286"/>
      <c r="O65" s="285">
        <v>12.86</v>
      </c>
      <c r="P65" s="285"/>
      <c r="Q65" s="285"/>
      <c r="R65" s="278"/>
      <c r="S65" s="278"/>
      <c r="T65" s="278"/>
    </row>
    <row r="66" spans="1:28" s="305" customFormat="1" hidden="1" outlineLevel="1" x14ac:dyDescent="0.25">
      <c r="A66" s="278"/>
      <c r="B66" s="279" t="str">
        <f t="shared" si="41"/>
        <v>starter supplyN20-400</v>
      </c>
      <c r="C66" s="278" t="s">
        <v>2221</v>
      </c>
      <c r="D66" s="278" t="s">
        <v>2243</v>
      </c>
      <c r="E66" s="278"/>
      <c r="F66" s="278"/>
      <c r="G66" s="278" t="s">
        <v>5</v>
      </c>
      <c r="H66" s="290"/>
      <c r="I66" s="280">
        <f t="shared" si="42"/>
        <v>0</v>
      </c>
      <c r="J66" s="281">
        <f t="shared" si="43"/>
        <v>0</v>
      </c>
      <c r="K66" s="282">
        <f>IF(Notes!$B$9="Domestic",I66, IF(Notes!$B$9="Commercial",J66))*$K$60</f>
        <v>0</v>
      </c>
      <c r="L66" s="283">
        <f>IF(SUM(O66:Q66)=0,0,((SUM(O66:Q66)+(K66+SUM(M66:Q66))*(INDEX($U$60:$AB$60,MATCH(Notes!$C$16,$U$3:$AB$3,0))-100%))*$L$60))</f>
        <v>12.86</v>
      </c>
      <c r="M66" s="286"/>
      <c r="N66" s="286"/>
      <c r="O66" s="285">
        <v>12.86</v>
      </c>
      <c r="P66" s="285"/>
      <c r="Q66" s="285"/>
      <c r="R66" s="278"/>
      <c r="S66" s="278"/>
      <c r="T66" s="278"/>
    </row>
    <row r="67" spans="1:28" ht="21" hidden="1" outlineLevel="1" x14ac:dyDescent="0.25">
      <c r="A67" s="299" t="s">
        <v>2267</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row>
    <row r="68" spans="1:28" ht="15.75" hidden="1" outlineLevel="1" x14ac:dyDescent="0.25">
      <c r="A68" s="291"/>
      <c r="B68" s="291"/>
      <c r="C68" s="291"/>
      <c r="D68" s="291"/>
      <c r="E68" s="291"/>
      <c r="F68" s="291"/>
      <c r="G68" s="291"/>
      <c r="H68" s="291"/>
      <c r="I68" s="291"/>
      <c r="J68" s="291"/>
      <c r="K68" s="291">
        <f>K$2</f>
        <v>1</v>
      </c>
      <c r="L68" s="291">
        <f>L$2</f>
        <v>1</v>
      </c>
      <c r="M68" s="291"/>
      <c r="N68" s="291"/>
      <c r="O68" s="303"/>
      <c r="P68" s="303"/>
      <c r="Q68" s="303"/>
      <c r="R68" s="291"/>
      <c r="S68" s="291"/>
      <c r="T68" s="291"/>
      <c r="U68" s="381">
        <f>U$23</f>
        <v>0.91791044776119401</v>
      </c>
      <c r="V68" s="381">
        <f t="shared" ref="V68:AB68" si="47">V$23</f>
        <v>1</v>
      </c>
      <c r="W68" s="381">
        <f t="shared" si="47"/>
        <v>1.1194029850746268</v>
      </c>
      <c r="X68" s="381">
        <f t="shared" si="47"/>
        <v>1.2462686567164178</v>
      </c>
      <c r="Y68" s="381">
        <f t="shared" si="47"/>
        <v>1.1567164179104477</v>
      </c>
      <c r="Z68" s="381">
        <f t="shared" si="47"/>
        <v>1.0671641791044777</v>
      </c>
      <c r="AA68" s="381">
        <f t="shared" si="47"/>
        <v>1</v>
      </c>
      <c r="AB68" s="381">
        <f t="shared" si="47"/>
        <v>0.74626865671641796</v>
      </c>
    </row>
    <row r="69" spans="1:28" s="305" customFormat="1" hidden="1" outlineLevel="1" x14ac:dyDescent="0.25">
      <c r="A69" s="278"/>
      <c r="B69" s="279" t="str">
        <f>C69&amp;D69&amp;E69&amp;F69</f>
        <v>starter installationN12-200</v>
      </c>
      <c r="C69" s="278" t="s">
        <v>2222</v>
      </c>
      <c r="D69" s="278" t="s">
        <v>2239</v>
      </c>
      <c r="E69" s="278"/>
      <c r="F69" s="278"/>
      <c r="G69" s="278" t="s">
        <v>5</v>
      </c>
      <c r="H69" s="290">
        <v>7.0000000000000007E-2</v>
      </c>
      <c r="I69" s="280">
        <f>$I$2*H69</f>
        <v>5.6903000000000006</v>
      </c>
      <c r="J69" s="281">
        <f>$J$2*H69</f>
        <v>6.6906000000000008</v>
      </c>
      <c r="K69" s="282">
        <f>IF(Notes!$B$9="Domestic",I69, IF(Notes!$B$9="Commercial",J69))*$K$68</f>
        <v>6.6906000000000008</v>
      </c>
      <c r="L69" s="283">
        <f>IF(SUM(O69:Q69)=0,0,((SUM(O69:Q69)+(K69+SUM(M69:Q69))*(INDEX($U$68:$AB$68,MATCH(Notes!$C$16,$U$3:$AB$3,0))-100%))*$L$68))</f>
        <v>0</v>
      </c>
      <c r="M69" s="286"/>
      <c r="N69" s="286"/>
      <c r="O69" s="285"/>
      <c r="P69" s="285"/>
      <c r="Q69" s="285"/>
      <c r="R69" s="278"/>
      <c r="S69" s="278"/>
      <c r="T69" s="278"/>
    </row>
    <row r="70" spans="1:28" s="305" customFormat="1" hidden="1" outlineLevel="1" x14ac:dyDescent="0.25">
      <c r="A70" s="278"/>
      <c r="B70" s="279" t="str">
        <f t="shared" ref="B70:B74" si="48">C70&amp;D70&amp;E70&amp;F70</f>
        <v>starter installationN12-400</v>
      </c>
      <c r="C70" s="278" t="s">
        <v>2222</v>
      </c>
      <c r="D70" s="278" t="s">
        <v>2238</v>
      </c>
      <c r="E70" s="278"/>
      <c r="F70" s="278"/>
      <c r="G70" s="278" t="s">
        <v>5</v>
      </c>
      <c r="H70" s="290">
        <v>7.0000000000000007E-2</v>
      </c>
      <c r="I70" s="280">
        <f t="shared" ref="I70:I74" si="49">$I$2*H70</f>
        <v>5.6903000000000006</v>
      </c>
      <c r="J70" s="281">
        <f t="shared" ref="J70:J74" si="50">$J$2*H70</f>
        <v>6.6906000000000008</v>
      </c>
      <c r="K70" s="282">
        <f>IF(Notes!$B$9="Domestic",I70, IF(Notes!$B$9="Commercial",J70))*$K$68</f>
        <v>6.6906000000000008</v>
      </c>
      <c r="L70" s="283">
        <f>IF(SUM(O70:Q70)=0,0,((SUM(O70:Q70)+(K70+SUM(M70:Q70))*(INDEX($U$68:$AB$68,MATCH(Notes!$C$16,$U$3:$AB$3,0))-100%))*$L$68))</f>
        <v>0</v>
      </c>
      <c r="M70" s="286"/>
      <c r="N70" s="286"/>
      <c r="O70" s="285"/>
      <c r="P70" s="285"/>
      <c r="Q70" s="285"/>
      <c r="R70" s="278"/>
      <c r="S70" s="278"/>
      <c r="T70" s="278"/>
    </row>
    <row r="71" spans="1:28" s="305" customFormat="1" hidden="1" outlineLevel="1" x14ac:dyDescent="0.25">
      <c r="A71" s="278"/>
      <c r="B71" s="279" t="str">
        <f t="shared" ref="B71:B73" si="51">C71&amp;D71&amp;E71&amp;F71</f>
        <v>starter installationN16-200</v>
      </c>
      <c r="C71" s="278" t="s">
        <v>2222</v>
      </c>
      <c r="D71" s="278" t="s">
        <v>2240</v>
      </c>
      <c r="E71" s="278"/>
      <c r="F71" s="278"/>
      <c r="G71" s="278" t="s">
        <v>5</v>
      </c>
      <c r="H71" s="290">
        <v>7.0000000000000007E-2</v>
      </c>
      <c r="I71" s="280">
        <f t="shared" ref="I71:I73" si="52">$I$2*H71</f>
        <v>5.6903000000000006</v>
      </c>
      <c r="J71" s="281">
        <f t="shared" ref="J71:J73" si="53">$J$2*H71</f>
        <v>6.6906000000000008</v>
      </c>
      <c r="K71" s="282">
        <f>IF(Notes!$B$9="Domestic",I71, IF(Notes!$B$9="Commercial",J71))*$K$68</f>
        <v>6.6906000000000008</v>
      </c>
      <c r="L71" s="283">
        <f>IF(SUM(O71:Q71)=0,0,((SUM(O71:Q71)+(K71+SUM(M71:Q71))*(INDEX($U$68:$AB$68,MATCH(Notes!$C$16,$U$3:$AB$3,0))-100%))*$L$68))</f>
        <v>0</v>
      </c>
      <c r="M71" s="286"/>
      <c r="N71" s="286"/>
      <c r="O71" s="285"/>
      <c r="P71" s="285"/>
      <c r="Q71" s="285"/>
      <c r="R71" s="278"/>
      <c r="S71" s="278"/>
      <c r="T71" s="278"/>
    </row>
    <row r="72" spans="1:28" s="305" customFormat="1" hidden="1" outlineLevel="1" x14ac:dyDescent="0.25">
      <c r="A72" s="278"/>
      <c r="B72" s="279" t="str">
        <f t="shared" si="51"/>
        <v>starter installationN16-400</v>
      </c>
      <c r="C72" s="278" t="s">
        <v>2222</v>
      </c>
      <c r="D72" s="278" t="s">
        <v>2241</v>
      </c>
      <c r="E72" s="278"/>
      <c r="F72" s="278"/>
      <c r="G72" s="278" t="s">
        <v>5</v>
      </c>
      <c r="H72" s="290">
        <v>7.0000000000000007E-2</v>
      </c>
      <c r="I72" s="280">
        <f t="shared" si="52"/>
        <v>5.6903000000000006</v>
      </c>
      <c r="J72" s="281">
        <f t="shared" si="53"/>
        <v>6.6906000000000008</v>
      </c>
      <c r="K72" s="282">
        <f>IF(Notes!$B$9="Domestic",I72, IF(Notes!$B$9="Commercial",J72))*$K$68</f>
        <v>6.6906000000000008</v>
      </c>
      <c r="L72" s="283">
        <f>IF(SUM(O72:Q72)=0,0,((SUM(O72:Q72)+(K72+SUM(M72:Q72))*(INDEX($U$68:$AB$68,MATCH(Notes!$C$16,$U$3:$AB$3,0))-100%))*$L$68))</f>
        <v>0</v>
      </c>
      <c r="M72" s="286"/>
      <c r="N72" s="286"/>
      <c r="O72" s="285"/>
      <c r="P72" s="285"/>
      <c r="Q72" s="285"/>
      <c r="R72" s="278"/>
      <c r="S72" s="278"/>
      <c r="T72" s="278"/>
    </row>
    <row r="73" spans="1:28" s="305" customFormat="1" hidden="1" outlineLevel="1" x14ac:dyDescent="0.25">
      <c r="A73" s="278"/>
      <c r="B73" s="279" t="str">
        <f t="shared" si="51"/>
        <v>starter installationN20-200</v>
      </c>
      <c r="C73" s="278" t="s">
        <v>2222</v>
      </c>
      <c r="D73" s="278" t="s">
        <v>2242</v>
      </c>
      <c r="E73" s="278"/>
      <c r="F73" s="278"/>
      <c r="G73" s="278" t="s">
        <v>5</v>
      </c>
      <c r="H73" s="290">
        <v>7.0000000000000007E-2</v>
      </c>
      <c r="I73" s="280">
        <f t="shared" si="52"/>
        <v>5.6903000000000006</v>
      </c>
      <c r="J73" s="281">
        <f t="shared" si="53"/>
        <v>6.6906000000000008</v>
      </c>
      <c r="K73" s="282">
        <f>IF(Notes!$B$9="Domestic",I73, IF(Notes!$B$9="Commercial",J73))*$K$68</f>
        <v>6.6906000000000008</v>
      </c>
      <c r="L73" s="283">
        <f>IF(SUM(O73:Q73)=0,0,((SUM(O73:Q73)+(K73+SUM(M73:Q73))*(INDEX($U$68:$AB$68,MATCH(Notes!$C$16,$U$3:$AB$3,0))-100%))*$L$68))</f>
        <v>0</v>
      </c>
      <c r="M73" s="286"/>
      <c r="N73" s="286"/>
      <c r="O73" s="285"/>
      <c r="P73" s="285"/>
      <c r="Q73" s="285"/>
      <c r="R73" s="278"/>
      <c r="S73" s="278"/>
      <c r="T73" s="278"/>
    </row>
    <row r="74" spans="1:28" s="305" customFormat="1" hidden="1" outlineLevel="1" x14ac:dyDescent="0.25">
      <c r="A74" s="278"/>
      <c r="B74" s="279" t="str">
        <f t="shared" si="48"/>
        <v>starter installationN20-400</v>
      </c>
      <c r="C74" s="278" t="s">
        <v>2222</v>
      </c>
      <c r="D74" s="278" t="s">
        <v>2243</v>
      </c>
      <c r="E74" s="278"/>
      <c r="F74" s="278"/>
      <c r="G74" s="278" t="s">
        <v>5</v>
      </c>
      <c r="H74" s="290">
        <v>7.0000000000000007E-2</v>
      </c>
      <c r="I74" s="280">
        <f t="shared" si="49"/>
        <v>5.6903000000000006</v>
      </c>
      <c r="J74" s="281">
        <f t="shared" si="50"/>
        <v>6.6906000000000008</v>
      </c>
      <c r="K74" s="282">
        <f>IF(Notes!$B$9="Domestic",I74, IF(Notes!$B$9="Commercial",J74))*$K$68</f>
        <v>6.6906000000000008</v>
      </c>
      <c r="L74" s="283">
        <f>IF(SUM(O74:Q74)=0,0,((SUM(O74:Q74)+(K74+SUM(M74:Q74))*(INDEX($U$68:$AB$68,MATCH(Notes!$C$16,$U$3:$AB$3,0))-100%))*$L$68))</f>
        <v>0</v>
      </c>
      <c r="M74" s="286"/>
      <c r="N74" s="286"/>
      <c r="O74" s="285"/>
      <c r="P74" s="285"/>
      <c r="Q74" s="285"/>
      <c r="R74" s="278"/>
      <c r="S74" s="278"/>
      <c r="T74" s="278"/>
    </row>
    <row r="75" spans="1:28" ht="21" hidden="1" outlineLevel="1" x14ac:dyDescent="0.25">
      <c r="A75" s="299" t="s">
        <v>2264</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row>
    <row r="76" spans="1:28" ht="15.75" hidden="1" outlineLevel="1" x14ac:dyDescent="0.25">
      <c r="A76" s="291"/>
      <c r="B76" s="291"/>
      <c r="C76" s="291"/>
      <c r="D76" s="291"/>
      <c r="E76" s="291"/>
      <c r="F76" s="291"/>
      <c r="G76" s="291"/>
      <c r="H76" s="291"/>
      <c r="I76" s="291"/>
      <c r="J76" s="291"/>
      <c r="K76" s="291">
        <f>K$2</f>
        <v>1</v>
      </c>
      <c r="L76" s="291">
        <f>L$2</f>
        <v>1</v>
      </c>
      <c r="M76" s="291"/>
      <c r="N76" s="291"/>
      <c r="O76" s="303"/>
      <c r="P76" s="303"/>
      <c r="Q76" s="303"/>
      <c r="R76" s="291"/>
      <c r="S76" s="291"/>
      <c r="T76" s="291"/>
      <c r="U76" s="291">
        <f>57.2/61.2</f>
        <v>0.934640522875817</v>
      </c>
      <c r="V76" s="291">
        <f>61.2/61.2</f>
        <v>1</v>
      </c>
      <c r="W76" s="291">
        <f>66.5/61.2</f>
        <v>1.0866013071895424</v>
      </c>
      <c r="X76" s="291">
        <f>62.8/61.2</f>
        <v>1.0261437908496731</v>
      </c>
      <c r="Y76" s="291">
        <f>77.6/61.2</f>
        <v>1.2679738562091503</v>
      </c>
      <c r="Z76" s="291">
        <v>1.3575757575757577</v>
      </c>
      <c r="AA76" s="291">
        <v>1.5151515151515151</v>
      </c>
      <c r="AB76" s="291">
        <v>1.1696969696969697</v>
      </c>
    </row>
    <row r="77" spans="1:28" s="305" customFormat="1" hidden="1" outlineLevel="1" x14ac:dyDescent="0.25">
      <c r="A77" s="278"/>
      <c r="B77" s="279" t="str">
        <f>C77&amp;D77&amp;E77&amp;F77</f>
        <v>core fill390Lx140Wx190H20MPa</v>
      </c>
      <c r="C77" s="278" t="s">
        <v>2220</v>
      </c>
      <c r="D77" s="278" t="s">
        <v>2195</v>
      </c>
      <c r="E77" s="278" t="s">
        <v>531</v>
      </c>
      <c r="F77" s="278"/>
      <c r="G77" s="278" t="s">
        <v>11</v>
      </c>
      <c r="H77" s="290">
        <v>0.05</v>
      </c>
      <c r="I77" s="280">
        <f>$I$2*H77</f>
        <v>4.0645000000000007</v>
      </c>
      <c r="J77" s="281">
        <f>$J$2*H77</f>
        <v>4.7789999999999999</v>
      </c>
      <c r="K77" s="282">
        <f>IF(Notes!$B$9="Domestic",I77, IF(Notes!$B$9="Commercial",J77))*$K$76</f>
        <v>4.7789999999999999</v>
      </c>
      <c r="L77" s="283">
        <f>IF(SUM(O77:Q77)=0,0,((SUM(O77:Q77)+(K77+SUM(M77:Q77))*(INDEX($U$76:$AB$76,MATCH(Notes!$C$16,$U$3:$AB$3,0))-100%))*$L$76))</f>
        <v>22.39</v>
      </c>
      <c r="M77" s="286">
        <v>9.39</v>
      </c>
      <c r="N77" s="286"/>
      <c r="O77" s="285">
        <v>22.39</v>
      </c>
      <c r="P77" s="285"/>
      <c r="Q77" s="285"/>
      <c r="R77" s="278"/>
      <c r="S77" s="278"/>
      <c r="T77" s="278"/>
    </row>
    <row r="78" spans="1:28" s="305" customFormat="1" hidden="1" outlineLevel="1" x14ac:dyDescent="0.25">
      <c r="A78" s="278"/>
      <c r="B78" s="279" t="str">
        <f t="shared" ref="B78:B79" si="54">C78&amp;D78&amp;E78&amp;F78</f>
        <v>core fill390Lx190Wx190H20MPa</v>
      </c>
      <c r="C78" s="278" t="s">
        <v>2220</v>
      </c>
      <c r="D78" s="278" t="s">
        <v>2196</v>
      </c>
      <c r="E78" s="278" t="s">
        <v>531</v>
      </c>
      <c r="F78" s="278"/>
      <c r="G78" s="278" t="s">
        <v>11</v>
      </c>
      <c r="H78" s="290">
        <v>7.0000000000000007E-2</v>
      </c>
      <c r="I78" s="280">
        <f t="shared" ref="I78:I79" si="55">$I$2*H78</f>
        <v>5.6903000000000006</v>
      </c>
      <c r="J78" s="281">
        <f t="shared" ref="J78:J79" si="56">$J$2*H78</f>
        <v>6.6906000000000008</v>
      </c>
      <c r="K78" s="282">
        <f>IF(Notes!$B$9="Domestic",I78, IF(Notes!$B$9="Commercial",J78))*$K$76</f>
        <v>6.6906000000000008</v>
      </c>
      <c r="L78" s="283">
        <f>IF(SUM(O78:Q78)=0,0,((SUM(O78:Q78)+(K78+SUM(M78:Q78))*(INDEX($U$76:$AB$76,MATCH(Notes!$C$16,$U$3:$AB$3,0))-100%))*$L$76))</f>
        <v>34.44</v>
      </c>
      <c r="M78" s="286">
        <v>14.44</v>
      </c>
      <c r="N78" s="286"/>
      <c r="O78" s="285">
        <v>34.44</v>
      </c>
      <c r="P78" s="285"/>
      <c r="Q78" s="285"/>
      <c r="R78" s="278"/>
      <c r="S78" s="278"/>
      <c r="T78" s="278"/>
    </row>
    <row r="79" spans="1:28" s="305" customFormat="1" hidden="1" outlineLevel="1" x14ac:dyDescent="0.25">
      <c r="A79" s="278"/>
      <c r="B79" s="279" t="str">
        <f t="shared" si="54"/>
        <v>core fill390Lx290Wx190H20MPa</v>
      </c>
      <c r="C79" s="278" t="s">
        <v>2220</v>
      </c>
      <c r="D79" s="278" t="s">
        <v>2197</v>
      </c>
      <c r="E79" s="278" t="s">
        <v>531</v>
      </c>
      <c r="F79" s="278"/>
      <c r="G79" s="278" t="s">
        <v>11</v>
      </c>
      <c r="H79" s="290">
        <v>0.12</v>
      </c>
      <c r="I79" s="280">
        <f t="shared" si="55"/>
        <v>9.7548000000000012</v>
      </c>
      <c r="J79" s="281">
        <f t="shared" si="56"/>
        <v>11.4696</v>
      </c>
      <c r="K79" s="282">
        <f>IF(Notes!$B$9="Domestic",I79, IF(Notes!$B$9="Commercial",J79))*$K$76</f>
        <v>11.4696</v>
      </c>
      <c r="L79" s="283">
        <f>IF(SUM(O79:Q79)=0,0,((SUM(O79:Q79)+(K79+SUM(M79:Q79))*(INDEX($U$76:$AB$76,MATCH(Notes!$C$16,$U$3:$AB$3,0))-100%))*$L$76))</f>
        <v>59.59</v>
      </c>
      <c r="M79" s="286">
        <v>23.61</v>
      </c>
      <c r="N79" s="286"/>
      <c r="O79" s="285">
        <v>59.59</v>
      </c>
      <c r="P79" s="285"/>
      <c r="Q79" s="285"/>
      <c r="R79" s="278"/>
      <c r="S79" s="278"/>
      <c r="T79" s="278"/>
    </row>
    <row r="80" spans="1:28" s="305" customFormat="1" hidden="1" outlineLevel="1" x14ac:dyDescent="0.25">
      <c r="A80" s="278"/>
      <c r="B80" s="279" t="str">
        <f t="shared" ref="B80:B88" si="57">C80&amp;D80&amp;E80&amp;F80</f>
        <v>core fill390Lx140Wx190H25MPa</v>
      </c>
      <c r="C80" s="278" t="s">
        <v>2220</v>
      </c>
      <c r="D80" s="278" t="s">
        <v>2195</v>
      </c>
      <c r="E80" s="278" t="s">
        <v>773</v>
      </c>
      <c r="F80" s="278"/>
      <c r="G80" s="278" t="s">
        <v>11</v>
      </c>
      <c r="H80" s="308">
        <f>H77</f>
        <v>0.05</v>
      </c>
      <c r="I80" s="280">
        <f t="shared" ref="I80:I88" si="58">$I$2*H80</f>
        <v>4.0645000000000007</v>
      </c>
      <c r="J80" s="281">
        <f t="shared" ref="J80:J88" si="59">$J$2*H80</f>
        <v>4.7789999999999999</v>
      </c>
      <c r="K80" s="282">
        <f>IF(Notes!$B$9="Domestic",I80, IF(Notes!$B$9="Commercial",J80))*$K$76</f>
        <v>4.7789999999999999</v>
      </c>
      <c r="L80" s="283">
        <f>IF(SUM(O80:Q80)=0,0,((SUM(O80:Q80)+(K80+SUM(M80:Q80))*(INDEX($U$76:$AB$76,MATCH(Notes!$C$16,$U$3:$AB$3,0))-100%))*$L$76))</f>
        <v>23.061700000000002</v>
      </c>
      <c r="M80" s="313">
        <f>M77</f>
        <v>9.39</v>
      </c>
      <c r="N80" s="286"/>
      <c r="O80" s="311">
        <f>O77*1.03</f>
        <v>23.061700000000002</v>
      </c>
      <c r="P80" s="285"/>
      <c r="Q80" s="285"/>
      <c r="R80" s="278"/>
      <c r="S80" s="278"/>
      <c r="T80" s="278"/>
    </row>
    <row r="81" spans="1:28" s="305" customFormat="1" hidden="1" outlineLevel="1" x14ac:dyDescent="0.25">
      <c r="A81" s="278"/>
      <c r="B81" s="279" t="str">
        <f t="shared" si="57"/>
        <v>core fill390Lx190Wx190H25MPa</v>
      </c>
      <c r="C81" s="278" t="s">
        <v>2220</v>
      </c>
      <c r="D81" s="278" t="s">
        <v>2196</v>
      </c>
      <c r="E81" s="278" t="s">
        <v>773</v>
      </c>
      <c r="F81" s="278"/>
      <c r="G81" s="278" t="s">
        <v>11</v>
      </c>
      <c r="H81" s="308">
        <f t="shared" ref="H81:H91" si="60">H78</f>
        <v>7.0000000000000007E-2</v>
      </c>
      <c r="I81" s="280">
        <f t="shared" si="58"/>
        <v>5.6903000000000006</v>
      </c>
      <c r="J81" s="281">
        <f t="shared" si="59"/>
        <v>6.6906000000000008</v>
      </c>
      <c r="K81" s="282">
        <f>IF(Notes!$B$9="Domestic",I81, IF(Notes!$B$9="Commercial",J81))*$K$76</f>
        <v>6.6906000000000008</v>
      </c>
      <c r="L81" s="283">
        <f>IF(SUM(O81:Q81)=0,0,((SUM(O81:Q81)+(K81+SUM(M81:Q81))*(INDEX($U$76:$AB$76,MATCH(Notes!$C$16,$U$3:$AB$3,0))-100%))*$L$76))</f>
        <v>35.473199999999999</v>
      </c>
      <c r="M81" s="313">
        <f t="shared" ref="M81:M91" si="61">M78</f>
        <v>14.44</v>
      </c>
      <c r="N81" s="286"/>
      <c r="O81" s="311">
        <f t="shared" ref="O81:O82" si="62">O78*1.03</f>
        <v>35.473199999999999</v>
      </c>
      <c r="P81" s="285"/>
      <c r="Q81" s="285"/>
      <c r="R81" s="278"/>
      <c r="S81" s="278"/>
      <c r="T81" s="278"/>
    </row>
    <row r="82" spans="1:28" s="305" customFormat="1" hidden="1" outlineLevel="1" x14ac:dyDescent="0.25">
      <c r="A82" s="278"/>
      <c r="B82" s="279" t="str">
        <f t="shared" si="57"/>
        <v>core fill390Lx290Wx190H25MPa</v>
      </c>
      <c r="C82" s="278" t="s">
        <v>2220</v>
      </c>
      <c r="D82" s="278" t="s">
        <v>2197</v>
      </c>
      <c r="E82" s="278" t="s">
        <v>773</v>
      </c>
      <c r="F82" s="278"/>
      <c r="G82" s="278" t="s">
        <v>11</v>
      </c>
      <c r="H82" s="308">
        <f t="shared" si="60"/>
        <v>0.12</v>
      </c>
      <c r="I82" s="280">
        <f t="shared" si="58"/>
        <v>9.7548000000000012</v>
      </c>
      <c r="J82" s="281">
        <f t="shared" si="59"/>
        <v>11.4696</v>
      </c>
      <c r="K82" s="282">
        <f>IF(Notes!$B$9="Domestic",I82, IF(Notes!$B$9="Commercial",J82))*$K$76</f>
        <v>11.4696</v>
      </c>
      <c r="L82" s="283">
        <f>IF(SUM(O82:Q82)=0,0,((SUM(O82:Q82)+(K82+SUM(M82:Q82))*(INDEX($U$76:$AB$76,MATCH(Notes!$C$16,$U$3:$AB$3,0))-100%))*$L$76))</f>
        <v>61.377700000000004</v>
      </c>
      <c r="M82" s="313">
        <f t="shared" si="61"/>
        <v>23.61</v>
      </c>
      <c r="N82" s="286"/>
      <c r="O82" s="311">
        <f t="shared" si="62"/>
        <v>61.377700000000004</v>
      </c>
      <c r="P82" s="285"/>
      <c r="Q82" s="285"/>
      <c r="R82" s="278"/>
      <c r="S82" s="278"/>
      <c r="T82" s="278"/>
    </row>
    <row r="83" spans="1:28" s="305" customFormat="1" hidden="1" outlineLevel="1" x14ac:dyDescent="0.25">
      <c r="A83" s="278"/>
      <c r="B83" s="279" t="str">
        <f t="shared" si="57"/>
        <v>core fill390Lx140Wx190H32MPa</v>
      </c>
      <c r="C83" s="278" t="s">
        <v>2220</v>
      </c>
      <c r="D83" s="278" t="s">
        <v>2195</v>
      </c>
      <c r="E83" s="278" t="s">
        <v>532</v>
      </c>
      <c r="F83" s="278"/>
      <c r="G83" s="278" t="s">
        <v>11</v>
      </c>
      <c r="H83" s="308">
        <f t="shared" si="60"/>
        <v>0.05</v>
      </c>
      <c r="I83" s="280">
        <f t="shared" si="58"/>
        <v>4.0645000000000007</v>
      </c>
      <c r="J83" s="281">
        <f t="shared" si="59"/>
        <v>4.7789999999999999</v>
      </c>
      <c r="K83" s="282">
        <f>IF(Notes!$B$9="Domestic",I83, IF(Notes!$B$9="Commercial",J83))*$K$76</f>
        <v>4.7789999999999999</v>
      </c>
      <c r="L83" s="283">
        <f>IF(SUM(O83:Q83)=0,0,((SUM(O83:Q83)+(K83+SUM(M83:Q83))*(INDEX($U$76:$AB$76,MATCH(Notes!$C$16,$U$3:$AB$3,0))-100%))*$L$76))</f>
        <v>23.733400000000003</v>
      </c>
      <c r="M83" s="313">
        <f t="shared" si="61"/>
        <v>9.39</v>
      </c>
      <c r="N83" s="286"/>
      <c r="O83" s="311">
        <f>O77*1.06</f>
        <v>23.733400000000003</v>
      </c>
      <c r="P83" s="285"/>
      <c r="Q83" s="285"/>
      <c r="R83" s="278"/>
      <c r="S83" s="278"/>
      <c r="T83" s="278"/>
    </row>
    <row r="84" spans="1:28" s="305" customFormat="1" hidden="1" outlineLevel="1" x14ac:dyDescent="0.25">
      <c r="A84" s="278"/>
      <c r="B84" s="279" t="str">
        <f t="shared" si="57"/>
        <v>core fill390Lx190Wx190H32MPa</v>
      </c>
      <c r="C84" s="278" t="s">
        <v>2220</v>
      </c>
      <c r="D84" s="278" t="s">
        <v>2196</v>
      </c>
      <c r="E84" s="278" t="s">
        <v>532</v>
      </c>
      <c r="F84" s="278"/>
      <c r="G84" s="278" t="s">
        <v>11</v>
      </c>
      <c r="H84" s="308">
        <f t="shared" si="60"/>
        <v>7.0000000000000007E-2</v>
      </c>
      <c r="I84" s="280">
        <f t="shared" si="58"/>
        <v>5.6903000000000006</v>
      </c>
      <c r="J84" s="281">
        <f t="shared" si="59"/>
        <v>6.6906000000000008</v>
      </c>
      <c r="K84" s="282">
        <f>IF(Notes!$B$9="Domestic",I84, IF(Notes!$B$9="Commercial",J84))*$K$76</f>
        <v>6.6906000000000008</v>
      </c>
      <c r="L84" s="283">
        <f>IF(SUM(O84:Q84)=0,0,((SUM(O84:Q84)+(K84+SUM(M84:Q84))*(INDEX($U$76:$AB$76,MATCH(Notes!$C$16,$U$3:$AB$3,0))-100%))*$L$76))</f>
        <v>36.506399999999999</v>
      </c>
      <c r="M84" s="313">
        <f t="shared" si="61"/>
        <v>14.44</v>
      </c>
      <c r="N84" s="286"/>
      <c r="O84" s="311">
        <f t="shared" ref="O84:O85" si="63">O78*1.06</f>
        <v>36.506399999999999</v>
      </c>
      <c r="P84" s="285"/>
      <c r="Q84" s="285"/>
      <c r="R84" s="278"/>
      <c r="S84" s="278"/>
      <c r="T84" s="278"/>
    </row>
    <row r="85" spans="1:28" s="305" customFormat="1" hidden="1" outlineLevel="1" x14ac:dyDescent="0.25">
      <c r="A85" s="278"/>
      <c r="B85" s="279" t="str">
        <f t="shared" si="57"/>
        <v>core fill390Lx290Wx190H32MPa</v>
      </c>
      <c r="C85" s="278" t="s">
        <v>2220</v>
      </c>
      <c r="D85" s="278" t="s">
        <v>2197</v>
      </c>
      <c r="E85" s="278" t="s">
        <v>532</v>
      </c>
      <c r="F85" s="278"/>
      <c r="G85" s="278" t="s">
        <v>11</v>
      </c>
      <c r="H85" s="308">
        <f t="shared" si="60"/>
        <v>0.12</v>
      </c>
      <c r="I85" s="280">
        <f t="shared" si="58"/>
        <v>9.7548000000000012</v>
      </c>
      <c r="J85" s="281">
        <f t="shared" si="59"/>
        <v>11.4696</v>
      </c>
      <c r="K85" s="282">
        <f>IF(Notes!$B$9="Domestic",I85, IF(Notes!$B$9="Commercial",J85))*$K$76</f>
        <v>11.4696</v>
      </c>
      <c r="L85" s="283">
        <f>IF(SUM(O85:Q85)=0,0,((SUM(O85:Q85)+(K85+SUM(M85:Q85))*(INDEX($U$76:$AB$76,MATCH(Notes!$C$16,$U$3:$AB$3,0))-100%))*$L$76))</f>
        <v>63.165400000000005</v>
      </c>
      <c r="M85" s="313">
        <f t="shared" si="61"/>
        <v>23.61</v>
      </c>
      <c r="N85" s="286"/>
      <c r="O85" s="311">
        <f t="shared" si="63"/>
        <v>63.165400000000005</v>
      </c>
      <c r="P85" s="285"/>
      <c r="Q85" s="285"/>
      <c r="R85" s="278"/>
      <c r="S85" s="278"/>
      <c r="T85" s="278"/>
    </row>
    <row r="86" spans="1:28" s="305" customFormat="1" hidden="1" outlineLevel="1" x14ac:dyDescent="0.25">
      <c r="A86" s="278"/>
      <c r="B86" s="279" t="str">
        <f t="shared" si="57"/>
        <v>core fill390Lx140Wx190H40MPa</v>
      </c>
      <c r="C86" s="278" t="s">
        <v>2220</v>
      </c>
      <c r="D86" s="278" t="s">
        <v>2195</v>
      </c>
      <c r="E86" s="278" t="s">
        <v>533</v>
      </c>
      <c r="F86" s="278"/>
      <c r="G86" s="278" t="s">
        <v>11</v>
      </c>
      <c r="H86" s="308">
        <f t="shared" si="60"/>
        <v>0.05</v>
      </c>
      <c r="I86" s="280">
        <f t="shared" si="58"/>
        <v>4.0645000000000007</v>
      </c>
      <c r="J86" s="281">
        <f t="shared" si="59"/>
        <v>4.7789999999999999</v>
      </c>
      <c r="K86" s="282">
        <f>IF(Notes!$B$9="Domestic",I86, IF(Notes!$B$9="Commercial",J86))*$K$76</f>
        <v>4.7789999999999999</v>
      </c>
      <c r="L86" s="283">
        <f>IF(SUM(O86:Q86)=0,0,((SUM(O86:Q86)+(K86+SUM(M86:Q86))*(INDEX($U$76:$AB$76,MATCH(Notes!$C$16,$U$3:$AB$3,0))-100%))*$L$76))</f>
        <v>25.076800000000002</v>
      </c>
      <c r="M86" s="313">
        <f t="shared" si="61"/>
        <v>9.39</v>
      </c>
      <c r="N86" s="286"/>
      <c r="O86" s="311">
        <f>O77*1.12</f>
        <v>25.076800000000002</v>
      </c>
      <c r="P86" s="285"/>
      <c r="Q86" s="285"/>
      <c r="R86" s="278"/>
      <c r="S86" s="278"/>
      <c r="T86" s="278"/>
    </row>
    <row r="87" spans="1:28" s="305" customFormat="1" hidden="1" outlineLevel="1" x14ac:dyDescent="0.25">
      <c r="A87" s="278"/>
      <c r="B87" s="279" t="str">
        <f t="shared" si="57"/>
        <v>core fill390Lx190Wx190H40MPa</v>
      </c>
      <c r="C87" s="278" t="s">
        <v>2220</v>
      </c>
      <c r="D87" s="278" t="s">
        <v>2196</v>
      </c>
      <c r="E87" s="278" t="s">
        <v>533</v>
      </c>
      <c r="F87" s="278"/>
      <c r="G87" s="278" t="s">
        <v>11</v>
      </c>
      <c r="H87" s="308">
        <f t="shared" si="60"/>
        <v>7.0000000000000007E-2</v>
      </c>
      <c r="I87" s="280">
        <f t="shared" si="58"/>
        <v>5.6903000000000006</v>
      </c>
      <c r="J87" s="281">
        <f t="shared" si="59"/>
        <v>6.6906000000000008</v>
      </c>
      <c r="K87" s="282">
        <f>IF(Notes!$B$9="Domestic",I87, IF(Notes!$B$9="Commercial",J87))*$K$76</f>
        <v>6.6906000000000008</v>
      </c>
      <c r="L87" s="283">
        <f>IF(SUM(O87:Q87)=0,0,((SUM(O87:Q87)+(K87+SUM(M87:Q87))*(INDEX($U$76:$AB$76,MATCH(Notes!$C$16,$U$3:$AB$3,0))-100%))*$L$76))</f>
        <v>38.572800000000001</v>
      </c>
      <c r="M87" s="313">
        <f t="shared" si="61"/>
        <v>14.44</v>
      </c>
      <c r="N87" s="286"/>
      <c r="O87" s="311">
        <f t="shared" ref="O87:O88" si="64">O78*1.12</f>
        <v>38.572800000000001</v>
      </c>
      <c r="P87" s="285"/>
      <c r="Q87" s="285"/>
      <c r="R87" s="278"/>
      <c r="S87" s="278"/>
      <c r="T87" s="278"/>
    </row>
    <row r="88" spans="1:28" s="305" customFormat="1" hidden="1" outlineLevel="1" x14ac:dyDescent="0.25">
      <c r="A88" s="278"/>
      <c r="B88" s="279" t="str">
        <f t="shared" si="57"/>
        <v>core fill390Lx290Wx190H40MPa</v>
      </c>
      <c r="C88" s="278" t="s">
        <v>2220</v>
      </c>
      <c r="D88" s="278" t="s">
        <v>2197</v>
      </c>
      <c r="E88" s="278" t="s">
        <v>533</v>
      </c>
      <c r="F88" s="278"/>
      <c r="G88" s="278" t="s">
        <v>11</v>
      </c>
      <c r="H88" s="308">
        <f t="shared" si="60"/>
        <v>0.12</v>
      </c>
      <c r="I88" s="280">
        <f t="shared" si="58"/>
        <v>9.7548000000000012</v>
      </c>
      <c r="J88" s="281">
        <f t="shared" si="59"/>
        <v>11.4696</v>
      </c>
      <c r="K88" s="282">
        <f>IF(Notes!$B$9="Domestic",I88, IF(Notes!$B$9="Commercial",J88))*$K$76</f>
        <v>11.4696</v>
      </c>
      <c r="L88" s="283">
        <f>IF(SUM(O88:Q88)=0,0,((SUM(O88:Q88)+(K88+SUM(M88:Q88))*(INDEX($U$76:$AB$76,MATCH(Notes!$C$16,$U$3:$AB$3,0))-100%))*$L$76))</f>
        <v>66.740800000000007</v>
      </c>
      <c r="M88" s="313">
        <f t="shared" si="61"/>
        <v>23.61</v>
      </c>
      <c r="N88" s="286"/>
      <c r="O88" s="311">
        <f t="shared" si="64"/>
        <v>66.740800000000007</v>
      </c>
      <c r="P88" s="285"/>
      <c r="Q88" s="285"/>
      <c r="R88" s="278"/>
      <c r="S88" s="278"/>
      <c r="T88" s="278"/>
    </row>
    <row r="89" spans="1:28" s="305" customFormat="1" hidden="1" outlineLevel="1" x14ac:dyDescent="0.25">
      <c r="A89" s="278"/>
      <c r="B89" s="279" t="str">
        <f t="shared" ref="B89:B91" si="65">C89&amp;D89&amp;E89&amp;F89</f>
        <v>core fill390Lx140Wx190H50MPa</v>
      </c>
      <c r="C89" s="278" t="s">
        <v>2220</v>
      </c>
      <c r="D89" s="278" t="s">
        <v>2195</v>
      </c>
      <c r="E89" s="278" t="s">
        <v>534</v>
      </c>
      <c r="F89" s="278"/>
      <c r="G89" s="278" t="s">
        <v>11</v>
      </c>
      <c r="H89" s="308">
        <f t="shared" si="60"/>
        <v>0.05</v>
      </c>
      <c r="I89" s="280">
        <f t="shared" ref="I89:I91" si="66">$I$2*H89</f>
        <v>4.0645000000000007</v>
      </c>
      <c r="J89" s="281">
        <f t="shared" ref="J89:J91" si="67">$J$2*H89</f>
        <v>4.7789999999999999</v>
      </c>
      <c r="K89" s="282">
        <f>IF(Notes!$B$9="Domestic",I89, IF(Notes!$B$9="Commercial",J89))*$K$76</f>
        <v>4.7789999999999999</v>
      </c>
      <c r="L89" s="283">
        <f>IF(SUM(O89:Q89)=0,0,((SUM(O89:Q89)+(K89+SUM(M89:Q89))*(INDEX($U$76:$AB$76,MATCH(Notes!$C$16,$U$3:$AB$3,0))-100%))*$L$76))</f>
        <v>27.7636</v>
      </c>
      <c r="M89" s="313">
        <f t="shared" si="61"/>
        <v>9.39</v>
      </c>
      <c r="N89" s="286"/>
      <c r="O89" s="311">
        <f>O77*1.24</f>
        <v>27.7636</v>
      </c>
      <c r="P89" s="285"/>
      <c r="Q89" s="285"/>
      <c r="R89" s="278"/>
      <c r="S89" s="278"/>
      <c r="T89" s="278"/>
    </row>
    <row r="90" spans="1:28" s="305" customFormat="1" hidden="1" outlineLevel="1" x14ac:dyDescent="0.25">
      <c r="A90" s="278"/>
      <c r="B90" s="279" t="str">
        <f t="shared" si="65"/>
        <v>core fill390Lx190Wx190H50MPa</v>
      </c>
      <c r="C90" s="278" t="s">
        <v>2220</v>
      </c>
      <c r="D90" s="278" t="s">
        <v>2196</v>
      </c>
      <c r="E90" s="278" t="s">
        <v>534</v>
      </c>
      <c r="F90" s="278"/>
      <c r="G90" s="278" t="s">
        <v>11</v>
      </c>
      <c r="H90" s="308">
        <f t="shared" si="60"/>
        <v>7.0000000000000007E-2</v>
      </c>
      <c r="I90" s="280">
        <f t="shared" si="66"/>
        <v>5.6903000000000006</v>
      </c>
      <c r="J90" s="281">
        <f t="shared" si="67"/>
        <v>6.6906000000000008</v>
      </c>
      <c r="K90" s="282">
        <f>IF(Notes!$B$9="Domestic",I90, IF(Notes!$B$9="Commercial",J90))*$K$76</f>
        <v>6.6906000000000008</v>
      </c>
      <c r="L90" s="283">
        <f>IF(SUM(O90:Q90)=0,0,((SUM(O90:Q90)+(K90+SUM(M90:Q90))*(INDEX($U$76:$AB$76,MATCH(Notes!$C$16,$U$3:$AB$3,0))-100%))*$L$76))</f>
        <v>42.705599999999997</v>
      </c>
      <c r="M90" s="313">
        <f t="shared" si="61"/>
        <v>14.44</v>
      </c>
      <c r="N90" s="286"/>
      <c r="O90" s="311">
        <f t="shared" ref="O90:O91" si="68">O78*1.24</f>
        <v>42.705599999999997</v>
      </c>
      <c r="P90" s="285"/>
      <c r="Q90" s="285"/>
      <c r="R90" s="278"/>
      <c r="S90" s="278"/>
      <c r="T90" s="278"/>
    </row>
    <row r="91" spans="1:28" s="305" customFormat="1" hidden="1" outlineLevel="1" x14ac:dyDescent="0.25">
      <c r="A91" s="278"/>
      <c r="B91" s="279" t="str">
        <f t="shared" si="65"/>
        <v>core fill390Lx290Wx190H50MPa</v>
      </c>
      <c r="C91" s="278" t="s">
        <v>2220</v>
      </c>
      <c r="D91" s="278" t="s">
        <v>2197</v>
      </c>
      <c r="E91" s="278" t="s">
        <v>534</v>
      </c>
      <c r="F91" s="278"/>
      <c r="G91" s="278" t="s">
        <v>11</v>
      </c>
      <c r="H91" s="308">
        <f t="shared" si="60"/>
        <v>0.12</v>
      </c>
      <c r="I91" s="280">
        <f t="shared" si="66"/>
        <v>9.7548000000000012</v>
      </c>
      <c r="J91" s="281">
        <f t="shared" si="67"/>
        <v>11.4696</v>
      </c>
      <c r="K91" s="282">
        <f>IF(Notes!$B$9="Domestic",I91, IF(Notes!$B$9="Commercial",J91))*$K$76</f>
        <v>11.4696</v>
      </c>
      <c r="L91" s="283">
        <f>IF(SUM(O91:Q91)=0,0,((SUM(O91:Q91)+(K91+SUM(M91:Q91))*(INDEX($U$76:$AB$76,MATCH(Notes!$C$16,$U$3:$AB$3,0))-100%))*$L$76))</f>
        <v>73.891599999999997</v>
      </c>
      <c r="M91" s="313">
        <f t="shared" si="61"/>
        <v>23.61</v>
      </c>
      <c r="N91" s="286"/>
      <c r="O91" s="311">
        <f t="shared" si="68"/>
        <v>73.891599999999997</v>
      </c>
      <c r="P91" s="285"/>
      <c r="Q91" s="285"/>
      <c r="R91" s="278"/>
      <c r="S91" s="278"/>
      <c r="T91" s="278"/>
    </row>
    <row r="92" spans="1:28" ht="21" hidden="1" outlineLevel="1" x14ac:dyDescent="0.25">
      <c r="A92" s="299" t="s">
        <v>2265</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row>
    <row r="93" spans="1:28" ht="15.75" hidden="1" outlineLevel="1" x14ac:dyDescent="0.25">
      <c r="A93" s="291"/>
      <c r="B93" s="291"/>
      <c r="C93" s="291"/>
      <c r="D93" s="291"/>
      <c r="E93" s="291"/>
      <c r="F93" s="291"/>
      <c r="G93" s="291"/>
      <c r="H93" s="291"/>
      <c r="I93" s="291"/>
      <c r="J93" s="291"/>
      <c r="K93" s="291">
        <f>K$2</f>
        <v>1</v>
      </c>
      <c r="L93" s="291">
        <f>L$2</f>
        <v>1</v>
      </c>
      <c r="M93" s="291"/>
      <c r="N93" s="291"/>
      <c r="O93" s="303"/>
      <c r="P93" s="303"/>
      <c r="Q93" s="303"/>
      <c r="R93" s="291"/>
      <c r="S93" s="291"/>
      <c r="T93" s="291"/>
      <c r="U93" s="381">
        <f>U$23</f>
        <v>0.91791044776119401</v>
      </c>
      <c r="V93" s="381">
        <f t="shared" ref="V93:AB93" si="69">V$23</f>
        <v>1</v>
      </c>
      <c r="W93" s="381">
        <f t="shared" si="69"/>
        <v>1.1194029850746268</v>
      </c>
      <c r="X93" s="381">
        <f t="shared" si="69"/>
        <v>1.2462686567164178</v>
      </c>
      <c r="Y93" s="381">
        <f t="shared" si="69"/>
        <v>1.1567164179104477</v>
      </c>
      <c r="Z93" s="381">
        <f t="shared" si="69"/>
        <v>1.0671641791044777</v>
      </c>
      <c r="AA93" s="381">
        <f t="shared" si="69"/>
        <v>1</v>
      </c>
      <c r="AB93" s="381">
        <f t="shared" si="69"/>
        <v>0.74626865671641796</v>
      </c>
    </row>
    <row r="94" spans="1:28" s="305" customFormat="1" hidden="1" outlineLevel="1" x14ac:dyDescent="0.25">
      <c r="A94" s="278"/>
      <c r="B94" s="279" t="str">
        <f>C94&amp;D94&amp;E94&amp;F94</f>
        <v>pointing &amp; cleaning</v>
      </c>
      <c r="C94" s="353" t="s">
        <v>2253</v>
      </c>
      <c r="D94" s="278"/>
      <c r="E94" s="278"/>
      <c r="F94" s="278"/>
      <c r="G94" s="278" t="s">
        <v>11</v>
      </c>
      <c r="H94" s="290">
        <v>0.12</v>
      </c>
      <c r="I94" s="280">
        <f>$I$2*H94</f>
        <v>9.7548000000000012</v>
      </c>
      <c r="J94" s="281">
        <f>$J$2*H94</f>
        <v>11.4696</v>
      </c>
      <c r="K94" s="282">
        <f>IF(Notes!$B$9="Domestic",I94, IF(Notes!$B$9="Commercial",J94))*$K$93</f>
        <v>11.4696</v>
      </c>
      <c r="L94" s="283">
        <f>IF(SUM(O94:Q94)=0,0,((SUM(O94:Q94)+(K94+SUM(M94:Q94))*(INDEX($U$93:$AB$93,MATCH(Notes!$C$16,$U$3:$AB$3,0))-100%))*$L$93))</f>
        <v>1.88</v>
      </c>
      <c r="M94" s="286"/>
      <c r="N94" s="286"/>
      <c r="O94" s="285">
        <v>1.88</v>
      </c>
      <c r="P94" s="285"/>
      <c r="Q94" s="285"/>
      <c r="R94" s="278"/>
      <c r="S94" s="278"/>
      <c r="T94" s="278"/>
    </row>
    <row r="95" spans="1:28" ht="21" hidden="1" outlineLevel="1" x14ac:dyDescent="0.25">
      <c r="A95" s="299" t="s">
        <v>2266</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row>
    <row r="96" spans="1:28" ht="15.75" hidden="1" outlineLevel="1" x14ac:dyDescent="0.25">
      <c r="A96" s="291"/>
      <c r="B96" s="291"/>
      <c r="C96" s="291"/>
      <c r="D96" s="291"/>
      <c r="E96" s="291"/>
      <c r="F96" s="291"/>
      <c r="G96" s="291"/>
      <c r="H96" s="291"/>
      <c r="I96" s="291"/>
      <c r="J96" s="291"/>
      <c r="K96" s="291">
        <f>K$2</f>
        <v>1</v>
      </c>
      <c r="L96" s="291">
        <f>L$2</f>
        <v>1</v>
      </c>
      <c r="M96" s="291"/>
      <c r="N96" s="291"/>
      <c r="O96" s="303"/>
      <c r="P96" s="303"/>
      <c r="Q96" s="303"/>
      <c r="R96" s="291"/>
      <c r="S96" s="291"/>
      <c r="T96" s="291"/>
      <c r="U96" s="381">
        <f>U$23</f>
        <v>0.91791044776119401</v>
      </c>
      <c r="V96" s="381">
        <f t="shared" ref="V96:AB96" si="70">V$23</f>
        <v>1</v>
      </c>
      <c r="W96" s="381">
        <f t="shared" si="70"/>
        <v>1.1194029850746268</v>
      </c>
      <c r="X96" s="381">
        <f t="shared" si="70"/>
        <v>1.2462686567164178</v>
      </c>
      <c r="Y96" s="381">
        <f t="shared" si="70"/>
        <v>1.1567164179104477</v>
      </c>
      <c r="Z96" s="381">
        <f t="shared" si="70"/>
        <v>1.0671641791044777</v>
      </c>
      <c r="AA96" s="381">
        <f t="shared" si="70"/>
        <v>1</v>
      </c>
      <c r="AB96" s="381">
        <f t="shared" si="70"/>
        <v>0.74626865671641796</v>
      </c>
    </row>
    <row r="97" spans="1:28" s="305" customFormat="1" hidden="1" outlineLevel="1" x14ac:dyDescent="0.25">
      <c r="A97" s="278"/>
      <c r="B97" s="279" t="str">
        <f>C97&amp;D97&amp;E97&amp;F97</f>
        <v>block lintel390Lx90Wx190H</v>
      </c>
      <c r="C97" s="278" t="s">
        <v>2219</v>
      </c>
      <c r="D97" s="278" t="s">
        <v>2194</v>
      </c>
      <c r="E97" s="278"/>
      <c r="F97" s="278"/>
      <c r="G97" s="278" t="s">
        <v>15</v>
      </c>
      <c r="H97" s="290">
        <v>0.12</v>
      </c>
      <c r="I97" s="280">
        <f>$I$2*H97</f>
        <v>9.7548000000000012</v>
      </c>
      <c r="J97" s="281">
        <f>$J$2*H97</f>
        <v>11.4696</v>
      </c>
      <c r="K97" s="282">
        <f>IF(Notes!$B$9="Domestic",I97, IF(Notes!$B$9="Commercial",J97))*$K$96</f>
        <v>11.4696</v>
      </c>
      <c r="L97" s="283">
        <f>IF(SUM(O97:Q97)=0,0,((SUM(O97:Q97)+(K97+SUM(M97:Q97))*(INDEX($U$96:$AB$96,MATCH(Notes!$C$16,$U$3:$AB$3,0))-100%))*$L$96))</f>
        <v>4.2</v>
      </c>
      <c r="M97" s="286"/>
      <c r="N97" s="286"/>
      <c r="O97" s="285">
        <f>(4.32-O6)*2.5</f>
        <v>4.2</v>
      </c>
      <c r="P97" s="285"/>
      <c r="Q97" s="285"/>
      <c r="R97" s="278"/>
      <c r="S97" s="278"/>
      <c r="T97" s="278"/>
    </row>
    <row r="98" spans="1:28" s="305" customFormat="1" hidden="1" outlineLevel="1" x14ac:dyDescent="0.25">
      <c r="A98" s="278"/>
      <c r="B98" s="279" t="str">
        <f t="shared" ref="B98:B100" si="71">C98&amp;D98&amp;E98&amp;F98</f>
        <v>block lintel390Lx140Wx190H</v>
      </c>
      <c r="C98" s="278" t="s">
        <v>2219</v>
      </c>
      <c r="D98" s="278" t="s">
        <v>2195</v>
      </c>
      <c r="E98" s="278"/>
      <c r="F98" s="278"/>
      <c r="G98" s="278" t="s">
        <v>15</v>
      </c>
      <c r="H98" s="290">
        <v>0.14000000000000001</v>
      </c>
      <c r="I98" s="280">
        <f t="shared" ref="I98:I100" si="72">$I$2*H98</f>
        <v>11.380600000000001</v>
      </c>
      <c r="J98" s="281">
        <f t="shared" ref="J98:J100" si="73">$J$2*H98</f>
        <v>13.381200000000002</v>
      </c>
      <c r="K98" s="282">
        <f>IF(Notes!$B$9="Domestic",I98, IF(Notes!$B$9="Commercial",J98))*$K$96</f>
        <v>13.381200000000002</v>
      </c>
      <c r="L98" s="283">
        <f>IF(SUM(O98:Q98)=0,0,((SUM(O98:Q98)+(K98+SUM(M98:Q98))*(INDEX($U$96:$AB$96,MATCH(Notes!$C$16,$U$3:$AB$3,0))-100%))*$L$96))</f>
        <v>4.7750000000000004</v>
      </c>
      <c r="M98" s="286"/>
      <c r="N98" s="286"/>
      <c r="O98" s="285">
        <f>(4.7-O7)*2.5</f>
        <v>4.7750000000000004</v>
      </c>
      <c r="P98" s="285"/>
      <c r="Q98" s="285"/>
      <c r="R98" s="278"/>
      <c r="S98" s="278"/>
      <c r="T98" s="278"/>
    </row>
    <row r="99" spans="1:28" s="305" customFormat="1" hidden="1" outlineLevel="1" x14ac:dyDescent="0.25">
      <c r="A99" s="278"/>
      <c r="B99" s="279" t="str">
        <f t="shared" si="71"/>
        <v>block lintel390Lx190Wx190H</v>
      </c>
      <c r="C99" s="278" t="s">
        <v>2219</v>
      </c>
      <c r="D99" s="278" t="s">
        <v>2196</v>
      </c>
      <c r="E99" s="278"/>
      <c r="F99" s="278"/>
      <c r="G99" s="278" t="s">
        <v>15</v>
      </c>
      <c r="H99" s="290">
        <v>0.16</v>
      </c>
      <c r="I99" s="280">
        <f t="shared" si="72"/>
        <v>13.006400000000001</v>
      </c>
      <c r="J99" s="281">
        <f t="shared" si="73"/>
        <v>15.2928</v>
      </c>
      <c r="K99" s="282">
        <f>IF(Notes!$B$9="Domestic",I99, IF(Notes!$B$9="Commercial",J99))*$K$96</f>
        <v>15.2928</v>
      </c>
      <c r="L99" s="283">
        <f>IF(SUM(O99:Q99)=0,0,((SUM(O99:Q99)+(K99+SUM(M99:Q99))*(INDEX($U$96:$AB$96,MATCH(Notes!$C$16,$U$3:$AB$3,0))-100%))*$L$96))</f>
        <v>6.0249999999999995</v>
      </c>
      <c r="M99" s="286"/>
      <c r="N99" s="286"/>
      <c r="O99" s="285">
        <f>(5.81-O8)*2.5</f>
        <v>6.0249999999999995</v>
      </c>
      <c r="P99" s="285"/>
      <c r="Q99" s="285"/>
      <c r="R99" s="278"/>
      <c r="S99" s="278"/>
      <c r="T99" s="278"/>
    </row>
    <row r="100" spans="1:28" s="305" customFormat="1" hidden="1" outlineLevel="1" x14ac:dyDescent="0.25">
      <c r="A100" s="278"/>
      <c r="B100" s="279" t="str">
        <f t="shared" si="71"/>
        <v>block lintel390Lx290Wx190H</v>
      </c>
      <c r="C100" s="278" t="s">
        <v>2219</v>
      </c>
      <c r="D100" s="278" t="s">
        <v>2197</v>
      </c>
      <c r="E100" s="278"/>
      <c r="F100" s="278"/>
      <c r="G100" s="278" t="s">
        <v>15</v>
      </c>
      <c r="H100" s="310">
        <v>0.2</v>
      </c>
      <c r="I100" s="280">
        <f t="shared" si="72"/>
        <v>16.258000000000003</v>
      </c>
      <c r="J100" s="281">
        <f t="shared" si="73"/>
        <v>19.116</v>
      </c>
      <c r="K100" s="282">
        <f>IF(Notes!$B$9="Domestic",I100, IF(Notes!$B$9="Commercial",J100))*$K$96</f>
        <v>19.116</v>
      </c>
      <c r="L100" s="283">
        <f>IF(SUM(O100:Q100)=0,0,((SUM(O100:Q100)+(K100+SUM(M100:Q100))*(INDEX($U$96:$AB$96,MATCH(Notes!$C$16,$U$3:$AB$3,0))-100%))*$L$96))</f>
        <v>7.5</v>
      </c>
      <c r="M100" s="286"/>
      <c r="N100" s="286"/>
      <c r="O100" s="285">
        <f>(8.17-O9)*2.5</f>
        <v>7.5</v>
      </c>
      <c r="P100" s="285"/>
      <c r="Q100" s="285"/>
      <c r="R100" s="278"/>
      <c r="S100" s="278"/>
      <c r="T100" s="278"/>
    </row>
    <row r="101" spans="1:28" ht="21" hidden="1" outlineLevel="1" x14ac:dyDescent="0.25">
      <c r="A101" s="299" t="s">
        <v>2269</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row>
    <row r="102" spans="1:28" ht="15.75" hidden="1" outlineLevel="1" x14ac:dyDescent="0.25">
      <c r="A102" s="291"/>
      <c r="B102" s="291"/>
      <c r="C102" s="291"/>
      <c r="D102" s="291"/>
      <c r="E102" s="291"/>
      <c r="F102" s="291"/>
      <c r="G102" s="291"/>
      <c r="H102" s="291"/>
      <c r="I102" s="291"/>
      <c r="J102" s="291"/>
      <c r="K102" s="291">
        <f>K$2</f>
        <v>1</v>
      </c>
      <c r="L102" s="291">
        <f>L$2</f>
        <v>1</v>
      </c>
      <c r="M102" s="291"/>
      <c r="N102" s="291"/>
      <c r="O102" s="303"/>
      <c r="P102" s="303"/>
      <c r="Q102" s="303"/>
      <c r="R102" s="291"/>
      <c r="S102" s="291"/>
      <c r="T102" s="291"/>
      <c r="U102" s="381">
        <f>U$23</f>
        <v>0.91791044776119401</v>
      </c>
      <c r="V102" s="381">
        <f t="shared" ref="V102:AB102" si="74">V$23</f>
        <v>1</v>
      </c>
      <c r="W102" s="381">
        <f t="shared" si="74"/>
        <v>1.1194029850746268</v>
      </c>
      <c r="X102" s="381">
        <f t="shared" si="74"/>
        <v>1.2462686567164178</v>
      </c>
      <c r="Y102" s="381">
        <f t="shared" si="74"/>
        <v>1.1567164179104477</v>
      </c>
      <c r="Z102" s="381">
        <f t="shared" si="74"/>
        <v>1.0671641791044777</v>
      </c>
      <c r="AA102" s="381">
        <f t="shared" si="74"/>
        <v>1</v>
      </c>
      <c r="AB102" s="381">
        <f t="shared" si="74"/>
        <v>0.74626865671641796</v>
      </c>
    </row>
    <row r="103" spans="1:28" s="305" customFormat="1" hidden="1" outlineLevel="1" x14ac:dyDescent="0.25">
      <c r="A103" s="278"/>
      <c r="B103" s="279" t="str">
        <f>C103&amp;D103&amp;E103&amp;F103</f>
        <v>curved wall</v>
      </c>
      <c r="C103" s="278" t="s">
        <v>2272</v>
      </c>
      <c r="D103" s="278"/>
      <c r="E103" s="278"/>
      <c r="F103" s="278"/>
      <c r="G103" s="278" t="s">
        <v>11</v>
      </c>
      <c r="H103" s="290">
        <v>1</v>
      </c>
      <c r="I103" s="280">
        <f>$I$2*H103</f>
        <v>81.290000000000006</v>
      </c>
      <c r="J103" s="281">
        <f>$J$2*H103</f>
        <v>95.58</v>
      </c>
      <c r="K103" s="282">
        <f>IF(Notes!$B$9="Domestic",I103, IF(Notes!$B$9="Commercial",J103))*$K$102</f>
        <v>95.58</v>
      </c>
      <c r="L103" s="283">
        <f>IF(SUM(O103:Q103)=0,0,((SUM(O103:Q103)+(K103+SUM(M103:Q103))*(INDEX($U$102:$AB$102,MATCH(Notes!$C$16,$U$3:$AB$3,0))-100%))*$L$102))</f>
        <v>0</v>
      </c>
      <c r="M103" s="286"/>
      <c r="N103" s="286"/>
      <c r="O103" s="285"/>
      <c r="P103" s="285"/>
      <c r="Q103" s="285"/>
      <c r="R103" s="278"/>
      <c r="S103" s="278"/>
      <c r="T103" s="278"/>
    </row>
    <row r="104" spans="1:28" ht="21" hidden="1" outlineLevel="1" x14ac:dyDescent="0.25">
      <c r="A104" s="299" t="s">
        <v>2270</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row>
    <row r="105" spans="1:28" ht="15.75" hidden="1" outlineLevel="1" x14ac:dyDescent="0.25">
      <c r="A105" s="291"/>
      <c r="B105" s="291"/>
      <c r="C105" s="291"/>
      <c r="D105" s="291"/>
      <c r="E105" s="291"/>
      <c r="F105" s="291"/>
      <c r="G105" s="291"/>
      <c r="H105" s="291"/>
      <c r="I105" s="291"/>
      <c r="J105" s="291"/>
      <c r="K105" s="291">
        <f>K$2</f>
        <v>1</v>
      </c>
      <c r="L105" s="291">
        <f>L$2</f>
        <v>1</v>
      </c>
      <c r="M105" s="291"/>
      <c r="N105" s="291"/>
      <c r="O105" s="303"/>
      <c r="P105" s="303"/>
      <c r="Q105" s="303"/>
      <c r="R105" s="291"/>
      <c r="S105" s="291"/>
      <c r="T105" s="291"/>
      <c r="U105" s="381">
        <f>U$23</f>
        <v>0.91791044776119401</v>
      </c>
      <c r="V105" s="381">
        <f t="shared" ref="V105:AB105" si="75">V$23</f>
        <v>1</v>
      </c>
      <c r="W105" s="381">
        <f t="shared" si="75"/>
        <v>1.1194029850746268</v>
      </c>
      <c r="X105" s="381">
        <f t="shared" si="75"/>
        <v>1.2462686567164178</v>
      </c>
      <c r="Y105" s="381">
        <f t="shared" si="75"/>
        <v>1.1567164179104477</v>
      </c>
      <c r="Z105" s="381">
        <f t="shared" si="75"/>
        <v>1.0671641791044777</v>
      </c>
      <c r="AA105" s="381">
        <f t="shared" si="75"/>
        <v>1</v>
      </c>
      <c r="AB105" s="381">
        <f t="shared" si="75"/>
        <v>0.74626865671641796</v>
      </c>
    </row>
    <row r="106" spans="1:28" s="305" customFormat="1" hidden="1" outlineLevel="1" x14ac:dyDescent="0.25">
      <c r="A106" s="278"/>
      <c r="B106" s="279" t="str">
        <f>C106&amp;D106&amp;E106&amp;F106</f>
        <v>raking cutting</v>
      </c>
      <c r="C106" s="278" t="s">
        <v>2273</v>
      </c>
      <c r="D106" s="278"/>
      <c r="E106" s="278"/>
      <c r="F106" s="278"/>
      <c r="G106" s="278" t="s">
        <v>15</v>
      </c>
      <c r="H106" s="290">
        <v>0.3</v>
      </c>
      <c r="I106" s="280">
        <f>$I$2*H106</f>
        <v>24.387</v>
      </c>
      <c r="J106" s="281">
        <f>$J$2*H106</f>
        <v>28.673999999999999</v>
      </c>
      <c r="K106" s="282">
        <f>IF(Notes!$B$9="Domestic",I106, IF(Notes!$B$9="Commercial",J106))*$K$105</f>
        <v>28.673999999999999</v>
      </c>
      <c r="L106" s="283">
        <f>IF(SUM(O106:Q106)=0,0,((SUM(O106:Q106)+(K106+SUM(M106:Q106))*(INDEX($U$105:$AB$105,MATCH(Notes!$C$16,$U$3:$AB$3,0))-100%))*$L$105))</f>
        <v>0</v>
      </c>
      <c r="M106" s="286">
        <v>15</v>
      </c>
      <c r="N106" s="286"/>
      <c r="O106" s="285"/>
      <c r="P106" s="285"/>
      <c r="Q106" s="285"/>
      <c r="R106" s="278"/>
      <c r="S106" s="278"/>
      <c r="T106" s="278"/>
    </row>
    <row r="107" spans="1:28" ht="21" hidden="1" outlineLevel="1" x14ac:dyDescent="0.25">
      <c r="A107" s="299" t="s">
        <v>2271</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row>
    <row r="108" spans="1:28" ht="15.75" hidden="1" outlineLevel="1" x14ac:dyDescent="0.25">
      <c r="A108" s="291"/>
      <c r="B108" s="291"/>
      <c r="C108" s="291"/>
      <c r="D108" s="291"/>
      <c r="E108" s="291"/>
      <c r="F108" s="291"/>
      <c r="G108" s="291"/>
      <c r="H108" s="291"/>
      <c r="I108" s="291"/>
      <c r="J108" s="291"/>
      <c r="K108" s="291">
        <f>K$2</f>
        <v>1</v>
      </c>
      <c r="L108" s="291">
        <f>L$2</f>
        <v>1</v>
      </c>
      <c r="M108" s="291"/>
      <c r="N108" s="291"/>
      <c r="O108" s="303"/>
      <c r="P108" s="303"/>
      <c r="Q108" s="303"/>
      <c r="R108" s="291"/>
      <c r="S108" s="291"/>
      <c r="T108" s="291"/>
      <c r="U108" s="381">
        <f>U$23</f>
        <v>0.91791044776119401</v>
      </c>
      <c r="V108" s="381">
        <f t="shared" ref="V108:AB108" si="76">V$23</f>
        <v>1</v>
      </c>
      <c r="W108" s="381">
        <f t="shared" si="76"/>
        <v>1.1194029850746268</v>
      </c>
      <c r="X108" s="381">
        <f t="shared" si="76"/>
        <v>1.2462686567164178</v>
      </c>
      <c r="Y108" s="381">
        <f t="shared" si="76"/>
        <v>1.1567164179104477</v>
      </c>
      <c r="Z108" s="381">
        <f t="shared" si="76"/>
        <v>1.0671641791044777</v>
      </c>
      <c r="AA108" s="381">
        <f t="shared" si="76"/>
        <v>1</v>
      </c>
      <c r="AB108" s="381">
        <f t="shared" si="76"/>
        <v>0.74626865671641796</v>
      </c>
    </row>
    <row r="109" spans="1:28" s="305" customFormat="1" hidden="1" outlineLevel="1" x14ac:dyDescent="0.25">
      <c r="A109" s="278"/>
      <c r="B109" s="279" t="str">
        <f>C109&amp;D109&amp;E109&amp;F109</f>
        <v>column/pier</v>
      </c>
      <c r="C109" s="278" t="s">
        <v>2274</v>
      </c>
      <c r="D109" s="278"/>
      <c r="E109" s="278"/>
      <c r="F109" s="278"/>
      <c r="G109" s="278" t="s">
        <v>15</v>
      </c>
      <c r="H109" s="290">
        <v>0.8</v>
      </c>
      <c r="I109" s="280">
        <f>$I$2*H109</f>
        <v>65.032000000000011</v>
      </c>
      <c r="J109" s="281">
        <f>$J$2*H109</f>
        <v>76.463999999999999</v>
      </c>
      <c r="K109" s="282">
        <f>IF(Notes!$B$9="Domestic",I109, IF(Notes!$B$9="Commercial",J109))*$K$108</f>
        <v>76.463999999999999</v>
      </c>
      <c r="L109" s="283">
        <f>IF(SUM(O109:Q109)=0,0,((SUM(O109:Q109)+(K109+SUM(M109:Q109))*(INDEX($U$108:$AB$108,MATCH(Notes!$C$16,$U$3:$AB$3,0))-100%))*$L$108))</f>
        <v>0</v>
      </c>
      <c r="M109" s="286"/>
      <c r="N109" s="286"/>
      <c r="O109" s="285"/>
      <c r="P109" s="285"/>
      <c r="Q109" s="285"/>
      <c r="R109" s="278"/>
      <c r="S109" s="278"/>
      <c r="T109" s="278"/>
    </row>
    <row r="110" spans="1:28" ht="21" hidden="1" outlineLevel="1" x14ac:dyDescent="0.25">
      <c r="A110" s="299" t="s">
        <v>2279</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row>
    <row r="111" spans="1:28" ht="15.75" hidden="1" outlineLevel="1" x14ac:dyDescent="0.25">
      <c r="A111" s="291"/>
      <c r="B111" s="291"/>
      <c r="C111" s="291"/>
      <c r="D111" s="291"/>
      <c r="E111" s="291"/>
      <c r="F111" s="291"/>
      <c r="G111" s="291"/>
      <c r="H111" s="291"/>
      <c r="I111" s="291"/>
      <c r="J111" s="291"/>
      <c r="K111" s="291">
        <f>K$2</f>
        <v>1</v>
      </c>
      <c r="L111" s="291">
        <f>L$2</f>
        <v>1</v>
      </c>
      <c r="M111" s="291"/>
      <c r="N111" s="291"/>
      <c r="O111" s="303"/>
      <c r="P111" s="303"/>
      <c r="Q111" s="303"/>
      <c r="R111" s="291"/>
      <c r="S111" s="291"/>
      <c r="T111" s="291"/>
      <c r="U111" s="381">
        <f>U$23</f>
        <v>0.91791044776119401</v>
      </c>
      <c r="V111" s="381">
        <f t="shared" ref="V111:AB111" si="77">V$23</f>
        <v>1</v>
      </c>
      <c r="W111" s="381">
        <f t="shared" si="77"/>
        <v>1.1194029850746268</v>
      </c>
      <c r="X111" s="381">
        <f t="shared" si="77"/>
        <v>1.2462686567164178</v>
      </c>
      <c r="Y111" s="381">
        <f t="shared" si="77"/>
        <v>1.1567164179104477</v>
      </c>
      <c r="Z111" s="381">
        <f t="shared" si="77"/>
        <v>1.0671641791044777</v>
      </c>
      <c r="AA111" s="381">
        <f t="shared" si="77"/>
        <v>1</v>
      </c>
      <c r="AB111" s="381">
        <f t="shared" si="77"/>
        <v>0.74626865671641796</v>
      </c>
    </row>
    <row r="112" spans="1:28" s="305" customFormat="1" hidden="1" outlineLevel="1" x14ac:dyDescent="0.25">
      <c r="A112" s="278"/>
      <c r="B112" s="279" t="str">
        <f>C112&amp;D112&amp;E112&amp;F112</f>
        <v>cappingaverage</v>
      </c>
      <c r="C112" s="278" t="s">
        <v>2275</v>
      </c>
      <c r="D112" s="278"/>
      <c r="E112" s="278"/>
      <c r="F112" s="278" t="s">
        <v>543</v>
      </c>
      <c r="G112" s="278" t="s">
        <v>15</v>
      </c>
      <c r="H112" s="290">
        <v>0.14000000000000001</v>
      </c>
      <c r="I112" s="280">
        <f>$I$2*H112</f>
        <v>11.380600000000001</v>
      </c>
      <c r="J112" s="281">
        <f>$J$2*H112</f>
        <v>13.381200000000002</v>
      </c>
      <c r="K112" s="282">
        <f>IF(Notes!$B$9="Domestic",I112, IF(Notes!$B$9="Commercial",J112))*$K$111</f>
        <v>13.381200000000002</v>
      </c>
      <c r="L112" s="283">
        <f>IF(SUM(O112:Q112)=0,0,((SUM(O112:Q112)+(K112+SUM(M112:Q112))*(INDEX($U$111:$AB$111,MATCH(Notes!$C$16,$U$3:$AB$3,0))-100%))*$L$111))</f>
        <v>4.5</v>
      </c>
      <c r="M112" s="286"/>
      <c r="N112" s="286"/>
      <c r="O112" s="285">
        <f>1.44*1.25*2.5</f>
        <v>4.5</v>
      </c>
      <c r="P112" s="285"/>
      <c r="Q112" s="285"/>
      <c r="R112" s="278"/>
      <c r="S112" s="278"/>
      <c r="T112" s="278"/>
    </row>
    <row r="113" spans="1:28" s="305" customFormat="1" hidden="1" outlineLevel="1" x14ac:dyDescent="0.25">
      <c r="A113" s="278"/>
      <c r="B113" s="279" t="str">
        <f t="shared" ref="B113:B114" si="78">C113&amp;D113&amp;E113&amp;F113</f>
        <v>cappingquality</v>
      </c>
      <c r="C113" s="278" t="s">
        <v>2275</v>
      </c>
      <c r="D113" s="278"/>
      <c r="E113" s="278"/>
      <c r="F113" s="278" t="s">
        <v>544</v>
      </c>
      <c r="G113" s="278" t="s">
        <v>15</v>
      </c>
      <c r="H113" s="290">
        <v>0.14000000000000001</v>
      </c>
      <c r="I113" s="280">
        <f t="shared" ref="I113:I114" si="79">$I$2*H113</f>
        <v>11.380600000000001</v>
      </c>
      <c r="J113" s="281">
        <f t="shared" ref="J113:J114" si="80">$J$2*H113</f>
        <v>13.381200000000002</v>
      </c>
      <c r="K113" s="282">
        <f>IF(Notes!$B$9="Domestic",I113, IF(Notes!$B$9="Commercial",J113))*$K$111</f>
        <v>13.381200000000002</v>
      </c>
      <c r="L113" s="283">
        <f>IF(SUM(O113:Q113)=0,0,((SUM(O113:Q113)+(K113+SUM(M113:Q113))*(INDEX($U$111:$AB$111,MATCH(Notes!$C$16,$U$3:$AB$3,0))-100%))*$L$111))</f>
        <v>9</v>
      </c>
      <c r="M113" s="286"/>
      <c r="N113" s="286"/>
      <c r="O113" s="311">
        <f>O112*2</f>
        <v>9</v>
      </c>
      <c r="P113" s="285"/>
      <c r="Q113" s="285"/>
      <c r="R113" s="278"/>
      <c r="S113" s="278"/>
      <c r="T113" s="278"/>
    </row>
    <row r="114" spans="1:28" s="305" customFormat="1" hidden="1" outlineLevel="1" x14ac:dyDescent="0.25">
      <c r="A114" s="278"/>
      <c r="B114" s="279" t="str">
        <f t="shared" si="78"/>
        <v>cappingprestige</v>
      </c>
      <c r="C114" s="278" t="s">
        <v>2275</v>
      </c>
      <c r="D114" s="278"/>
      <c r="E114" s="278"/>
      <c r="F114" s="278" t="s">
        <v>545</v>
      </c>
      <c r="G114" s="278" t="s">
        <v>15</v>
      </c>
      <c r="H114" s="290">
        <v>0.14000000000000001</v>
      </c>
      <c r="I114" s="280">
        <f t="shared" si="79"/>
        <v>11.380600000000001</v>
      </c>
      <c r="J114" s="281">
        <f t="shared" si="80"/>
        <v>13.381200000000002</v>
      </c>
      <c r="K114" s="282">
        <f>IF(Notes!$B$9="Domestic",I114, IF(Notes!$B$9="Commercial",J114))*$K$111</f>
        <v>13.381200000000002</v>
      </c>
      <c r="L114" s="283">
        <f>IF(SUM(O114:Q114)=0,0,((SUM(O114:Q114)+(K114+SUM(M114:Q114))*(INDEX($U$111:$AB$111,MATCH(Notes!$C$16,$U$3:$AB$3,0))-100%))*$L$111))</f>
        <v>18</v>
      </c>
      <c r="M114" s="286"/>
      <c r="N114" s="286"/>
      <c r="O114" s="311">
        <f>O113*2</f>
        <v>18</v>
      </c>
      <c r="P114" s="285"/>
      <c r="Q114" s="285"/>
      <c r="R114" s="278"/>
      <c r="S114" s="278"/>
      <c r="T114" s="278"/>
    </row>
    <row r="115" spans="1:28" ht="21" hidden="1" outlineLevel="1" x14ac:dyDescent="0.25">
      <c r="A115" s="299" t="s">
        <v>2276</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row>
    <row r="116" spans="1:28" ht="15.75" hidden="1" outlineLevel="1" x14ac:dyDescent="0.25">
      <c r="A116" s="291"/>
      <c r="B116" s="291"/>
      <c r="C116" s="291"/>
      <c r="D116" s="291"/>
      <c r="E116" s="291"/>
      <c r="F116" s="291"/>
      <c r="G116" s="291"/>
      <c r="H116" s="291"/>
      <c r="I116" s="291"/>
      <c r="J116" s="291"/>
      <c r="K116" s="291">
        <f>K$2</f>
        <v>1</v>
      </c>
      <c r="L116" s="291">
        <f>L$2</f>
        <v>1</v>
      </c>
      <c r="M116" s="291"/>
      <c r="N116" s="291"/>
      <c r="O116" s="303"/>
      <c r="P116" s="303"/>
      <c r="Q116" s="303"/>
      <c r="R116" s="291"/>
      <c r="S116" s="291"/>
      <c r="T116" s="291"/>
      <c r="U116" s="291">
        <f>883/731</f>
        <v>1.2079343365253079</v>
      </c>
      <c r="V116" s="291">
        <f>731/731</f>
        <v>1</v>
      </c>
      <c r="W116" s="291">
        <f>800/731</f>
        <v>1.094391244870041</v>
      </c>
      <c r="X116" s="291">
        <f>850/731</f>
        <v>1.1627906976744187</v>
      </c>
      <c r="Y116" s="291">
        <f>833/731</f>
        <v>1.1395348837209303</v>
      </c>
      <c r="Z116" s="291">
        <f>600/731</f>
        <v>0.82079343365253077</v>
      </c>
      <c r="AA116" s="291">
        <f t="shared" ref="AA116" si="81">731/731</f>
        <v>1</v>
      </c>
      <c r="AB116" s="291">
        <f>1049/731</f>
        <v>1.4350205198358412</v>
      </c>
    </row>
    <row r="117" spans="1:28" s="305" customFormat="1" ht="14.45" hidden="1" customHeight="1" outlineLevel="1" x14ac:dyDescent="0.25">
      <c r="A117" s="278"/>
      <c r="B117" s="279" t="str">
        <f>C117&amp;D117&amp;E117&amp;F117</f>
        <v>brick supply230Lx110Wx76Hcommon</v>
      </c>
      <c r="C117" s="278" t="s">
        <v>2204</v>
      </c>
      <c r="D117" s="278" t="s">
        <v>2205</v>
      </c>
      <c r="E117" s="278" t="s">
        <v>2206</v>
      </c>
      <c r="F117" s="278"/>
      <c r="G117" s="278" t="s">
        <v>5</v>
      </c>
      <c r="H117" s="290"/>
      <c r="I117" s="280">
        <f>$I$2*H117</f>
        <v>0</v>
      </c>
      <c r="J117" s="281">
        <f>$J$2*H117</f>
        <v>0</v>
      </c>
      <c r="K117" s="282">
        <f>IF(Notes!$B$9="Domestic",I117, IF(Notes!$B$9="Commercial",J117))*$K$116</f>
        <v>0</v>
      </c>
      <c r="L117" s="283">
        <f>IF(SUM(O117:Q117)=0,0,((SUM(O117:Q117)+(K117+SUM(M117:Q117))*(INDEX($U$116:$AB$116,MATCH(Notes!$C$16,$U$3:$AB$3,0))-100%))*$L$116))</f>
        <v>1.2</v>
      </c>
      <c r="M117" s="286"/>
      <c r="N117" s="286"/>
      <c r="O117" s="285">
        <v>1.2</v>
      </c>
      <c r="P117" s="285"/>
      <c r="Q117" s="285"/>
      <c r="R117" s="278"/>
      <c r="S117" s="278"/>
      <c r="T117" s="278"/>
      <c r="U117" s="304"/>
    </row>
    <row r="118" spans="1:28" s="305" customFormat="1" ht="14.45" hidden="1" customHeight="1" outlineLevel="1" x14ac:dyDescent="0.25">
      <c r="A118" s="278"/>
      <c r="B118" s="279" t="str">
        <f t="shared" ref="B118:B120" si="82">C118&amp;D118&amp;E118&amp;F118</f>
        <v>brick supply230Lx110Wx76Hfaceaverage</v>
      </c>
      <c r="C118" s="278" t="s">
        <v>2204</v>
      </c>
      <c r="D118" s="278" t="s">
        <v>2205</v>
      </c>
      <c r="E118" s="278" t="s">
        <v>2207</v>
      </c>
      <c r="F118" s="278" t="s">
        <v>543</v>
      </c>
      <c r="G118" s="278" t="s">
        <v>5</v>
      </c>
      <c r="H118" s="290"/>
      <c r="I118" s="280">
        <f t="shared" ref="I118" si="83">$I$2*H118</f>
        <v>0</v>
      </c>
      <c r="J118" s="281">
        <f t="shared" ref="J118:J120" si="84">$J$2*H118</f>
        <v>0</v>
      </c>
      <c r="K118" s="282">
        <f>IF(Notes!$B$9="Domestic",I118, IF(Notes!$B$9="Commercial",J118))*$K$116</f>
        <v>0</v>
      </c>
      <c r="L118" s="283">
        <f>IF(SUM(O118:Q118)=0,0,((SUM(O118:Q118)+(K118+SUM(M118:Q118))*(INDEX($U$116:$AB$116,MATCH(Notes!$C$16,$U$3:$AB$3,0))-100%))*$L$116))</f>
        <v>1.8</v>
      </c>
      <c r="M118" s="286"/>
      <c r="N118" s="286"/>
      <c r="O118" s="285">
        <v>1.8</v>
      </c>
      <c r="P118" s="285"/>
      <c r="Q118" s="285"/>
      <c r="R118" s="278"/>
      <c r="S118" s="278"/>
      <c r="T118" s="278"/>
      <c r="U118" s="304"/>
    </row>
    <row r="119" spans="1:28" s="305" customFormat="1" ht="14.45" hidden="1" customHeight="1" outlineLevel="1" x14ac:dyDescent="0.25">
      <c r="A119" s="278"/>
      <c r="B119" s="279" t="str">
        <f t="shared" si="82"/>
        <v>brick supply230Lx110Wx76Hfacequality</v>
      </c>
      <c r="C119" s="278" t="s">
        <v>2204</v>
      </c>
      <c r="D119" s="278" t="s">
        <v>2205</v>
      </c>
      <c r="E119" s="278" t="s">
        <v>2207</v>
      </c>
      <c r="F119" s="278" t="s">
        <v>544</v>
      </c>
      <c r="G119" s="278" t="s">
        <v>5</v>
      </c>
      <c r="H119" s="290"/>
      <c r="I119" s="280">
        <f>$I$2*H119</f>
        <v>0</v>
      </c>
      <c r="J119" s="281">
        <f t="shared" si="84"/>
        <v>0</v>
      </c>
      <c r="K119" s="282">
        <f>IF(Notes!$B$9="Domestic",I119, IF(Notes!$B$9="Commercial",J119))*$K$116</f>
        <v>0</v>
      </c>
      <c r="L119" s="283">
        <f>IF(SUM(O119:Q119)=0,0,((SUM(O119:Q119)+(K119+SUM(M119:Q119))*(INDEX($U$116:$AB$116,MATCH(Notes!$C$16,$U$3:$AB$3,0))-100%))*$L$116))</f>
        <v>2.25</v>
      </c>
      <c r="M119" s="286"/>
      <c r="N119" s="286"/>
      <c r="O119" s="285">
        <v>2.25</v>
      </c>
      <c r="P119" s="285"/>
      <c r="Q119" s="285"/>
      <c r="R119" s="278"/>
      <c r="S119" s="278"/>
      <c r="T119" s="278"/>
      <c r="U119" s="304"/>
    </row>
    <row r="120" spans="1:28" s="305" customFormat="1" ht="14.45" hidden="1" customHeight="1" outlineLevel="1" x14ac:dyDescent="0.25">
      <c r="A120" s="278"/>
      <c r="B120" s="279" t="str">
        <f t="shared" si="82"/>
        <v>brick supply230Lx110Wx76Hfaceprestige</v>
      </c>
      <c r="C120" s="278" t="s">
        <v>2204</v>
      </c>
      <c r="D120" s="278" t="s">
        <v>2205</v>
      </c>
      <c r="E120" s="278" t="s">
        <v>2207</v>
      </c>
      <c r="F120" s="278" t="s">
        <v>545</v>
      </c>
      <c r="G120" s="278" t="s">
        <v>5</v>
      </c>
      <c r="H120" s="290"/>
      <c r="I120" s="280">
        <f t="shared" ref="I120" si="85">$I$2*H120</f>
        <v>0</v>
      </c>
      <c r="J120" s="281">
        <f t="shared" si="84"/>
        <v>0</v>
      </c>
      <c r="K120" s="282">
        <f>IF(Notes!$B$9="Domestic",I120, IF(Notes!$B$9="Commercial",J120))*$K$116</f>
        <v>0</v>
      </c>
      <c r="L120" s="283">
        <f>IF(SUM(O120:Q120)=0,0,((SUM(O120:Q120)+(K120+SUM(M120:Q120))*(INDEX($U$116:$AB$116,MATCH(Notes!$C$16,$U$3:$AB$3,0))-100%))*$L$116))</f>
        <v>2.6</v>
      </c>
      <c r="M120" s="286"/>
      <c r="N120" s="286"/>
      <c r="O120" s="285">
        <v>2.6</v>
      </c>
      <c r="P120" s="285"/>
      <c r="Q120" s="285"/>
      <c r="R120" s="278"/>
      <c r="S120" s="278"/>
      <c r="T120" s="278"/>
    </row>
    <row r="121" spans="1:28" ht="21" hidden="1" outlineLevel="1" x14ac:dyDescent="0.25">
      <c r="A121" s="299" t="s">
        <v>2277</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row>
    <row r="122" spans="1:28" ht="15.75" hidden="1" outlineLevel="1" x14ac:dyDescent="0.25">
      <c r="A122" s="291"/>
      <c r="B122" s="291"/>
      <c r="C122" s="291"/>
      <c r="D122" s="291"/>
      <c r="E122" s="291"/>
      <c r="F122" s="291"/>
      <c r="G122" s="291"/>
      <c r="H122" s="291"/>
      <c r="I122" s="291"/>
      <c r="J122" s="291"/>
      <c r="K122" s="291">
        <f>K$2</f>
        <v>1</v>
      </c>
      <c r="L122" s="291">
        <f>L$2</f>
        <v>1</v>
      </c>
      <c r="M122" s="291"/>
      <c r="N122" s="291"/>
      <c r="O122" s="303"/>
      <c r="P122" s="303"/>
      <c r="Q122" s="303"/>
      <c r="R122" s="291"/>
      <c r="S122" s="291"/>
      <c r="T122" s="291"/>
      <c r="U122" s="291">
        <f>2090/1540</f>
        <v>1.3571428571428572</v>
      </c>
      <c r="V122" s="291">
        <f>1540/1540</f>
        <v>1</v>
      </c>
      <c r="W122" s="291">
        <f>1545/1540</f>
        <v>1.0032467532467533</v>
      </c>
      <c r="X122" s="291">
        <f>2260/1540</f>
        <v>1.4675324675324675</v>
      </c>
      <c r="Y122" s="291">
        <f>1800/1540</f>
        <v>1.1688311688311688</v>
      </c>
      <c r="Z122" s="291">
        <f>2000/1540</f>
        <v>1.2987012987012987</v>
      </c>
      <c r="AA122" s="291">
        <f t="shared" ref="AA122" si="86">1540/1540</f>
        <v>1</v>
      </c>
      <c r="AB122" s="291">
        <f>1350/1540</f>
        <v>0.87662337662337664</v>
      </c>
    </row>
    <row r="123" spans="1:28" s="305" customFormat="1" ht="14.45" hidden="1" customHeight="1" outlineLevel="1" x14ac:dyDescent="0.25">
      <c r="A123" s="278"/>
      <c r="B123" s="279" t="str">
        <f t="shared" ref="B123:B124" si="87">C123&amp;D123&amp;E123&amp;F123</f>
        <v>bricklaying230Lx110Wx76Hcommon</v>
      </c>
      <c r="C123" s="278" t="s">
        <v>2208</v>
      </c>
      <c r="D123" s="278" t="s">
        <v>2205</v>
      </c>
      <c r="E123" s="278" t="s">
        <v>2206</v>
      </c>
      <c r="F123" s="278"/>
      <c r="G123" s="278" t="s">
        <v>5</v>
      </c>
      <c r="H123" s="290">
        <v>1.9E-2</v>
      </c>
      <c r="I123" s="280">
        <f>$I$2*H123</f>
        <v>1.54451</v>
      </c>
      <c r="J123" s="281">
        <f>$J$2*H123</f>
        <v>1.81602</v>
      </c>
      <c r="K123" s="282">
        <f>IF(Notes!$B$9="Domestic",I123, IF(Notes!$B$9="Commercial",J123))*$K$122</f>
        <v>1.81602</v>
      </c>
      <c r="L123" s="283">
        <f>IF(SUM(O123:Q123)=0,0,((SUM(O123:Q123)+(K123+SUM(M123:Q123))*(INDEX($U$122:$AB$122,MATCH(Notes!$C$16,$U$3:$AB$3,0))-100%))*$L$122))</f>
        <v>0</v>
      </c>
      <c r="M123" s="286"/>
      <c r="N123" s="286"/>
      <c r="O123" s="285"/>
      <c r="P123" s="285"/>
      <c r="Q123" s="285"/>
      <c r="R123" s="278"/>
      <c r="S123" s="278"/>
      <c r="T123" s="278"/>
      <c r="U123" s="304"/>
    </row>
    <row r="124" spans="1:28" s="305" customFormat="1" ht="14.45" hidden="1" customHeight="1" outlineLevel="1" x14ac:dyDescent="0.25">
      <c r="A124" s="278"/>
      <c r="B124" s="279" t="str">
        <f t="shared" si="87"/>
        <v>bricklaying230Lx110Wx76Hface</v>
      </c>
      <c r="C124" s="278" t="s">
        <v>2208</v>
      </c>
      <c r="D124" s="278" t="s">
        <v>2205</v>
      </c>
      <c r="E124" s="278" t="s">
        <v>2207</v>
      </c>
      <c r="F124" s="278"/>
      <c r="G124" s="278" t="s">
        <v>5</v>
      </c>
      <c r="H124" s="290">
        <v>2.1000000000000001E-2</v>
      </c>
      <c r="I124" s="280">
        <f t="shared" ref="I124" si="88">$I$2*H124</f>
        <v>1.7070900000000002</v>
      </c>
      <c r="J124" s="281">
        <f t="shared" ref="J124" si="89">$J$2*H124</f>
        <v>2.00718</v>
      </c>
      <c r="K124" s="282">
        <f>IF(Notes!$B$9="Domestic",I124, IF(Notes!$B$9="Commercial",J124))*$K$122</f>
        <v>2.00718</v>
      </c>
      <c r="L124" s="283">
        <f>IF(SUM(O124:Q124)=0,0,((SUM(O124:Q124)+(K124+SUM(M124:Q124))*(INDEX($U$122:$AB$122,MATCH(Notes!$C$16,$U$3:$AB$3,0))-100%))*$L$122))</f>
        <v>0</v>
      </c>
      <c r="M124" s="286"/>
      <c r="N124" s="286"/>
      <c r="O124" s="285"/>
      <c r="P124" s="285"/>
      <c r="Q124" s="285"/>
      <c r="R124" s="278"/>
      <c r="S124" s="278"/>
      <c r="T124" s="278"/>
      <c r="U124" s="304"/>
    </row>
    <row r="125" spans="1:28" ht="21" hidden="1" outlineLevel="1" x14ac:dyDescent="0.25">
      <c r="A125" s="299" t="s">
        <v>2278</v>
      </c>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row>
    <row r="126" spans="1:28" ht="15.75" hidden="1" outlineLevel="1" x14ac:dyDescent="0.25">
      <c r="A126" s="291"/>
      <c r="B126" s="291"/>
      <c r="C126" s="291"/>
      <c r="D126" s="291"/>
      <c r="E126" s="291"/>
      <c r="F126" s="291"/>
      <c r="G126" s="291"/>
      <c r="H126" s="291"/>
      <c r="I126" s="291"/>
      <c r="J126" s="291"/>
      <c r="K126" s="291">
        <f>K$2</f>
        <v>1</v>
      </c>
      <c r="L126" s="291">
        <f>L$2</f>
        <v>1</v>
      </c>
      <c r="M126" s="291"/>
      <c r="N126" s="291"/>
      <c r="O126" s="303"/>
      <c r="P126" s="303"/>
      <c r="Q126" s="303"/>
      <c r="R126" s="291"/>
      <c r="S126" s="291"/>
      <c r="T126" s="291"/>
      <c r="U126" s="291">
        <v>1</v>
      </c>
      <c r="V126" s="291">
        <v>1</v>
      </c>
      <c r="W126" s="291">
        <v>0.98561757312614262</v>
      </c>
      <c r="X126" s="291">
        <v>1</v>
      </c>
      <c r="Y126" s="291">
        <v>0.99015939213893978</v>
      </c>
      <c r="Z126" s="291">
        <v>1.2184398668059544</v>
      </c>
      <c r="AA126" s="291">
        <v>1.2602534386698006</v>
      </c>
      <c r="AB126" s="291">
        <v>1.0295578697658223</v>
      </c>
    </row>
    <row r="127" spans="1:28" s="305" customFormat="1" hidden="1" outlineLevel="1" x14ac:dyDescent="0.25">
      <c r="A127" s="278"/>
      <c r="B127" s="279" t="str">
        <f>C127&amp;D127&amp;E127&amp;F127</f>
        <v>brick lintel85x8mmflat bar</v>
      </c>
      <c r="C127" s="278" t="s">
        <v>2223</v>
      </c>
      <c r="D127" s="278" t="s">
        <v>2224</v>
      </c>
      <c r="E127" s="278" t="s">
        <v>2225</v>
      </c>
      <c r="F127" s="278"/>
      <c r="G127" s="278" t="s">
        <v>15</v>
      </c>
      <c r="H127" s="290">
        <v>0.08</v>
      </c>
      <c r="I127" s="280">
        <f>$I$2*H127</f>
        <v>6.5032000000000005</v>
      </c>
      <c r="J127" s="281">
        <f>$J$2*H127</f>
        <v>7.6463999999999999</v>
      </c>
      <c r="K127" s="282">
        <f>IF(Notes!$B$9="Domestic",I127, IF(Notes!$B$9="Commercial",J127))*$K$126</f>
        <v>7.6463999999999999</v>
      </c>
      <c r="L127" s="283">
        <f>IF(SUM(O127:Q127)=0,0,((SUM(O127:Q127)+(K127+SUM(M127:Q127))*(INDEX($U$126:$AB$126,MATCH(Notes!$C$16,$U$3:$AB$3,0))-100%))*$L$126))</f>
        <v>47.13</v>
      </c>
      <c r="M127" s="286"/>
      <c r="N127" s="286"/>
      <c r="O127" s="285">
        <v>47.13</v>
      </c>
      <c r="P127" s="285"/>
      <c r="Q127" s="285"/>
      <c r="R127" s="278"/>
      <c r="S127" s="278"/>
      <c r="T127" s="278"/>
    </row>
    <row r="128" spans="1:28" s="305" customFormat="1" hidden="1" outlineLevel="1" x14ac:dyDescent="0.25">
      <c r="A128" s="278"/>
      <c r="B128" s="279" t="str">
        <f t="shared" ref="B128:B133" si="90">C128&amp;D128&amp;E128&amp;F128</f>
        <v>brick lintel100x100x6mmangle</v>
      </c>
      <c r="C128" s="278" t="s">
        <v>2223</v>
      </c>
      <c r="D128" s="278" t="s">
        <v>2227</v>
      </c>
      <c r="E128" s="278" t="s">
        <v>2226</v>
      </c>
      <c r="F128" s="278"/>
      <c r="G128" s="278" t="s">
        <v>15</v>
      </c>
      <c r="H128" s="290">
        <v>0.13</v>
      </c>
      <c r="I128" s="280">
        <f t="shared" ref="I128:I130" si="91">$I$2*H128</f>
        <v>10.5677</v>
      </c>
      <c r="J128" s="281">
        <f t="shared" ref="J128:J133" si="92">$J$2*H128</f>
        <v>12.4254</v>
      </c>
      <c r="K128" s="282">
        <f>IF(Notes!$B$9="Domestic",I128, IF(Notes!$B$9="Commercial",J128))*$K$126</f>
        <v>12.4254</v>
      </c>
      <c r="L128" s="283">
        <f>IF(SUM(O128:Q128)=0,0,((SUM(O128:Q128)+(K128+SUM(M128:Q128))*(INDEX($U$126:$AB$126,MATCH(Notes!$C$16,$U$3:$AB$3,0))-100%))*$L$126))</f>
        <v>76.959999999999994</v>
      </c>
      <c r="M128" s="286"/>
      <c r="N128" s="286"/>
      <c r="O128" s="285">
        <v>76.959999999999994</v>
      </c>
      <c r="P128" s="285"/>
      <c r="Q128" s="285"/>
      <c r="R128" s="278"/>
      <c r="S128" s="278"/>
      <c r="T128" s="278"/>
    </row>
    <row r="129" spans="1:28" s="305" customFormat="1" hidden="1" outlineLevel="1" x14ac:dyDescent="0.25">
      <c r="A129" s="278"/>
      <c r="B129" s="279" t="str">
        <f t="shared" si="90"/>
        <v>brick lintel100x100x10mmangle</v>
      </c>
      <c r="C129" s="278" t="s">
        <v>2223</v>
      </c>
      <c r="D129" s="278" t="s">
        <v>2228</v>
      </c>
      <c r="E129" s="278" t="s">
        <v>2226</v>
      </c>
      <c r="F129" s="278"/>
      <c r="G129" s="278" t="s">
        <v>15</v>
      </c>
      <c r="H129" s="290">
        <v>0.2</v>
      </c>
      <c r="I129" s="280">
        <f t="shared" si="91"/>
        <v>16.258000000000003</v>
      </c>
      <c r="J129" s="281">
        <f t="shared" si="92"/>
        <v>19.116</v>
      </c>
      <c r="K129" s="282">
        <f>IF(Notes!$B$9="Domestic",I129, IF(Notes!$B$9="Commercial",J129))*$K$126</f>
        <v>19.116</v>
      </c>
      <c r="L129" s="283">
        <f>IF(SUM(O129:Q129)=0,0,((SUM(O129:Q129)+(K129+SUM(M129:Q129))*(INDEX($U$126:$AB$126,MATCH(Notes!$C$16,$U$3:$AB$3,0))-100%))*$L$126))</f>
        <v>119.31</v>
      </c>
      <c r="M129" s="286"/>
      <c r="N129" s="286"/>
      <c r="O129" s="285">
        <v>119.31</v>
      </c>
      <c r="P129" s="285"/>
      <c r="Q129" s="285"/>
      <c r="R129" s="278"/>
      <c r="S129" s="278"/>
      <c r="T129" s="278"/>
    </row>
    <row r="130" spans="1:28" s="305" customFormat="1" hidden="1" outlineLevel="1" x14ac:dyDescent="0.25">
      <c r="A130" s="278"/>
      <c r="B130" s="279" t="str">
        <f t="shared" si="90"/>
        <v>brick lintel150x100x6mmangle</v>
      </c>
      <c r="C130" s="278" t="s">
        <v>2223</v>
      </c>
      <c r="D130" s="278" t="s">
        <v>2229</v>
      </c>
      <c r="E130" s="278" t="s">
        <v>2226</v>
      </c>
      <c r="F130" s="278"/>
      <c r="G130" s="278" t="s">
        <v>15</v>
      </c>
      <c r="H130" s="290">
        <v>0.16</v>
      </c>
      <c r="I130" s="280">
        <f t="shared" si="91"/>
        <v>13.006400000000001</v>
      </c>
      <c r="J130" s="281">
        <f t="shared" si="92"/>
        <v>15.2928</v>
      </c>
      <c r="K130" s="282">
        <f>IF(Notes!$B$9="Domestic",I130, IF(Notes!$B$9="Commercial",J130))*$K$126</f>
        <v>15.2928</v>
      </c>
      <c r="L130" s="283">
        <f>IF(SUM(O130:Q130)=0,0,((SUM(O130:Q130)+(K130+SUM(M130:Q130))*(INDEX($U$126:$AB$126,MATCH(Notes!$C$16,$U$3:$AB$3,0))-100%))*$L$126))</f>
        <v>94.44</v>
      </c>
      <c r="M130" s="286"/>
      <c r="N130" s="286"/>
      <c r="O130" s="285">
        <f>47.22*2</f>
        <v>94.44</v>
      </c>
      <c r="P130" s="285"/>
      <c r="Q130" s="285"/>
      <c r="R130" s="278"/>
      <c r="S130" s="278"/>
      <c r="T130" s="278"/>
    </row>
    <row r="131" spans="1:28" s="305" customFormat="1" hidden="1" outlineLevel="1" x14ac:dyDescent="0.25">
      <c r="A131" s="278"/>
      <c r="B131" s="279" t="str">
        <f t="shared" si="90"/>
        <v>brick lintel150x100x10mmangle</v>
      </c>
      <c r="C131" s="278" t="s">
        <v>2223</v>
      </c>
      <c r="D131" s="278" t="s">
        <v>2230</v>
      </c>
      <c r="E131" s="278" t="s">
        <v>2226</v>
      </c>
      <c r="F131" s="278"/>
      <c r="G131" s="278" t="s">
        <v>15</v>
      </c>
      <c r="H131" s="290">
        <v>0.25</v>
      </c>
      <c r="I131" s="280">
        <f>$I$2*H131</f>
        <v>20.322500000000002</v>
      </c>
      <c r="J131" s="281">
        <f t="shared" si="92"/>
        <v>23.895</v>
      </c>
      <c r="K131" s="282">
        <f>IF(Notes!$B$9="Domestic",I131, IF(Notes!$B$9="Commercial",J131))*$K$126</f>
        <v>23.895</v>
      </c>
      <c r="L131" s="283">
        <f>IF(SUM(O131:Q131)=0,0,((SUM(O131:Q131)+(K131+SUM(M131:Q131))*(INDEX($U$126:$AB$126,MATCH(Notes!$C$16,$U$3:$AB$3,0))-100%))*$L$126))</f>
        <v>151.22999999999999</v>
      </c>
      <c r="M131" s="286"/>
      <c r="N131" s="286"/>
      <c r="O131" s="285">
        <v>151.22999999999999</v>
      </c>
      <c r="P131" s="285"/>
      <c r="Q131" s="285"/>
      <c r="R131" s="278"/>
      <c r="S131" s="278"/>
      <c r="T131" s="278"/>
    </row>
    <row r="132" spans="1:28" s="305" customFormat="1" hidden="1" outlineLevel="1" x14ac:dyDescent="0.25">
      <c r="A132" s="278"/>
      <c r="B132" s="279" t="str">
        <f t="shared" si="90"/>
        <v>brick lintel200x200x7mmT bar</v>
      </c>
      <c r="C132" s="278" t="s">
        <v>2223</v>
      </c>
      <c r="D132" s="278" t="s">
        <v>2232</v>
      </c>
      <c r="E132" s="278" t="s">
        <v>2231</v>
      </c>
      <c r="F132" s="278"/>
      <c r="G132" s="278" t="s">
        <v>15</v>
      </c>
      <c r="H132" s="290">
        <v>0.34</v>
      </c>
      <c r="I132" s="280">
        <f t="shared" ref="I132:I133" si="93">$I$2*H132</f>
        <v>27.638600000000004</v>
      </c>
      <c r="J132" s="281">
        <f t="shared" si="92"/>
        <v>32.497199999999999</v>
      </c>
      <c r="K132" s="282">
        <f>IF(Notes!$B$9="Domestic",I132, IF(Notes!$B$9="Commercial",J132))*$K$126</f>
        <v>32.497199999999999</v>
      </c>
      <c r="L132" s="283">
        <f>IF(SUM(O132:Q132)=0,0,((SUM(O132:Q132)+(K132+SUM(M132:Q132))*(INDEX($U$126:$AB$126,MATCH(Notes!$C$16,$U$3:$AB$3,0))-100%))*$L$126))</f>
        <v>194.58500000000001</v>
      </c>
      <c r="M132" s="286"/>
      <c r="N132" s="286"/>
      <c r="O132" s="285">
        <f>409.17/2-10</f>
        <v>194.58500000000001</v>
      </c>
      <c r="P132" s="285"/>
      <c r="Q132" s="285"/>
      <c r="R132" s="278"/>
      <c r="S132" s="278"/>
      <c r="T132" s="278"/>
    </row>
    <row r="133" spans="1:28" s="305" customFormat="1" hidden="1" outlineLevel="1" x14ac:dyDescent="0.25">
      <c r="A133" s="278"/>
      <c r="B133" s="279" t="str">
        <f t="shared" si="90"/>
        <v>brick lintel200x200x9mmT bar</v>
      </c>
      <c r="C133" s="278" t="s">
        <v>2223</v>
      </c>
      <c r="D133" s="278" t="s">
        <v>2233</v>
      </c>
      <c r="E133" s="278" t="s">
        <v>2231</v>
      </c>
      <c r="F133" s="278"/>
      <c r="G133" s="278" t="s">
        <v>15</v>
      </c>
      <c r="H133" s="290">
        <v>0.38</v>
      </c>
      <c r="I133" s="280">
        <f t="shared" si="93"/>
        <v>30.890200000000004</v>
      </c>
      <c r="J133" s="281">
        <f t="shared" si="92"/>
        <v>36.320399999999999</v>
      </c>
      <c r="K133" s="282">
        <f>IF(Notes!$B$9="Domestic",I133, IF(Notes!$B$9="Commercial",J133))*$K$126</f>
        <v>36.320399999999999</v>
      </c>
      <c r="L133" s="283">
        <f>IF(SUM(O133:Q133)=0,0,((SUM(O133:Q133)+(K133+SUM(M133:Q133))*(INDEX($U$126:$AB$126,MATCH(Notes!$C$16,$U$3:$AB$3,0))-100%))*$L$126))</f>
        <v>228.53</v>
      </c>
      <c r="M133" s="286"/>
      <c r="N133" s="286"/>
      <c r="O133" s="285">
        <f>457.06/2</f>
        <v>228.53</v>
      </c>
      <c r="P133" s="285"/>
      <c r="Q133" s="285"/>
      <c r="R133" s="278"/>
      <c r="S133" s="278"/>
      <c r="T133" s="278"/>
    </row>
    <row r="134" spans="1:28" ht="21" hidden="1" outlineLevel="1" x14ac:dyDescent="0.25">
      <c r="A134" s="299" t="s">
        <v>2281</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row>
    <row r="135" spans="1:28" ht="15.75" hidden="1" outlineLevel="1" x14ac:dyDescent="0.25">
      <c r="A135" s="291"/>
      <c r="B135" s="291"/>
      <c r="C135" s="291"/>
      <c r="D135" s="291"/>
      <c r="E135" s="291"/>
      <c r="F135" s="291"/>
      <c r="G135" s="291"/>
      <c r="H135" s="291"/>
      <c r="I135" s="291"/>
      <c r="J135" s="291"/>
      <c r="K135" s="291">
        <f>K$2</f>
        <v>1</v>
      </c>
      <c r="L135" s="291">
        <f>L$2</f>
        <v>1</v>
      </c>
      <c r="M135" s="291"/>
      <c r="N135" s="291"/>
      <c r="O135" s="303"/>
      <c r="P135" s="303"/>
      <c r="Q135" s="303"/>
      <c r="R135" s="291"/>
      <c r="S135" s="291"/>
      <c r="T135" s="291"/>
      <c r="U135" s="381">
        <f>U$122</f>
        <v>1.3571428571428572</v>
      </c>
      <c r="V135" s="381">
        <f t="shared" ref="V135:AB135" si="94">V$122</f>
        <v>1</v>
      </c>
      <c r="W135" s="381">
        <f t="shared" si="94"/>
        <v>1.0032467532467533</v>
      </c>
      <c r="X135" s="381">
        <f t="shared" si="94"/>
        <v>1.4675324675324675</v>
      </c>
      <c r="Y135" s="381">
        <f t="shared" si="94"/>
        <v>1.1688311688311688</v>
      </c>
      <c r="Z135" s="381">
        <f t="shared" si="94"/>
        <v>1.2987012987012987</v>
      </c>
      <c r="AA135" s="381">
        <f t="shared" si="94"/>
        <v>1</v>
      </c>
      <c r="AB135" s="381">
        <f t="shared" si="94"/>
        <v>0.87662337662337664</v>
      </c>
    </row>
    <row r="136" spans="1:28" s="305" customFormat="1" hidden="1" outlineLevel="1" x14ac:dyDescent="0.25">
      <c r="A136" s="278"/>
      <c r="B136" s="279" t="str">
        <f>C136&amp;D136&amp;E136&amp;F136</f>
        <v>brick sill</v>
      </c>
      <c r="C136" s="278" t="s">
        <v>2282</v>
      </c>
      <c r="D136" s="278"/>
      <c r="E136" s="278"/>
      <c r="F136" s="278"/>
      <c r="G136" s="278" t="s">
        <v>15</v>
      </c>
      <c r="H136" s="290">
        <v>0.33</v>
      </c>
      <c r="I136" s="280">
        <f>$I$2*H136</f>
        <v>26.825700000000005</v>
      </c>
      <c r="J136" s="281">
        <f>$J$2*H136</f>
        <v>31.541399999999999</v>
      </c>
      <c r="K136" s="282">
        <f>IF(Notes!$B$9="Domestic",I136, IF(Notes!$B$9="Commercial",J136))*$K$135</f>
        <v>31.541399999999999</v>
      </c>
      <c r="L136" s="283">
        <f>IF(SUM(O136:Q136)=0,0,((SUM(O136:Q136)+(K136+SUM(M136:Q136))*(INDEX($U$135:$AB$135,MATCH(Notes!$C$16,$U$3:$AB$3,0))-100%))*$L$135))</f>
        <v>0</v>
      </c>
      <c r="M136" s="286"/>
      <c r="N136" s="286"/>
      <c r="O136" s="285"/>
      <c r="P136" s="285"/>
      <c r="Q136" s="285"/>
      <c r="R136" s="278"/>
      <c r="S136" s="278"/>
      <c r="T136" s="278"/>
    </row>
    <row r="137" spans="1:28" ht="21" hidden="1" outlineLevel="1" x14ac:dyDescent="0.25">
      <c r="A137" s="299" t="s">
        <v>2284</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row>
    <row r="138" spans="1:28" ht="15.75" hidden="1" outlineLevel="1" x14ac:dyDescent="0.25">
      <c r="A138" s="291"/>
      <c r="B138" s="291"/>
      <c r="C138" s="291"/>
      <c r="D138" s="291"/>
      <c r="E138" s="291"/>
      <c r="F138" s="291"/>
      <c r="G138" s="291"/>
      <c r="H138" s="291"/>
      <c r="I138" s="291"/>
      <c r="J138" s="291"/>
      <c r="K138" s="291">
        <f>K$2</f>
        <v>1</v>
      </c>
      <c r="L138" s="291">
        <f>L$2</f>
        <v>1</v>
      </c>
      <c r="M138" s="291"/>
      <c r="N138" s="291"/>
      <c r="O138" s="303"/>
      <c r="P138" s="303"/>
      <c r="Q138" s="303"/>
      <c r="R138" s="291"/>
      <c r="S138" s="291"/>
      <c r="T138" s="291"/>
      <c r="U138" s="381">
        <f>U$122</f>
        <v>1.3571428571428572</v>
      </c>
      <c r="V138" s="381">
        <f t="shared" ref="V138:AB138" si="95">V$122</f>
        <v>1</v>
      </c>
      <c r="W138" s="381">
        <f t="shared" si="95"/>
        <v>1.0032467532467533</v>
      </c>
      <c r="X138" s="381">
        <f t="shared" si="95"/>
        <v>1.4675324675324675</v>
      </c>
      <c r="Y138" s="381">
        <f t="shared" si="95"/>
        <v>1.1688311688311688</v>
      </c>
      <c r="Z138" s="381">
        <f t="shared" si="95"/>
        <v>1.2987012987012987</v>
      </c>
      <c r="AA138" s="381">
        <f t="shared" si="95"/>
        <v>1</v>
      </c>
      <c r="AB138" s="381">
        <f t="shared" si="95"/>
        <v>0.87662337662337664</v>
      </c>
    </row>
    <row r="139" spans="1:28" s="305" customFormat="1" hidden="1" outlineLevel="1" x14ac:dyDescent="0.25">
      <c r="A139" s="278"/>
      <c r="B139" s="279" t="str">
        <f>C139&amp;D139&amp;E139&amp;F139</f>
        <v>brick feature course</v>
      </c>
      <c r="C139" s="353" t="s">
        <v>2285</v>
      </c>
      <c r="D139" s="278"/>
      <c r="E139" s="278"/>
      <c r="F139" s="278"/>
      <c r="G139" s="278" t="s">
        <v>15</v>
      </c>
      <c r="H139" s="290">
        <v>0.33</v>
      </c>
      <c r="I139" s="280">
        <f>$I$2*H139</f>
        <v>26.825700000000005</v>
      </c>
      <c r="J139" s="281">
        <f>$J$2*H139</f>
        <v>31.541399999999999</v>
      </c>
      <c r="K139" s="282">
        <f>IF(Notes!$B$9="Domestic",I139, IF(Notes!$B$9="Commercial",J139))*$K$138</f>
        <v>31.541399999999999</v>
      </c>
      <c r="L139" s="283">
        <f>IF(SUM(O139:Q139)=0,0,((SUM(O139:Q139)+(K139+SUM(M139:Q139))*(INDEX($U$138:$AB$138,MATCH(Notes!$C$16,$U$3:$AB$3,0))-100%))*$L$138))</f>
        <v>0</v>
      </c>
      <c r="M139" s="286"/>
      <c r="N139" s="286"/>
      <c r="O139" s="285"/>
      <c r="P139" s="285"/>
      <c r="Q139" s="285"/>
      <c r="R139" s="278"/>
      <c r="S139" s="278"/>
      <c r="T139" s="278"/>
    </row>
    <row r="140" spans="1:28" ht="21" hidden="1" outlineLevel="1" x14ac:dyDescent="0.25">
      <c r="A140" s="299" t="s">
        <v>2283</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row>
    <row r="141" spans="1:28" ht="15.75" hidden="1" outlineLevel="1" x14ac:dyDescent="0.25">
      <c r="A141" s="291"/>
      <c r="B141" s="291"/>
      <c r="C141" s="291"/>
      <c r="D141" s="291"/>
      <c r="E141" s="291"/>
      <c r="F141" s="291"/>
      <c r="G141" s="291"/>
      <c r="H141" s="291"/>
      <c r="I141" s="291"/>
      <c r="J141" s="291"/>
      <c r="K141" s="291">
        <f>K$2</f>
        <v>1</v>
      </c>
      <c r="L141" s="291">
        <f>L$2</f>
        <v>1</v>
      </c>
      <c r="M141" s="291"/>
      <c r="N141" s="291"/>
      <c r="O141" s="303"/>
      <c r="P141" s="303"/>
      <c r="Q141" s="303"/>
      <c r="R141" s="291"/>
      <c r="S141" s="291"/>
      <c r="T141" s="291"/>
      <c r="U141" s="381">
        <f>U$122</f>
        <v>1.3571428571428572</v>
      </c>
      <c r="V141" s="381">
        <f t="shared" ref="V141:AB141" si="96">V$122</f>
        <v>1</v>
      </c>
      <c r="W141" s="381">
        <f t="shared" si="96"/>
        <v>1.0032467532467533</v>
      </c>
      <c r="X141" s="381">
        <f t="shared" si="96"/>
        <v>1.4675324675324675</v>
      </c>
      <c r="Y141" s="381">
        <f t="shared" si="96"/>
        <v>1.1688311688311688</v>
      </c>
      <c r="Z141" s="381">
        <f t="shared" si="96"/>
        <v>1.2987012987012987</v>
      </c>
      <c r="AA141" s="381">
        <f t="shared" si="96"/>
        <v>1</v>
      </c>
      <c r="AB141" s="381">
        <f t="shared" si="96"/>
        <v>0.87662337662337664</v>
      </c>
    </row>
    <row r="142" spans="1:28" s="305" customFormat="1" hidden="1" outlineLevel="1" x14ac:dyDescent="0.25">
      <c r="A142" s="278"/>
      <c r="B142" s="279" t="str">
        <f>C142&amp;D142&amp;E142&amp;F142</f>
        <v>brick feature pattern</v>
      </c>
      <c r="C142" s="353" t="s">
        <v>2286</v>
      </c>
      <c r="D142" s="278"/>
      <c r="E142" s="278"/>
      <c r="F142" s="278"/>
      <c r="G142" s="278" t="s">
        <v>11</v>
      </c>
      <c r="H142" s="290">
        <v>0.8</v>
      </c>
      <c r="I142" s="280">
        <f>$I$2*H142</f>
        <v>65.032000000000011</v>
      </c>
      <c r="J142" s="281">
        <f>$J$2*H142</f>
        <v>76.463999999999999</v>
      </c>
      <c r="K142" s="282">
        <f>IF(Notes!$B$9="Domestic",I142, IF(Notes!$B$9="Commercial",J142))*$K$141</f>
        <v>76.463999999999999</v>
      </c>
      <c r="L142" s="283">
        <f>IF(SUM(O142:Q142)=0,0,((SUM(O142:Q142)+(K142+SUM(M142:Q142))*(INDEX($U$141:$AB$141,MATCH(Notes!$C$16,$U$3:$AB$3,0))-100%))*$L$141))</f>
        <v>0</v>
      </c>
      <c r="M142" s="286"/>
      <c r="N142" s="286"/>
      <c r="O142" s="285"/>
      <c r="P142" s="285"/>
      <c r="Q142" s="285"/>
      <c r="R142" s="278"/>
      <c r="S142" s="278"/>
      <c r="T142" s="278"/>
    </row>
    <row r="143" spans="1:28" ht="21" hidden="1" outlineLevel="1" x14ac:dyDescent="0.25">
      <c r="A143" s="299" t="s">
        <v>2287</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row>
    <row r="144" spans="1:28" ht="15.75" hidden="1" outlineLevel="1" x14ac:dyDescent="0.25">
      <c r="A144" s="291"/>
      <c r="B144" s="291"/>
      <c r="C144" s="291"/>
      <c r="D144" s="291"/>
      <c r="E144" s="291"/>
      <c r="F144" s="291"/>
      <c r="G144" s="291"/>
      <c r="H144" s="291"/>
      <c r="I144" s="291"/>
      <c r="J144" s="291"/>
      <c r="K144" s="291">
        <f>K$2</f>
        <v>1</v>
      </c>
      <c r="L144" s="291">
        <f>L$2</f>
        <v>1</v>
      </c>
      <c r="M144" s="291"/>
      <c r="N144" s="291"/>
      <c r="O144" s="303"/>
      <c r="P144" s="303"/>
      <c r="Q144" s="303"/>
      <c r="R144" s="291"/>
      <c r="S144" s="291"/>
      <c r="T144" s="291"/>
      <c r="U144" s="381">
        <f>U$122</f>
        <v>1.3571428571428572</v>
      </c>
      <c r="V144" s="381">
        <f t="shared" ref="V144:AB144" si="97">V$122</f>
        <v>1</v>
      </c>
      <c r="W144" s="381">
        <f t="shared" si="97"/>
        <v>1.0032467532467533</v>
      </c>
      <c r="X144" s="381">
        <f t="shared" si="97"/>
        <v>1.4675324675324675</v>
      </c>
      <c r="Y144" s="381">
        <f t="shared" si="97"/>
        <v>1.1688311688311688</v>
      </c>
      <c r="Z144" s="381">
        <f t="shared" si="97"/>
        <v>1.2987012987012987</v>
      </c>
      <c r="AA144" s="381">
        <f t="shared" si="97"/>
        <v>1</v>
      </c>
      <c r="AB144" s="381">
        <f t="shared" si="97"/>
        <v>0.87662337662337664</v>
      </c>
    </row>
    <row r="145" spans="1:28" s="305" customFormat="1" hidden="1" outlineLevel="1" x14ac:dyDescent="0.25">
      <c r="A145" s="278"/>
      <c r="B145" s="279" t="str">
        <f>C145&amp;D145&amp;E145&amp;F145</f>
        <v>archwork</v>
      </c>
      <c r="C145" s="278" t="s">
        <v>2289</v>
      </c>
      <c r="D145" s="278"/>
      <c r="E145" s="278"/>
      <c r="F145" s="278"/>
      <c r="G145" s="278" t="s">
        <v>5</v>
      </c>
      <c r="H145" s="290">
        <v>6</v>
      </c>
      <c r="I145" s="280">
        <f>$I$2*H145</f>
        <v>487.74</v>
      </c>
      <c r="J145" s="281">
        <f>$J$2*H145</f>
        <v>573.48</v>
      </c>
      <c r="K145" s="282">
        <f>IF(Notes!$B$9="Domestic",I145, IF(Notes!$B$9="Commercial",J145))*$K$144</f>
        <v>573.48</v>
      </c>
      <c r="L145" s="283">
        <f>IF(SUM(O145:Q145)=0,0,((SUM(O145:Q145)+(K145+SUM(M145:Q145))*(INDEX($U$144:$AB$144,MATCH(Notes!$C$16,$U$3:$AB$3,0))-100%))*$L$144))</f>
        <v>81.06</v>
      </c>
      <c r="M145" s="286">
        <v>214.54</v>
      </c>
      <c r="N145" s="286"/>
      <c r="O145" s="285">
        <v>81.06</v>
      </c>
      <c r="P145" s="285"/>
      <c r="Q145" s="285"/>
      <c r="R145" s="278"/>
      <c r="S145" s="278"/>
      <c r="T145" s="278"/>
    </row>
    <row r="146" spans="1:28" ht="21" hidden="1" outlineLevel="1" x14ac:dyDescent="0.25">
      <c r="A146" s="299" t="s">
        <v>2288</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row>
    <row r="147" spans="1:28" ht="15.75" hidden="1" outlineLevel="1" x14ac:dyDescent="0.25">
      <c r="A147" s="291"/>
      <c r="B147" s="291"/>
      <c r="C147" s="291"/>
      <c r="D147" s="291"/>
      <c r="E147" s="291"/>
      <c r="F147" s="291"/>
      <c r="G147" s="291"/>
      <c r="H147" s="291"/>
      <c r="I147" s="291"/>
      <c r="J147" s="291"/>
      <c r="K147" s="291">
        <f>K$2</f>
        <v>1</v>
      </c>
      <c r="L147" s="291">
        <f>L$2</f>
        <v>1</v>
      </c>
      <c r="M147" s="291"/>
      <c r="N147" s="291"/>
      <c r="O147" s="303"/>
      <c r="P147" s="303"/>
      <c r="Q147" s="303"/>
      <c r="R147" s="291"/>
      <c r="S147" s="291"/>
      <c r="T147" s="291"/>
      <c r="U147" s="291">
        <f>3.1/2.45</f>
        <v>1.2653061224489794</v>
      </c>
      <c r="V147" s="291">
        <f>2.45/2.45</f>
        <v>1</v>
      </c>
      <c r="W147" s="291">
        <f>2.25/2.45</f>
        <v>0.91836734693877542</v>
      </c>
      <c r="X147" s="291">
        <f>2.5/2.45</f>
        <v>1.0204081632653061</v>
      </c>
      <c r="Y147" s="291">
        <f>2.25/2.45</f>
        <v>0.91836734693877542</v>
      </c>
      <c r="Z147" s="291">
        <f t="shared" ref="Z147:AB147" si="98">2.45/2.45</f>
        <v>1</v>
      </c>
      <c r="AA147" s="291">
        <f t="shared" si="98"/>
        <v>1</v>
      </c>
      <c r="AB147" s="291">
        <f t="shared" si="98"/>
        <v>1</v>
      </c>
    </row>
    <row r="148" spans="1:28" s="305" customFormat="1" hidden="1" outlineLevel="1" x14ac:dyDescent="0.25">
      <c r="A148" s="278"/>
      <c r="B148" s="279" t="str">
        <f>C148&amp;D148&amp;E148&amp;F148</f>
        <v>cavity tiegalvanised steel</v>
      </c>
      <c r="C148" s="278" t="s">
        <v>2234</v>
      </c>
      <c r="D148" s="278"/>
      <c r="E148" s="278" t="s">
        <v>657</v>
      </c>
      <c r="F148" s="278"/>
      <c r="G148" s="278"/>
      <c r="H148" s="290">
        <v>0.03</v>
      </c>
      <c r="I148" s="280">
        <f>$I$2*H148</f>
        <v>2.4387000000000003</v>
      </c>
      <c r="J148" s="281">
        <f>$J$2*H148</f>
        <v>2.8673999999999999</v>
      </c>
      <c r="K148" s="282">
        <f>IF(Notes!$B$9="Domestic",I148, IF(Notes!$B$9="Commercial",J148))*$K$147</f>
        <v>2.8673999999999999</v>
      </c>
      <c r="L148" s="283">
        <f>IF(SUM(O148:Q148)=0,0,((SUM(O148:Q148)+(K148+SUM(M148:Q148))*(INDEX($U$147:$AB$147,MATCH(Notes!$C$16,$U$3:$AB$3,0))-100%))*$L$147))</f>
        <v>0.63</v>
      </c>
      <c r="M148" s="286"/>
      <c r="N148" s="286"/>
      <c r="O148" s="285">
        <v>0.63</v>
      </c>
      <c r="P148" s="285"/>
      <c r="Q148" s="285"/>
      <c r="R148" s="278"/>
      <c r="S148" s="278"/>
      <c r="T148" s="278"/>
    </row>
    <row r="149" spans="1:28" s="305" customFormat="1" hidden="1" outlineLevel="1" x14ac:dyDescent="0.25">
      <c r="A149" s="278"/>
      <c r="B149" s="279" t="str">
        <f t="shared" ref="B149" si="99">C149&amp;D149&amp;E149&amp;F149</f>
        <v>cavity tiestainless steel</v>
      </c>
      <c r="C149" s="278" t="s">
        <v>2234</v>
      </c>
      <c r="D149" s="278"/>
      <c r="E149" s="278" t="s">
        <v>1011</v>
      </c>
      <c r="F149" s="278"/>
      <c r="G149" s="278"/>
      <c r="H149" s="290">
        <v>0.03</v>
      </c>
      <c r="I149" s="280">
        <f t="shared" ref="I149" si="100">$I$2*H149</f>
        <v>2.4387000000000003</v>
      </c>
      <c r="J149" s="281">
        <f t="shared" ref="J149" si="101">$J$2*H149</f>
        <v>2.8673999999999999</v>
      </c>
      <c r="K149" s="282">
        <f>IF(Notes!$B$9="Domestic",I149, IF(Notes!$B$9="Commercial",J149))*$K$147</f>
        <v>2.8673999999999999</v>
      </c>
      <c r="L149" s="283">
        <f>IF(SUM(O149:Q149)=0,0,((SUM(O149:Q149)+(K149+SUM(M149:Q149))*(INDEX($U$147:$AB$147,MATCH(Notes!$C$16,$U$3:$AB$3,0))-100%))*$L$147))</f>
        <v>1.89</v>
      </c>
      <c r="M149" s="286"/>
      <c r="N149" s="286"/>
      <c r="O149" s="285">
        <v>1.89</v>
      </c>
      <c r="P149" s="285"/>
      <c r="Q149" s="285"/>
      <c r="R149" s="278"/>
      <c r="S149" s="278"/>
      <c r="T149" s="278"/>
    </row>
    <row r="150" spans="1:28" ht="21" hidden="1" outlineLevel="1" x14ac:dyDescent="0.25">
      <c r="A150" s="299"/>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row>
    <row r="151" spans="1:28" ht="15.75" hidden="1" outlineLevel="1" x14ac:dyDescent="0.25">
      <c r="A151" s="291"/>
      <c r="B151" s="291"/>
      <c r="C151" s="291"/>
      <c r="D151" s="291"/>
      <c r="E151" s="291"/>
      <c r="F151" s="291"/>
      <c r="G151" s="291"/>
      <c r="H151" s="291"/>
      <c r="I151" s="291"/>
      <c r="J151" s="291"/>
      <c r="K151" s="291">
        <f>K$2</f>
        <v>1</v>
      </c>
      <c r="L151" s="291">
        <f>L$2</f>
        <v>1</v>
      </c>
      <c r="M151" s="291"/>
      <c r="N151" s="291"/>
      <c r="O151" s="303"/>
      <c r="P151" s="303"/>
      <c r="Q151" s="303"/>
      <c r="R151" s="291"/>
      <c r="S151" s="291"/>
      <c r="T151" s="291"/>
      <c r="U151" s="291">
        <f>U$2</f>
        <v>1</v>
      </c>
      <c r="V151" s="291">
        <f>V$2</f>
        <v>1</v>
      </c>
      <c r="W151" s="291">
        <f t="shared" ref="W151:AB151" si="102">W$2</f>
        <v>1</v>
      </c>
      <c r="X151" s="291">
        <f t="shared" si="102"/>
        <v>1</v>
      </c>
      <c r="Y151" s="291">
        <f t="shared" si="102"/>
        <v>1</v>
      </c>
      <c r="Z151" s="291">
        <f t="shared" si="102"/>
        <v>1</v>
      </c>
      <c r="AA151" s="291">
        <f t="shared" si="102"/>
        <v>1</v>
      </c>
      <c r="AB151" s="291">
        <f t="shared" si="102"/>
        <v>1</v>
      </c>
    </row>
    <row r="152" spans="1:28" s="305" customFormat="1" hidden="1" outlineLevel="1" x14ac:dyDescent="0.25">
      <c r="A152" s="278"/>
      <c r="B152" s="279" t="str">
        <f>C152&amp;D152&amp;E152&amp;F152</f>
        <v/>
      </c>
      <c r="C152" s="278"/>
      <c r="D152" s="278"/>
      <c r="E152" s="278"/>
      <c r="F152" s="278"/>
      <c r="G152" s="278"/>
      <c r="H152" s="290"/>
      <c r="I152" s="280">
        <f>$I$2*H152</f>
        <v>0</v>
      </c>
      <c r="J152" s="281">
        <f>$J$2*H152</f>
        <v>0</v>
      </c>
      <c r="K152" s="282">
        <f>IF(Notes!$B$9="Domestic",I152, IF(Notes!$B$9="Commercial",J152))*$K$151</f>
        <v>0</v>
      </c>
      <c r="L152" s="283">
        <f>IF(SUM(O152:Q152)=0,0,((SUM(O152:Q152)+(K152+SUM(M152:Q152))*(INDEX($U$151:$AB$151,MATCH(Notes!$C$16,$U$3:$AB$3,0))-100%))*$L$151))</f>
        <v>0</v>
      </c>
      <c r="M152" s="286"/>
      <c r="N152" s="286"/>
      <c r="O152" s="285"/>
      <c r="P152" s="285"/>
      <c r="Q152" s="285"/>
      <c r="R152" s="278"/>
      <c r="S152" s="278"/>
      <c r="T152" s="278"/>
    </row>
    <row r="153" spans="1:28" s="305" customFormat="1" hidden="1" outlineLevel="1" x14ac:dyDescent="0.25">
      <c r="A153" s="278"/>
      <c r="B153" s="279" t="str">
        <f t="shared" ref="B153:B161" si="103">C153&amp;D153&amp;E153&amp;F153</f>
        <v/>
      </c>
      <c r="C153" s="278"/>
      <c r="D153" s="278"/>
      <c r="E153" s="278"/>
      <c r="F153" s="278"/>
      <c r="G153" s="278"/>
      <c r="H153" s="290"/>
      <c r="I153" s="280">
        <f t="shared" ref="I153:I155" si="104">$I$2*H153</f>
        <v>0</v>
      </c>
      <c r="J153" s="281">
        <f t="shared" ref="J153:J161" si="105">$J$2*H153</f>
        <v>0</v>
      </c>
      <c r="K153" s="282">
        <f>IF(Notes!$B$9="Domestic",I153, IF(Notes!$B$9="Commercial",J153))*$K$151</f>
        <v>0</v>
      </c>
      <c r="L153" s="283">
        <f>IF(SUM(O153:Q153)=0,0,((SUM(O153:Q153)+(K153+SUM(M153:Q153))*(INDEX($U$151:$AB$151,MATCH(Notes!$C$16,$U$3:$AB$3,0))-100%))*$L$151))</f>
        <v>0</v>
      </c>
      <c r="M153" s="286"/>
      <c r="N153" s="286"/>
      <c r="O153" s="285"/>
      <c r="P153" s="285"/>
      <c r="Q153" s="285"/>
      <c r="R153" s="278"/>
      <c r="S153" s="278"/>
      <c r="T153" s="278"/>
    </row>
    <row r="154" spans="1:28" s="305" customFormat="1" hidden="1" outlineLevel="1" x14ac:dyDescent="0.25">
      <c r="A154" s="278"/>
      <c r="B154" s="279" t="str">
        <f t="shared" si="103"/>
        <v/>
      </c>
      <c r="C154" s="278"/>
      <c r="D154" s="278"/>
      <c r="E154" s="278"/>
      <c r="F154" s="278"/>
      <c r="G154" s="278"/>
      <c r="H154" s="290"/>
      <c r="I154" s="280">
        <f t="shared" si="104"/>
        <v>0</v>
      </c>
      <c r="J154" s="281">
        <f t="shared" si="105"/>
        <v>0</v>
      </c>
      <c r="K154" s="282">
        <f>IF(Notes!$B$9="Domestic",I154, IF(Notes!$B$9="Commercial",J154))*$K$151</f>
        <v>0</v>
      </c>
      <c r="L154" s="283">
        <f>IF(SUM(O154:Q154)=0,0,((SUM(O154:Q154)+(K154+SUM(M154:Q154))*(INDEX($U$151:$AB$151,MATCH(Notes!$C$16,$U$3:$AB$3,0))-100%))*$L$151))</f>
        <v>0</v>
      </c>
      <c r="M154" s="286"/>
      <c r="N154" s="286"/>
      <c r="O154" s="285"/>
      <c r="P154" s="285"/>
      <c r="Q154" s="285"/>
      <c r="R154" s="278"/>
      <c r="S154" s="278"/>
      <c r="T154" s="278"/>
    </row>
    <row r="155" spans="1:28" s="305" customFormat="1" hidden="1" outlineLevel="1" x14ac:dyDescent="0.25">
      <c r="A155" s="278"/>
      <c r="B155" s="279" t="str">
        <f t="shared" si="103"/>
        <v/>
      </c>
      <c r="C155" s="278"/>
      <c r="D155" s="278"/>
      <c r="E155" s="278"/>
      <c r="F155" s="278"/>
      <c r="G155" s="278"/>
      <c r="H155" s="290"/>
      <c r="I155" s="280">
        <f t="shared" si="104"/>
        <v>0</v>
      </c>
      <c r="J155" s="281">
        <f t="shared" si="105"/>
        <v>0</v>
      </c>
      <c r="K155" s="282">
        <f>IF(Notes!$B$9="Domestic",I155, IF(Notes!$B$9="Commercial",J155))*$K$151</f>
        <v>0</v>
      </c>
      <c r="L155" s="283">
        <f>IF(SUM(O155:Q155)=0,0,((SUM(O155:Q155)+(K155+SUM(M155:Q155))*(INDEX($U$151:$AB$151,MATCH(Notes!$C$16,$U$3:$AB$3,0))-100%))*$L$151))</f>
        <v>0</v>
      </c>
      <c r="M155" s="286"/>
      <c r="N155" s="286"/>
      <c r="O155" s="285"/>
      <c r="P155" s="285"/>
      <c r="Q155" s="285"/>
      <c r="R155" s="278"/>
      <c r="S155" s="278"/>
      <c r="T155" s="278"/>
    </row>
    <row r="156" spans="1:28" s="305" customFormat="1" hidden="1" outlineLevel="1" x14ac:dyDescent="0.25">
      <c r="A156" s="278"/>
      <c r="B156" s="279" t="str">
        <f t="shared" si="103"/>
        <v/>
      </c>
      <c r="C156" s="278"/>
      <c r="D156" s="278"/>
      <c r="E156" s="278"/>
      <c r="F156" s="278"/>
      <c r="G156" s="278"/>
      <c r="H156" s="290"/>
      <c r="I156" s="280">
        <f>$I$2*H156</f>
        <v>0</v>
      </c>
      <c r="J156" s="281">
        <f t="shared" si="105"/>
        <v>0</v>
      </c>
      <c r="K156" s="282">
        <f>IF(Notes!$B$9="Domestic",I156, IF(Notes!$B$9="Commercial",J156))*$K$151</f>
        <v>0</v>
      </c>
      <c r="L156" s="283">
        <f>IF(SUM(O156:Q156)=0,0,((SUM(O156:Q156)+(K156+SUM(M156:Q156))*(INDEX($U$151:$AB$151,MATCH(Notes!$C$16,$U$3:$AB$3,0))-100%))*$L$151))</f>
        <v>0</v>
      </c>
      <c r="M156" s="286"/>
      <c r="N156" s="286"/>
      <c r="O156" s="285"/>
      <c r="P156" s="285"/>
      <c r="Q156" s="285"/>
      <c r="R156" s="278"/>
      <c r="S156" s="278"/>
      <c r="T156" s="278"/>
    </row>
    <row r="157" spans="1:28" s="305" customFormat="1" hidden="1" outlineLevel="1" x14ac:dyDescent="0.25">
      <c r="A157" s="278"/>
      <c r="B157" s="279" t="str">
        <f t="shared" si="103"/>
        <v/>
      </c>
      <c r="C157" s="278"/>
      <c r="D157" s="278"/>
      <c r="E157" s="278"/>
      <c r="F157" s="278"/>
      <c r="G157" s="278"/>
      <c r="H157" s="290"/>
      <c r="I157" s="280">
        <f t="shared" ref="I157:I161" si="106">$I$2*H157</f>
        <v>0</v>
      </c>
      <c r="J157" s="281">
        <f t="shared" si="105"/>
        <v>0</v>
      </c>
      <c r="K157" s="282">
        <f>IF(Notes!$B$9="Domestic",I157, IF(Notes!$B$9="Commercial",J157))*$K$151</f>
        <v>0</v>
      </c>
      <c r="L157" s="283">
        <f>IF(SUM(O157:Q157)=0,0,((SUM(O157:Q157)+(K157+SUM(M157:Q157))*(INDEX($U$151:$AB$151,MATCH(Notes!$C$16,$U$3:$AB$3,0))-100%))*$L$151))</f>
        <v>0</v>
      </c>
      <c r="M157" s="286"/>
      <c r="N157" s="286"/>
      <c r="O157" s="285"/>
      <c r="P157" s="285"/>
      <c r="Q157" s="285"/>
      <c r="R157" s="278"/>
      <c r="S157" s="278"/>
      <c r="T157" s="278"/>
    </row>
    <row r="158" spans="1:28" s="305" customFormat="1" hidden="1" outlineLevel="1" x14ac:dyDescent="0.25">
      <c r="A158" s="278"/>
      <c r="B158" s="279" t="str">
        <f t="shared" si="103"/>
        <v/>
      </c>
      <c r="C158" s="278"/>
      <c r="D158" s="278"/>
      <c r="E158" s="278"/>
      <c r="F158" s="278"/>
      <c r="G158" s="278"/>
      <c r="H158" s="290"/>
      <c r="I158" s="280">
        <f t="shared" si="106"/>
        <v>0</v>
      </c>
      <c r="J158" s="281">
        <f t="shared" si="105"/>
        <v>0</v>
      </c>
      <c r="K158" s="282">
        <f>IF(Notes!$B$9="Domestic",I158, IF(Notes!$B$9="Commercial",J158))*$K$151</f>
        <v>0</v>
      </c>
      <c r="L158" s="283">
        <f>IF(SUM(O158:Q158)=0,0,((SUM(O158:Q158)+(K158+SUM(M158:Q158))*(INDEX($U$151:$AB$151,MATCH(Notes!$C$16,$U$3:$AB$3,0))-100%))*$L$151))</f>
        <v>0</v>
      </c>
      <c r="M158" s="286"/>
      <c r="N158" s="286"/>
      <c r="O158" s="285"/>
      <c r="P158" s="285"/>
      <c r="Q158" s="285"/>
      <c r="R158" s="278"/>
      <c r="S158" s="278"/>
      <c r="T158" s="278"/>
    </row>
    <row r="159" spans="1:28" s="305" customFormat="1" hidden="1" outlineLevel="1" x14ac:dyDescent="0.25">
      <c r="A159" s="278"/>
      <c r="B159" s="279" t="str">
        <f t="shared" si="103"/>
        <v/>
      </c>
      <c r="C159" s="278"/>
      <c r="D159" s="278"/>
      <c r="E159" s="278"/>
      <c r="F159" s="278"/>
      <c r="G159" s="278"/>
      <c r="H159" s="290"/>
      <c r="I159" s="280">
        <f t="shared" si="106"/>
        <v>0</v>
      </c>
      <c r="J159" s="281">
        <f t="shared" si="105"/>
        <v>0</v>
      </c>
      <c r="K159" s="282">
        <f>IF(Notes!$B$9="Domestic",I159, IF(Notes!$B$9="Commercial",J159))*$K$151</f>
        <v>0</v>
      </c>
      <c r="L159" s="283">
        <f>IF(SUM(O159:Q159)=0,0,((SUM(O159:Q159)+(K159+SUM(M159:Q159))*(INDEX($U$151:$AB$151,MATCH(Notes!$C$16,$U$3:$AB$3,0))-100%))*$L$151))</f>
        <v>0</v>
      </c>
      <c r="M159" s="286"/>
      <c r="N159" s="286"/>
      <c r="O159" s="285"/>
      <c r="P159" s="285"/>
      <c r="Q159" s="285"/>
      <c r="R159" s="278"/>
      <c r="S159" s="278"/>
      <c r="T159" s="278"/>
    </row>
    <row r="160" spans="1:28" s="305" customFormat="1" hidden="1" outlineLevel="1" x14ac:dyDescent="0.25">
      <c r="A160" s="278"/>
      <c r="B160" s="279" t="str">
        <f t="shared" si="103"/>
        <v/>
      </c>
      <c r="C160" s="278"/>
      <c r="D160" s="278"/>
      <c r="E160" s="278"/>
      <c r="F160" s="278"/>
      <c r="G160" s="278"/>
      <c r="H160" s="290"/>
      <c r="I160" s="280">
        <f t="shared" si="106"/>
        <v>0</v>
      </c>
      <c r="J160" s="281">
        <f t="shared" si="105"/>
        <v>0</v>
      </c>
      <c r="K160" s="282">
        <f>IF(Notes!$B$9="Domestic",I160, IF(Notes!$B$9="Commercial",J160))*$K$151</f>
        <v>0</v>
      </c>
      <c r="L160" s="283">
        <f>IF(SUM(O160:Q160)=0,0,((SUM(O160:Q160)+(K160+SUM(M160:Q160))*(INDEX($U$151:$AB$151,MATCH(Notes!$C$16,$U$3:$AB$3,0))-100%))*$L$151))</f>
        <v>0</v>
      </c>
      <c r="M160" s="286"/>
      <c r="N160" s="286"/>
      <c r="O160" s="285"/>
      <c r="P160" s="285"/>
      <c r="Q160" s="285"/>
      <c r="R160" s="278"/>
      <c r="S160" s="278"/>
      <c r="T160" s="278"/>
    </row>
    <row r="161" spans="1:28" s="305" customFormat="1" hidden="1" outlineLevel="1" x14ac:dyDescent="0.25">
      <c r="A161" s="278"/>
      <c r="B161" s="279" t="str">
        <f t="shared" si="103"/>
        <v/>
      </c>
      <c r="C161" s="278"/>
      <c r="D161" s="278"/>
      <c r="E161" s="278"/>
      <c r="F161" s="278"/>
      <c r="G161" s="278"/>
      <c r="H161" s="290"/>
      <c r="I161" s="280">
        <f t="shared" si="106"/>
        <v>0</v>
      </c>
      <c r="J161" s="281">
        <f t="shared" si="105"/>
        <v>0</v>
      </c>
      <c r="K161" s="282">
        <f>IF(Notes!$B$9="Domestic",I161, IF(Notes!$B$9="Commercial",J161))*$K$151</f>
        <v>0</v>
      </c>
      <c r="L161" s="283">
        <f>IF(SUM(O161:Q161)=0,0,((SUM(O161:Q161)+(K161+SUM(M161:Q161))*(INDEX($U$151:$AB$151,MATCH(Notes!$C$16,$U$3:$AB$3,0))-100%))*$L$151))</f>
        <v>0</v>
      </c>
      <c r="M161" s="286"/>
      <c r="N161" s="286"/>
      <c r="O161" s="285"/>
      <c r="P161" s="285"/>
      <c r="Q161" s="285"/>
      <c r="R161" s="278"/>
      <c r="S161" s="278"/>
      <c r="T161" s="278"/>
    </row>
    <row r="162" spans="1:28" ht="21" hidden="1" outlineLevel="1" x14ac:dyDescent="0.25">
      <c r="A162" s="299"/>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row>
    <row r="163" spans="1:28" ht="15.75" hidden="1" outlineLevel="1" x14ac:dyDescent="0.25">
      <c r="A163" s="291"/>
      <c r="B163" s="291"/>
      <c r="C163" s="291"/>
      <c r="D163" s="291"/>
      <c r="E163" s="291"/>
      <c r="F163" s="291"/>
      <c r="G163" s="291"/>
      <c r="H163" s="291"/>
      <c r="I163" s="291"/>
      <c r="J163" s="291"/>
      <c r="K163" s="291">
        <f>K$2</f>
        <v>1</v>
      </c>
      <c r="L163" s="291">
        <f>L$2</f>
        <v>1</v>
      </c>
      <c r="M163" s="291"/>
      <c r="N163" s="291"/>
      <c r="O163" s="303"/>
      <c r="P163" s="303"/>
      <c r="Q163" s="303"/>
      <c r="R163" s="291"/>
      <c r="S163" s="291"/>
      <c r="T163" s="291"/>
      <c r="U163" s="291">
        <f>U$2</f>
        <v>1</v>
      </c>
      <c r="V163" s="291">
        <f>V$2</f>
        <v>1</v>
      </c>
      <c r="W163" s="291">
        <f t="shared" ref="W163:AB163" si="107">W$2</f>
        <v>1</v>
      </c>
      <c r="X163" s="291">
        <f t="shared" si="107"/>
        <v>1</v>
      </c>
      <c r="Y163" s="291">
        <f t="shared" si="107"/>
        <v>1</v>
      </c>
      <c r="Z163" s="291">
        <f t="shared" si="107"/>
        <v>1</v>
      </c>
      <c r="AA163" s="291">
        <f t="shared" si="107"/>
        <v>1</v>
      </c>
      <c r="AB163" s="291">
        <f t="shared" si="107"/>
        <v>1</v>
      </c>
    </row>
    <row r="164" spans="1:28" s="305" customFormat="1" hidden="1" outlineLevel="1" x14ac:dyDescent="0.25">
      <c r="A164" s="278"/>
      <c r="B164" s="279" t="str">
        <f>C164&amp;D164&amp;E164&amp;F164</f>
        <v/>
      </c>
      <c r="C164" s="278"/>
      <c r="D164" s="278"/>
      <c r="E164" s="278"/>
      <c r="F164" s="278"/>
      <c r="G164" s="278"/>
      <c r="H164" s="290"/>
      <c r="I164" s="280">
        <f>$I$2*H164</f>
        <v>0</v>
      </c>
      <c r="J164" s="281">
        <f>$J$2*H164</f>
        <v>0</v>
      </c>
      <c r="K164" s="282">
        <f>IF(Notes!$B$9="Domestic",I164, IF(Notes!$B$9="Commercial",J164))*$K$163</f>
        <v>0</v>
      </c>
      <c r="L164" s="283">
        <f>IF(SUM(O164:Q164)=0,0,((SUM(O164:Q164)+(K164+SUM(M164:Q164))*(INDEX($U$163:$AB$163,MATCH(Notes!$C$16,$U$3:$AB$3,0))-100%))*$L$163))</f>
        <v>0</v>
      </c>
      <c r="M164" s="286"/>
      <c r="N164" s="286"/>
      <c r="O164" s="285"/>
      <c r="P164" s="285"/>
      <c r="Q164" s="285"/>
      <c r="R164" s="278"/>
      <c r="S164" s="278"/>
      <c r="T164" s="278"/>
    </row>
    <row r="165" spans="1:28" s="305" customFormat="1" hidden="1" outlineLevel="1" x14ac:dyDescent="0.25">
      <c r="A165" s="278"/>
      <c r="B165" s="279" t="str">
        <f t="shared" ref="B165:B173" si="108">C165&amp;D165&amp;E165&amp;F165</f>
        <v/>
      </c>
      <c r="C165" s="278"/>
      <c r="D165" s="278"/>
      <c r="E165" s="278"/>
      <c r="F165" s="278"/>
      <c r="G165" s="278"/>
      <c r="H165" s="290"/>
      <c r="I165" s="280">
        <f t="shared" ref="I165:I173" si="109">$I$2*H165</f>
        <v>0</v>
      </c>
      <c r="J165" s="281">
        <f t="shared" ref="J165:J173" si="110">$J$2*H165</f>
        <v>0</v>
      </c>
      <c r="K165" s="282">
        <f>IF(Notes!$B$9="Domestic",I165, IF(Notes!$B$9="Commercial",J165))*$K$163</f>
        <v>0</v>
      </c>
      <c r="L165" s="283">
        <f>IF(SUM(O165:Q165)=0,0,((SUM(O165:Q165)+(K165+SUM(M165:Q165))*(INDEX($U$163:$AB$163,MATCH(Notes!$C$16,$U$3:$AB$3,0))-100%))*$L$163))</f>
        <v>0</v>
      </c>
      <c r="M165" s="286"/>
      <c r="N165" s="286"/>
      <c r="O165" s="285"/>
      <c r="P165" s="285"/>
      <c r="Q165" s="285"/>
      <c r="R165" s="278"/>
      <c r="S165" s="278"/>
      <c r="T165" s="278"/>
    </row>
    <row r="166" spans="1:28" s="305" customFormat="1" hidden="1" outlineLevel="1" x14ac:dyDescent="0.25">
      <c r="A166" s="278"/>
      <c r="B166" s="279" t="str">
        <f t="shared" si="108"/>
        <v/>
      </c>
      <c r="C166" s="278"/>
      <c r="D166" s="278"/>
      <c r="E166" s="278"/>
      <c r="F166" s="278"/>
      <c r="G166" s="278"/>
      <c r="H166" s="290"/>
      <c r="I166" s="280">
        <f t="shared" si="109"/>
        <v>0</v>
      </c>
      <c r="J166" s="281">
        <f t="shared" si="110"/>
        <v>0</v>
      </c>
      <c r="K166" s="282">
        <f>IF(Notes!$B$9="Domestic",I166, IF(Notes!$B$9="Commercial",J166))*$K$163</f>
        <v>0</v>
      </c>
      <c r="L166" s="283">
        <f>IF(SUM(O166:Q166)=0,0,((SUM(O166:Q166)+(K166+SUM(M166:Q166))*(INDEX($U$163:$AB$163,MATCH(Notes!$C$16,$U$3:$AB$3,0))-100%))*$L$163))</f>
        <v>0</v>
      </c>
      <c r="M166" s="286"/>
      <c r="N166" s="286"/>
      <c r="O166" s="285"/>
      <c r="P166" s="285"/>
      <c r="Q166" s="285"/>
      <c r="R166" s="278"/>
      <c r="S166" s="278"/>
      <c r="T166" s="278"/>
    </row>
    <row r="167" spans="1:28" s="305" customFormat="1" hidden="1" outlineLevel="1" x14ac:dyDescent="0.25">
      <c r="A167" s="278"/>
      <c r="B167" s="279" t="str">
        <f t="shared" si="108"/>
        <v/>
      </c>
      <c r="C167" s="278"/>
      <c r="D167" s="278"/>
      <c r="E167" s="278"/>
      <c r="F167" s="278"/>
      <c r="G167" s="278"/>
      <c r="H167" s="290"/>
      <c r="I167" s="280">
        <f t="shared" si="109"/>
        <v>0</v>
      </c>
      <c r="J167" s="281">
        <f t="shared" si="110"/>
        <v>0</v>
      </c>
      <c r="K167" s="282">
        <f>IF(Notes!$B$9="Domestic",I167, IF(Notes!$B$9="Commercial",J167))*$K$163</f>
        <v>0</v>
      </c>
      <c r="L167" s="283">
        <f>IF(SUM(O167:Q167)=0,0,((SUM(O167:Q167)+(K167+SUM(M167:Q167))*(INDEX($U$163:$AB$163,MATCH(Notes!$C$16,$U$3:$AB$3,0))-100%))*$L$163))</f>
        <v>0</v>
      </c>
      <c r="M167" s="286"/>
      <c r="N167" s="286"/>
      <c r="O167" s="285"/>
      <c r="P167" s="285"/>
      <c r="Q167" s="285"/>
      <c r="R167" s="278"/>
      <c r="S167" s="278"/>
      <c r="T167" s="278"/>
    </row>
    <row r="168" spans="1:28" s="305" customFormat="1" hidden="1" outlineLevel="1" x14ac:dyDescent="0.25">
      <c r="A168" s="278"/>
      <c r="B168" s="279" t="str">
        <f t="shared" si="108"/>
        <v/>
      </c>
      <c r="C168" s="278"/>
      <c r="D168" s="278"/>
      <c r="E168" s="278"/>
      <c r="F168" s="278"/>
      <c r="G168" s="278"/>
      <c r="H168" s="290"/>
      <c r="I168" s="280">
        <f>$I$2*H168</f>
        <v>0</v>
      </c>
      <c r="J168" s="281">
        <f t="shared" si="110"/>
        <v>0</v>
      </c>
      <c r="K168" s="282">
        <f>IF(Notes!$B$9="Domestic",I168, IF(Notes!$B$9="Commercial",J168))*$K$163</f>
        <v>0</v>
      </c>
      <c r="L168" s="283">
        <f>IF(SUM(O168:Q168)=0,0,((SUM(O168:Q168)+(K168+SUM(M168:Q168))*(INDEX($U$163:$AB$163,MATCH(Notes!$C$16,$U$3:$AB$3,0))-100%))*$L$163))</f>
        <v>0</v>
      </c>
      <c r="M168" s="286"/>
      <c r="N168" s="286"/>
      <c r="O168" s="285"/>
      <c r="P168" s="285"/>
      <c r="Q168" s="285"/>
      <c r="R168" s="278"/>
      <c r="S168" s="278"/>
      <c r="T168" s="278"/>
    </row>
    <row r="169" spans="1:28" s="305" customFormat="1" hidden="1" outlineLevel="1" x14ac:dyDescent="0.25">
      <c r="A169" s="278"/>
      <c r="B169" s="279" t="str">
        <f t="shared" si="108"/>
        <v/>
      </c>
      <c r="C169" s="278"/>
      <c r="D169" s="278"/>
      <c r="E169" s="278"/>
      <c r="F169" s="278"/>
      <c r="G169" s="278"/>
      <c r="H169" s="290"/>
      <c r="I169" s="280">
        <f t="shared" si="109"/>
        <v>0</v>
      </c>
      <c r="J169" s="281">
        <f t="shared" si="110"/>
        <v>0</v>
      </c>
      <c r="K169" s="282">
        <f>IF(Notes!$B$9="Domestic",I169, IF(Notes!$B$9="Commercial",J169))*$K$163</f>
        <v>0</v>
      </c>
      <c r="L169" s="283">
        <f>IF(SUM(O169:Q169)=0,0,((SUM(O169:Q169)+(K169+SUM(M169:Q169))*(INDEX($U$163:$AB$163,MATCH(Notes!$C$16,$U$3:$AB$3,0))-100%))*$L$163))</f>
        <v>0</v>
      </c>
      <c r="M169" s="286"/>
      <c r="N169" s="286"/>
      <c r="O169" s="285"/>
      <c r="P169" s="285"/>
      <c r="Q169" s="285"/>
      <c r="R169" s="278"/>
      <c r="S169" s="278"/>
      <c r="T169" s="278"/>
    </row>
    <row r="170" spans="1:28" s="305" customFormat="1" hidden="1" outlineLevel="1" x14ac:dyDescent="0.25">
      <c r="A170" s="278"/>
      <c r="B170" s="279" t="str">
        <f t="shared" si="108"/>
        <v/>
      </c>
      <c r="C170" s="278"/>
      <c r="D170" s="278"/>
      <c r="E170" s="278"/>
      <c r="F170" s="278"/>
      <c r="G170" s="278"/>
      <c r="H170" s="290"/>
      <c r="I170" s="280">
        <f t="shared" si="109"/>
        <v>0</v>
      </c>
      <c r="J170" s="281">
        <f t="shared" si="110"/>
        <v>0</v>
      </c>
      <c r="K170" s="282">
        <f>IF(Notes!$B$9="Domestic",I170, IF(Notes!$B$9="Commercial",J170))*$K$163</f>
        <v>0</v>
      </c>
      <c r="L170" s="283">
        <f>IF(SUM(O170:Q170)=0,0,((SUM(O170:Q170)+(K170+SUM(M170:Q170))*(INDEX($U$163:$AB$163,MATCH(Notes!$C$16,$U$3:$AB$3,0))-100%))*$L$163))</f>
        <v>0</v>
      </c>
      <c r="M170" s="286"/>
      <c r="N170" s="286"/>
      <c r="O170" s="285"/>
      <c r="P170" s="285"/>
      <c r="Q170" s="285"/>
      <c r="R170" s="278"/>
      <c r="S170" s="278"/>
      <c r="T170" s="278"/>
    </row>
    <row r="171" spans="1:28" s="305" customFormat="1" hidden="1" outlineLevel="1" x14ac:dyDescent="0.25">
      <c r="A171" s="278"/>
      <c r="B171" s="279" t="str">
        <f t="shared" si="108"/>
        <v/>
      </c>
      <c r="C171" s="278"/>
      <c r="D171" s="278"/>
      <c r="E171" s="278"/>
      <c r="F171" s="278"/>
      <c r="G171" s="278"/>
      <c r="H171" s="290"/>
      <c r="I171" s="280">
        <f t="shared" si="109"/>
        <v>0</v>
      </c>
      <c r="J171" s="281">
        <f t="shared" si="110"/>
        <v>0</v>
      </c>
      <c r="K171" s="282">
        <f>IF(Notes!$B$9="Domestic",I171, IF(Notes!$B$9="Commercial",J171))*$K$163</f>
        <v>0</v>
      </c>
      <c r="L171" s="283">
        <f>IF(SUM(O171:Q171)=0,0,((SUM(O171:Q171)+(K171+SUM(M171:Q171))*(INDEX($U$163:$AB$163,MATCH(Notes!$C$16,$U$3:$AB$3,0))-100%))*$L$163))</f>
        <v>0</v>
      </c>
      <c r="M171" s="286"/>
      <c r="N171" s="286"/>
      <c r="O171" s="285"/>
      <c r="P171" s="285"/>
      <c r="Q171" s="285"/>
      <c r="R171" s="278"/>
      <c r="S171" s="278"/>
      <c r="T171" s="278"/>
    </row>
    <row r="172" spans="1:28" s="305" customFormat="1" hidden="1" outlineLevel="1" x14ac:dyDescent="0.25">
      <c r="A172" s="278"/>
      <c r="B172" s="279" t="str">
        <f t="shared" si="108"/>
        <v/>
      </c>
      <c r="C172" s="278"/>
      <c r="D172" s="278"/>
      <c r="E172" s="278"/>
      <c r="F172" s="278"/>
      <c r="G172" s="278"/>
      <c r="H172" s="290"/>
      <c r="I172" s="280">
        <f t="shared" si="109"/>
        <v>0</v>
      </c>
      <c r="J172" s="281">
        <f t="shared" si="110"/>
        <v>0</v>
      </c>
      <c r="K172" s="282">
        <f>IF(Notes!$B$9="Domestic",I172, IF(Notes!$B$9="Commercial",J172))*$K$163</f>
        <v>0</v>
      </c>
      <c r="L172" s="283">
        <f>IF(SUM(O172:Q172)=0,0,((SUM(O172:Q172)+(K172+SUM(M172:Q172))*(INDEX($U$163:$AB$163,MATCH(Notes!$C$16,$U$3:$AB$3,0))-100%))*$L$163))</f>
        <v>0</v>
      </c>
      <c r="M172" s="286"/>
      <c r="N172" s="286"/>
      <c r="O172" s="285"/>
      <c r="P172" s="285"/>
      <c r="Q172" s="285"/>
      <c r="R172" s="278"/>
      <c r="S172" s="278"/>
      <c r="T172" s="278"/>
    </row>
    <row r="173" spans="1:28" s="305" customFormat="1" hidden="1" outlineLevel="1" x14ac:dyDescent="0.25">
      <c r="A173" s="278"/>
      <c r="B173" s="279" t="str">
        <f t="shared" si="108"/>
        <v/>
      </c>
      <c r="C173" s="278"/>
      <c r="D173" s="278"/>
      <c r="E173" s="278"/>
      <c r="F173" s="278"/>
      <c r="G173" s="278"/>
      <c r="H173" s="290"/>
      <c r="I173" s="280">
        <f t="shared" si="109"/>
        <v>0</v>
      </c>
      <c r="J173" s="281">
        <f t="shared" si="110"/>
        <v>0</v>
      </c>
      <c r="K173" s="282">
        <f>IF(Notes!$B$9="Domestic",I173, IF(Notes!$B$9="Commercial",J173))*$K$163</f>
        <v>0</v>
      </c>
      <c r="L173" s="283">
        <f>IF(SUM(O173:Q173)=0,0,((SUM(O173:Q173)+(K173+SUM(M173:Q173))*(INDEX($U$163:$AB$163,MATCH(Notes!$C$16,$U$3:$AB$3,0))-100%))*$L$163))</f>
        <v>0</v>
      </c>
      <c r="M173" s="286"/>
      <c r="N173" s="286"/>
      <c r="O173" s="285"/>
      <c r="P173" s="285"/>
      <c r="Q173" s="285"/>
      <c r="R173" s="278"/>
      <c r="S173" s="278"/>
      <c r="T173" s="278"/>
    </row>
    <row r="174" spans="1:28" hidden="1" outlineLevel="1" x14ac:dyDescent="0.25">
      <c r="A174" s="284" t="str">
        <f>C174&amp;D174&amp;E174</f>
        <v/>
      </c>
      <c r="B174" s="284"/>
      <c r="C174" s="284"/>
      <c r="D174" s="284"/>
      <c r="E174" s="284"/>
      <c r="F174" s="284"/>
      <c r="G174" s="284"/>
      <c r="H174" s="284"/>
      <c r="I174" s="284"/>
      <c r="J174" s="284"/>
      <c r="K174" s="284"/>
      <c r="L174" s="284"/>
      <c r="M174" s="284"/>
      <c r="N174" s="284"/>
      <c r="O174" s="284"/>
      <c r="P174" s="284"/>
      <c r="Q174" s="284"/>
      <c r="R174" s="284"/>
      <c r="S174" s="284"/>
      <c r="T174" s="284"/>
    </row>
    <row r="175" spans="1:28" hidden="1" outlineLevel="1" x14ac:dyDescent="0.25"/>
    <row r="176" spans="1:28" hidden="1" outlineLevel="1" x14ac:dyDescent="0.25"/>
    <row r="177" collapsed="1" x14ac:dyDescent="0.25"/>
  </sheetData>
  <sheetProtection algorithmName="SHA-512" hashValue="XVNPYhtkkci1fKu3yN2Ne7teaUhm/gcmQD1Iv4jMc045JgXt+DIXzUD+eOTWIxEjh+/842w9fzuIgjD7futbKw==" saltValue="/JVaE8/ZP1xIVpnicN29DA==" spinCount="100000" sheet="1" objects="1" scenarios="1"/>
  <mergeCells count="1">
    <mergeCell ref="I1:J1"/>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FDFC1-0E48-4B2E-84AB-C9D28E4EB83C}">
  <sheetPr>
    <tabColor rgb="FF00B050"/>
  </sheetPr>
  <dimension ref="A1:S317"/>
  <sheetViews>
    <sheetView view="pageBreakPreview" zoomScale="70" zoomScaleNormal="70" zoomScaleSheetLayoutView="70" workbookViewId="0"/>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Blockwork!A2+1</f>
        <v>23</v>
      </c>
      <c r="B2" s="73" t="s" cm="1">
        <v>2470</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23.01</v>
      </c>
      <c r="B3" s="27" t="s">
        <v>2290</v>
      </c>
      <c r="C3" s="97">
        <v>7.34</v>
      </c>
      <c r="D3" s="29" t="s">
        <v>11</v>
      </c>
      <c r="E3" s="85"/>
      <c r="F3" s="86">
        <f>IF(E3="inc",0,IF(C3="",0,C3*E3))</f>
        <v>0</v>
      </c>
      <c r="G3" s="208"/>
      <c r="H3" s="30"/>
      <c r="I3" s="30"/>
      <c r="J3" s="30"/>
      <c r="K3" s="30"/>
      <c r="L3" s="30"/>
      <c r="M3" s="87"/>
      <c r="N3" s="88"/>
      <c r="O3" s="25"/>
      <c r="P3" s="25"/>
      <c r="Q3" s="25"/>
      <c r="R3" s="25"/>
      <c r="S3" s="25"/>
    </row>
    <row r="4" spans="1:19" s="94" customFormat="1" ht="15.75" x14ac:dyDescent="0.25">
      <c r="A4" s="24"/>
      <c r="B4" s="24"/>
      <c r="C4" s="32">
        <v>7.34</v>
      </c>
      <c r="D4" s="32" t="s">
        <v>11</v>
      </c>
      <c r="E4" s="26"/>
      <c r="F4" s="33"/>
      <c r="G4" s="210"/>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79" customFormat="1" ht="21.75" thickBot="1" x14ac:dyDescent="0.4">
      <c r="A6" s="99"/>
      <c r="B6" s="394" t="s">
        <v>4</v>
      </c>
      <c r="C6" s="395"/>
      <c r="D6" s="396"/>
      <c r="E6" s="100"/>
      <c r="F6" s="101">
        <f ca="1">SUM(F$2:OFFSET(F6,-1,0))</f>
        <v>0</v>
      </c>
      <c r="G6" s="208"/>
      <c r="H6" s="100"/>
      <c r="I6" s="100"/>
      <c r="J6" s="100"/>
      <c r="K6" s="100"/>
      <c r="L6" s="100"/>
      <c r="M6" s="102"/>
      <c r="N6" s="103"/>
    </row>
    <row r="7" spans="1:19" s="94" customFormat="1" ht="15.75" x14ac:dyDescent="0.25">
      <c r="A7" s="105"/>
      <c r="B7" s="25"/>
      <c r="C7" s="106"/>
      <c r="D7" s="32"/>
      <c r="E7" s="92"/>
      <c r="F7" s="107"/>
      <c r="G7" s="107"/>
      <c r="H7" s="107"/>
      <c r="I7" s="107"/>
      <c r="J7" s="26"/>
      <c r="K7" s="26"/>
      <c r="L7" s="26"/>
      <c r="M7" s="88"/>
      <c r="N7" s="88"/>
    </row>
    <row r="8" spans="1:19" ht="15.75" x14ac:dyDescent="0.25">
      <c r="C8" s="106"/>
      <c r="G8" s="107"/>
      <c r="H8" s="107"/>
      <c r="I8" s="107"/>
      <c r="J8" s="26"/>
      <c r="K8" s="26"/>
      <c r="L8" s="26"/>
    </row>
    <row r="9" spans="1:19" ht="15.75" x14ac:dyDescent="0.25">
      <c r="G9" s="107"/>
      <c r="H9" s="107"/>
      <c r="I9" s="107"/>
      <c r="J9" s="26"/>
      <c r="K9" s="26"/>
      <c r="L9" s="26"/>
    </row>
    <row r="10" spans="1:19" ht="15.75" x14ac:dyDescent="0.25">
      <c r="G10" s="107"/>
      <c r="H10" s="107"/>
      <c r="I10" s="107"/>
      <c r="J10" s="26"/>
      <c r="K10" s="26"/>
      <c r="L10" s="26"/>
    </row>
    <row r="11" spans="1:19" ht="15.75" x14ac:dyDescent="0.25">
      <c r="F11" s="108" t="e">
        <f ca="1">F6-#REF!</f>
        <v>#REF!</v>
      </c>
      <c r="G11" s="107"/>
      <c r="H11" s="107"/>
      <c r="I11" s="107"/>
      <c r="J11" s="26"/>
      <c r="K11" s="26"/>
      <c r="L11" s="26"/>
    </row>
    <row r="12" spans="1:19" ht="15.75" x14ac:dyDescent="0.25">
      <c r="G12" s="107"/>
      <c r="H12" s="107"/>
      <c r="I12" s="107"/>
      <c r="J12" s="26"/>
      <c r="K12" s="26"/>
      <c r="L12" s="26"/>
    </row>
    <row r="13" spans="1:19" ht="15.75" x14ac:dyDescent="0.25">
      <c r="G13" s="107"/>
      <c r="H13" s="107"/>
      <c r="I13" s="107"/>
      <c r="J13" s="26"/>
      <c r="K13" s="26"/>
      <c r="L13" s="26"/>
    </row>
    <row r="14" spans="1:19" ht="15.75" x14ac:dyDescent="0.25">
      <c r="G14" s="107"/>
      <c r="H14" s="107"/>
      <c r="I14" s="107"/>
      <c r="J14" s="26"/>
      <c r="K14" s="26"/>
      <c r="L14" s="26"/>
    </row>
    <row r="15" spans="1:19" ht="15.75" x14ac:dyDescent="0.25">
      <c r="G15" s="107"/>
      <c r="H15" s="107"/>
      <c r="I15" s="107"/>
      <c r="J15" s="26"/>
      <c r="K15" s="26"/>
      <c r="L15" s="26"/>
    </row>
    <row r="16" spans="1:19" ht="15.75" x14ac:dyDescent="0.25">
      <c r="G16" s="107"/>
      <c r="H16" s="107"/>
      <c r="I16" s="107"/>
      <c r="J16" s="26"/>
      <c r="K16" s="26"/>
      <c r="L16" s="26"/>
    </row>
    <row r="17" spans="1:19" ht="15.75" x14ac:dyDescent="0.25">
      <c r="G17" s="107"/>
      <c r="H17" s="107"/>
      <c r="I17" s="107"/>
      <c r="J17" s="26"/>
      <c r="K17" s="26"/>
      <c r="L17" s="26"/>
    </row>
    <row r="18" spans="1:19" ht="15.75" x14ac:dyDescent="0.25">
      <c r="G18" s="107"/>
      <c r="H18" s="107"/>
      <c r="I18" s="107"/>
      <c r="J18" s="26"/>
      <c r="K18" s="26"/>
      <c r="L18" s="26"/>
    </row>
    <row r="19" spans="1:19" ht="15.75" x14ac:dyDescent="0.25">
      <c r="G19" s="107"/>
      <c r="H19" s="107"/>
      <c r="I19" s="107"/>
      <c r="J19" s="26"/>
      <c r="K19" s="26"/>
      <c r="L19" s="26"/>
    </row>
    <row r="20" spans="1:19" ht="15.75" x14ac:dyDescent="0.25">
      <c r="G20" s="107"/>
      <c r="H20" s="107"/>
      <c r="I20" s="107"/>
      <c r="J20" s="26"/>
      <c r="K20" s="26"/>
      <c r="L20" s="26"/>
    </row>
    <row r="21" spans="1:19" s="110" customFormat="1" ht="15.75" x14ac:dyDescent="0.25">
      <c r="A21" s="25"/>
      <c r="B21" s="25"/>
      <c r="D21" s="36"/>
      <c r="E21" s="25"/>
      <c r="F21" s="108"/>
      <c r="G21" s="107"/>
      <c r="H21" s="107"/>
      <c r="I21" s="107"/>
      <c r="J21" s="26"/>
      <c r="K21" s="26"/>
      <c r="L21" s="26"/>
      <c r="M21" s="88"/>
      <c r="N21" s="88"/>
      <c r="O21" s="25"/>
      <c r="P21" s="25"/>
      <c r="Q21" s="25"/>
      <c r="R21" s="25"/>
      <c r="S21" s="25"/>
    </row>
    <row r="22" spans="1:19" s="110" customFormat="1" ht="15.75" x14ac:dyDescent="0.25">
      <c r="A22" s="25"/>
      <c r="B22" s="25"/>
      <c r="D22" s="36"/>
      <c r="E22" s="25"/>
      <c r="F22" s="108"/>
      <c r="G22" s="107"/>
      <c r="H22" s="107"/>
      <c r="I22" s="107"/>
      <c r="J22" s="26"/>
      <c r="K22" s="26"/>
      <c r="L22" s="26"/>
      <c r="M22" s="88"/>
      <c r="N22" s="88"/>
      <c r="O22" s="25"/>
      <c r="P22" s="25"/>
      <c r="Q22" s="25"/>
      <c r="R22" s="25"/>
      <c r="S22" s="25"/>
    </row>
    <row r="23" spans="1:19" s="110" customFormat="1" ht="15.75" x14ac:dyDescent="0.25">
      <c r="A23" s="25"/>
      <c r="B23" s="25"/>
      <c r="D23" s="36"/>
      <c r="E23" s="25"/>
      <c r="F23" s="108"/>
      <c r="G23" s="107"/>
      <c r="H23" s="107"/>
      <c r="I23" s="107"/>
      <c r="J23" s="26"/>
      <c r="K23" s="26"/>
      <c r="L23" s="26"/>
      <c r="M23" s="88"/>
      <c r="N23" s="88"/>
      <c r="O23" s="25"/>
      <c r="P23" s="25"/>
      <c r="Q23" s="25"/>
      <c r="R23" s="25"/>
      <c r="S23" s="25"/>
    </row>
    <row r="24" spans="1:19" s="110" customFormat="1" ht="15.75" x14ac:dyDescent="0.25">
      <c r="A24" s="25"/>
      <c r="B24" s="25"/>
      <c r="D24" s="36"/>
      <c r="E24" s="25"/>
      <c r="F24" s="108"/>
      <c r="G24" s="107"/>
      <c r="H24" s="107"/>
      <c r="I24" s="107"/>
      <c r="J24" s="26"/>
      <c r="K24" s="26"/>
      <c r="L24" s="26"/>
      <c r="M24" s="88"/>
      <c r="N24" s="88"/>
      <c r="O24" s="25"/>
      <c r="P24" s="25"/>
      <c r="Q24" s="25"/>
      <c r="R24" s="25"/>
      <c r="S24" s="25"/>
    </row>
    <row r="25" spans="1:19" s="110" customFormat="1" ht="15.75" x14ac:dyDescent="0.25">
      <c r="A25" s="25"/>
      <c r="B25" s="25"/>
      <c r="D25" s="36"/>
      <c r="E25" s="25"/>
      <c r="F25" s="108"/>
      <c r="G25" s="107"/>
      <c r="H25" s="107"/>
      <c r="I25" s="107"/>
      <c r="J25" s="26"/>
      <c r="K25" s="26"/>
      <c r="L25" s="26"/>
      <c r="M25" s="88"/>
      <c r="N25" s="88"/>
      <c r="O25" s="25"/>
      <c r="P25" s="25"/>
      <c r="Q25" s="25"/>
      <c r="R25" s="25"/>
      <c r="S25" s="25"/>
    </row>
    <row r="26" spans="1:19" s="110" customFormat="1" ht="15.75" x14ac:dyDescent="0.25">
      <c r="A26" s="25"/>
      <c r="B26" s="25"/>
      <c r="D26" s="36"/>
      <c r="E26" s="25"/>
      <c r="F26" s="108"/>
      <c r="G26" s="107"/>
      <c r="H26" s="107"/>
      <c r="I26" s="107"/>
      <c r="J26" s="26"/>
      <c r="K26" s="26"/>
      <c r="L26" s="26"/>
      <c r="M26" s="88"/>
      <c r="N26" s="88"/>
      <c r="O26" s="25"/>
      <c r="P26" s="25"/>
      <c r="Q26" s="25"/>
      <c r="R26" s="25"/>
      <c r="S26" s="25"/>
    </row>
    <row r="27" spans="1:19" s="110" customFormat="1" ht="15.75" x14ac:dyDescent="0.25">
      <c r="A27" s="25"/>
      <c r="B27" s="25"/>
      <c r="D27" s="36"/>
      <c r="E27" s="25"/>
      <c r="F27" s="108"/>
      <c r="G27" s="107"/>
      <c r="H27" s="107"/>
      <c r="I27" s="107"/>
      <c r="J27" s="26"/>
      <c r="K27" s="26"/>
      <c r="L27" s="26"/>
      <c r="M27" s="88"/>
      <c r="N27" s="88"/>
      <c r="O27" s="25"/>
      <c r="P27" s="25"/>
      <c r="Q27" s="25"/>
      <c r="R27" s="25"/>
      <c r="S27" s="25"/>
    </row>
    <row r="28" spans="1:19" s="110" customFormat="1" ht="15.75" x14ac:dyDescent="0.25">
      <c r="A28" s="25"/>
      <c r="B28" s="25"/>
      <c r="D28" s="36"/>
      <c r="E28" s="25"/>
      <c r="F28" s="108"/>
      <c r="G28" s="107"/>
      <c r="H28" s="107"/>
      <c r="I28" s="107"/>
      <c r="J28" s="26"/>
      <c r="K28" s="26"/>
      <c r="L28" s="26"/>
      <c r="M28" s="88"/>
      <c r="N28" s="88"/>
      <c r="O28" s="25"/>
      <c r="P28" s="25"/>
      <c r="Q28" s="25"/>
      <c r="R28" s="25"/>
      <c r="S28" s="25"/>
    </row>
    <row r="29" spans="1:19" s="110" customFormat="1" ht="15.75" x14ac:dyDescent="0.25">
      <c r="A29" s="25"/>
      <c r="B29" s="25"/>
      <c r="D29" s="36"/>
      <c r="E29" s="25"/>
      <c r="F29" s="108"/>
      <c r="G29" s="107"/>
      <c r="H29" s="107"/>
      <c r="I29" s="107"/>
      <c r="J29" s="26"/>
      <c r="K29" s="26"/>
      <c r="L29" s="26"/>
      <c r="M29" s="88"/>
      <c r="N29" s="88"/>
      <c r="O29" s="25"/>
      <c r="P29" s="25"/>
      <c r="Q29" s="25"/>
      <c r="R29" s="25"/>
      <c r="S29" s="25"/>
    </row>
    <row r="30" spans="1:19" s="110" customFormat="1" ht="15.75" x14ac:dyDescent="0.25">
      <c r="A30" s="25"/>
      <c r="B30" s="25"/>
      <c r="D30" s="36"/>
      <c r="E30" s="25"/>
      <c r="F30" s="108"/>
      <c r="G30" s="107"/>
      <c r="H30" s="107"/>
      <c r="I30" s="107"/>
      <c r="J30" s="26"/>
      <c r="K30" s="26"/>
      <c r="L30" s="26"/>
      <c r="M30" s="88"/>
      <c r="N30" s="88"/>
      <c r="O30" s="25"/>
      <c r="P30" s="25"/>
      <c r="Q30" s="25"/>
      <c r="R30" s="25"/>
      <c r="S30" s="25"/>
    </row>
    <row r="31" spans="1:19" s="110" customFormat="1" ht="15.75" x14ac:dyDescent="0.25">
      <c r="A31" s="25"/>
      <c r="B31" s="25"/>
      <c r="D31" s="36"/>
      <c r="E31" s="25"/>
      <c r="F31" s="108"/>
      <c r="G31" s="107"/>
      <c r="H31" s="107"/>
      <c r="I31" s="107"/>
      <c r="J31" s="26"/>
      <c r="K31" s="26"/>
      <c r="L31" s="26"/>
      <c r="M31" s="88"/>
      <c r="N31" s="88"/>
      <c r="O31" s="25"/>
      <c r="P31" s="25"/>
      <c r="Q31" s="25"/>
      <c r="R31" s="25"/>
      <c r="S31" s="25"/>
    </row>
    <row r="32" spans="1:19" s="110" customFormat="1" ht="15.75" x14ac:dyDescent="0.25">
      <c r="A32" s="25"/>
      <c r="B32" s="25"/>
      <c r="D32" s="36"/>
      <c r="E32" s="25"/>
      <c r="F32" s="108"/>
      <c r="G32" s="107"/>
      <c r="H32" s="107"/>
      <c r="I32" s="107"/>
      <c r="J32" s="26"/>
      <c r="K32" s="26"/>
      <c r="L32" s="26"/>
      <c r="M32" s="88"/>
      <c r="N32" s="88"/>
      <c r="O32" s="25"/>
      <c r="P32" s="25"/>
      <c r="Q32" s="25"/>
      <c r="R32" s="25"/>
      <c r="S32" s="25"/>
    </row>
    <row r="33" spans="1:19" s="110" customFormat="1" ht="15.75" x14ac:dyDescent="0.25">
      <c r="A33" s="25"/>
      <c r="B33" s="25"/>
      <c r="D33" s="36"/>
      <c r="E33" s="25"/>
      <c r="F33" s="108"/>
      <c r="G33" s="107"/>
      <c r="H33" s="107"/>
      <c r="I33" s="107"/>
      <c r="J33" s="26"/>
      <c r="K33" s="26"/>
      <c r="L33" s="26"/>
      <c r="M33" s="88"/>
      <c r="N33" s="88"/>
      <c r="O33" s="25"/>
      <c r="P33" s="25"/>
      <c r="Q33" s="25"/>
      <c r="R33" s="25"/>
      <c r="S33" s="25"/>
    </row>
    <row r="34" spans="1:19" ht="15.75" x14ac:dyDescent="0.25">
      <c r="G34" s="107"/>
      <c r="H34" s="107"/>
      <c r="I34" s="107"/>
      <c r="J34" s="26"/>
      <c r="K34" s="26"/>
      <c r="L34" s="26"/>
    </row>
    <row r="35" spans="1:19" ht="15.75" x14ac:dyDescent="0.25">
      <c r="G35" s="107"/>
      <c r="H35" s="107"/>
      <c r="I35" s="107"/>
      <c r="J35" s="26"/>
      <c r="K35" s="26"/>
      <c r="L35" s="26"/>
    </row>
    <row r="36" spans="1:19" ht="15.75" x14ac:dyDescent="0.25">
      <c r="G36" s="107"/>
      <c r="H36" s="107"/>
      <c r="I36" s="107"/>
      <c r="J36" s="26"/>
      <c r="K36" s="26"/>
      <c r="L36" s="26"/>
    </row>
    <row r="37" spans="1:19" ht="15.75" x14ac:dyDescent="0.25">
      <c r="G37" s="107"/>
      <c r="H37" s="107"/>
      <c r="I37" s="107"/>
      <c r="J37" s="26"/>
      <c r="K37" s="26"/>
      <c r="L37" s="26"/>
    </row>
    <row r="38" spans="1:19" ht="15.75" x14ac:dyDescent="0.25">
      <c r="G38" s="107"/>
      <c r="H38" s="107"/>
      <c r="I38" s="107"/>
      <c r="J38" s="26"/>
      <c r="K38" s="26"/>
      <c r="L38" s="26"/>
    </row>
    <row r="39" spans="1:19" ht="15.75" x14ac:dyDescent="0.25">
      <c r="G39" s="107"/>
      <c r="H39" s="107"/>
      <c r="I39" s="107"/>
      <c r="J39" s="26"/>
      <c r="K39" s="26"/>
      <c r="L39" s="26"/>
    </row>
    <row r="40" spans="1:19" ht="15.75" x14ac:dyDescent="0.25">
      <c r="G40" s="107"/>
      <c r="H40" s="107"/>
      <c r="I40" s="107"/>
      <c r="J40" s="26"/>
      <c r="K40" s="26"/>
      <c r="L40" s="26"/>
    </row>
    <row r="41" spans="1:19" ht="15.75" x14ac:dyDescent="0.25">
      <c r="G41" s="107"/>
      <c r="H41" s="107"/>
      <c r="I41" s="107"/>
      <c r="J41" s="26"/>
      <c r="K41" s="26"/>
      <c r="L41" s="26"/>
    </row>
    <row r="42" spans="1:19" ht="15.75" x14ac:dyDescent="0.25">
      <c r="G42" s="107"/>
      <c r="H42" s="107"/>
      <c r="I42" s="107"/>
      <c r="J42" s="26"/>
      <c r="K42" s="26"/>
      <c r="L42" s="26"/>
    </row>
    <row r="43" spans="1:19" ht="15.75" x14ac:dyDescent="0.25">
      <c r="G43" s="107"/>
      <c r="H43" s="107"/>
      <c r="I43" s="107"/>
      <c r="J43" s="26"/>
      <c r="K43" s="26"/>
      <c r="L43" s="26"/>
    </row>
    <row r="44" spans="1:19" ht="15.75" x14ac:dyDescent="0.25">
      <c r="G44" s="107"/>
      <c r="H44" s="107"/>
      <c r="I44" s="107"/>
      <c r="J44" s="26"/>
      <c r="K44" s="26"/>
      <c r="L44" s="26"/>
    </row>
    <row r="45" spans="1:19" ht="15.75" x14ac:dyDescent="0.25">
      <c r="G45" s="107"/>
      <c r="H45" s="107"/>
      <c r="I45" s="107"/>
      <c r="J45" s="26"/>
      <c r="K45" s="26"/>
      <c r="L45" s="26"/>
    </row>
    <row r="46" spans="1:19" ht="15.75" x14ac:dyDescent="0.25">
      <c r="G46" s="107"/>
      <c r="H46" s="107"/>
      <c r="I46" s="107"/>
      <c r="J46" s="26"/>
      <c r="K46" s="26"/>
      <c r="L46" s="26"/>
    </row>
    <row r="47" spans="1:19" ht="15.75" x14ac:dyDescent="0.25">
      <c r="G47" s="107"/>
      <c r="H47" s="107"/>
      <c r="I47" s="107"/>
      <c r="J47" s="26"/>
      <c r="K47" s="26"/>
      <c r="L47" s="26"/>
    </row>
    <row r="48" spans="1:19" ht="15.75" x14ac:dyDescent="0.25">
      <c r="G48" s="107"/>
      <c r="H48" s="107"/>
      <c r="I48" s="107"/>
      <c r="J48" s="26"/>
      <c r="K48" s="26"/>
      <c r="L48" s="26"/>
    </row>
    <row r="49" spans="7:12" ht="15.75" x14ac:dyDescent="0.25">
      <c r="G49" s="107"/>
      <c r="H49" s="107"/>
      <c r="I49" s="107"/>
      <c r="J49" s="26"/>
      <c r="K49" s="26"/>
      <c r="L49" s="26"/>
    </row>
    <row r="50" spans="7:12" ht="15.75" x14ac:dyDescent="0.25">
      <c r="G50" s="107"/>
      <c r="H50" s="107"/>
      <c r="I50" s="107"/>
      <c r="J50" s="26"/>
      <c r="K50" s="26"/>
      <c r="L50" s="26"/>
    </row>
    <row r="51" spans="7:12" ht="15.75" x14ac:dyDescent="0.25">
      <c r="G51" s="107"/>
      <c r="H51" s="107"/>
      <c r="I51" s="107"/>
      <c r="J51" s="26"/>
      <c r="K51" s="26"/>
      <c r="L51" s="26"/>
    </row>
    <row r="52" spans="7:12" ht="15.75" x14ac:dyDescent="0.25">
      <c r="G52" s="107"/>
      <c r="H52" s="107"/>
      <c r="I52" s="107"/>
      <c r="J52" s="26"/>
      <c r="K52" s="26"/>
      <c r="L52" s="26"/>
    </row>
    <row r="53" spans="7:12" ht="15.75" x14ac:dyDescent="0.25">
      <c r="G53" s="107"/>
      <c r="H53" s="107"/>
      <c r="I53" s="107"/>
      <c r="J53" s="26"/>
      <c r="K53" s="26"/>
      <c r="L53" s="26"/>
    </row>
    <row r="54" spans="7:12" ht="15.75" x14ac:dyDescent="0.25">
      <c r="G54" s="107"/>
      <c r="H54" s="107"/>
      <c r="I54" s="107"/>
      <c r="J54" s="26"/>
      <c r="K54" s="26"/>
      <c r="L54" s="26"/>
    </row>
    <row r="55" spans="7:12" ht="15.75" x14ac:dyDescent="0.25">
      <c r="G55" s="107"/>
      <c r="H55" s="107"/>
      <c r="I55" s="107"/>
      <c r="J55" s="26"/>
      <c r="K55" s="26"/>
      <c r="L55" s="26"/>
    </row>
    <row r="56" spans="7:12" ht="15.75" x14ac:dyDescent="0.25">
      <c r="G56" s="107"/>
      <c r="H56" s="107"/>
      <c r="I56" s="107"/>
      <c r="J56" s="26"/>
      <c r="K56" s="26"/>
      <c r="L56" s="26"/>
    </row>
    <row r="57" spans="7:12" ht="15.75" x14ac:dyDescent="0.25">
      <c r="G57" s="107"/>
      <c r="H57" s="107"/>
      <c r="I57" s="107"/>
      <c r="J57" s="26"/>
      <c r="K57" s="26"/>
      <c r="L57" s="26"/>
    </row>
    <row r="58" spans="7:12" ht="15.75" x14ac:dyDescent="0.25">
      <c r="G58" s="107"/>
      <c r="H58" s="107"/>
      <c r="I58" s="107"/>
      <c r="J58" s="26"/>
      <c r="K58" s="26"/>
      <c r="L58" s="26"/>
    </row>
    <row r="59" spans="7:12" ht="15.75" x14ac:dyDescent="0.25">
      <c r="G59" s="107"/>
      <c r="H59" s="107"/>
      <c r="I59" s="107"/>
      <c r="J59" s="26"/>
      <c r="K59" s="26"/>
      <c r="L59" s="26"/>
    </row>
    <row r="60" spans="7:12" ht="15.75" x14ac:dyDescent="0.25">
      <c r="G60" s="107"/>
      <c r="H60" s="107"/>
      <c r="I60" s="107"/>
      <c r="J60" s="26"/>
      <c r="K60" s="26"/>
      <c r="L60" s="26"/>
    </row>
    <row r="61" spans="7:12" ht="15.75" x14ac:dyDescent="0.25">
      <c r="G61" s="107"/>
      <c r="H61" s="107"/>
      <c r="I61" s="107"/>
      <c r="J61" s="26"/>
      <c r="K61" s="26"/>
      <c r="L61" s="26"/>
    </row>
    <row r="62" spans="7:12" ht="15.75" x14ac:dyDescent="0.25">
      <c r="G62" s="107"/>
      <c r="H62" s="107"/>
      <c r="I62" s="107"/>
      <c r="J62" s="26"/>
      <c r="K62" s="26"/>
      <c r="L62" s="26"/>
    </row>
    <row r="63" spans="7:12" ht="15.75" x14ac:dyDescent="0.25">
      <c r="G63" s="107"/>
      <c r="H63" s="107"/>
      <c r="I63" s="107"/>
      <c r="J63" s="26"/>
      <c r="K63" s="26"/>
      <c r="L63" s="26"/>
    </row>
    <row r="64" spans="7:12" ht="15.75" x14ac:dyDescent="0.25">
      <c r="G64" s="107"/>
      <c r="H64" s="107"/>
      <c r="I64" s="107"/>
      <c r="J64" s="26"/>
      <c r="K64" s="26"/>
      <c r="L64" s="26"/>
    </row>
    <row r="65" spans="7:12" ht="15.75" x14ac:dyDescent="0.25">
      <c r="G65" s="107"/>
      <c r="H65" s="107"/>
      <c r="I65" s="107"/>
      <c r="J65" s="26"/>
      <c r="K65" s="26"/>
      <c r="L65" s="26"/>
    </row>
    <row r="66" spans="7:12" ht="15.75" x14ac:dyDescent="0.25">
      <c r="G66" s="107"/>
      <c r="H66" s="107"/>
      <c r="I66" s="107"/>
      <c r="J66" s="26"/>
      <c r="K66" s="26"/>
      <c r="L66" s="26"/>
    </row>
    <row r="67" spans="7:12" ht="15.75" x14ac:dyDescent="0.25">
      <c r="G67" s="107"/>
      <c r="H67" s="107"/>
      <c r="I67" s="107"/>
      <c r="J67" s="26"/>
      <c r="K67" s="26"/>
      <c r="L67" s="26"/>
    </row>
    <row r="68" spans="7:12" ht="15.75" x14ac:dyDescent="0.25">
      <c r="G68" s="107"/>
      <c r="H68" s="107"/>
      <c r="I68" s="107"/>
      <c r="J68" s="26"/>
      <c r="K68" s="26"/>
      <c r="L68" s="26"/>
    </row>
    <row r="69" spans="7:12" ht="15.75" x14ac:dyDescent="0.25">
      <c r="G69" s="107"/>
      <c r="H69" s="107"/>
      <c r="I69" s="107"/>
      <c r="J69" s="26"/>
      <c r="K69" s="26"/>
      <c r="L69" s="26"/>
    </row>
    <row r="70" spans="7:12" ht="15.75" x14ac:dyDescent="0.25">
      <c r="G70" s="107"/>
      <c r="H70" s="107"/>
      <c r="I70" s="107"/>
      <c r="J70" s="26"/>
      <c r="K70" s="26"/>
      <c r="L70" s="26"/>
    </row>
    <row r="71" spans="7:12" ht="15.75" x14ac:dyDescent="0.25">
      <c r="G71" s="107"/>
      <c r="H71" s="107"/>
      <c r="I71" s="107"/>
      <c r="J71" s="26"/>
      <c r="K71" s="26"/>
      <c r="L71" s="26"/>
    </row>
    <row r="72" spans="7:12" ht="15.75" x14ac:dyDescent="0.25">
      <c r="G72" s="107"/>
      <c r="H72" s="107"/>
      <c r="I72" s="107"/>
      <c r="J72" s="26"/>
      <c r="K72" s="26"/>
      <c r="L72" s="26"/>
    </row>
    <row r="73" spans="7:12" ht="15.75" x14ac:dyDescent="0.25">
      <c r="G73" s="107"/>
      <c r="H73" s="107"/>
      <c r="I73" s="107"/>
      <c r="J73" s="26"/>
      <c r="K73" s="26"/>
      <c r="L73" s="26"/>
    </row>
    <row r="74" spans="7:12" ht="15.75" x14ac:dyDescent="0.25">
      <c r="G74" s="107"/>
      <c r="H74" s="107"/>
      <c r="I74" s="107"/>
      <c r="J74" s="26"/>
      <c r="K74" s="26"/>
      <c r="L74" s="26"/>
    </row>
    <row r="75" spans="7:12" ht="15.75" x14ac:dyDescent="0.25">
      <c r="G75" s="107"/>
      <c r="H75" s="107"/>
      <c r="I75" s="107"/>
      <c r="J75" s="26"/>
      <c r="K75" s="26"/>
      <c r="L75" s="26"/>
    </row>
    <row r="76" spans="7:12" ht="15.75" x14ac:dyDescent="0.25">
      <c r="G76" s="107"/>
      <c r="H76" s="107"/>
      <c r="I76" s="107"/>
      <c r="J76" s="26"/>
      <c r="K76" s="26"/>
      <c r="L76" s="26"/>
    </row>
    <row r="77" spans="7:12" ht="15.75" x14ac:dyDescent="0.25">
      <c r="G77" s="107"/>
      <c r="H77" s="107"/>
      <c r="I77" s="107"/>
      <c r="J77" s="26"/>
      <c r="K77" s="26"/>
      <c r="L77" s="26"/>
    </row>
    <row r="78" spans="7:12" ht="15.75" x14ac:dyDescent="0.25">
      <c r="G78" s="107"/>
      <c r="H78" s="107"/>
      <c r="I78" s="107"/>
      <c r="J78" s="26"/>
      <c r="K78" s="26"/>
      <c r="L78" s="26"/>
    </row>
    <row r="79" spans="7:12" ht="15.75" x14ac:dyDescent="0.25">
      <c r="G79" s="107"/>
      <c r="H79" s="107"/>
      <c r="I79" s="107"/>
      <c r="J79" s="26"/>
      <c r="K79" s="26"/>
      <c r="L79" s="26"/>
    </row>
    <row r="80" spans="7:12" ht="15.75" x14ac:dyDescent="0.25">
      <c r="G80" s="107"/>
      <c r="H80" s="107"/>
      <c r="I80" s="107"/>
      <c r="J80" s="26"/>
      <c r="K80" s="26"/>
      <c r="L80" s="26"/>
    </row>
    <row r="81" spans="7:12" ht="15.75" x14ac:dyDescent="0.25">
      <c r="G81" s="107"/>
      <c r="H81" s="107"/>
      <c r="I81" s="107"/>
      <c r="J81" s="26"/>
      <c r="K81" s="26"/>
      <c r="L81" s="26"/>
    </row>
    <row r="82" spans="7:12" ht="15.75" x14ac:dyDescent="0.25">
      <c r="G82" s="107"/>
      <c r="H82" s="107"/>
      <c r="I82" s="107"/>
      <c r="J82" s="26"/>
      <c r="K82" s="26"/>
      <c r="L82" s="26"/>
    </row>
    <row r="83" spans="7:12" ht="15.75" x14ac:dyDescent="0.25">
      <c r="G83" s="107"/>
      <c r="H83" s="107"/>
      <c r="I83" s="107"/>
      <c r="J83" s="26"/>
      <c r="K83" s="26"/>
      <c r="L83" s="26"/>
    </row>
    <row r="84" spans="7:12" ht="15.75" x14ac:dyDescent="0.25">
      <c r="G84" s="107"/>
      <c r="H84" s="107"/>
      <c r="I84" s="107"/>
      <c r="J84" s="26"/>
      <c r="K84" s="26"/>
      <c r="L84" s="26"/>
    </row>
    <row r="85" spans="7:12" ht="15.75" x14ac:dyDescent="0.25">
      <c r="G85" s="107"/>
      <c r="H85" s="107"/>
      <c r="I85" s="107"/>
      <c r="J85" s="26"/>
      <c r="K85" s="26"/>
      <c r="L85" s="26"/>
    </row>
    <row r="86" spans="7:12" ht="15.75" x14ac:dyDescent="0.25">
      <c r="G86" s="107"/>
      <c r="H86" s="107"/>
      <c r="I86" s="107"/>
      <c r="J86" s="26"/>
      <c r="K86" s="26"/>
      <c r="L86" s="26"/>
    </row>
    <row r="87" spans="7:12" ht="15.75" x14ac:dyDescent="0.25">
      <c r="G87" s="107"/>
      <c r="H87" s="107"/>
      <c r="I87" s="107"/>
      <c r="J87" s="26"/>
      <c r="K87" s="26"/>
      <c r="L87" s="26"/>
    </row>
    <row r="88" spans="7:12" ht="15.75" x14ac:dyDescent="0.25">
      <c r="G88" s="107"/>
      <c r="H88" s="107"/>
      <c r="I88" s="107"/>
      <c r="J88" s="26"/>
      <c r="K88" s="26"/>
      <c r="L88" s="26"/>
    </row>
    <row r="89" spans="7:12" ht="15.75" x14ac:dyDescent="0.25">
      <c r="G89" s="107"/>
      <c r="H89" s="107"/>
      <c r="I89" s="107"/>
      <c r="J89" s="26"/>
      <c r="K89" s="26"/>
      <c r="L89" s="26"/>
    </row>
    <row r="90" spans="7:12" ht="15.75" x14ac:dyDescent="0.25">
      <c r="G90" s="107"/>
      <c r="H90" s="107"/>
      <c r="I90" s="107"/>
      <c r="J90" s="26"/>
      <c r="K90" s="26"/>
      <c r="L90" s="26"/>
    </row>
    <row r="91" spans="7:12" ht="15.75" x14ac:dyDescent="0.25">
      <c r="G91" s="107"/>
      <c r="H91" s="107"/>
      <c r="I91" s="107"/>
      <c r="J91" s="26"/>
      <c r="K91" s="26"/>
      <c r="L91" s="26"/>
    </row>
    <row r="92" spans="7:12" ht="15.75" x14ac:dyDescent="0.25">
      <c r="G92" s="107"/>
      <c r="H92" s="107"/>
      <c r="I92" s="107"/>
      <c r="J92" s="26"/>
      <c r="K92" s="26"/>
      <c r="L92" s="26"/>
    </row>
    <row r="93" spans="7:12" ht="15.75" x14ac:dyDescent="0.25">
      <c r="G93" s="107"/>
      <c r="H93" s="107"/>
      <c r="I93" s="107"/>
      <c r="J93" s="26"/>
      <c r="K93" s="26"/>
      <c r="L93" s="26"/>
    </row>
    <row r="94" spans="7:12" ht="15.75" x14ac:dyDescent="0.25">
      <c r="G94" s="107"/>
      <c r="H94" s="107"/>
      <c r="I94" s="107"/>
      <c r="J94" s="26"/>
      <c r="K94" s="26"/>
      <c r="L94" s="26"/>
    </row>
    <row r="95" spans="7:12" ht="15.75" x14ac:dyDescent="0.25">
      <c r="G95" s="107"/>
      <c r="H95" s="107"/>
      <c r="I95" s="107"/>
      <c r="J95" s="26"/>
      <c r="K95" s="26"/>
      <c r="L95" s="26"/>
    </row>
    <row r="96" spans="7:12" ht="15.75" x14ac:dyDescent="0.25">
      <c r="G96" s="107"/>
      <c r="H96" s="107"/>
      <c r="I96" s="107"/>
      <c r="J96" s="26"/>
      <c r="K96" s="26"/>
      <c r="L96" s="26"/>
    </row>
    <row r="97" spans="7:12" ht="15.75" x14ac:dyDescent="0.25">
      <c r="G97" s="107"/>
      <c r="H97" s="107"/>
      <c r="I97" s="107"/>
      <c r="J97" s="26"/>
      <c r="K97" s="26"/>
      <c r="L97" s="26"/>
    </row>
    <row r="98" spans="7:12" ht="15.75" x14ac:dyDescent="0.25">
      <c r="G98" s="107"/>
      <c r="H98" s="107"/>
      <c r="I98" s="107"/>
      <c r="J98" s="26"/>
      <c r="K98" s="26"/>
      <c r="L98" s="26"/>
    </row>
    <row r="99" spans="7:12" ht="15.75" x14ac:dyDescent="0.25">
      <c r="G99" s="107"/>
      <c r="H99" s="107"/>
      <c r="I99" s="107"/>
      <c r="J99" s="26"/>
      <c r="K99" s="26"/>
      <c r="L99" s="26"/>
    </row>
    <row r="100" spans="7:12" ht="15.75" x14ac:dyDescent="0.25">
      <c r="G100" s="107"/>
      <c r="H100" s="107"/>
      <c r="I100" s="107"/>
      <c r="J100" s="26"/>
      <c r="K100" s="26"/>
      <c r="L100" s="26"/>
    </row>
    <row r="101" spans="7:12" ht="15.75" x14ac:dyDescent="0.25">
      <c r="G101" s="107"/>
      <c r="H101" s="107"/>
      <c r="I101" s="107"/>
      <c r="J101" s="26"/>
      <c r="K101" s="26"/>
      <c r="L101" s="26"/>
    </row>
    <row r="102" spans="7:12" ht="15.75" x14ac:dyDescent="0.25">
      <c r="G102" s="107"/>
      <c r="H102" s="107"/>
      <c r="I102" s="107"/>
      <c r="J102" s="26"/>
      <c r="K102" s="26"/>
      <c r="L102" s="26"/>
    </row>
    <row r="103" spans="7:12" ht="15.75" x14ac:dyDescent="0.25">
      <c r="G103" s="107"/>
      <c r="H103" s="107"/>
      <c r="I103" s="107"/>
      <c r="J103" s="26"/>
      <c r="K103" s="26"/>
      <c r="L103" s="26"/>
    </row>
    <row r="104" spans="7:12" ht="15.75" x14ac:dyDescent="0.25">
      <c r="G104" s="107"/>
      <c r="H104" s="107"/>
      <c r="I104" s="107"/>
      <c r="J104" s="26"/>
      <c r="K104" s="26"/>
      <c r="L104" s="26"/>
    </row>
    <row r="105" spans="7:12" ht="15.75" x14ac:dyDescent="0.25">
      <c r="G105" s="107"/>
      <c r="H105" s="107"/>
      <c r="I105" s="107"/>
      <c r="J105" s="26"/>
      <c r="K105" s="26"/>
      <c r="L105" s="26"/>
    </row>
    <row r="106" spans="7:12" ht="15.75" x14ac:dyDescent="0.25">
      <c r="G106" s="107"/>
      <c r="H106" s="107"/>
      <c r="I106" s="107"/>
      <c r="J106" s="26"/>
      <c r="K106" s="26"/>
      <c r="L106" s="26"/>
    </row>
    <row r="107" spans="7:12" ht="15.75" x14ac:dyDescent="0.25">
      <c r="G107" s="107"/>
      <c r="H107" s="107"/>
      <c r="I107" s="107"/>
      <c r="J107" s="26"/>
      <c r="K107" s="26"/>
      <c r="L107" s="26"/>
    </row>
    <row r="108" spans="7:12" ht="15.75" x14ac:dyDescent="0.25">
      <c r="G108" s="107"/>
      <c r="H108" s="107"/>
      <c r="I108" s="107"/>
      <c r="J108" s="26"/>
      <c r="K108" s="26"/>
      <c r="L108" s="26"/>
    </row>
    <row r="109" spans="7:12" ht="15.75" x14ac:dyDescent="0.25">
      <c r="G109" s="107"/>
      <c r="H109" s="107"/>
      <c r="I109" s="107"/>
      <c r="J109" s="26"/>
      <c r="K109" s="26"/>
      <c r="L109" s="26"/>
    </row>
    <row r="110" spans="7:12" ht="15.75" x14ac:dyDescent="0.25">
      <c r="G110" s="107"/>
      <c r="H110" s="107"/>
      <c r="I110" s="107"/>
      <c r="J110" s="26"/>
      <c r="K110" s="26"/>
      <c r="L110" s="26"/>
    </row>
    <row r="111" spans="7:12" ht="15.75" x14ac:dyDescent="0.25">
      <c r="G111" s="107"/>
      <c r="H111" s="107"/>
      <c r="I111" s="107"/>
      <c r="J111" s="26"/>
      <c r="K111" s="26"/>
      <c r="L111" s="26"/>
    </row>
    <row r="112" spans="7:12" ht="15.75" x14ac:dyDescent="0.25">
      <c r="G112" s="107"/>
      <c r="H112" s="107"/>
      <c r="I112" s="107"/>
      <c r="J112" s="26"/>
      <c r="K112" s="26"/>
      <c r="L112" s="26"/>
    </row>
    <row r="113" spans="7:12" ht="15.75" x14ac:dyDescent="0.25">
      <c r="G113" s="107"/>
      <c r="H113" s="107"/>
      <c r="I113" s="107"/>
      <c r="J113" s="26"/>
      <c r="K113" s="26"/>
      <c r="L113" s="26"/>
    </row>
    <row r="114" spans="7:12" ht="15.75" x14ac:dyDescent="0.25">
      <c r="G114" s="107"/>
      <c r="H114" s="107"/>
      <c r="I114" s="107"/>
      <c r="J114" s="26"/>
      <c r="K114" s="26"/>
      <c r="L114" s="26"/>
    </row>
    <row r="115" spans="7:12" ht="15.75" x14ac:dyDescent="0.25">
      <c r="G115" s="107"/>
      <c r="H115" s="107"/>
      <c r="I115" s="107"/>
      <c r="J115" s="26"/>
      <c r="K115" s="26"/>
      <c r="L115" s="26"/>
    </row>
    <row r="116" spans="7:12" ht="15.75" x14ac:dyDescent="0.25">
      <c r="G116" s="107"/>
      <c r="H116" s="107"/>
      <c r="I116" s="107"/>
      <c r="J116" s="26"/>
      <c r="K116" s="26"/>
      <c r="L116" s="26"/>
    </row>
    <row r="117" spans="7:12" ht="15.75" x14ac:dyDescent="0.25">
      <c r="G117" s="107"/>
      <c r="H117" s="107"/>
      <c r="I117" s="107"/>
      <c r="J117" s="26"/>
      <c r="K117" s="26"/>
      <c r="L117" s="26"/>
    </row>
    <row r="118" spans="7:12" ht="15.75" x14ac:dyDescent="0.25">
      <c r="G118" s="107"/>
      <c r="H118" s="107"/>
      <c r="I118" s="107"/>
      <c r="J118" s="26"/>
      <c r="K118" s="26"/>
      <c r="L118" s="26"/>
    </row>
    <row r="119" spans="7:12" ht="15.75" x14ac:dyDescent="0.25">
      <c r="G119" s="107"/>
      <c r="H119" s="107"/>
      <c r="I119" s="107"/>
      <c r="J119" s="26"/>
      <c r="K119" s="26"/>
      <c r="L119" s="26"/>
    </row>
    <row r="120" spans="7:12" ht="15.75" x14ac:dyDescent="0.25">
      <c r="G120" s="107"/>
      <c r="H120" s="107"/>
      <c r="I120" s="107"/>
      <c r="J120" s="26"/>
      <c r="K120" s="26"/>
      <c r="L120" s="26"/>
    </row>
    <row r="121" spans="7:12" ht="15.75" x14ac:dyDescent="0.25">
      <c r="G121" s="107"/>
      <c r="H121" s="107"/>
      <c r="I121" s="107"/>
      <c r="J121" s="26"/>
      <c r="K121" s="26"/>
      <c r="L121" s="26"/>
    </row>
    <row r="122" spans="7:12" ht="15.75" x14ac:dyDescent="0.25">
      <c r="G122" s="107"/>
      <c r="H122" s="107"/>
      <c r="I122" s="107"/>
      <c r="J122" s="26"/>
      <c r="K122" s="26"/>
      <c r="L122" s="26"/>
    </row>
    <row r="123" spans="7:12" ht="15.75" x14ac:dyDescent="0.25">
      <c r="G123" s="107"/>
      <c r="H123" s="107"/>
      <c r="I123" s="107"/>
      <c r="J123" s="26"/>
      <c r="K123" s="26"/>
      <c r="L123" s="26"/>
    </row>
    <row r="124" spans="7:12" ht="15.75" x14ac:dyDescent="0.25">
      <c r="G124" s="107"/>
      <c r="H124" s="107"/>
      <c r="I124" s="107"/>
      <c r="J124" s="26"/>
      <c r="K124" s="26"/>
      <c r="L124" s="26"/>
    </row>
    <row r="125" spans="7:12" ht="15.75" x14ac:dyDescent="0.25">
      <c r="G125" s="107"/>
      <c r="H125" s="107"/>
      <c r="I125" s="107"/>
      <c r="J125" s="26"/>
      <c r="K125" s="26"/>
      <c r="L125" s="26"/>
    </row>
    <row r="126" spans="7:12" ht="15.75" x14ac:dyDescent="0.25">
      <c r="G126" s="107"/>
      <c r="H126" s="107"/>
      <c r="I126" s="107"/>
      <c r="J126" s="26"/>
      <c r="K126" s="26"/>
      <c r="L126" s="26"/>
    </row>
    <row r="127" spans="7:12" ht="15.75" x14ac:dyDescent="0.25">
      <c r="G127" s="107"/>
      <c r="H127" s="107"/>
      <c r="I127" s="107"/>
      <c r="J127" s="26"/>
      <c r="K127" s="26"/>
      <c r="L127" s="26"/>
    </row>
    <row r="128" spans="7:12" ht="15.75" x14ac:dyDescent="0.25">
      <c r="G128" s="107"/>
      <c r="H128" s="107"/>
      <c r="I128" s="107"/>
      <c r="J128" s="26"/>
      <c r="K128" s="26"/>
      <c r="L128" s="26"/>
    </row>
    <row r="129" spans="7:12" ht="15.75" x14ac:dyDescent="0.25">
      <c r="G129" s="107"/>
      <c r="H129" s="107"/>
      <c r="I129" s="107"/>
      <c r="J129" s="26"/>
      <c r="K129" s="26"/>
      <c r="L129" s="26"/>
    </row>
    <row r="130" spans="7:12" ht="15.75" x14ac:dyDescent="0.25">
      <c r="G130" s="107"/>
      <c r="H130" s="107"/>
      <c r="I130" s="107"/>
      <c r="J130" s="26"/>
      <c r="K130" s="26"/>
      <c r="L130" s="26"/>
    </row>
    <row r="131" spans="7:12" ht="15.75" x14ac:dyDescent="0.25">
      <c r="G131" s="107"/>
      <c r="H131" s="107"/>
      <c r="I131" s="107"/>
      <c r="J131" s="26"/>
      <c r="K131" s="26"/>
      <c r="L131" s="26"/>
    </row>
    <row r="132" spans="7:12" ht="15.75" x14ac:dyDescent="0.25">
      <c r="G132" s="107"/>
      <c r="H132" s="107"/>
      <c r="I132" s="107"/>
      <c r="J132" s="26"/>
      <c r="K132" s="26"/>
      <c r="L132" s="26"/>
    </row>
    <row r="133" spans="7:12" ht="15.75" x14ac:dyDescent="0.25">
      <c r="G133" s="107"/>
      <c r="H133" s="107"/>
      <c r="I133" s="107"/>
      <c r="J133" s="26"/>
      <c r="K133" s="26"/>
      <c r="L133" s="26"/>
    </row>
    <row r="134" spans="7:12" ht="15.75" x14ac:dyDescent="0.25">
      <c r="G134" s="107"/>
      <c r="H134" s="107"/>
      <c r="I134" s="107"/>
      <c r="J134" s="26"/>
      <c r="K134" s="26"/>
      <c r="L134" s="26"/>
    </row>
    <row r="135" spans="7:12" ht="15.75" x14ac:dyDescent="0.25">
      <c r="G135" s="107"/>
      <c r="H135" s="107"/>
      <c r="I135" s="107"/>
      <c r="J135" s="26"/>
      <c r="K135" s="26"/>
      <c r="L135" s="26"/>
    </row>
    <row r="136" spans="7:12" ht="15.75" x14ac:dyDescent="0.25">
      <c r="G136" s="107"/>
      <c r="H136" s="107"/>
      <c r="I136" s="107"/>
      <c r="J136" s="26"/>
      <c r="K136" s="26"/>
      <c r="L136" s="26"/>
    </row>
    <row r="137" spans="7:12" ht="15.75" x14ac:dyDescent="0.25">
      <c r="G137" s="107"/>
      <c r="H137" s="107"/>
      <c r="I137" s="107"/>
      <c r="J137" s="26"/>
      <c r="K137" s="26"/>
      <c r="L137" s="26"/>
    </row>
    <row r="138" spans="7:12" ht="15.75" x14ac:dyDescent="0.25">
      <c r="G138" s="107"/>
      <c r="H138" s="107"/>
      <c r="I138" s="107"/>
      <c r="J138" s="26"/>
      <c r="K138" s="26"/>
      <c r="L138" s="26"/>
    </row>
    <row r="139" spans="7:12" ht="15.75" x14ac:dyDescent="0.25">
      <c r="G139" s="107"/>
      <c r="H139" s="107"/>
      <c r="I139" s="107"/>
      <c r="J139" s="26"/>
      <c r="K139" s="26"/>
      <c r="L139" s="26"/>
    </row>
    <row r="140" spans="7:12" ht="15.75" x14ac:dyDescent="0.25">
      <c r="G140" s="107"/>
      <c r="H140" s="107"/>
      <c r="I140" s="107"/>
      <c r="J140" s="26"/>
      <c r="K140" s="26"/>
      <c r="L140" s="26"/>
    </row>
    <row r="141" spans="7:12" ht="15.75" x14ac:dyDescent="0.25">
      <c r="G141" s="107"/>
      <c r="H141" s="107"/>
      <c r="I141" s="107"/>
      <c r="J141" s="26"/>
      <c r="K141" s="26"/>
      <c r="L141" s="26"/>
    </row>
    <row r="142" spans="7:12" ht="15.75" x14ac:dyDescent="0.25">
      <c r="G142" s="107"/>
      <c r="H142" s="107"/>
      <c r="I142" s="107"/>
      <c r="J142" s="26"/>
      <c r="K142" s="26"/>
      <c r="L142" s="26"/>
    </row>
    <row r="143" spans="7:12" ht="15.75" x14ac:dyDescent="0.25">
      <c r="G143" s="107"/>
      <c r="H143" s="107"/>
      <c r="I143" s="107"/>
      <c r="J143" s="26"/>
      <c r="K143" s="26"/>
      <c r="L143" s="26"/>
    </row>
    <row r="144" spans="7:12" ht="15.75" x14ac:dyDescent="0.25">
      <c r="G144" s="107"/>
      <c r="H144" s="107"/>
      <c r="I144" s="107"/>
      <c r="J144" s="26"/>
      <c r="K144" s="26"/>
      <c r="L144" s="26"/>
    </row>
    <row r="145" spans="7:12" ht="15.75" x14ac:dyDescent="0.25">
      <c r="G145" s="107"/>
      <c r="H145" s="107"/>
      <c r="I145" s="107"/>
      <c r="J145" s="26"/>
      <c r="K145" s="26"/>
      <c r="L145" s="26"/>
    </row>
    <row r="146" spans="7:12" ht="15.75" x14ac:dyDescent="0.25">
      <c r="G146" s="107"/>
      <c r="H146" s="107"/>
      <c r="I146" s="107"/>
      <c r="J146" s="26"/>
      <c r="K146" s="26"/>
      <c r="L146" s="26"/>
    </row>
    <row r="147" spans="7:12" ht="15.75" x14ac:dyDescent="0.25">
      <c r="G147" s="107"/>
      <c r="H147" s="107"/>
      <c r="I147" s="107"/>
      <c r="J147" s="26"/>
      <c r="K147" s="26"/>
      <c r="L147" s="26"/>
    </row>
    <row r="148" spans="7:12" ht="15.75" x14ac:dyDescent="0.25">
      <c r="G148" s="107"/>
      <c r="H148" s="107"/>
      <c r="I148" s="107"/>
      <c r="J148" s="26"/>
      <c r="K148" s="26"/>
      <c r="L148" s="26"/>
    </row>
    <row r="149" spans="7:12" ht="15.75" x14ac:dyDescent="0.25">
      <c r="G149" s="107"/>
      <c r="H149" s="107"/>
      <c r="I149" s="107"/>
      <c r="J149" s="26"/>
      <c r="K149" s="26"/>
      <c r="L149" s="26"/>
    </row>
    <row r="150" spans="7:12" ht="15.75" x14ac:dyDescent="0.25">
      <c r="G150" s="107"/>
      <c r="H150" s="107"/>
      <c r="I150" s="107"/>
      <c r="J150" s="26"/>
      <c r="K150" s="26"/>
      <c r="L150" s="26"/>
    </row>
    <row r="151" spans="7:12" ht="15.75" x14ac:dyDescent="0.25">
      <c r="G151" s="107"/>
      <c r="H151" s="107"/>
      <c r="I151" s="107"/>
      <c r="J151" s="26"/>
      <c r="K151" s="26"/>
      <c r="L151" s="26"/>
    </row>
    <row r="152" spans="7:12" ht="15.75" x14ac:dyDescent="0.25">
      <c r="G152" s="107"/>
      <c r="H152" s="107"/>
      <c r="I152" s="107"/>
      <c r="J152" s="26"/>
      <c r="K152" s="26"/>
      <c r="L152" s="26"/>
    </row>
    <row r="153" spans="7:12" ht="15.75" x14ac:dyDescent="0.25">
      <c r="G153" s="107"/>
      <c r="H153" s="107"/>
      <c r="I153" s="107"/>
      <c r="J153" s="26"/>
      <c r="K153" s="26"/>
      <c r="L153" s="26"/>
    </row>
    <row r="154" spans="7:12" ht="15.75" x14ac:dyDescent="0.25">
      <c r="G154" s="107"/>
      <c r="H154" s="107"/>
      <c r="I154" s="107"/>
      <c r="J154" s="26"/>
      <c r="K154" s="26"/>
      <c r="L154" s="26"/>
    </row>
    <row r="155" spans="7:12" ht="15.75" x14ac:dyDescent="0.25">
      <c r="G155" s="107"/>
      <c r="H155" s="107"/>
      <c r="I155" s="107"/>
      <c r="J155" s="26"/>
      <c r="K155" s="26"/>
      <c r="L155" s="26"/>
    </row>
    <row r="156" spans="7:12" ht="15.75" x14ac:dyDescent="0.25">
      <c r="G156" s="107"/>
      <c r="H156" s="107"/>
      <c r="I156" s="107"/>
      <c r="J156" s="26"/>
      <c r="K156" s="26"/>
      <c r="L156" s="26"/>
    </row>
    <row r="157" spans="7:12" ht="15.75" x14ac:dyDescent="0.25">
      <c r="G157" s="107"/>
      <c r="H157" s="107"/>
      <c r="I157" s="107"/>
      <c r="J157" s="26"/>
      <c r="K157" s="26"/>
      <c r="L157" s="26"/>
    </row>
    <row r="158" spans="7:12" ht="15.75" x14ac:dyDescent="0.25">
      <c r="G158" s="107"/>
      <c r="H158" s="107"/>
      <c r="I158" s="107"/>
      <c r="J158" s="26"/>
      <c r="K158" s="26"/>
      <c r="L158" s="26"/>
    </row>
    <row r="159" spans="7:12" ht="15.75" x14ac:dyDescent="0.25">
      <c r="G159" s="107"/>
      <c r="H159" s="107"/>
      <c r="I159" s="107"/>
      <c r="J159" s="26"/>
      <c r="K159" s="26"/>
      <c r="L159" s="26"/>
    </row>
    <row r="160" spans="7:12" ht="15.75" x14ac:dyDescent="0.25">
      <c r="G160" s="107"/>
      <c r="H160" s="107"/>
      <c r="I160" s="107"/>
      <c r="J160" s="26"/>
      <c r="K160" s="26"/>
      <c r="L160" s="26"/>
    </row>
    <row r="161" spans="7:12" ht="15.75" x14ac:dyDescent="0.25">
      <c r="G161" s="107"/>
      <c r="H161" s="107"/>
      <c r="I161" s="107"/>
      <c r="J161" s="26"/>
      <c r="K161" s="26"/>
      <c r="L161" s="26"/>
    </row>
    <row r="162" spans="7:12" ht="15.75" x14ac:dyDescent="0.25">
      <c r="G162" s="107"/>
      <c r="H162" s="107"/>
      <c r="I162" s="107"/>
      <c r="J162" s="26"/>
      <c r="K162" s="26"/>
      <c r="L162" s="26"/>
    </row>
    <row r="163" spans="7:12" ht="15.75" x14ac:dyDescent="0.25">
      <c r="G163" s="107"/>
      <c r="H163" s="107"/>
      <c r="I163" s="107"/>
      <c r="J163" s="26"/>
      <c r="K163" s="26"/>
      <c r="L163" s="26"/>
    </row>
    <row r="164" spans="7:12" ht="15.75" x14ac:dyDescent="0.25">
      <c r="G164" s="107"/>
      <c r="H164" s="107"/>
      <c r="I164" s="107"/>
      <c r="J164" s="26"/>
      <c r="K164" s="26"/>
      <c r="L164" s="26"/>
    </row>
    <row r="165" spans="7:12" ht="15.75" x14ac:dyDescent="0.25">
      <c r="G165" s="107"/>
      <c r="H165" s="107"/>
      <c r="I165" s="107"/>
      <c r="J165" s="26"/>
      <c r="K165" s="26"/>
      <c r="L165" s="26"/>
    </row>
    <row r="166" spans="7:12" ht="15.75" x14ac:dyDescent="0.25">
      <c r="G166" s="107"/>
      <c r="H166" s="107"/>
      <c r="I166" s="107"/>
      <c r="J166" s="26"/>
      <c r="K166" s="26"/>
      <c r="L166" s="26"/>
    </row>
    <row r="167" spans="7:12" ht="15.75" x14ac:dyDescent="0.25">
      <c r="G167" s="107"/>
      <c r="H167" s="107"/>
      <c r="I167" s="107"/>
      <c r="J167" s="26"/>
      <c r="K167" s="26"/>
      <c r="L167" s="26"/>
    </row>
    <row r="168" spans="7:12" ht="15.75" x14ac:dyDescent="0.25">
      <c r="G168" s="107"/>
      <c r="H168" s="107"/>
      <c r="I168" s="107"/>
      <c r="J168" s="26"/>
      <c r="K168" s="26"/>
      <c r="L168" s="26"/>
    </row>
    <row r="169" spans="7:12" ht="15.75" x14ac:dyDescent="0.25">
      <c r="G169" s="107"/>
      <c r="H169" s="107"/>
      <c r="I169" s="107"/>
      <c r="J169" s="26"/>
      <c r="K169" s="26"/>
      <c r="L169" s="26"/>
    </row>
    <row r="170" spans="7:12" ht="15.75" x14ac:dyDescent="0.25">
      <c r="G170" s="107"/>
      <c r="H170" s="107"/>
      <c r="I170" s="107"/>
      <c r="J170" s="26"/>
      <c r="K170" s="26"/>
      <c r="L170" s="26"/>
    </row>
    <row r="171" spans="7:12" ht="15.75" x14ac:dyDescent="0.25">
      <c r="G171" s="107"/>
      <c r="H171" s="107"/>
      <c r="I171" s="107"/>
      <c r="J171" s="26"/>
      <c r="K171" s="26"/>
      <c r="L171" s="26"/>
    </row>
    <row r="172" spans="7:12" ht="15.75" x14ac:dyDescent="0.25">
      <c r="G172" s="107"/>
      <c r="H172" s="107"/>
      <c r="I172" s="107"/>
      <c r="J172" s="26"/>
      <c r="K172" s="26"/>
      <c r="L172" s="26"/>
    </row>
    <row r="173" spans="7:12" ht="15.75" x14ac:dyDescent="0.25">
      <c r="G173" s="107"/>
      <c r="H173" s="107"/>
      <c r="I173" s="107"/>
      <c r="J173" s="26"/>
      <c r="K173" s="26"/>
      <c r="L173" s="26"/>
    </row>
    <row r="174" spans="7:12" ht="15.75" x14ac:dyDescent="0.25">
      <c r="G174" s="107"/>
      <c r="H174" s="107"/>
      <c r="I174" s="107"/>
      <c r="J174" s="26"/>
      <c r="K174" s="26"/>
      <c r="L174" s="26"/>
    </row>
    <row r="175" spans="7:12" ht="15.75" x14ac:dyDescent="0.25">
      <c r="G175" s="107"/>
      <c r="H175" s="107"/>
      <c r="I175" s="107"/>
      <c r="J175" s="26"/>
      <c r="K175" s="26"/>
      <c r="L175" s="26"/>
    </row>
    <row r="176" spans="7:12" ht="15.75" x14ac:dyDescent="0.25">
      <c r="G176" s="107"/>
      <c r="H176" s="107"/>
      <c r="I176" s="107"/>
      <c r="J176" s="26"/>
      <c r="K176" s="26"/>
      <c r="L176" s="26"/>
    </row>
    <row r="177" spans="7:12" ht="15.75" x14ac:dyDescent="0.25">
      <c r="G177" s="107"/>
      <c r="H177" s="107"/>
      <c r="I177" s="107"/>
      <c r="J177" s="26"/>
      <c r="K177" s="26"/>
      <c r="L177" s="26"/>
    </row>
    <row r="178" spans="7:12" ht="15.75" x14ac:dyDescent="0.25">
      <c r="G178" s="107"/>
      <c r="H178" s="107"/>
      <c r="I178" s="107"/>
      <c r="J178" s="26"/>
      <c r="K178" s="26"/>
      <c r="L178" s="26"/>
    </row>
    <row r="179" spans="7:12" ht="15.75" x14ac:dyDescent="0.25">
      <c r="G179" s="107"/>
      <c r="H179" s="107"/>
      <c r="I179" s="107"/>
      <c r="J179" s="26"/>
      <c r="K179" s="26"/>
      <c r="L179" s="26"/>
    </row>
    <row r="180" spans="7:12" ht="15.75" x14ac:dyDescent="0.25">
      <c r="G180" s="107"/>
      <c r="H180" s="107"/>
      <c r="I180" s="107"/>
      <c r="J180" s="26"/>
      <c r="K180" s="26"/>
      <c r="L180" s="26"/>
    </row>
    <row r="181" spans="7:12" ht="15.75" x14ac:dyDescent="0.25">
      <c r="G181" s="107"/>
      <c r="H181" s="107"/>
      <c r="I181" s="107"/>
      <c r="J181" s="26"/>
      <c r="K181" s="26"/>
      <c r="L181" s="26"/>
    </row>
    <row r="182" spans="7:12" ht="15.75" x14ac:dyDescent="0.25">
      <c r="G182" s="107"/>
      <c r="H182" s="107"/>
      <c r="I182" s="107"/>
      <c r="J182" s="26"/>
      <c r="K182" s="26"/>
      <c r="L182" s="26"/>
    </row>
    <row r="183" spans="7:12" ht="15.75" x14ac:dyDescent="0.25">
      <c r="G183" s="107"/>
      <c r="H183" s="107"/>
      <c r="I183" s="107"/>
      <c r="J183" s="26"/>
      <c r="K183" s="26"/>
      <c r="L183" s="26"/>
    </row>
    <row r="184" spans="7:12" ht="15.75" x14ac:dyDescent="0.25">
      <c r="G184" s="107"/>
      <c r="H184" s="107"/>
      <c r="I184" s="107"/>
      <c r="J184" s="26"/>
      <c r="K184" s="26"/>
      <c r="L184" s="26"/>
    </row>
    <row r="185" spans="7:12" ht="15.75" x14ac:dyDescent="0.25">
      <c r="G185" s="107"/>
      <c r="H185" s="107"/>
      <c r="I185" s="107"/>
      <c r="J185" s="26"/>
      <c r="K185" s="26"/>
      <c r="L185" s="26"/>
    </row>
    <row r="186" spans="7:12" ht="15.75" x14ac:dyDescent="0.25">
      <c r="G186" s="107"/>
      <c r="H186" s="107"/>
      <c r="I186" s="107"/>
      <c r="J186" s="26"/>
      <c r="K186" s="26"/>
      <c r="L186" s="26"/>
    </row>
    <row r="187" spans="7:12" ht="15.75" x14ac:dyDescent="0.25">
      <c r="G187" s="107"/>
      <c r="H187" s="107"/>
      <c r="I187" s="107"/>
      <c r="J187" s="26"/>
      <c r="K187" s="26"/>
      <c r="L187" s="26"/>
    </row>
    <row r="188" spans="7:12" ht="15.75" x14ac:dyDescent="0.25">
      <c r="G188" s="107"/>
      <c r="H188" s="107"/>
      <c r="I188" s="107"/>
      <c r="J188" s="26"/>
      <c r="K188" s="26"/>
      <c r="L188" s="26"/>
    </row>
    <row r="189" spans="7:12" ht="15.75" x14ac:dyDescent="0.25">
      <c r="G189" s="107"/>
      <c r="H189" s="107"/>
      <c r="I189" s="107"/>
      <c r="J189" s="26"/>
      <c r="K189" s="26"/>
      <c r="L189" s="26"/>
    </row>
    <row r="190" spans="7:12" ht="15.75" x14ac:dyDescent="0.25">
      <c r="G190" s="107"/>
      <c r="H190" s="107"/>
      <c r="I190" s="107"/>
      <c r="J190" s="26"/>
      <c r="K190" s="26"/>
      <c r="L190" s="26"/>
    </row>
    <row r="191" spans="7:12" ht="15.75" x14ac:dyDescent="0.25">
      <c r="G191" s="107"/>
      <c r="H191" s="107"/>
      <c r="I191" s="107"/>
      <c r="J191" s="26"/>
      <c r="K191" s="26"/>
      <c r="L191" s="26"/>
    </row>
    <row r="192" spans="7:12" ht="15.75" x14ac:dyDescent="0.25">
      <c r="G192" s="107"/>
      <c r="H192" s="107"/>
      <c r="I192" s="107"/>
      <c r="J192" s="26"/>
      <c r="K192" s="26"/>
      <c r="L192" s="26"/>
    </row>
    <row r="193" spans="7:12" ht="15.75" x14ac:dyDescent="0.25">
      <c r="G193" s="107"/>
      <c r="H193" s="107"/>
      <c r="I193" s="107"/>
      <c r="J193" s="26"/>
      <c r="K193" s="26"/>
      <c r="L193" s="26"/>
    </row>
    <row r="194" spans="7:12" ht="15.75" x14ac:dyDescent="0.25">
      <c r="G194" s="107"/>
      <c r="H194" s="107"/>
      <c r="I194" s="107"/>
      <c r="J194" s="26"/>
      <c r="K194" s="26"/>
      <c r="L194" s="26"/>
    </row>
    <row r="195" spans="7:12" ht="15.75" x14ac:dyDescent="0.25">
      <c r="G195" s="107"/>
      <c r="H195" s="107"/>
      <c r="I195" s="107"/>
      <c r="J195" s="26"/>
      <c r="K195" s="26"/>
      <c r="L195" s="26"/>
    </row>
    <row r="196" spans="7:12" ht="15.75" x14ac:dyDescent="0.25">
      <c r="G196" s="107"/>
      <c r="H196" s="107"/>
      <c r="I196" s="107"/>
      <c r="J196" s="26"/>
      <c r="K196" s="26"/>
      <c r="L196" s="26"/>
    </row>
    <row r="197" spans="7:12" ht="15.75" x14ac:dyDescent="0.25">
      <c r="G197" s="107"/>
      <c r="H197" s="107"/>
      <c r="I197" s="107"/>
      <c r="J197" s="26"/>
      <c r="K197" s="26"/>
      <c r="L197" s="26"/>
    </row>
    <row r="198" spans="7:12" ht="15.75" x14ac:dyDescent="0.25">
      <c r="G198" s="107"/>
      <c r="H198" s="107"/>
      <c r="I198" s="107"/>
      <c r="J198" s="26"/>
      <c r="K198" s="26"/>
      <c r="L198" s="26"/>
    </row>
    <row r="199" spans="7:12" ht="15.75" x14ac:dyDescent="0.25">
      <c r="G199" s="107"/>
      <c r="H199" s="107"/>
      <c r="I199" s="107"/>
      <c r="J199" s="26"/>
      <c r="K199" s="26"/>
      <c r="L199" s="26"/>
    </row>
    <row r="200" spans="7:12" ht="15.75" x14ac:dyDescent="0.25">
      <c r="G200" s="107"/>
      <c r="H200" s="107"/>
      <c r="I200" s="107"/>
      <c r="J200" s="26"/>
      <c r="K200" s="26"/>
      <c r="L200" s="26"/>
    </row>
    <row r="201" spans="7:12" ht="15.75" x14ac:dyDescent="0.25">
      <c r="G201" s="107"/>
      <c r="H201" s="107"/>
      <c r="I201" s="107"/>
      <c r="J201" s="26"/>
      <c r="K201" s="26"/>
      <c r="L201" s="26"/>
    </row>
    <row r="202" spans="7:12" ht="15.75" x14ac:dyDescent="0.25">
      <c r="G202" s="107"/>
      <c r="H202" s="107"/>
      <c r="I202" s="107"/>
      <c r="J202" s="26"/>
      <c r="K202" s="26"/>
      <c r="L202" s="26"/>
    </row>
    <row r="203" spans="7:12" ht="15.75" x14ac:dyDescent="0.25">
      <c r="G203" s="107"/>
      <c r="H203" s="107"/>
      <c r="I203" s="107"/>
      <c r="J203" s="26"/>
      <c r="K203" s="26"/>
      <c r="L203" s="26"/>
    </row>
    <row r="204" spans="7:12" ht="15.75" x14ac:dyDescent="0.25">
      <c r="G204" s="107"/>
      <c r="H204" s="107"/>
      <c r="I204" s="107"/>
      <c r="J204" s="26"/>
      <c r="K204" s="26"/>
      <c r="L204" s="26"/>
    </row>
    <row r="205" spans="7:12" ht="15.75" x14ac:dyDescent="0.25">
      <c r="G205" s="107"/>
      <c r="H205" s="107"/>
      <c r="I205" s="107"/>
      <c r="J205" s="26"/>
      <c r="K205" s="26"/>
      <c r="L205" s="26"/>
    </row>
    <row r="206" spans="7:12" ht="15.75" x14ac:dyDescent="0.25">
      <c r="G206" s="107"/>
      <c r="H206" s="107"/>
      <c r="I206" s="107"/>
      <c r="J206" s="26"/>
      <c r="K206" s="26"/>
      <c r="L206" s="26"/>
    </row>
    <row r="207" spans="7:12" ht="15.75" x14ac:dyDescent="0.25">
      <c r="G207" s="107"/>
      <c r="H207" s="107"/>
      <c r="I207" s="107"/>
      <c r="J207" s="26"/>
      <c r="K207" s="26"/>
      <c r="L207" s="26"/>
    </row>
    <row r="208" spans="7:12" ht="15.75" x14ac:dyDescent="0.25">
      <c r="G208" s="107"/>
      <c r="H208" s="107"/>
      <c r="I208" s="107"/>
      <c r="J208" s="26"/>
      <c r="K208" s="26"/>
      <c r="L208" s="26"/>
    </row>
    <row r="209" spans="7:12" ht="15.75" x14ac:dyDescent="0.25">
      <c r="G209" s="107"/>
      <c r="H209" s="107"/>
      <c r="I209" s="107"/>
      <c r="J209" s="26"/>
      <c r="K209" s="26"/>
      <c r="L209" s="26"/>
    </row>
    <row r="210" spans="7:12" ht="15.75" x14ac:dyDescent="0.25">
      <c r="G210" s="107"/>
      <c r="H210" s="107"/>
      <c r="I210" s="107"/>
      <c r="J210" s="26"/>
      <c r="K210" s="26"/>
      <c r="L210" s="26"/>
    </row>
    <row r="211" spans="7:12" ht="15.75" x14ac:dyDescent="0.25">
      <c r="G211" s="107"/>
      <c r="H211" s="107"/>
      <c r="I211" s="107"/>
      <c r="J211" s="26"/>
      <c r="K211" s="26"/>
      <c r="L211" s="26"/>
    </row>
    <row r="212" spans="7:12" ht="15.75" x14ac:dyDescent="0.25">
      <c r="G212" s="107"/>
      <c r="H212" s="107"/>
      <c r="I212" s="107"/>
      <c r="J212" s="26"/>
      <c r="K212" s="26"/>
      <c r="L212" s="26"/>
    </row>
    <row r="213" spans="7:12" ht="15.75" x14ac:dyDescent="0.25">
      <c r="G213" s="107"/>
      <c r="H213" s="107"/>
      <c r="I213" s="107"/>
      <c r="J213" s="26"/>
      <c r="K213" s="26"/>
      <c r="L213" s="26"/>
    </row>
    <row r="214" spans="7:12" ht="15.75" x14ac:dyDescent="0.25">
      <c r="G214" s="107"/>
      <c r="H214" s="107"/>
      <c r="I214" s="107"/>
      <c r="J214" s="26"/>
      <c r="K214" s="26"/>
      <c r="L214" s="26"/>
    </row>
    <row r="215" spans="7:12" ht="15.75" x14ac:dyDescent="0.25">
      <c r="G215" s="107"/>
      <c r="H215" s="107"/>
      <c r="I215" s="107"/>
      <c r="J215" s="26"/>
      <c r="K215" s="26"/>
      <c r="L215" s="26"/>
    </row>
    <row r="216" spans="7:12" ht="15.75" x14ac:dyDescent="0.25">
      <c r="G216" s="107"/>
      <c r="H216" s="107"/>
      <c r="I216" s="107"/>
      <c r="J216" s="26"/>
      <c r="K216" s="26"/>
      <c r="L216" s="26"/>
    </row>
    <row r="217" spans="7:12" ht="15.75" x14ac:dyDescent="0.25">
      <c r="G217" s="107"/>
      <c r="H217" s="107"/>
      <c r="I217" s="107"/>
      <c r="J217" s="26"/>
      <c r="K217" s="26"/>
      <c r="L217" s="26"/>
    </row>
    <row r="218" spans="7:12" ht="15.75" x14ac:dyDescent="0.25">
      <c r="G218" s="107"/>
      <c r="H218" s="107"/>
      <c r="I218" s="107"/>
      <c r="J218" s="26"/>
      <c r="K218" s="26"/>
      <c r="L218" s="26"/>
    </row>
    <row r="219" spans="7:12" ht="15.75" x14ac:dyDescent="0.25">
      <c r="G219" s="107"/>
      <c r="H219" s="107"/>
      <c r="I219" s="107"/>
      <c r="J219" s="26"/>
      <c r="K219" s="26"/>
      <c r="L219" s="26"/>
    </row>
    <row r="220" spans="7:12" ht="15.75" x14ac:dyDescent="0.25">
      <c r="G220" s="107"/>
      <c r="H220" s="107"/>
      <c r="I220" s="107"/>
      <c r="J220" s="26"/>
      <c r="K220" s="26"/>
      <c r="L220" s="26"/>
    </row>
    <row r="221" spans="7:12" ht="15.75" x14ac:dyDescent="0.25">
      <c r="G221" s="107"/>
      <c r="H221" s="107"/>
      <c r="I221" s="107"/>
      <c r="J221" s="26"/>
      <c r="K221" s="26"/>
      <c r="L221" s="26"/>
    </row>
    <row r="222" spans="7:12" ht="15.75" x14ac:dyDescent="0.25">
      <c r="G222" s="107"/>
      <c r="H222" s="107"/>
      <c r="I222" s="107"/>
      <c r="J222" s="26"/>
      <c r="K222" s="26"/>
      <c r="L222" s="26"/>
    </row>
    <row r="223" spans="7:12" ht="15.75" x14ac:dyDescent="0.25">
      <c r="G223" s="107"/>
      <c r="H223" s="107"/>
      <c r="I223" s="107"/>
      <c r="J223" s="26"/>
      <c r="K223" s="26"/>
      <c r="L223" s="26"/>
    </row>
    <row r="224" spans="7:12" ht="15.75" x14ac:dyDescent="0.25">
      <c r="G224" s="107"/>
      <c r="H224" s="107"/>
      <c r="I224" s="107"/>
      <c r="J224" s="26"/>
      <c r="K224" s="26"/>
      <c r="L224" s="26"/>
    </row>
    <row r="225" spans="7:12" ht="15.75" x14ac:dyDescent="0.25">
      <c r="G225" s="107"/>
      <c r="H225" s="107"/>
      <c r="I225" s="107"/>
      <c r="J225" s="26"/>
      <c r="K225" s="26"/>
      <c r="L225" s="26"/>
    </row>
    <row r="226" spans="7:12" ht="15.75" x14ac:dyDescent="0.25">
      <c r="G226" s="107"/>
      <c r="H226" s="107"/>
      <c r="I226" s="107"/>
      <c r="J226" s="26"/>
      <c r="K226" s="26"/>
      <c r="L226" s="26"/>
    </row>
    <row r="227" spans="7:12" ht="15.75" x14ac:dyDescent="0.25">
      <c r="G227" s="107"/>
      <c r="H227" s="107"/>
      <c r="I227" s="107"/>
      <c r="J227" s="26"/>
      <c r="K227" s="26"/>
      <c r="L227" s="26"/>
    </row>
    <row r="228" spans="7:12" ht="15.75" x14ac:dyDescent="0.25">
      <c r="G228" s="107"/>
      <c r="H228" s="107"/>
      <c r="I228" s="107"/>
      <c r="J228" s="26"/>
      <c r="K228" s="26"/>
      <c r="L228" s="26"/>
    </row>
    <row r="229" spans="7:12" ht="15.75" x14ac:dyDescent="0.25">
      <c r="G229" s="107"/>
      <c r="H229" s="107"/>
      <c r="I229" s="107"/>
      <c r="J229" s="26"/>
      <c r="K229" s="26"/>
      <c r="L229" s="26"/>
    </row>
    <row r="230" spans="7:12" ht="15.75" x14ac:dyDescent="0.25">
      <c r="G230" s="107"/>
      <c r="H230" s="107"/>
      <c r="I230" s="107"/>
      <c r="J230" s="26"/>
      <c r="K230" s="26"/>
      <c r="L230" s="26"/>
    </row>
    <row r="231" spans="7:12" ht="15.75" x14ac:dyDescent="0.25">
      <c r="G231" s="107"/>
      <c r="H231" s="107"/>
      <c r="I231" s="107"/>
      <c r="J231" s="26"/>
      <c r="K231" s="26"/>
      <c r="L231" s="26"/>
    </row>
    <row r="232" spans="7:12" ht="15.75" x14ac:dyDescent="0.25">
      <c r="G232" s="107"/>
      <c r="H232" s="107"/>
      <c r="I232" s="107"/>
      <c r="J232" s="26"/>
      <c r="K232" s="26"/>
      <c r="L232" s="26"/>
    </row>
    <row r="233" spans="7:12" ht="15.75" x14ac:dyDescent="0.25">
      <c r="G233" s="107"/>
      <c r="H233" s="107"/>
      <c r="I233" s="107"/>
      <c r="J233" s="26"/>
      <c r="K233" s="26"/>
      <c r="L233" s="26"/>
    </row>
    <row r="234" spans="7:12" ht="15.75" x14ac:dyDescent="0.25">
      <c r="G234" s="107"/>
      <c r="H234" s="107"/>
      <c r="I234" s="107"/>
      <c r="J234" s="26"/>
      <c r="K234" s="26"/>
      <c r="L234" s="26"/>
    </row>
    <row r="235" spans="7:12" ht="15.75" x14ac:dyDescent="0.25">
      <c r="G235" s="107"/>
      <c r="H235" s="107"/>
      <c r="I235" s="107"/>
      <c r="J235" s="26"/>
      <c r="K235" s="26"/>
      <c r="L235" s="26"/>
    </row>
    <row r="236" spans="7:12" ht="15.75" x14ac:dyDescent="0.25">
      <c r="G236" s="107"/>
      <c r="H236" s="107"/>
      <c r="I236" s="107"/>
      <c r="J236" s="26"/>
      <c r="K236" s="26"/>
      <c r="L236" s="26"/>
    </row>
    <row r="237" spans="7:12" ht="15.75" x14ac:dyDescent="0.25">
      <c r="G237" s="107"/>
      <c r="H237" s="107"/>
      <c r="I237" s="107"/>
      <c r="J237" s="26"/>
      <c r="K237" s="26"/>
      <c r="L237" s="26"/>
    </row>
    <row r="238" spans="7:12" ht="15.75" x14ac:dyDescent="0.25">
      <c r="G238" s="107"/>
      <c r="H238" s="107"/>
      <c r="I238" s="107"/>
      <c r="J238" s="26"/>
      <c r="K238" s="26"/>
      <c r="L238" s="26"/>
    </row>
    <row r="239" spans="7:12" ht="15.75" x14ac:dyDescent="0.25">
      <c r="G239" s="107"/>
      <c r="H239" s="107"/>
      <c r="I239" s="107"/>
      <c r="J239" s="26"/>
      <c r="K239" s="26"/>
      <c r="L239" s="26"/>
    </row>
    <row r="240" spans="7:12" ht="15.75" x14ac:dyDescent="0.25">
      <c r="G240" s="107"/>
      <c r="H240" s="107"/>
      <c r="I240" s="107"/>
      <c r="J240" s="26"/>
      <c r="K240" s="26"/>
      <c r="L240" s="26"/>
    </row>
    <row r="241" spans="7:12" ht="15.75" x14ac:dyDescent="0.25">
      <c r="G241" s="107"/>
      <c r="H241" s="107"/>
      <c r="I241" s="107"/>
      <c r="J241" s="26"/>
      <c r="K241" s="26"/>
      <c r="L241" s="26"/>
    </row>
    <row r="242" spans="7:12" ht="15.75" x14ac:dyDescent="0.25">
      <c r="G242" s="107"/>
      <c r="H242" s="107"/>
      <c r="I242" s="107"/>
      <c r="J242" s="26"/>
      <c r="K242" s="26"/>
      <c r="L242" s="26"/>
    </row>
    <row r="243" spans="7:12" ht="15.75" x14ac:dyDescent="0.25">
      <c r="G243" s="107"/>
      <c r="H243" s="107"/>
      <c r="I243" s="107"/>
      <c r="J243" s="26"/>
      <c r="K243" s="26"/>
      <c r="L243" s="26"/>
    </row>
    <row r="244" spans="7:12" ht="15.75" x14ac:dyDescent="0.25">
      <c r="G244" s="107"/>
      <c r="H244" s="107"/>
      <c r="I244" s="107"/>
      <c r="J244" s="26"/>
      <c r="K244" s="26"/>
      <c r="L244" s="26"/>
    </row>
    <row r="245" spans="7:12" ht="15.75" x14ac:dyDescent="0.25">
      <c r="G245" s="107"/>
      <c r="H245" s="107"/>
      <c r="I245" s="107"/>
      <c r="J245" s="26"/>
      <c r="K245" s="26"/>
      <c r="L245" s="26"/>
    </row>
    <row r="246" spans="7:12" ht="15.75" x14ac:dyDescent="0.25">
      <c r="G246" s="107"/>
      <c r="H246" s="107"/>
      <c r="I246" s="107"/>
      <c r="J246" s="26"/>
      <c r="K246" s="26"/>
      <c r="L246" s="26"/>
    </row>
    <row r="247" spans="7:12" ht="15.75" x14ac:dyDescent="0.25">
      <c r="G247" s="107"/>
      <c r="H247" s="107"/>
      <c r="I247" s="107"/>
      <c r="J247" s="26"/>
      <c r="K247" s="26"/>
      <c r="L247" s="26"/>
    </row>
    <row r="248" spans="7:12" ht="15.75" x14ac:dyDescent="0.25">
      <c r="G248" s="107"/>
      <c r="H248" s="107"/>
      <c r="I248" s="107"/>
      <c r="J248" s="26"/>
      <c r="K248" s="26"/>
      <c r="L248" s="26"/>
    </row>
    <row r="249" spans="7:12" ht="15.75" x14ac:dyDescent="0.25">
      <c r="G249" s="107"/>
      <c r="H249" s="107"/>
      <c r="I249" s="107"/>
      <c r="J249" s="26"/>
      <c r="K249" s="26"/>
      <c r="L249" s="26"/>
    </row>
    <row r="250" spans="7:12" ht="15.75" x14ac:dyDescent="0.25">
      <c r="G250" s="107"/>
      <c r="H250" s="107"/>
      <c r="I250" s="107"/>
      <c r="J250" s="26"/>
      <c r="K250" s="26"/>
      <c r="L250" s="26"/>
    </row>
    <row r="251" spans="7:12" ht="15.75" x14ac:dyDescent="0.25">
      <c r="G251" s="107"/>
      <c r="H251" s="107"/>
      <c r="I251" s="107"/>
      <c r="J251" s="26"/>
      <c r="K251" s="26"/>
      <c r="L251" s="26"/>
    </row>
    <row r="252" spans="7:12" ht="15.75" x14ac:dyDescent="0.25">
      <c r="G252" s="107"/>
      <c r="H252" s="107"/>
      <c r="I252" s="107"/>
      <c r="J252" s="26"/>
      <c r="K252" s="26"/>
      <c r="L252" s="26"/>
    </row>
    <row r="253" spans="7:12" ht="15.75" x14ac:dyDescent="0.25">
      <c r="G253" s="107"/>
      <c r="H253" s="107"/>
      <c r="I253" s="107"/>
      <c r="J253" s="26"/>
      <c r="K253" s="26"/>
      <c r="L253" s="26"/>
    </row>
    <row r="254" spans="7:12" ht="15.75" x14ac:dyDescent="0.25">
      <c r="G254" s="107"/>
      <c r="H254" s="107"/>
      <c r="I254" s="107"/>
      <c r="J254" s="26"/>
      <c r="K254" s="26"/>
      <c r="L254" s="26"/>
    </row>
    <row r="255" spans="7:12" ht="15.75" x14ac:dyDescent="0.25">
      <c r="G255" s="107"/>
      <c r="H255" s="107"/>
      <c r="I255" s="107"/>
      <c r="J255" s="26"/>
      <c r="K255" s="26"/>
      <c r="L255" s="26"/>
    </row>
    <row r="256" spans="7:12" ht="15.75" x14ac:dyDescent="0.25">
      <c r="G256" s="107"/>
      <c r="H256" s="107"/>
      <c r="I256" s="107"/>
      <c r="J256" s="26"/>
      <c r="K256" s="26"/>
      <c r="L256" s="26"/>
    </row>
    <row r="257" spans="7:12" ht="15.75" x14ac:dyDescent="0.25">
      <c r="G257" s="107"/>
      <c r="H257" s="107"/>
      <c r="I257" s="107"/>
      <c r="J257" s="26"/>
      <c r="K257" s="26"/>
      <c r="L257" s="26"/>
    </row>
    <row r="258" spans="7:12" ht="15.75" x14ac:dyDescent="0.25">
      <c r="G258" s="107"/>
      <c r="H258" s="107"/>
      <c r="I258" s="107"/>
      <c r="J258" s="26"/>
      <c r="K258" s="26"/>
      <c r="L258" s="26"/>
    </row>
    <row r="259" spans="7:12" ht="15.75" x14ac:dyDescent="0.25">
      <c r="G259" s="107"/>
      <c r="H259" s="107"/>
      <c r="I259" s="107"/>
      <c r="J259" s="26"/>
      <c r="K259" s="26"/>
      <c r="L259" s="26"/>
    </row>
    <row r="260" spans="7:12" ht="15.75" x14ac:dyDescent="0.25">
      <c r="G260" s="107"/>
      <c r="H260" s="107"/>
      <c r="I260" s="107"/>
      <c r="J260" s="26"/>
      <c r="K260" s="26"/>
      <c r="L260" s="26"/>
    </row>
    <row r="261" spans="7:12" ht="15.75" x14ac:dyDescent="0.25">
      <c r="G261" s="107"/>
      <c r="H261" s="107"/>
      <c r="I261" s="107"/>
      <c r="J261" s="26"/>
      <c r="K261" s="26"/>
      <c r="L261" s="26"/>
    </row>
    <row r="262" spans="7:12" ht="15.75" x14ac:dyDescent="0.25">
      <c r="G262" s="107"/>
      <c r="H262" s="107"/>
      <c r="I262" s="107"/>
      <c r="J262" s="26"/>
      <c r="K262" s="26"/>
      <c r="L262" s="26"/>
    </row>
    <row r="263" spans="7:12" ht="15.75" x14ac:dyDescent="0.25">
      <c r="G263" s="107"/>
      <c r="H263" s="107"/>
      <c r="I263" s="107"/>
      <c r="J263" s="26"/>
      <c r="K263" s="26"/>
      <c r="L263" s="26"/>
    </row>
    <row r="264" spans="7:12" ht="15.75" x14ac:dyDescent="0.25">
      <c r="G264" s="107"/>
      <c r="H264" s="107"/>
      <c r="I264" s="107"/>
      <c r="J264" s="26"/>
      <c r="K264" s="26"/>
      <c r="L264" s="26"/>
    </row>
    <row r="265" spans="7:12" ht="15.75" x14ac:dyDescent="0.25">
      <c r="G265" s="107"/>
      <c r="H265" s="107"/>
      <c r="I265" s="107"/>
      <c r="J265" s="26"/>
      <c r="K265" s="26"/>
      <c r="L265" s="26"/>
    </row>
    <row r="266" spans="7:12" ht="15.75" x14ac:dyDescent="0.25">
      <c r="G266" s="107"/>
      <c r="H266" s="107"/>
      <c r="I266" s="107"/>
      <c r="J266" s="26"/>
      <c r="K266" s="26"/>
      <c r="L266" s="26"/>
    </row>
    <row r="267" spans="7:12" ht="15.75" x14ac:dyDescent="0.25">
      <c r="G267" s="107"/>
      <c r="H267" s="107"/>
      <c r="I267" s="107"/>
      <c r="J267" s="26"/>
      <c r="K267" s="26"/>
      <c r="L267" s="26"/>
    </row>
    <row r="268" spans="7:12" ht="15.75" x14ac:dyDescent="0.25">
      <c r="G268" s="107"/>
      <c r="H268" s="107"/>
      <c r="I268" s="107"/>
      <c r="J268" s="26"/>
      <c r="K268" s="26"/>
      <c r="L268" s="26"/>
    </row>
    <row r="269" spans="7:12" ht="15.75" x14ac:dyDescent="0.25">
      <c r="G269" s="107"/>
      <c r="H269" s="107"/>
      <c r="I269" s="107"/>
      <c r="J269" s="26"/>
      <c r="K269" s="26"/>
      <c r="L269" s="26"/>
    </row>
    <row r="270" spans="7:12" ht="15.75" x14ac:dyDescent="0.25">
      <c r="G270" s="107"/>
      <c r="H270" s="107"/>
      <c r="I270" s="107"/>
      <c r="J270" s="26"/>
      <c r="K270" s="26"/>
      <c r="L270" s="26"/>
    </row>
    <row r="271" spans="7:12" ht="15.75" x14ac:dyDescent="0.25">
      <c r="G271" s="107"/>
      <c r="H271" s="107"/>
      <c r="I271" s="107"/>
      <c r="J271" s="26"/>
      <c r="K271" s="26"/>
      <c r="L271" s="26"/>
    </row>
    <row r="272" spans="7:12" ht="15.75" x14ac:dyDescent="0.25">
      <c r="G272" s="107"/>
      <c r="H272" s="107"/>
      <c r="I272" s="107"/>
      <c r="J272" s="26"/>
      <c r="K272" s="26"/>
      <c r="L272" s="26"/>
    </row>
    <row r="273" spans="7:12" ht="15.75" x14ac:dyDescent="0.25">
      <c r="G273" s="107"/>
      <c r="H273" s="107"/>
      <c r="I273" s="107"/>
      <c r="J273" s="26"/>
      <c r="K273" s="26"/>
      <c r="L273" s="26"/>
    </row>
    <row r="274" spans="7:12" ht="15.75" x14ac:dyDescent="0.25">
      <c r="G274" s="107"/>
      <c r="H274" s="107"/>
      <c r="I274" s="107"/>
      <c r="J274" s="26"/>
      <c r="K274" s="26"/>
      <c r="L274" s="26"/>
    </row>
    <row r="275" spans="7:12" ht="15.75" x14ac:dyDescent="0.25">
      <c r="G275" s="107"/>
      <c r="H275" s="107"/>
      <c r="I275" s="107"/>
      <c r="J275" s="26"/>
      <c r="K275" s="26"/>
      <c r="L275" s="26"/>
    </row>
    <row r="276" spans="7:12" ht="15.75" x14ac:dyDescent="0.25">
      <c r="G276" s="107"/>
      <c r="H276" s="107"/>
      <c r="I276" s="107"/>
      <c r="J276" s="26"/>
      <c r="K276" s="26"/>
      <c r="L276" s="26"/>
    </row>
    <row r="277" spans="7:12" ht="15.75" x14ac:dyDescent="0.25">
      <c r="G277" s="107"/>
      <c r="H277" s="107"/>
      <c r="I277" s="107"/>
      <c r="J277" s="26"/>
      <c r="K277" s="26"/>
      <c r="L277" s="26"/>
    </row>
    <row r="278" spans="7:12" ht="15.75" x14ac:dyDescent="0.25">
      <c r="G278" s="107"/>
      <c r="H278" s="26"/>
      <c r="I278" s="26"/>
      <c r="J278" s="26"/>
      <c r="K278" s="26"/>
      <c r="L278" s="26"/>
    </row>
    <row r="279" spans="7:12" ht="15.75" x14ac:dyDescent="0.25">
      <c r="G279" s="107"/>
      <c r="H279" s="26"/>
      <c r="I279" s="26"/>
      <c r="J279" s="26"/>
      <c r="K279" s="26"/>
      <c r="L279" s="26"/>
    </row>
    <row r="280" spans="7:12" ht="15.75" x14ac:dyDescent="0.25">
      <c r="G280" s="107"/>
      <c r="H280" s="26"/>
      <c r="I280" s="26"/>
      <c r="J280" s="26"/>
      <c r="K280" s="26"/>
      <c r="L280" s="26"/>
    </row>
    <row r="281" spans="7:12" ht="15.75" x14ac:dyDescent="0.25">
      <c r="G281" s="107"/>
      <c r="H281" s="26"/>
      <c r="I281" s="26"/>
      <c r="J281" s="26"/>
      <c r="K281" s="26"/>
      <c r="L281" s="26"/>
    </row>
    <row r="282" spans="7:12" ht="15.75" x14ac:dyDescent="0.25">
      <c r="G282" s="107"/>
      <c r="H282" s="26"/>
      <c r="I282" s="26"/>
      <c r="J282" s="26"/>
      <c r="K282" s="26"/>
      <c r="L282" s="26"/>
    </row>
    <row r="283" spans="7:12" ht="15.75" x14ac:dyDescent="0.25">
      <c r="G283" s="107"/>
      <c r="H283" s="26"/>
      <c r="I283" s="26"/>
      <c r="J283" s="26"/>
      <c r="K283" s="26"/>
      <c r="L283" s="26"/>
    </row>
    <row r="284" spans="7:12" ht="15.75" x14ac:dyDescent="0.25">
      <c r="G284" s="107"/>
      <c r="H284" s="26"/>
      <c r="I284" s="26"/>
      <c r="J284" s="26"/>
      <c r="K284" s="26"/>
      <c r="L284" s="26"/>
    </row>
    <row r="285" spans="7:12" ht="15.75" x14ac:dyDescent="0.25">
      <c r="G285" s="107"/>
      <c r="H285" s="26"/>
      <c r="I285" s="26"/>
      <c r="J285" s="26"/>
      <c r="K285" s="26"/>
      <c r="L285" s="26"/>
    </row>
    <row r="286" spans="7:12" ht="15.75" x14ac:dyDescent="0.25">
      <c r="G286" s="107"/>
      <c r="H286" s="26"/>
      <c r="I286" s="26"/>
      <c r="J286" s="26"/>
      <c r="K286" s="26"/>
      <c r="L286" s="26"/>
    </row>
    <row r="287" spans="7:12" ht="15.75" x14ac:dyDescent="0.25">
      <c r="G287" s="107"/>
      <c r="H287" s="26"/>
      <c r="I287" s="26"/>
      <c r="J287" s="26"/>
      <c r="K287" s="26"/>
      <c r="L287" s="26"/>
    </row>
    <row r="288" spans="7:12" ht="15.75" x14ac:dyDescent="0.25">
      <c r="G288" s="107"/>
      <c r="H288" s="26"/>
      <c r="I288" s="26"/>
      <c r="J288" s="26"/>
      <c r="K288" s="26"/>
      <c r="L288" s="26"/>
    </row>
    <row r="289" spans="7:12" ht="15.75" x14ac:dyDescent="0.25">
      <c r="G289" s="107"/>
      <c r="H289" s="26"/>
      <c r="I289" s="26"/>
      <c r="J289" s="26"/>
      <c r="K289" s="26"/>
      <c r="L289" s="26"/>
    </row>
    <row r="290" spans="7:12" ht="15.75" x14ac:dyDescent="0.25">
      <c r="G290" s="107"/>
      <c r="H290" s="26"/>
      <c r="I290" s="26"/>
      <c r="J290" s="26"/>
      <c r="K290" s="26"/>
      <c r="L290" s="26"/>
    </row>
    <row r="291" spans="7:12" ht="15.75" x14ac:dyDescent="0.25">
      <c r="G291" s="107"/>
      <c r="H291" s="26"/>
      <c r="I291" s="26"/>
      <c r="J291" s="26"/>
      <c r="K291" s="26"/>
      <c r="L291" s="26"/>
    </row>
    <row r="292" spans="7:12" ht="15.75" x14ac:dyDescent="0.25">
      <c r="G292" s="107"/>
      <c r="H292" s="26"/>
      <c r="I292" s="26"/>
      <c r="J292" s="26"/>
      <c r="K292" s="26"/>
      <c r="L292" s="26"/>
    </row>
    <row r="293" spans="7:12" ht="15.75" x14ac:dyDescent="0.25">
      <c r="G293" s="107"/>
      <c r="H293" s="26"/>
      <c r="I293" s="26"/>
      <c r="J293" s="26"/>
      <c r="K293" s="26"/>
      <c r="L293" s="26"/>
    </row>
    <row r="294" spans="7:12" ht="15.75" x14ac:dyDescent="0.25">
      <c r="G294" s="107"/>
      <c r="H294" s="26"/>
      <c r="I294" s="26"/>
      <c r="J294" s="26"/>
      <c r="K294" s="26"/>
      <c r="L294" s="26"/>
    </row>
    <row r="295" spans="7:12" ht="15.75" x14ac:dyDescent="0.25">
      <c r="G295" s="107"/>
      <c r="H295" s="26"/>
      <c r="I295" s="26"/>
      <c r="J295" s="26"/>
      <c r="K295" s="26"/>
      <c r="L295" s="26"/>
    </row>
    <row r="296" spans="7:12" ht="15.75" x14ac:dyDescent="0.25">
      <c r="G296" s="107"/>
      <c r="H296" s="26"/>
      <c r="I296" s="26"/>
      <c r="J296" s="26"/>
      <c r="K296" s="26"/>
      <c r="L296" s="26"/>
    </row>
    <row r="297" spans="7:12" ht="15.75" x14ac:dyDescent="0.25">
      <c r="G297" s="107"/>
      <c r="H297" s="26"/>
      <c r="I297" s="26"/>
      <c r="J297" s="26"/>
      <c r="K297" s="26"/>
      <c r="L297" s="26"/>
    </row>
    <row r="298" spans="7:12" ht="15.75" x14ac:dyDescent="0.25">
      <c r="G298" s="107"/>
      <c r="H298" s="26"/>
      <c r="I298" s="26"/>
      <c r="J298" s="26"/>
      <c r="K298" s="26"/>
      <c r="L298" s="26"/>
    </row>
    <row r="299" spans="7:12" ht="15.75" x14ac:dyDescent="0.25">
      <c r="G299" s="107"/>
      <c r="H299" s="26"/>
      <c r="I299" s="26"/>
      <c r="J299" s="26"/>
      <c r="K299" s="26"/>
      <c r="L299" s="26"/>
    </row>
    <row r="300" spans="7:12" ht="15.75" x14ac:dyDescent="0.25">
      <c r="G300" s="107"/>
      <c r="H300" s="26"/>
      <c r="I300" s="26"/>
      <c r="J300" s="26"/>
      <c r="K300" s="26"/>
      <c r="L300" s="26"/>
    </row>
    <row r="301" spans="7:12" ht="15.75" x14ac:dyDescent="0.25">
      <c r="G301" s="107"/>
      <c r="H301" s="26"/>
      <c r="I301" s="26"/>
      <c r="J301" s="26"/>
      <c r="K301" s="26"/>
      <c r="L301" s="26"/>
    </row>
    <row r="302" spans="7:12" ht="15.75" x14ac:dyDescent="0.25">
      <c r="G302" s="107"/>
      <c r="H302" s="26"/>
      <c r="I302" s="26"/>
      <c r="J302" s="26"/>
      <c r="K302" s="26"/>
      <c r="L302" s="26"/>
    </row>
    <row r="303" spans="7:12" ht="15.75" x14ac:dyDescent="0.25">
      <c r="G303" s="107"/>
      <c r="H303" s="26"/>
      <c r="I303" s="26"/>
      <c r="J303" s="26"/>
      <c r="K303" s="26"/>
      <c r="L303" s="26"/>
    </row>
    <row r="304" spans="7:12" ht="15.75" x14ac:dyDescent="0.25">
      <c r="G304" s="107"/>
      <c r="H304" s="26"/>
      <c r="I304" s="26"/>
      <c r="J304" s="26"/>
      <c r="K304" s="26"/>
      <c r="L304" s="26"/>
    </row>
    <row r="305" spans="7:12" ht="15.75" x14ac:dyDescent="0.25">
      <c r="G305" s="107"/>
      <c r="H305" s="26"/>
      <c r="I305" s="26"/>
      <c r="J305" s="26"/>
      <c r="K305" s="26"/>
      <c r="L305" s="26"/>
    </row>
    <row r="306" spans="7:12" ht="15.75" x14ac:dyDescent="0.25">
      <c r="G306" s="107"/>
      <c r="H306" s="26"/>
      <c r="I306" s="26"/>
      <c r="J306" s="26"/>
      <c r="K306" s="26"/>
      <c r="L306" s="26"/>
    </row>
    <row r="307" spans="7:12" ht="15.75" x14ac:dyDescent="0.25">
      <c r="G307" s="107"/>
      <c r="H307" s="26"/>
      <c r="I307" s="26"/>
      <c r="J307" s="26"/>
      <c r="K307" s="26"/>
      <c r="L307" s="26"/>
    </row>
    <row r="308" spans="7:12" ht="15.75" x14ac:dyDescent="0.25">
      <c r="G308" s="107"/>
      <c r="H308" s="26"/>
      <c r="I308" s="26"/>
      <c r="J308" s="26"/>
      <c r="K308" s="26"/>
      <c r="L308" s="26"/>
    </row>
    <row r="309" spans="7:12" ht="15.75" x14ac:dyDescent="0.25">
      <c r="G309" s="107"/>
      <c r="H309" s="26"/>
      <c r="I309" s="26"/>
      <c r="J309" s="26"/>
      <c r="K309" s="26"/>
      <c r="L309" s="26"/>
    </row>
    <row r="310" spans="7:12" ht="15.75" x14ac:dyDescent="0.25">
      <c r="G310" s="107"/>
      <c r="H310" s="26"/>
      <c r="I310" s="26"/>
      <c r="J310" s="26"/>
      <c r="K310" s="26"/>
      <c r="L310" s="26"/>
    </row>
    <row r="311" spans="7:12" ht="15.75" x14ac:dyDescent="0.25">
      <c r="G311" s="107"/>
      <c r="H311" s="26"/>
      <c r="I311" s="26"/>
      <c r="J311" s="26"/>
      <c r="K311" s="26"/>
      <c r="L311" s="26"/>
    </row>
    <row r="312" spans="7:12" ht="15.75" x14ac:dyDescent="0.25">
      <c r="G312" s="107"/>
      <c r="H312" s="26"/>
      <c r="I312" s="26"/>
      <c r="J312" s="26"/>
      <c r="K312" s="26"/>
      <c r="L312" s="26"/>
    </row>
    <row r="313" spans="7:12" ht="15.75" x14ac:dyDescent="0.25">
      <c r="G313" s="107"/>
      <c r="H313" s="26"/>
      <c r="I313" s="26"/>
      <c r="J313" s="26"/>
      <c r="K313" s="26"/>
      <c r="L313" s="26"/>
    </row>
    <row r="314" spans="7:12" ht="15.75" x14ac:dyDescent="0.25">
      <c r="G314" s="107"/>
      <c r="H314" s="26"/>
      <c r="I314" s="26"/>
      <c r="J314" s="26"/>
      <c r="K314" s="26"/>
      <c r="L314" s="26"/>
    </row>
    <row r="315" spans="7:12" ht="15.75" x14ac:dyDescent="0.25">
      <c r="G315" s="107"/>
      <c r="H315" s="26"/>
      <c r="I315" s="26"/>
      <c r="J315" s="26"/>
      <c r="K315" s="26"/>
      <c r="L315" s="26"/>
    </row>
    <row r="316" spans="7:12" ht="15.75" x14ac:dyDescent="0.25">
      <c r="G316" s="107"/>
      <c r="H316" s="26"/>
      <c r="I316" s="26"/>
      <c r="J316" s="26"/>
      <c r="K316" s="26"/>
      <c r="L316" s="26"/>
    </row>
    <row r="317" spans="7:12" ht="15.75" x14ac:dyDescent="0.25">
      <c r="G317" s="107"/>
      <c r="H317" s="26"/>
      <c r="I317" s="26"/>
      <c r="J317" s="26"/>
      <c r="K317" s="26"/>
      <c r="L317" s="26"/>
    </row>
  </sheetData>
  <mergeCells count="1">
    <mergeCell ref="H1:L1"/>
  </mergeCells>
  <conditionalFormatting sqref="D4:D5">
    <cfRule type="cellIs" dxfId="20" priority="67" operator="equal">
      <formula>0</formula>
    </cfRule>
  </conditionalFormatting>
  <dataValidations count="1">
    <dataValidation type="list" allowBlank="1" showInputMessage="1" sqref="H3:L3" xr:uid="{FA41788D-0756-4914-BE0B-04F34C22102E}">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1FEE3D31-B5C2-44F9-B4E5-4593A0664C26}">
          <x14:formula1>
            <xm:f>Unit!$A$4:$A$11</xm:f>
          </x14:formula1>
          <xm:sqref>D3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8456B-3925-4258-AF36-20D228CC4ABC}">
  <sheetPr>
    <tabColor rgb="FF00B0F0"/>
  </sheetPr>
  <dimension ref="A1:AB161"/>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2291</v>
      </c>
      <c r="B1" s="295"/>
      <c r="C1" s="295"/>
      <c r="D1" s="295"/>
      <c r="E1" s="295"/>
      <c r="F1" s="295"/>
      <c r="G1" s="295"/>
      <c r="H1" s="295"/>
      <c r="I1" s="295"/>
      <c r="J1" s="295"/>
      <c r="K1" s="295"/>
      <c r="L1" s="295"/>
      <c r="M1" s="295"/>
      <c r="N1" s="295"/>
      <c r="O1" s="295"/>
      <c r="P1" s="295"/>
      <c r="Q1" s="295"/>
      <c r="R1" s="295"/>
      <c r="S1" s="296" t="s">
        <v>888</v>
      </c>
      <c r="T1" s="301">
        <v>44945</v>
      </c>
      <c r="U1" s="301"/>
      <c r="V1" s="301"/>
      <c r="W1" s="301"/>
      <c r="X1" s="301"/>
      <c r="Y1" s="301"/>
      <c r="Z1" s="301"/>
      <c r="AA1" s="301"/>
      <c r="AB1" s="301"/>
    </row>
    <row r="2" spans="1:28" ht="15.75" x14ac:dyDescent="0.25">
      <c r="I2" s="292">
        <v>75.819999999999993</v>
      </c>
      <c r="J2" s="293">
        <v>86.05</v>
      </c>
      <c r="K2" s="291">
        <v>1</v>
      </c>
      <c r="L2" s="291">
        <v>1</v>
      </c>
      <c r="U2" s="291">
        <f>56.6/47.2</f>
        <v>1.1991525423728813</v>
      </c>
      <c r="V2" s="291">
        <f>47.2/47.2</f>
        <v>1</v>
      </c>
      <c r="W2" s="291">
        <f>47.9/47.2</f>
        <v>1.0148305084745761</v>
      </c>
      <c r="X2" s="291">
        <f>42.6/47.2</f>
        <v>0.90254237288135586</v>
      </c>
      <c r="Y2" s="291">
        <f t="shared" ref="Y2" si="0">47.2/47.2</f>
        <v>1</v>
      </c>
      <c r="Z2" s="291">
        <f>55/47.2</f>
        <v>1.1652542372881356</v>
      </c>
      <c r="AA2" s="291">
        <f>44/47.2</f>
        <v>0.93220338983050843</v>
      </c>
      <c r="AB2" s="291">
        <f>47/47.2</f>
        <v>0.99576271186440668</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2299</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U$2</f>
        <v>1.1991525423728813</v>
      </c>
      <c r="V5" s="291">
        <f>V$2</f>
        <v>1</v>
      </c>
      <c r="W5" s="291">
        <f t="shared" ref="W5:AB5" si="1">W$2</f>
        <v>1.0148305084745761</v>
      </c>
      <c r="X5" s="291">
        <f t="shared" si="1"/>
        <v>0.90254237288135586</v>
      </c>
      <c r="Y5" s="291">
        <f t="shared" si="1"/>
        <v>1</v>
      </c>
      <c r="Z5" s="291">
        <f t="shared" si="1"/>
        <v>1.1652542372881356</v>
      </c>
      <c r="AA5" s="291">
        <f t="shared" si="1"/>
        <v>0.93220338983050843</v>
      </c>
      <c r="AB5" s="291">
        <f t="shared" si="1"/>
        <v>0.99576271186440668</v>
      </c>
    </row>
    <row r="6" spans="1:28" s="305" customFormat="1" ht="14.45" hidden="1" customHeight="1" outlineLevel="1" x14ac:dyDescent="0.25">
      <c r="A6" s="278"/>
      <c r="B6" s="279" t="str">
        <f>C6&amp;D6&amp;E6&amp;F6</f>
        <v>trowel-onskim coatnewaverage</v>
      </c>
      <c r="C6" s="278" t="s">
        <v>2294</v>
      </c>
      <c r="D6" s="278" t="s">
        <v>2292</v>
      </c>
      <c r="E6" s="278" t="s">
        <v>2297</v>
      </c>
      <c r="F6" s="278" t="s">
        <v>543</v>
      </c>
      <c r="G6" s="278" t="s">
        <v>11</v>
      </c>
      <c r="H6" s="309">
        <f>H15*0.9</f>
        <v>0.41400000000000003</v>
      </c>
      <c r="I6" s="280">
        <f t="shared" ref="I6:I14" si="2">$I$2*H6</f>
        <v>31.389479999999999</v>
      </c>
      <c r="J6" s="281">
        <f>$J$2*H6</f>
        <v>35.624700000000004</v>
      </c>
      <c r="K6" s="282">
        <f>IF(Notes!$B$9="Domestic",I6, IF(Notes!$B$9="Commercial",J6))*$K$5</f>
        <v>35.624700000000004</v>
      </c>
      <c r="L6" s="283">
        <f>(SUM(O6:Q6)+(K6+SUM(M6:Q6))*(INDEX($U$5:$AB$5,MATCH(Notes!$C$16,$U$3:$AB$3,0))-100%))*$L$5</f>
        <v>3.0690000000000004</v>
      </c>
      <c r="M6" s="286"/>
      <c r="N6" s="286"/>
      <c r="O6" s="311">
        <f>O15*0.9</f>
        <v>3.0690000000000004</v>
      </c>
      <c r="P6" s="285"/>
      <c r="Q6" s="285"/>
      <c r="R6" s="329"/>
      <c r="S6" s="278"/>
      <c r="T6" s="278"/>
      <c r="U6" s="304"/>
    </row>
    <row r="7" spans="1:28" s="305" customFormat="1" ht="14.45" hidden="1" customHeight="1" outlineLevel="1" x14ac:dyDescent="0.25">
      <c r="A7" s="278"/>
      <c r="B7" s="279" t="str">
        <f t="shared" ref="B7:B14" si="3">C7&amp;D7&amp;E7&amp;F7</f>
        <v>trowel-on1 coatnewaverage</v>
      </c>
      <c r="C7" s="278" t="s">
        <v>2294</v>
      </c>
      <c r="D7" s="278" t="s">
        <v>2293</v>
      </c>
      <c r="E7" s="278" t="s">
        <v>2297</v>
      </c>
      <c r="F7" s="278" t="s">
        <v>543</v>
      </c>
      <c r="G7" s="278" t="s">
        <v>11</v>
      </c>
      <c r="H7" s="309">
        <f t="shared" ref="H7:H14" si="4">H16*0.9</f>
        <v>0.60300000000000009</v>
      </c>
      <c r="I7" s="280">
        <f t="shared" si="2"/>
        <v>45.719460000000005</v>
      </c>
      <c r="J7" s="281">
        <f t="shared" ref="J7:J14" si="5">$J$2*H7</f>
        <v>51.888150000000003</v>
      </c>
      <c r="K7" s="282">
        <f>IF(Notes!$B$9="Domestic",I7, IF(Notes!$B$9="Commercial",J7))*$K$5</f>
        <v>51.888150000000003</v>
      </c>
      <c r="L7" s="283">
        <f>(SUM(O7:Q7)+(K7+SUM(M7:Q7))*(INDEX($U$5:$AB$5,MATCH(Notes!$C$16,$U$3:$AB$3,0))-100%))*$L$5</f>
        <v>3.9869999999999997</v>
      </c>
      <c r="M7" s="286"/>
      <c r="N7" s="286"/>
      <c r="O7" s="311">
        <f t="shared" ref="O7:O14" si="6">O16*0.9</f>
        <v>3.9869999999999997</v>
      </c>
      <c r="P7" s="285"/>
      <c r="Q7" s="285"/>
      <c r="R7" s="329"/>
      <c r="S7" s="278"/>
      <c r="T7" s="278"/>
      <c r="U7" s="304"/>
    </row>
    <row r="8" spans="1:28" s="305" customFormat="1" ht="14.45" hidden="1" customHeight="1" outlineLevel="1" x14ac:dyDescent="0.25">
      <c r="A8" s="278"/>
      <c r="B8" s="279" t="str">
        <f t="shared" si="3"/>
        <v>trowel-on2 coatsnewaverage</v>
      </c>
      <c r="C8" s="278" t="s">
        <v>2294</v>
      </c>
      <c r="D8" s="278" t="s">
        <v>2301</v>
      </c>
      <c r="E8" s="278" t="s">
        <v>2297</v>
      </c>
      <c r="F8" s="278" t="s">
        <v>543</v>
      </c>
      <c r="G8" s="278" t="s">
        <v>11</v>
      </c>
      <c r="H8" s="309">
        <f t="shared" si="4"/>
        <v>0.82800000000000007</v>
      </c>
      <c r="I8" s="280">
        <f t="shared" si="2"/>
        <v>62.778959999999998</v>
      </c>
      <c r="J8" s="281">
        <f t="shared" si="5"/>
        <v>71.249400000000009</v>
      </c>
      <c r="K8" s="282">
        <f>IF(Notes!$B$9="Domestic",I8, IF(Notes!$B$9="Commercial",J8))*$K$5</f>
        <v>71.249400000000009</v>
      </c>
      <c r="L8" s="283">
        <f>(SUM(O8:Q8)+(K8+SUM(M8:Q8))*(INDEX($U$5:$AB$5,MATCH(Notes!$C$16,$U$3:$AB$3,0))-100%))*$L$5</f>
        <v>5.8320000000000007</v>
      </c>
      <c r="M8" s="286"/>
      <c r="N8" s="286"/>
      <c r="O8" s="311">
        <f t="shared" si="6"/>
        <v>5.8320000000000007</v>
      </c>
      <c r="P8" s="285"/>
      <c r="Q8" s="285"/>
      <c r="R8" s="329"/>
      <c r="S8" s="278"/>
      <c r="T8" s="278"/>
      <c r="U8" s="304"/>
    </row>
    <row r="9" spans="1:28" s="305" customFormat="1" ht="14.45" hidden="1" customHeight="1" outlineLevel="1" x14ac:dyDescent="0.25">
      <c r="A9" s="278"/>
      <c r="B9" s="279" t="str">
        <f t="shared" si="3"/>
        <v>roll-onskim coatnewaverage</v>
      </c>
      <c r="C9" s="278" t="s">
        <v>2295</v>
      </c>
      <c r="D9" s="278" t="s">
        <v>2292</v>
      </c>
      <c r="E9" s="278" t="s">
        <v>2297</v>
      </c>
      <c r="F9" s="278" t="s">
        <v>543</v>
      </c>
      <c r="G9" s="278" t="s">
        <v>11</v>
      </c>
      <c r="H9" s="309">
        <f t="shared" si="4"/>
        <v>0.26100000000000001</v>
      </c>
      <c r="I9" s="280">
        <f t="shared" si="2"/>
        <v>19.789020000000001</v>
      </c>
      <c r="J9" s="281">
        <f t="shared" si="5"/>
        <v>22.459050000000001</v>
      </c>
      <c r="K9" s="282">
        <f>IF(Notes!$B$9="Domestic",I9, IF(Notes!$B$9="Commercial",J9))*$K$5</f>
        <v>22.459050000000001</v>
      </c>
      <c r="L9" s="283">
        <f>(SUM(O9:Q9)+(K9+SUM(M9:Q9))*(INDEX($U$5:$AB$5,MATCH(Notes!$C$16,$U$3:$AB$3,0))-100%))*$L$5</f>
        <v>2.988</v>
      </c>
      <c r="M9" s="286"/>
      <c r="N9" s="286"/>
      <c r="O9" s="311">
        <f t="shared" si="6"/>
        <v>2.988</v>
      </c>
      <c r="P9" s="285"/>
      <c r="Q9" s="285"/>
      <c r="R9" s="329"/>
      <c r="S9" s="278"/>
      <c r="T9" s="278"/>
    </row>
    <row r="10" spans="1:28" s="305" customFormat="1" ht="14.45" hidden="1" customHeight="1" outlineLevel="1" x14ac:dyDescent="0.25">
      <c r="A10" s="278"/>
      <c r="B10" s="279" t="str">
        <f t="shared" si="3"/>
        <v>roll-on1 coatnewaverage</v>
      </c>
      <c r="C10" s="278" t="s">
        <v>2295</v>
      </c>
      <c r="D10" s="278" t="s">
        <v>2293</v>
      </c>
      <c r="E10" s="278" t="s">
        <v>2297</v>
      </c>
      <c r="F10" s="278" t="s">
        <v>543</v>
      </c>
      <c r="G10" s="278" t="s">
        <v>11</v>
      </c>
      <c r="H10" s="309">
        <f t="shared" si="4"/>
        <v>0.26100000000000001</v>
      </c>
      <c r="I10" s="280">
        <f t="shared" si="2"/>
        <v>19.789020000000001</v>
      </c>
      <c r="J10" s="281">
        <f t="shared" si="5"/>
        <v>22.459050000000001</v>
      </c>
      <c r="K10" s="282">
        <f>IF(Notes!$B$9="Domestic",I10, IF(Notes!$B$9="Commercial",J10))*$K$5</f>
        <v>22.459050000000001</v>
      </c>
      <c r="L10" s="283">
        <f>(SUM(O10:Q10)+(K10+SUM(M10:Q10))*(INDEX($U$5:$AB$5,MATCH(Notes!$C$16,$U$3:$AB$3,0))-100%))*$L$5</f>
        <v>2.988</v>
      </c>
      <c r="M10" s="286"/>
      <c r="N10" s="286"/>
      <c r="O10" s="311">
        <f t="shared" si="6"/>
        <v>2.988</v>
      </c>
      <c r="P10" s="285"/>
      <c r="Q10" s="285"/>
      <c r="R10" s="329"/>
      <c r="S10" s="278"/>
      <c r="T10" s="278"/>
    </row>
    <row r="11" spans="1:28" s="305" customFormat="1" hidden="1" outlineLevel="1" x14ac:dyDescent="0.25">
      <c r="A11" s="278"/>
      <c r="B11" s="279" t="str">
        <f t="shared" si="3"/>
        <v>roll-on2 coatsnewaverage</v>
      </c>
      <c r="C11" s="278" t="s">
        <v>2295</v>
      </c>
      <c r="D11" s="278" t="s">
        <v>2301</v>
      </c>
      <c r="E11" s="278" t="s">
        <v>2297</v>
      </c>
      <c r="F11" s="278" t="s">
        <v>543</v>
      </c>
      <c r="G11" s="278" t="s">
        <v>11</v>
      </c>
      <c r="H11" s="309">
        <f t="shared" si="4"/>
        <v>0.45900000000000002</v>
      </c>
      <c r="I11" s="280">
        <f t="shared" si="2"/>
        <v>34.801380000000002</v>
      </c>
      <c r="J11" s="281">
        <f t="shared" si="5"/>
        <v>39.496949999999998</v>
      </c>
      <c r="K11" s="282">
        <f>IF(Notes!$B$9="Domestic",I11, IF(Notes!$B$9="Commercial",J11))*$K$5</f>
        <v>39.496949999999998</v>
      </c>
      <c r="L11" s="283">
        <f>(SUM(O11:Q11)+(K11+SUM(M11:Q11))*(INDEX($U$5:$AB$5,MATCH(Notes!$C$16,$U$3:$AB$3,0))-100%))*$L$5</f>
        <v>4.3740000000000006</v>
      </c>
      <c r="M11" s="286"/>
      <c r="N11" s="286"/>
      <c r="O11" s="311">
        <f t="shared" si="6"/>
        <v>4.3740000000000006</v>
      </c>
      <c r="P11" s="285"/>
      <c r="Q11" s="285"/>
      <c r="R11" s="329"/>
      <c r="S11" s="278"/>
      <c r="T11" s="278"/>
    </row>
    <row r="12" spans="1:28" s="305" customFormat="1" hidden="1" outlineLevel="1" x14ac:dyDescent="0.25">
      <c r="A12" s="278"/>
      <c r="B12" s="279" t="str">
        <f t="shared" si="3"/>
        <v>spray-onskim coatnewaverage</v>
      </c>
      <c r="C12" s="278" t="s">
        <v>2296</v>
      </c>
      <c r="D12" s="278" t="s">
        <v>2292</v>
      </c>
      <c r="E12" s="278" t="s">
        <v>2297</v>
      </c>
      <c r="F12" s="278" t="s">
        <v>543</v>
      </c>
      <c r="G12" s="278" t="s">
        <v>11</v>
      </c>
      <c r="H12" s="309">
        <f t="shared" si="4"/>
        <v>0.49500000000000005</v>
      </c>
      <c r="I12" s="280">
        <f t="shared" si="2"/>
        <v>37.530900000000003</v>
      </c>
      <c r="J12" s="281">
        <f t="shared" si="5"/>
        <v>42.594750000000005</v>
      </c>
      <c r="K12" s="282">
        <f>IF(Notes!$B$9="Domestic",I12, IF(Notes!$B$9="Commercial",J12))*$K$5</f>
        <v>42.594750000000005</v>
      </c>
      <c r="L12" s="283">
        <f>(SUM(O12:Q12)+(K12+SUM(M12:Q12))*(INDEX($U$5:$AB$5,MATCH(Notes!$C$16,$U$3:$AB$3,0))-100%))*$L$5</f>
        <v>2.988</v>
      </c>
      <c r="M12" s="286"/>
      <c r="N12" s="286"/>
      <c r="O12" s="311">
        <f t="shared" si="6"/>
        <v>2.988</v>
      </c>
      <c r="P12" s="285"/>
      <c r="Q12" s="285"/>
      <c r="R12" s="329"/>
      <c r="S12" s="278"/>
      <c r="T12" s="278"/>
    </row>
    <row r="13" spans="1:28" s="305" customFormat="1" hidden="1" outlineLevel="1" x14ac:dyDescent="0.25">
      <c r="A13" s="278"/>
      <c r="B13" s="279" t="str">
        <f t="shared" si="3"/>
        <v>spray-on1 coatnewaverage</v>
      </c>
      <c r="C13" s="278" t="s">
        <v>2296</v>
      </c>
      <c r="D13" s="278" t="s">
        <v>2293</v>
      </c>
      <c r="E13" s="278" t="s">
        <v>2297</v>
      </c>
      <c r="F13" s="278" t="s">
        <v>543</v>
      </c>
      <c r="G13" s="278" t="s">
        <v>11</v>
      </c>
      <c r="H13" s="309">
        <f t="shared" si="4"/>
        <v>0.49500000000000005</v>
      </c>
      <c r="I13" s="280">
        <f t="shared" si="2"/>
        <v>37.530900000000003</v>
      </c>
      <c r="J13" s="281">
        <f t="shared" si="5"/>
        <v>42.594750000000005</v>
      </c>
      <c r="K13" s="282">
        <f>IF(Notes!$B$9="Domestic",I13, IF(Notes!$B$9="Commercial",J13))*$K$5</f>
        <v>42.594750000000005</v>
      </c>
      <c r="L13" s="283">
        <f>(SUM(O13:Q13)+(K13+SUM(M13:Q13))*(INDEX($U$5:$AB$5,MATCH(Notes!$C$16,$U$3:$AB$3,0))-100%))*$L$5</f>
        <v>2.988</v>
      </c>
      <c r="M13" s="286"/>
      <c r="N13" s="286"/>
      <c r="O13" s="311">
        <f t="shared" si="6"/>
        <v>2.988</v>
      </c>
      <c r="P13" s="285"/>
      <c r="Q13" s="285"/>
      <c r="R13" s="329"/>
      <c r="S13" s="278"/>
      <c r="T13" s="278"/>
    </row>
    <row r="14" spans="1:28" s="305" customFormat="1" hidden="1" outlineLevel="1" x14ac:dyDescent="0.25">
      <c r="A14" s="278"/>
      <c r="B14" s="279" t="str">
        <f t="shared" si="3"/>
        <v>spray-on2 coatsnewaverage</v>
      </c>
      <c r="C14" s="278" t="s">
        <v>2296</v>
      </c>
      <c r="D14" s="278" t="s">
        <v>2301</v>
      </c>
      <c r="E14" s="278" t="s">
        <v>2297</v>
      </c>
      <c r="F14" s="278" t="s">
        <v>543</v>
      </c>
      <c r="G14" s="278" t="s">
        <v>11</v>
      </c>
      <c r="H14" s="309">
        <f t="shared" si="4"/>
        <v>0.76500000000000001</v>
      </c>
      <c r="I14" s="280">
        <f t="shared" si="2"/>
        <v>58.002299999999998</v>
      </c>
      <c r="J14" s="281">
        <f t="shared" si="5"/>
        <v>65.828249999999997</v>
      </c>
      <c r="K14" s="282">
        <f>IF(Notes!$B$9="Domestic",I14, IF(Notes!$B$9="Commercial",J14))*$K$5</f>
        <v>65.828249999999997</v>
      </c>
      <c r="L14" s="283">
        <f>(SUM(O14:Q14)+(K14+SUM(M14:Q14))*(INDEX($U$5:$AB$5,MATCH(Notes!$C$16,$U$3:$AB$3,0))-100%))*$L$5</f>
        <v>4.3740000000000006</v>
      </c>
      <c r="M14" s="286"/>
      <c r="N14" s="286"/>
      <c r="O14" s="311">
        <f t="shared" si="6"/>
        <v>4.3740000000000006</v>
      </c>
      <c r="P14" s="285"/>
      <c r="Q14" s="285"/>
      <c r="R14" s="329"/>
      <c r="S14" s="278"/>
      <c r="T14" s="278"/>
    </row>
    <row r="15" spans="1:28" s="305" customFormat="1" ht="14.45" hidden="1" customHeight="1" outlineLevel="1" x14ac:dyDescent="0.25">
      <c r="A15" s="278"/>
      <c r="B15" s="279" t="str">
        <f>C15&amp;D15&amp;E15&amp;F15</f>
        <v>trowel-onskim coatnewquality</v>
      </c>
      <c r="C15" s="278" t="s">
        <v>2294</v>
      </c>
      <c r="D15" s="278" t="s">
        <v>2292</v>
      </c>
      <c r="E15" s="278" t="s">
        <v>2297</v>
      </c>
      <c r="F15" s="278" t="s">
        <v>544</v>
      </c>
      <c r="G15" s="278" t="s">
        <v>11</v>
      </c>
      <c r="H15" s="290">
        <v>0.46</v>
      </c>
      <c r="I15" s="280">
        <f t="shared" ref="I15:I32" si="7">$I$2*H15</f>
        <v>34.877199999999995</v>
      </c>
      <c r="J15" s="281">
        <f>$J$2*H15</f>
        <v>39.582999999999998</v>
      </c>
      <c r="K15" s="282">
        <f>IF(Notes!$B$9="Domestic",I15, IF(Notes!$B$9="Commercial",J15))*$K$5</f>
        <v>39.582999999999998</v>
      </c>
      <c r="L15" s="283">
        <f>(SUM(O15:Q15)+(K15+SUM(M15:Q15))*(INDEX($U$5:$AB$5,MATCH(Notes!$C$16,$U$3:$AB$3,0))-100%))*$L$5</f>
        <v>3.41</v>
      </c>
      <c r="M15" s="286"/>
      <c r="N15" s="286"/>
      <c r="O15" s="285">
        <v>3.41</v>
      </c>
      <c r="P15" s="285"/>
      <c r="Q15" s="285"/>
      <c r="R15" s="329"/>
      <c r="S15" s="278"/>
      <c r="T15" s="278"/>
      <c r="U15" s="304"/>
    </row>
    <row r="16" spans="1:28" s="305" customFormat="1" ht="14.45" hidden="1" customHeight="1" outlineLevel="1" x14ac:dyDescent="0.25">
      <c r="A16" s="278"/>
      <c r="B16" s="279" t="str">
        <f t="shared" ref="B16:B23" si="8">C16&amp;D16&amp;E16&amp;F16</f>
        <v>trowel-on1 coatnewquality</v>
      </c>
      <c r="C16" s="278" t="s">
        <v>2294</v>
      </c>
      <c r="D16" s="278" t="s">
        <v>2293</v>
      </c>
      <c r="E16" s="278" t="s">
        <v>2297</v>
      </c>
      <c r="F16" s="278" t="s">
        <v>544</v>
      </c>
      <c r="G16" s="278" t="s">
        <v>11</v>
      </c>
      <c r="H16" s="290">
        <v>0.67</v>
      </c>
      <c r="I16" s="280">
        <f t="shared" si="7"/>
        <v>50.799399999999999</v>
      </c>
      <c r="J16" s="281">
        <f t="shared" ref="J16:J23" si="9">$J$2*H16</f>
        <v>57.653500000000001</v>
      </c>
      <c r="K16" s="282">
        <f>IF(Notes!$B$9="Domestic",I16, IF(Notes!$B$9="Commercial",J16))*$K$5</f>
        <v>57.653500000000001</v>
      </c>
      <c r="L16" s="283">
        <f>(SUM(O16:Q16)+(K16+SUM(M16:Q16))*(INDEX($U$5:$AB$5,MATCH(Notes!$C$16,$U$3:$AB$3,0))-100%))*$L$5</f>
        <v>4.43</v>
      </c>
      <c r="M16" s="286"/>
      <c r="N16" s="286"/>
      <c r="O16" s="285">
        <v>4.43</v>
      </c>
      <c r="P16" s="285"/>
      <c r="Q16" s="285"/>
      <c r="R16" s="329"/>
      <c r="S16" s="278"/>
      <c r="T16" s="278"/>
      <c r="U16" s="304"/>
    </row>
    <row r="17" spans="1:21" s="305" customFormat="1" ht="14.45" hidden="1" customHeight="1" outlineLevel="1" x14ac:dyDescent="0.25">
      <c r="A17" s="278"/>
      <c r="B17" s="279" t="str">
        <f t="shared" si="8"/>
        <v>trowel-on2 coatsnewquality</v>
      </c>
      <c r="C17" s="278" t="s">
        <v>2294</v>
      </c>
      <c r="D17" s="278" t="s">
        <v>2301</v>
      </c>
      <c r="E17" s="278" t="s">
        <v>2297</v>
      </c>
      <c r="F17" s="278" t="s">
        <v>544</v>
      </c>
      <c r="G17" s="278" t="s">
        <v>11</v>
      </c>
      <c r="H17" s="290">
        <v>0.92</v>
      </c>
      <c r="I17" s="280">
        <f t="shared" si="7"/>
        <v>69.75439999999999</v>
      </c>
      <c r="J17" s="281">
        <f t="shared" si="9"/>
        <v>79.165999999999997</v>
      </c>
      <c r="K17" s="282">
        <f>IF(Notes!$B$9="Domestic",I17, IF(Notes!$B$9="Commercial",J17))*$K$5</f>
        <v>79.165999999999997</v>
      </c>
      <c r="L17" s="283">
        <f>(SUM(O17:Q17)+(K17+SUM(M17:Q17))*(INDEX($U$5:$AB$5,MATCH(Notes!$C$16,$U$3:$AB$3,0))-100%))*$L$5</f>
        <v>6.48</v>
      </c>
      <c r="M17" s="286"/>
      <c r="N17" s="286"/>
      <c r="O17" s="285">
        <v>6.48</v>
      </c>
      <c r="P17" s="285"/>
      <c r="Q17" s="285"/>
      <c r="R17" s="329"/>
      <c r="S17" s="278"/>
      <c r="T17" s="278"/>
      <c r="U17" s="304"/>
    </row>
    <row r="18" spans="1:21" s="305" customFormat="1" ht="14.45" hidden="1" customHeight="1" outlineLevel="1" x14ac:dyDescent="0.25">
      <c r="A18" s="278"/>
      <c r="B18" s="279" t="str">
        <f t="shared" si="8"/>
        <v>roll-onskim coatnewquality</v>
      </c>
      <c r="C18" s="278" t="s">
        <v>2295</v>
      </c>
      <c r="D18" s="278" t="s">
        <v>2292</v>
      </c>
      <c r="E18" s="278" t="s">
        <v>2297</v>
      </c>
      <c r="F18" s="278" t="s">
        <v>544</v>
      </c>
      <c r="G18" s="278" t="s">
        <v>11</v>
      </c>
      <c r="H18" s="290">
        <v>0.28999999999999998</v>
      </c>
      <c r="I18" s="280">
        <f t="shared" si="7"/>
        <v>21.987799999999996</v>
      </c>
      <c r="J18" s="281">
        <f t="shared" si="9"/>
        <v>24.954499999999996</v>
      </c>
      <c r="K18" s="282">
        <f>IF(Notes!$B$9="Domestic",I18, IF(Notes!$B$9="Commercial",J18))*$K$5</f>
        <v>24.954499999999996</v>
      </c>
      <c r="L18" s="283">
        <f>(SUM(O18:Q18)+(K18+SUM(M18:Q18))*(INDEX($U$5:$AB$5,MATCH(Notes!$C$16,$U$3:$AB$3,0))-100%))*$L$5</f>
        <v>3.32</v>
      </c>
      <c r="M18" s="286"/>
      <c r="N18" s="286"/>
      <c r="O18" s="285">
        <v>3.32</v>
      </c>
      <c r="P18" s="285"/>
      <c r="Q18" s="285"/>
      <c r="R18" s="329"/>
      <c r="S18" s="278"/>
      <c r="T18" s="278"/>
    </row>
    <row r="19" spans="1:21" s="305" customFormat="1" ht="14.45" hidden="1" customHeight="1" outlineLevel="1" x14ac:dyDescent="0.25">
      <c r="A19" s="278"/>
      <c r="B19" s="279" t="str">
        <f t="shared" si="8"/>
        <v>roll-on1 coatnewquality</v>
      </c>
      <c r="C19" s="278" t="s">
        <v>2295</v>
      </c>
      <c r="D19" s="278" t="s">
        <v>2293</v>
      </c>
      <c r="E19" s="278" t="s">
        <v>2297</v>
      </c>
      <c r="F19" s="278" t="s">
        <v>544</v>
      </c>
      <c r="G19" s="278" t="s">
        <v>11</v>
      </c>
      <c r="H19" s="290">
        <v>0.28999999999999998</v>
      </c>
      <c r="I19" s="280">
        <f t="shared" si="7"/>
        <v>21.987799999999996</v>
      </c>
      <c r="J19" s="281">
        <f t="shared" si="9"/>
        <v>24.954499999999996</v>
      </c>
      <c r="K19" s="282">
        <f>IF(Notes!$B$9="Domestic",I19, IF(Notes!$B$9="Commercial",J19))*$K$5</f>
        <v>24.954499999999996</v>
      </c>
      <c r="L19" s="283">
        <f>(SUM(O19:Q19)+(K19+SUM(M19:Q19))*(INDEX($U$5:$AB$5,MATCH(Notes!$C$16,$U$3:$AB$3,0))-100%))*$L$5</f>
        <v>3.32</v>
      </c>
      <c r="M19" s="286"/>
      <c r="N19" s="286"/>
      <c r="O19" s="285">
        <v>3.32</v>
      </c>
      <c r="P19" s="285"/>
      <c r="Q19" s="285"/>
      <c r="R19" s="329"/>
      <c r="S19" s="278"/>
      <c r="T19" s="278"/>
    </row>
    <row r="20" spans="1:21" s="305" customFormat="1" hidden="1" outlineLevel="1" x14ac:dyDescent="0.25">
      <c r="A20" s="278"/>
      <c r="B20" s="279" t="str">
        <f t="shared" si="8"/>
        <v>roll-on2 coatsnewquality</v>
      </c>
      <c r="C20" s="278" t="s">
        <v>2295</v>
      </c>
      <c r="D20" s="278" t="s">
        <v>2301</v>
      </c>
      <c r="E20" s="278" t="s">
        <v>2297</v>
      </c>
      <c r="F20" s="278" t="s">
        <v>544</v>
      </c>
      <c r="G20" s="278" t="s">
        <v>11</v>
      </c>
      <c r="H20" s="383">
        <v>0.51</v>
      </c>
      <c r="I20" s="280">
        <f t="shared" si="7"/>
        <v>38.668199999999999</v>
      </c>
      <c r="J20" s="281">
        <f t="shared" si="9"/>
        <v>43.8855</v>
      </c>
      <c r="K20" s="282">
        <f>IF(Notes!$B$9="Domestic",I20, IF(Notes!$B$9="Commercial",J20))*$K$5</f>
        <v>43.8855</v>
      </c>
      <c r="L20" s="283">
        <f>(SUM(O20:Q20)+(K20+SUM(M20:Q20))*(INDEX($U$5:$AB$5,MATCH(Notes!$C$16,$U$3:$AB$3,0))-100%))*$L$5</f>
        <v>4.8600000000000003</v>
      </c>
      <c r="M20" s="286"/>
      <c r="N20" s="286"/>
      <c r="O20" s="285">
        <v>4.8600000000000003</v>
      </c>
      <c r="P20" s="285"/>
      <c r="Q20" s="285"/>
      <c r="R20" s="329"/>
      <c r="S20" s="278"/>
      <c r="T20" s="278"/>
    </row>
    <row r="21" spans="1:21" s="305" customFormat="1" hidden="1" outlineLevel="1" x14ac:dyDescent="0.25">
      <c r="A21" s="278"/>
      <c r="B21" s="279" t="str">
        <f t="shared" si="8"/>
        <v>spray-onskim coatnewquality</v>
      </c>
      <c r="C21" s="278" t="s">
        <v>2296</v>
      </c>
      <c r="D21" s="278" t="s">
        <v>2292</v>
      </c>
      <c r="E21" s="278" t="s">
        <v>2297</v>
      </c>
      <c r="F21" s="278" t="s">
        <v>544</v>
      </c>
      <c r="G21" s="278" t="s">
        <v>11</v>
      </c>
      <c r="H21" s="290">
        <v>0.55000000000000004</v>
      </c>
      <c r="I21" s="280">
        <f t="shared" si="7"/>
        <v>41.701000000000001</v>
      </c>
      <c r="J21" s="281">
        <f t="shared" si="9"/>
        <v>47.327500000000001</v>
      </c>
      <c r="K21" s="282">
        <f>IF(Notes!$B$9="Domestic",I21, IF(Notes!$B$9="Commercial",J21))*$K$5</f>
        <v>47.327500000000001</v>
      </c>
      <c r="L21" s="283">
        <f>(SUM(O21:Q21)+(K21+SUM(M21:Q21))*(INDEX($U$5:$AB$5,MATCH(Notes!$C$16,$U$3:$AB$3,0))-100%))*$L$5</f>
        <v>3.32</v>
      </c>
      <c r="M21" s="286"/>
      <c r="N21" s="286"/>
      <c r="O21" s="285">
        <v>3.32</v>
      </c>
      <c r="P21" s="285"/>
      <c r="Q21" s="285"/>
      <c r="R21" s="329"/>
      <c r="S21" s="278"/>
      <c r="T21" s="278"/>
    </row>
    <row r="22" spans="1:21" s="305" customFormat="1" hidden="1" outlineLevel="1" x14ac:dyDescent="0.25">
      <c r="A22" s="278"/>
      <c r="B22" s="279" t="str">
        <f t="shared" si="8"/>
        <v>spray-on1 coatnewquality</v>
      </c>
      <c r="C22" s="278" t="s">
        <v>2296</v>
      </c>
      <c r="D22" s="278" t="s">
        <v>2293</v>
      </c>
      <c r="E22" s="278" t="s">
        <v>2297</v>
      </c>
      <c r="F22" s="278" t="s">
        <v>544</v>
      </c>
      <c r="G22" s="278" t="s">
        <v>11</v>
      </c>
      <c r="H22" s="290">
        <v>0.55000000000000004</v>
      </c>
      <c r="I22" s="280">
        <f t="shared" si="7"/>
        <v>41.701000000000001</v>
      </c>
      <c r="J22" s="281">
        <f t="shared" si="9"/>
        <v>47.327500000000001</v>
      </c>
      <c r="K22" s="282">
        <f>IF(Notes!$B$9="Domestic",I22, IF(Notes!$B$9="Commercial",J22))*$K$5</f>
        <v>47.327500000000001</v>
      </c>
      <c r="L22" s="283">
        <f>(SUM(O22:Q22)+(K22+SUM(M22:Q22))*(INDEX($U$5:$AB$5,MATCH(Notes!$C$16,$U$3:$AB$3,0))-100%))*$L$5</f>
        <v>3.32</v>
      </c>
      <c r="M22" s="286"/>
      <c r="N22" s="286"/>
      <c r="O22" s="285">
        <v>3.32</v>
      </c>
      <c r="P22" s="285"/>
      <c r="Q22" s="285"/>
      <c r="R22" s="329"/>
      <c r="S22" s="278"/>
      <c r="T22" s="278"/>
    </row>
    <row r="23" spans="1:21" s="305" customFormat="1" hidden="1" outlineLevel="1" x14ac:dyDescent="0.25">
      <c r="A23" s="278"/>
      <c r="B23" s="279" t="str">
        <f t="shared" si="8"/>
        <v>spray-on2 coatsnewquality</v>
      </c>
      <c r="C23" s="278" t="s">
        <v>2296</v>
      </c>
      <c r="D23" s="278" t="s">
        <v>2301</v>
      </c>
      <c r="E23" s="278" t="s">
        <v>2297</v>
      </c>
      <c r="F23" s="278" t="s">
        <v>544</v>
      </c>
      <c r="G23" s="278" t="s">
        <v>11</v>
      </c>
      <c r="H23" s="383">
        <v>0.85</v>
      </c>
      <c r="I23" s="280">
        <f t="shared" si="7"/>
        <v>64.446999999999989</v>
      </c>
      <c r="J23" s="281">
        <f t="shared" si="9"/>
        <v>73.142499999999998</v>
      </c>
      <c r="K23" s="282">
        <f>IF(Notes!$B$9="Domestic",I23, IF(Notes!$B$9="Commercial",J23))*$K$5</f>
        <v>73.142499999999998</v>
      </c>
      <c r="L23" s="283">
        <f>(SUM(O23:Q23)+(K23+SUM(M23:Q23))*(INDEX($U$5:$AB$5,MATCH(Notes!$C$16,$U$3:$AB$3,0))-100%))*$L$5</f>
        <v>4.8600000000000003</v>
      </c>
      <c r="M23" s="286"/>
      <c r="N23" s="286"/>
      <c r="O23" s="285">
        <v>4.8600000000000003</v>
      </c>
      <c r="P23" s="285"/>
      <c r="Q23" s="285"/>
      <c r="R23" s="329"/>
      <c r="S23" s="278"/>
      <c r="T23" s="278"/>
    </row>
    <row r="24" spans="1:21" s="305" customFormat="1" ht="14.45" hidden="1" customHeight="1" outlineLevel="1" x14ac:dyDescent="0.25">
      <c r="A24" s="278"/>
      <c r="B24" s="279" t="str">
        <f>C24&amp;D24&amp;E24&amp;F24</f>
        <v>trowel-onskim coatnewprestige</v>
      </c>
      <c r="C24" s="278" t="s">
        <v>2294</v>
      </c>
      <c r="D24" s="278" t="s">
        <v>2292</v>
      </c>
      <c r="E24" s="278" t="s">
        <v>2297</v>
      </c>
      <c r="F24" s="278" t="s">
        <v>545</v>
      </c>
      <c r="G24" s="278" t="s">
        <v>11</v>
      </c>
      <c r="H24" s="309">
        <f>H15*1.2</f>
        <v>0.55200000000000005</v>
      </c>
      <c r="I24" s="280">
        <f t="shared" si="7"/>
        <v>41.852640000000001</v>
      </c>
      <c r="J24" s="281">
        <f>$J$2*H24</f>
        <v>47.499600000000001</v>
      </c>
      <c r="K24" s="282">
        <f>IF(Notes!$B$9="Domestic",I24, IF(Notes!$B$9="Commercial",J24))*$K$5</f>
        <v>47.499600000000001</v>
      </c>
      <c r="L24" s="283">
        <f>(SUM(O24:Q24)+(K24+SUM(M24:Q24))*(INDEX($U$5:$AB$5,MATCH(Notes!$C$16,$U$3:$AB$3,0))-100%))*$L$5</f>
        <v>4.0919999999999996</v>
      </c>
      <c r="M24" s="286"/>
      <c r="N24" s="286"/>
      <c r="O24" s="311">
        <f>O15*1.2</f>
        <v>4.0919999999999996</v>
      </c>
      <c r="P24" s="285"/>
      <c r="Q24" s="285"/>
      <c r="R24" s="329"/>
      <c r="S24" s="278"/>
      <c r="T24" s="278"/>
      <c r="U24" s="304"/>
    </row>
    <row r="25" spans="1:21" s="305" customFormat="1" ht="14.45" hidden="1" customHeight="1" outlineLevel="1" x14ac:dyDescent="0.25">
      <c r="A25" s="278"/>
      <c r="B25" s="279" t="str">
        <f t="shared" ref="B25:B32" si="10">C25&amp;D25&amp;E25&amp;F25</f>
        <v>trowel-on1 coatnewprestige</v>
      </c>
      <c r="C25" s="278" t="s">
        <v>2294</v>
      </c>
      <c r="D25" s="278" t="s">
        <v>2293</v>
      </c>
      <c r="E25" s="278" t="s">
        <v>2297</v>
      </c>
      <c r="F25" s="278" t="s">
        <v>545</v>
      </c>
      <c r="G25" s="278" t="s">
        <v>11</v>
      </c>
      <c r="H25" s="309">
        <f t="shared" ref="H25:H32" si="11">H16*1.2</f>
        <v>0.80400000000000005</v>
      </c>
      <c r="I25" s="280">
        <f t="shared" si="7"/>
        <v>60.95928</v>
      </c>
      <c r="J25" s="281">
        <f t="shared" ref="J25:J32" si="12">$J$2*H25</f>
        <v>69.184200000000004</v>
      </c>
      <c r="K25" s="282">
        <f>IF(Notes!$B$9="Domestic",I25, IF(Notes!$B$9="Commercial",J25))*$K$5</f>
        <v>69.184200000000004</v>
      </c>
      <c r="L25" s="283">
        <f>(SUM(O25:Q25)+(K25+SUM(M25:Q25))*(INDEX($U$5:$AB$5,MATCH(Notes!$C$16,$U$3:$AB$3,0))-100%))*$L$5</f>
        <v>5.3159999999999998</v>
      </c>
      <c r="M25" s="286"/>
      <c r="N25" s="286"/>
      <c r="O25" s="311">
        <f t="shared" ref="O25:O32" si="13">O16*1.2</f>
        <v>5.3159999999999998</v>
      </c>
      <c r="P25" s="285"/>
      <c r="Q25" s="285"/>
      <c r="R25" s="329"/>
      <c r="S25" s="278"/>
      <c r="T25" s="278"/>
      <c r="U25" s="304"/>
    </row>
    <row r="26" spans="1:21" s="305" customFormat="1" ht="14.45" hidden="1" customHeight="1" outlineLevel="1" x14ac:dyDescent="0.25">
      <c r="A26" s="278"/>
      <c r="B26" s="279" t="str">
        <f t="shared" si="10"/>
        <v>trowel-on2 coatsnewprestige</v>
      </c>
      <c r="C26" s="278" t="s">
        <v>2294</v>
      </c>
      <c r="D26" s="278" t="s">
        <v>2301</v>
      </c>
      <c r="E26" s="278" t="s">
        <v>2297</v>
      </c>
      <c r="F26" s="278" t="s">
        <v>545</v>
      </c>
      <c r="G26" s="278" t="s">
        <v>11</v>
      </c>
      <c r="H26" s="309">
        <f t="shared" si="11"/>
        <v>1.1040000000000001</v>
      </c>
      <c r="I26" s="280">
        <f t="shared" si="7"/>
        <v>83.705280000000002</v>
      </c>
      <c r="J26" s="281">
        <f t="shared" si="12"/>
        <v>94.999200000000002</v>
      </c>
      <c r="K26" s="282">
        <f>IF(Notes!$B$9="Domestic",I26, IF(Notes!$B$9="Commercial",J26))*$K$5</f>
        <v>94.999200000000002</v>
      </c>
      <c r="L26" s="283">
        <f>(SUM(O26:Q26)+(K26+SUM(M26:Q26))*(INDEX($U$5:$AB$5,MATCH(Notes!$C$16,$U$3:$AB$3,0))-100%))*$L$5</f>
        <v>7.7759999999999998</v>
      </c>
      <c r="M26" s="286"/>
      <c r="N26" s="286"/>
      <c r="O26" s="311">
        <f t="shared" si="13"/>
        <v>7.7759999999999998</v>
      </c>
      <c r="P26" s="285"/>
      <c r="Q26" s="285"/>
      <c r="R26" s="329"/>
      <c r="S26" s="278"/>
      <c r="T26" s="278"/>
      <c r="U26" s="304"/>
    </row>
    <row r="27" spans="1:21" s="305" customFormat="1" ht="14.45" hidden="1" customHeight="1" outlineLevel="1" x14ac:dyDescent="0.25">
      <c r="A27" s="278"/>
      <c r="B27" s="279" t="str">
        <f t="shared" si="10"/>
        <v>roll-onskim coatnewprestige</v>
      </c>
      <c r="C27" s="278" t="s">
        <v>2295</v>
      </c>
      <c r="D27" s="278" t="s">
        <v>2292</v>
      </c>
      <c r="E27" s="278" t="s">
        <v>2297</v>
      </c>
      <c r="F27" s="278" t="s">
        <v>545</v>
      </c>
      <c r="G27" s="278" t="s">
        <v>11</v>
      </c>
      <c r="H27" s="309">
        <f t="shared" si="11"/>
        <v>0.34799999999999998</v>
      </c>
      <c r="I27" s="280">
        <f t="shared" si="7"/>
        <v>26.385359999999995</v>
      </c>
      <c r="J27" s="281">
        <f t="shared" si="12"/>
        <v>29.945399999999996</v>
      </c>
      <c r="K27" s="282">
        <f>IF(Notes!$B$9="Domestic",I27, IF(Notes!$B$9="Commercial",J27))*$K$5</f>
        <v>29.945399999999996</v>
      </c>
      <c r="L27" s="283">
        <f>(SUM(O27:Q27)+(K27+SUM(M27:Q27))*(INDEX($U$5:$AB$5,MATCH(Notes!$C$16,$U$3:$AB$3,0))-100%))*$L$5</f>
        <v>3.9839999999999995</v>
      </c>
      <c r="M27" s="286"/>
      <c r="N27" s="286"/>
      <c r="O27" s="311">
        <f t="shared" si="13"/>
        <v>3.9839999999999995</v>
      </c>
      <c r="P27" s="285"/>
      <c r="Q27" s="285"/>
      <c r="R27" s="329"/>
      <c r="S27" s="278"/>
      <c r="T27" s="278"/>
    </row>
    <row r="28" spans="1:21" s="305" customFormat="1" ht="14.45" hidden="1" customHeight="1" outlineLevel="1" x14ac:dyDescent="0.25">
      <c r="A28" s="278"/>
      <c r="B28" s="279" t="str">
        <f t="shared" si="10"/>
        <v>roll-on1 coatnewprestige</v>
      </c>
      <c r="C28" s="278" t="s">
        <v>2295</v>
      </c>
      <c r="D28" s="278" t="s">
        <v>2293</v>
      </c>
      <c r="E28" s="278" t="s">
        <v>2297</v>
      </c>
      <c r="F28" s="278" t="s">
        <v>545</v>
      </c>
      <c r="G28" s="278" t="s">
        <v>11</v>
      </c>
      <c r="H28" s="309">
        <f t="shared" si="11"/>
        <v>0.34799999999999998</v>
      </c>
      <c r="I28" s="280">
        <f t="shared" si="7"/>
        <v>26.385359999999995</v>
      </c>
      <c r="J28" s="281">
        <f t="shared" si="12"/>
        <v>29.945399999999996</v>
      </c>
      <c r="K28" s="282">
        <f>IF(Notes!$B$9="Domestic",I28, IF(Notes!$B$9="Commercial",J28))*$K$5</f>
        <v>29.945399999999996</v>
      </c>
      <c r="L28" s="283">
        <f>(SUM(O28:Q28)+(K28+SUM(M28:Q28))*(INDEX($U$5:$AB$5,MATCH(Notes!$C$16,$U$3:$AB$3,0))-100%))*$L$5</f>
        <v>3.9839999999999995</v>
      </c>
      <c r="M28" s="286"/>
      <c r="N28" s="286"/>
      <c r="O28" s="311">
        <f t="shared" si="13"/>
        <v>3.9839999999999995</v>
      </c>
      <c r="P28" s="285"/>
      <c r="Q28" s="285"/>
      <c r="R28" s="329"/>
      <c r="S28" s="278"/>
      <c r="T28" s="278"/>
    </row>
    <row r="29" spans="1:21" s="305" customFormat="1" hidden="1" outlineLevel="1" x14ac:dyDescent="0.25">
      <c r="A29" s="278"/>
      <c r="B29" s="279" t="str">
        <f t="shared" si="10"/>
        <v>roll-on2 coatsnewprestige</v>
      </c>
      <c r="C29" s="278" t="s">
        <v>2295</v>
      </c>
      <c r="D29" s="278" t="s">
        <v>2301</v>
      </c>
      <c r="E29" s="278" t="s">
        <v>2297</v>
      </c>
      <c r="F29" s="278" t="s">
        <v>545</v>
      </c>
      <c r="G29" s="278" t="s">
        <v>11</v>
      </c>
      <c r="H29" s="309">
        <f t="shared" si="11"/>
        <v>0.61199999999999999</v>
      </c>
      <c r="I29" s="280">
        <f t="shared" si="7"/>
        <v>46.401839999999993</v>
      </c>
      <c r="J29" s="281">
        <f t="shared" si="12"/>
        <v>52.662599999999998</v>
      </c>
      <c r="K29" s="282">
        <f>IF(Notes!$B$9="Domestic",I29, IF(Notes!$B$9="Commercial",J29))*$K$5</f>
        <v>52.662599999999998</v>
      </c>
      <c r="L29" s="283">
        <f>(SUM(O29:Q29)+(K29+SUM(M29:Q29))*(INDEX($U$5:$AB$5,MATCH(Notes!$C$16,$U$3:$AB$3,0))-100%))*$L$5</f>
        <v>5.8319999999999999</v>
      </c>
      <c r="M29" s="286"/>
      <c r="N29" s="286"/>
      <c r="O29" s="311">
        <f t="shared" si="13"/>
        <v>5.8319999999999999</v>
      </c>
      <c r="P29" s="285"/>
      <c r="Q29" s="285"/>
      <c r="R29" s="329"/>
      <c r="S29" s="278"/>
      <c r="T29" s="278"/>
    </row>
    <row r="30" spans="1:21" s="305" customFormat="1" hidden="1" outlineLevel="1" x14ac:dyDescent="0.25">
      <c r="A30" s="278"/>
      <c r="B30" s="279" t="str">
        <f t="shared" si="10"/>
        <v>spray-onskim coatnewprestige</v>
      </c>
      <c r="C30" s="278" t="s">
        <v>2296</v>
      </c>
      <c r="D30" s="278" t="s">
        <v>2292</v>
      </c>
      <c r="E30" s="278" t="s">
        <v>2297</v>
      </c>
      <c r="F30" s="278" t="s">
        <v>545</v>
      </c>
      <c r="G30" s="278" t="s">
        <v>11</v>
      </c>
      <c r="H30" s="309">
        <f t="shared" si="11"/>
        <v>0.66</v>
      </c>
      <c r="I30" s="280">
        <f t="shared" si="7"/>
        <v>50.041199999999996</v>
      </c>
      <c r="J30" s="281">
        <f t="shared" si="12"/>
        <v>56.792999999999999</v>
      </c>
      <c r="K30" s="282">
        <f>IF(Notes!$B$9="Domestic",I30, IF(Notes!$B$9="Commercial",J30))*$K$5</f>
        <v>56.792999999999999</v>
      </c>
      <c r="L30" s="283">
        <f>(SUM(O30:Q30)+(K30+SUM(M30:Q30))*(INDEX($U$5:$AB$5,MATCH(Notes!$C$16,$U$3:$AB$3,0))-100%))*$L$5</f>
        <v>3.9839999999999995</v>
      </c>
      <c r="M30" s="286"/>
      <c r="N30" s="286"/>
      <c r="O30" s="311">
        <f t="shared" si="13"/>
        <v>3.9839999999999995</v>
      </c>
      <c r="P30" s="285"/>
      <c r="Q30" s="285"/>
      <c r="R30" s="329"/>
      <c r="S30" s="278"/>
      <c r="T30" s="278"/>
    </row>
    <row r="31" spans="1:21" s="305" customFormat="1" hidden="1" outlineLevel="1" x14ac:dyDescent="0.25">
      <c r="A31" s="278"/>
      <c r="B31" s="279" t="str">
        <f t="shared" si="10"/>
        <v>spray-on1 coatnewprestige</v>
      </c>
      <c r="C31" s="278" t="s">
        <v>2296</v>
      </c>
      <c r="D31" s="278" t="s">
        <v>2293</v>
      </c>
      <c r="E31" s="278" t="s">
        <v>2297</v>
      </c>
      <c r="F31" s="278" t="s">
        <v>545</v>
      </c>
      <c r="G31" s="278" t="s">
        <v>11</v>
      </c>
      <c r="H31" s="309">
        <f t="shared" si="11"/>
        <v>0.66</v>
      </c>
      <c r="I31" s="280">
        <f t="shared" si="7"/>
        <v>50.041199999999996</v>
      </c>
      <c r="J31" s="281">
        <f t="shared" si="12"/>
        <v>56.792999999999999</v>
      </c>
      <c r="K31" s="282">
        <f>IF(Notes!$B$9="Domestic",I31, IF(Notes!$B$9="Commercial",J31))*$K$5</f>
        <v>56.792999999999999</v>
      </c>
      <c r="L31" s="283">
        <f>(SUM(O31:Q31)+(K31+SUM(M31:Q31))*(INDEX($U$5:$AB$5,MATCH(Notes!$C$16,$U$3:$AB$3,0))-100%))*$L$5</f>
        <v>3.9839999999999995</v>
      </c>
      <c r="M31" s="286"/>
      <c r="N31" s="286"/>
      <c r="O31" s="311">
        <f t="shared" si="13"/>
        <v>3.9839999999999995</v>
      </c>
      <c r="P31" s="285"/>
      <c r="Q31" s="285"/>
      <c r="R31" s="329"/>
      <c r="S31" s="278"/>
      <c r="T31" s="278"/>
    </row>
    <row r="32" spans="1:21" s="305" customFormat="1" hidden="1" outlineLevel="1" x14ac:dyDescent="0.25">
      <c r="A32" s="278"/>
      <c r="B32" s="279" t="str">
        <f t="shared" si="10"/>
        <v>spray-on2 coatsnewprestige</v>
      </c>
      <c r="C32" s="278" t="s">
        <v>2296</v>
      </c>
      <c r="D32" s="278" t="s">
        <v>2301</v>
      </c>
      <c r="E32" s="278" t="s">
        <v>2297</v>
      </c>
      <c r="F32" s="278" t="s">
        <v>545</v>
      </c>
      <c r="G32" s="278" t="s">
        <v>11</v>
      </c>
      <c r="H32" s="309">
        <f t="shared" si="11"/>
        <v>1.02</v>
      </c>
      <c r="I32" s="280">
        <f t="shared" si="7"/>
        <v>77.336399999999998</v>
      </c>
      <c r="J32" s="281">
        <f t="shared" si="12"/>
        <v>87.771000000000001</v>
      </c>
      <c r="K32" s="282">
        <f>IF(Notes!$B$9="Domestic",I32, IF(Notes!$B$9="Commercial",J32))*$K$5</f>
        <v>87.771000000000001</v>
      </c>
      <c r="L32" s="283">
        <f>(SUM(O32:Q32)+(K32+SUM(M32:Q32))*(INDEX($U$5:$AB$5,MATCH(Notes!$C$16,$U$3:$AB$3,0))-100%))*$L$5</f>
        <v>5.8319999999999999</v>
      </c>
      <c r="M32" s="286"/>
      <c r="N32" s="286"/>
      <c r="O32" s="311">
        <f t="shared" si="13"/>
        <v>5.8319999999999999</v>
      </c>
      <c r="P32" s="285"/>
      <c r="Q32" s="285"/>
      <c r="R32" s="329"/>
      <c r="S32" s="278"/>
      <c r="T32" s="278"/>
    </row>
    <row r="33" spans="1:28" ht="21" hidden="1" outlineLevel="1" x14ac:dyDescent="0.25">
      <c r="A33" s="299" t="s">
        <v>2300</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row>
    <row r="34" spans="1:28" ht="15.75" hidden="1" outlineLevel="1" x14ac:dyDescent="0.25">
      <c r="A34" s="291"/>
      <c r="B34" s="291"/>
      <c r="C34" s="291"/>
      <c r="D34" s="291"/>
      <c r="E34" s="291"/>
      <c r="F34" s="291"/>
      <c r="G34" s="291"/>
      <c r="H34" s="291"/>
      <c r="I34" s="291"/>
      <c r="J34" s="291"/>
      <c r="K34" s="291">
        <f>K$2</f>
        <v>1</v>
      </c>
      <c r="L34" s="291">
        <f>L$2</f>
        <v>1</v>
      </c>
      <c r="M34" s="291"/>
      <c r="N34" s="291"/>
      <c r="O34" s="303"/>
      <c r="P34" s="303"/>
      <c r="Q34" s="303"/>
      <c r="R34" s="291"/>
      <c r="S34" s="291"/>
      <c r="T34" s="291"/>
      <c r="U34" s="291">
        <f>U$2</f>
        <v>1.1991525423728813</v>
      </c>
      <c r="V34" s="291">
        <f>V$2</f>
        <v>1</v>
      </c>
      <c r="W34" s="291">
        <f t="shared" ref="W34:AB34" si="14">W$2</f>
        <v>1.0148305084745761</v>
      </c>
      <c r="X34" s="291">
        <f t="shared" si="14"/>
        <v>0.90254237288135586</v>
      </c>
      <c r="Y34" s="291">
        <f t="shared" si="14"/>
        <v>1</v>
      </c>
      <c r="Z34" s="291">
        <f t="shared" si="14"/>
        <v>1.1652542372881356</v>
      </c>
      <c r="AA34" s="291">
        <f t="shared" si="14"/>
        <v>0.93220338983050843</v>
      </c>
      <c r="AB34" s="291">
        <f t="shared" si="14"/>
        <v>0.99576271186440668</v>
      </c>
    </row>
    <row r="35" spans="1:28" s="305" customFormat="1" ht="14.45" hidden="1" customHeight="1" outlineLevel="1" x14ac:dyDescent="0.25">
      <c r="A35" s="278"/>
      <c r="B35" s="279" t="str">
        <f>C35&amp;D35&amp;E35&amp;F35</f>
        <v>trowel-onskim coatexistingaverage</v>
      </c>
      <c r="C35" s="278" t="s">
        <v>2294</v>
      </c>
      <c r="D35" s="278" t="s">
        <v>2292</v>
      </c>
      <c r="E35" s="278" t="s">
        <v>2298</v>
      </c>
      <c r="F35" s="278" t="s">
        <v>543</v>
      </c>
      <c r="G35" s="278" t="s">
        <v>11</v>
      </c>
      <c r="H35" s="309">
        <f>H44*0.9</f>
        <v>0.49709153257715644</v>
      </c>
      <c r="I35" s="280">
        <f t="shared" ref="I35:I43" si="15">$I$2*H35</f>
        <v>37.689479999999996</v>
      </c>
      <c r="J35" s="281">
        <f>$J$2*H35</f>
        <v>42.774726378264312</v>
      </c>
      <c r="K35" s="282">
        <f>IF(Notes!$B$9="Domestic",I35, IF(Notes!$B$9="Commercial",J35))*$K$5</f>
        <v>42.774726378264312</v>
      </c>
      <c r="L35" s="283">
        <f>(SUM(O35:Q35)+(K35+SUM(M35:Q35))*(INDEX($U$5:$AB$5,MATCH(Notes!$C$16,$U$3:$AB$3,0))-100%))*$L$5</f>
        <v>4.4190000000000005</v>
      </c>
      <c r="M35" s="286"/>
      <c r="N35" s="286"/>
      <c r="O35" s="311">
        <f>O44*0.9</f>
        <v>4.4190000000000005</v>
      </c>
      <c r="P35" s="285"/>
      <c r="Q35" s="285"/>
      <c r="R35" s="329"/>
      <c r="S35" s="278"/>
      <c r="T35" s="278"/>
      <c r="U35" s="304"/>
    </row>
    <row r="36" spans="1:28" s="305" customFormat="1" ht="14.45" hidden="1" customHeight="1" outlineLevel="1" x14ac:dyDescent="0.25">
      <c r="A36" s="278"/>
      <c r="B36" s="279" t="str">
        <f t="shared" ref="B36:B43" si="16">C36&amp;D36&amp;E36&amp;F36</f>
        <v>trowel-on1 coatexistingaverage</v>
      </c>
      <c r="C36" s="278" t="s">
        <v>2294</v>
      </c>
      <c r="D36" s="278" t="s">
        <v>2293</v>
      </c>
      <c r="E36" s="278" t="s">
        <v>2298</v>
      </c>
      <c r="F36" s="278" t="s">
        <v>543</v>
      </c>
      <c r="G36" s="278" t="s">
        <v>11</v>
      </c>
      <c r="H36" s="309">
        <f t="shared" ref="H36:H43" si="17">H45*0.9</f>
        <v>0.68609153257715649</v>
      </c>
      <c r="I36" s="280">
        <f t="shared" si="15"/>
        <v>52.019460000000002</v>
      </c>
      <c r="J36" s="281">
        <f t="shared" ref="J36:J43" si="18">$J$2*H36</f>
        <v>59.038176378264318</v>
      </c>
      <c r="K36" s="282">
        <f>IF(Notes!$B$9="Domestic",I36, IF(Notes!$B$9="Commercial",J36))*$K$5</f>
        <v>59.038176378264318</v>
      </c>
      <c r="L36" s="283">
        <f>(SUM(O36:Q36)+(K36+SUM(M36:Q36))*(INDEX($U$5:$AB$5,MATCH(Notes!$C$16,$U$3:$AB$3,0))-100%))*$L$5</f>
        <v>5.3369999999999997</v>
      </c>
      <c r="M36" s="286"/>
      <c r="N36" s="286"/>
      <c r="O36" s="311">
        <f t="shared" ref="O36:O43" si="19">O45*0.9</f>
        <v>5.3369999999999997</v>
      </c>
      <c r="P36" s="285"/>
      <c r="Q36" s="285"/>
      <c r="R36" s="329"/>
      <c r="S36" s="278"/>
      <c r="T36" s="278"/>
      <c r="U36" s="304"/>
    </row>
    <row r="37" spans="1:28" s="305" customFormat="1" ht="14.45" hidden="1" customHeight="1" outlineLevel="1" x14ac:dyDescent="0.25">
      <c r="A37" s="278"/>
      <c r="B37" s="279" t="str">
        <f t="shared" si="16"/>
        <v>trowel-on2 coatsexistingaverage</v>
      </c>
      <c r="C37" s="278" t="s">
        <v>2294</v>
      </c>
      <c r="D37" s="278" t="s">
        <v>2301</v>
      </c>
      <c r="E37" s="278" t="s">
        <v>2298</v>
      </c>
      <c r="F37" s="278" t="s">
        <v>543</v>
      </c>
      <c r="G37" s="278" t="s">
        <v>11</v>
      </c>
      <c r="H37" s="309">
        <f t="shared" si="17"/>
        <v>0.91109153257715636</v>
      </c>
      <c r="I37" s="280">
        <f t="shared" si="15"/>
        <v>69.078959999999995</v>
      </c>
      <c r="J37" s="281">
        <f t="shared" si="18"/>
        <v>78.399426378264309</v>
      </c>
      <c r="K37" s="282">
        <f>IF(Notes!$B$9="Domestic",I37, IF(Notes!$B$9="Commercial",J37))*$K$5</f>
        <v>78.399426378264309</v>
      </c>
      <c r="L37" s="283">
        <f>(SUM(O37:Q37)+(K37+SUM(M37:Q37))*(INDEX($U$5:$AB$5,MATCH(Notes!$C$16,$U$3:$AB$3,0))-100%))*$L$5</f>
        <v>7.1820000000000004</v>
      </c>
      <c r="M37" s="286"/>
      <c r="N37" s="286"/>
      <c r="O37" s="311">
        <f t="shared" si="19"/>
        <v>7.1820000000000004</v>
      </c>
      <c r="P37" s="285"/>
      <c r="Q37" s="285"/>
      <c r="R37" s="329"/>
      <c r="S37" s="278"/>
      <c r="T37" s="278"/>
      <c r="U37" s="304"/>
    </row>
    <row r="38" spans="1:28" s="305" customFormat="1" ht="14.45" hidden="1" customHeight="1" outlineLevel="1" x14ac:dyDescent="0.25">
      <c r="A38" s="278"/>
      <c r="B38" s="279" t="str">
        <f t="shared" si="16"/>
        <v>roll-onskim coatexistingaverage</v>
      </c>
      <c r="C38" s="278" t="s">
        <v>2295</v>
      </c>
      <c r="D38" s="278" t="s">
        <v>2292</v>
      </c>
      <c r="E38" s="278" t="s">
        <v>2298</v>
      </c>
      <c r="F38" s="278" t="s">
        <v>543</v>
      </c>
      <c r="G38" s="278" t="s">
        <v>11</v>
      </c>
      <c r="H38" s="309">
        <f t="shared" si="17"/>
        <v>0.34409153257715641</v>
      </c>
      <c r="I38" s="280">
        <f t="shared" si="15"/>
        <v>26.089019999999998</v>
      </c>
      <c r="J38" s="281">
        <f t="shared" si="18"/>
        <v>29.609076378264309</v>
      </c>
      <c r="K38" s="282">
        <f>IF(Notes!$B$9="Domestic",I38, IF(Notes!$B$9="Commercial",J38))*$K$5</f>
        <v>29.609076378264309</v>
      </c>
      <c r="L38" s="283">
        <f>(SUM(O38:Q38)+(K38+SUM(M38:Q38))*(INDEX($U$5:$AB$5,MATCH(Notes!$C$16,$U$3:$AB$3,0))-100%))*$L$5</f>
        <v>4.3380000000000001</v>
      </c>
      <c r="M38" s="286"/>
      <c r="N38" s="286"/>
      <c r="O38" s="311">
        <f t="shared" si="19"/>
        <v>4.3380000000000001</v>
      </c>
      <c r="P38" s="285"/>
      <c r="Q38" s="285"/>
      <c r="R38" s="329"/>
      <c r="S38" s="278"/>
      <c r="T38" s="278"/>
    </row>
    <row r="39" spans="1:28" s="305" customFormat="1" ht="14.45" hidden="1" customHeight="1" outlineLevel="1" x14ac:dyDescent="0.25">
      <c r="A39" s="278"/>
      <c r="B39" s="279" t="str">
        <f t="shared" si="16"/>
        <v>roll-on1 coatexistingaverage</v>
      </c>
      <c r="C39" s="278" t="s">
        <v>2295</v>
      </c>
      <c r="D39" s="278" t="s">
        <v>2293</v>
      </c>
      <c r="E39" s="278" t="s">
        <v>2298</v>
      </c>
      <c r="F39" s="278" t="s">
        <v>543</v>
      </c>
      <c r="G39" s="278" t="s">
        <v>11</v>
      </c>
      <c r="H39" s="309">
        <f t="shared" si="17"/>
        <v>0.34409153257715641</v>
      </c>
      <c r="I39" s="280">
        <f t="shared" si="15"/>
        <v>26.089019999999998</v>
      </c>
      <c r="J39" s="281">
        <f t="shared" si="18"/>
        <v>29.609076378264309</v>
      </c>
      <c r="K39" s="282">
        <f>IF(Notes!$B$9="Domestic",I39, IF(Notes!$B$9="Commercial",J39))*$K$5</f>
        <v>29.609076378264309</v>
      </c>
      <c r="L39" s="283">
        <f>(SUM(O39:Q39)+(K39+SUM(M39:Q39))*(INDEX($U$5:$AB$5,MATCH(Notes!$C$16,$U$3:$AB$3,0))-100%))*$L$5</f>
        <v>4.3380000000000001</v>
      </c>
      <c r="M39" s="286"/>
      <c r="N39" s="286"/>
      <c r="O39" s="311">
        <f t="shared" si="19"/>
        <v>4.3380000000000001</v>
      </c>
      <c r="P39" s="285"/>
      <c r="Q39" s="285"/>
      <c r="R39" s="329"/>
      <c r="S39" s="278"/>
      <c r="T39" s="278"/>
    </row>
    <row r="40" spans="1:28" s="305" customFormat="1" hidden="1" outlineLevel="1" x14ac:dyDescent="0.25">
      <c r="A40" s="278"/>
      <c r="B40" s="279" t="str">
        <f t="shared" si="16"/>
        <v>roll-on2 coatsexistingaverage</v>
      </c>
      <c r="C40" s="278" t="s">
        <v>2295</v>
      </c>
      <c r="D40" s="278" t="s">
        <v>2301</v>
      </c>
      <c r="E40" s="278" t="s">
        <v>2298</v>
      </c>
      <c r="F40" s="278" t="s">
        <v>543</v>
      </c>
      <c r="G40" s="278" t="s">
        <v>11</v>
      </c>
      <c r="H40" s="309">
        <f t="shared" si="17"/>
        <v>0.53984153257715639</v>
      </c>
      <c r="I40" s="280">
        <f t="shared" si="15"/>
        <v>40.930784999999993</v>
      </c>
      <c r="J40" s="281">
        <f t="shared" si="18"/>
        <v>46.453363878264305</v>
      </c>
      <c r="K40" s="282">
        <f>IF(Notes!$B$9="Domestic",I40, IF(Notes!$B$9="Commercial",J40))*$K$5</f>
        <v>46.453363878264305</v>
      </c>
      <c r="L40" s="283">
        <f>(SUM(O40:Q40)+(K40+SUM(M40:Q40))*(INDEX($U$5:$AB$5,MATCH(Notes!$C$16,$U$3:$AB$3,0))-100%))*$L$5</f>
        <v>5.7240000000000002</v>
      </c>
      <c r="M40" s="286"/>
      <c r="N40" s="286"/>
      <c r="O40" s="311">
        <f t="shared" si="19"/>
        <v>5.7240000000000002</v>
      </c>
      <c r="P40" s="285"/>
      <c r="Q40" s="285"/>
      <c r="R40" s="329"/>
      <c r="S40" s="278"/>
      <c r="T40" s="278"/>
    </row>
    <row r="41" spans="1:28" s="305" customFormat="1" hidden="1" outlineLevel="1" x14ac:dyDescent="0.25">
      <c r="A41" s="278"/>
      <c r="B41" s="279" t="str">
        <f t="shared" si="16"/>
        <v>spray-onskim coatexistingaverage</v>
      </c>
      <c r="C41" s="278" t="s">
        <v>2296</v>
      </c>
      <c r="D41" s="278" t="s">
        <v>2292</v>
      </c>
      <c r="E41" s="278" t="s">
        <v>2298</v>
      </c>
      <c r="F41" s="278" t="s">
        <v>543</v>
      </c>
      <c r="G41" s="278" t="s">
        <v>11</v>
      </c>
      <c r="H41" s="309">
        <f t="shared" si="17"/>
        <v>0.57809153257715651</v>
      </c>
      <c r="I41" s="280">
        <f t="shared" si="15"/>
        <v>43.8309</v>
      </c>
      <c r="J41" s="281">
        <f t="shared" si="18"/>
        <v>49.744776378264319</v>
      </c>
      <c r="K41" s="282">
        <f>IF(Notes!$B$9="Domestic",I41, IF(Notes!$B$9="Commercial",J41))*$K$5</f>
        <v>49.744776378264319</v>
      </c>
      <c r="L41" s="283">
        <f>(SUM(O41:Q41)+(K41+SUM(M41:Q41))*(INDEX($U$5:$AB$5,MATCH(Notes!$C$16,$U$3:$AB$3,0))-100%))*$L$5</f>
        <v>4.3380000000000001</v>
      </c>
      <c r="M41" s="286"/>
      <c r="N41" s="286"/>
      <c r="O41" s="311">
        <f t="shared" si="19"/>
        <v>4.3380000000000001</v>
      </c>
      <c r="P41" s="285"/>
      <c r="Q41" s="285"/>
      <c r="R41" s="329"/>
      <c r="S41" s="278"/>
      <c r="T41" s="278"/>
    </row>
    <row r="42" spans="1:28" s="305" customFormat="1" hidden="1" outlineLevel="1" x14ac:dyDescent="0.25">
      <c r="A42" s="278"/>
      <c r="B42" s="279" t="str">
        <f t="shared" si="16"/>
        <v>spray-on1 coatexistingaverage</v>
      </c>
      <c r="C42" s="278" t="s">
        <v>2296</v>
      </c>
      <c r="D42" s="278" t="s">
        <v>2293</v>
      </c>
      <c r="E42" s="278" t="s">
        <v>2298</v>
      </c>
      <c r="F42" s="278" t="s">
        <v>543</v>
      </c>
      <c r="G42" s="278" t="s">
        <v>11</v>
      </c>
      <c r="H42" s="309">
        <f t="shared" si="17"/>
        <v>0.57809153257715651</v>
      </c>
      <c r="I42" s="280">
        <f t="shared" si="15"/>
        <v>43.8309</v>
      </c>
      <c r="J42" s="281">
        <f t="shared" si="18"/>
        <v>49.744776378264319</v>
      </c>
      <c r="K42" s="282">
        <f>IF(Notes!$B$9="Domestic",I42, IF(Notes!$B$9="Commercial",J42))*$K$5</f>
        <v>49.744776378264319</v>
      </c>
      <c r="L42" s="283">
        <f>(SUM(O42:Q42)+(K42+SUM(M42:Q42))*(INDEX($U$5:$AB$5,MATCH(Notes!$C$16,$U$3:$AB$3,0))-100%))*$L$5</f>
        <v>4.3380000000000001</v>
      </c>
      <c r="M42" s="286"/>
      <c r="N42" s="286"/>
      <c r="O42" s="311">
        <f t="shared" si="19"/>
        <v>4.3380000000000001</v>
      </c>
      <c r="P42" s="285"/>
      <c r="Q42" s="285"/>
      <c r="R42" s="329"/>
      <c r="S42" s="278"/>
      <c r="T42" s="278"/>
    </row>
    <row r="43" spans="1:28" s="305" customFormat="1" hidden="1" outlineLevel="1" x14ac:dyDescent="0.25">
      <c r="A43" s="278"/>
      <c r="B43" s="279" t="str">
        <f t="shared" si="16"/>
        <v>spray-on2 coatsexistingaverage</v>
      </c>
      <c r="C43" s="278" t="s">
        <v>2296</v>
      </c>
      <c r="D43" s="278" t="s">
        <v>2301</v>
      </c>
      <c r="E43" s="278" t="s">
        <v>2298</v>
      </c>
      <c r="F43" s="278" t="s">
        <v>543</v>
      </c>
      <c r="G43" s="278" t="s">
        <v>11</v>
      </c>
      <c r="H43" s="309">
        <f t="shared" si="17"/>
        <v>0.8480915325771563</v>
      </c>
      <c r="I43" s="280">
        <f t="shared" si="15"/>
        <v>64.302299999999988</v>
      </c>
      <c r="J43" s="281">
        <f t="shared" si="18"/>
        <v>72.978276378264297</v>
      </c>
      <c r="K43" s="282">
        <f>IF(Notes!$B$9="Domestic",I43, IF(Notes!$B$9="Commercial",J43))*$K$5</f>
        <v>72.978276378264297</v>
      </c>
      <c r="L43" s="283">
        <f>(SUM(O43:Q43)+(K43+SUM(M43:Q43))*(INDEX($U$5:$AB$5,MATCH(Notes!$C$16,$U$3:$AB$3,0))-100%))*$L$5</f>
        <v>5.7240000000000002</v>
      </c>
      <c r="M43" s="286"/>
      <c r="N43" s="286"/>
      <c r="O43" s="311">
        <f t="shared" si="19"/>
        <v>5.7240000000000002</v>
      </c>
      <c r="P43" s="285"/>
      <c r="Q43" s="285"/>
      <c r="R43" s="329"/>
      <c r="S43" s="278"/>
      <c r="T43" s="278"/>
    </row>
    <row r="44" spans="1:28" s="305" customFormat="1" ht="14.45" hidden="1" customHeight="1" outlineLevel="1" x14ac:dyDescent="0.25">
      <c r="A44" s="278"/>
      <c r="B44" s="279" t="str">
        <f>C44&amp;D44&amp;E44&amp;F44</f>
        <v>trowel-onskim coatexistingquality</v>
      </c>
      <c r="C44" s="278" t="s">
        <v>2294</v>
      </c>
      <c r="D44" s="278" t="s">
        <v>2292</v>
      </c>
      <c r="E44" s="278" t="s">
        <v>2298</v>
      </c>
      <c r="F44" s="278" t="s">
        <v>544</v>
      </c>
      <c r="G44" s="278" t="s">
        <v>11</v>
      </c>
      <c r="H44" s="310">
        <v>0.55232392508572936</v>
      </c>
      <c r="I44" s="280">
        <f>$I$2*H44</f>
        <v>41.877199999999995</v>
      </c>
      <c r="J44" s="281">
        <f>$J$2*H44</f>
        <v>47.527473753627007</v>
      </c>
      <c r="K44" s="282">
        <f>IF(Notes!$B$9="Domestic",I44, IF(Notes!$B$9="Commercial",J44))*$K$34</f>
        <v>47.527473753627007</v>
      </c>
      <c r="L44" s="283">
        <f>(SUM(O44:Q44)+(K44+SUM(M44:Q44))*(INDEX($U$34:$AB$34,MATCH(Notes!$C$16,$U$3:$AB$3,0))-100%))*$L$34</f>
        <v>4.91</v>
      </c>
      <c r="M44" s="286"/>
      <c r="N44" s="286"/>
      <c r="O44" s="311">
        <f t="shared" ref="O44:O52" si="20">O15+1.5</f>
        <v>4.91</v>
      </c>
      <c r="P44" s="285"/>
      <c r="Q44" s="285"/>
      <c r="R44" s="278"/>
      <c r="S44" s="278"/>
      <c r="T44" s="278"/>
      <c r="U44" s="304"/>
    </row>
    <row r="45" spans="1:28" s="305" customFormat="1" ht="14.45" hidden="1" customHeight="1" outlineLevel="1" x14ac:dyDescent="0.25">
      <c r="A45" s="278"/>
      <c r="B45" s="279" t="str">
        <f t="shared" ref="B45:B52" si="21">C45&amp;D45&amp;E45&amp;F45</f>
        <v>trowel-on1 coatexistingquality</v>
      </c>
      <c r="C45" s="278" t="s">
        <v>2294</v>
      </c>
      <c r="D45" s="278" t="s">
        <v>2293</v>
      </c>
      <c r="E45" s="278" t="s">
        <v>2298</v>
      </c>
      <c r="F45" s="278" t="s">
        <v>544</v>
      </c>
      <c r="G45" s="278" t="s">
        <v>11</v>
      </c>
      <c r="H45" s="310">
        <v>0.76232392508572944</v>
      </c>
      <c r="I45" s="280">
        <f>$I$2*H45</f>
        <v>57.799399999999999</v>
      </c>
      <c r="J45" s="281">
        <f t="shared" ref="J45:J52" si="22">$J$2*H45</f>
        <v>65.597973753627016</v>
      </c>
      <c r="K45" s="282">
        <f>IF(Notes!$B$9="Domestic",I45, IF(Notes!$B$9="Commercial",J45))*$K$34</f>
        <v>65.597973753627016</v>
      </c>
      <c r="L45" s="283">
        <f>(SUM(O45:Q45)+(K45+SUM(M45:Q45))*(INDEX($U$34:$AB$34,MATCH(Notes!$C$16,$U$3:$AB$3,0))-100%))*$L$34</f>
        <v>5.93</v>
      </c>
      <c r="M45" s="286"/>
      <c r="N45" s="286"/>
      <c r="O45" s="311">
        <f t="shared" si="20"/>
        <v>5.93</v>
      </c>
      <c r="P45" s="285"/>
      <c r="Q45" s="285"/>
      <c r="R45" s="278"/>
      <c r="S45" s="278"/>
      <c r="T45" s="278"/>
      <c r="U45" s="304"/>
    </row>
    <row r="46" spans="1:28" s="305" customFormat="1" ht="14.45" hidden="1" customHeight="1" outlineLevel="1" x14ac:dyDescent="0.25">
      <c r="A46" s="278"/>
      <c r="B46" s="279" t="str">
        <f t="shared" si="21"/>
        <v>trowel-on2 coatsexistingquality</v>
      </c>
      <c r="C46" s="278" t="s">
        <v>2294</v>
      </c>
      <c r="D46" s="278" t="s">
        <v>2301</v>
      </c>
      <c r="E46" s="278" t="s">
        <v>2298</v>
      </c>
      <c r="F46" s="278" t="s">
        <v>544</v>
      </c>
      <c r="G46" s="278" t="s">
        <v>11</v>
      </c>
      <c r="H46" s="310">
        <v>1.0123239250857292</v>
      </c>
      <c r="I46" s="280">
        <f t="shared" ref="I46:I51" si="23">$I$2*H46</f>
        <v>76.754399999999976</v>
      </c>
      <c r="J46" s="281">
        <f t="shared" si="22"/>
        <v>87.110473753626991</v>
      </c>
      <c r="K46" s="282">
        <f>IF(Notes!$B$9="Domestic",I46, IF(Notes!$B$9="Commercial",J46))*$K$34</f>
        <v>87.110473753626991</v>
      </c>
      <c r="L46" s="283">
        <f>(SUM(O46:Q46)+(K46+SUM(M46:Q46))*(INDEX($U$34:$AB$34,MATCH(Notes!$C$16,$U$3:$AB$3,0))-100%))*$L$34</f>
        <v>7.98</v>
      </c>
      <c r="M46" s="286"/>
      <c r="N46" s="286"/>
      <c r="O46" s="311">
        <f t="shared" si="20"/>
        <v>7.98</v>
      </c>
      <c r="P46" s="285"/>
      <c r="Q46" s="285"/>
      <c r="R46" s="278"/>
      <c r="S46" s="278"/>
      <c r="T46" s="278"/>
      <c r="U46" s="304"/>
    </row>
    <row r="47" spans="1:28" s="305" customFormat="1" hidden="1" outlineLevel="1" x14ac:dyDescent="0.25">
      <c r="A47" s="278"/>
      <c r="B47" s="279" t="str">
        <f t="shared" si="21"/>
        <v>roll-onskim coatexistingquality</v>
      </c>
      <c r="C47" s="278" t="s">
        <v>2295</v>
      </c>
      <c r="D47" s="278" t="s">
        <v>2292</v>
      </c>
      <c r="E47" s="278" t="s">
        <v>2298</v>
      </c>
      <c r="F47" s="278" t="s">
        <v>544</v>
      </c>
      <c r="G47" s="278" t="s">
        <v>11</v>
      </c>
      <c r="H47" s="310">
        <v>0.38232392508572932</v>
      </c>
      <c r="I47" s="280">
        <f t="shared" si="23"/>
        <v>28.987799999999993</v>
      </c>
      <c r="J47" s="281">
        <f t="shared" si="22"/>
        <v>32.898973753627004</v>
      </c>
      <c r="K47" s="282">
        <f>IF(Notes!$B$9="Domestic",I47, IF(Notes!$B$9="Commercial",J47))*$K$34</f>
        <v>32.898973753627004</v>
      </c>
      <c r="L47" s="283">
        <f>(SUM(O47:Q47)+(K47+SUM(M47:Q47))*(INDEX($U$34:$AB$34,MATCH(Notes!$C$16,$U$3:$AB$3,0))-100%))*$L$34</f>
        <v>4.82</v>
      </c>
      <c r="M47" s="286"/>
      <c r="N47" s="286"/>
      <c r="O47" s="311">
        <f t="shared" si="20"/>
        <v>4.82</v>
      </c>
      <c r="P47" s="285"/>
      <c r="Q47" s="285"/>
      <c r="R47" s="278"/>
      <c r="S47" s="278"/>
      <c r="T47" s="278"/>
    </row>
    <row r="48" spans="1:28" s="305" customFormat="1" hidden="1" outlineLevel="1" x14ac:dyDescent="0.25">
      <c r="A48" s="278"/>
      <c r="B48" s="279" t="str">
        <f t="shared" si="21"/>
        <v>roll-on1 coatexistingquality</v>
      </c>
      <c r="C48" s="278" t="s">
        <v>2295</v>
      </c>
      <c r="D48" s="278" t="s">
        <v>2293</v>
      </c>
      <c r="E48" s="278" t="s">
        <v>2298</v>
      </c>
      <c r="F48" s="278" t="s">
        <v>544</v>
      </c>
      <c r="G48" s="278" t="s">
        <v>11</v>
      </c>
      <c r="H48" s="310">
        <v>0.38232392508572932</v>
      </c>
      <c r="I48" s="280">
        <f>$I$2*H48</f>
        <v>28.987799999999993</v>
      </c>
      <c r="J48" s="281">
        <f t="shared" si="22"/>
        <v>32.898973753627004</v>
      </c>
      <c r="K48" s="282">
        <f>IF(Notes!$B$9="Domestic",I48, IF(Notes!$B$9="Commercial",J48))*$K$34</f>
        <v>32.898973753627004</v>
      </c>
      <c r="L48" s="283">
        <f>(SUM(O48:Q48)+(K48+SUM(M48:Q48))*(INDEX($U$34:$AB$34,MATCH(Notes!$C$16,$U$3:$AB$3,0))-100%))*$L$34</f>
        <v>4.82</v>
      </c>
      <c r="M48" s="286"/>
      <c r="N48" s="286"/>
      <c r="O48" s="311">
        <f t="shared" si="20"/>
        <v>4.82</v>
      </c>
      <c r="P48" s="285"/>
      <c r="Q48" s="285"/>
      <c r="R48" s="278"/>
      <c r="S48" s="278"/>
      <c r="T48" s="278"/>
    </row>
    <row r="49" spans="1:28" s="305" customFormat="1" hidden="1" outlineLevel="1" x14ac:dyDescent="0.25">
      <c r="A49" s="278"/>
      <c r="B49" s="279" t="str">
        <f t="shared" si="21"/>
        <v>roll-on2 coatsexistingquality</v>
      </c>
      <c r="C49" s="278" t="s">
        <v>2295</v>
      </c>
      <c r="D49" s="278" t="s">
        <v>2301</v>
      </c>
      <c r="E49" s="278" t="s">
        <v>2298</v>
      </c>
      <c r="F49" s="278" t="s">
        <v>544</v>
      </c>
      <c r="G49" s="278" t="s">
        <v>11</v>
      </c>
      <c r="H49" s="383">
        <v>0.59982392508572935</v>
      </c>
      <c r="I49" s="280">
        <f t="shared" si="23"/>
        <v>45.478649999999995</v>
      </c>
      <c r="J49" s="281">
        <f t="shared" si="22"/>
        <v>51.614848753627008</v>
      </c>
      <c r="K49" s="282">
        <f>IF(Notes!$B$9="Domestic",I49, IF(Notes!$B$9="Commercial",J49))*$K$34</f>
        <v>51.614848753627008</v>
      </c>
      <c r="L49" s="283">
        <f>(SUM(O49:Q49)+(K49+SUM(M49:Q49))*(INDEX($U$34:$AB$34,MATCH(Notes!$C$16,$U$3:$AB$3,0))-100%))*$L$34</f>
        <v>6.36</v>
      </c>
      <c r="M49" s="286"/>
      <c r="N49" s="286"/>
      <c r="O49" s="311">
        <f t="shared" si="20"/>
        <v>6.36</v>
      </c>
      <c r="P49" s="285"/>
      <c r="Q49" s="285"/>
      <c r="R49" s="278"/>
      <c r="S49" s="278"/>
      <c r="T49" s="278"/>
    </row>
    <row r="50" spans="1:28" s="305" customFormat="1" hidden="1" outlineLevel="1" x14ac:dyDescent="0.25">
      <c r="A50" s="278"/>
      <c r="B50" s="279" t="str">
        <f t="shared" si="21"/>
        <v>spray-onskim coatexistingquality</v>
      </c>
      <c r="C50" s="278" t="s">
        <v>2296</v>
      </c>
      <c r="D50" s="278" t="s">
        <v>2292</v>
      </c>
      <c r="E50" s="278" t="s">
        <v>2298</v>
      </c>
      <c r="F50" s="278" t="s">
        <v>544</v>
      </c>
      <c r="G50" s="278" t="s">
        <v>11</v>
      </c>
      <c r="H50" s="310">
        <v>0.64232392508572944</v>
      </c>
      <c r="I50" s="280">
        <f t="shared" si="23"/>
        <v>48.701000000000001</v>
      </c>
      <c r="J50" s="281">
        <f t="shared" si="22"/>
        <v>55.271973753627016</v>
      </c>
      <c r="K50" s="282">
        <f>IF(Notes!$B$9="Domestic",I50, IF(Notes!$B$9="Commercial",J50))*$K$34</f>
        <v>55.271973753627016</v>
      </c>
      <c r="L50" s="283">
        <f>(SUM(O50:Q50)+(K50+SUM(M50:Q50))*(INDEX($U$34:$AB$34,MATCH(Notes!$C$16,$U$3:$AB$3,0))-100%))*$L$34</f>
        <v>4.82</v>
      </c>
      <c r="M50" s="286"/>
      <c r="N50" s="286"/>
      <c r="O50" s="311">
        <f t="shared" si="20"/>
        <v>4.82</v>
      </c>
      <c r="P50" s="285"/>
      <c r="Q50" s="285"/>
      <c r="R50" s="278"/>
      <c r="S50" s="278"/>
      <c r="T50" s="278"/>
    </row>
    <row r="51" spans="1:28" s="305" customFormat="1" hidden="1" outlineLevel="1" x14ac:dyDescent="0.25">
      <c r="A51" s="278"/>
      <c r="B51" s="279" t="str">
        <f t="shared" si="21"/>
        <v>spray-on1 coatexistingquality</v>
      </c>
      <c r="C51" s="278" t="s">
        <v>2296</v>
      </c>
      <c r="D51" s="278" t="s">
        <v>2293</v>
      </c>
      <c r="E51" s="278" t="s">
        <v>2298</v>
      </c>
      <c r="F51" s="278" t="s">
        <v>544</v>
      </c>
      <c r="G51" s="278" t="s">
        <v>11</v>
      </c>
      <c r="H51" s="310">
        <v>0.64232392508572944</v>
      </c>
      <c r="I51" s="280">
        <f t="shared" si="23"/>
        <v>48.701000000000001</v>
      </c>
      <c r="J51" s="281">
        <f t="shared" si="22"/>
        <v>55.271973753627016</v>
      </c>
      <c r="K51" s="282">
        <f>IF(Notes!$B$9="Domestic",I51, IF(Notes!$B$9="Commercial",J51))*$K$34</f>
        <v>55.271973753627016</v>
      </c>
      <c r="L51" s="283">
        <f>(SUM(O51:Q51)+(K51+SUM(M51:Q51))*(INDEX($U$34:$AB$34,MATCH(Notes!$C$16,$U$3:$AB$3,0))-100%))*$L$34</f>
        <v>4.82</v>
      </c>
      <c r="M51" s="286"/>
      <c r="N51" s="286"/>
      <c r="O51" s="311">
        <f t="shared" si="20"/>
        <v>4.82</v>
      </c>
      <c r="P51" s="285"/>
      <c r="Q51" s="285"/>
      <c r="R51" s="278"/>
      <c r="S51" s="278"/>
      <c r="T51" s="278"/>
    </row>
    <row r="52" spans="1:28" s="305" customFormat="1" hidden="1" outlineLevel="1" x14ac:dyDescent="0.25">
      <c r="A52" s="278"/>
      <c r="B52" s="279" t="str">
        <f t="shared" si="21"/>
        <v>spray-on2 coatsexistingquality</v>
      </c>
      <c r="C52" s="278" t="s">
        <v>2296</v>
      </c>
      <c r="D52" s="278" t="s">
        <v>2301</v>
      </c>
      <c r="E52" s="278" t="s">
        <v>2298</v>
      </c>
      <c r="F52" s="278" t="s">
        <v>544</v>
      </c>
      <c r="G52" s="278" t="s">
        <v>11</v>
      </c>
      <c r="H52" s="383">
        <v>0.94232392508572926</v>
      </c>
      <c r="I52" s="280">
        <f>$I$2*H52</f>
        <v>71.446999999999989</v>
      </c>
      <c r="J52" s="281">
        <f t="shared" si="22"/>
        <v>81.086973753627007</v>
      </c>
      <c r="K52" s="282">
        <f>IF(Notes!$B$9="Domestic",I52, IF(Notes!$B$9="Commercial",J52))*$K$34</f>
        <v>81.086973753627007</v>
      </c>
      <c r="L52" s="283">
        <f>(SUM(O52:Q52)+(K52+SUM(M52:Q52))*(INDEX($U$34:$AB$34,MATCH(Notes!$C$16,$U$3:$AB$3,0))-100%))*$L$34</f>
        <v>6.36</v>
      </c>
      <c r="M52" s="286"/>
      <c r="N52" s="286"/>
      <c r="O52" s="311">
        <f t="shared" si="20"/>
        <v>6.36</v>
      </c>
      <c r="P52" s="285"/>
      <c r="Q52" s="285"/>
      <c r="R52" s="278"/>
      <c r="S52" s="278"/>
      <c r="T52" s="278"/>
    </row>
    <row r="53" spans="1:28" s="305" customFormat="1" ht="14.45" hidden="1" customHeight="1" outlineLevel="1" x14ac:dyDescent="0.25">
      <c r="A53" s="278"/>
      <c r="B53" s="279" t="str">
        <f>C53&amp;D53&amp;E53&amp;F53</f>
        <v>trowel-onskim coatexistingprestige</v>
      </c>
      <c r="C53" s="278" t="s">
        <v>2294</v>
      </c>
      <c r="D53" s="278" t="s">
        <v>2292</v>
      </c>
      <c r="E53" s="278" t="s">
        <v>2298</v>
      </c>
      <c r="F53" s="278" t="s">
        <v>545</v>
      </c>
      <c r="G53" s="278" t="s">
        <v>11</v>
      </c>
      <c r="H53" s="309">
        <f>H44*1.2</f>
        <v>0.66278871010287521</v>
      </c>
      <c r="I53" s="280">
        <f t="shared" ref="I53:I61" si="24">$I$2*H53</f>
        <v>50.252639999999992</v>
      </c>
      <c r="J53" s="281">
        <f>$J$2*H53</f>
        <v>57.032968504352411</v>
      </c>
      <c r="K53" s="282">
        <f>IF(Notes!$B$9="Domestic",I53, IF(Notes!$B$9="Commercial",J53))*$K$5</f>
        <v>57.032968504352411</v>
      </c>
      <c r="L53" s="283">
        <f>(SUM(O53:Q53)+(K53+SUM(M53:Q53))*(INDEX($U$5:$AB$5,MATCH(Notes!$C$16,$U$3:$AB$3,0))-100%))*$L$5</f>
        <v>5.8920000000000003</v>
      </c>
      <c r="M53" s="286"/>
      <c r="N53" s="286"/>
      <c r="O53" s="311">
        <f>O44*1.2</f>
        <v>5.8920000000000003</v>
      </c>
      <c r="P53" s="285"/>
      <c r="Q53" s="285"/>
      <c r="R53" s="329"/>
      <c r="S53" s="278"/>
      <c r="T53" s="278"/>
      <c r="U53" s="304"/>
    </row>
    <row r="54" spans="1:28" s="305" customFormat="1" ht="14.45" hidden="1" customHeight="1" outlineLevel="1" x14ac:dyDescent="0.25">
      <c r="A54" s="278"/>
      <c r="B54" s="279" t="str">
        <f t="shared" ref="B54:B61" si="25">C54&amp;D54&amp;E54&amp;F54</f>
        <v>trowel-on1 coatexistingprestige</v>
      </c>
      <c r="C54" s="278" t="s">
        <v>2294</v>
      </c>
      <c r="D54" s="278" t="s">
        <v>2293</v>
      </c>
      <c r="E54" s="278" t="s">
        <v>2298</v>
      </c>
      <c r="F54" s="278" t="s">
        <v>545</v>
      </c>
      <c r="G54" s="278" t="s">
        <v>11</v>
      </c>
      <c r="H54" s="309">
        <f t="shared" ref="H54:H61" si="26">H45*1.2</f>
        <v>0.91478871010287532</v>
      </c>
      <c r="I54" s="280">
        <f t="shared" si="24"/>
        <v>69.359279999999998</v>
      </c>
      <c r="J54" s="281">
        <f t="shared" ref="J54:J61" si="27">$J$2*H54</f>
        <v>78.717568504352414</v>
      </c>
      <c r="K54" s="282">
        <f>IF(Notes!$B$9="Domestic",I54, IF(Notes!$B$9="Commercial",J54))*$K$5</f>
        <v>78.717568504352414</v>
      </c>
      <c r="L54" s="283">
        <f>(SUM(O54:Q54)+(K54+SUM(M54:Q54))*(INDEX($U$5:$AB$5,MATCH(Notes!$C$16,$U$3:$AB$3,0))-100%))*$L$5</f>
        <v>7.1159999999999997</v>
      </c>
      <c r="M54" s="286"/>
      <c r="N54" s="286"/>
      <c r="O54" s="311">
        <f t="shared" ref="O54:O61" si="28">O45*1.2</f>
        <v>7.1159999999999997</v>
      </c>
      <c r="P54" s="285"/>
      <c r="Q54" s="285"/>
      <c r="R54" s="329"/>
      <c r="S54" s="278"/>
      <c r="T54" s="278"/>
      <c r="U54" s="304"/>
    </row>
    <row r="55" spans="1:28" s="305" customFormat="1" ht="14.45" hidden="1" customHeight="1" outlineLevel="1" x14ac:dyDescent="0.25">
      <c r="A55" s="278"/>
      <c r="B55" s="279" t="str">
        <f t="shared" si="25"/>
        <v>trowel-on2 coatsexistingprestige</v>
      </c>
      <c r="C55" s="278" t="s">
        <v>2294</v>
      </c>
      <c r="D55" s="278" t="s">
        <v>2301</v>
      </c>
      <c r="E55" s="278" t="s">
        <v>2298</v>
      </c>
      <c r="F55" s="278" t="s">
        <v>545</v>
      </c>
      <c r="G55" s="278" t="s">
        <v>11</v>
      </c>
      <c r="H55" s="309">
        <f t="shared" si="26"/>
        <v>1.2147887101028749</v>
      </c>
      <c r="I55" s="280">
        <f t="shared" si="24"/>
        <v>92.105279999999965</v>
      </c>
      <c r="J55" s="281">
        <f t="shared" si="27"/>
        <v>104.53256850435238</v>
      </c>
      <c r="K55" s="282">
        <f>IF(Notes!$B$9="Domestic",I55, IF(Notes!$B$9="Commercial",J55))*$K$5</f>
        <v>104.53256850435238</v>
      </c>
      <c r="L55" s="283">
        <f>(SUM(O55:Q55)+(K55+SUM(M55:Q55))*(INDEX($U$5:$AB$5,MATCH(Notes!$C$16,$U$3:$AB$3,0))-100%))*$L$5</f>
        <v>9.5760000000000005</v>
      </c>
      <c r="M55" s="286"/>
      <c r="N55" s="286"/>
      <c r="O55" s="311">
        <f t="shared" si="28"/>
        <v>9.5760000000000005</v>
      </c>
      <c r="P55" s="285"/>
      <c r="Q55" s="285"/>
      <c r="R55" s="329"/>
      <c r="S55" s="278"/>
      <c r="T55" s="278"/>
      <c r="U55" s="304"/>
    </row>
    <row r="56" spans="1:28" s="305" customFormat="1" ht="14.45" hidden="1" customHeight="1" outlineLevel="1" x14ac:dyDescent="0.25">
      <c r="A56" s="278"/>
      <c r="B56" s="279" t="str">
        <f t="shared" si="25"/>
        <v>roll-onskim coatexistingprestige</v>
      </c>
      <c r="C56" s="278" t="s">
        <v>2295</v>
      </c>
      <c r="D56" s="278" t="s">
        <v>2292</v>
      </c>
      <c r="E56" s="278" t="s">
        <v>2298</v>
      </c>
      <c r="F56" s="278" t="s">
        <v>545</v>
      </c>
      <c r="G56" s="278" t="s">
        <v>11</v>
      </c>
      <c r="H56" s="309">
        <f t="shared" si="26"/>
        <v>0.45878871010287514</v>
      </c>
      <c r="I56" s="280">
        <f t="shared" si="24"/>
        <v>34.78535999999999</v>
      </c>
      <c r="J56" s="281">
        <f t="shared" si="27"/>
        <v>39.478768504352402</v>
      </c>
      <c r="K56" s="282">
        <f>IF(Notes!$B$9="Domestic",I56, IF(Notes!$B$9="Commercial",J56))*$K$5</f>
        <v>39.478768504352402</v>
      </c>
      <c r="L56" s="283">
        <f>(SUM(O56:Q56)+(K56+SUM(M56:Q56))*(INDEX($U$5:$AB$5,MATCH(Notes!$C$16,$U$3:$AB$3,0))-100%))*$L$5</f>
        <v>5.7839999999999998</v>
      </c>
      <c r="M56" s="286"/>
      <c r="N56" s="286"/>
      <c r="O56" s="311">
        <f t="shared" si="28"/>
        <v>5.7839999999999998</v>
      </c>
      <c r="P56" s="285"/>
      <c r="Q56" s="285"/>
      <c r="R56" s="329"/>
      <c r="S56" s="278"/>
      <c r="T56" s="278"/>
    </row>
    <row r="57" spans="1:28" s="305" customFormat="1" ht="14.45" hidden="1" customHeight="1" outlineLevel="1" x14ac:dyDescent="0.25">
      <c r="A57" s="278"/>
      <c r="B57" s="279" t="str">
        <f t="shared" si="25"/>
        <v>roll-on1 coatexistingprestige</v>
      </c>
      <c r="C57" s="278" t="s">
        <v>2295</v>
      </c>
      <c r="D57" s="278" t="s">
        <v>2293</v>
      </c>
      <c r="E57" s="278" t="s">
        <v>2298</v>
      </c>
      <c r="F57" s="278" t="s">
        <v>545</v>
      </c>
      <c r="G57" s="278" t="s">
        <v>11</v>
      </c>
      <c r="H57" s="309">
        <f t="shared" si="26"/>
        <v>0.45878871010287514</v>
      </c>
      <c r="I57" s="280">
        <f t="shared" si="24"/>
        <v>34.78535999999999</v>
      </c>
      <c r="J57" s="281">
        <f t="shared" si="27"/>
        <v>39.478768504352402</v>
      </c>
      <c r="K57" s="282">
        <f>IF(Notes!$B$9="Domestic",I57, IF(Notes!$B$9="Commercial",J57))*$K$5</f>
        <v>39.478768504352402</v>
      </c>
      <c r="L57" s="283">
        <f>(SUM(O57:Q57)+(K57+SUM(M57:Q57))*(INDEX($U$5:$AB$5,MATCH(Notes!$C$16,$U$3:$AB$3,0))-100%))*$L$5</f>
        <v>5.7839999999999998</v>
      </c>
      <c r="M57" s="286"/>
      <c r="N57" s="286"/>
      <c r="O57" s="311">
        <f t="shared" si="28"/>
        <v>5.7839999999999998</v>
      </c>
      <c r="P57" s="285"/>
      <c r="Q57" s="285"/>
      <c r="R57" s="329"/>
      <c r="S57" s="278"/>
      <c r="T57" s="278"/>
    </row>
    <row r="58" spans="1:28" s="305" customFormat="1" hidden="1" outlineLevel="1" x14ac:dyDescent="0.25">
      <c r="A58" s="278"/>
      <c r="B58" s="279" t="str">
        <f t="shared" si="25"/>
        <v>roll-on2 coatsexistingprestige</v>
      </c>
      <c r="C58" s="278" t="s">
        <v>2295</v>
      </c>
      <c r="D58" s="278" t="s">
        <v>2301</v>
      </c>
      <c r="E58" s="278" t="s">
        <v>2298</v>
      </c>
      <c r="F58" s="278" t="s">
        <v>545</v>
      </c>
      <c r="G58" s="278" t="s">
        <v>11</v>
      </c>
      <c r="H58" s="309">
        <f t="shared" si="26"/>
        <v>0.71978871010287515</v>
      </c>
      <c r="I58" s="280">
        <f t="shared" si="24"/>
        <v>54.574379999999991</v>
      </c>
      <c r="J58" s="281">
        <f t="shared" si="27"/>
        <v>61.937818504352407</v>
      </c>
      <c r="K58" s="282">
        <f>IF(Notes!$B$9="Domestic",I58, IF(Notes!$B$9="Commercial",J58))*$K$5</f>
        <v>61.937818504352407</v>
      </c>
      <c r="L58" s="283">
        <f>(SUM(O58:Q58)+(K58+SUM(M58:Q58))*(INDEX($U$5:$AB$5,MATCH(Notes!$C$16,$U$3:$AB$3,0))-100%))*$L$5</f>
        <v>7.6319999999999997</v>
      </c>
      <c r="M58" s="286"/>
      <c r="N58" s="286"/>
      <c r="O58" s="311">
        <f t="shared" si="28"/>
        <v>7.6319999999999997</v>
      </c>
      <c r="P58" s="285"/>
      <c r="Q58" s="285"/>
      <c r="R58" s="329"/>
      <c r="S58" s="278"/>
      <c r="T58" s="278"/>
    </row>
    <row r="59" spans="1:28" s="305" customFormat="1" hidden="1" outlineLevel="1" x14ac:dyDescent="0.25">
      <c r="A59" s="278"/>
      <c r="B59" s="279" t="str">
        <f t="shared" si="25"/>
        <v>spray-onskim coatexistingprestige</v>
      </c>
      <c r="C59" s="278" t="s">
        <v>2296</v>
      </c>
      <c r="D59" s="278" t="s">
        <v>2292</v>
      </c>
      <c r="E59" s="278" t="s">
        <v>2298</v>
      </c>
      <c r="F59" s="278" t="s">
        <v>545</v>
      </c>
      <c r="G59" s="278" t="s">
        <v>11</v>
      </c>
      <c r="H59" s="309">
        <f t="shared" si="26"/>
        <v>0.77078871010287531</v>
      </c>
      <c r="I59" s="280">
        <f t="shared" si="24"/>
        <v>58.441200000000002</v>
      </c>
      <c r="J59" s="281">
        <f t="shared" si="27"/>
        <v>66.326368504352416</v>
      </c>
      <c r="K59" s="282">
        <f>IF(Notes!$B$9="Domestic",I59, IF(Notes!$B$9="Commercial",J59))*$K$5</f>
        <v>66.326368504352416</v>
      </c>
      <c r="L59" s="283">
        <f>(SUM(O59:Q59)+(K59+SUM(M59:Q59))*(INDEX($U$5:$AB$5,MATCH(Notes!$C$16,$U$3:$AB$3,0))-100%))*$L$5</f>
        <v>5.7839999999999998</v>
      </c>
      <c r="M59" s="286"/>
      <c r="N59" s="286"/>
      <c r="O59" s="311">
        <f t="shared" si="28"/>
        <v>5.7839999999999998</v>
      </c>
      <c r="P59" s="285"/>
      <c r="Q59" s="285"/>
      <c r="R59" s="329"/>
      <c r="S59" s="278"/>
      <c r="T59" s="278"/>
    </row>
    <row r="60" spans="1:28" s="305" customFormat="1" hidden="1" outlineLevel="1" x14ac:dyDescent="0.25">
      <c r="A60" s="278"/>
      <c r="B60" s="279" t="str">
        <f t="shared" si="25"/>
        <v>spray-on1 coatexistingprestige</v>
      </c>
      <c r="C60" s="278" t="s">
        <v>2296</v>
      </c>
      <c r="D60" s="278" t="s">
        <v>2293</v>
      </c>
      <c r="E60" s="278" t="s">
        <v>2298</v>
      </c>
      <c r="F60" s="278" t="s">
        <v>545</v>
      </c>
      <c r="G60" s="278" t="s">
        <v>11</v>
      </c>
      <c r="H60" s="309">
        <f t="shared" si="26"/>
        <v>0.77078871010287531</v>
      </c>
      <c r="I60" s="280">
        <f t="shared" si="24"/>
        <v>58.441200000000002</v>
      </c>
      <c r="J60" s="281">
        <f t="shared" si="27"/>
        <v>66.326368504352416</v>
      </c>
      <c r="K60" s="282">
        <f>IF(Notes!$B$9="Domestic",I60, IF(Notes!$B$9="Commercial",J60))*$K$5</f>
        <v>66.326368504352416</v>
      </c>
      <c r="L60" s="283">
        <f>(SUM(O60:Q60)+(K60+SUM(M60:Q60))*(INDEX($U$5:$AB$5,MATCH(Notes!$C$16,$U$3:$AB$3,0))-100%))*$L$5</f>
        <v>5.7839999999999998</v>
      </c>
      <c r="M60" s="286"/>
      <c r="N60" s="286"/>
      <c r="O60" s="311">
        <f t="shared" si="28"/>
        <v>5.7839999999999998</v>
      </c>
      <c r="P60" s="285"/>
      <c r="Q60" s="285"/>
      <c r="R60" s="329"/>
      <c r="S60" s="278"/>
      <c r="T60" s="278"/>
    </row>
    <row r="61" spans="1:28" s="305" customFormat="1" hidden="1" outlineLevel="1" x14ac:dyDescent="0.25">
      <c r="A61" s="278"/>
      <c r="B61" s="279" t="str">
        <f t="shared" si="25"/>
        <v>spray-on2 coatsexistingprestige</v>
      </c>
      <c r="C61" s="278" t="s">
        <v>2296</v>
      </c>
      <c r="D61" s="278" t="s">
        <v>2301</v>
      </c>
      <c r="E61" s="278" t="s">
        <v>2298</v>
      </c>
      <c r="F61" s="278" t="s">
        <v>545</v>
      </c>
      <c r="G61" s="278" t="s">
        <v>11</v>
      </c>
      <c r="H61" s="309">
        <f t="shared" si="26"/>
        <v>1.1307887101028751</v>
      </c>
      <c r="I61" s="280">
        <f t="shared" si="24"/>
        <v>85.736399999999975</v>
      </c>
      <c r="J61" s="281">
        <f t="shared" si="27"/>
        <v>97.304368504352396</v>
      </c>
      <c r="K61" s="282">
        <f>IF(Notes!$B$9="Domestic",I61, IF(Notes!$B$9="Commercial",J61))*$K$5</f>
        <v>97.304368504352396</v>
      </c>
      <c r="L61" s="283">
        <f>(SUM(O61:Q61)+(K61+SUM(M61:Q61))*(INDEX($U$5:$AB$5,MATCH(Notes!$C$16,$U$3:$AB$3,0))-100%))*$L$5</f>
        <v>7.6319999999999997</v>
      </c>
      <c r="M61" s="286"/>
      <c r="N61" s="286"/>
      <c r="O61" s="311">
        <f t="shared" si="28"/>
        <v>7.6319999999999997</v>
      </c>
      <c r="P61" s="285"/>
      <c r="Q61" s="285"/>
      <c r="R61" s="329"/>
      <c r="S61" s="278"/>
      <c r="T61" s="278"/>
    </row>
    <row r="62" spans="1:28" ht="21" hidden="1" outlineLevel="1" x14ac:dyDescent="0.25">
      <c r="A62" s="299"/>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row>
    <row r="63" spans="1:28" ht="15.75" hidden="1" outlineLevel="1" x14ac:dyDescent="0.25">
      <c r="A63" s="291"/>
      <c r="B63" s="291"/>
      <c r="C63" s="291"/>
      <c r="D63" s="291"/>
      <c r="E63" s="291"/>
      <c r="F63" s="291"/>
      <c r="G63" s="291"/>
      <c r="H63" s="291"/>
      <c r="I63" s="291"/>
      <c r="J63" s="291"/>
      <c r="K63" s="291">
        <f>K$2</f>
        <v>1</v>
      </c>
      <c r="L63" s="291">
        <f>L$2</f>
        <v>1</v>
      </c>
      <c r="M63" s="291"/>
      <c r="N63" s="291"/>
      <c r="O63" s="303"/>
      <c r="P63" s="303"/>
      <c r="Q63" s="303"/>
      <c r="R63" s="291"/>
      <c r="S63" s="291"/>
      <c r="T63" s="291"/>
      <c r="U63" s="291">
        <f>U$2</f>
        <v>1.1991525423728813</v>
      </c>
      <c r="V63" s="291">
        <f>V$2</f>
        <v>1</v>
      </c>
      <c r="W63" s="291">
        <f t="shared" ref="W63:AB63" si="29">W$2</f>
        <v>1.0148305084745761</v>
      </c>
      <c r="X63" s="291">
        <f t="shared" si="29"/>
        <v>0.90254237288135586</v>
      </c>
      <c r="Y63" s="291">
        <f t="shared" si="29"/>
        <v>1</v>
      </c>
      <c r="Z63" s="291">
        <f t="shared" si="29"/>
        <v>1.1652542372881356</v>
      </c>
      <c r="AA63" s="291">
        <f t="shared" si="29"/>
        <v>0.93220338983050843</v>
      </c>
      <c r="AB63" s="291">
        <f t="shared" si="29"/>
        <v>0.99576271186440668</v>
      </c>
    </row>
    <row r="64" spans="1:28" s="305" customFormat="1" ht="14.45" hidden="1" customHeight="1" outlineLevel="1" x14ac:dyDescent="0.25">
      <c r="A64" s="278"/>
      <c r="B64" s="279" t="str">
        <f>C64&amp;D64&amp;E64&amp;F64</f>
        <v/>
      </c>
      <c r="C64" s="278"/>
      <c r="D64" s="278"/>
      <c r="E64" s="278"/>
      <c r="F64" s="278"/>
      <c r="G64" s="278"/>
      <c r="H64" s="290"/>
      <c r="I64" s="280">
        <f>$I$2*H64</f>
        <v>0</v>
      </c>
      <c r="J64" s="281">
        <f>$J$2*H64</f>
        <v>0</v>
      </c>
      <c r="K64" s="282">
        <f>IF(Notes!$B$9="Domestic",I64, IF(Notes!$B$9="Commercial",J64))*$K$63</f>
        <v>0</v>
      </c>
      <c r="L64" s="283">
        <f>(SUM(O64:Q64)+(K64+SUM(M64:Q64))*(INDEX($U$63:$AB$63,MATCH(Notes!$C$16,$U$3:$AB$3,0))-100%))*$L$63</f>
        <v>0</v>
      </c>
      <c r="M64" s="286"/>
      <c r="N64" s="286"/>
      <c r="O64" s="285"/>
      <c r="P64" s="285"/>
      <c r="Q64" s="285"/>
      <c r="R64" s="278"/>
      <c r="S64" s="278"/>
      <c r="T64" s="278"/>
      <c r="U64" s="304"/>
    </row>
    <row r="65" spans="1:28" s="305" customFormat="1" ht="14.45" hidden="1" customHeight="1" outlineLevel="1" x14ac:dyDescent="0.25">
      <c r="A65" s="278"/>
      <c r="B65" s="279" t="str">
        <f t="shared" ref="B65:B73" si="30">C65&amp;D65&amp;E65&amp;F65</f>
        <v/>
      </c>
      <c r="C65" s="278"/>
      <c r="D65" s="278"/>
      <c r="E65" s="278"/>
      <c r="F65" s="278"/>
      <c r="G65" s="278"/>
      <c r="H65" s="290"/>
      <c r="I65" s="280">
        <f t="shared" ref="I65:I73" si="31">$I$2*H65</f>
        <v>0</v>
      </c>
      <c r="J65" s="281">
        <f t="shared" ref="J65:J73" si="32">$J$2*H65</f>
        <v>0</v>
      </c>
      <c r="K65" s="282">
        <f>IF(Notes!$B$9="Domestic",I65, IF(Notes!$B$9="Commercial",J65))*$K$63</f>
        <v>0</v>
      </c>
      <c r="L65" s="283">
        <f>(SUM(O65:Q65)+(K65+SUM(M65:Q65))*(INDEX($U$63:$AB$63,MATCH(Notes!$C$16,$U$3:$AB$3,0))-100%))*$L$63</f>
        <v>0</v>
      </c>
      <c r="M65" s="286"/>
      <c r="N65" s="286"/>
      <c r="O65" s="285"/>
      <c r="P65" s="285"/>
      <c r="Q65" s="285"/>
      <c r="R65" s="278"/>
      <c r="S65" s="278"/>
      <c r="T65" s="278"/>
      <c r="U65" s="304"/>
    </row>
    <row r="66" spans="1:28" s="305" customFormat="1" ht="14.45" hidden="1" customHeight="1" outlineLevel="1" x14ac:dyDescent="0.25">
      <c r="A66" s="278"/>
      <c r="B66" s="279" t="str">
        <f t="shared" si="30"/>
        <v/>
      </c>
      <c r="C66" s="278"/>
      <c r="D66" s="278"/>
      <c r="E66" s="278"/>
      <c r="F66" s="278"/>
      <c r="G66" s="278"/>
      <c r="H66" s="290"/>
      <c r="I66" s="280">
        <f>$I$2*H66</f>
        <v>0</v>
      </c>
      <c r="J66" s="281">
        <f t="shared" si="32"/>
        <v>0</v>
      </c>
      <c r="K66" s="282">
        <f>IF(Notes!$B$9="Domestic",I66, IF(Notes!$B$9="Commercial",J66))*$K$63</f>
        <v>0</v>
      </c>
      <c r="L66" s="283">
        <f>(SUM(O66:Q66)+(K66+SUM(M66:Q66))*(INDEX($U$63:$AB$63,MATCH(Notes!$C$16,$U$3:$AB$3,0))-100%))*$L$63</f>
        <v>0</v>
      </c>
      <c r="M66" s="286"/>
      <c r="N66" s="286"/>
      <c r="O66" s="285"/>
      <c r="P66" s="285"/>
      <c r="Q66" s="285"/>
      <c r="R66" s="278"/>
      <c r="S66" s="278"/>
      <c r="T66" s="278"/>
      <c r="U66" s="304"/>
    </row>
    <row r="67" spans="1:28" s="305" customFormat="1" ht="14.45" hidden="1" customHeight="1" outlineLevel="1" x14ac:dyDescent="0.25">
      <c r="A67" s="278"/>
      <c r="B67" s="279" t="str">
        <f t="shared" si="30"/>
        <v/>
      </c>
      <c r="C67" s="278"/>
      <c r="D67" s="278"/>
      <c r="E67" s="278"/>
      <c r="F67" s="278"/>
      <c r="G67" s="278"/>
      <c r="H67" s="290"/>
      <c r="I67" s="280">
        <f t="shared" si="31"/>
        <v>0</v>
      </c>
      <c r="J67" s="281">
        <f t="shared" si="32"/>
        <v>0</v>
      </c>
      <c r="K67" s="282">
        <f>IF(Notes!$B$9="Domestic",I67, IF(Notes!$B$9="Commercial",J67))*$K$63</f>
        <v>0</v>
      </c>
      <c r="L67" s="283">
        <f>(SUM(O67:Q67)+(K67+SUM(M67:Q67))*(INDEX($U$63:$AB$63,MATCH(Notes!$C$16,$U$3:$AB$3,0))-100%))*$L$63</f>
        <v>0</v>
      </c>
      <c r="M67" s="286"/>
      <c r="N67" s="286"/>
      <c r="O67" s="285"/>
      <c r="P67" s="285"/>
      <c r="Q67" s="285"/>
      <c r="R67" s="278"/>
      <c r="S67" s="278"/>
      <c r="T67" s="278"/>
    </row>
    <row r="68" spans="1:28" s="305" customFormat="1" ht="14.45" hidden="1" customHeight="1" outlineLevel="1" x14ac:dyDescent="0.25">
      <c r="A68" s="278"/>
      <c r="B68" s="279" t="str">
        <f t="shared" si="30"/>
        <v/>
      </c>
      <c r="C68" s="278"/>
      <c r="D68" s="278"/>
      <c r="E68" s="278"/>
      <c r="F68" s="278"/>
      <c r="G68" s="278"/>
      <c r="H68" s="290"/>
      <c r="I68" s="280">
        <f>$I$2*H68</f>
        <v>0</v>
      </c>
      <c r="J68" s="281">
        <f t="shared" si="32"/>
        <v>0</v>
      </c>
      <c r="K68" s="282">
        <f>IF(Notes!$B$9="Domestic",I68, IF(Notes!$B$9="Commercial",J68))*$K$63</f>
        <v>0</v>
      </c>
      <c r="L68" s="283">
        <f>(SUM(O68:Q68)+(K68+SUM(M68:Q68))*(INDEX($U$63:$AB$63,MATCH(Notes!$C$16,$U$3:$AB$3,0))-100%))*$L$63</f>
        <v>0</v>
      </c>
      <c r="M68" s="286"/>
      <c r="N68" s="286"/>
      <c r="O68" s="285"/>
      <c r="P68" s="285"/>
      <c r="Q68" s="285"/>
      <c r="R68" s="278"/>
      <c r="S68" s="278"/>
      <c r="T68" s="278"/>
    </row>
    <row r="69" spans="1:28" s="305" customFormat="1" ht="14.45" hidden="1" customHeight="1" outlineLevel="1" x14ac:dyDescent="0.25">
      <c r="A69" s="278"/>
      <c r="B69" s="279" t="str">
        <f t="shared" si="30"/>
        <v/>
      </c>
      <c r="C69" s="278"/>
      <c r="D69" s="278"/>
      <c r="E69" s="278"/>
      <c r="F69" s="278"/>
      <c r="G69" s="278"/>
      <c r="H69" s="290"/>
      <c r="I69" s="280">
        <f t="shared" si="31"/>
        <v>0</v>
      </c>
      <c r="J69" s="281">
        <f t="shared" si="32"/>
        <v>0</v>
      </c>
      <c r="K69" s="282">
        <f>IF(Notes!$B$9="Domestic",I69, IF(Notes!$B$9="Commercial",J69))*$K$63</f>
        <v>0</v>
      </c>
      <c r="L69" s="283">
        <f>(SUM(O69:Q69)+(K69+SUM(M69:Q69))*(INDEX($U$63:$AB$63,MATCH(Notes!$C$16,$U$3:$AB$3,0))-100%))*$L$63</f>
        <v>0</v>
      </c>
      <c r="M69" s="286"/>
      <c r="N69" s="286"/>
      <c r="O69" s="285"/>
      <c r="P69" s="285"/>
      <c r="Q69" s="285"/>
      <c r="R69" s="278"/>
      <c r="S69" s="278"/>
      <c r="T69" s="278"/>
    </row>
    <row r="70" spans="1:28" s="305" customFormat="1" ht="14.45" hidden="1" customHeight="1" outlineLevel="1" x14ac:dyDescent="0.25">
      <c r="A70" s="278"/>
      <c r="B70" s="279" t="str">
        <f t="shared" si="30"/>
        <v/>
      </c>
      <c r="C70" s="278"/>
      <c r="D70" s="278"/>
      <c r="E70" s="278"/>
      <c r="F70" s="278"/>
      <c r="G70" s="278"/>
      <c r="H70" s="290"/>
      <c r="I70" s="280">
        <f t="shared" si="31"/>
        <v>0</v>
      </c>
      <c r="J70" s="281">
        <f t="shared" si="32"/>
        <v>0</v>
      </c>
      <c r="K70" s="282">
        <f>IF(Notes!$B$9="Domestic",I70, IF(Notes!$B$9="Commercial",J70))*$K$63</f>
        <v>0</v>
      </c>
      <c r="L70" s="283">
        <f>(SUM(O70:Q70)+(K70+SUM(M70:Q70))*(INDEX($U$63:$AB$63,MATCH(Notes!$C$16,$U$3:$AB$3,0))-100%))*$L$63</f>
        <v>0</v>
      </c>
      <c r="M70" s="286"/>
      <c r="N70" s="286"/>
      <c r="O70" s="285"/>
      <c r="P70" s="285"/>
      <c r="Q70" s="285"/>
      <c r="R70" s="278"/>
      <c r="S70" s="278"/>
      <c r="T70" s="278"/>
    </row>
    <row r="71" spans="1:28" s="305" customFormat="1" ht="14.45" hidden="1" customHeight="1" outlineLevel="1" x14ac:dyDescent="0.25">
      <c r="A71" s="278"/>
      <c r="B71" s="279" t="str">
        <f t="shared" si="30"/>
        <v/>
      </c>
      <c r="C71" s="278"/>
      <c r="D71" s="278"/>
      <c r="E71" s="278"/>
      <c r="F71" s="278"/>
      <c r="G71" s="278"/>
      <c r="H71" s="290"/>
      <c r="I71" s="280">
        <f t="shared" si="31"/>
        <v>0</v>
      </c>
      <c r="J71" s="281">
        <f t="shared" si="32"/>
        <v>0</v>
      </c>
      <c r="K71" s="282">
        <f>IF(Notes!$B$9="Domestic",I71, IF(Notes!$B$9="Commercial",J71))*$K$63</f>
        <v>0</v>
      </c>
      <c r="L71" s="283">
        <f>(SUM(O71:Q71)+(K71+SUM(M71:Q71))*(INDEX($U$63:$AB$63,MATCH(Notes!$C$16,$U$3:$AB$3,0))-100%))*$L$63</f>
        <v>0</v>
      </c>
      <c r="M71" s="286"/>
      <c r="N71" s="286"/>
      <c r="O71" s="285"/>
      <c r="P71" s="285"/>
      <c r="Q71" s="285"/>
      <c r="R71" s="278"/>
      <c r="S71" s="278"/>
      <c r="T71" s="278"/>
    </row>
    <row r="72" spans="1:28" s="305" customFormat="1" ht="14.45" hidden="1" customHeight="1" outlineLevel="1" x14ac:dyDescent="0.25">
      <c r="A72" s="278"/>
      <c r="B72" s="279" t="str">
        <f t="shared" si="30"/>
        <v/>
      </c>
      <c r="C72" s="278"/>
      <c r="D72" s="278"/>
      <c r="E72" s="278"/>
      <c r="F72" s="278"/>
      <c r="G72" s="278"/>
      <c r="H72" s="290"/>
      <c r="I72" s="280">
        <f t="shared" si="31"/>
        <v>0</v>
      </c>
      <c r="J72" s="281">
        <f t="shared" si="32"/>
        <v>0</v>
      </c>
      <c r="K72" s="282">
        <f>IF(Notes!$B$9="Domestic",I72, IF(Notes!$B$9="Commercial",J72))*$K$63</f>
        <v>0</v>
      </c>
      <c r="L72" s="283">
        <f>(SUM(O72:Q72)+(K72+SUM(M72:Q72))*(INDEX($U$63:$AB$63,MATCH(Notes!$C$16,$U$3:$AB$3,0))-100%))*$L$63</f>
        <v>0</v>
      </c>
      <c r="M72" s="286"/>
      <c r="N72" s="286"/>
      <c r="O72" s="285"/>
      <c r="P72" s="285"/>
      <c r="Q72" s="285"/>
      <c r="R72" s="278"/>
      <c r="S72" s="278"/>
      <c r="T72" s="278"/>
    </row>
    <row r="73" spans="1:28" s="305" customFormat="1" ht="14.45" hidden="1" customHeight="1" outlineLevel="1" x14ac:dyDescent="0.25">
      <c r="A73" s="278"/>
      <c r="B73" s="279" t="str">
        <f t="shared" si="30"/>
        <v/>
      </c>
      <c r="C73" s="278"/>
      <c r="D73" s="278"/>
      <c r="E73" s="278"/>
      <c r="F73" s="278"/>
      <c r="G73" s="278"/>
      <c r="H73" s="290"/>
      <c r="I73" s="280">
        <f t="shared" si="31"/>
        <v>0</v>
      </c>
      <c r="J73" s="281">
        <f t="shared" si="32"/>
        <v>0</v>
      </c>
      <c r="K73" s="282">
        <f>IF(Notes!$B$9="Domestic",I73, IF(Notes!$B$9="Commercial",J73))*$K$63</f>
        <v>0</v>
      </c>
      <c r="L73" s="283">
        <f>(SUM(O73:Q73)+(K73+SUM(M73:Q73))*(INDEX($U$63:$AB$63,MATCH(Notes!$C$16,$U$3:$AB$3,0))-100%))*$L$63</f>
        <v>0</v>
      </c>
      <c r="M73" s="286"/>
      <c r="N73" s="286"/>
      <c r="O73" s="285"/>
      <c r="P73" s="285"/>
      <c r="Q73" s="285"/>
      <c r="R73" s="278"/>
      <c r="S73" s="278"/>
      <c r="T73" s="278"/>
    </row>
    <row r="74" spans="1:28" ht="21" hidden="1" outlineLevel="1" x14ac:dyDescent="0.25">
      <c r="A74" s="299"/>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row>
    <row r="75" spans="1:28" ht="15.75" hidden="1" outlineLevel="1" x14ac:dyDescent="0.25">
      <c r="A75" s="291"/>
      <c r="B75" s="291"/>
      <c r="C75" s="291"/>
      <c r="D75" s="291"/>
      <c r="E75" s="291"/>
      <c r="F75" s="291"/>
      <c r="G75" s="291"/>
      <c r="H75" s="291"/>
      <c r="I75" s="291"/>
      <c r="J75" s="291"/>
      <c r="K75" s="291">
        <f>K$2</f>
        <v>1</v>
      </c>
      <c r="L75" s="291">
        <f>L$2</f>
        <v>1</v>
      </c>
      <c r="M75" s="291"/>
      <c r="N75" s="291"/>
      <c r="O75" s="303"/>
      <c r="P75" s="303"/>
      <c r="Q75" s="303"/>
      <c r="R75" s="291"/>
      <c r="S75" s="291"/>
      <c r="T75" s="291"/>
      <c r="U75" s="291">
        <f>U$2</f>
        <v>1.1991525423728813</v>
      </c>
      <c r="V75" s="291">
        <f>V$2</f>
        <v>1</v>
      </c>
      <c r="W75" s="291">
        <f t="shared" ref="W75:AB75" si="33">W$2</f>
        <v>1.0148305084745761</v>
      </c>
      <c r="X75" s="291">
        <f t="shared" si="33"/>
        <v>0.90254237288135586</v>
      </c>
      <c r="Y75" s="291">
        <f t="shared" si="33"/>
        <v>1</v>
      </c>
      <c r="Z75" s="291">
        <f t="shared" si="33"/>
        <v>1.1652542372881356</v>
      </c>
      <c r="AA75" s="291">
        <f t="shared" si="33"/>
        <v>0.93220338983050843</v>
      </c>
      <c r="AB75" s="291">
        <f t="shared" si="33"/>
        <v>0.99576271186440668</v>
      </c>
    </row>
    <row r="76" spans="1:28" s="305" customFormat="1" ht="14.45" hidden="1" customHeight="1" outlineLevel="1" x14ac:dyDescent="0.25">
      <c r="A76" s="278"/>
      <c r="B76" s="279" t="str">
        <f>C76&amp;D76&amp;E76&amp;F76</f>
        <v/>
      </c>
      <c r="C76" s="278"/>
      <c r="D76" s="278"/>
      <c r="E76" s="278"/>
      <c r="F76" s="278"/>
      <c r="G76" s="278"/>
      <c r="H76" s="290"/>
      <c r="I76" s="280">
        <f>$I$2*H76</f>
        <v>0</v>
      </c>
      <c r="J76" s="281">
        <f>$J$2*H76</f>
        <v>0</v>
      </c>
      <c r="K76" s="282">
        <f>IF(Notes!$B$9="Domestic",I76, IF(Notes!$B$9="Commercial",J76))*$K$75</f>
        <v>0</v>
      </c>
      <c r="L76" s="283">
        <f>(SUM(O76:Q76)+(K76+SUM(M76:Q76))*(INDEX($U$75:$AB$75,MATCH(Notes!$C$16,$U$3:$AB$3,0))-100%))*$L$75</f>
        <v>0</v>
      </c>
      <c r="M76" s="286"/>
      <c r="N76" s="286"/>
      <c r="O76" s="285"/>
      <c r="P76" s="285"/>
      <c r="Q76" s="285"/>
      <c r="R76" s="278"/>
      <c r="S76" s="278"/>
      <c r="T76" s="278"/>
      <c r="U76" s="304"/>
    </row>
    <row r="77" spans="1:28" s="305" customFormat="1" ht="14.45" hidden="1" customHeight="1" outlineLevel="1" x14ac:dyDescent="0.25">
      <c r="A77" s="278"/>
      <c r="B77" s="279" t="str">
        <f t="shared" ref="B77:B85" si="34">C77&amp;D77&amp;E77&amp;F77</f>
        <v/>
      </c>
      <c r="C77" s="278"/>
      <c r="D77" s="278"/>
      <c r="E77" s="278"/>
      <c r="F77" s="278"/>
      <c r="G77" s="278"/>
      <c r="H77" s="290"/>
      <c r="I77" s="280">
        <f t="shared" ref="I77:I85" si="35">$I$2*H77</f>
        <v>0</v>
      </c>
      <c r="J77" s="281">
        <f t="shared" ref="J77:J85" si="36">$J$2*H77</f>
        <v>0</v>
      </c>
      <c r="K77" s="282">
        <f>IF(Notes!$B$9="Domestic",I77, IF(Notes!$B$9="Commercial",J77))*$K$75</f>
        <v>0</v>
      </c>
      <c r="L77" s="283">
        <f>(SUM(O77:Q77)+(K77+SUM(M77:Q77))*(INDEX($U$75:$AB$75,MATCH(Notes!$C$16,$U$3:$AB$3,0))-100%))*$L$75</f>
        <v>0</v>
      </c>
      <c r="M77" s="286"/>
      <c r="N77" s="286"/>
      <c r="O77" s="285"/>
      <c r="P77" s="285"/>
      <c r="Q77" s="285"/>
      <c r="R77" s="278"/>
      <c r="S77" s="278"/>
      <c r="T77" s="278"/>
      <c r="U77" s="304"/>
    </row>
    <row r="78" spans="1:28" s="305" customFormat="1" ht="14.45" hidden="1" customHeight="1" outlineLevel="1" x14ac:dyDescent="0.25">
      <c r="A78" s="278"/>
      <c r="B78" s="279" t="str">
        <f t="shared" si="34"/>
        <v/>
      </c>
      <c r="C78" s="278"/>
      <c r="D78" s="278"/>
      <c r="E78" s="278"/>
      <c r="F78" s="278"/>
      <c r="G78" s="278"/>
      <c r="H78" s="290"/>
      <c r="I78" s="280">
        <f t="shared" si="35"/>
        <v>0</v>
      </c>
      <c r="J78" s="281">
        <f t="shared" si="36"/>
        <v>0</v>
      </c>
      <c r="K78" s="282">
        <f>IF(Notes!$B$9="Domestic",I78, IF(Notes!$B$9="Commercial",J78))*$K$75</f>
        <v>0</v>
      </c>
      <c r="L78" s="283">
        <f>(SUM(O78:Q78)+(K78+SUM(M78:Q78))*(INDEX($U$75:$AB$75,MATCH(Notes!$C$16,$U$3:$AB$3,0))-100%))*$L$75</f>
        <v>0</v>
      </c>
      <c r="M78" s="286"/>
      <c r="N78" s="286"/>
      <c r="O78" s="285"/>
      <c r="P78" s="285"/>
      <c r="Q78" s="285"/>
      <c r="R78" s="278"/>
      <c r="S78" s="278"/>
      <c r="T78" s="278"/>
      <c r="U78" s="304"/>
    </row>
    <row r="79" spans="1:28" s="305" customFormat="1" hidden="1" outlineLevel="1" x14ac:dyDescent="0.25">
      <c r="A79" s="278"/>
      <c r="B79" s="279" t="str">
        <f t="shared" si="34"/>
        <v/>
      </c>
      <c r="C79" s="278"/>
      <c r="D79" s="278"/>
      <c r="E79" s="278"/>
      <c r="F79" s="278"/>
      <c r="G79" s="278"/>
      <c r="H79" s="290"/>
      <c r="I79" s="280">
        <f t="shared" si="35"/>
        <v>0</v>
      </c>
      <c r="J79" s="281">
        <f t="shared" si="36"/>
        <v>0</v>
      </c>
      <c r="K79" s="282">
        <f>IF(Notes!$B$9="Domestic",I79, IF(Notes!$B$9="Commercial",J79))*$K$75</f>
        <v>0</v>
      </c>
      <c r="L79" s="283">
        <f>(SUM(O79:Q79)+(K79+SUM(M79:Q79))*(INDEX($U$75:$AB$75,MATCH(Notes!$C$16,$U$3:$AB$3,0))-100%))*$L$75</f>
        <v>0</v>
      </c>
      <c r="M79" s="286"/>
      <c r="N79" s="286"/>
      <c r="O79" s="285"/>
      <c r="P79" s="285"/>
      <c r="Q79" s="285"/>
      <c r="R79" s="278"/>
      <c r="S79" s="278"/>
      <c r="T79" s="278"/>
    </row>
    <row r="80" spans="1:28" s="305" customFormat="1" hidden="1" outlineLevel="1" x14ac:dyDescent="0.25">
      <c r="A80" s="278"/>
      <c r="B80" s="279" t="str">
        <f t="shared" si="34"/>
        <v/>
      </c>
      <c r="C80" s="278"/>
      <c r="D80" s="278"/>
      <c r="E80" s="278"/>
      <c r="F80" s="278"/>
      <c r="G80" s="278"/>
      <c r="H80" s="290"/>
      <c r="I80" s="280">
        <f>$I$2*H80</f>
        <v>0</v>
      </c>
      <c r="J80" s="281">
        <f t="shared" si="36"/>
        <v>0</v>
      </c>
      <c r="K80" s="282">
        <f>IF(Notes!$B$9="Domestic",I80, IF(Notes!$B$9="Commercial",J80))*$K$75</f>
        <v>0</v>
      </c>
      <c r="L80" s="283">
        <f>(SUM(O80:Q80)+(K80+SUM(M80:Q80))*(INDEX($U$75:$AB$75,MATCH(Notes!$C$16,$U$3:$AB$3,0))-100%))*$L$75</f>
        <v>0</v>
      </c>
      <c r="M80" s="286"/>
      <c r="N80" s="286"/>
      <c r="O80" s="285"/>
      <c r="P80" s="285"/>
      <c r="Q80" s="285"/>
      <c r="R80" s="278"/>
      <c r="S80" s="278"/>
      <c r="T80" s="278"/>
    </row>
    <row r="81" spans="1:28" s="305" customFormat="1" hidden="1" outlineLevel="1" x14ac:dyDescent="0.25">
      <c r="A81" s="278"/>
      <c r="B81" s="279" t="str">
        <f t="shared" si="34"/>
        <v/>
      </c>
      <c r="C81" s="278"/>
      <c r="D81" s="278"/>
      <c r="E81" s="278"/>
      <c r="F81" s="278"/>
      <c r="G81" s="278"/>
      <c r="H81" s="290"/>
      <c r="I81" s="280">
        <f t="shared" si="35"/>
        <v>0</v>
      </c>
      <c r="J81" s="281">
        <f t="shared" si="36"/>
        <v>0</v>
      </c>
      <c r="K81" s="282">
        <f>IF(Notes!$B$9="Domestic",I81, IF(Notes!$B$9="Commercial",J81))*$K$75</f>
        <v>0</v>
      </c>
      <c r="L81" s="283">
        <f>(SUM(O81:Q81)+(K81+SUM(M81:Q81))*(INDEX($U$75:$AB$75,MATCH(Notes!$C$16,$U$3:$AB$3,0))-100%))*$L$75</f>
        <v>0</v>
      </c>
      <c r="M81" s="286"/>
      <c r="N81" s="286"/>
      <c r="O81" s="285"/>
      <c r="P81" s="285"/>
      <c r="Q81" s="285"/>
      <c r="R81" s="278"/>
      <c r="S81" s="278"/>
      <c r="T81" s="278"/>
    </row>
    <row r="82" spans="1:28" s="305" customFormat="1" hidden="1" outlineLevel="1" x14ac:dyDescent="0.25">
      <c r="A82" s="278"/>
      <c r="B82" s="279" t="str">
        <f t="shared" si="34"/>
        <v/>
      </c>
      <c r="C82" s="278"/>
      <c r="D82" s="278"/>
      <c r="E82" s="278"/>
      <c r="F82" s="278"/>
      <c r="G82" s="278"/>
      <c r="H82" s="290"/>
      <c r="I82" s="280">
        <f t="shared" si="35"/>
        <v>0</v>
      </c>
      <c r="J82" s="281">
        <f t="shared" si="36"/>
        <v>0</v>
      </c>
      <c r="K82" s="282">
        <f>IF(Notes!$B$9="Domestic",I82, IF(Notes!$B$9="Commercial",J82))*$K$75</f>
        <v>0</v>
      </c>
      <c r="L82" s="283">
        <f>(SUM(O82:Q82)+(K82+SUM(M82:Q82))*(INDEX($U$75:$AB$75,MATCH(Notes!$C$16,$U$3:$AB$3,0))-100%))*$L$75</f>
        <v>0</v>
      </c>
      <c r="M82" s="286"/>
      <c r="N82" s="286"/>
      <c r="O82" s="285"/>
      <c r="P82" s="285"/>
      <c r="Q82" s="285"/>
      <c r="R82" s="278"/>
      <c r="S82" s="278"/>
      <c r="T82" s="278"/>
    </row>
    <row r="83" spans="1:28" s="305" customFormat="1" hidden="1" outlineLevel="1" x14ac:dyDescent="0.25">
      <c r="A83" s="278"/>
      <c r="B83" s="279" t="str">
        <f t="shared" si="34"/>
        <v/>
      </c>
      <c r="C83" s="278"/>
      <c r="D83" s="278"/>
      <c r="E83" s="278"/>
      <c r="F83" s="278"/>
      <c r="G83" s="278"/>
      <c r="H83" s="290"/>
      <c r="I83" s="280">
        <f t="shared" si="35"/>
        <v>0</v>
      </c>
      <c r="J83" s="281">
        <f t="shared" si="36"/>
        <v>0</v>
      </c>
      <c r="K83" s="282">
        <f>IF(Notes!$B$9="Domestic",I83, IF(Notes!$B$9="Commercial",J83))*$K$75</f>
        <v>0</v>
      </c>
      <c r="L83" s="283">
        <f>(SUM(O83:Q83)+(K83+SUM(M83:Q83))*(INDEX($U$75:$AB$75,MATCH(Notes!$C$16,$U$3:$AB$3,0))-100%))*$L$75</f>
        <v>0</v>
      </c>
      <c r="M83" s="286"/>
      <c r="N83" s="286"/>
      <c r="O83" s="285"/>
      <c r="P83" s="285"/>
      <c r="Q83" s="285"/>
      <c r="R83" s="278"/>
      <c r="S83" s="278"/>
      <c r="T83" s="278"/>
    </row>
    <row r="84" spans="1:28" s="305" customFormat="1" hidden="1" outlineLevel="1" x14ac:dyDescent="0.25">
      <c r="A84" s="278"/>
      <c r="B84" s="279" t="str">
        <f t="shared" si="34"/>
        <v/>
      </c>
      <c r="C84" s="278"/>
      <c r="D84" s="278"/>
      <c r="E84" s="278"/>
      <c r="F84" s="278"/>
      <c r="G84" s="278"/>
      <c r="H84" s="290"/>
      <c r="I84" s="280">
        <f t="shared" si="35"/>
        <v>0</v>
      </c>
      <c r="J84" s="281">
        <f t="shared" si="36"/>
        <v>0</v>
      </c>
      <c r="K84" s="282">
        <f>IF(Notes!$B$9="Domestic",I84, IF(Notes!$B$9="Commercial",J84))*$K$75</f>
        <v>0</v>
      </c>
      <c r="L84" s="283">
        <f>(SUM(O84:Q84)+(K84+SUM(M84:Q84))*(INDEX($U$75:$AB$75,MATCH(Notes!$C$16,$U$3:$AB$3,0))-100%))*$L$75</f>
        <v>0</v>
      </c>
      <c r="M84" s="286"/>
      <c r="N84" s="286"/>
      <c r="O84" s="285"/>
      <c r="P84" s="285"/>
      <c r="Q84" s="285"/>
      <c r="R84" s="278"/>
      <c r="S84" s="278"/>
      <c r="T84" s="278"/>
    </row>
    <row r="85" spans="1:28" s="305" customFormat="1" hidden="1" outlineLevel="1" x14ac:dyDescent="0.25">
      <c r="A85" s="278"/>
      <c r="B85" s="279" t="str">
        <f t="shared" si="34"/>
        <v/>
      </c>
      <c r="C85" s="278"/>
      <c r="D85" s="278"/>
      <c r="E85" s="278"/>
      <c r="F85" s="278"/>
      <c r="G85" s="278"/>
      <c r="H85" s="290"/>
      <c r="I85" s="280">
        <f t="shared" si="35"/>
        <v>0</v>
      </c>
      <c r="J85" s="281">
        <f t="shared" si="36"/>
        <v>0</v>
      </c>
      <c r="K85" s="282">
        <f>IF(Notes!$B$9="Domestic",I85, IF(Notes!$B$9="Commercial",J85))*$K$75</f>
        <v>0</v>
      </c>
      <c r="L85" s="283">
        <f>(SUM(O85:Q85)+(K85+SUM(M85:Q85))*(INDEX($U$75:$AB$75,MATCH(Notes!$C$16,$U$3:$AB$3,0))-100%))*$L$75</f>
        <v>0</v>
      </c>
      <c r="M85" s="286"/>
      <c r="N85" s="286"/>
      <c r="O85" s="285"/>
      <c r="P85" s="285"/>
      <c r="Q85" s="285"/>
      <c r="R85" s="278"/>
      <c r="S85" s="278"/>
      <c r="T85" s="278"/>
    </row>
    <row r="86" spans="1:28" ht="21" hidden="1" outlineLevel="1" x14ac:dyDescent="0.25">
      <c r="A86" s="299"/>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row>
    <row r="87" spans="1:28" ht="15.75" hidden="1" outlineLevel="1" x14ac:dyDescent="0.25">
      <c r="A87" s="291"/>
      <c r="B87" s="291"/>
      <c r="C87" s="291"/>
      <c r="D87" s="291"/>
      <c r="E87" s="291"/>
      <c r="F87" s="291"/>
      <c r="G87" s="291"/>
      <c r="H87" s="291"/>
      <c r="I87" s="291"/>
      <c r="J87" s="291"/>
      <c r="K87" s="291">
        <f>K$2</f>
        <v>1</v>
      </c>
      <c r="L87" s="291">
        <f>L$2</f>
        <v>1</v>
      </c>
      <c r="M87" s="291"/>
      <c r="N87" s="291"/>
      <c r="O87" s="303"/>
      <c r="P87" s="303"/>
      <c r="Q87" s="303"/>
      <c r="R87" s="291"/>
      <c r="S87" s="291"/>
      <c r="T87" s="291"/>
      <c r="U87" s="291">
        <f>U$2</f>
        <v>1.1991525423728813</v>
      </c>
      <c r="V87" s="291">
        <f>V$2</f>
        <v>1</v>
      </c>
      <c r="W87" s="291">
        <f t="shared" ref="W87:AB87" si="37">W$2</f>
        <v>1.0148305084745761</v>
      </c>
      <c r="X87" s="291">
        <f t="shared" si="37"/>
        <v>0.90254237288135586</v>
      </c>
      <c r="Y87" s="291">
        <f t="shared" si="37"/>
        <v>1</v>
      </c>
      <c r="Z87" s="291">
        <f t="shared" si="37"/>
        <v>1.1652542372881356</v>
      </c>
      <c r="AA87" s="291">
        <f t="shared" si="37"/>
        <v>0.93220338983050843</v>
      </c>
      <c r="AB87" s="291">
        <f t="shared" si="37"/>
        <v>0.99576271186440668</v>
      </c>
    </row>
    <row r="88" spans="1:28" s="305" customFormat="1" ht="14.45" hidden="1" customHeight="1" outlineLevel="1" x14ac:dyDescent="0.25">
      <c r="A88" s="278"/>
      <c r="B88" s="279" t="str">
        <f>C88&amp;D88&amp;E88&amp;F88</f>
        <v/>
      </c>
      <c r="C88" s="278"/>
      <c r="D88" s="278"/>
      <c r="E88" s="278"/>
      <c r="F88" s="278"/>
      <c r="G88" s="278"/>
      <c r="H88" s="290"/>
      <c r="I88" s="280">
        <f>$I$2*H88</f>
        <v>0</v>
      </c>
      <c r="J88" s="281">
        <f>$J$2*H88</f>
        <v>0</v>
      </c>
      <c r="K88" s="282">
        <f>IF(Notes!$B$9="Domestic",I88, IF(Notes!$B$9="Commercial",J88))*$K$87</f>
        <v>0</v>
      </c>
      <c r="L88" s="283">
        <f>(SUM(O88:Q88)+(K88+SUM(M88:Q88))*(INDEX($U$87:$AB$87,MATCH(Notes!$C$16,$U$3:$AB$3,0))-100%))*$L$87</f>
        <v>0</v>
      </c>
      <c r="M88" s="286"/>
      <c r="N88" s="286"/>
      <c r="O88" s="285"/>
      <c r="P88" s="285"/>
      <c r="Q88" s="285"/>
      <c r="R88" s="278"/>
      <c r="S88" s="278"/>
      <c r="T88" s="278"/>
      <c r="U88" s="304"/>
    </row>
    <row r="89" spans="1:28" s="305" customFormat="1" ht="14.45" hidden="1" customHeight="1" outlineLevel="1" x14ac:dyDescent="0.25">
      <c r="A89" s="278"/>
      <c r="B89" s="279" t="str">
        <f t="shared" ref="B89:B97" si="38">C89&amp;D89&amp;E89&amp;F89</f>
        <v/>
      </c>
      <c r="C89" s="278"/>
      <c r="D89" s="278"/>
      <c r="E89" s="278"/>
      <c r="F89" s="278"/>
      <c r="G89" s="278"/>
      <c r="H89" s="290"/>
      <c r="I89" s="280">
        <f t="shared" ref="I89:I97" si="39">$I$2*H89</f>
        <v>0</v>
      </c>
      <c r="J89" s="281">
        <f t="shared" ref="J89:J97" si="40">$J$2*H89</f>
        <v>0</v>
      </c>
      <c r="K89" s="282">
        <f>IF(Notes!$B$9="Domestic",I89, IF(Notes!$B$9="Commercial",J89))*$K$87</f>
        <v>0</v>
      </c>
      <c r="L89" s="283">
        <f>(SUM(O89:Q89)+(K89+SUM(M89:Q89))*(INDEX($U$87:$AB$87,MATCH(Notes!$C$16,$U$3:$AB$3,0))-100%))*$L$87</f>
        <v>0</v>
      </c>
      <c r="M89" s="286"/>
      <c r="N89" s="286"/>
      <c r="O89" s="285"/>
      <c r="P89" s="285"/>
      <c r="Q89" s="285"/>
      <c r="R89" s="278"/>
      <c r="S89" s="278"/>
      <c r="T89" s="278"/>
      <c r="U89" s="304"/>
    </row>
    <row r="90" spans="1:28" s="305" customFormat="1" ht="14.45" hidden="1" customHeight="1" outlineLevel="1" x14ac:dyDescent="0.25">
      <c r="A90" s="278"/>
      <c r="B90" s="279" t="str">
        <f t="shared" si="38"/>
        <v/>
      </c>
      <c r="C90" s="278"/>
      <c r="D90" s="278"/>
      <c r="E90" s="278"/>
      <c r="F90" s="278"/>
      <c r="G90" s="278"/>
      <c r="H90" s="290"/>
      <c r="I90" s="280">
        <f t="shared" si="39"/>
        <v>0</v>
      </c>
      <c r="J90" s="281">
        <f t="shared" si="40"/>
        <v>0</v>
      </c>
      <c r="K90" s="282">
        <f>IF(Notes!$B$9="Domestic",I90, IF(Notes!$B$9="Commercial",J90))*$K$87</f>
        <v>0</v>
      </c>
      <c r="L90" s="283">
        <f>(SUM(O90:Q90)+(K90+SUM(M90:Q90))*(INDEX($U$87:$AB$87,MATCH(Notes!$C$16,$U$3:$AB$3,0))-100%))*$L$87</f>
        <v>0</v>
      </c>
      <c r="M90" s="286"/>
      <c r="N90" s="286"/>
      <c r="O90" s="285"/>
      <c r="P90" s="285"/>
      <c r="Q90" s="285"/>
      <c r="R90" s="278"/>
      <c r="S90" s="278"/>
      <c r="T90" s="278"/>
      <c r="U90" s="304"/>
    </row>
    <row r="91" spans="1:28" s="305" customFormat="1" ht="14.45" hidden="1" customHeight="1" outlineLevel="1" x14ac:dyDescent="0.25">
      <c r="A91" s="278"/>
      <c r="B91" s="279" t="str">
        <f t="shared" si="38"/>
        <v/>
      </c>
      <c r="C91" s="278"/>
      <c r="D91" s="278"/>
      <c r="E91" s="278"/>
      <c r="F91" s="278"/>
      <c r="G91" s="278"/>
      <c r="H91" s="290"/>
      <c r="I91" s="280">
        <f t="shared" si="39"/>
        <v>0</v>
      </c>
      <c r="J91" s="281">
        <f t="shared" si="40"/>
        <v>0</v>
      </c>
      <c r="K91" s="282">
        <f>IF(Notes!$B$9="Domestic",I91, IF(Notes!$B$9="Commercial",J91))*$K$87</f>
        <v>0</v>
      </c>
      <c r="L91" s="283">
        <f>(SUM(O91:Q91)+(K91+SUM(M91:Q91))*(INDEX($U$87:$AB$87,MATCH(Notes!$C$16,$U$3:$AB$3,0))-100%))*$L$87</f>
        <v>0</v>
      </c>
      <c r="M91" s="286"/>
      <c r="N91" s="286"/>
      <c r="O91" s="285"/>
      <c r="P91" s="285"/>
      <c r="Q91" s="285"/>
      <c r="R91" s="278"/>
      <c r="S91" s="278"/>
      <c r="T91" s="278"/>
    </row>
    <row r="92" spans="1:28" s="305" customFormat="1" hidden="1" outlineLevel="1" x14ac:dyDescent="0.25">
      <c r="A92" s="278"/>
      <c r="B92" s="279" t="str">
        <f t="shared" si="38"/>
        <v/>
      </c>
      <c r="C92" s="278"/>
      <c r="D92" s="278"/>
      <c r="E92" s="278"/>
      <c r="F92" s="278"/>
      <c r="G92" s="278"/>
      <c r="H92" s="290"/>
      <c r="I92" s="280">
        <f>$I$2*H92</f>
        <v>0</v>
      </c>
      <c r="J92" s="281">
        <f t="shared" si="40"/>
        <v>0</v>
      </c>
      <c r="K92" s="282">
        <f>IF(Notes!$B$9="Domestic",I92, IF(Notes!$B$9="Commercial",J92))*$K$87</f>
        <v>0</v>
      </c>
      <c r="L92" s="283">
        <f>(SUM(O92:Q92)+(K92+SUM(M92:Q92))*(INDEX($U$87:$AB$87,MATCH(Notes!$C$16,$U$3:$AB$3,0))-100%))*$L$87</f>
        <v>0</v>
      </c>
      <c r="M92" s="286"/>
      <c r="N92" s="286"/>
      <c r="O92" s="285"/>
      <c r="P92" s="285"/>
      <c r="Q92" s="285"/>
      <c r="R92" s="278"/>
      <c r="S92" s="278"/>
      <c r="T92" s="278"/>
    </row>
    <row r="93" spans="1:28" s="305" customFormat="1" hidden="1" outlineLevel="1" x14ac:dyDescent="0.25">
      <c r="A93" s="278"/>
      <c r="B93" s="279" t="str">
        <f t="shared" si="38"/>
        <v/>
      </c>
      <c r="C93" s="278"/>
      <c r="D93" s="278"/>
      <c r="E93" s="278"/>
      <c r="F93" s="278"/>
      <c r="G93" s="278"/>
      <c r="H93" s="290"/>
      <c r="I93" s="280">
        <f t="shared" si="39"/>
        <v>0</v>
      </c>
      <c r="J93" s="281">
        <f t="shared" si="40"/>
        <v>0</v>
      </c>
      <c r="K93" s="282">
        <f>IF(Notes!$B$9="Domestic",I93, IF(Notes!$B$9="Commercial",J93))*$K$87</f>
        <v>0</v>
      </c>
      <c r="L93" s="283">
        <f>(SUM(O93:Q93)+(K93+SUM(M93:Q93))*(INDEX($U$87:$AB$87,MATCH(Notes!$C$16,$U$3:$AB$3,0))-100%))*$L$87</f>
        <v>0</v>
      </c>
      <c r="M93" s="286"/>
      <c r="N93" s="286"/>
      <c r="O93" s="285"/>
      <c r="P93" s="285"/>
      <c r="Q93" s="285"/>
      <c r="R93" s="278"/>
      <c r="S93" s="278"/>
      <c r="T93" s="278"/>
    </row>
    <row r="94" spans="1:28" s="305" customFormat="1" hidden="1" outlineLevel="1" x14ac:dyDescent="0.25">
      <c r="A94" s="278"/>
      <c r="B94" s="279" t="str">
        <f t="shared" si="38"/>
        <v/>
      </c>
      <c r="C94" s="278"/>
      <c r="D94" s="278"/>
      <c r="E94" s="278"/>
      <c r="F94" s="278"/>
      <c r="G94" s="278"/>
      <c r="H94" s="290"/>
      <c r="I94" s="280">
        <f t="shared" si="39"/>
        <v>0</v>
      </c>
      <c r="J94" s="281">
        <f t="shared" si="40"/>
        <v>0</v>
      </c>
      <c r="K94" s="282">
        <f>IF(Notes!$B$9="Domestic",I94, IF(Notes!$B$9="Commercial",J94))*$K$87</f>
        <v>0</v>
      </c>
      <c r="L94" s="283">
        <f>(SUM(O94:Q94)+(K94+SUM(M94:Q94))*(INDEX($U$87:$AB$87,MATCH(Notes!$C$16,$U$3:$AB$3,0))-100%))*$L$87</f>
        <v>0</v>
      </c>
      <c r="M94" s="286"/>
      <c r="N94" s="286"/>
      <c r="O94" s="285"/>
      <c r="P94" s="285"/>
      <c r="Q94" s="285"/>
      <c r="R94" s="278"/>
      <c r="S94" s="278"/>
      <c r="T94" s="278"/>
    </row>
    <row r="95" spans="1:28" s="305" customFormat="1" hidden="1" outlineLevel="1" x14ac:dyDescent="0.25">
      <c r="A95" s="278"/>
      <c r="B95" s="279" t="str">
        <f t="shared" si="38"/>
        <v/>
      </c>
      <c r="C95" s="278"/>
      <c r="D95" s="278"/>
      <c r="E95" s="278"/>
      <c r="F95" s="278"/>
      <c r="G95" s="278"/>
      <c r="H95" s="290"/>
      <c r="I95" s="280">
        <f t="shared" si="39"/>
        <v>0</v>
      </c>
      <c r="J95" s="281">
        <f t="shared" si="40"/>
        <v>0</v>
      </c>
      <c r="K95" s="282">
        <f>IF(Notes!$B$9="Domestic",I95, IF(Notes!$B$9="Commercial",J95))*$K$87</f>
        <v>0</v>
      </c>
      <c r="L95" s="283">
        <f>(SUM(O95:Q95)+(K95+SUM(M95:Q95))*(INDEX($U$87:$AB$87,MATCH(Notes!$C$16,$U$3:$AB$3,0))-100%))*$L$87</f>
        <v>0</v>
      </c>
      <c r="M95" s="286"/>
      <c r="N95" s="286"/>
      <c r="O95" s="285"/>
      <c r="P95" s="285"/>
      <c r="Q95" s="285"/>
      <c r="R95" s="278"/>
      <c r="S95" s="278"/>
      <c r="T95" s="278"/>
    </row>
    <row r="96" spans="1:28" s="305" customFormat="1" hidden="1" outlineLevel="1" x14ac:dyDescent="0.25">
      <c r="A96" s="278"/>
      <c r="B96" s="279" t="str">
        <f t="shared" si="38"/>
        <v/>
      </c>
      <c r="C96" s="278"/>
      <c r="D96" s="278"/>
      <c r="E96" s="278"/>
      <c r="F96" s="278"/>
      <c r="G96" s="278"/>
      <c r="H96" s="290"/>
      <c r="I96" s="280">
        <f t="shared" si="39"/>
        <v>0</v>
      </c>
      <c r="J96" s="281">
        <f t="shared" si="40"/>
        <v>0</v>
      </c>
      <c r="K96" s="282">
        <f>IF(Notes!$B$9="Domestic",I96, IF(Notes!$B$9="Commercial",J96))*$K$87</f>
        <v>0</v>
      </c>
      <c r="L96" s="283">
        <f>(SUM(O96:Q96)+(K96+SUM(M96:Q96))*(INDEX($U$87:$AB$87,MATCH(Notes!$C$16,$U$3:$AB$3,0))-100%))*$L$87</f>
        <v>0</v>
      </c>
      <c r="M96" s="286"/>
      <c r="N96" s="286"/>
      <c r="O96" s="285"/>
      <c r="P96" s="285"/>
      <c r="Q96" s="285"/>
      <c r="R96" s="278"/>
      <c r="S96" s="278"/>
      <c r="T96" s="278"/>
    </row>
    <row r="97" spans="1:28" s="305" customFormat="1" hidden="1" outlineLevel="1" x14ac:dyDescent="0.25">
      <c r="A97" s="278"/>
      <c r="B97" s="279" t="str">
        <f t="shared" si="38"/>
        <v/>
      </c>
      <c r="C97" s="278"/>
      <c r="D97" s="278"/>
      <c r="E97" s="278"/>
      <c r="F97" s="278"/>
      <c r="G97" s="278"/>
      <c r="H97" s="290"/>
      <c r="I97" s="280">
        <f t="shared" si="39"/>
        <v>0</v>
      </c>
      <c r="J97" s="281">
        <f t="shared" si="40"/>
        <v>0</v>
      </c>
      <c r="K97" s="282">
        <f>IF(Notes!$B$9="Domestic",I97, IF(Notes!$B$9="Commercial",J97))*$K$87</f>
        <v>0</v>
      </c>
      <c r="L97" s="283">
        <f>(SUM(O97:Q97)+(K97+SUM(M97:Q97))*(INDEX($U$87:$AB$87,MATCH(Notes!$C$16,$U$3:$AB$3,0))-100%))*$L$87</f>
        <v>0</v>
      </c>
      <c r="M97" s="286"/>
      <c r="N97" s="286"/>
      <c r="O97" s="285"/>
      <c r="P97" s="285"/>
      <c r="Q97" s="285"/>
      <c r="R97" s="278"/>
      <c r="S97" s="278"/>
      <c r="T97" s="278"/>
    </row>
    <row r="98" spans="1:28" ht="21" hidden="1" outlineLevel="1" x14ac:dyDescent="0.25">
      <c r="A98" s="299"/>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row>
    <row r="99" spans="1:28" ht="15.75" hidden="1" outlineLevel="1" x14ac:dyDescent="0.25">
      <c r="A99" s="291"/>
      <c r="B99" s="291"/>
      <c r="C99" s="291"/>
      <c r="D99" s="291"/>
      <c r="E99" s="291"/>
      <c r="F99" s="291"/>
      <c r="G99" s="291"/>
      <c r="H99" s="291"/>
      <c r="I99" s="291"/>
      <c r="J99" s="291"/>
      <c r="K99" s="291">
        <f>K$2</f>
        <v>1</v>
      </c>
      <c r="L99" s="291">
        <f>L$2</f>
        <v>1</v>
      </c>
      <c r="M99" s="291"/>
      <c r="N99" s="291"/>
      <c r="O99" s="303"/>
      <c r="P99" s="303"/>
      <c r="Q99" s="303"/>
      <c r="R99" s="291"/>
      <c r="S99" s="291"/>
      <c r="T99" s="291"/>
      <c r="U99" s="291">
        <f>U$2</f>
        <v>1.1991525423728813</v>
      </c>
      <c r="V99" s="291">
        <f>V$2</f>
        <v>1</v>
      </c>
      <c r="W99" s="291">
        <f t="shared" ref="W99:AB99" si="41">W$2</f>
        <v>1.0148305084745761</v>
      </c>
      <c r="X99" s="291">
        <f t="shared" si="41"/>
        <v>0.90254237288135586</v>
      </c>
      <c r="Y99" s="291">
        <f t="shared" si="41"/>
        <v>1</v>
      </c>
      <c r="Z99" s="291">
        <f t="shared" si="41"/>
        <v>1.1652542372881356</v>
      </c>
      <c r="AA99" s="291">
        <f t="shared" si="41"/>
        <v>0.93220338983050843</v>
      </c>
      <c r="AB99" s="291">
        <f t="shared" si="41"/>
        <v>0.99576271186440668</v>
      </c>
    </row>
    <row r="100" spans="1:28" s="305" customFormat="1" ht="14.45" hidden="1" customHeight="1" outlineLevel="1" x14ac:dyDescent="0.25">
      <c r="A100" s="278"/>
      <c r="B100" s="279" t="str">
        <f>C100&amp;D100&amp;E100&amp;F100</f>
        <v/>
      </c>
      <c r="C100" s="278"/>
      <c r="D100" s="278"/>
      <c r="E100" s="278"/>
      <c r="F100" s="278"/>
      <c r="G100" s="278"/>
      <c r="H100" s="290"/>
      <c r="I100" s="280">
        <f>$I$2*H100</f>
        <v>0</v>
      </c>
      <c r="J100" s="281">
        <f>$J$2*H100</f>
        <v>0</v>
      </c>
      <c r="K100" s="282">
        <f>IF(Notes!$B$9="Domestic",I100, IF(Notes!$B$9="Commercial",J100))*$K$99</f>
        <v>0</v>
      </c>
      <c r="L100" s="283">
        <f>(SUM(O100:Q100)+(K100+SUM(M100:Q100))*(INDEX($U$99:$AB$99,MATCH(Notes!$C$16,$U$3:$AB$3,0))-100%))*$L$99</f>
        <v>0</v>
      </c>
      <c r="M100" s="286"/>
      <c r="N100" s="286"/>
      <c r="O100" s="285"/>
      <c r="P100" s="285"/>
      <c r="Q100" s="285"/>
      <c r="R100" s="278"/>
      <c r="S100" s="278"/>
      <c r="T100" s="278"/>
      <c r="U100" s="304"/>
    </row>
    <row r="101" spans="1:28" s="305" customFormat="1" ht="14.45" hidden="1" customHeight="1" outlineLevel="1" x14ac:dyDescent="0.25">
      <c r="A101" s="278"/>
      <c r="B101" s="279" t="str">
        <f t="shared" ref="B101:B109" si="42">C101&amp;D101&amp;E101&amp;F101</f>
        <v/>
      </c>
      <c r="C101" s="278"/>
      <c r="D101" s="278"/>
      <c r="E101" s="278"/>
      <c r="F101" s="278"/>
      <c r="G101" s="278"/>
      <c r="H101" s="290"/>
      <c r="I101" s="280">
        <f t="shared" ref="I101:I109" si="43">$I$2*H101</f>
        <v>0</v>
      </c>
      <c r="J101" s="281">
        <f t="shared" ref="J101:J109" si="44">$J$2*H101</f>
        <v>0</v>
      </c>
      <c r="K101" s="282">
        <f>IF(Notes!$B$9="Domestic",I101, IF(Notes!$B$9="Commercial",J101))*$K$99</f>
        <v>0</v>
      </c>
      <c r="L101" s="283">
        <f>(SUM(O101:Q101)+(K101+SUM(M101:Q101))*(INDEX($U$99:$AB$99,MATCH(Notes!$C$16,$U$3:$AB$3,0))-100%))*$L$99</f>
        <v>0</v>
      </c>
      <c r="M101" s="286"/>
      <c r="N101" s="286"/>
      <c r="O101" s="285"/>
      <c r="P101" s="285"/>
      <c r="Q101" s="285"/>
      <c r="R101" s="278"/>
      <c r="S101" s="278"/>
      <c r="T101" s="278"/>
      <c r="U101" s="304"/>
    </row>
    <row r="102" spans="1:28" s="305" customFormat="1" ht="14.45" hidden="1" customHeight="1" outlineLevel="1" x14ac:dyDescent="0.25">
      <c r="A102" s="278"/>
      <c r="B102" s="279" t="str">
        <f t="shared" si="42"/>
        <v/>
      </c>
      <c r="C102" s="278"/>
      <c r="D102" s="278"/>
      <c r="E102" s="278"/>
      <c r="F102" s="278"/>
      <c r="G102" s="278"/>
      <c r="H102" s="290"/>
      <c r="I102" s="280">
        <f t="shared" si="43"/>
        <v>0</v>
      </c>
      <c r="J102" s="281">
        <f t="shared" si="44"/>
        <v>0</v>
      </c>
      <c r="K102" s="282">
        <f>IF(Notes!$B$9="Domestic",I102, IF(Notes!$B$9="Commercial",J102))*$K$99</f>
        <v>0</v>
      </c>
      <c r="L102" s="283">
        <f>(SUM(O102:Q102)+(K102+SUM(M102:Q102))*(INDEX($U$99:$AB$99,MATCH(Notes!$C$16,$U$3:$AB$3,0))-100%))*$L$99</f>
        <v>0</v>
      </c>
      <c r="M102" s="286"/>
      <c r="N102" s="286"/>
      <c r="O102" s="285"/>
      <c r="P102" s="285"/>
      <c r="Q102" s="285"/>
      <c r="R102" s="278"/>
      <c r="S102" s="278"/>
      <c r="T102" s="278"/>
      <c r="U102" s="304"/>
    </row>
    <row r="103" spans="1:28" s="305" customFormat="1" ht="14.45" hidden="1" customHeight="1" outlineLevel="1" x14ac:dyDescent="0.25">
      <c r="A103" s="278"/>
      <c r="B103" s="279" t="str">
        <f t="shared" si="42"/>
        <v/>
      </c>
      <c r="C103" s="278"/>
      <c r="D103" s="278"/>
      <c r="E103" s="278"/>
      <c r="F103" s="278"/>
      <c r="G103" s="278"/>
      <c r="H103" s="290"/>
      <c r="I103" s="280">
        <f t="shared" si="43"/>
        <v>0</v>
      </c>
      <c r="J103" s="281">
        <f t="shared" si="44"/>
        <v>0</v>
      </c>
      <c r="K103" s="282">
        <f>IF(Notes!$B$9="Domestic",I103, IF(Notes!$B$9="Commercial",J103))*$K$99</f>
        <v>0</v>
      </c>
      <c r="L103" s="283">
        <f>(SUM(O103:Q103)+(K103+SUM(M103:Q103))*(INDEX($U$99:$AB$99,MATCH(Notes!$C$16,$U$3:$AB$3,0))-100%))*$L$99</f>
        <v>0</v>
      </c>
      <c r="M103" s="286"/>
      <c r="N103" s="286"/>
      <c r="O103" s="285"/>
      <c r="P103" s="285"/>
      <c r="Q103" s="285"/>
      <c r="R103" s="278"/>
      <c r="S103" s="278"/>
      <c r="T103" s="278"/>
    </row>
    <row r="104" spans="1:28" s="305" customFormat="1" ht="14.45" hidden="1" customHeight="1" outlineLevel="1" x14ac:dyDescent="0.25">
      <c r="A104" s="278"/>
      <c r="B104" s="279" t="str">
        <f t="shared" si="42"/>
        <v/>
      </c>
      <c r="C104" s="278"/>
      <c r="D104" s="278"/>
      <c r="E104" s="278"/>
      <c r="F104" s="278"/>
      <c r="G104" s="278"/>
      <c r="H104" s="290"/>
      <c r="I104" s="280">
        <f>$I$2*H104</f>
        <v>0</v>
      </c>
      <c r="J104" s="281">
        <f t="shared" si="44"/>
        <v>0</v>
      </c>
      <c r="K104" s="282">
        <f>IF(Notes!$B$9="Domestic",I104, IF(Notes!$B$9="Commercial",J104))*$K$99</f>
        <v>0</v>
      </c>
      <c r="L104" s="283">
        <f>(SUM(O104:Q104)+(K104+SUM(M104:Q104))*(INDEX($U$99:$AB$99,MATCH(Notes!$C$16,$U$3:$AB$3,0))-100%))*$L$99</f>
        <v>0</v>
      </c>
      <c r="M104" s="286"/>
      <c r="N104" s="286"/>
      <c r="O104" s="285"/>
      <c r="P104" s="285"/>
      <c r="Q104" s="285"/>
      <c r="R104" s="278"/>
      <c r="S104" s="278"/>
      <c r="T104" s="278"/>
    </row>
    <row r="105" spans="1:28" s="305" customFormat="1" ht="14.45" hidden="1" customHeight="1" outlineLevel="1" x14ac:dyDescent="0.25">
      <c r="A105" s="278"/>
      <c r="B105" s="279" t="str">
        <f t="shared" si="42"/>
        <v/>
      </c>
      <c r="C105" s="278"/>
      <c r="D105" s="278"/>
      <c r="E105" s="278"/>
      <c r="F105" s="278"/>
      <c r="G105" s="278"/>
      <c r="H105" s="290"/>
      <c r="I105" s="280">
        <f t="shared" si="43"/>
        <v>0</v>
      </c>
      <c r="J105" s="281">
        <f t="shared" si="44"/>
        <v>0</v>
      </c>
      <c r="K105" s="282">
        <f>IF(Notes!$B$9="Domestic",I105, IF(Notes!$B$9="Commercial",J105))*$K$99</f>
        <v>0</v>
      </c>
      <c r="L105" s="283">
        <f>(SUM(O105:Q105)+(K105+SUM(M105:Q105))*(INDEX($U$99:$AB$99,MATCH(Notes!$C$16,$U$3:$AB$3,0))-100%))*$L$99</f>
        <v>0</v>
      </c>
      <c r="M105" s="286"/>
      <c r="N105" s="286"/>
      <c r="O105" s="285"/>
      <c r="P105" s="285"/>
      <c r="Q105" s="285"/>
      <c r="R105" s="278"/>
      <c r="S105" s="278"/>
      <c r="T105" s="278"/>
    </row>
    <row r="106" spans="1:28" s="305" customFormat="1" hidden="1" outlineLevel="1" x14ac:dyDescent="0.25">
      <c r="A106" s="278"/>
      <c r="B106" s="279" t="str">
        <f t="shared" si="42"/>
        <v/>
      </c>
      <c r="C106" s="278"/>
      <c r="D106" s="278"/>
      <c r="E106" s="278"/>
      <c r="F106" s="278"/>
      <c r="G106" s="278"/>
      <c r="H106" s="290"/>
      <c r="I106" s="280">
        <f t="shared" si="43"/>
        <v>0</v>
      </c>
      <c r="J106" s="281">
        <f t="shared" si="44"/>
        <v>0</v>
      </c>
      <c r="K106" s="282">
        <f>IF(Notes!$B$9="Domestic",I106, IF(Notes!$B$9="Commercial",J106))*$K$99</f>
        <v>0</v>
      </c>
      <c r="L106" s="283">
        <f>(SUM(O106:Q106)+(K106+SUM(M106:Q106))*(INDEX($U$99:$AB$99,MATCH(Notes!$C$16,$U$3:$AB$3,0))-100%))*$L$99</f>
        <v>0</v>
      </c>
      <c r="M106" s="286"/>
      <c r="N106" s="286"/>
      <c r="O106" s="285"/>
      <c r="P106" s="285"/>
      <c r="Q106" s="285"/>
      <c r="R106" s="278"/>
      <c r="S106" s="278"/>
      <c r="T106" s="278"/>
    </row>
    <row r="107" spans="1:28" s="305" customFormat="1" hidden="1" outlineLevel="1" x14ac:dyDescent="0.25">
      <c r="A107" s="278"/>
      <c r="B107" s="279" t="str">
        <f t="shared" si="42"/>
        <v/>
      </c>
      <c r="C107" s="278"/>
      <c r="D107" s="278"/>
      <c r="E107" s="278"/>
      <c r="F107" s="278"/>
      <c r="G107" s="278"/>
      <c r="H107" s="290"/>
      <c r="I107" s="280">
        <f t="shared" si="43"/>
        <v>0</v>
      </c>
      <c r="J107" s="281">
        <f t="shared" si="44"/>
        <v>0</v>
      </c>
      <c r="K107" s="282">
        <f>IF(Notes!$B$9="Domestic",I107, IF(Notes!$B$9="Commercial",J107))*$K$99</f>
        <v>0</v>
      </c>
      <c r="L107" s="283">
        <f>(SUM(O107:Q107)+(K107+SUM(M107:Q107))*(INDEX($U$99:$AB$99,MATCH(Notes!$C$16,$U$3:$AB$3,0))-100%))*$L$99</f>
        <v>0</v>
      </c>
      <c r="M107" s="286"/>
      <c r="N107" s="286"/>
      <c r="O107" s="285"/>
      <c r="P107" s="285"/>
      <c r="Q107" s="285"/>
      <c r="R107" s="278"/>
      <c r="S107" s="278"/>
      <c r="T107" s="278"/>
    </row>
    <row r="108" spans="1:28" s="305" customFormat="1" hidden="1" outlineLevel="1" x14ac:dyDescent="0.25">
      <c r="A108" s="278"/>
      <c r="B108" s="279" t="str">
        <f t="shared" si="42"/>
        <v/>
      </c>
      <c r="C108" s="278"/>
      <c r="D108" s="278"/>
      <c r="E108" s="278"/>
      <c r="F108" s="278"/>
      <c r="G108" s="278"/>
      <c r="H108" s="290"/>
      <c r="I108" s="280">
        <f t="shared" si="43"/>
        <v>0</v>
      </c>
      <c r="J108" s="281">
        <f t="shared" si="44"/>
        <v>0</v>
      </c>
      <c r="K108" s="282">
        <f>IF(Notes!$B$9="Domestic",I108, IF(Notes!$B$9="Commercial",J108))*$K$99</f>
        <v>0</v>
      </c>
      <c r="L108" s="283">
        <f>(SUM(O108:Q108)+(K108+SUM(M108:Q108))*(INDEX($U$99:$AB$99,MATCH(Notes!$C$16,$U$3:$AB$3,0))-100%))*$L$99</f>
        <v>0</v>
      </c>
      <c r="M108" s="286"/>
      <c r="N108" s="286"/>
      <c r="O108" s="285"/>
      <c r="P108" s="285"/>
      <c r="Q108" s="285"/>
      <c r="R108" s="278"/>
      <c r="S108" s="278"/>
      <c r="T108" s="278"/>
    </row>
    <row r="109" spans="1:28" s="305" customFormat="1" hidden="1" outlineLevel="1" x14ac:dyDescent="0.25">
      <c r="A109" s="278"/>
      <c r="B109" s="279" t="str">
        <f t="shared" si="42"/>
        <v/>
      </c>
      <c r="C109" s="278"/>
      <c r="D109" s="278"/>
      <c r="E109" s="278"/>
      <c r="F109" s="278"/>
      <c r="G109" s="278"/>
      <c r="H109" s="290"/>
      <c r="I109" s="280">
        <f t="shared" si="43"/>
        <v>0</v>
      </c>
      <c r="J109" s="281">
        <f t="shared" si="44"/>
        <v>0</v>
      </c>
      <c r="K109" s="282">
        <f>IF(Notes!$B$9="Domestic",I109, IF(Notes!$B$9="Commercial",J109))*$K$99</f>
        <v>0</v>
      </c>
      <c r="L109" s="283">
        <f>(SUM(O109:Q109)+(K109+SUM(M109:Q109))*(INDEX($U$99:$AB$99,MATCH(Notes!$C$16,$U$3:$AB$3,0))-100%))*$L$99</f>
        <v>0</v>
      </c>
      <c r="M109" s="286"/>
      <c r="N109" s="286"/>
      <c r="O109" s="285"/>
      <c r="P109" s="285"/>
      <c r="Q109" s="285"/>
      <c r="R109" s="278"/>
      <c r="S109" s="278"/>
      <c r="T109" s="278"/>
    </row>
    <row r="110" spans="1:28" ht="21" hidden="1" outlineLevel="1" x14ac:dyDescent="0.25">
      <c r="A110" s="299"/>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row>
    <row r="111" spans="1:28" ht="15.75" hidden="1" outlineLevel="1" x14ac:dyDescent="0.25">
      <c r="A111" s="291"/>
      <c r="B111" s="291"/>
      <c r="C111" s="291"/>
      <c r="D111" s="291"/>
      <c r="E111" s="291"/>
      <c r="F111" s="291"/>
      <c r="G111" s="291"/>
      <c r="H111" s="291"/>
      <c r="I111" s="291"/>
      <c r="J111" s="291"/>
      <c r="K111" s="291">
        <f>K$2</f>
        <v>1</v>
      </c>
      <c r="L111" s="291">
        <f>L$2</f>
        <v>1</v>
      </c>
      <c r="M111" s="291"/>
      <c r="N111" s="291"/>
      <c r="O111" s="303"/>
      <c r="P111" s="303"/>
      <c r="Q111" s="303"/>
      <c r="R111" s="291"/>
      <c r="S111" s="291"/>
      <c r="T111" s="291"/>
      <c r="U111" s="291">
        <f>U$2</f>
        <v>1.1991525423728813</v>
      </c>
      <c r="V111" s="291">
        <f>V$2</f>
        <v>1</v>
      </c>
      <c r="W111" s="291">
        <f t="shared" ref="W111:AB111" si="45">W$2</f>
        <v>1.0148305084745761</v>
      </c>
      <c r="X111" s="291">
        <f t="shared" si="45"/>
        <v>0.90254237288135586</v>
      </c>
      <c r="Y111" s="291">
        <f t="shared" si="45"/>
        <v>1</v>
      </c>
      <c r="Z111" s="291">
        <f t="shared" si="45"/>
        <v>1.1652542372881356</v>
      </c>
      <c r="AA111" s="291">
        <f t="shared" si="45"/>
        <v>0.93220338983050843</v>
      </c>
      <c r="AB111" s="291">
        <f t="shared" si="45"/>
        <v>0.99576271186440668</v>
      </c>
    </row>
    <row r="112" spans="1:28" s="305" customFormat="1" hidden="1" outlineLevel="1" x14ac:dyDescent="0.25">
      <c r="A112" s="278"/>
      <c r="B112" s="279" t="str">
        <f>C112&amp;D112&amp;E112&amp;F112</f>
        <v/>
      </c>
      <c r="C112" s="278"/>
      <c r="D112" s="278"/>
      <c r="E112" s="278"/>
      <c r="F112" s="278"/>
      <c r="G112" s="278"/>
      <c r="H112" s="290"/>
      <c r="I112" s="280">
        <f>$I$2*H112</f>
        <v>0</v>
      </c>
      <c r="J112" s="281">
        <f>$J$2*H112</f>
        <v>0</v>
      </c>
      <c r="K112" s="282">
        <f>IF(Notes!$B$9="Domestic",I112, IF(Notes!$B$9="Commercial",J112))*$K$111</f>
        <v>0</v>
      </c>
      <c r="L112" s="283">
        <f>(SUM(O112:Q112)+(K112+SUM(M112:Q112))*(INDEX($U$111:$AB$111,MATCH(Notes!$C$16,$U$3:$AB$3,0))-100%))*$L$111</f>
        <v>0</v>
      </c>
      <c r="M112" s="286"/>
      <c r="N112" s="286"/>
      <c r="O112" s="285"/>
      <c r="P112" s="285"/>
      <c r="Q112" s="285"/>
      <c r="R112" s="278"/>
      <c r="S112" s="278"/>
      <c r="T112" s="278"/>
    </row>
    <row r="113" spans="1:28" s="305" customFormat="1" hidden="1" outlineLevel="1" x14ac:dyDescent="0.25">
      <c r="A113" s="278"/>
      <c r="B113" s="279" t="str">
        <f t="shared" ref="B113:B121" si="46">C113&amp;D113&amp;E113&amp;F113</f>
        <v/>
      </c>
      <c r="C113" s="278"/>
      <c r="D113" s="278"/>
      <c r="E113" s="278"/>
      <c r="F113" s="278"/>
      <c r="G113" s="278"/>
      <c r="H113" s="290"/>
      <c r="I113" s="280">
        <f t="shared" ref="I113:I121" si="47">$I$2*H113</f>
        <v>0</v>
      </c>
      <c r="J113" s="281">
        <f t="shared" ref="J113:J121" si="48">$J$2*H113</f>
        <v>0</v>
      </c>
      <c r="K113" s="282">
        <f>IF(Notes!$B$9="Domestic",I113, IF(Notes!$B$9="Commercial",J113))*$K$111</f>
        <v>0</v>
      </c>
      <c r="L113" s="283">
        <f>(SUM(O113:Q113)+(K113+SUM(M113:Q113))*(INDEX($U$111:$AB$111,MATCH(Notes!$C$16,$U$3:$AB$3,0))-100%))*$L$111</f>
        <v>0</v>
      </c>
      <c r="M113" s="286"/>
      <c r="N113" s="286"/>
      <c r="O113" s="285"/>
      <c r="P113" s="285"/>
      <c r="Q113" s="285"/>
      <c r="R113" s="278"/>
      <c r="S113" s="278"/>
      <c r="T113" s="278"/>
    </row>
    <row r="114" spans="1:28" s="305" customFormat="1" hidden="1" outlineLevel="1" x14ac:dyDescent="0.25">
      <c r="A114" s="278"/>
      <c r="B114" s="279" t="str">
        <f t="shared" si="46"/>
        <v/>
      </c>
      <c r="C114" s="278"/>
      <c r="D114" s="278"/>
      <c r="E114" s="278"/>
      <c r="F114" s="278"/>
      <c r="G114" s="278"/>
      <c r="H114" s="290"/>
      <c r="I114" s="280">
        <f t="shared" si="47"/>
        <v>0</v>
      </c>
      <c r="J114" s="281">
        <f t="shared" si="48"/>
        <v>0</v>
      </c>
      <c r="K114" s="282">
        <f>IF(Notes!$B$9="Domestic",I114, IF(Notes!$B$9="Commercial",J114))*$K$111</f>
        <v>0</v>
      </c>
      <c r="L114" s="283">
        <f>(SUM(O114:Q114)+(K114+SUM(M114:Q114))*(INDEX($U$111:$AB$111,MATCH(Notes!$C$16,$U$3:$AB$3,0))-100%))*$L$111</f>
        <v>0</v>
      </c>
      <c r="M114" s="286"/>
      <c r="N114" s="286"/>
      <c r="O114" s="285"/>
      <c r="P114" s="285"/>
      <c r="Q114" s="285"/>
      <c r="R114" s="278"/>
      <c r="S114" s="278"/>
      <c r="T114" s="278"/>
    </row>
    <row r="115" spans="1:28" s="305" customFormat="1" hidden="1" outlineLevel="1" x14ac:dyDescent="0.25">
      <c r="A115" s="278"/>
      <c r="B115" s="279" t="str">
        <f t="shared" si="46"/>
        <v/>
      </c>
      <c r="C115" s="278"/>
      <c r="D115" s="278"/>
      <c r="E115" s="278"/>
      <c r="F115" s="278"/>
      <c r="G115" s="278"/>
      <c r="H115" s="290"/>
      <c r="I115" s="280">
        <f t="shared" si="47"/>
        <v>0</v>
      </c>
      <c r="J115" s="281">
        <f t="shared" si="48"/>
        <v>0</v>
      </c>
      <c r="K115" s="282">
        <f>IF(Notes!$B$9="Domestic",I115, IF(Notes!$B$9="Commercial",J115))*$K$111</f>
        <v>0</v>
      </c>
      <c r="L115" s="283">
        <f>(SUM(O115:Q115)+(K115+SUM(M115:Q115))*(INDEX($U$111:$AB$111,MATCH(Notes!$C$16,$U$3:$AB$3,0))-100%))*$L$111</f>
        <v>0</v>
      </c>
      <c r="M115" s="286"/>
      <c r="N115" s="286"/>
      <c r="O115" s="285"/>
      <c r="P115" s="285"/>
      <c r="Q115" s="285"/>
      <c r="R115" s="278"/>
      <c r="S115" s="278"/>
      <c r="T115" s="278"/>
    </row>
    <row r="116" spans="1:28" s="305" customFormat="1" hidden="1" outlineLevel="1" x14ac:dyDescent="0.25">
      <c r="A116" s="278"/>
      <c r="B116" s="279" t="str">
        <f t="shared" si="46"/>
        <v/>
      </c>
      <c r="C116" s="278"/>
      <c r="D116" s="278"/>
      <c r="E116" s="278"/>
      <c r="F116" s="278"/>
      <c r="G116" s="278"/>
      <c r="H116" s="290"/>
      <c r="I116" s="280">
        <f>$I$2*H116</f>
        <v>0</v>
      </c>
      <c r="J116" s="281">
        <f t="shared" si="48"/>
        <v>0</v>
      </c>
      <c r="K116" s="282">
        <f>IF(Notes!$B$9="Domestic",I116, IF(Notes!$B$9="Commercial",J116))*$K$111</f>
        <v>0</v>
      </c>
      <c r="L116" s="283">
        <f>(SUM(O116:Q116)+(K116+SUM(M116:Q116))*(INDEX($U$111:$AB$111,MATCH(Notes!$C$16,$U$3:$AB$3,0))-100%))*$L$111</f>
        <v>0</v>
      </c>
      <c r="M116" s="286"/>
      <c r="N116" s="286"/>
      <c r="O116" s="285"/>
      <c r="P116" s="285"/>
      <c r="Q116" s="285"/>
      <c r="R116" s="278"/>
      <c r="S116" s="278"/>
      <c r="T116" s="278"/>
    </row>
    <row r="117" spans="1:28" s="305" customFormat="1" hidden="1" outlineLevel="1" x14ac:dyDescent="0.25">
      <c r="A117" s="278"/>
      <c r="B117" s="279" t="str">
        <f t="shared" si="46"/>
        <v/>
      </c>
      <c r="C117" s="278"/>
      <c r="D117" s="278"/>
      <c r="E117" s="278"/>
      <c r="F117" s="278"/>
      <c r="G117" s="278"/>
      <c r="H117" s="290"/>
      <c r="I117" s="280">
        <f t="shared" si="47"/>
        <v>0</v>
      </c>
      <c r="J117" s="281">
        <f t="shared" si="48"/>
        <v>0</v>
      </c>
      <c r="K117" s="282">
        <f>IF(Notes!$B$9="Domestic",I117, IF(Notes!$B$9="Commercial",J117))*$K$111</f>
        <v>0</v>
      </c>
      <c r="L117" s="283">
        <f>(SUM(O117:Q117)+(K117+SUM(M117:Q117))*(INDEX($U$111:$AB$111,MATCH(Notes!$C$16,$U$3:$AB$3,0))-100%))*$L$111</f>
        <v>0</v>
      </c>
      <c r="M117" s="286"/>
      <c r="N117" s="286"/>
      <c r="O117" s="285"/>
      <c r="P117" s="285"/>
      <c r="Q117" s="285"/>
      <c r="R117" s="278"/>
      <c r="S117" s="278"/>
      <c r="T117" s="278"/>
    </row>
    <row r="118" spans="1:28" s="305" customFormat="1" hidden="1" outlineLevel="1" x14ac:dyDescent="0.25">
      <c r="A118" s="278"/>
      <c r="B118" s="279" t="str">
        <f t="shared" si="46"/>
        <v/>
      </c>
      <c r="C118" s="278"/>
      <c r="D118" s="278"/>
      <c r="E118" s="278"/>
      <c r="F118" s="278"/>
      <c r="G118" s="278"/>
      <c r="H118" s="290"/>
      <c r="I118" s="280">
        <f t="shared" si="47"/>
        <v>0</v>
      </c>
      <c r="J118" s="281">
        <f t="shared" si="48"/>
        <v>0</v>
      </c>
      <c r="K118" s="282">
        <f>IF(Notes!$B$9="Domestic",I118, IF(Notes!$B$9="Commercial",J118))*$K$111</f>
        <v>0</v>
      </c>
      <c r="L118" s="283">
        <f>(SUM(O118:Q118)+(K118+SUM(M118:Q118))*(INDEX($U$111:$AB$111,MATCH(Notes!$C$16,$U$3:$AB$3,0))-100%))*$L$111</f>
        <v>0</v>
      </c>
      <c r="M118" s="286"/>
      <c r="N118" s="286"/>
      <c r="O118" s="285"/>
      <c r="P118" s="285"/>
      <c r="Q118" s="285"/>
      <c r="R118" s="278"/>
      <c r="S118" s="278"/>
      <c r="T118" s="278"/>
    </row>
    <row r="119" spans="1:28" s="305" customFormat="1" hidden="1" outlineLevel="1" x14ac:dyDescent="0.25">
      <c r="A119" s="278"/>
      <c r="B119" s="279" t="str">
        <f t="shared" si="46"/>
        <v/>
      </c>
      <c r="C119" s="278"/>
      <c r="D119" s="278"/>
      <c r="E119" s="278"/>
      <c r="F119" s="278"/>
      <c r="G119" s="278"/>
      <c r="H119" s="290"/>
      <c r="I119" s="280">
        <f t="shared" si="47"/>
        <v>0</v>
      </c>
      <c r="J119" s="281">
        <f t="shared" si="48"/>
        <v>0</v>
      </c>
      <c r="K119" s="282">
        <f>IF(Notes!$B$9="Domestic",I119, IF(Notes!$B$9="Commercial",J119))*$K$111</f>
        <v>0</v>
      </c>
      <c r="L119" s="283">
        <f>(SUM(O119:Q119)+(K119+SUM(M119:Q119))*(INDEX($U$111:$AB$111,MATCH(Notes!$C$16,$U$3:$AB$3,0))-100%))*$L$111</f>
        <v>0</v>
      </c>
      <c r="M119" s="286"/>
      <c r="N119" s="286"/>
      <c r="O119" s="285"/>
      <c r="P119" s="285"/>
      <c r="Q119" s="285"/>
      <c r="R119" s="278"/>
      <c r="S119" s="278"/>
      <c r="T119" s="278"/>
    </row>
    <row r="120" spans="1:28" s="305" customFormat="1" hidden="1" outlineLevel="1" x14ac:dyDescent="0.25">
      <c r="A120" s="278"/>
      <c r="B120" s="279" t="str">
        <f t="shared" si="46"/>
        <v/>
      </c>
      <c r="C120" s="278"/>
      <c r="D120" s="278"/>
      <c r="E120" s="278"/>
      <c r="F120" s="278"/>
      <c r="G120" s="278"/>
      <c r="H120" s="290"/>
      <c r="I120" s="280">
        <f t="shared" si="47"/>
        <v>0</v>
      </c>
      <c r="J120" s="281">
        <f t="shared" si="48"/>
        <v>0</v>
      </c>
      <c r="K120" s="282">
        <f>IF(Notes!$B$9="Domestic",I120, IF(Notes!$B$9="Commercial",J120))*$K$111</f>
        <v>0</v>
      </c>
      <c r="L120" s="283">
        <f>(SUM(O120:Q120)+(K120+SUM(M120:Q120))*(INDEX($U$111:$AB$111,MATCH(Notes!$C$16,$U$3:$AB$3,0))-100%))*$L$111</f>
        <v>0</v>
      </c>
      <c r="M120" s="286"/>
      <c r="N120" s="286"/>
      <c r="O120" s="285"/>
      <c r="P120" s="285"/>
      <c r="Q120" s="285"/>
      <c r="R120" s="278"/>
      <c r="S120" s="278"/>
      <c r="T120" s="278"/>
    </row>
    <row r="121" spans="1:28" s="305" customFormat="1" hidden="1" outlineLevel="1" x14ac:dyDescent="0.25">
      <c r="A121" s="278"/>
      <c r="B121" s="279" t="str">
        <f t="shared" si="46"/>
        <v/>
      </c>
      <c r="C121" s="278"/>
      <c r="D121" s="278"/>
      <c r="E121" s="278"/>
      <c r="F121" s="278"/>
      <c r="G121" s="278"/>
      <c r="H121" s="290"/>
      <c r="I121" s="280">
        <f t="shared" si="47"/>
        <v>0</v>
      </c>
      <c r="J121" s="281">
        <f t="shared" si="48"/>
        <v>0</v>
      </c>
      <c r="K121" s="282">
        <f>IF(Notes!$B$9="Domestic",I121, IF(Notes!$B$9="Commercial",J121))*$K$111</f>
        <v>0</v>
      </c>
      <c r="L121" s="283">
        <f>(SUM(O121:Q121)+(K121+SUM(M121:Q121))*(INDEX($U$111:$AB$111,MATCH(Notes!$C$16,$U$3:$AB$3,0))-100%))*$L$111</f>
        <v>0</v>
      </c>
      <c r="M121" s="286"/>
      <c r="N121" s="286"/>
      <c r="O121" s="285"/>
      <c r="P121" s="285"/>
      <c r="Q121" s="285"/>
      <c r="R121" s="278"/>
      <c r="S121" s="278"/>
      <c r="T121" s="278"/>
    </row>
    <row r="122" spans="1:28" ht="21" hidden="1" outlineLevel="1" x14ac:dyDescent="0.25">
      <c r="A122" s="299"/>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row>
    <row r="123" spans="1:28" ht="15.75" hidden="1" outlineLevel="1" x14ac:dyDescent="0.25">
      <c r="A123" s="291"/>
      <c r="B123" s="291"/>
      <c r="C123" s="291"/>
      <c r="D123" s="291"/>
      <c r="E123" s="291"/>
      <c r="F123" s="291"/>
      <c r="G123" s="291"/>
      <c r="H123" s="291"/>
      <c r="I123" s="291"/>
      <c r="J123" s="291"/>
      <c r="K123" s="291">
        <f>K$2</f>
        <v>1</v>
      </c>
      <c r="L123" s="291">
        <f>L$2</f>
        <v>1</v>
      </c>
      <c r="M123" s="291"/>
      <c r="N123" s="291"/>
      <c r="O123" s="303"/>
      <c r="P123" s="303"/>
      <c r="Q123" s="303"/>
      <c r="R123" s="291"/>
      <c r="S123" s="291"/>
      <c r="T123" s="291"/>
      <c r="U123" s="291">
        <f>U$2</f>
        <v>1.1991525423728813</v>
      </c>
      <c r="V123" s="291">
        <f>V$2</f>
        <v>1</v>
      </c>
      <c r="W123" s="291">
        <f t="shared" ref="W123:AB123" si="49">W$2</f>
        <v>1.0148305084745761</v>
      </c>
      <c r="X123" s="291">
        <f t="shared" si="49"/>
        <v>0.90254237288135586</v>
      </c>
      <c r="Y123" s="291">
        <f t="shared" si="49"/>
        <v>1</v>
      </c>
      <c r="Z123" s="291">
        <f t="shared" si="49"/>
        <v>1.1652542372881356</v>
      </c>
      <c r="AA123" s="291">
        <f t="shared" si="49"/>
        <v>0.93220338983050843</v>
      </c>
      <c r="AB123" s="291">
        <f t="shared" si="49"/>
        <v>0.99576271186440668</v>
      </c>
    </row>
    <row r="124" spans="1:28" s="305" customFormat="1" hidden="1" outlineLevel="1" x14ac:dyDescent="0.25">
      <c r="A124" s="278"/>
      <c r="B124" s="279" t="str">
        <f>C124&amp;D124&amp;E124&amp;F124</f>
        <v/>
      </c>
      <c r="C124" s="278"/>
      <c r="D124" s="278"/>
      <c r="E124" s="278"/>
      <c r="F124" s="278"/>
      <c r="G124" s="278"/>
      <c r="H124" s="290"/>
      <c r="I124" s="280">
        <f>$I$2*H124</f>
        <v>0</v>
      </c>
      <c r="J124" s="281">
        <f>$J$2*H124</f>
        <v>0</v>
      </c>
      <c r="K124" s="282">
        <f>IF(Notes!$B$9="Domestic",I124, IF(Notes!$B$9="Commercial",J124))*$K$123</f>
        <v>0</v>
      </c>
      <c r="L124" s="283">
        <f>(SUM(O124:Q124)+(K124+SUM(M124:Q124))*(INDEX($U$123:$AB$123,MATCH(Notes!$C$16,$U$3:$AB$3,0))-100%))*$L$123</f>
        <v>0</v>
      </c>
      <c r="M124" s="286"/>
      <c r="N124" s="286"/>
      <c r="O124" s="285"/>
      <c r="P124" s="285"/>
      <c r="Q124" s="285"/>
      <c r="R124" s="278"/>
      <c r="S124" s="278"/>
      <c r="T124" s="278"/>
    </row>
    <row r="125" spans="1:28" s="305" customFormat="1" hidden="1" outlineLevel="1" x14ac:dyDescent="0.25">
      <c r="A125" s="278"/>
      <c r="B125" s="279" t="str">
        <f t="shared" ref="B125:B133" si="50">C125&amp;D125&amp;E125&amp;F125</f>
        <v/>
      </c>
      <c r="C125" s="278"/>
      <c r="D125" s="278"/>
      <c r="E125" s="278"/>
      <c r="F125" s="278"/>
      <c r="G125" s="278"/>
      <c r="H125" s="290"/>
      <c r="I125" s="280">
        <f t="shared" ref="I125:I133" si="51">$I$2*H125</f>
        <v>0</v>
      </c>
      <c r="J125" s="281">
        <f t="shared" ref="J125:J133" si="52">$J$2*H125</f>
        <v>0</v>
      </c>
      <c r="K125" s="282">
        <f>IF(Notes!$B$9="Domestic",I125, IF(Notes!$B$9="Commercial",J125))*$K$123</f>
        <v>0</v>
      </c>
      <c r="L125" s="283">
        <f>(SUM(O125:Q125)+(K125+SUM(M125:Q125))*(INDEX($U$123:$AB$123,MATCH(Notes!$C$16,$U$3:$AB$3,0))-100%))*$L$123</f>
        <v>0</v>
      </c>
      <c r="M125" s="286"/>
      <c r="N125" s="286"/>
      <c r="O125" s="285"/>
      <c r="P125" s="285"/>
      <c r="Q125" s="285"/>
      <c r="R125" s="278"/>
      <c r="S125" s="278"/>
      <c r="T125" s="278"/>
    </row>
    <row r="126" spans="1:28" s="305" customFormat="1" hidden="1" outlineLevel="1" x14ac:dyDescent="0.25">
      <c r="A126" s="278"/>
      <c r="B126" s="279" t="str">
        <f t="shared" si="50"/>
        <v/>
      </c>
      <c r="C126" s="278"/>
      <c r="D126" s="278"/>
      <c r="E126" s="278"/>
      <c r="F126" s="278"/>
      <c r="G126" s="278"/>
      <c r="H126" s="290"/>
      <c r="I126" s="280">
        <f t="shared" si="51"/>
        <v>0</v>
      </c>
      <c r="J126" s="281">
        <f t="shared" si="52"/>
        <v>0</v>
      </c>
      <c r="K126" s="282">
        <f>IF(Notes!$B$9="Domestic",I126, IF(Notes!$B$9="Commercial",J126))*$K$123</f>
        <v>0</v>
      </c>
      <c r="L126" s="283">
        <f>(SUM(O126:Q126)+(K126+SUM(M126:Q126))*(INDEX($U$123:$AB$123,MATCH(Notes!$C$16,$U$3:$AB$3,0))-100%))*$L$123</f>
        <v>0</v>
      </c>
      <c r="M126" s="286"/>
      <c r="N126" s="286"/>
      <c r="O126" s="285"/>
      <c r="P126" s="285"/>
      <c r="Q126" s="285"/>
      <c r="R126" s="278"/>
      <c r="S126" s="278"/>
      <c r="T126" s="278"/>
    </row>
    <row r="127" spans="1:28" s="305" customFormat="1" hidden="1" outlineLevel="1" x14ac:dyDescent="0.25">
      <c r="A127" s="278"/>
      <c r="B127" s="279" t="str">
        <f t="shared" si="50"/>
        <v/>
      </c>
      <c r="C127" s="278"/>
      <c r="D127" s="278"/>
      <c r="E127" s="278"/>
      <c r="F127" s="278"/>
      <c r="G127" s="278"/>
      <c r="H127" s="290"/>
      <c r="I127" s="280">
        <f t="shared" si="51"/>
        <v>0</v>
      </c>
      <c r="J127" s="281">
        <f t="shared" si="52"/>
        <v>0</v>
      </c>
      <c r="K127" s="282">
        <f>IF(Notes!$B$9="Domestic",I127, IF(Notes!$B$9="Commercial",J127))*$K$123</f>
        <v>0</v>
      </c>
      <c r="L127" s="283">
        <f>(SUM(O127:Q127)+(K127+SUM(M127:Q127))*(INDEX($U$123:$AB$123,MATCH(Notes!$C$16,$U$3:$AB$3,0))-100%))*$L$123</f>
        <v>0</v>
      </c>
      <c r="M127" s="286"/>
      <c r="N127" s="286"/>
      <c r="O127" s="285"/>
      <c r="P127" s="285"/>
      <c r="Q127" s="285"/>
      <c r="R127" s="278"/>
      <c r="S127" s="278"/>
      <c r="T127" s="278"/>
    </row>
    <row r="128" spans="1:28" s="305" customFormat="1" hidden="1" outlineLevel="1" x14ac:dyDescent="0.25">
      <c r="A128" s="278"/>
      <c r="B128" s="279" t="str">
        <f t="shared" si="50"/>
        <v/>
      </c>
      <c r="C128" s="278"/>
      <c r="D128" s="278"/>
      <c r="E128" s="278"/>
      <c r="F128" s="278"/>
      <c r="G128" s="278"/>
      <c r="H128" s="290"/>
      <c r="I128" s="280">
        <f>$I$2*H128</f>
        <v>0</v>
      </c>
      <c r="J128" s="281">
        <f t="shared" si="52"/>
        <v>0</v>
      </c>
      <c r="K128" s="282">
        <f>IF(Notes!$B$9="Domestic",I128, IF(Notes!$B$9="Commercial",J128))*$K$123</f>
        <v>0</v>
      </c>
      <c r="L128" s="283">
        <f>(SUM(O128:Q128)+(K128+SUM(M128:Q128))*(INDEX($U$123:$AB$123,MATCH(Notes!$C$16,$U$3:$AB$3,0))-100%))*$L$123</f>
        <v>0</v>
      </c>
      <c r="M128" s="286"/>
      <c r="N128" s="286"/>
      <c r="O128" s="285"/>
      <c r="P128" s="285"/>
      <c r="Q128" s="285"/>
      <c r="R128" s="278"/>
      <c r="S128" s="278"/>
      <c r="T128" s="278"/>
    </row>
    <row r="129" spans="1:28" s="305" customFormat="1" hidden="1" outlineLevel="1" x14ac:dyDescent="0.25">
      <c r="A129" s="278"/>
      <c r="B129" s="279" t="str">
        <f t="shared" si="50"/>
        <v/>
      </c>
      <c r="C129" s="278"/>
      <c r="D129" s="278"/>
      <c r="E129" s="278"/>
      <c r="F129" s="278"/>
      <c r="G129" s="278"/>
      <c r="H129" s="290"/>
      <c r="I129" s="280">
        <f t="shared" si="51"/>
        <v>0</v>
      </c>
      <c r="J129" s="281">
        <f t="shared" si="52"/>
        <v>0</v>
      </c>
      <c r="K129" s="282">
        <f>IF(Notes!$B$9="Domestic",I129, IF(Notes!$B$9="Commercial",J129))*$K$123</f>
        <v>0</v>
      </c>
      <c r="L129" s="283">
        <f>(SUM(O129:Q129)+(K129+SUM(M129:Q129))*(INDEX($U$123:$AB$123,MATCH(Notes!$C$16,$U$3:$AB$3,0))-100%))*$L$123</f>
        <v>0</v>
      </c>
      <c r="M129" s="286"/>
      <c r="N129" s="286"/>
      <c r="O129" s="285"/>
      <c r="P129" s="285"/>
      <c r="Q129" s="285"/>
      <c r="R129" s="278"/>
      <c r="S129" s="278"/>
      <c r="T129" s="278"/>
    </row>
    <row r="130" spans="1:28" s="305" customFormat="1" hidden="1" outlineLevel="1" x14ac:dyDescent="0.25">
      <c r="A130" s="278"/>
      <c r="B130" s="279" t="str">
        <f t="shared" si="50"/>
        <v/>
      </c>
      <c r="C130" s="278"/>
      <c r="D130" s="278"/>
      <c r="E130" s="278"/>
      <c r="F130" s="278"/>
      <c r="G130" s="278"/>
      <c r="H130" s="290"/>
      <c r="I130" s="280">
        <f t="shared" si="51"/>
        <v>0</v>
      </c>
      <c r="J130" s="281">
        <f t="shared" si="52"/>
        <v>0</v>
      </c>
      <c r="K130" s="282">
        <f>IF(Notes!$B$9="Domestic",I130, IF(Notes!$B$9="Commercial",J130))*$K$123</f>
        <v>0</v>
      </c>
      <c r="L130" s="283">
        <f>(SUM(O130:Q130)+(K130+SUM(M130:Q130))*(INDEX($U$123:$AB$123,MATCH(Notes!$C$16,$U$3:$AB$3,0))-100%))*$L$123</f>
        <v>0</v>
      </c>
      <c r="M130" s="286"/>
      <c r="N130" s="286"/>
      <c r="O130" s="285"/>
      <c r="P130" s="285"/>
      <c r="Q130" s="285"/>
      <c r="R130" s="278"/>
      <c r="S130" s="278"/>
      <c r="T130" s="278"/>
    </row>
    <row r="131" spans="1:28" s="305" customFormat="1" hidden="1" outlineLevel="1" x14ac:dyDescent="0.25">
      <c r="A131" s="278"/>
      <c r="B131" s="279" t="str">
        <f t="shared" si="50"/>
        <v/>
      </c>
      <c r="C131" s="278"/>
      <c r="D131" s="278"/>
      <c r="E131" s="278"/>
      <c r="F131" s="278"/>
      <c r="G131" s="278"/>
      <c r="H131" s="290"/>
      <c r="I131" s="280">
        <f t="shared" si="51"/>
        <v>0</v>
      </c>
      <c r="J131" s="281">
        <f t="shared" si="52"/>
        <v>0</v>
      </c>
      <c r="K131" s="282">
        <f>IF(Notes!$B$9="Domestic",I131, IF(Notes!$B$9="Commercial",J131))*$K$123</f>
        <v>0</v>
      </c>
      <c r="L131" s="283">
        <f>(SUM(O131:Q131)+(K131+SUM(M131:Q131))*(INDEX($U$123:$AB$123,MATCH(Notes!$C$16,$U$3:$AB$3,0))-100%))*$L$123</f>
        <v>0</v>
      </c>
      <c r="M131" s="286"/>
      <c r="N131" s="286"/>
      <c r="O131" s="285"/>
      <c r="P131" s="285"/>
      <c r="Q131" s="285"/>
      <c r="R131" s="278"/>
      <c r="S131" s="278"/>
      <c r="T131" s="278"/>
    </row>
    <row r="132" spans="1:28" s="305" customFormat="1" hidden="1" outlineLevel="1" x14ac:dyDescent="0.25">
      <c r="A132" s="278"/>
      <c r="B132" s="279" t="str">
        <f t="shared" si="50"/>
        <v/>
      </c>
      <c r="C132" s="278"/>
      <c r="D132" s="278"/>
      <c r="E132" s="278"/>
      <c r="F132" s="278"/>
      <c r="G132" s="278"/>
      <c r="H132" s="290"/>
      <c r="I132" s="280">
        <f t="shared" si="51"/>
        <v>0</v>
      </c>
      <c r="J132" s="281">
        <f t="shared" si="52"/>
        <v>0</v>
      </c>
      <c r="K132" s="282">
        <f>IF(Notes!$B$9="Domestic",I132, IF(Notes!$B$9="Commercial",J132))*$K$123</f>
        <v>0</v>
      </c>
      <c r="L132" s="283">
        <f>(SUM(O132:Q132)+(K132+SUM(M132:Q132))*(INDEX($U$123:$AB$123,MATCH(Notes!$C$16,$U$3:$AB$3,0))-100%))*$L$123</f>
        <v>0</v>
      </c>
      <c r="M132" s="286"/>
      <c r="N132" s="286"/>
      <c r="O132" s="285"/>
      <c r="P132" s="285"/>
      <c r="Q132" s="285"/>
      <c r="R132" s="278"/>
      <c r="S132" s="278"/>
      <c r="T132" s="278"/>
    </row>
    <row r="133" spans="1:28" s="305" customFormat="1" hidden="1" outlineLevel="1" x14ac:dyDescent="0.25">
      <c r="A133" s="278"/>
      <c r="B133" s="279" t="str">
        <f t="shared" si="50"/>
        <v/>
      </c>
      <c r="C133" s="278"/>
      <c r="D133" s="278"/>
      <c r="E133" s="278"/>
      <c r="F133" s="278"/>
      <c r="G133" s="278"/>
      <c r="H133" s="290"/>
      <c r="I133" s="280">
        <f t="shared" si="51"/>
        <v>0</v>
      </c>
      <c r="J133" s="281">
        <f t="shared" si="52"/>
        <v>0</v>
      </c>
      <c r="K133" s="282">
        <f>IF(Notes!$B$9="Domestic",I133, IF(Notes!$B$9="Commercial",J133))*$K$123</f>
        <v>0</v>
      </c>
      <c r="L133" s="283">
        <f>(SUM(O133:Q133)+(K133+SUM(M133:Q133))*(INDEX($U$123:$AB$123,MATCH(Notes!$C$16,$U$3:$AB$3,0))-100%))*$L$123</f>
        <v>0</v>
      </c>
      <c r="M133" s="286"/>
      <c r="N133" s="286"/>
      <c r="O133" s="285"/>
      <c r="P133" s="285"/>
      <c r="Q133" s="285"/>
      <c r="R133" s="278"/>
      <c r="S133" s="278"/>
      <c r="T133" s="278"/>
    </row>
    <row r="134" spans="1:28" ht="21" hidden="1" outlineLevel="1" x14ac:dyDescent="0.25">
      <c r="A134" s="299"/>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row>
    <row r="135" spans="1:28" ht="15.75" hidden="1" outlineLevel="1" x14ac:dyDescent="0.25">
      <c r="A135" s="291"/>
      <c r="B135" s="291"/>
      <c r="C135" s="291"/>
      <c r="D135" s="291"/>
      <c r="E135" s="291"/>
      <c r="F135" s="291"/>
      <c r="G135" s="291"/>
      <c r="H135" s="291"/>
      <c r="I135" s="291"/>
      <c r="J135" s="291"/>
      <c r="K135" s="291">
        <f>K$2</f>
        <v>1</v>
      </c>
      <c r="L135" s="291">
        <f>L$2</f>
        <v>1</v>
      </c>
      <c r="M135" s="291"/>
      <c r="N135" s="291"/>
      <c r="O135" s="303"/>
      <c r="P135" s="303"/>
      <c r="Q135" s="303"/>
      <c r="R135" s="291"/>
      <c r="S135" s="291"/>
      <c r="T135" s="291"/>
      <c r="U135" s="291">
        <f>U$2</f>
        <v>1.1991525423728813</v>
      </c>
      <c r="V135" s="291">
        <f>V$2</f>
        <v>1</v>
      </c>
      <c r="W135" s="291">
        <f t="shared" ref="W135:AB135" si="53">W$2</f>
        <v>1.0148305084745761</v>
      </c>
      <c r="X135" s="291">
        <f t="shared" si="53"/>
        <v>0.90254237288135586</v>
      </c>
      <c r="Y135" s="291">
        <f t="shared" si="53"/>
        <v>1</v>
      </c>
      <c r="Z135" s="291">
        <f t="shared" si="53"/>
        <v>1.1652542372881356</v>
      </c>
      <c r="AA135" s="291">
        <f t="shared" si="53"/>
        <v>0.93220338983050843</v>
      </c>
      <c r="AB135" s="291">
        <f t="shared" si="53"/>
        <v>0.99576271186440668</v>
      </c>
    </row>
    <row r="136" spans="1:28" s="305" customFormat="1" hidden="1" outlineLevel="1" x14ac:dyDescent="0.25">
      <c r="A136" s="278"/>
      <c r="B136" s="279" t="str">
        <f>C136&amp;D136&amp;E136&amp;F136</f>
        <v/>
      </c>
      <c r="C136" s="278"/>
      <c r="D136" s="278"/>
      <c r="E136" s="278"/>
      <c r="F136" s="278"/>
      <c r="G136" s="278"/>
      <c r="H136" s="290"/>
      <c r="I136" s="280">
        <f>$I$2*H136</f>
        <v>0</v>
      </c>
      <c r="J136" s="281">
        <f>$J$2*H136</f>
        <v>0</v>
      </c>
      <c r="K136" s="282">
        <f>IF(Notes!$B$9="Domestic",I136, IF(Notes!$B$9="Commercial",J136))*$K$135</f>
        <v>0</v>
      </c>
      <c r="L136" s="283">
        <f>(SUM(O136:Q136)+(K136+SUM(M136:Q136))*(INDEX($U$135:$AB$135,MATCH(Notes!$C$16,$U$3:$AB$3,0))-100%))*$L$135</f>
        <v>0</v>
      </c>
      <c r="M136" s="286"/>
      <c r="N136" s="286"/>
      <c r="O136" s="285"/>
      <c r="P136" s="285"/>
      <c r="Q136" s="285"/>
      <c r="R136" s="278"/>
      <c r="S136" s="278"/>
      <c r="T136" s="278"/>
    </row>
    <row r="137" spans="1:28" s="305" customFormat="1" hidden="1" outlineLevel="1" x14ac:dyDescent="0.25">
      <c r="A137" s="278"/>
      <c r="B137" s="279" t="str">
        <f t="shared" ref="B137:B145" si="54">C137&amp;D137&amp;E137&amp;F137</f>
        <v/>
      </c>
      <c r="C137" s="278"/>
      <c r="D137" s="278"/>
      <c r="E137" s="278"/>
      <c r="F137" s="278"/>
      <c r="G137" s="278"/>
      <c r="H137" s="290"/>
      <c r="I137" s="280">
        <f t="shared" ref="I137:I145" si="55">$I$2*H137</f>
        <v>0</v>
      </c>
      <c r="J137" s="281">
        <f t="shared" ref="J137:J145" si="56">$J$2*H137</f>
        <v>0</v>
      </c>
      <c r="K137" s="282">
        <f>IF(Notes!$B$9="Domestic",I137, IF(Notes!$B$9="Commercial",J137))*$K$135</f>
        <v>0</v>
      </c>
      <c r="L137" s="283">
        <f>(SUM(O137:Q137)+(K137+SUM(M137:Q137))*(INDEX($U$135:$AB$135,MATCH(Notes!$C$16,$U$3:$AB$3,0))-100%))*$L$135</f>
        <v>0</v>
      </c>
      <c r="M137" s="286"/>
      <c r="N137" s="286"/>
      <c r="O137" s="285"/>
      <c r="P137" s="285"/>
      <c r="Q137" s="285"/>
      <c r="R137" s="278"/>
      <c r="S137" s="278"/>
      <c r="T137" s="278"/>
    </row>
    <row r="138" spans="1:28" s="305" customFormat="1" hidden="1" outlineLevel="1" x14ac:dyDescent="0.25">
      <c r="A138" s="278"/>
      <c r="B138" s="279" t="str">
        <f t="shared" si="54"/>
        <v/>
      </c>
      <c r="C138" s="278"/>
      <c r="D138" s="278"/>
      <c r="E138" s="278"/>
      <c r="F138" s="278"/>
      <c r="G138" s="278"/>
      <c r="H138" s="290"/>
      <c r="I138" s="280">
        <f t="shared" si="55"/>
        <v>0</v>
      </c>
      <c r="J138" s="281">
        <f t="shared" si="56"/>
        <v>0</v>
      </c>
      <c r="K138" s="282">
        <f>IF(Notes!$B$9="Domestic",I138, IF(Notes!$B$9="Commercial",J138))*$K$135</f>
        <v>0</v>
      </c>
      <c r="L138" s="283">
        <f>(SUM(O138:Q138)+(K138+SUM(M138:Q138))*(INDEX($U$135:$AB$135,MATCH(Notes!$C$16,$U$3:$AB$3,0))-100%))*$L$135</f>
        <v>0</v>
      </c>
      <c r="M138" s="286"/>
      <c r="N138" s="286"/>
      <c r="O138" s="285"/>
      <c r="P138" s="285"/>
      <c r="Q138" s="285"/>
      <c r="R138" s="278"/>
      <c r="S138" s="278"/>
      <c r="T138" s="278"/>
    </row>
    <row r="139" spans="1:28" s="305" customFormat="1" hidden="1" outlineLevel="1" x14ac:dyDescent="0.25">
      <c r="A139" s="278"/>
      <c r="B139" s="279" t="str">
        <f t="shared" si="54"/>
        <v/>
      </c>
      <c r="C139" s="278"/>
      <c r="D139" s="278"/>
      <c r="E139" s="278"/>
      <c r="F139" s="278"/>
      <c r="G139" s="278"/>
      <c r="H139" s="290"/>
      <c r="I139" s="280">
        <f t="shared" si="55"/>
        <v>0</v>
      </c>
      <c r="J139" s="281">
        <f t="shared" si="56"/>
        <v>0</v>
      </c>
      <c r="K139" s="282">
        <f>IF(Notes!$B$9="Domestic",I139, IF(Notes!$B$9="Commercial",J139))*$K$135</f>
        <v>0</v>
      </c>
      <c r="L139" s="283">
        <f>(SUM(O139:Q139)+(K139+SUM(M139:Q139))*(INDEX($U$135:$AB$135,MATCH(Notes!$C$16,$U$3:$AB$3,0))-100%))*$L$135</f>
        <v>0</v>
      </c>
      <c r="M139" s="286"/>
      <c r="N139" s="286"/>
      <c r="O139" s="285"/>
      <c r="P139" s="285"/>
      <c r="Q139" s="285"/>
      <c r="R139" s="278"/>
      <c r="S139" s="278"/>
      <c r="T139" s="278"/>
    </row>
    <row r="140" spans="1:28" s="305" customFormat="1" hidden="1" outlineLevel="1" x14ac:dyDescent="0.25">
      <c r="A140" s="278"/>
      <c r="B140" s="279" t="str">
        <f t="shared" si="54"/>
        <v/>
      </c>
      <c r="C140" s="278"/>
      <c r="D140" s="278"/>
      <c r="E140" s="278"/>
      <c r="F140" s="278"/>
      <c r="G140" s="278"/>
      <c r="H140" s="290"/>
      <c r="I140" s="280">
        <f>$I$2*H140</f>
        <v>0</v>
      </c>
      <c r="J140" s="281">
        <f t="shared" si="56"/>
        <v>0</v>
      </c>
      <c r="K140" s="282">
        <f>IF(Notes!$B$9="Domestic",I140, IF(Notes!$B$9="Commercial",J140))*$K$135</f>
        <v>0</v>
      </c>
      <c r="L140" s="283">
        <f>(SUM(O140:Q140)+(K140+SUM(M140:Q140))*(INDEX($U$135:$AB$135,MATCH(Notes!$C$16,$U$3:$AB$3,0))-100%))*$L$135</f>
        <v>0</v>
      </c>
      <c r="M140" s="286"/>
      <c r="N140" s="286"/>
      <c r="O140" s="285"/>
      <c r="P140" s="285"/>
      <c r="Q140" s="285"/>
      <c r="R140" s="278"/>
      <c r="S140" s="278"/>
      <c r="T140" s="278"/>
    </row>
    <row r="141" spans="1:28" s="305" customFormat="1" hidden="1" outlineLevel="1" x14ac:dyDescent="0.25">
      <c r="A141" s="278"/>
      <c r="B141" s="279" t="str">
        <f t="shared" si="54"/>
        <v/>
      </c>
      <c r="C141" s="278"/>
      <c r="D141" s="278"/>
      <c r="E141" s="278"/>
      <c r="F141" s="278"/>
      <c r="G141" s="278"/>
      <c r="H141" s="290"/>
      <c r="I141" s="280">
        <f t="shared" si="55"/>
        <v>0</v>
      </c>
      <c r="J141" s="281">
        <f t="shared" si="56"/>
        <v>0</v>
      </c>
      <c r="K141" s="282">
        <f>IF(Notes!$B$9="Domestic",I141, IF(Notes!$B$9="Commercial",J141))*$K$135</f>
        <v>0</v>
      </c>
      <c r="L141" s="283">
        <f>(SUM(O141:Q141)+(K141+SUM(M141:Q141))*(INDEX($U$135:$AB$135,MATCH(Notes!$C$16,$U$3:$AB$3,0))-100%))*$L$135</f>
        <v>0</v>
      </c>
      <c r="M141" s="286"/>
      <c r="N141" s="286"/>
      <c r="O141" s="285"/>
      <c r="P141" s="285"/>
      <c r="Q141" s="285"/>
      <c r="R141" s="278"/>
      <c r="S141" s="278"/>
      <c r="T141" s="278"/>
    </row>
    <row r="142" spans="1:28" s="305" customFormat="1" hidden="1" outlineLevel="1" x14ac:dyDescent="0.25">
      <c r="A142" s="278"/>
      <c r="B142" s="279" t="str">
        <f t="shared" si="54"/>
        <v/>
      </c>
      <c r="C142" s="278"/>
      <c r="D142" s="278"/>
      <c r="E142" s="278"/>
      <c r="F142" s="278"/>
      <c r="G142" s="278"/>
      <c r="H142" s="290"/>
      <c r="I142" s="280">
        <f t="shared" si="55"/>
        <v>0</v>
      </c>
      <c r="J142" s="281">
        <f t="shared" si="56"/>
        <v>0</v>
      </c>
      <c r="K142" s="282">
        <f>IF(Notes!$B$9="Domestic",I142, IF(Notes!$B$9="Commercial",J142))*$K$135</f>
        <v>0</v>
      </c>
      <c r="L142" s="283">
        <f>(SUM(O142:Q142)+(K142+SUM(M142:Q142))*(INDEX($U$135:$AB$135,MATCH(Notes!$C$16,$U$3:$AB$3,0))-100%))*$L$135</f>
        <v>0</v>
      </c>
      <c r="M142" s="286"/>
      <c r="N142" s="286"/>
      <c r="O142" s="285"/>
      <c r="P142" s="285"/>
      <c r="Q142" s="285"/>
      <c r="R142" s="278"/>
      <c r="S142" s="278"/>
      <c r="T142" s="278"/>
    </row>
    <row r="143" spans="1:28" s="305" customFormat="1" hidden="1" outlineLevel="1" x14ac:dyDescent="0.25">
      <c r="A143" s="278"/>
      <c r="B143" s="279" t="str">
        <f t="shared" si="54"/>
        <v/>
      </c>
      <c r="C143" s="278"/>
      <c r="D143" s="278"/>
      <c r="E143" s="278"/>
      <c r="F143" s="278"/>
      <c r="G143" s="278"/>
      <c r="H143" s="290"/>
      <c r="I143" s="280">
        <f t="shared" si="55"/>
        <v>0</v>
      </c>
      <c r="J143" s="281">
        <f t="shared" si="56"/>
        <v>0</v>
      </c>
      <c r="K143" s="282">
        <f>IF(Notes!$B$9="Domestic",I143, IF(Notes!$B$9="Commercial",J143))*$K$135</f>
        <v>0</v>
      </c>
      <c r="L143" s="283">
        <f>(SUM(O143:Q143)+(K143+SUM(M143:Q143))*(INDEX($U$135:$AB$135,MATCH(Notes!$C$16,$U$3:$AB$3,0))-100%))*$L$135</f>
        <v>0</v>
      </c>
      <c r="M143" s="286"/>
      <c r="N143" s="286"/>
      <c r="O143" s="285"/>
      <c r="P143" s="285"/>
      <c r="Q143" s="285"/>
      <c r="R143" s="278"/>
      <c r="S143" s="278"/>
      <c r="T143" s="278"/>
    </row>
    <row r="144" spans="1:28" s="305" customFormat="1" hidden="1" outlineLevel="1" x14ac:dyDescent="0.25">
      <c r="A144" s="278"/>
      <c r="B144" s="279" t="str">
        <f t="shared" si="54"/>
        <v/>
      </c>
      <c r="C144" s="278"/>
      <c r="D144" s="278"/>
      <c r="E144" s="278"/>
      <c r="F144" s="278"/>
      <c r="G144" s="278"/>
      <c r="H144" s="290"/>
      <c r="I144" s="280">
        <f t="shared" si="55"/>
        <v>0</v>
      </c>
      <c r="J144" s="281">
        <f t="shared" si="56"/>
        <v>0</v>
      </c>
      <c r="K144" s="282">
        <f>IF(Notes!$B$9="Domestic",I144, IF(Notes!$B$9="Commercial",J144))*$K$135</f>
        <v>0</v>
      </c>
      <c r="L144" s="283">
        <f>(SUM(O144:Q144)+(K144+SUM(M144:Q144))*(INDEX($U$135:$AB$135,MATCH(Notes!$C$16,$U$3:$AB$3,0))-100%))*$L$135</f>
        <v>0</v>
      </c>
      <c r="M144" s="286"/>
      <c r="N144" s="286"/>
      <c r="O144" s="285"/>
      <c r="P144" s="285"/>
      <c r="Q144" s="285"/>
      <c r="R144" s="278"/>
      <c r="S144" s="278"/>
      <c r="T144" s="278"/>
    </row>
    <row r="145" spans="1:28" s="305" customFormat="1" hidden="1" outlineLevel="1" x14ac:dyDescent="0.25">
      <c r="A145" s="278"/>
      <c r="B145" s="279" t="str">
        <f t="shared" si="54"/>
        <v/>
      </c>
      <c r="C145" s="278"/>
      <c r="D145" s="278"/>
      <c r="E145" s="278"/>
      <c r="F145" s="278"/>
      <c r="G145" s="278"/>
      <c r="H145" s="290"/>
      <c r="I145" s="280">
        <f t="shared" si="55"/>
        <v>0</v>
      </c>
      <c r="J145" s="281">
        <f t="shared" si="56"/>
        <v>0</v>
      </c>
      <c r="K145" s="282">
        <f>IF(Notes!$B$9="Domestic",I145, IF(Notes!$B$9="Commercial",J145))*$K$135</f>
        <v>0</v>
      </c>
      <c r="L145" s="283">
        <f>(SUM(O145:Q145)+(K145+SUM(M145:Q145))*(INDEX($U$135:$AB$135,MATCH(Notes!$C$16,$U$3:$AB$3,0))-100%))*$L$135</f>
        <v>0</v>
      </c>
      <c r="M145" s="286"/>
      <c r="N145" s="286"/>
      <c r="O145" s="285"/>
      <c r="P145" s="285"/>
      <c r="Q145" s="285"/>
      <c r="R145" s="278"/>
      <c r="S145" s="278"/>
      <c r="T145" s="278"/>
    </row>
    <row r="146" spans="1:28" ht="21" hidden="1" outlineLevel="1" x14ac:dyDescent="0.25">
      <c r="A146" s="299"/>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row>
    <row r="147" spans="1:28" ht="15.75" hidden="1" outlineLevel="1" x14ac:dyDescent="0.25">
      <c r="A147" s="291"/>
      <c r="B147" s="291"/>
      <c r="C147" s="291"/>
      <c r="D147" s="291"/>
      <c r="E147" s="291"/>
      <c r="F147" s="291"/>
      <c r="G147" s="291"/>
      <c r="H147" s="291"/>
      <c r="I147" s="291"/>
      <c r="J147" s="291"/>
      <c r="K147" s="291">
        <f>K$2</f>
        <v>1</v>
      </c>
      <c r="L147" s="291">
        <f>L$2</f>
        <v>1</v>
      </c>
      <c r="M147" s="291"/>
      <c r="N147" s="291"/>
      <c r="O147" s="303"/>
      <c r="P147" s="303"/>
      <c r="Q147" s="303"/>
      <c r="R147" s="291"/>
      <c r="S147" s="291"/>
      <c r="T147" s="291"/>
      <c r="U147" s="291">
        <f>U$2</f>
        <v>1.1991525423728813</v>
      </c>
      <c r="V147" s="291">
        <f>V$2</f>
        <v>1</v>
      </c>
      <c r="W147" s="291">
        <f t="shared" ref="W147:AB147" si="57">W$2</f>
        <v>1.0148305084745761</v>
      </c>
      <c r="X147" s="291">
        <f t="shared" si="57"/>
        <v>0.90254237288135586</v>
      </c>
      <c r="Y147" s="291">
        <f t="shared" si="57"/>
        <v>1</v>
      </c>
      <c r="Z147" s="291">
        <f t="shared" si="57"/>
        <v>1.1652542372881356</v>
      </c>
      <c r="AA147" s="291">
        <f t="shared" si="57"/>
        <v>0.93220338983050843</v>
      </c>
      <c r="AB147" s="291">
        <f t="shared" si="57"/>
        <v>0.99576271186440668</v>
      </c>
    </row>
    <row r="148" spans="1:28" s="305" customFormat="1" hidden="1" outlineLevel="1" x14ac:dyDescent="0.25">
      <c r="A148" s="278"/>
      <c r="B148" s="279" t="str">
        <f>C148&amp;D148&amp;E148&amp;F148</f>
        <v/>
      </c>
      <c r="C148" s="278"/>
      <c r="D148" s="278"/>
      <c r="E148" s="278"/>
      <c r="F148" s="278"/>
      <c r="G148" s="278"/>
      <c r="H148" s="290"/>
      <c r="I148" s="280">
        <f>$I$2*H148</f>
        <v>0</v>
      </c>
      <c r="J148" s="281">
        <f>$J$2*H148</f>
        <v>0</v>
      </c>
      <c r="K148" s="282">
        <f>IF(Notes!$B$9="Domestic",I148, IF(Notes!$B$9="Commercial",J148))*$K$147</f>
        <v>0</v>
      </c>
      <c r="L148" s="283">
        <f>(SUM(O148:Q148)+(K148+SUM(M148:Q148))*(INDEX($U$147:$AB$147,MATCH(Notes!$C$16,$U$3:$AB$3,0))-100%))*$L$147</f>
        <v>0</v>
      </c>
      <c r="M148" s="286"/>
      <c r="N148" s="286"/>
      <c r="O148" s="285"/>
      <c r="P148" s="285"/>
      <c r="Q148" s="285"/>
      <c r="R148" s="278"/>
      <c r="S148" s="278"/>
      <c r="T148" s="278"/>
    </row>
    <row r="149" spans="1:28" s="305" customFormat="1" hidden="1" outlineLevel="1" x14ac:dyDescent="0.25">
      <c r="A149" s="278"/>
      <c r="B149" s="279" t="str">
        <f t="shared" ref="B149:B157" si="58">C149&amp;D149&amp;E149&amp;F149</f>
        <v/>
      </c>
      <c r="C149" s="278"/>
      <c r="D149" s="278"/>
      <c r="E149" s="278"/>
      <c r="F149" s="278"/>
      <c r="G149" s="278"/>
      <c r="H149" s="290"/>
      <c r="I149" s="280">
        <f t="shared" ref="I149:I157" si="59">$I$2*H149</f>
        <v>0</v>
      </c>
      <c r="J149" s="281">
        <f t="shared" ref="J149:J157" si="60">$J$2*H149</f>
        <v>0</v>
      </c>
      <c r="K149" s="282">
        <f>IF(Notes!$B$9="Domestic",I149, IF(Notes!$B$9="Commercial",J149))*$K$147</f>
        <v>0</v>
      </c>
      <c r="L149" s="283">
        <f>(SUM(O149:Q149)+(K149+SUM(M149:Q149))*(INDEX($U$147:$AB$147,MATCH(Notes!$C$16,$U$3:$AB$3,0))-100%))*$L$147</f>
        <v>0</v>
      </c>
      <c r="M149" s="286"/>
      <c r="N149" s="286"/>
      <c r="O149" s="285"/>
      <c r="P149" s="285"/>
      <c r="Q149" s="285"/>
      <c r="R149" s="278"/>
      <c r="S149" s="278"/>
      <c r="T149" s="278"/>
    </row>
    <row r="150" spans="1:28" s="305" customFormat="1" hidden="1" outlineLevel="1" x14ac:dyDescent="0.25">
      <c r="A150" s="278"/>
      <c r="B150" s="279" t="str">
        <f t="shared" si="58"/>
        <v/>
      </c>
      <c r="C150" s="278"/>
      <c r="D150" s="278"/>
      <c r="E150" s="278"/>
      <c r="F150" s="278"/>
      <c r="G150" s="278"/>
      <c r="H150" s="290"/>
      <c r="I150" s="280">
        <f t="shared" si="59"/>
        <v>0</v>
      </c>
      <c r="J150" s="281">
        <f t="shared" si="60"/>
        <v>0</v>
      </c>
      <c r="K150" s="282">
        <f>IF(Notes!$B$9="Domestic",I150, IF(Notes!$B$9="Commercial",J150))*$K$147</f>
        <v>0</v>
      </c>
      <c r="L150" s="283">
        <f>(SUM(O150:Q150)+(K150+SUM(M150:Q150))*(INDEX($U$147:$AB$147,MATCH(Notes!$C$16,$U$3:$AB$3,0))-100%))*$L$147</f>
        <v>0</v>
      </c>
      <c r="M150" s="286"/>
      <c r="N150" s="286"/>
      <c r="O150" s="285"/>
      <c r="P150" s="285"/>
      <c r="Q150" s="285"/>
      <c r="R150" s="278"/>
      <c r="S150" s="278"/>
      <c r="T150" s="278"/>
    </row>
    <row r="151" spans="1:28" s="305" customFormat="1" hidden="1" outlineLevel="1" x14ac:dyDescent="0.25">
      <c r="A151" s="278"/>
      <c r="B151" s="279" t="str">
        <f t="shared" si="58"/>
        <v/>
      </c>
      <c r="C151" s="278"/>
      <c r="D151" s="278"/>
      <c r="E151" s="278"/>
      <c r="F151" s="278"/>
      <c r="G151" s="278"/>
      <c r="H151" s="290"/>
      <c r="I151" s="280">
        <f t="shared" si="59"/>
        <v>0</v>
      </c>
      <c r="J151" s="281">
        <f t="shared" si="60"/>
        <v>0</v>
      </c>
      <c r="K151" s="282">
        <f>IF(Notes!$B$9="Domestic",I151, IF(Notes!$B$9="Commercial",J151))*$K$147</f>
        <v>0</v>
      </c>
      <c r="L151" s="283">
        <f>(SUM(O151:Q151)+(K151+SUM(M151:Q151))*(INDEX($U$147:$AB$147,MATCH(Notes!$C$16,$U$3:$AB$3,0))-100%))*$L$147</f>
        <v>0</v>
      </c>
      <c r="M151" s="286"/>
      <c r="N151" s="286"/>
      <c r="O151" s="285"/>
      <c r="P151" s="285"/>
      <c r="Q151" s="285"/>
      <c r="R151" s="278"/>
      <c r="S151" s="278"/>
      <c r="T151" s="278"/>
    </row>
    <row r="152" spans="1:28" s="305" customFormat="1" hidden="1" outlineLevel="1" x14ac:dyDescent="0.25">
      <c r="A152" s="278"/>
      <c r="B152" s="279" t="str">
        <f t="shared" si="58"/>
        <v/>
      </c>
      <c r="C152" s="278"/>
      <c r="D152" s="278"/>
      <c r="E152" s="278"/>
      <c r="F152" s="278"/>
      <c r="G152" s="278"/>
      <c r="H152" s="290"/>
      <c r="I152" s="280">
        <f>$I$2*H152</f>
        <v>0</v>
      </c>
      <c r="J152" s="281">
        <f t="shared" si="60"/>
        <v>0</v>
      </c>
      <c r="K152" s="282">
        <f>IF(Notes!$B$9="Domestic",I152, IF(Notes!$B$9="Commercial",J152))*$K$147</f>
        <v>0</v>
      </c>
      <c r="L152" s="283">
        <f>(SUM(O152:Q152)+(K152+SUM(M152:Q152))*(INDEX($U$147:$AB$147,MATCH(Notes!$C$16,$U$3:$AB$3,0))-100%))*$L$147</f>
        <v>0</v>
      </c>
      <c r="M152" s="286"/>
      <c r="N152" s="286"/>
      <c r="O152" s="285"/>
      <c r="P152" s="285"/>
      <c r="Q152" s="285"/>
      <c r="R152" s="278"/>
      <c r="S152" s="278"/>
      <c r="T152" s="278"/>
    </row>
    <row r="153" spans="1:28" s="305" customFormat="1" hidden="1" outlineLevel="1" x14ac:dyDescent="0.25">
      <c r="A153" s="278"/>
      <c r="B153" s="279" t="str">
        <f t="shared" si="58"/>
        <v/>
      </c>
      <c r="C153" s="278"/>
      <c r="D153" s="278"/>
      <c r="E153" s="278"/>
      <c r="F153" s="278"/>
      <c r="G153" s="278"/>
      <c r="H153" s="290"/>
      <c r="I153" s="280">
        <f t="shared" si="59"/>
        <v>0</v>
      </c>
      <c r="J153" s="281">
        <f t="shared" si="60"/>
        <v>0</v>
      </c>
      <c r="K153" s="282">
        <f>IF(Notes!$B$9="Domestic",I153, IF(Notes!$B$9="Commercial",J153))*$K$147</f>
        <v>0</v>
      </c>
      <c r="L153" s="283">
        <f>(SUM(O153:Q153)+(K153+SUM(M153:Q153))*(INDEX($U$147:$AB$147,MATCH(Notes!$C$16,$U$3:$AB$3,0))-100%))*$L$147</f>
        <v>0</v>
      </c>
      <c r="M153" s="286"/>
      <c r="N153" s="286"/>
      <c r="O153" s="285"/>
      <c r="P153" s="285"/>
      <c r="Q153" s="285"/>
      <c r="R153" s="278"/>
      <c r="S153" s="278"/>
      <c r="T153" s="278"/>
    </row>
    <row r="154" spans="1:28" s="305" customFormat="1" hidden="1" outlineLevel="1" x14ac:dyDescent="0.25">
      <c r="A154" s="278"/>
      <c r="B154" s="279" t="str">
        <f t="shared" si="58"/>
        <v/>
      </c>
      <c r="C154" s="278"/>
      <c r="D154" s="278"/>
      <c r="E154" s="278"/>
      <c r="F154" s="278"/>
      <c r="G154" s="278"/>
      <c r="H154" s="290"/>
      <c r="I154" s="280">
        <f t="shared" si="59"/>
        <v>0</v>
      </c>
      <c r="J154" s="281">
        <f t="shared" si="60"/>
        <v>0</v>
      </c>
      <c r="K154" s="282">
        <f>IF(Notes!$B$9="Domestic",I154, IF(Notes!$B$9="Commercial",J154))*$K$147</f>
        <v>0</v>
      </c>
      <c r="L154" s="283">
        <f>(SUM(O154:Q154)+(K154+SUM(M154:Q154))*(INDEX($U$147:$AB$147,MATCH(Notes!$C$16,$U$3:$AB$3,0))-100%))*$L$147</f>
        <v>0</v>
      </c>
      <c r="M154" s="286"/>
      <c r="N154" s="286"/>
      <c r="O154" s="285"/>
      <c r="P154" s="285"/>
      <c r="Q154" s="285"/>
      <c r="R154" s="278"/>
      <c r="S154" s="278"/>
      <c r="T154" s="278"/>
    </row>
    <row r="155" spans="1:28" s="305" customFormat="1" hidden="1" outlineLevel="1" x14ac:dyDescent="0.25">
      <c r="A155" s="278"/>
      <c r="B155" s="279" t="str">
        <f t="shared" si="58"/>
        <v/>
      </c>
      <c r="C155" s="278"/>
      <c r="D155" s="278"/>
      <c r="E155" s="278"/>
      <c r="F155" s="278"/>
      <c r="G155" s="278"/>
      <c r="H155" s="290"/>
      <c r="I155" s="280">
        <f t="shared" si="59"/>
        <v>0</v>
      </c>
      <c r="J155" s="281">
        <f t="shared" si="60"/>
        <v>0</v>
      </c>
      <c r="K155" s="282">
        <f>IF(Notes!$B$9="Domestic",I155, IF(Notes!$B$9="Commercial",J155))*$K$147</f>
        <v>0</v>
      </c>
      <c r="L155" s="283">
        <f>(SUM(O155:Q155)+(K155+SUM(M155:Q155))*(INDEX($U$147:$AB$147,MATCH(Notes!$C$16,$U$3:$AB$3,0))-100%))*$L$147</f>
        <v>0</v>
      </c>
      <c r="M155" s="286"/>
      <c r="N155" s="286"/>
      <c r="O155" s="285"/>
      <c r="P155" s="285"/>
      <c r="Q155" s="285"/>
      <c r="R155" s="278"/>
      <c r="S155" s="278"/>
      <c r="T155" s="278"/>
    </row>
    <row r="156" spans="1:28" s="305" customFormat="1" hidden="1" outlineLevel="1" x14ac:dyDescent="0.25">
      <c r="A156" s="278"/>
      <c r="B156" s="279" t="str">
        <f t="shared" si="58"/>
        <v/>
      </c>
      <c r="C156" s="278"/>
      <c r="D156" s="278"/>
      <c r="E156" s="278"/>
      <c r="F156" s="278"/>
      <c r="G156" s="278"/>
      <c r="H156" s="290"/>
      <c r="I156" s="280">
        <f t="shared" si="59"/>
        <v>0</v>
      </c>
      <c r="J156" s="281">
        <f t="shared" si="60"/>
        <v>0</v>
      </c>
      <c r="K156" s="282">
        <f>IF(Notes!$B$9="Domestic",I156, IF(Notes!$B$9="Commercial",J156))*$K$147</f>
        <v>0</v>
      </c>
      <c r="L156" s="283">
        <f>(SUM(O156:Q156)+(K156+SUM(M156:Q156))*(INDEX($U$147:$AB$147,MATCH(Notes!$C$16,$U$3:$AB$3,0))-100%))*$L$147</f>
        <v>0</v>
      </c>
      <c r="M156" s="286"/>
      <c r="N156" s="286"/>
      <c r="O156" s="285"/>
      <c r="P156" s="285"/>
      <c r="Q156" s="285"/>
      <c r="R156" s="278"/>
      <c r="S156" s="278"/>
      <c r="T156" s="278"/>
    </row>
    <row r="157" spans="1:28" s="305" customFormat="1" hidden="1" outlineLevel="1" x14ac:dyDescent="0.25">
      <c r="A157" s="278"/>
      <c r="B157" s="279" t="str">
        <f t="shared" si="58"/>
        <v/>
      </c>
      <c r="C157" s="278"/>
      <c r="D157" s="278"/>
      <c r="E157" s="278"/>
      <c r="F157" s="278"/>
      <c r="G157" s="278"/>
      <c r="H157" s="290"/>
      <c r="I157" s="280">
        <f t="shared" si="59"/>
        <v>0</v>
      </c>
      <c r="J157" s="281">
        <f t="shared" si="60"/>
        <v>0</v>
      </c>
      <c r="K157" s="282">
        <f>IF(Notes!$B$9="Domestic",I157, IF(Notes!$B$9="Commercial",J157))*$K$147</f>
        <v>0</v>
      </c>
      <c r="L157" s="283">
        <f>(SUM(O157:Q157)+(K157+SUM(M157:Q157))*(INDEX($U$147:$AB$147,MATCH(Notes!$C$16,$U$3:$AB$3,0))-100%))*$L$147</f>
        <v>0</v>
      </c>
      <c r="M157" s="286"/>
      <c r="N157" s="286"/>
      <c r="O157" s="285"/>
      <c r="P157" s="285"/>
      <c r="Q157" s="285"/>
      <c r="R157" s="278"/>
      <c r="S157" s="278"/>
      <c r="T157" s="278"/>
    </row>
    <row r="158" spans="1:28" hidden="1" outlineLevel="1" x14ac:dyDescent="0.25">
      <c r="A158" s="284" t="str">
        <f>C158&amp;D158&amp;E158</f>
        <v/>
      </c>
      <c r="B158" s="284"/>
      <c r="C158" s="284"/>
      <c r="D158" s="284"/>
      <c r="E158" s="284"/>
      <c r="F158" s="284"/>
      <c r="G158" s="284"/>
      <c r="H158" s="284"/>
      <c r="I158" s="284"/>
      <c r="J158" s="284"/>
      <c r="K158" s="284"/>
      <c r="L158" s="284"/>
      <c r="M158" s="284"/>
      <c r="N158" s="284"/>
      <c r="O158" s="284"/>
      <c r="P158" s="284"/>
      <c r="Q158" s="284"/>
      <c r="R158" s="284"/>
      <c r="S158" s="284"/>
      <c r="T158" s="284"/>
    </row>
    <row r="159" spans="1:28" hidden="1" outlineLevel="1" x14ac:dyDescent="0.25"/>
    <row r="160" spans="1:28" hidden="1" outlineLevel="1" x14ac:dyDescent="0.25"/>
    <row r="161" collapsed="1" x14ac:dyDescent="0.25"/>
  </sheetData>
  <sheetProtection algorithmName="SHA-512" hashValue="ZDff1rCLIrqc53e8fY7meJS6aJfw+ZYj38KVeL8AaCmhrN4VUGHzxi5O8O18M9R+A0OffsuJepPUbzW1UAvEYg==" saltValue="/ah6kACuAzBpr+fm7U8Umg=="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00B050"/>
  </sheetPr>
  <dimension ref="A1:S56"/>
  <sheetViews>
    <sheetView view="pageBreakPreview" zoomScale="70" zoomScaleNormal="85" zoomScaleSheetLayoutView="70" zoomScalePageLayoutView="85" workbookViewId="0">
      <pane ySplit="2" topLeftCell="A33" activePane="bottomLeft" state="frozen"/>
      <selection activeCell="F51" sqref="F51"/>
      <selection pane="bottomLeft"/>
    </sheetView>
  </sheetViews>
  <sheetFormatPr defaultColWidth="8.85546875" defaultRowHeight="15" outlineLevelCol="1" x14ac:dyDescent="0.25"/>
  <cols>
    <col min="1" max="1" width="11" style="25" customWidth="1"/>
    <col min="2" max="2" width="60.1406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Rendering!A2+1</f>
        <v>24</v>
      </c>
      <c r="B2" s="73" t="s" cm="1">
        <v>2471</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24.01</v>
      </c>
      <c r="B3" s="27" t="s">
        <v>2164</v>
      </c>
      <c r="C3" s="83">
        <v>339.64300000000003</v>
      </c>
      <c r="D3" s="29" t="s">
        <v>11</v>
      </c>
      <c r="E3" s="85"/>
      <c r="F3" s="86">
        <f>IF(E3="inc",0,IF(C3="",0,C3*E3))</f>
        <v>0</v>
      </c>
      <c r="G3" s="208"/>
      <c r="H3" s="30"/>
      <c r="I3" s="30"/>
      <c r="J3" s="30"/>
      <c r="K3" s="30"/>
      <c r="L3" s="30"/>
      <c r="M3" s="87"/>
      <c r="N3" s="88"/>
      <c r="O3" s="25"/>
      <c r="P3" s="25"/>
      <c r="Q3" s="25"/>
      <c r="R3" s="25"/>
      <c r="S3" s="25"/>
    </row>
    <row r="4" spans="1:19" s="94" customFormat="1" ht="15.75" x14ac:dyDescent="0.25">
      <c r="A4" s="24"/>
      <c r="B4" s="24" t="s">
        <v>177</v>
      </c>
      <c r="C4" s="32">
        <v>270.99400000000003</v>
      </c>
      <c r="D4" s="32" t="s">
        <v>11</v>
      </c>
      <c r="E4" s="26"/>
      <c r="F4" s="33"/>
      <c r="G4" s="209"/>
      <c r="H4" s="26"/>
      <c r="I4" s="26"/>
      <c r="J4" s="26"/>
      <c r="K4" s="26"/>
      <c r="L4" s="26"/>
      <c r="M4" s="34"/>
      <c r="N4" s="32"/>
      <c r="O4" s="44"/>
    </row>
    <row r="5" spans="1:19" s="94" customFormat="1" ht="15.75" x14ac:dyDescent="0.25">
      <c r="A5" s="24"/>
      <c r="B5" s="24" t="s">
        <v>217</v>
      </c>
      <c r="C5" s="32">
        <v>68.649000000000001</v>
      </c>
      <c r="D5" s="32" t="s">
        <v>11</v>
      </c>
      <c r="E5" s="26"/>
      <c r="F5" s="33"/>
      <c r="G5" s="209"/>
      <c r="H5" s="26"/>
      <c r="I5" s="26"/>
      <c r="J5" s="26"/>
      <c r="K5" s="26"/>
      <c r="L5" s="26"/>
      <c r="M5" s="34"/>
      <c r="N5" s="32"/>
      <c r="O5" s="44"/>
    </row>
    <row r="6" spans="1:19" s="94" customFormat="1" ht="15.75" x14ac:dyDescent="0.25">
      <c r="A6" s="24"/>
      <c r="B6" s="24"/>
      <c r="C6" s="32" t="s">
        <v>2346</v>
      </c>
      <c r="D6" s="32">
        <v>0</v>
      </c>
      <c r="E6" s="26"/>
      <c r="F6" s="33"/>
      <c r="G6" s="209"/>
      <c r="H6" s="26"/>
      <c r="I6" s="26"/>
      <c r="J6" s="26"/>
      <c r="K6" s="26"/>
      <c r="L6" s="26"/>
      <c r="M6" s="34"/>
      <c r="N6" s="32"/>
      <c r="O6" s="44"/>
    </row>
    <row r="7" spans="1:19" s="90" customFormat="1" ht="18.75" x14ac:dyDescent="0.25">
      <c r="A7" s="82">
        <f ca="1">IF(C7&gt;0,MAX($A$1:OFFSET(A7,-1,0))+0.01,"")</f>
        <v>24.020000000000003</v>
      </c>
      <c r="B7" s="27" t="s">
        <v>2168</v>
      </c>
      <c r="C7" s="83">
        <v>117.61799999999999</v>
      </c>
      <c r="D7" s="29" t="s">
        <v>11</v>
      </c>
      <c r="E7" s="85"/>
      <c r="F7" s="86">
        <f>IF(E7="inc",0,IF(C7="",0,C7*E7))</f>
        <v>0</v>
      </c>
      <c r="G7" s="208"/>
      <c r="H7" s="30"/>
      <c r="I7" s="30"/>
      <c r="J7" s="30"/>
      <c r="K7" s="30"/>
      <c r="L7" s="30"/>
      <c r="M7" s="87"/>
      <c r="N7" s="88"/>
      <c r="O7" s="25"/>
      <c r="P7" s="25"/>
      <c r="Q7" s="25"/>
      <c r="R7" s="25"/>
      <c r="S7" s="25"/>
    </row>
    <row r="8" spans="1:19" s="94" customFormat="1" ht="15.75" x14ac:dyDescent="0.25">
      <c r="A8" s="24"/>
      <c r="B8" s="24" t="s">
        <v>187</v>
      </c>
      <c r="C8" s="32">
        <v>104.291</v>
      </c>
      <c r="D8" s="32" t="s">
        <v>11</v>
      </c>
      <c r="E8" s="26"/>
      <c r="F8" s="33"/>
      <c r="G8" s="209"/>
      <c r="H8" s="26"/>
      <c r="I8" s="26"/>
      <c r="J8" s="26"/>
      <c r="K8" s="26"/>
      <c r="L8" s="26"/>
      <c r="M8" s="34"/>
      <c r="N8" s="32"/>
      <c r="O8" s="44"/>
    </row>
    <row r="9" spans="1:19" s="94" customFormat="1" ht="15.75" x14ac:dyDescent="0.25">
      <c r="A9" s="24"/>
      <c r="B9" s="24" t="s">
        <v>188</v>
      </c>
      <c r="C9" s="32">
        <v>13.327</v>
      </c>
      <c r="D9" s="32" t="s">
        <v>11</v>
      </c>
      <c r="E9" s="26"/>
      <c r="F9" s="33"/>
      <c r="G9" s="209"/>
      <c r="H9" s="26"/>
      <c r="I9" s="26"/>
      <c r="J9" s="26"/>
      <c r="K9" s="26"/>
      <c r="L9" s="26"/>
      <c r="M9" s="34"/>
      <c r="N9" s="32"/>
      <c r="O9" s="44"/>
    </row>
    <row r="10" spans="1:19" s="94" customFormat="1" ht="15.75" x14ac:dyDescent="0.25">
      <c r="A10" s="24"/>
      <c r="B10" s="24"/>
      <c r="C10" s="32" t="s">
        <v>2346</v>
      </c>
      <c r="D10" s="32">
        <v>0</v>
      </c>
      <c r="E10" s="26"/>
      <c r="F10" s="33"/>
      <c r="G10" s="209"/>
      <c r="H10" s="26"/>
      <c r="I10" s="26"/>
      <c r="J10" s="26"/>
      <c r="K10" s="26"/>
      <c r="L10" s="26"/>
      <c r="M10" s="34"/>
      <c r="N10" s="32"/>
      <c r="O10" s="44"/>
    </row>
    <row r="11" spans="1:19" s="90" customFormat="1" ht="18.600000000000001" customHeight="1" x14ac:dyDescent="0.25">
      <c r="A11" s="82">
        <f ca="1">IF(C11&gt;0,MAX($A$1:OFFSET(A11,-1,0))+0.01,"")</f>
        <v>24.030000000000005</v>
      </c>
      <c r="B11" s="27" t="s">
        <v>2165</v>
      </c>
      <c r="C11" s="83">
        <v>36.4</v>
      </c>
      <c r="D11" s="29" t="s">
        <v>11</v>
      </c>
      <c r="E11" s="85"/>
      <c r="F11" s="86">
        <f>IF(E11="inc",0,IF(C11="",0,C11*E11))</f>
        <v>0</v>
      </c>
      <c r="G11" s="208"/>
      <c r="H11" s="30"/>
      <c r="I11" s="30"/>
      <c r="J11" s="30"/>
      <c r="K11" s="30"/>
      <c r="L11" s="30"/>
      <c r="M11" s="87"/>
      <c r="N11" s="88"/>
      <c r="O11" s="25"/>
      <c r="P11" s="25"/>
      <c r="Q11" s="25"/>
      <c r="R11" s="25"/>
      <c r="S11" s="25"/>
    </row>
    <row r="12" spans="1:19" s="94" customFormat="1" ht="31.5" x14ac:dyDescent="0.25">
      <c r="A12" s="24"/>
      <c r="B12" s="24" t="s">
        <v>904</v>
      </c>
      <c r="C12" s="32">
        <v>36.4</v>
      </c>
      <c r="D12" s="32" t="s">
        <v>11</v>
      </c>
      <c r="E12" s="26"/>
      <c r="F12" s="33"/>
      <c r="G12" s="209"/>
      <c r="H12" s="26"/>
      <c r="I12" s="26"/>
      <c r="J12" s="26"/>
      <c r="K12" s="26"/>
      <c r="L12" s="26"/>
      <c r="M12" s="34"/>
      <c r="N12" s="32"/>
      <c r="O12" s="44"/>
    </row>
    <row r="13" spans="1:19" s="94" customFormat="1" ht="15.75" x14ac:dyDescent="0.25">
      <c r="A13" s="24"/>
      <c r="B13" s="24"/>
      <c r="C13" s="32" t="s">
        <v>2346</v>
      </c>
      <c r="D13" s="32">
        <v>0</v>
      </c>
      <c r="E13" s="26"/>
      <c r="F13" s="33"/>
      <c r="G13" s="209"/>
      <c r="H13" s="26"/>
      <c r="I13" s="26"/>
      <c r="J13" s="26"/>
      <c r="K13" s="26"/>
      <c r="L13" s="26"/>
      <c r="M13" s="34"/>
      <c r="N13" s="32"/>
      <c r="O13" s="44"/>
    </row>
    <row r="14" spans="1:19" s="90" customFormat="1" ht="18.75" x14ac:dyDescent="0.25">
      <c r="A14" s="82">
        <f ca="1">IF(C14&gt;0,MAX($A$1:OFFSET(A14,-1,0))+0.01,"")</f>
        <v>24.040000000000006</v>
      </c>
      <c r="B14" s="27" t="s">
        <v>2167</v>
      </c>
      <c r="C14" s="97">
        <v>7.34</v>
      </c>
      <c r="D14" s="29" t="s">
        <v>11</v>
      </c>
      <c r="E14" s="85"/>
      <c r="F14" s="86">
        <f>IF(E14="inc",0,IF(C14="",0,C14*E14))</f>
        <v>0</v>
      </c>
      <c r="G14" s="208"/>
      <c r="H14" s="30"/>
      <c r="I14" s="30"/>
      <c r="J14" s="30"/>
      <c r="K14" s="30"/>
      <c r="L14" s="30"/>
      <c r="M14" s="87"/>
      <c r="N14" s="88"/>
      <c r="O14" s="25"/>
      <c r="P14" s="25"/>
      <c r="Q14" s="25"/>
      <c r="R14" s="25"/>
      <c r="S14" s="25"/>
    </row>
    <row r="15" spans="1:19" s="94" customFormat="1" ht="15.75" x14ac:dyDescent="0.25">
      <c r="A15" s="24"/>
      <c r="B15" s="24"/>
      <c r="C15" s="32">
        <v>7.34</v>
      </c>
      <c r="D15" s="32" t="s">
        <v>11</v>
      </c>
      <c r="E15" s="26"/>
      <c r="F15" s="33"/>
      <c r="G15" s="209"/>
      <c r="H15" s="26"/>
      <c r="I15" s="26"/>
      <c r="J15" s="26"/>
      <c r="K15" s="26"/>
      <c r="L15" s="26"/>
      <c r="M15" s="34"/>
      <c r="N15" s="32"/>
      <c r="O15" s="44"/>
    </row>
    <row r="16" spans="1:19" s="94" customFormat="1" ht="15.75" x14ac:dyDescent="0.25">
      <c r="A16" s="24"/>
      <c r="B16" s="24"/>
      <c r="C16" s="32" t="s">
        <v>2346</v>
      </c>
      <c r="D16" s="32">
        <v>0</v>
      </c>
      <c r="E16" s="26"/>
      <c r="F16" s="33"/>
      <c r="G16" s="209"/>
      <c r="H16" s="26"/>
      <c r="I16" s="26"/>
      <c r="J16" s="26"/>
      <c r="K16" s="26"/>
      <c r="L16" s="26"/>
      <c r="M16" s="34"/>
      <c r="N16" s="32"/>
      <c r="O16" s="44"/>
    </row>
    <row r="17" spans="1:19" s="90" customFormat="1" ht="18.75" x14ac:dyDescent="0.25">
      <c r="A17" s="82">
        <f ca="1">IF(C17&gt;0,MAX($A$1:OFFSET(A17,-1,0))+0.01,"")</f>
        <v>24.050000000000008</v>
      </c>
      <c r="B17" s="27" t="s">
        <v>2166</v>
      </c>
      <c r="C17" s="98">
        <v>51.6</v>
      </c>
      <c r="D17" s="29" t="s">
        <v>15</v>
      </c>
      <c r="E17" s="85"/>
      <c r="F17" s="86">
        <f>IF(E17="inc",0,IF(C17="",0,C17*E17))</f>
        <v>0</v>
      </c>
      <c r="G17" s="208"/>
      <c r="H17" s="30"/>
      <c r="I17" s="30"/>
      <c r="J17" s="30"/>
      <c r="K17" s="30"/>
      <c r="L17" s="30"/>
      <c r="M17" s="87"/>
      <c r="N17" s="88"/>
      <c r="O17" s="25"/>
      <c r="P17" s="25"/>
      <c r="Q17" s="25"/>
      <c r="R17" s="25"/>
      <c r="S17" s="25"/>
    </row>
    <row r="18" spans="1:19" s="94" customFormat="1" ht="15.75" x14ac:dyDescent="0.25">
      <c r="A18" s="24"/>
      <c r="B18" s="24"/>
      <c r="C18" s="32">
        <v>51.6</v>
      </c>
      <c r="D18" s="32" t="s">
        <v>15</v>
      </c>
      <c r="E18" s="26"/>
      <c r="F18" s="33"/>
      <c r="G18" s="209"/>
      <c r="H18" s="26"/>
      <c r="I18" s="26"/>
      <c r="J18" s="26"/>
      <c r="K18" s="26"/>
      <c r="L18" s="26"/>
      <c r="M18" s="34"/>
      <c r="N18" s="32"/>
      <c r="O18" s="44"/>
    </row>
    <row r="19" spans="1:19" s="94" customFormat="1" ht="15.75" x14ac:dyDescent="0.25">
      <c r="A19" s="24"/>
      <c r="B19" s="24"/>
      <c r="C19" s="32" t="s">
        <v>2346</v>
      </c>
      <c r="D19" s="32">
        <v>0</v>
      </c>
      <c r="E19" s="26"/>
      <c r="F19" s="33"/>
      <c r="G19" s="209"/>
      <c r="H19" s="26"/>
      <c r="I19" s="26"/>
      <c r="J19" s="26"/>
      <c r="K19" s="26"/>
      <c r="L19" s="26"/>
      <c r="M19" s="34"/>
      <c r="N19" s="32"/>
      <c r="O19" s="44"/>
    </row>
    <row r="20" spans="1:19" s="90" customFormat="1" ht="18.75" x14ac:dyDescent="0.25">
      <c r="A20" s="82">
        <f ca="1">IF(C20&gt;0,MAX($A$1:OFFSET(A20,-1,0))+0.01,"")</f>
        <v>24.060000000000009</v>
      </c>
      <c r="B20" s="27" t="s">
        <v>2169</v>
      </c>
      <c r="C20" s="98">
        <v>6</v>
      </c>
      <c r="D20" s="29" t="s">
        <v>5</v>
      </c>
      <c r="E20" s="85"/>
      <c r="F20" s="86">
        <f>IF(E20="inc",0,IF(C20="",0,C20*E20))</f>
        <v>0</v>
      </c>
      <c r="G20" s="208"/>
      <c r="H20" s="30"/>
      <c r="I20" s="30"/>
      <c r="J20" s="30"/>
      <c r="K20" s="30"/>
      <c r="L20" s="30"/>
      <c r="M20" s="87"/>
      <c r="N20" s="88"/>
      <c r="O20" s="25"/>
      <c r="P20" s="25"/>
      <c r="Q20" s="25"/>
      <c r="R20" s="25"/>
      <c r="S20" s="25"/>
    </row>
    <row r="21" spans="1:19" s="94" customFormat="1" ht="15.75" x14ac:dyDescent="0.25">
      <c r="A21" s="24"/>
      <c r="B21" s="24" t="s">
        <v>808</v>
      </c>
      <c r="C21" s="32">
        <v>6</v>
      </c>
      <c r="D21" s="32" t="s">
        <v>5</v>
      </c>
      <c r="E21" s="26"/>
      <c r="F21" s="33"/>
      <c r="G21" s="209"/>
      <c r="H21" s="26"/>
      <c r="I21" s="26"/>
      <c r="J21" s="26"/>
      <c r="K21" s="26"/>
      <c r="L21" s="26"/>
      <c r="M21" s="34"/>
      <c r="N21" s="32"/>
      <c r="O21" s="44"/>
    </row>
    <row r="22" spans="1:19" s="94" customFormat="1" ht="15.75" x14ac:dyDescent="0.25">
      <c r="A22" s="24"/>
      <c r="B22" s="24"/>
      <c r="C22" s="32" t="s">
        <v>2346</v>
      </c>
      <c r="D22" s="32">
        <v>0</v>
      </c>
      <c r="E22" s="26"/>
      <c r="F22" s="33"/>
      <c r="G22" s="209"/>
      <c r="H22" s="26"/>
      <c r="I22" s="26"/>
      <c r="J22" s="26"/>
      <c r="K22" s="26"/>
      <c r="L22" s="26"/>
      <c r="M22" s="34"/>
      <c r="N22" s="32"/>
      <c r="O22" s="44"/>
    </row>
    <row r="23" spans="1:19" s="90" customFormat="1" ht="18.75" x14ac:dyDescent="0.25">
      <c r="A23" s="82">
        <f ca="1">IF(C23&gt;0,MAX($A$1:OFFSET(A23,-1,0))+0.01,"")</f>
        <v>24.070000000000011</v>
      </c>
      <c r="B23" s="27" t="s">
        <v>2170</v>
      </c>
      <c r="C23" s="98">
        <v>1</v>
      </c>
      <c r="D23" s="29" t="s">
        <v>5</v>
      </c>
      <c r="E23" s="85"/>
      <c r="F23" s="86">
        <f>IF(E23="inc",0,IF(C23="",0,C23*E23))</f>
        <v>0</v>
      </c>
      <c r="G23" s="208"/>
      <c r="H23" s="30"/>
      <c r="I23" s="30"/>
      <c r="J23" s="30"/>
      <c r="K23" s="30"/>
      <c r="L23" s="30"/>
      <c r="M23" s="87"/>
      <c r="N23" s="88"/>
      <c r="O23" s="25"/>
      <c r="P23" s="25"/>
      <c r="Q23" s="25"/>
      <c r="R23" s="25"/>
      <c r="S23" s="25"/>
    </row>
    <row r="24" spans="1:19" s="94" customFormat="1" ht="15.75" x14ac:dyDescent="0.25">
      <c r="A24" s="24"/>
      <c r="B24" s="24" t="s">
        <v>611</v>
      </c>
      <c r="C24" s="32">
        <v>1</v>
      </c>
      <c r="D24" s="32" t="s">
        <v>5</v>
      </c>
      <c r="E24" s="26"/>
      <c r="F24" s="33"/>
      <c r="G24" s="209"/>
      <c r="H24" s="26"/>
      <c r="I24" s="26"/>
      <c r="J24" s="26"/>
      <c r="K24" s="26"/>
      <c r="L24" s="26"/>
      <c r="M24" s="34"/>
      <c r="N24" s="32"/>
      <c r="O24" s="44"/>
    </row>
    <row r="25" spans="1:19" s="94" customFormat="1" ht="15.75" x14ac:dyDescent="0.25">
      <c r="A25" s="24"/>
      <c r="B25" s="24"/>
      <c r="C25" s="32" t="s">
        <v>2346</v>
      </c>
      <c r="D25" s="32">
        <v>0</v>
      </c>
      <c r="E25" s="26"/>
      <c r="F25" s="33"/>
      <c r="G25" s="209"/>
      <c r="H25" s="26"/>
      <c r="I25" s="26"/>
      <c r="J25" s="26"/>
      <c r="K25" s="26"/>
      <c r="L25" s="26"/>
      <c r="M25" s="34"/>
      <c r="N25" s="32"/>
      <c r="O25" s="44"/>
    </row>
    <row r="26" spans="1:19" s="90" customFormat="1" ht="18.75" x14ac:dyDescent="0.25">
      <c r="A26" s="82">
        <f ca="1">IF(C26&gt;0,MAX($A$1:OFFSET(A26,-1,0))+0.01,"")</f>
        <v>24.080000000000013</v>
      </c>
      <c r="B26" s="27" t="s">
        <v>2316</v>
      </c>
      <c r="C26" s="98">
        <v>21.74</v>
      </c>
      <c r="D26" s="29" t="s">
        <v>15</v>
      </c>
      <c r="E26" s="85"/>
      <c r="F26" s="86">
        <f>IF(E26="inc",0,IF(C26="",0,C26*E26))</f>
        <v>0</v>
      </c>
      <c r="G26" s="208"/>
      <c r="H26" s="30"/>
      <c r="I26" s="30"/>
      <c r="J26" s="30"/>
      <c r="K26" s="30"/>
      <c r="L26" s="30"/>
      <c r="M26" s="87"/>
      <c r="N26" s="88"/>
      <c r="O26" s="25"/>
      <c r="P26" s="25"/>
      <c r="Q26" s="25"/>
      <c r="R26" s="25"/>
      <c r="S26" s="25"/>
    </row>
    <row r="27" spans="1:19" s="94" customFormat="1" ht="15.75" x14ac:dyDescent="0.25">
      <c r="A27" s="24"/>
      <c r="B27" s="385"/>
      <c r="C27" s="32">
        <v>21.74</v>
      </c>
      <c r="D27" s="32" t="s">
        <v>15</v>
      </c>
      <c r="E27" s="26"/>
      <c r="F27" s="33"/>
      <c r="G27" s="209"/>
      <c r="H27" s="26"/>
      <c r="I27" s="26"/>
      <c r="J27" s="26"/>
      <c r="K27" s="26"/>
      <c r="L27" s="26"/>
      <c r="M27" s="34"/>
      <c r="N27" s="32"/>
      <c r="O27" s="44"/>
    </row>
    <row r="28" spans="1:19" s="94" customFormat="1" ht="15.75" x14ac:dyDescent="0.25">
      <c r="A28" s="24"/>
      <c r="B28" s="24"/>
      <c r="C28" s="32" t="s">
        <v>2346</v>
      </c>
      <c r="D28" s="32">
        <v>0</v>
      </c>
      <c r="E28" s="26"/>
      <c r="F28" s="33"/>
      <c r="G28" s="209"/>
      <c r="H28" s="26"/>
      <c r="I28" s="26"/>
      <c r="J28" s="26"/>
      <c r="K28" s="26"/>
      <c r="L28" s="26"/>
      <c r="M28" s="34"/>
      <c r="N28" s="32"/>
      <c r="O28" s="44"/>
    </row>
    <row r="29" spans="1:19" s="79" customFormat="1" ht="21.75" thickBot="1" x14ac:dyDescent="0.4">
      <c r="A29" s="99"/>
      <c r="B29" s="394" t="s">
        <v>4</v>
      </c>
      <c r="C29" s="395"/>
      <c r="D29" s="396"/>
      <c r="E29" s="100"/>
      <c r="F29" s="101">
        <f ca="1">SUM(F$2:OFFSET(F29,-1,0))</f>
        <v>0</v>
      </c>
      <c r="G29" s="209"/>
      <c r="H29" s="100"/>
      <c r="I29" s="100"/>
      <c r="J29" s="100"/>
      <c r="K29" s="100"/>
      <c r="L29" s="100"/>
      <c r="M29" s="102"/>
      <c r="N29" s="103"/>
    </row>
    <row r="30" spans="1:19" s="94" customFormat="1" ht="15.75" x14ac:dyDescent="0.25">
      <c r="A30" s="105"/>
      <c r="B30" s="25"/>
      <c r="C30" s="106"/>
      <c r="D30" s="32"/>
      <c r="E30" s="92"/>
      <c r="F30" s="107"/>
      <c r="G30" s="212"/>
      <c r="H30" s="25"/>
      <c r="I30" s="25"/>
      <c r="J30" s="25"/>
      <c r="K30" s="25"/>
      <c r="L30" s="25"/>
      <c r="M30" s="88"/>
      <c r="N30" s="88"/>
    </row>
    <row r="31" spans="1:19" x14ac:dyDescent="0.25">
      <c r="C31" s="106"/>
    </row>
    <row r="34" spans="1:19" x14ac:dyDescent="0.25">
      <c r="F34" s="108" t="e">
        <f ca="1">F29-#REF!</f>
        <v>#REF!</v>
      </c>
    </row>
    <row r="44" spans="1:19" s="110" customFormat="1" x14ac:dyDescent="0.25">
      <c r="A44" s="25"/>
      <c r="B44" s="25"/>
      <c r="D44" s="36"/>
      <c r="E44" s="25"/>
      <c r="F44" s="108"/>
      <c r="G44" s="212"/>
      <c r="H44" s="25"/>
      <c r="I44" s="25"/>
      <c r="J44" s="25"/>
      <c r="K44" s="25"/>
      <c r="L44" s="25"/>
      <c r="M44" s="88"/>
      <c r="N44" s="88"/>
      <c r="O44" s="25"/>
      <c r="P44" s="25"/>
      <c r="Q44" s="25"/>
      <c r="R44" s="25"/>
      <c r="S44" s="25"/>
    </row>
    <row r="45" spans="1:19" s="110" customFormat="1" x14ac:dyDescent="0.25">
      <c r="A45" s="25"/>
      <c r="B45" s="25"/>
      <c r="D45" s="36"/>
      <c r="E45" s="25"/>
      <c r="F45" s="108"/>
      <c r="G45" s="212"/>
      <c r="H45" s="25"/>
      <c r="I45" s="25"/>
      <c r="J45" s="25"/>
      <c r="K45" s="25"/>
      <c r="L45" s="25"/>
      <c r="M45" s="88"/>
      <c r="N45" s="88"/>
      <c r="O45" s="25"/>
      <c r="P45" s="25"/>
      <c r="Q45" s="25"/>
      <c r="R45" s="25"/>
      <c r="S45" s="25"/>
    </row>
    <row r="46" spans="1:19" s="110" customFormat="1" x14ac:dyDescent="0.25">
      <c r="A46" s="25"/>
      <c r="B46" s="25"/>
      <c r="D46" s="36"/>
      <c r="E46" s="25"/>
      <c r="F46" s="108"/>
      <c r="G46" s="212"/>
      <c r="H46" s="25"/>
      <c r="I46" s="25"/>
      <c r="J46" s="25"/>
      <c r="K46" s="25"/>
      <c r="L46" s="25"/>
      <c r="M46" s="88"/>
      <c r="N46" s="88"/>
      <c r="O46" s="25"/>
      <c r="P46" s="25"/>
      <c r="Q46" s="25"/>
      <c r="R46" s="25"/>
      <c r="S46" s="25"/>
    </row>
    <row r="47" spans="1:19" s="110" customFormat="1" x14ac:dyDescent="0.25">
      <c r="A47" s="25"/>
      <c r="B47" s="25"/>
      <c r="D47" s="36"/>
      <c r="E47" s="25"/>
      <c r="F47" s="108"/>
      <c r="G47" s="212"/>
      <c r="H47" s="25"/>
      <c r="I47" s="25"/>
      <c r="J47" s="25"/>
      <c r="K47" s="25"/>
      <c r="L47" s="25"/>
      <c r="M47" s="88"/>
      <c r="N47" s="88"/>
      <c r="O47" s="25"/>
      <c r="P47" s="25"/>
      <c r="Q47" s="25"/>
      <c r="R47" s="25"/>
      <c r="S47" s="25"/>
    </row>
    <row r="48" spans="1:19" s="110" customFormat="1" x14ac:dyDescent="0.25">
      <c r="A48" s="25"/>
      <c r="B48" s="25"/>
      <c r="D48" s="36"/>
      <c r="E48" s="25"/>
      <c r="F48" s="108"/>
      <c r="G48" s="212"/>
      <c r="H48" s="25"/>
      <c r="I48" s="25"/>
      <c r="J48" s="25"/>
      <c r="K48" s="25"/>
      <c r="L48" s="25"/>
      <c r="M48" s="88"/>
      <c r="N48" s="88"/>
      <c r="O48" s="25"/>
      <c r="P48" s="25"/>
      <c r="Q48" s="25"/>
      <c r="R48" s="25"/>
      <c r="S48" s="25"/>
    </row>
    <row r="49" spans="1:19" s="110" customFormat="1" x14ac:dyDescent="0.25">
      <c r="A49" s="25"/>
      <c r="B49" s="25"/>
      <c r="D49" s="36"/>
      <c r="E49" s="25"/>
      <c r="F49" s="108"/>
      <c r="G49" s="212"/>
      <c r="H49" s="25"/>
      <c r="I49" s="25"/>
      <c r="J49" s="25"/>
      <c r="K49" s="25"/>
      <c r="L49" s="25"/>
      <c r="M49" s="88"/>
      <c r="N49" s="88"/>
      <c r="O49" s="25"/>
      <c r="P49" s="25"/>
      <c r="Q49" s="25"/>
      <c r="R49" s="25"/>
      <c r="S49" s="25"/>
    </row>
    <row r="50" spans="1:19" s="110" customFormat="1" x14ac:dyDescent="0.25">
      <c r="A50" s="25"/>
      <c r="B50" s="25"/>
      <c r="D50" s="36"/>
      <c r="E50" s="25"/>
      <c r="F50" s="108"/>
      <c r="G50" s="212"/>
      <c r="H50" s="25"/>
      <c r="I50" s="25"/>
      <c r="J50" s="25"/>
      <c r="K50" s="25"/>
      <c r="L50" s="25"/>
      <c r="M50" s="88"/>
      <c r="N50" s="88"/>
      <c r="O50" s="25"/>
      <c r="P50" s="25"/>
      <c r="Q50" s="25"/>
      <c r="R50" s="25"/>
      <c r="S50" s="25"/>
    </row>
    <row r="51" spans="1:19" s="110" customFormat="1" x14ac:dyDescent="0.25">
      <c r="A51" s="25"/>
      <c r="B51" s="25"/>
      <c r="D51" s="36"/>
      <c r="E51" s="25"/>
      <c r="F51" s="108"/>
      <c r="G51" s="212"/>
      <c r="H51" s="25"/>
      <c r="I51" s="25"/>
      <c r="J51" s="25"/>
      <c r="K51" s="25"/>
      <c r="L51" s="25"/>
      <c r="M51" s="88"/>
      <c r="N51" s="88"/>
      <c r="O51" s="25"/>
      <c r="P51" s="25"/>
      <c r="Q51" s="25"/>
      <c r="R51" s="25"/>
      <c r="S51" s="25"/>
    </row>
    <row r="52" spans="1:19" s="110" customFormat="1" x14ac:dyDescent="0.25">
      <c r="A52" s="25"/>
      <c r="B52" s="25"/>
      <c r="D52" s="36"/>
      <c r="E52" s="25"/>
      <c r="F52" s="108"/>
      <c r="G52" s="212"/>
      <c r="H52" s="25"/>
      <c r="I52" s="25"/>
      <c r="J52" s="25"/>
      <c r="K52" s="25"/>
      <c r="L52" s="25"/>
      <c r="M52" s="88"/>
      <c r="N52" s="88"/>
      <c r="O52" s="25"/>
      <c r="P52" s="25"/>
      <c r="Q52" s="25"/>
      <c r="R52" s="25"/>
      <c r="S52" s="25"/>
    </row>
    <row r="53" spans="1:19" s="110" customFormat="1" x14ac:dyDescent="0.25">
      <c r="A53" s="25"/>
      <c r="B53" s="25"/>
      <c r="D53" s="36"/>
      <c r="E53" s="25"/>
      <c r="F53" s="108"/>
      <c r="G53" s="212"/>
      <c r="H53" s="25"/>
      <c r="I53" s="25"/>
      <c r="J53" s="25"/>
      <c r="K53" s="25"/>
      <c r="L53" s="25"/>
      <c r="M53" s="88"/>
      <c r="N53" s="88"/>
      <c r="O53" s="25"/>
      <c r="P53" s="25"/>
      <c r="Q53" s="25"/>
      <c r="R53" s="25"/>
      <c r="S53" s="25"/>
    </row>
    <row r="54" spans="1:19" s="110" customFormat="1" x14ac:dyDescent="0.25">
      <c r="A54" s="25"/>
      <c r="B54" s="25"/>
      <c r="D54" s="36"/>
      <c r="E54" s="25"/>
      <c r="F54" s="108"/>
      <c r="G54" s="212"/>
      <c r="H54" s="25"/>
      <c r="I54" s="25"/>
      <c r="J54" s="25"/>
      <c r="K54" s="25"/>
      <c r="L54" s="25"/>
      <c r="M54" s="88"/>
      <c r="N54" s="88"/>
      <c r="O54" s="25"/>
      <c r="P54" s="25"/>
      <c r="Q54" s="25"/>
      <c r="R54" s="25"/>
      <c r="S54" s="25"/>
    </row>
    <row r="55" spans="1:19" s="110" customFormat="1" x14ac:dyDescent="0.25">
      <c r="A55" s="25"/>
      <c r="B55" s="25"/>
      <c r="D55" s="36"/>
      <c r="E55" s="25"/>
      <c r="F55" s="108"/>
      <c r="G55" s="212"/>
      <c r="H55" s="25"/>
      <c r="I55" s="25"/>
      <c r="J55" s="25"/>
      <c r="K55" s="25"/>
      <c r="L55" s="25"/>
      <c r="M55" s="88"/>
      <c r="N55" s="88"/>
      <c r="O55" s="25"/>
      <c r="P55" s="25"/>
      <c r="Q55" s="25"/>
      <c r="R55" s="25"/>
      <c r="S55" s="25"/>
    </row>
    <row r="56" spans="1:19" s="110" customFormat="1" x14ac:dyDescent="0.25">
      <c r="A56" s="25"/>
      <c r="B56" s="25"/>
      <c r="D56" s="36"/>
      <c r="E56" s="25"/>
      <c r="F56" s="108"/>
      <c r="G56" s="212"/>
      <c r="H56" s="25"/>
      <c r="I56" s="25"/>
      <c r="J56" s="25"/>
      <c r="K56" s="25"/>
      <c r="L56" s="25"/>
      <c r="M56" s="88"/>
      <c r="N56" s="88"/>
      <c r="O56" s="25"/>
      <c r="P56" s="25"/>
      <c r="Q56" s="25"/>
      <c r="R56" s="25"/>
      <c r="S56" s="25"/>
    </row>
  </sheetData>
  <mergeCells count="1">
    <mergeCell ref="H1:L1"/>
  </mergeCells>
  <conditionalFormatting sqref="D4:D6 D8:D10 D12:D13 D15:D16 D18:D19 D21:D22 D24:D25 D27:D28">
    <cfRule type="cellIs" dxfId="19" priority="165" operator="equal">
      <formula>0</formula>
    </cfRule>
  </conditionalFormatting>
  <dataValidations count="1">
    <dataValidation type="list" allowBlank="1" showInputMessage="1" sqref="H3:L3 H7:L7 H11:L11 H14:L14 H17:L17 H20:L20 H23:L23 H26:L26" xr:uid="{E0397794-1F73-4C7D-A016-80783202F2F7}">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1D00-000000000000}">
          <x14:formula1>
            <xm:f>Unit!$A$4:$A$11</xm:f>
          </x14:formula1>
          <xm:sqref>D3 D23 D20 D14 D11 D7 D26 D17</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ECE2C-CB7B-4F96-9B8B-934820C7ECDB}">
  <sheetPr>
    <tabColor rgb="FF00B0F0"/>
  </sheetPr>
  <dimension ref="A1:AB247"/>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2302</v>
      </c>
      <c r="B1" s="295"/>
      <c r="C1" s="295"/>
      <c r="D1" s="295"/>
      <c r="E1" s="295"/>
      <c r="F1" s="295"/>
      <c r="G1" s="295"/>
      <c r="H1" s="295"/>
      <c r="I1" s="295"/>
      <c r="J1" s="295"/>
      <c r="K1" s="295"/>
      <c r="L1" s="295"/>
      <c r="M1" s="295"/>
      <c r="N1" s="295"/>
      <c r="O1" s="295"/>
      <c r="P1" s="295"/>
      <c r="Q1" s="295"/>
      <c r="R1" s="295"/>
      <c r="S1" s="296" t="s">
        <v>888</v>
      </c>
      <c r="T1" s="301">
        <v>44953</v>
      </c>
      <c r="U1" s="301"/>
      <c r="V1" s="301"/>
      <c r="W1" s="301"/>
      <c r="X1" s="301"/>
      <c r="Y1" s="301"/>
      <c r="Z1" s="301"/>
      <c r="AA1" s="301"/>
      <c r="AB1" s="301"/>
    </row>
    <row r="2" spans="1:28" ht="15.75" x14ac:dyDescent="0.25">
      <c r="I2" s="292">
        <v>70.12</v>
      </c>
      <c r="J2" s="293">
        <v>79.77</v>
      </c>
      <c r="K2" s="291">
        <v>1</v>
      </c>
      <c r="L2" s="291">
        <v>1</v>
      </c>
      <c r="U2" s="291">
        <v>1</v>
      </c>
      <c r="V2" s="291">
        <v>1</v>
      </c>
      <c r="W2" s="291">
        <v>1</v>
      </c>
      <c r="X2" s="291">
        <v>1</v>
      </c>
      <c r="Y2" s="291">
        <v>1</v>
      </c>
      <c r="Z2" s="291">
        <v>1</v>
      </c>
      <c r="AA2" s="291">
        <v>1</v>
      </c>
      <c r="AB2" s="291">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U$2</f>
        <v>1</v>
      </c>
      <c r="V5" s="291">
        <f>V$2</f>
        <v>1</v>
      </c>
      <c r="W5" s="291">
        <f t="shared" ref="W5:AB5" si="0">W$2</f>
        <v>1</v>
      </c>
      <c r="X5" s="291">
        <f t="shared" si="0"/>
        <v>1</v>
      </c>
      <c r="Y5" s="291">
        <f t="shared" si="0"/>
        <v>1</v>
      </c>
      <c r="Z5" s="291">
        <f t="shared" si="0"/>
        <v>1</v>
      </c>
      <c r="AA5" s="291">
        <f t="shared" si="0"/>
        <v>1</v>
      </c>
      <c r="AB5" s="291">
        <f t="shared" si="0"/>
        <v>1</v>
      </c>
    </row>
    <row r="6" spans="1:28" s="305" customFormat="1" ht="14.45" hidden="1" customHeight="1" outlineLevel="1" x14ac:dyDescent="0.25">
      <c r="A6" s="278"/>
      <c r="B6" s="279" t="str">
        <f>C6&amp;D6&amp;E6&amp;F6</f>
        <v>average</v>
      </c>
      <c r="C6" s="278"/>
      <c r="D6" s="278"/>
      <c r="E6" s="278"/>
      <c r="F6" s="278" t="s">
        <v>543</v>
      </c>
      <c r="G6" s="278" t="s">
        <v>11</v>
      </c>
      <c r="H6" s="290">
        <v>0.2</v>
      </c>
      <c r="I6" s="280">
        <f t="shared" ref="I6:I15" si="1">$I$2*H6</f>
        <v>14.024000000000001</v>
      </c>
      <c r="J6" s="281">
        <f>$J$2*H6</f>
        <v>15.954000000000001</v>
      </c>
      <c r="K6" s="282">
        <f>IF(Notes!$B$9="Domestic",I6, IF(Notes!$B$9="Commercial",J6))*$K$5</f>
        <v>15.954000000000001</v>
      </c>
      <c r="L6" s="283">
        <f>IF(SUM(O6:Q6)=0,0,(SUM(O6:Q6)+(K6+SUM(M6:Q6))*(INDEX($U$5:$AB$5,MATCH(Notes!$C$16,$U$3:$AB$3,0))-100%))*$L$5)</f>
        <v>4.53</v>
      </c>
      <c r="M6" s="286"/>
      <c r="N6" s="286"/>
      <c r="O6" s="285">
        <v>4.53</v>
      </c>
      <c r="P6" s="285"/>
      <c r="Q6" s="285"/>
      <c r="R6" s="278"/>
      <c r="S6" s="278"/>
      <c r="T6" s="278"/>
      <c r="U6" s="304"/>
    </row>
    <row r="7" spans="1:28" s="305" customFormat="1" ht="14.45" hidden="1" customHeight="1" outlineLevel="1" x14ac:dyDescent="0.25">
      <c r="A7" s="278"/>
      <c r="B7" s="279" t="str">
        <f t="shared" ref="B7:B15" si="2">C7&amp;D7&amp;E7&amp;F7</f>
        <v>quality</v>
      </c>
      <c r="C7" s="278"/>
      <c r="D7" s="278"/>
      <c r="E7" s="278"/>
      <c r="F7" s="278" t="s">
        <v>544</v>
      </c>
      <c r="G7" s="278" t="s">
        <v>11</v>
      </c>
      <c r="H7" s="290">
        <v>0.2</v>
      </c>
      <c r="I7" s="280">
        <f t="shared" si="1"/>
        <v>14.024000000000001</v>
      </c>
      <c r="J7" s="281">
        <f t="shared" ref="J7:J15" si="3">$J$2*H7</f>
        <v>15.954000000000001</v>
      </c>
      <c r="K7" s="282">
        <f>IF(Notes!$B$9="Domestic",I7, IF(Notes!$B$9="Commercial",J7))*$K$5</f>
        <v>15.954000000000001</v>
      </c>
      <c r="L7" s="283">
        <f>IF(SUM(O7:Q7)=0,0,(SUM(O7:Q7)+(K7+SUM(M7:Q7))*(INDEX($U$5:$AB$5,MATCH(Notes!$C$16,$U$3:$AB$3,0))-100%))*$L$5)</f>
        <v>5.46</v>
      </c>
      <c r="M7" s="286"/>
      <c r="N7" s="286"/>
      <c r="O7" s="285">
        <v>5.46</v>
      </c>
      <c r="P7" s="285"/>
      <c r="Q7" s="285"/>
      <c r="R7" s="278"/>
      <c r="S7" s="278"/>
      <c r="T7" s="278"/>
      <c r="U7" s="304"/>
    </row>
    <row r="8" spans="1:28" s="305" customFormat="1" ht="14.45" hidden="1" customHeight="1" outlineLevel="1" x14ac:dyDescent="0.25">
      <c r="A8" s="278"/>
      <c r="B8" s="279" t="str">
        <f t="shared" si="2"/>
        <v>prestige</v>
      </c>
      <c r="C8" s="278"/>
      <c r="D8" s="278"/>
      <c r="E8" s="278"/>
      <c r="F8" s="278" t="s">
        <v>545</v>
      </c>
      <c r="G8" s="278" t="s">
        <v>11</v>
      </c>
      <c r="H8" s="290">
        <v>0.2</v>
      </c>
      <c r="I8" s="280">
        <f t="shared" si="1"/>
        <v>14.024000000000001</v>
      </c>
      <c r="J8" s="281">
        <f t="shared" si="3"/>
        <v>15.954000000000001</v>
      </c>
      <c r="K8" s="282">
        <f>IF(Notes!$B$9="Domestic",I8, IF(Notes!$B$9="Commercial",J8))*$K$5</f>
        <v>15.954000000000001</v>
      </c>
      <c r="L8" s="283">
        <f>IF(SUM(O8:Q8)=0,0,(SUM(O8:Q8)+(K8+SUM(M8:Q8))*(INDEX($U$5:$AB$5,MATCH(Notes!$C$16,$U$3:$AB$3,0))-100%))*$L$5)</f>
        <v>6.34</v>
      </c>
      <c r="M8" s="286"/>
      <c r="N8" s="286"/>
      <c r="O8" s="285">
        <v>6.34</v>
      </c>
      <c r="P8" s="285"/>
      <c r="Q8" s="285"/>
      <c r="R8" s="278"/>
      <c r="S8" s="278"/>
      <c r="T8" s="278"/>
      <c r="U8" s="304"/>
    </row>
    <row r="9" spans="1:28" s="305" customFormat="1" ht="14.45" hidden="1" customHeight="1" outlineLevel="1" x14ac:dyDescent="0.25">
      <c r="A9" s="278"/>
      <c r="B9" s="279" t="str">
        <f t="shared" si="2"/>
        <v/>
      </c>
      <c r="C9" s="278"/>
      <c r="D9" s="278"/>
      <c r="E9" s="278"/>
      <c r="F9" s="278"/>
      <c r="G9" s="278"/>
      <c r="H9" s="290"/>
      <c r="I9" s="280">
        <f t="shared" si="1"/>
        <v>0</v>
      </c>
      <c r="J9" s="281">
        <f t="shared" si="3"/>
        <v>0</v>
      </c>
      <c r="K9" s="282">
        <f>IF(Notes!$B$9="Domestic",I9, IF(Notes!$B$9="Commercial",J9))*$K$5</f>
        <v>0</v>
      </c>
      <c r="L9" s="283">
        <f>IF(SUM(O9:Q9)=0,0,(SUM(O9:Q9)+(K9+SUM(M9:Q9))*(INDEX($U$5:$AB$5,MATCH(Notes!$C$16,$U$3:$AB$3,0))-100%))*$L$5)</f>
        <v>0</v>
      </c>
      <c r="M9" s="286"/>
      <c r="N9" s="286"/>
      <c r="O9" s="285"/>
      <c r="P9" s="285"/>
      <c r="Q9" s="285"/>
      <c r="R9" s="278"/>
      <c r="S9" s="278"/>
      <c r="T9" s="278"/>
    </row>
    <row r="10" spans="1:28" s="305" customFormat="1" ht="14.45" hidden="1" customHeight="1" outlineLevel="1" x14ac:dyDescent="0.25">
      <c r="A10" s="278"/>
      <c r="B10" s="279" t="str">
        <f t="shared" si="2"/>
        <v/>
      </c>
      <c r="C10" s="278"/>
      <c r="D10" s="278"/>
      <c r="E10" s="278"/>
      <c r="F10" s="278"/>
      <c r="G10" s="278"/>
      <c r="H10" s="290"/>
      <c r="I10" s="280">
        <f t="shared" si="1"/>
        <v>0</v>
      </c>
      <c r="J10" s="281">
        <f t="shared" si="3"/>
        <v>0</v>
      </c>
      <c r="K10" s="282">
        <f>IF(Notes!$B$9="Domestic",I10, IF(Notes!$B$9="Commercial",J10))*$K$5</f>
        <v>0</v>
      </c>
      <c r="L10" s="283">
        <f>IF(SUM(O10:Q10)=0,0,(SUM(O10:Q10)+(K10+SUM(M10:Q10))*(INDEX($U$5:$AB$5,MATCH(Notes!$C$16,$U$3:$AB$3,0))-100%))*$L$5)</f>
        <v>0</v>
      </c>
      <c r="M10" s="286"/>
      <c r="N10" s="286"/>
      <c r="O10" s="285"/>
      <c r="P10" s="285"/>
      <c r="Q10" s="285"/>
      <c r="R10" s="278"/>
      <c r="S10" s="278"/>
      <c r="T10" s="278"/>
    </row>
    <row r="11" spans="1:28" s="305" customFormat="1" hidden="1" outlineLevel="1" x14ac:dyDescent="0.25">
      <c r="A11" s="278"/>
      <c r="B11" s="279" t="str">
        <f t="shared" si="2"/>
        <v/>
      </c>
      <c r="C11" s="278"/>
      <c r="D11" s="278"/>
      <c r="E11" s="278"/>
      <c r="F11" s="278"/>
      <c r="G11" s="278"/>
      <c r="H11" s="290"/>
      <c r="I11" s="280">
        <f t="shared" si="1"/>
        <v>0</v>
      </c>
      <c r="J11" s="281">
        <f t="shared" si="3"/>
        <v>0</v>
      </c>
      <c r="K11" s="282">
        <f>IF(Notes!$B$9="Domestic",I11, IF(Notes!$B$9="Commercial",J11))*$K$5</f>
        <v>0</v>
      </c>
      <c r="L11" s="283">
        <f>IF(SUM(O11:Q11)=0,0,(SUM(O11:Q11)+(K11+SUM(M11:Q11))*(INDEX($U$5:$AB$5,MATCH(Notes!$C$16,$U$3:$AB$3,0))-100%))*$L$5)</f>
        <v>0</v>
      </c>
      <c r="M11" s="286"/>
      <c r="N11" s="286"/>
      <c r="O11" s="285"/>
      <c r="P11" s="285"/>
      <c r="Q11" s="285"/>
      <c r="R11" s="278"/>
      <c r="S11" s="278"/>
      <c r="T11" s="278"/>
    </row>
    <row r="12" spans="1:28" s="305" customFormat="1" hidden="1" outlineLevel="1" x14ac:dyDescent="0.25">
      <c r="A12" s="278"/>
      <c r="B12" s="279" t="str">
        <f t="shared" si="2"/>
        <v/>
      </c>
      <c r="C12" s="278"/>
      <c r="D12" s="278"/>
      <c r="E12" s="278"/>
      <c r="F12" s="278"/>
      <c r="G12" s="278"/>
      <c r="H12" s="290"/>
      <c r="I12" s="280">
        <f t="shared" si="1"/>
        <v>0</v>
      </c>
      <c r="J12" s="281">
        <f t="shared" si="3"/>
        <v>0</v>
      </c>
      <c r="K12" s="282">
        <f>IF(Notes!$B$9="Domestic",I12, IF(Notes!$B$9="Commercial",J12))*$K$5</f>
        <v>0</v>
      </c>
      <c r="L12" s="283">
        <f>IF(SUM(O12:Q12)=0,0,(SUM(O12:Q12)+(K12+SUM(M12:Q12))*(INDEX($U$5:$AB$5,MATCH(Notes!$C$16,$U$3:$AB$3,0))-100%))*$L$5)</f>
        <v>0</v>
      </c>
      <c r="M12" s="286"/>
      <c r="N12" s="286"/>
      <c r="O12" s="285"/>
      <c r="P12" s="285"/>
      <c r="Q12" s="285"/>
      <c r="R12" s="278"/>
      <c r="S12" s="278"/>
      <c r="T12" s="278"/>
    </row>
    <row r="13" spans="1:28" s="305" customFormat="1" hidden="1" outlineLevel="1" x14ac:dyDescent="0.25">
      <c r="A13" s="278"/>
      <c r="B13" s="279" t="str">
        <f t="shared" si="2"/>
        <v/>
      </c>
      <c r="C13" s="278"/>
      <c r="D13" s="278"/>
      <c r="E13" s="278"/>
      <c r="F13" s="278"/>
      <c r="G13" s="278"/>
      <c r="H13" s="290"/>
      <c r="I13" s="280">
        <f t="shared" si="1"/>
        <v>0</v>
      </c>
      <c r="J13" s="281">
        <f t="shared" si="3"/>
        <v>0</v>
      </c>
      <c r="K13" s="282">
        <f>IF(Notes!$B$9="Domestic",I13, IF(Notes!$B$9="Commercial",J13))*$K$5</f>
        <v>0</v>
      </c>
      <c r="L13" s="283">
        <f>IF(SUM(O13:Q13)=0,0,(SUM(O13:Q13)+(K13+SUM(M13:Q13))*(INDEX($U$5:$AB$5,MATCH(Notes!$C$16,$U$3:$AB$3,0))-100%))*$L$5)</f>
        <v>0</v>
      </c>
      <c r="M13" s="286"/>
      <c r="N13" s="286"/>
      <c r="O13" s="285"/>
      <c r="P13" s="285"/>
      <c r="Q13" s="285"/>
      <c r="R13" s="278"/>
      <c r="S13" s="278"/>
      <c r="T13" s="278"/>
    </row>
    <row r="14" spans="1:28" s="305" customFormat="1" hidden="1" outlineLevel="1" x14ac:dyDescent="0.25">
      <c r="A14" s="278"/>
      <c r="B14" s="279" t="str">
        <f t="shared" si="2"/>
        <v/>
      </c>
      <c r="C14" s="278"/>
      <c r="D14" s="278"/>
      <c r="E14" s="278"/>
      <c r="F14" s="278"/>
      <c r="G14" s="278"/>
      <c r="H14" s="290"/>
      <c r="I14" s="280">
        <f t="shared" si="1"/>
        <v>0</v>
      </c>
      <c r="J14" s="281">
        <f t="shared" si="3"/>
        <v>0</v>
      </c>
      <c r="K14" s="282">
        <f>IF(Notes!$B$9="Domestic",I14, IF(Notes!$B$9="Commercial",J14))*$K$5</f>
        <v>0</v>
      </c>
      <c r="L14" s="283">
        <f>IF(SUM(O14:Q14)=0,0,(SUM(O14:Q14)+(K14+SUM(M14:Q14))*(INDEX($U$5:$AB$5,MATCH(Notes!$C$16,$U$3:$AB$3,0))-100%))*$L$5)</f>
        <v>0</v>
      </c>
      <c r="M14" s="286"/>
      <c r="N14" s="286"/>
      <c r="O14" s="285"/>
      <c r="P14" s="285"/>
      <c r="Q14" s="285"/>
      <c r="R14" s="278"/>
      <c r="S14" s="278"/>
      <c r="T14" s="278"/>
    </row>
    <row r="15" spans="1:28" s="305" customFormat="1" hidden="1" outlineLevel="1" x14ac:dyDescent="0.25">
      <c r="A15" s="278"/>
      <c r="B15" s="279" t="str">
        <f t="shared" si="2"/>
        <v/>
      </c>
      <c r="C15" s="278"/>
      <c r="D15" s="278"/>
      <c r="E15" s="278"/>
      <c r="F15" s="278"/>
      <c r="G15" s="278"/>
      <c r="H15" s="290"/>
      <c r="I15" s="280">
        <f t="shared" si="1"/>
        <v>0</v>
      </c>
      <c r="J15" s="281">
        <f t="shared" si="3"/>
        <v>0</v>
      </c>
      <c r="K15" s="282">
        <f>IF(Notes!$B$9="Domestic",I15, IF(Notes!$B$9="Commercial",J15))*$K$5</f>
        <v>0</v>
      </c>
      <c r="L15" s="283">
        <f>IF(SUM(O15:Q15)=0,0,(SUM(O15:Q15)+(K15+SUM(M15:Q15))*(INDEX($U$5:$AB$5,MATCH(Notes!$C$16,$U$3:$AB$3,0))-100%))*$L$5)</f>
        <v>0</v>
      </c>
      <c r="M15" s="286"/>
      <c r="N15" s="286"/>
      <c r="O15" s="285"/>
      <c r="P15" s="285"/>
      <c r="Q15" s="285"/>
      <c r="R15" s="278"/>
      <c r="S15" s="278"/>
      <c r="T15" s="278"/>
    </row>
    <row r="16" spans="1:28" ht="21" hidden="1" outlineLevel="1" x14ac:dyDescent="0.25">
      <c r="A16" s="299"/>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row>
    <row r="17" spans="1:28" ht="15.75" hidden="1" outlineLevel="1" x14ac:dyDescent="0.25">
      <c r="A17" s="291"/>
      <c r="B17" s="291"/>
      <c r="C17" s="291"/>
      <c r="D17" s="291"/>
      <c r="E17" s="291"/>
      <c r="F17" s="291"/>
      <c r="G17" s="291"/>
      <c r="H17" s="291"/>
      <c r="I17" s="291"/>
      <c r="J17" s="291"/>
      <c r="K17" s="291">
        <f>K$2</f>
        <v>1</v>
      </c>
      <c r="L17" s="291">
        <f>L$2</f>
        <v>1</v>
      </c>
      <c r="M17" s="291"/>
      <c r="N17" s="291"/>
      <c r="O17" s="303"/>
      <c r="P17" s="303"/>
      <c r="Q17" s="303"/>
      <c r="R17" s="291"/>
      <c r="S17" s="291"/>
      <c r="T17" s="291"/>
      <c r="U17" s="291">
        <f>U$2</f>
        <v>1</v>
      </c>
      <c r="V17" s="291">
        <f>V$2</f>
        <v>1</v>
      </c>
      <c r="W17" s="291">
        <f t="shared" ref="W17:AB17" si="4">W$2</f>
        <v>1</v>
      </c>
      <c r="X17" s="291">
        <f t="shared" si="4"/>
        <v>1</v>
      </c>
      <c r="Y17" s="291">
        <f t="shared" si="4"/>
        <v>1</v>
      </c>
      <c r="Z17" s="291">
        <f t="shared" si="4"/>
        <v>1</v>
      </c>
      <c r="AA17" s="291">
        <f t="shared" si="4"/>
        <v>1</v>
      </c>
      <c r="AB17" s="291">
        <f t="shared" si="4"/>
        <v>1</v>
      </c>
    </row>
    <row r="18" spans="1:28" s="305" customFormat="1" ht="14.45" hidden="1" customHeight="1" outlineLevel="1" x14ac:dyDescent="0.25">
      <c r="A18" s="278"/>
      <c r="B18" s="279" t="str">
        <f>C18&amp;D18&amp;E18&amp;F18</f>
        <v/>
      </c>
      <c r="C18" s="278"/>
      <c r="D18" s="278"/>
      <c r="E18" s="278"/>
      <c r="F18" s="278"/>
      <c r="G18" s="278"/>
      <c r="H18" s="290"/>
      <c r="I18" s="280">
        <f>$I$2*H18</f>
        <v>0</v>
      </c>
      <c r="J18" s="281">
        <f>$J$2*H18</f>
        <v>0</v>
      </c>
      <c r="K18" s="282">
        <f>IF(Notes!$B$9="Domestic",I18, IF(Notes!$B$9="Commercial",J18))*$K$17</f>
        <v>0</v>
      </c>
      <c r="L18" s="283">
        <f>IF(SUM(O18:Q18)=0,0,(SUM(O18:Q18)+(K18+SUM(M18:Q18))*(INDEX($U$17:$AB$17,MATCH(Notes!$C$16,$U$3:$AB$3,0))-100%))*$L$17)</f>
        <v>0</v>
      </c>
      <c r="M18" s="286"/>
      <c r="N18" s="286"/>
      <c r="O18" s="285"/>
      <c r="P18" s="285"/>
      <c r="Q18" s="285"/>
      <c r="R18" s="278"/>
      <c r="S18" s="278"/>
      <c r="T18" s="278"/>
      <c r="U18" s="304"/>
    </row>
    <row r="19" spans="1:28" s="305" customFormat="1" ht="14.45" hidden="1" customHeight="1" outlineLevel="1" x14ac:dyDescent="0.25">
      <c r="A19" s="278"/>
      <c r="B19" s="279" t="str">
        <f t="shared" ref="B19:B27" si="5">C19&amp;D19&amp;E19&amp;F19</f>
        <v/>
      </c>
      <c r="C19" s="278"/>
      <c r="D19" s="278"/>
      <c r="E19" s="278"/>
      <c r="F19" s="278"/>
      <c r="G19" s="278"/>
      <c r="H19" s="290"/>
      <c r="I19" s="280">
        <f>$I$2*H19</f>
        <v>0</v>
      </c>
      <c r="J19" s="281">
        <f t="shared" ref="J19:J27" si="6">$J$2*H19</f>
        <v>0</v>
      </c>
      <c r="K19" s="282">
        <f>IF(Notes!$B$9="Domestic",I19, IF(Notes!$B$9="Commercial",J19))*$K$17</f>
        <v>0</v>
      </c>
      <c r="L19" s="283">
        <f>IF(SUM(O19:Q19)=0,0,(SUM(O19:Q19)+(K19+SUM(M19:Q19))*(INDEX($U$17:$AB$17,MATCH(Notes!$C$16,$U$3:$AB$3,0))-100%))*$L$17)</f>
        <v>0</v>
      </c>
      <c r="M19" s="286"/>
      <c r="N19" s="286"/>
      <c r="O19" s="285"/>
      <c r="P19" s="285"/>
      <c r="Q19" s="285"/>
      <c r="R19" s="278"/>
      <c r="S19" s="278"/>
      <c r="T19" s="278"/>
      <c r="U19" s="304"/>
    </row>
    <row r="20" spans="1:28" s="305" customFormat="1" ht="14.45" hidden="1" customHeight="1" outlineLevel="1" x14ac:dyDescent="0.25">
      <c r="A20" s="278"/>
      <c r="B20" s="279" t="str">
        <f t="shared" si="5"/>
        <v/>
      </c>
      <c r="C20" s="278"/>
      <c r="D20" s="278"/>
      <c r="E20" s="278"/>
      <c r="F20" s="278"/>
      <c r="G20" s="278"/>
      <c r="H20" s="290"/>
      <c r="I20" s="280">
        <f t="shared" ref="I20:I27" si="7">$I$2*H20</f>
        <v>0</v>
      </c>
      <c r="J20" s="281">
        <f t="shared" si="6"/>
        <v>0</v>
      </c>
      <c r="K20" s="282">
        <f>IF(Notes!$B$9="Domestic",I20, IF(Notes!$B$9="Commercial",J20))*$K$17</f>
        <v>0</v>
      </c>
      <c r="L20" s="283">
        <f>IF(SUM(O20:Q20)=0,0,(SUM(O20:Q20)+(K20+SUM(M20:Q20))*(INDEX($U$17:$AB$17,MATCH(Notes!$C$16,$U$3:$AB$3,0))-100%))*$L$17)</f>
        <v>0</v>
      </c>
      <c r="M20" s="286"/>
      <c r="N20" s="286"/>
      <c r="O20" s="285"/>
      <c r="P20" s="285"/>
      <c r="Q20" s="285"/>
      <c r="R20" s="278"/>
      <c r="S20" s="278"/>
      <c r="T20" s="278"/>
      <c r="U20" s="304"/>
    </row>
    <row r="21" spans="1:28" s="305" customFormat="1" hidden="1" outlineLevel="1" x14ac:dyDescent="0.25">
      <c r="A21" s="278"/>
      <c r="B21" s="279" t="str">
        <f t="shared" si="5"/>
        <v/>
      </c>
      <c r="C21" s="278"/>
      <c r="D21" s="278"/>
      <c r="E21" s="278"/>
      <c r="F21" s="278"/>
      <c r="G21" s="278"/>
      <c r="H21" s="290"/>
      <c r="I21" s="280">
        <f t="shared" si="7"/>
        <v>0</v>
      </c>
      <c r="J21" s="281">
        <f t="shared" si="6"/>
        <v>0</v>
      </c>
      <c r="K21" s="282">
        <f>IF(Notes!$B$9="Domestic",I21, IF(Notes!$B$9="Commercial",J21))*$K$17</f>
        <v>0</v>
      </c>
      <c r="L21" s="283">
        <f>IF(SUM(O21:Q21)=0,0,(SUM(O21:Q21)+(K21+SUM(M21:Q21))*(INDEX($U$17:$AB$17,MATCH(Notes!$C$16,$U$3:$AB$3,0))-100%))*$L$17)</f>
        <v>0</v>
      </c>
      <c r="M21" s="286"/>
      <c r="N21" s="286"/>
      <c r="O21" s="285"/>
      <c r="P21" s="285"/>
      <c r="Q21" s="285"/>
      <c r="R21" s="278"/>
      <c r="S21" s="278"/>
      <c r="T21" s="278"/>
    </row>
    <row r="22" spans="1:28" s="305" customFormat="1" hidden="1" outlineLevel="1" x14ac:dyDescent="0.25">
      <c r="A22" s="278"/>
      <c r="B22" s="279" t="str">
        <f t="shared" si="5"/>
        <v/>
      </c>
      <c r="C22" s="278"/>
      <c r="D22" s="278"/>
      <c r="E22" s="278"/>
      <c r="F22" s="278"/>
      <c r="G22" s="278"/>
      <c r="H22" s="290"/>
      <c r="I22" s="280">
        <f>$I$2*H22</f>
        <v>0</v>
      </c>
      <c r="J22" s="281">
        <f t="shared" si="6"/>
        <v>0</v>
      </c>
      <c r="K22" s="282">
        <f>IF(Notes!$B$9="Domestic",I22, IF(Notes!$B$9="Commercial",J22))*$K$17</f>
        <v>0</v>
      </c>
      <c r="L22" s="283">
        <f>IF(SUM(O22:Q22)=0,0,(SUM(O22:Q22)+(K22+SUM(M22:Q22))*(INDEX($U$17:$AB$17,MATCH(Notes!$C$16,$U$3:$AB$3,0))-100%))*$L$17)</f>
        <v>0</v>
      </c>
      <c r="M22" s="286"/>
      <c r="N22" s="286"/>
      <c r="O22" s="285"/>
      <c r="P22" s="285"/>
      <c r="Q22" s="285"/>
      <c r="R22" s="278"/>
      <c r="S22" s="278"/>
      <c r="T22" s="278"/>
    </row>
    <row r="23" spans="1:28" s="305" customFormat="1" hidden="1" outlineLevel="1" x14ac:dyDescent="0.25">
      <c r="A23" s="278"/>
      <c r="B23" s="279" t="str">
        <f t="shared" si="5"/>
        <v/>
      </c>
      <c r="C23" s="278"/>
      <c r="D23" s="278"/>
      <c r="E23" s="278"/>
      <c r="F23" s="278"/>
      <c r="G23" s="278"/>
      <c r="H23" s="290"/>
      <c r="I23" s="280">
        <f t="shared" si="7"/>
        <v>0</v>
      </c>
      <c r="J23" s="281">
        <f t="shared" si="6"/>
        <v>0</v>
      </c>
      <c r="K23" s="282">
        <f>IF(Notes!$B$9="Domestic",I23, IF(Notes!$B$9="Commercial",J23))*$K$17</f>
        <v>0</v>
      </c>
      <c r="L23" s="283">
        <f>IF(SUM(O23:Q23)=0,0,(SUM(O23:Q23)+(K23+SUM(M23:Q23))*(INDEX($U$17:$AB$17,MATCH(Notes!$C$16,$U$3:$AB$3,0))-100%))*$L$17)</f>
        <v>0</v>
      </c>
      <c r="M23" s="286"/>
      <c r="N23" s="286"/>
      <c r="O23" s="285"/>
      <c r="P23" s="285"/>
      <c r="Q23" s="285"/>
      <c r="R23" s="278"/>
      <c r="S23" s="278"/>
      <c r="T23" s="278"/>
    </row>
    <row r="24" spans="1:28" s="305" customFormat="1" hidden="1" outlineLevel="1" x14ac:dyDescent="0.25">
      <c r="A24" s="278"/>
      <c r="B24" s="279" t="str">
        <f t="shared" si="5"/>
        <v/>
      </c>
      <c r="C24" s="278"/>
      <c r="D24" s="278"/>
      <c r="E24" s="278"/>
      <c r="F24" s="278"/>
      <c r="G24" s="278"/>
      <c r="H24" s="290"/>
      <c r="I24" s="280">
        <f t="shared" si="7"/>
        <v>0</v>
      </c>
      <c r="J24" s="281">
        <f t="shared" si="6"/>
        <v>0</v>
      </c>
      <c r="K24" s="282">
        <f>IF(Notes!$B$9="Domestic",I24, IF(Notes!$B$9="Commercial",J24))*$K$17</f>
        <v>0</v>
      </c>
      <c r="L24" s="283">
        <f>IF(SUM(O24:Q24)=0,0,(SUM(O24:Q24)+(K24+SUM(M24:Q24))*(INDEX($U$17:$AB$17,MATCH(Notes!$C$16,$U$3:$AB$3,0))-100%))*$L$17)</f>
        <v>0</v>
      </c>
      <c r="M24" s="286"/>
      <c r="N24" s="286"/>
      <c r="O24" s="285"/>
      <c r="P24" s="285"/>
      <c r="Q24" s="285"/>
      <c r="R24" s="278"/>
      <c r="S24" s="278"/>
      <c r="T24" s="278"/>
    </row>
    <row r="25" spans="1:28" s="305" customFormat="1" hidden="1" outlineLevel="1" x14ac:dyDescent="0.25">
      <c r="A25" s="278"/>
      <c r="B25" s="279" t="str">
        <f t="shared" si="5"/>
        <v/>
      </c>
      <c r="C25" s="278"/>
      <c r="D25" s="278"/>
      <c r="E25" s="278"/>
      <c r="F25" s="278"/>
      <c r="G25" s="278"/>
      <c r="H25" s="290"/>
      <c r="I25" s="280">
        <f t="shared" si="7"/>
        <v>0</v>
      </c>
      <c r="J25" s="281">
        <f t="shared" si="6"/>
        <v>0</v>
      </c>
      <c r="K25" s="282">
        <f>IF(Notes!$B$9="Domestic",I25, IF(Notes!$B$9="Commercial",J25))*$K$17</f>
        <v>0</v>
      </c>
      <c r="L25" s="283">
        <f>IF(SUM(O25:Q25)=0,0,(SUM(O25:Q25)+(K25+SUM(M25:Q25))*(INDEX($U$17:$AB$17,MATCH(Notes!$C$16,$U$3:$AB$3,0))-100%))*$L$17)</f>
        <v>0</v>
      </c>
      <c r="M25" s="286"/>
      <c r="N25" s="286"/>
      <c r="O25" s="285"/>
      <c r="P25" s="285"/>
      <c r="Q25" s="285"/>
      <c r="R25" s="278"/>
      <c r="S25" s="278"/>
      <c r="T25" s="278"/>
    </row>
    <row r="26" spans="1:28" s="305" customFormat="1" hidden="1" outlineLevel="1" x14ac:dyDescent="0.25">
      <c r="A26" s="278"/>
      <c r="B26" s="279" t="str">
        <f t="shared" si="5"/>
        <v/>
      </c>
      <c r="C26" s="278"/>
      <c r="D26" s="278"/>
      <c r="E26" s="278"/>
      <c r="F26" s="278"/>
      <c r="G26" s="278"/>
      <c r="H26" s="290"/>
      <c r="I26" s="280">
        <f>$I$2*H26</f>
        <v>0</v>
      </c>
      <c r="J26" s="281">
        <f t="shared" si="6"/>
        <v>0</v>
      </c>
      <c r="K26" s="282">
        <f>IF(Notes!$B$9="Domestic",I26, IF(Notes!$B$9="Commercial",J26))*$K$17</f>
        <v>0</v>
      </c>
      <c r="L26" s="283">
        <f>IF(SUM(O26:Q26)=0,0,(SUM(O26:Q26)+(K26+SUM(M26:Q26))*(INDEX($U$17:$AB$17,MATCH(Notes!$C$16,$U$3:$AB$3,0))-100%))*$L$17)</f>
        <v>0</v>
      </c>
      <c r="M26" s="286"/>
      <c r="N26" s="286"/>
      <c r="O26" s="285"/>
      <c r="P26" s="285"/>
      <c r="Q26" s="285"/>
      <c r="R26" s="278"/>
      <c r="S26" s="278"/>
      <c r="T26" s="278"/>
    </row>
    <row r="27" spans="1:28" s="305" customFormat="1" hidden="1" outlineLevel="1" x14ac:dyDescent="0.25">
      <c r="A27" s="278"/>
      <c r="B27" s="279" t="str">
        <f t="shared" si="5"/>
        <v/>
      </c>
      <c r="C27" s="278"/>
      <c r="D27" s="278"/>
      <c r="E27" s="278"/>
      <c r="F27" s="278"/>
      <c r="G27" s="278"/>
      <c r="H27" s="290"/>
      <c r="I27" s="280">
        <f t="shared" si="7"/>
        <v>0</v>
      </c>
      <c r="J27" s="281">
        <f t="shared" si="6"/>
        <v>0</v>
      </c>
      <c r="K27" s="282">
        <f>IF(Notes!$B$9="Domestic",I27, IF(Notes!$B$9="Commercial",J27))*$K$17</f>
        <v>0</v>
      </c>
      <c r="L27" s="283">
        <f>IF(SUM(O27:Q27)=0,0,(SUM(O27:Q27)+(K27+SUM(M27:Q27))*(INDEX($U$17:$AB$17,MATCH(Notes!$C$16,$U$3:$AB$3,0))-100%))*$L$17)</f>
        <v>0</v>
      </c>
      <c r="M27" s="286"/>
      <c r="N27" s="286"/>
      <c r="O27" s="285"/>
      <c r="P27" s="285"/>
      <c r="Q27" s="285"/>
      <c r="R27" s="278"/>
      <c r="S27" s="278"/>
      <c r="T27" s="278"/>
    </row>
    <row r="28" spans="1:28" ht="21" hidden="1" outlineLevel="1" x14ac:dyDescent="0.25">
      <c r="A28" s="299"/>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row>
    <row r="29" spans="1:28" ht="15.75" hidden="1" outlineLevel="1" x14ac:dyDescent="0.25">
      <c r="A29" s="291"/>
      <c r="B29" s="291"/>
      <c r="C29" s="291"/>
      <c r="D29" s="291"/>
      <c r="E29" s="291"/>
      <c r="F29" s="291"/>
      <c r="G29" s="291"/>
      <c r="H29" s="291"/>
      <c r="I29" s="291"/>
      <c r="J29" s="291"/>
      <c r="K29" s="291">
        <f>K$2</f>
        <v>1</v>
      </c>
      <c r="L29" s="291">
        <f>L$2</f>
        <v>1</v>
      </c>
      <c r="M29" s="291"/>
      <c r="N29" s="291"/>
      <c r="O29" s="303"/>
      <c r="P29" s="303"/>
      <c r="Q29" s="303"/>
      <c r="R29" s="291"/>
      <c r="S29" s="291"/>
      <c r="T29" s="291"/>
      <c r="U29" s="291">
        <f>U$2</f>
        <v>1</v>
      </c>
      <c r="V29" s="291">
        <f>V$2</f>
        <v>1</v>
      </c>
      <c r="W29" s="291">
        <f t="shared" ref="W29:AB29" si="8">W$2</f>
        <v>1</v>
      </c>
      <c r="X29" s="291">
        <f t="shared" si="8"/>
        <v>1</v>
      </c>
      <c r="Y29" s="291">
        <f t="shared" si="8"/>
        <v>1</v>
      </c>
      <c r="Z29" s="291">
        <f t="shared" si="8"/>
        <v>1</v>
      </c>
      <c r="AA29" s="291">
        <f t="shared" si="8"/>
        <v>1</v>
      </c>
      <c r="AB29" s="291">
        <f t="shared" si="8"/>
        <v>1</v>
      </c>
    </row>
    <row r="30" spans="1:28" s="305" customFormat="1" ht="14.45" hidden="1" customHeight="1" outlineLevel="1" x14ac:dyDescent="0.25">
      <c r="A30" s="278"/>
      <c r="B30" s="279" t="str">
        <f>C30&amp;D30&amp;E30&amp;F30</f>
        <v/>
      </c>
      <c r="C30" s="278"/>
      <c r="D30" s="278"/>
      <c r="E30" s="278"/>
      <c r="F30" s="278"/>
      <c r="G30" s="278"/>
      <c r="H30" s="290"/>
      <c r="I30" s="280">
        <f>$I$2*H30</f>
        <v>0</v>
      </c>
      <c r="J30" s="281">
        <f>$J$2*H30</f>
        <v>0</v>
      </c>
      <c r="K30" s="282">
        <f>IF(Notes!$B$9="Domestic",I30, IF(Notes!$B$9="Commercial",J30))*$K$29</f>
        <v>0</v>
      </c>
      <c r="L30" s="283">
        <f>IF(SUM(O30:Q30)=0,0,(SUM(O30:Q30)+(K30+SUM(M30:Q30))*(INDEX($U$29:$AB$29,MATCH(Notes!$C$16,$U$3:$AB$3,0))-100%))*$L$29)</f>
        <v>0</v>
      </c>
      <c r="M30" s="286"/>
      <c r="N30" s="286"/>
      <c r="O30" s="285"/>
      <c r="P30" s="285"/>
      <c r="Q30" s="285"/>
      <c r="R30" s="278"/>
      <c r="S30" s="278"/>
      <c r="T30" s="278"/>
      <c r="U30" s="304"/>
    </row>
    <row r="31" spans="1:28" s="305" customFormat="1" ht="14.45" hidden="1" customHeight="1" outlineLevel="1" x14ac:dyDescent="0.25">
      <c r="A31" s="278"/>
      <c r="B31" s="279" t="str">
        <f t="shared" ref="B31:B39" si="9">C31&amp;D31&amp;E31&amp;F31</f>
        <v/>
      </c>
      <c r="C31" s="278"/>
      <c r="D31" s="278"/>
      <c r="E31" s="278"/>
      <c r="F31" s="278"/>
      <c r="G31" s="278"/>
      <c r="H31" s="290"/>
      <c r="I31" s="280">
        <f t="shared" ref="I31:I39" si="10">$I$2*H31</f>
        <v>0</v>
      </c>
      <c r="J31" s="281">
        <f t="shared" ref="J31:J39" si="11">$J$2*H31</f>
        <v>0</v>
      </c>
      <c r="K31" s="282">
        <f>IF(Notes!$B$9="Domestic",I31, IF(Notes!$B$9="Commercial",J31))*$K$29</f>
        <v>0</v>
      </c>
      <c r="L31" s="283">
        <f>IF(SUM(O31:Q31)=0,0,(SUM(O31:Q31)+(K31+SUM(M31:Q31))*(INDEX($U$29:$AB$29,MATCH(Notes!$C$16,$U$3:$AB$3,0))-100%))*$L$29)</f>
        <v>0</v>
      </c>
      <c r="M31" s="286"/>
      <c r="N31" s="286"/>
      <c r="O31" s="285"/>
      <c r="P31" s="285"/>
      <c r="Q31" s="285"/>
      <c r="R31" s="278"/>
      <c r="S31" s="278"/>
      <c r="T31" s="278"/>
      <c r="U31" s="304"/>
    </row>
    <row r="32" spans="1:28" s="305" customFormat="1" ht="14.45" hidden="1" customHeight="1" outlineLevel="1" x14ac:dyDescent="0.25">
      <c r="A32" s="278"/>
      <c r="B32" s="279" t="str">
        <f t="shared" si="9"/>
        <v/>
      </c>
      <c r="C32" s="278"/>
      <c r="D32" s="278"/>
      <c r="E32" s="278"/>
      <c r="F32" s="278"/>
      <c r="G32" s="278"/>
      <c r="H32" s="290"/>
      <c r="I32" s="280">
        <f>$I$2*H32</f>
        <v>0</v>
      </c>
      <c r="J32" s="281">
        <f t="shared" si="11"/>
        <v>0</v>
      </c>
      <c r="K32" s="282">
        <f>IF(Notes!$B$9="Domestic",I32, IF(Notes!$B$9="Commercial",J32))*$K$29</f>
        <v>0</v>
      </c>
      <c r="L32" s="283">
        <f>IF(SUM(O32:Q32)=0,0,(SUM(O32:Q32)+(K32+SUM(M32:Q32))*(INDEX($U$29:$AB$29,MATCH(Notes!$C$16,$U$3:$AB$3,0))-100%))*$L$29)</f>
        <v>0</v>
      </c>
      <c r="M32" s="286"/>
      <c r="N32" s="286"/>
      <c r="O32" s="285"/>
      <c r="P32" s="285"/>
      <c r="Q32" s="285"/>
      <c r="R32" s="278"/>
      <c r="S32" s="278"/>
      <c r="T32" s="278"/>
      <c r="U32" s="304"/>
    </row>
    <row r="33" spans="1:28" s="305" customFormat="1" ht="14.45" hidden="1" customHeight="1" outlineLevel="1" x14ac:dyDescent="0.25">
      <c r="A33" s="278"/>
      <c r="B33" s="279" t="str">
        <f t="shared" si="9"/>
        <v/>
      </c>
      <c r="C33" s="278"/>
      <c r="D33" s="278"/>
      <c r="E33" s="278"/>
      <c r="F33" s="278"/>
      <c r="G33" s="278"/>
      <c r="H33" s="290"/>
      <c r="I33" s="280">
        <f t="shared" si="10"/>
        <v>0</v>
      </c>
      <c r="J33" s="281">
        <f t="shared" si="11"/>
        <v>0</v>
      </c>
      <c r="K33" s="282">
        <f>IF(Notes!$B$9="Domestic",I33, IF(Notes!$B$9="Commercial",J33))*$K$29</f>
        <v>0</v>
      </c>
      <c r="L33" s="283">
        <f>IF(SUM(O33:Q33)=0,0,(SUM(O33:Q33)+(K33+SUM(M33:Q33))*(INDEX($U$29:$AB$29,MATCH(Notes!$C$16,$U$3:$AB$3,0))-100%))*$L$29)</f>
        <v>0</v>
      </c>
      <c r="M33" s="286"/>
      <c r="N33" s="286"/>
      <c r="O33" s="285"/>
      <c r="P33" s="285"/>
      <c r="Q33" s="285"/>
      <c r="R33" s="278"/>
      <c r="S33" s="278"/>
      <c r="T33" s="278"/>
    </row>
    <row r="34" spans="1:28" s="305" customFormat="1" ht="14.45" hidden="1" customHeight="1" outlineLevel="1" x14ac:dyDescent="0.25">
      <c r="A34" s="278"/>
      <c r="B34" s="279" t="str">
        <f t="shared" si="9"/>
        <v/>
      </c>
      <c r="C34" s="278"/>
      <c r="D34" s="278"/>
      <c r="E34" s="278"/>
      <c r="F34" s="278"/>
      <c r="G34" s="278"/>
      <c r="H34" s="290"/>
      <c r="I34" s="280">
        <f>$I$2*H34</f>
        <v>0</v>
      </c>
      <c r="J34" s="281">
        <f t="shared" si="11"/>
        <v>0</v>
      </c>
      <c r="K34" s="282">
        <f>IF(Notes!$B$9="Domestic",I34, IF(Notes!$B$9="Commercial",J34))*$K$29</f>
        <v>0</v>
      </c>
      <c r="L34" s="283">
        <f>IF(SUM(O34:Q34)=0,0,(SUM(O34:Q34)+(K34+SUM(M34:Q34))*(INDEX($U$29:$AB$29,MATCH(Notes!$C$16,$U$3:$AB$3,0))-100%))*$L$29)</f>
        <v>0</v>
      </c>
      <c r="M34" s="286"/>
      <c r="N34" s="286"/>
      <c r="O34" s="285"/>
      <c r="P34" s="285"/>
      <c r="Q34" s="285"/>
      <c r="R34" s="278"/>
      <c r="S34" s="278"/>
      <c r="T34" s="278"/>
    </row>
    <row r="35" spans="1:28" s="305" customFormat="1" ht="14.45" hidden="1" customHeight="1" outlineLevel="1" x14ac:dyDescent="0.25">
      <c r="A35" s="278"/>
      <c r="B35" s="279" t="str">
        <f t="shared" si="9"/>
        <v/>
      </c>
      <c r="C35" s="278"/>
      <c r="D35" s="278"/>
      <c r="E35" s="278"/>
      <c r="F35" s="278"/>
      <c r="G35" s="278"/>
      <c r="H35" s="290"/>
      <c r="I35" s="280">
        <f t="shared" si="10"/>
        <v>0</v>
      </c>
      <c r="J35" s="281">
        <f t="shared" si="11"/>
        <v>0</v>
      </c>
      <c r="K35" s="282">
        <f>IF(Notes!$B$9="Domestic",I35, IF(Notes!$B$9="Commercial",J35))*$K$29</f>
        <v>0</v>
      </c>
      <c r="L35" s="283">
        <f>IF(SUM(O35:Q35)=0,0,(SUM(O35:Q35)+(K35+SUM(M35:Q35))*(INDEX($U$29:$AB$29,MATCH(Notes!$C$16,$U$3:$AB$3,0))-100%))*$L$29)</f>
        <v>0</v>
      </c>
      <c r="M35" s="286"/>
      <c r="N35" s="286"/>
      <c r="O35" s="285"/>
      <c r="P35" s="285"/>
      <c r="Q35" s="285"/>
      <c r="R35" s="278"/>
      <c r="S35" s="278"/>
      <c r="T35" s="278"/>
    </row>
    <row r="36" spans="1:28" s="305" customFormat="1" ht="14.45" hidden="1" customHeight="1" outlineLevel="1" x14ac:dyDescent="0.25">
      <c r="A36" s="278"/>
      <c r="B36" s="279" t="str">
        <f t="shared" si="9"/>
        <v/>
      </c>
      <c r="C36" s="278"/>
      <c r="D36" s="278"/>
      <c r="E36" s="278"/>
      <c r="F36" s="278"/>
      <c r="G36" s="278"/>
      <c r="H36" s="290"/>
      <c r="I36" s="280">
        <f t="shared" si="10"/>
        <v>0</v>
      </c>
      <c r="J36" s="281">
        <f t="shared" si="11"/>
        <v>0</v>
      </c>
      <c r="K36" s="282">
        <f>IF(Notes!$B$9="Domestic",I36, IF(Notes!$B$9="Commercial",J36))*$K$29</f>
        <v>0</v>
      </c>
      <c r="L36" s="283">
        <f>IF(SUM(O36:Q36)=0,0,(SUM(O36:Q36)+(K36+SUM(M36:Q36))*(INDEX($U$29:$AB$29,MATCH(Notes!$C$16,$U$3:$AB$3,0))-100%))*$L$29)</f>
        <v>0</v>
      </c>
      <c r="M36" s="286"/>
      <c r="N36" s="286"/>
      <c r="O36" s="285"/>
      <c r="P36" s="285"/>
      <c r="Q36" s="285"/>
      <c r="R36" s="278"/>
      <c r="S36" s="278"/>
      <c r="T36" s="278"/>
    </row>
    <row r="37" spans="1:28" s="305" customFormat="1" ht="14.45" hidden="1" customHeight="1" outlineLevel="1" x14ac:dyDescent="0.25">
      <c r="A37" s="278"/>
      <c r="B37" s="279" t="str">
        <f t="shared" si="9"/>
        <v/>
      </c>
      <c r="C37" s="278"/>
      <c r="D37" s="278"/>
      <c r="E37" s="278"/>
      <c r="F37" s="278"/>
      <c r="G37" s="278"/>
      <c r="H37" s="290"/>
      <c r="I37" s="280">
        <f t="shared" si="10"/>
        <v>0</v>
      </c>
      <c r="J37" s="281">
        <f t="shared" si="11"/>
        <v>0</v>
      </c>
      <c r="K37" s="282">
        <f>IF(Notes!$B$9="Domestic",I37, IF(Notes!$B$9="Commercial",J37))*$K$29</f>
        <v>0</v>
      </c>
      <c r="L37" s="283">
        <f>IF(SUM(O37:Q37)=0,0,(SUM(O37:Q37)+(K37+SUM(M37:Q37))*(INDEX($U$29:$AB$29,MATCH(Notes!$C$16,$U$3:$AB$3,0))-100%))*$L$29)</f>
        <v>0</v>
      </c>
      <c r="M37" s="286"/>
      <c r="N37" s="286"/>
      <c r="O37" s="285"/>
      <c r="P37" s="285"/>
      <c r="Q37" s="285"/>
      <c r="R37" s="278"/>
      <c r="S37" s="278"/>
      <c r="T37" s="278"/>
    </row>
    <row r="38" spans="1:28" s="305" customFormat="1" ht="14.45" hidden="1" customHeight="1" outlineLevel="1" x14ac:dyDescent="0.25">
      <c r="A38" s="278"/>
      <c r="B38" s="279" t="str">
        <f t="shared" si="9"/>
        <v/>
      </c>
      <c r="C38" s="278"/>
      <c r="D38" s="278"/>
      <c r="E38" s="278"/>
      <c r="F38" s="278"/>
      <c r="G38" s="278"/>
      <c r="H38" s="290"/>
      <c r="I38" s="280">
        <f t="shared" si="10"/>
        <v>0</v>
      </c>
      <c r="J38" s="281">
        <f t="shared" si="11"/>
        <v>0</v>
      </c>
      <c r="K38" s="282">
        <f>IF(Notes!$B$9="Domestic",I38, IF(Notes!$B$9="Commercial",J38))*$K$29</f>
        <v>0</v>
      </c>
      <c r="L38" s="283">
        <f>IF(SUM(O38:Q38)=0,0,(SUM(O38:Q38)+(K38+SUM(M38:Q38))*(INDEX($U$29:$AB$29,MATCH(Notes!$C$16,$U$3:$AB$3,0))-100%))*$L$29)</f>
        <v>0</v>
      </c>
      <c r="M38" s="286"/>
      <c r="N38" s="286"/>
      <c r="O38" s="285"/>
      <c r="P38" s="285"/>
      <c r="Q38" s="285"/>
      <c r="R38" s="278"/>
      <c r="S38" s="278"/>
      <c r="T38" s="278"/>
    </row>
    <row r="39" spans="1:28" s="305" customFormat="1" ht="14.45" hidden="1" customHeight="1" outlineLevel="1" x14ac:dyDescent="0.25">
      <c r="A39" s="278"/>
      <c r="B39" s="279" t="str">
        <f t="shared" si="9"/>
        <v/>
      </c>
      <c r="C39" s="278"/>
      <c r="D39" s="278"/>
      <c r="E39" s="278"/>
      <c r="F39" s="278"/>
      <c r="G39" s="278"/>
      <c r="H39" s="290"/>
      <c r="I39" s="280">
        <f t="shared" si="10"/>
        <v>0</v>
      </c>
      <c r="J39" s="281">
        <f t="shared" si="11"/>
        <v>0</v>
      </c>
      <c r="K39" s="282">
        <f>IF(Notes!$B$9="Domestic",I39, IF(Notes!$B$9="Commercial",J39))*$K$29</f>
        <v>0</v>
      </c>
      <c r="L39" s="283">
        <f>IF(SUM(O39:Q39)=0,0,(SUM(O39:Q39)+(K39+SUM(M39:Q39))*(INDEX($U$29:$AB$29,MATCH(Notes!$C$16,$U$3:$AB$3,0))-100%))*$L$29)</f>
        <v>0</v>
      </c>
      <c r="M39" s="286"/>
      <c r="N39" s="286"/>
      <c r="O39" s="285"/>
      <c r="P39" s="285"/>
      <c r="Q39" s="285"/>
      <c r="R39" s="278"/>
      <c r="S39" s="278"/>
      <c r="T39" s="278"/>
    </row>
    <row r="40" spans="1:28" ht="21" hidden="1" outlineLevel="1" x14ac:dyDescent="0.25">
      <c r="A40" s="299"/>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row>
    <row r="41" spans="1:28" ht="15.75" hidden="1" outlineLevel="1" x14ac:dyDescent="0.25">
      <c r="A41" s="291"/>
      <c r="B41" s="291"/>
      <c r="C41" s="291"/>
      <c r="D41" s="291"/>
      <c r="E41" s="291"/>
      <c r="F41" s="291"/>
      <c r="G41" s="291"/>
      <c r="H41" s="291"/>
      <c r="I41" s="291"/>
      <c r="J41" s="291"/>
      <c r="K41" s="291">
        <f>K$2</f>
        <v>1</v>
      </c>
      <c r="L41" s="291">
        <f>L$2</f>
        <v>1</v>
      </c>
      <c r="M41" s="291"/>
      <c r="N41" s="291"/>
      <c r="O41" s="303"/>
      <c r="P41" s="303"/>
      <c r="Q41" s="303"/>
      <c r="R41" s="291"/>
      <c r="S41" s="291"/>
      <c r="T41" s="291"/>
      <c r="U41" s="291">
        <f>U$2</f>
        <v>1</v>
      </c>
      <c r="V41" s="291">
        <f>V$2</f>
        <v>1</v>
      </c>
      <c r="W41" s="291">
        <f t="shared" ref="W41:AB41" si="12">W$2</f>
        <v>1</v>
      </c>
      <c r="X41" s="291">
        <f t="shared" si="12"/>
        <v>1</v>
      </c>
      <c r="Y41" s="291">
        <f t="shared" si="12"/>
        <v>1</v>
      </c>
      <c r="Z41" s="291">
        <f t="shared" si="12"/>
        <v>1</v>
      </c>
      <c r="AA41" s="291">
        <f t="shared" si="12"/>
        <v>1</v>
      </c>
      <c r="AB41" s="291">
        <f t="shared" si="12"/>
        <v>1</v>
      </c>
    </row>
    <row r="42" spans="1:28" s="305" customFormat="1" ht="14.45" hidden="1" customHeight="1" outlineLevel="1" x14ac:dyDescent="0.25">
      <c r="A42" s="278"/>
      <c r="B42" s="279" t="str">
        <f>C42&amp;D42&amp;E42&amp;F42</f>
        <v/>
      </c>
      <c r="C42" s="278"/>
      <c r="D42" s="278"/>
      <c r="E42" s="278"/>
      <c r="F42" s="278"/>
      <c r="G42" s="278"/>
      <c r="H42" s="290"/>
      <c r="I42" s="280">
        <f>$I$2*H42</f>
        <v>0</v>
      </c>
      <c r="J42" s="281">
        <f>$J$2*H42</f>
        <v>0</v>
      </c>
      <c r="K42" s="282">
        <f>IF(Notes!$B$9="Domestic",I42, IF(Notes!$B$9="Commercial",J42))*$K$41</f>
        <v>0</v>
      </c>
      <c r="L42" s="283">
        <f>IF(SUM(O42:Q42)=0,0,(SUM(O42:Q42)+(K42+SUM(M42:Q42))*(INDEX($U$41:$AB$41,MATCH(Notes!$C$16,$U$3:$AB$3,0))-100%))*$L$41)</f>
        <v>0</v>
      </c>
      <c r="M42" s="286"/>
      <c r="N42" s="286"/>
      <c r="O42" s="285"/>
      <c r="P42" s="285"/>
      <c r="Q42" s="285"/>
      <c r="R42" s="278"/>
      <c r="S42" s="278"/>
      <c r="T42" s="278"/>
      <c r="U42" s="304"/>
    </row>
    <row r="43" spans="1:28" s="305" customFormat="1" ht="14.45" hidden="1" customHeight="1" outlineLevel="1" x14ac:dyDescent="0.25">
      <c r="A43" s="278"/>
      <c r="B43" s="279" t="str">
        <f t="shared" ref="B43:B51" si="13">C43&amp;D43&amp;E43&amp;F43</f>
        <v/>
      </c>
      <c r="C43" s="278"/>
      <c r="D43" s="278"/>
      <c r="E43" s="278"/>
      <c r="F43" s="278"/>
      <c r="G43" s="278"/>
      <c r="H43" s="290"/>
      <c r="I43" s="280">
        <f t="shared" ref="I43:I51" si="14">$I$2*H43</f>
        <v>0</v>
      </c>
      <c r="J43" s="281">
        <f t="shared" ref="J43:J51" si="15">$J$2*H43</f>
        <v>0</v>
      </c>
      <c r="K43" s="282">
        <f>IF(Notes!$B$9="Domestic",I43, IF(Notes!$B$9="Commercial",J43))*$K$41</f>
        <v>0</v>
      </c>
      <c r="L43" s="283">
        <f>IF(SUM(O43:Q43)=0,0,(SUM(O43:Q43)+(K43+SUM(M43:Q43))*(INDEX($U$41:$AB$41,MATCH(Notes!$C$16,$U$3:$AB$3,0))-100%))*$L$41)</f>
        <v>0</v>
      </c>
      <c r="M43" s="286"/>
      <c r="N43" s="286"/>
      <c r="O43" s="285"/>
      <c r="P43" s="285"/>
      <c r="Q43" s="285"/>
      <c r="R43" s="278"/>
      <c r="S43" s="278"/>
      <c r="T43" s="278"/>
      <c r="U43" s="304"/>
    </row>
    <row r="44" spans="1:28" s="305" customFormat="1" ht="14.45" hidden="1" customHeight="1" outlineLevel="1" x14ac:dyDescent="0.25">
      <c r="A44" s="278"/>
      <c r="B44" s="279" t="str">
        <f t="shared" si="13"/>
        <v/>
      </c>
      <c r="C44" s="278"/>
      <c r="D44" s="278"/>
      <c r="E44" s="278"/>
      <c r="F44" s="278"/>
      <c r="G44" s="278"/>
      <c r="H44" s="290"/>
      <c r="I44" s="280">
        <f t="shared" si="14"/>
        <v>0</v>
      </c>
      <c r="J44" s="281">
        <f t="shared" si="15"/>
        <v>0</v>
      </c>
      <c r="K44" s="282">
        <f>IF(Notes!$B$9="Domestic",I44, IF(Notes!$B$9="Commercial",J44))*$K$41</f>
        <v>0</v>
      </c>
      <c r="L44" s="283">
        <f>IF(SUM(O44:Q44)=0,0,(SUM(O44:Q44)+(K44+SUM(M44:Q44))*(INDEX($U$41:$AB$41,MATCH(Notes!$C$16,$U$3:$AB$3,0))-100%))*$L$41)</f>
        <v>0</v>
      </c>
      <c r="M44" s="286"/>
      <c r="N44" s="286"/>
      <c r="O44" s="285"/>
      <c r="P44" s="285"/>
      <c r="Q44" s="285"/>
      <c r="R44" s="278"/>
      <c r="S44" s="278"/>
      <c r="T44" s="278"/>
      <c r="U44" s="304"/>
    </row>
    <row r="45" spans="1:28" s="305" customFormat="1" hidden="1" outlineLevel="1" x14ac:dyDescent="0.25">
      <c r="A45" s="278"/>
      <c r="B45" s="279" t="str">
        <f t="shared" si="13"/>
        <v/>
      </c>
      <c r="C45" s="278"/>
      <c r="D45" s="278"/>
      <c r="E45" s="278"/>
      <c r="F45" s="278"/>
      <c r="G45" s="278"/>
      <c r="H45" s="290"/>
      <c r="I45" s="280">
        <f t="shared" si="14"/>
        <v>0</v>
      </c>
      <c r="J45" s="281">
        <f t="shared" si="15"/>
        <v>0</v>
      </c>
      <c r="K45" s="282">
        <f>IF(Notes!$B$9="Domestic",I45, IF(Notes!$B$9="Commercial",J45))*$K$41</f>
        <v>0</v>
      </c>
      <c r="L45" s="283">
        <f>IF(SUM(O45:Q45)=0,0,(SUM(O45:Q45)+(K45+SUM(M45:Q45))*(INDEX($U$41:$AB$41,MATCH(Notes!$C$16,$U$3:$AB$3,0))-100%))*$L$41)</f>
        <v>0</v>
      </c>
      <c r="M45" s="286"/>
      <c r="N45" s="286"/>
      <c r="O45" s="285"/>
      <c r="P45" s="285"/>
      <c r="Q45" s="285"/>
      <c r="R45" s="278"/>
      <c r="S45" s="278"/>
      <c r="T45" s="278"/>
    </row>
    <row r="46" spans="1:28" s="305" customFormat="1" hidden="1" outlineLevel="1" x14ac:dyDescent="0.25">
      <c r="A46" s="278"/>
      <c r="B46" s="279" t="str">
        <f t="shared" si="13"/>
        <v/>
      </c>
      <c r="C46" s="278"/>
      <c r="D46" s="278"/>
      <c r="E46" s="278"/>
      <c r="F46" s="278"/>
      <c r="G46" s="278"/>
      <c r="H46" s="290"/>
      <c r="I46" s="280">
        <f>$I$2*H46</f>
        <v>0</v>
      </c>
      <c r="J46" s="281">
        <f t="shared" si="15"/>
        <v>0</v>
      </c>
      <c r="K46" s="282">
        <f>IF(Notes!$B$9="Domestic",I46, IF(Notes!$B$9="Commercial",J46))*$K$41</f>
        <v>0</v>
      </c>
      <c r="L46" s="283">
        <f>IF(SUM(O46:Q46)=0,0,(SUM(O46:Q46)+(K46+SUM(M46:Q46))*(INDEX($U$41:$AB$41,MATCH(Notes!$C$16,$U$3:$AB$3,0))-100%))*$L$41)</f>
        <v>0</v>
      </c>
      <c r="M46" s="286"/>
      <c r="N46" s="286"/>
      <c r="O46" s="285"/>
      <c r="P46" s="285"/>
      <c r="Q46" s="285"/>
      <c r="R46" s="278"/>
      <c r="S46" s="278"/>
      <c r="T46" s="278"/>
    </row>
    <row r="47" spans="1:28" s="305" customFormat="1" hidden="1" outlineLevel="1" x14ac:dyDescent="0.25">
      <c r="A47" s="278"/>
      <c r="B47" s="279" t="str">
        <f t="shared" si="13"/>
        <v/>
      </c>
      <c r="C47" s="278"/>
      <c r="D47" s="278"/>
      <c r="E47" s="278"/>
      <c r="F47" s="278"/>
      <c r="G47" s="278"/>
      <c r="H47" s="290"/>
      <c r="I47" s="280">
        <f t="shared" si="14"/>
        <v>0</v>
      </c>
      <c r="J47" s="281">
        <f t="shared" si="15"/>
        <v>0</v>
      </c>
      <c r="K47" s="282">
        <f>IF(Notes!$B$9="Domestic",I47, IF(Notes!$B$9="Commercial",J47))*$K$41</f>
        <v>0</v>
      </c>
      <c r="L47" s="283">
        <f>IF(SUM(O47:Q47)=0,0,(SUM(O47:Q47)+(K47+SUM(M47:Q47))*(INDEX($U$41:$AB$41,MATCH(Notes!$C$16,$U$3:$AB$3,0))-100%))*$L$41)</f>
        <v>0</v>
      </c>
      <c r="M47" s="286"/>
      <c r="N47" s="286"/>
      <c r="O47" s="285"/>
      <c r="P47" s="285"/>
      <c r="Q47" s="285"/>
      <c r="R47" s="278"/>
      <c r="S47" s="278"/>
      <c r="T47" s="278"/>
    </row>
    <row r="48" spans="1:28" s="305" customFormat="1" hidden="1" outlineLevel="1" x14ac:dyDescent="0.25">
      <c r="A48" s="278"/>
      <c r="B48" s="279" t="str">
        <f t="shared" si="13"/>
        <v/>
      </c>
      <c r="C48" s="278"/>
      <c r="D48" s="278"/>
      <c r="E48" s="278"/>
      <c r="F48" s="278"/>
      <c r="G48" s="278"/>
      <c r="H48" s="290"/>
      <c r="I48" s="280">
        <f t="shared" si="14"/>
        <v>0</v>
      </c>
      <c r="J48" s="281">
        <f t="shared" si="15"/>
        <v>0</v>
      </c>
      <c r="K48" s="282">
        <f>IF(Notes!$B$9="Domestic",I48, IF(Notes!$B$9="Commercial",J48))*$K$41</f>
        <v>0</v>
      </c>
      <c r="L48" s="283">
        <f>IF(SUM(O48:Q48)=0,0,(SUM(O48:Q48)+(K48+SUM(M48:Q48))*(INDEX($U$41:$AB$41,MATCH(Notes!$C$16,$U$3:$AB$3,0))-100%))*$L$41)</f>
        <v>0</v>
      </c>
      <c r="M48" s="286"/>
      <c r="N48" s="286"/>
      <c r="O48" s="285"/>
      <c r="P48" s="285"/>
      <c r="Q48" s="285"/>
      <c r="R48" s="278"/>
      <c r="S48" s="278"/>
      <c r="T48" s="278"/>
    </row>
    <row r="49" spans="1:28" s="305" customFormat="1" hidden="1" outlineLevel="1" x14ac:dyDescent="0.25">
      <c r="A49" s="278"/>
      <c r="B49" s="279" t="str">
        <f t="shared" si="13"/>
        <v/>
      </c>
      <c r="C49" s="278"/>
      <c r="D49" s="278"/>
      <c r="E49" s="278"/>
      <c r="F49" s="278"/>
      <c r="G49" s="278"/>
      <c r="H49" s="290"/>
      <c r="I49" s="280">
        <f t="shared" si="14"/>
        <v>0</v>
      </c>
      <c r="J49" s="281">
        <f t="shared" si="15"/>
        <v>0</v>
      </c>
      <c r="K49" s="282">
        <f>IF(Notes!$B$9="Domestic",I49, IF(Notes!$B$9="Commercial",J49))*$K$41</f>
        <v>0</v>
      </c>
      <c r="L49" s="283">
        <f>IF(SUM(O49:Q49)=0,0,(SUM(O49:Q49)+(K49+SUM(M49:Q49))*(INDEX($U$41:$AB$41,MATCH(Notes!$C$16,$U$3:$AB$3,0))-100%))*$L$41)</f>
        <v>0</v>
      </c>
      <c r="M49" s="286"/>
      <c r="N49" s="286"/>
      <c r="O49" s="285"/>
      <c r="P49" s="285"/>
      <c r="Q49" s="285"/>
      <c r="R49" s="278"/>
      <c r="S49" s="278"/>
      <c r="T49" s="278"/>
    </row>
    <row r="50" spans="1:28" s="305" customFormat="1" hidden="1" outlineLevel="1" x14ac:dyDescent="0.25">
      <c r="A50" s="278"/>
      <c r="B50" s="279" t="str">
        <f t="shared" si="13"/>
        <v/>
      </c>
      <c r="C50" s="278"/>
      <c r="D50" s="278"/>
      <c r="E50" s="278"/>
      <c r="F50" s="278"/>
      <c r="G50" s="278"/>
      <c r="H50" s="290"/>
      <c r="I50" s="280">
        <f t="shared" si="14"/>
        <v>0</v>
      </c>
      <c r="J50" s="281">
        <f t="shared" si="15"/>
        <v>0</v>
      </c>
      <c r="K50" s="282">
        <f>IF(Notes!$B$9="Domestic",I50, IF(Notes!$B$9="Commercial",J50))*$K$41</f>
        <v>0</v>
      </c>
      <c r="L50" s="283">
        <f>IF(SUM(O50:Q50)=0,0,(SUM(O50:Q50)+(K50+SUM(M50:Q50))*(INDEX($U$41:$AB$41,MATCH(Notes!$C$16,$U$3:$AB$3,0))-100%))*$L$41)</f>
        <v>0</v>
      </c>
      <c r="M50" s="286"/>
      <c r="N50" s="286"/>
      <c r="O50" s="285"/>
      <c r="P50" s="285"/>
      <c r="Q50" s="285"/>
      <c r="R50" s="278"/>
      <c r="S50" s="278"/>
      <c r="T50" s="278"/>
    </row>
    <row r="51" spans="1:28" s="305" customFormat="1" hidden="1" outlineLevel="1" x14ac:dyDescent="0.25">
      <c r="A51" s="278"/>
      <c r="B51" s="279" t="str">
        <f t="shared" si="13"/>
        <v/>
      </c>
      <c r="C51" s="278"/>
      <c r="D51" s="278"/>
      <c r="E51" s="278"/>
      <c r="F51" s="278"/>
      <c r="G51" s="278"/>
      <c r="H51" s="290"/>
      <c r="I51" s="280">
        <f t="shared" si="14"/>
        <v>0</v>
      </c>
      <c r="J51" s="281">
        <f t="shared" si="15"/>
        <v>0</v>
      </c>
      <c r="K51" s="282">
        <f>IF(Notes!$B$9="Domestic",I51, IF(Notes!$B$9="Commercial",J51))*$K$41</f>
        <v>0</v>
      </c>
      <c r="L51" s="283">
        <f>IF(SUM(O51:Q51)=0,0,(SUM(O51:Q51)+(K51+SUM(M51:Q51))*(INDEX($U$41:$AB$41,MATCH(Notes!$C$16,$U$3:$AB$3,0))-100%))*$L$41)</f>
        <v>0</v>
      </c>
      <c r="M51" s="286"/>
      <c r="N51" s="286"/>
      <c r="O51" s="285"/>
      <c r="P51" s="285"/>
      <c r="Q51" s="285"/>
      <c r="R51" s="278"/>
      <c r="S51" s="278"/>
      <c r="T51" s="278"/>
    </row>
    <row r="52" spans="1:28" ht="21" hidden="1" outlineLevel="1" x14ac:dyDescent="0.25">
      <c r="A52" s="299"/>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row>
    <row r="53" spans="1:28" ht="15.75" hidden="1" outlineLevel="1" x14ac:dyDescent="0.25">
      <c r="A53" s="291"/>
      <c r="B53" s="291"/>
      <c r="C53" s="291"/>
      <c r="D53" s="291"/>
      <c r="E53" s="291"/>
      <c r="F53" s="291"/>
      <c r="G53" s="291"/>
      <c r="H53" s="291"/>
      <c r="I53" s="291"/>
      <c r="J53" s="291"/>
      <c r="K53" s="291">
        <f>K$2</f>
        <v>1</v>
      </c>
      <c r="L53" s="291">
        <f>L$2</f>
        <v>1</v>
      </c>
      <c r="M53" s="291"/>
      <c r="N53" s="291"/>
      <c r="O53" s="303"/>
      <c r="P53" s="303"/>
      <c r="Q53" s="303"/>
      <c r="R53" s="291"/>
      <c r="S53" s="291"/>
      <c r="T53" s="291"/>
      <c r="U53" s="291">
        <f>U$2</f>
        <v>1</v>
      </c>
      <c r="V53" s="291">
        <f>V$2</f>
        <v>1</v>
      </c>
      <c r="W53" s="291">
        <f t="shared" ref="W53:AB53" si="16">W$2</f>
        <v>1</v>
      </c>
      <c r="X53" s="291">
        <f t="shared" si="16"/>
        <v>1</v>
      </c>
      <c r="Y53" s="291">
        <f t="shared" si="16"/>
        <v>1</v>
      </c>
      <c r="Z53" s="291">
        <f t="shared" si="16"/>
        <v>1</v>
      </c>
      <c r="AA53" s="291">
        <f t="shared" si="16"/>
        <v>1</v>
      </c>
      <c r="AB53" s="291">
        <f t="shared" si="16"/>
        <v>1</v>
      </c>
    </row>
    <row r="54" spans="1:28" s="305" customFormat="1" ht="14.45" hidden="1" customHeight="1" outlineLevel="1" x14ac:dyDescent="0.25">
      <c r="A54" s="278"/>
      <c r="B54" s="279" t="str">
        <f>C54&amp;D54&amp;E54&amp;F54</f>
        <v/>
      </c>
      <c r="C54" s="278"/>
      <c r="D54" s="278"/>
      <c r="E54" s="278"/>
      <c r="F54" s="278"/>
      <c r="G54" s="278"/>
      <c r="H54" s="290"/>
      <c r="I54" s="280">
        <f>$I$2*H54</f>
        <v>0</v>
      </c>
      <c r="J54" s="281">
        <f>$J$2*H54</f>
        <v>0</v>
      </c>
      <c r="K54" s="282">
        <f>IF(Notes!$B$9="Domestic",I54, IF(Notes!$B$9="Commercial",J54))*$K$53</f>
        <v>0</v>
      </c>
      <c r="L54" s="283">
        <f>IF(SUM(O54:Q54)=0,0,(SUM(O54:Q54)+(K54+SUM(M54:Q54))*(INDEX($U$53:$AB$53,MATCH(Notes!$C$16,$U$3:$AB$3,0))-100%))*$L$53)</f>
        <v>0</v>
      </c>
      <c r="M54" s="286"/>
      <c r="N54" s="286"/>
      <c r="O54" s="285"/>
      <c r="P54" s="285"/>
      <c r="Q54" s="285"/>
      <c r="R54" s="278"/>
      <c r="S54" s="278"/>
      <c r="T54" s="278"/>
      <c r="U54" s="304"/>
    </row>
    <row r="55" spans="1:28" s="305" customFormat="1" ht="14.45" hidden="1" customHeight="1" outlineLevel="1" x14ac:dyDescent="0.25">
      <c r="A55" s="278"/>
      <c r="B55" s="279" t="str">
        <f t="shared" ref="B55:B63" si="17">C55&amp;D55&amp;E55&amp;F55</f>
        <v/>
      </c>
      <c r="C55" s="278"/>
      <c r="D55" s="278"/>
      <c r="E55" s="278"/>
      <c r="F55" s="278"/>
      <c r="G55" s="278"/>
      <c r="H55" s="290"/>
      <c r="I55" s="280">
        <f t="shared" ref="I55:I63" si="18">$I$2*H55</f>
        <v>0</v>
      </c>
      <c r="J55" s="281">
        <f t="shared" ref="J55:J63" si="19">$J$2*H55</f>
        <v>0</v>
      </c>
      <c r="K55" s="282">
        <f>IF(Notes!$B$9="Domestic",I55, IF(Notes!$B$9="Commercial",J55))*$K$53</f>
        <v>0</v>
      </c>
      <c r="L55" s="283">
        <f>IF(SUM(O55:Q55)=0,0,(SUM(O55:Q55)+(K55+SUM(M55:Q55))*(INDEX($U$53:$AB$53,MATCH(Notes!$C$16,$U$3:$AB$3,0))-100%))*$L$53)</f>
        <v>0</v>
      </c>
      <c r="M55" s="286"/>
      <c r="N55" s="286"/>
      <c r="O55" s="285"/>
      <c r="P55" s="285"/>
      <c r="Q55" s="285"/>
      <c r="R55" s="278"/>
      <c r="S55" s="278"/>
      <c r="T55" s="278"/>
      <c r="U55" s="304"/>
    </row>
    <row r="56" spans="1:28" s="305" customFormat="1" ht="14.45" hidden="1" customHeight="1" outlineLevel="1" x14ac:dyDescent="0.25">
      <c r="A56" s="278"/>
      <c r="B56" s="279" t="str">
        <f t="shared" si="17"/>
        <v/>
      </c>
      <c r="C56" s="278"/>
      <c r="D56" s="278"/>
      <c r="E56" s="278"/>
      <c r="F56" s="278"/>
      <c r="G56" s="278"/>
      <c r="H56" s="290"/>
      <c r="I56" s="280">
        <f t="shared" si="18"/>
        <v>0</v>
      </c>
      <c r="J56" s="281">
        <f t="shared" si="19"/>
        <v>0</v>
      </c>
      <c r="K56" s="282">
        <f>IF(Notes!$B$9="Domestic",I56, IF(Notes!$B$9="Commercial",J56))*$K$53</f>
        <v>0</v>
      </c>
      <c r="L56" s="283">
        <f>IF(SUM(O56:Q56)=0,0,(SUM(O56:Q56)+(K56+SUM(M56:Q56))*(INDEX($U$53:$AB$53,MATCH(Notes!$C$16,$U$3:$AB$3,0))-100%))*$L$53)</f>
        <v>0</v>
      </c>
      <c r="M56" s="286"/>
      <c r="N56" s="286"/>
      <c r="O56" s="285"/>
      <c r="P56" s="285"/>
      <c r="Q56" s="285"/>
      <c r="R56" s="278"/>
      <c r="S56" s="278"/>
      <c r="T56" s="278"/>
      <c r="U56" s="304"/>
    </row>
    <row r="57" spans="1:28" s="305" customFormat="1" ht="14.45" hidden="1" customHeight="1" outlineLevel="1" x14ac:dyDescent="0.25">
      <c r="A57" s="278"/>
      <c r="B57" s="279" t="str">
        <f t="shared" si="17"/>
        <v/>
      </c>
      <c r="C57" s="278"/>
      <c r="D57" s="278"/>
      <c r="E57" s="278"/>
      <c r="F57" s="278"/>
      <c r="G57" s="278"/>
      <c r="H57" s="290"/>
      <c r="I57" s="280">
        <f t="shared" si="18"/>
        <v>0</v>
      </c>
      <c r="J57" s="281">
        <f t="shared" si="19"/>
        <v>0</v>
      </c>
      <c r="K57" s="282">
        <f>IF(Notes!$B$9="Domestic",I57, IF(Notes!$B$9="Commercial",J57))*$K$53</f>
        <v>0</v>
      </c>
      <c r="L57" s="283">
        <f>IF(SUM(O57:Q57)=0,0,(SUM(O57:Q57)+(K57+SUM(M57:Q57))*(INDEX($U$53:$AB$53,MATCH(Notes!$C$16,$U$3:$AB$3,0))-100%))*$L$53)</f>
        <v>0</v>
      </c>
      <c r="M57" s="286"/>
      <c r="N57" s="286"/>
      <c r="O57" s="285"/>
      <c r="P57" s="285"/>
      <c r="Q57" s="285"/>
      <c r="R57" s="278"/>
      <c r="S57" s="278"/>
      <c r="T57" s="278"/>
    </row>
    <row r="58" spans="1:28" s="305" customFormat="1" hidden="1" outlineLevel="1" x14ac:dyDescent="0.25">
      <c r="A58" s="278"/>
      <c r="B58" s="279" t="str">
        <f t="shared" si="17"/>
        <v/>
      </c>
      <c r="C58" s="278"/>
      <c r="D58" s="278"/>
      <c r="E58" s="278"/>
      <c r="F58" s="278"/>
      <c r="G58" s="278"/>
      <c r="H58" s="290"/>
      <c r="I58" s="280">
        <f>$I$2*H58</f>
        <v>0</v>
      </c>
      <c r="J58" s="281">
        <f t="shared" si="19"/>
        <v>0</v>
      </c>
      <c r="K58" s="282">
        <f>IF(Notes!$B$9="Domestic",I58, IF(Notes!$B$9="Commercial",J58))*$K$53</f>
        <v>0</v>
      </c>
      <c r="L58" s="283">
        <f>IF(SUM(O58:Q58)=0,0,(SUM(O58:Q58)+(K58+SUM(M58:Q58))*(INDEX($U$53:$AB$53,MATCH(Notes!$C$16,$U$3:$AB$3,0))-100%))*$L$53)</f>
        <v>0</v>
      </c>
      <c r="M58" s="286"/>
      <c r="N58" s="286"/>
      <c r="O58" s="285"/>
      <c r="P58" s="285"/>
      <c r="Q58" s="285"/>
      <c r="R58" s="278"/>
      <c r="S58" s="278"/>
      <c r="T58" s="278"/>
    </row>
    <row r="59" spans="1:28" s="305" customFormat="1" hidden="1" outlineLevel="1" x14ac:dyDescent="0.25">
      <c r="A59" s="278"/>
      <c r="B59" s="279" t="str">
        <f t="shared" si="17"/>
        <v/>
      </c>
      <c r="C59" s="278"/>
      <c r="D59" s="278"/>
      <c r="E59" s="278"/>
      <c r="F59" s="278"/>
      <c r="G59" s="278"/>
      <c r="H59" s="290"/>
      <c r="I59" s="280">
        <f t="shared" si="18"/>
        <v>0</v>
      </c>
      <c r="J59" s="281">
        <f t="shared" si="19"/>
        <v>0</v>
      </c>
      <c r="K59" s="282">
        <f>IF(Notes!$B$9="Domestic",I59, IF(Notes!$B$9="Commercial",J59))*$K$53</f>
        <v>0</v>
      </c>
      <c r="L59" s="283">
        <f>IF(SUM(O59:Q59)=0,0,(SUM(O59:Q59)+(K59+SUM(M59:Q59))*(INDEX($U$53:$AB$53,MATCH(Notes!$C$16,$U$3:$AB$3,0))-100%))*$L$53)</f>
        <v>0</v>
      </c>
      <c r="M59" s="286"/>
      <c r="N59" s="286"/>
      <c r="O59" s="285"/>
      <c r="P59" s="285"/>
      <c r="Q59" s="285"/>
      <c r="R59" s="278"/>
      <c r="S59" s="278"/>
      <c r="T59" s="278"/>
    </row>
    <row r="60" spans="1:28" s="305" customFormat="1" hidden="1" outlineLevel="1" x14ac:dyDescent="0.25">
      <c r="A60" s="278"/>
      <c r="B60" s="279" t="str">
        <f t="shared" si="17"/>
        <v/>
      </c>
      <c r="C60" s="278"/>
      <c r="D60" s="278"/>
      <c r="E60" s="278"/>
      <c r="F60" s="278"/>
      <c r="G60" s="278"/>
      <c r="H60" s="290"/>
      <c r="I60" s="280">
        <f t="shared" si="18"/>
        <v>0</v>
      </c>
      <c r="J60" s="281">
        <f t="shared" si="19"/>
        <v>0</v>
      </c>
      <c r="K60" s="282">
        <f>IF(Notes!$B$9="Domestic",I60, IF(Notes!$B$9="Commercial",J60))*$K$53</f>
        <v>0</v>
      </c>
      <c r="L60" s="283">
        <f>IF(SUM(O60:Q60)=0,0,(SUM(O60:Q60)+(K60+SUM(M60:Q60))*(INDEX($U$53:$AB$53,MATCH(Notes!$C$16,$U$3:$AB$3,0))-100%))*$L$53)</f>
        <v>0</v>
      </c>
      <c r="M60" s="286"/>
      <c r="N60" s="286"/>
      <c r="O60" s="285"/>
      <c r="P60" s="285"/>
      <c r="Q60" s="285"/>
      <c r="R60" s="278"/>
      <c r="S60" s="278"/>
      <c r="T60" s="278"/>
    </row>
    <row r="61" spans="1:28" s="305" customFormat="1" hidden="1" outlineLevel="1" x14ac:dyDescent="0.25">
      <c r="A61" s="278"/>
      <c r="B61" s="279" t="str">
        <f t="shared" si="17"/>
        <v/>
      </c>
      <c r="C61" s="278"/>
      <c r="D61" s="278"/>
      <c r="E61" s="278"/>
      <c r="F61" s="278"/>
      <c r="G61" s="278"/>
      <c r="H61" s="290"/>
      <c r="I61" s="280">
        <f t="shared" si="18"/>
        <v>0</v>
      </c>
      <c r="J61" s="281">
        <f t="shared" si="19"/>
        <v>0</v>
      </c>
      <c r="K61" s="282">
        <f>IF(Notes!$B$9="Domestic",I61, IF(Notes!$B$9="Commercial",J61))*$K$53</f>
        <v>0</v>
      </c>
      <c r="L61" s="283">
        <f>IF(SUM(O61:Q61)=0,0,(SUM(O61:Q61)+(K61+SUM(M61:Q61))*(INDEX($U$53:$AB$53,MATCH(Notes!$C$16,$U$3:$AB$3,0))-100%))*$L$53)</f>
        <v>0</v>
      </c>
      <c r="M61" s="286"/>
      <c r="N61" s="286"/>
      <c r="O61" s="285"/>
      <c r="P61" s="285"/>
      <c r="Q61" s="285"/>
      <c r="R61" s="278"/>
      <c r="S61" s="278"/>
      <c r="T61" s="278"/>
    </row>
    <row r="62" spans="1:28" s="305" customFormat="1" hidden="1" outlineLevel="1" x14ac:dyDescent="0.25">
      <c r="A62" s="278"/>
      <c r="B62" s="279" t="str">
        <f t="shared" si="17"/>
        <v/>
      </c>
      <c r="C62" s="278"/>
      <c r="D62" s="278"/>
      <c r="E62" s="278"/>
      <c r="F62" s="278"/>
      <c r="G62" s="278"/>
      <c r="H62" s="290"/>
      <c r="I62" s="280">
        <f t="shared" si="18"/>
        <v>0</v>
      </c>
      <c r="J62" s="281">
        <f t="shared" si="19"/>
        <v>0</v>
      </c>
      <c r="K62" s="282">
        <f>IF(Notes!$B$9="Domestic",I62, IF(Notes!$B$9="Commercial",J62))*$K$53</f>
        <v>0</v>
      </c>
      <c r="L62" s="283">
        <f>IF(SUM(O62:Q62)=0,0,(SUM(O62:Q62)+(K62+SUM(M62:Q62))*(INDEX($U$53:$AB$53,MATCH(Notes!$C$16,$U$3:$AB$3,0))-100%))*$L$53)</f>
        <v>0</v>
      </c>
      <c r="M62" s="286"/>
      <c r="N62" s="286"/>
      <c r="O62" s="285"/>
      <c r="P62" s="285"/>
      <c r="Q62" s="285"/>
      <c r="R62" s="278"/>
      <c r="S62" s="278"/>
      <c r="T62" s="278"/>
    </row>
    <row r="63" spans="1:28" s="305" customFormat="1" hidden="1" outlineLevel="1" x14ac:dyDescent="0.25">
      <c r="A63" s="278"/>
      <c r="B63" s="279" t="str">
        <f t="shared" si="17"/>
        <v/>
      </c>
      <c r="C63" s="278"/>
      <c r="D63" s="278"/>
      <c r="E63" s="278"/>
      <c r="F63" s="278"/>
      <c r="G63" s="278"/>
      <c r="H63" s="290"/>
      <c r="I63" s="280">
        <f t="shared" si="18"/>
        <v>0</v>
      </c>
      <c r="J63" s="281">
        <f t="shared" si="19"/>
        <v>0</v>
      </c>
      <c r="K63" s="282">
        <f>IF(Notes!$B$9="Domestic",I63, IF(Notes!$B$9="Commercial",J63))*$K$53</f>
        <v>0</v>
      </c>
      <c r="L63" s="283">
        <f>IF(SUM(O63:Q63)=0,0,(SUM(O63:Q63)+(K63+SUM(M63:Q63))*(INDEX($U$53:$AB$53,MATCH(Notes!$C$16,$U$3:$AB$3,0))-100%))*$L$53)</f>
        <v>0</v>
      </c>
      <c r="M63" s="286"/>
      <c r="N63" s="286"/>
      <c r="O63" s="285"/>
      <c r="P63" s="285"/>
      <c r="Q63" s="285"/>
      <c r="R63" s="278"/>
      <c r="S63" s="278"/>
      <c r="T63" s="278"/>
    </row>
    <row r="64" spans="1:28" ht="21" hidden="1" outlineLevel="1" x14ac:dyDescent="0.25">
      <c r="A64" s="299"/>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row>
    <row r="65" spans="1:28" ht="15.75" hidden="1" outlineLevel="1" x14ac:dyDescent="0.25">
      <c r="A65" s="291"/>
      <c r="B65" s="291"/>
      <c r="C65" s="291"/>
      <c r="D65" s="291"/>
      <c r="E65" s="291"/>
      <c r="F65" s="291"/>
      <c r="G65" s="291"/>
      <c r="H65" s="291"/>
      <c r="I65" s="291"/>
      <c r="J65" s="291"/>
      <c r="K65" s="291">
        <f>K$2</f>
        <v>1</v>
      </c>
      <c r="L65" s="291">
        <f>L$2</f>
        <v>1</v>
      </c>
      <c r="M65" s="291"/>
      <c r="N65" s="291"/>
      <c r="O65" s="303"/>
      <c r="P65" s="303"/>
      <c r="Q65" s="303"/>
      <c r="R65" s="291"/>
      <c r="S65" s="291"/>
      <c r="T65" s="291"/>
      <c r="U65" s="291">
        <f>U$2</f>
        <v>1</v>
      </c>
      <c r="V65" s="291">
        <f>V$2</f>
        <v>1</v>
      </c>
      <c r="W65" s="291">
        <f t="shared" ref="W65:AB65" si="20">W$2</f>
        <v>1</v>
      </c>
      <c r="X65" s="291">
        <f t="shared" si="20"/>
        <v>1</v>
      </c>
      <c r="Y65" s="291">
        <f t="shared" si="20"/>
        <v>1</v>
      </c>
      <c r="Z65" s="291">
        <f t="shared" si="20"/>
        <v>1</v>
      </c>
      <c r="AA65" s="291">
        <f t="shared" si="20"/>
        <v>1</v>
      </c>
      <c r="AB65" s="291">
        <f t="shared" si="20"/>
        <v>1</v>
      </c>
    </row>
    <row r="66" spans="1:28" s="305" customFormat="1" ht="14.45" hidden="1" customHeight="1" outlineLevel="1" x14ac:dyDescent="0.25">
      <c r="A66" s="278"/>
      <c r="B66" s="279" t="str">
        <f>C66&amp;D66&amp;E66&amp;F66</f>
        <v/>
      </c>
      <c r="C66" s="278"/>
      <c r="D66" s="278"/>
      <c r="E66" s="278"/>
      <c r="F66" s="278"/>
      <c r="G66" s="278"/>
      <c r="H66" s="290"/>
      <c r="I66" s="280">
        <f>$I$2*H66</f>
        <v>0</v>
      </c>
      <c r="J66" s="281">
        <f>$J$2*H66</f>
        <v>0</v>
      </c>
      <c r="K66" s="282">
        <f>IF(Notes!$B$9="Domestic",I66, IF(Notes!$B$9="Commercial",J66))*$K$65</f>
        <v>0</v>
      </c>
      <c r="L66" s="283">
        <f>IF(SUM(O66:Q66)=0,0,(SUM(O66:Q66)+(K66+SUM(M66:Q66))*(INDEX($U$65:$AB$65,MATCH(Notes!$C$16,$U$3:$AB$3,0))-100%))*$L$65)</f>
        <v>0</v>
      </c>
      <c r="M66" s="286"/>
      <c r="N66" s="286"/>
      <c r="O66" s="285"/>
      <c r="P66" s="285"/>
      <c r="Q66" s="285"/>
      <c r="R66" s="278"/>
      <c r="S66" s="278"/>
      <c r="T66" s="278"/>
      <c r="U66" s="304"/>
    </row>
    <row r="67" spans="1:28" s="305" customFormat="1" ht="14.45" hidden="1" customHeight="1" outlineLevel="1" x14ac:dyDescent="0.25">
      <c r="A67" s="278"/>
      <c r="B67" s="279" t="str">
        <f t="shared" ref="B67:B75" si="21">C67&amp;D67&amp;E67&amp;F67</f>
        <v/>
      </c>
      <c r="C67" s="278"/>
      <c r="D67" s="278"/>
      <c r="E67" s="278"/>
      <c r="F67" s="278"/>
      <c r="G67" s="278"/>
      <c r="H67" s="290"/>
      <c r="I67" s="280">
        <f t="shared" ref="I67:I75" si="22">$I$2*H67</f>
        <v>0</v>
      </c>
      <c r="J67" s="281">
        <f t="shared" ref="J67:J75" si="23">$J$2*H67</f>
        <v>0</v>
      </c>
      <c r="K67" s="282">
        <f>IF(Notes!$B$9="Domestic",I67, IF(Notes!$B$9="Commercial",J67))*$K$65</f>
        <v>0</v>
      </c>
      <c r="L67" s="283">
        <f>IF(SUM(O67:Q67)=0,0,(SUM(O67:Q67)+(K67+SUM(M67:Q67))*(INDEX($U$65:$AB$65,MATCH(Notes!$C$16,$U$3:$AB$3,0))-100%))*$L$65)</f>
        <v>0</v>
      </c>
      <c r="M67" s="286"/>
      <c r="N67" s="286"/>
      <c r="O67" s="285"/>
      <c r="P67" s="285"/>
      <c r="Q67" s="285"/>
      <c r="R67" s="278"/>
      <c r="S67" s="278"/>
      <c r="T67" s="278"/>
      <c r="U67" s="304"/>
    </row>
    <row r="68" spans="1:28" s="305" customFormat="1" ht="14.45" hidden="1" customHeight="1" outlineLevel="1" x14ac:dyDescent="0.25">
      <c r="A68" s="278"/>
      <c r="B68" s="279" t="str">
        <f t="shared" si="21"/>
        <v/>
      </c>
      <c r="C68" s="278"/>
      <c r="D68" s="278"/>
      <c r="E68" s="278"/>
      <c r="F68" s="278"/>
      <c r="G68" s="278"/>
      <c r="H68" s="290"/>
      <c r="I68" s="280">
        <f t="shared" si="22"/>
        <v>0</v>
      </c>
      <c r="J68" s="281">
        <f t="shared" si="23"/>
        <v>0</v>
      </c>
      <c r="K68" s="282">
        <f>IF(Notes!$B$9="Domestic",I68, IF(Notes!$B$9="Commercial",J68))*$K$65</f>
        <v>0</v>
      </c>
      <c r="L68" s="283">
        <f>IF(SUM(O68:Q68)=0,0,(SUM(O68:Q68)+(K68+SUM(M68:Q68))*(INDEX($U$65:$AB$65,MATCH(Notes!$C$16,$U$3:$AB$3,0))-100%))*$L$65)</f>
        <v>0</v>
      </c>
      <c r="M68" s="286"/>
      <c r="N68" s="286"/>
      <c r="O68" s="285"/>
      <c r="P68" s="285"/>
      <c r="Q68" s="285"/>
      <c r="R68" s="278"/>
      <c r="S68" s="278"/>
      <c r="T68" s="278"/>
      <c r="U68" s="304"/>
    </row>
    <row r="69" spans="1:28" s="305" customFormat="1" ht="14.45" hidden="1" customHeight="1" outlineLevel="1" x14ac:dyDescent="0.25">
      <c r="A69" s="278"/>
      <c r="B69" s="279" t="str">
        <f t="shared" si="21"/>
        <v/>
      </c>
      <c r="C69" s="278"/>
      <c r="D69" s="278"/>
      <c r="E69" s="278"/>
      <c r="F69" s="278"/>
      <c r="G69" s="278"/>
      <c r="H69" s="290"/>
      <c r="I69" s="280">
        <f t="shared" si="22"/>
        <v>0</v>
      </c>
      <c r="J69" s="281">
        <f t="shared" si="23"/>
        <v>0</v>
      </c>
      <c r="K69" s="282">
        <f>IF(Notes!$B$9="Domestic",I69, IF(Notes!$B$9="Commercial",J69))*$K$65</f>
        <v>0</v>
      </c>
      <c r="L69" s="283">
        <f>IF(SUM(O69:Q69)=0,0,(SUM(O69:Q69)+(K69+SUM(M69:Q69))*(INDEX($U$65:$AB$65,MATCH(Notes!$C$16,$U$3:$AB$3,0))-100%))*$L$65)</f>
        <v>0</v>
      </c>
      <c r="M69" s="286"/>
      <c r="N69" s="286"/>
      <c r="O69" s="285"/>
      <c r="P69" s="285"/>
      <c r="Q69" s="285"/>
      <c r="R69" s="278"/>
      <c r="S69" s="278"/>
      <c r="T69" s="278"/>
    </row>
    <row r="70" spans="1:28" s="305" customFormat="1" ht="14.45" hidden="1" customHeight="1" outlineLevel="1" x14ac:dyDescent="0.25">
      <c r="A70" s="278"/>
      <c r="B70" s="279" t="str">
        <f t="shared" si="21"/>
        <v/>
      </c>
      <c r="C70" s="278"/>
      <c r="D70" s="278"/>
      <c r="E70" s="278"/>
      <c r="F70" s="278"/>
      <c r="G70" s="278"/>
      <c r="H70" s="290"/>
      <c r="I70" s="280">
        <f>$I$2*H70</f>
        <v>0</v>
      </c>
      <c r="J70" s="281">
        <f t="shared" si="23"/>
        <v>0</v>
      </c>
      <c r="K70" s="282">
        <f>IF(Notes!$B$9="Domestic",I70, IF(Notes!$B$9="Commercial",J70))*$K$65</f>
        <v>0</v>
      </c>
      <c r="L70" s="283">
        <f>IF(SUM(O70:Q70)=0,0,(SUM(O70:Q70)+(K70+SUM(M70:Q70))*(INDEX($U$65:$AB$65,MATCH(Notes!$C$16,$U$3:$AB$3,0))-100%))*$L$65)</f>
        <v>0</v>
      </c>
      <c r="M70" s="286"/>
      <c r="N70" s="286"/>
      <c r="O70" s="285"/>
      <c r="P70" s="285"/>
      <c r="Q70" s="285"/>
      <c r="R70" s="278"/>
      <c r="S70" s="278"/>
      <c r="T70" s="278"/>
    </row>
    <row r="71" spans="1:28" s="305" customFormat="1" ht="14.45" hidden="1" customHeight="1" outlineLevel="1" x14ac:dyDescent="0.25">
      <c r="A71" s="278"/>
      <c r="B71" s="279" t="str">
        <f t="shared" si="21"/>
        <v/>
      </c>
      <c r="C71" s="278"/>
      <c r="D71" s="278"/>
      <c r="E71" s="278"/>
      <c r="F71" s="278"/>
      <c r="G71" s="278"/>
      <c r="H71" s="290"/>
      <c r="I71" s="280">
        <f t="shared" si="22"/>
        <v>0</v>
      </c>
      <c r="J71" s="281">
        <f t="shared" si="23"/>
        <v>0</v>
      </c>
      <c r="K71" s="282">
        <f>IF(Notes!$B$9="Domestic",I71, IF(Notes!$B$9="Commercial",J71))*$K$65</f>
        <v>0</v>
      </c>
      <c r="L71" s="283">
        <f>IF(SUM(O71:Q71)=0,0,(SUM(O71:Q71)+(K71+SUM(M71:Q71))*(INDEX($U$65:$AB$65,MATCH(Notes!$C$16,$U$3:$AB$3,0))-100%))*$L$65)</f>
        <v>0</v>
      </c>
      <c r="M71" s="286"/>
      <c r="N71" s="286"/>
      <c r="O71" s="285"/>
      <c r="P71" s="285"/>
      <c r="Q71" s="285"/>
      <c r="R71" s="278"/>
      <c r="S71" s="278"/>
      <c r="T71" s="278"/>
    </row>
    <row r="72" spans="1:28" s="305" customFormat="1" hidden="1" outlineLevel="1" x14ac:dyDescent="0.25">
      <c r="A72" s="278"/>
      <c r="B72" s="279" t="str">
        <f t="shared" si="21"/>
        <v/>
      </c>
      <c r="C72" s="278"/>
      <c r="D72" s="278"/>
      <c r="E72" s="278"/>
      <c r="F72" s="278"/>
      <c r="G72" s="278"/>
      <c r="H72" s="290"/>
      <c r="I72" s="280">
        <f t="shared" si="22"/>
        <v>0</v>
      </c>
      <c r="J72" s="281">
        <f t="shared" si="23"/>
        <v>0</v>
      </c>
      <c r="K72" s="282">
        <f>IF(Notes!$B$9="Domestic",I72, IF(Notes!$B$9="Commercial",J72))*$K$65</f>
        <v>0</v>
      </c>
      <c r="L72" s="283">
        <f>IF(SUM(O72:Q72)=0,0,(SUM(O72:Q72)+(K72+SUM(M72:Q72))*(INDEX($U$65:$AB$65,MATCH(Notes!$C$16,$U$3:$AB$3,0))-100%))*$L$65)</f>
        <v>0</v>
      </c>
      <c r="M72" s="286"/>
      <c r="N72" s="286"/>
      <c r="O72" s="285"/>
      <c r="P72" s="285"/>
      <c r="Q72" s="285"/>
      <c r="R72" s="278"/>
      <c r="S72" s="278"/>
      <c r="T72" s="278"/>
    </row>
    <row r="73" spans="1:28" s="305" customFormat="1" hidden="1" outlineLevel="1" x14ac:dyDescent="0.25">
      <c r="A73" s="278"/>
      <c r="B73" s="279" t="str">
        <f t="shared" si="21"/>
        <v/>
      </c>
      <c r="C73" s="278"/>
      <c r="D73" s="278"/>
      <c r="E73" s="278"/>
      <c r="F73" s="278"/>
      <c r="G73" s="278"/>
      <c r="H73" s="290"/>
      <c r="I73" s="280">
        <f t="shared" si="22"/>
        <v>0</v>
      </c>
      <c r="J73" s="281">
        <f t="shared" si="23"/>
        <v>0</v>
      </c>
      <c r="K73" s="282">
        <f>IF(Notes!$B$9="Domestic",I73, IF(Notes!$B$9="Commercial",J73))*$K$65</f>
        <v>0</v>
      </c>
      <c r="L73" s="283">
        <f>IF(SUM(O73:Q73)=0,0,(SUM(O73:Q73)+(K73+SUM(M73:Q73))*(INDEX($U$65:$AB$65,MATCH(Notes!$C$16,$U$3:$AB$3,0))-100%))*$L$65)</f>
        <v>0</v>
      </c>
      <c r="M73" s="286"/>
      <c r="N73" s="286"/>
      <c r="O73" s="285"/>
      <c r="P73" s="285"/>
      <c r="Q73" s="285"/>
      <c r="R73" s="278"/>
      <c r="S73" s="278"/>
      <c r="T73" s="278"/>
    </row>
    <row r="74" spans="1:28" s="305" customFormat="1" hidden="1" outlineLevel="1" x14ac:dyDescent="0.25">
      <c r="A74" s="278"/>
      <c r="B74" s="279" t="str">
        <f t="shared" si="21"/>
        <v/>
      </c>
      <c r="C74" s="278"/>
      <c r="D74" s="278"/>
      <c r="E74" s="278"/>
      <c r="F74" s="278"/>
      <c r="G74" s="278"/>
      <c r="H74" s="290"/>
      <c r="I74" s="280">
        <f t="shared" si="22"/>
        <v>0</v>
      </c>
      <c r="J74" s="281">
        <f t="shared" si="23"/>
        <v>0</v>
      </c>
      <c r="K74" s="282">
        <f>IF(Notes!$B$9="Domestic",I74, IF(Notes!$B$9="Commercial",J74))*$K$65</f>
        <v>0</v>
      </c>
      <c r="L74" s="283">
        <f>IF(SUM(O74:Q74)=0,0,(SUM(O74:Q74)+(K74+SUM(M74:Q74))*(INDEX($U$65:$AB$65,MATCH(Notes!$C$16,$U$3:$AB$3,0))-100%))*$L$65)</f>
        <v>0</v>
      </c>
      <c r="M74" s="286"/>
      <c r="N74" s="286"/>
      <c r="O74" s="285"/>
      <c r="P74" s="285"/>
      <c r="Q74" s="285"/>
      <c r="R74" s="278"/>
      <c r="S74" s="278"/>
      <c r="T74" s="278"/>
    </row>
    <row r="75" spans="1:28" s="305" customFormat="1" hidden="1" outlineLevel="1" x14ac:dyDescent="0.25">
      <c r="A75" s="278"/>
      <c r="B75" s="279" t="str">
        <f t="shared" si="21"/>
        <v/>
      </c>
      <c r="C75" s="278"/>
      <c r="D75" s="278"/>
      <c r="E75" s="278"/>
      <c r="F75" s="278"/>
      <c r="G75" s="278"/>
      <c r="H75" s="290"/>
      <c r="I75" s="280">
        <f t="shared" si="22"/>
        <v>0</v>
      </c>
      <c r="J75" s="281">
        <f t="shared" si="23"/>
        <v>0</v>
      </c>
      <c r="K75" s="282">
        <f>IF(Notes!$B$9="Domestic",I75, IF(Notes!$B$9="Commercial",J75))*$K$65</f>
        <v>0</v>
      </c>
      <c r="L75" s="283">
        <f>IF(SUM(O75:Q75)=0,0,(SUM(O75:Q75)+(K75+SUM(M75:Q75))*(INDEX($U$65:$AB$65,MATCH(Notes!$C$16,$U$3:$AB$3,0))-100%))*$L$65)</f>
        <v>0</v>
      </c>
      <c r="M75" s="286"/>
      <c r="N75" s="286"/>
      <c r="O75" s="285"/>
      <c r="P75" s="285"/>
      <c r="Q75" s="285"/>
      <c r="R75" s="278"/>
      <c r="S75" s="278"/>
      <c r="T75" s="278"/>
    </row>
    <row r="76" spans="1:28" ht="21" hidden="1" outlineLevel="1" x14ac:dyDescent="0.25">
      <c r="A76" s="299"/>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row>
    <row r="77" spans="1:28" ht="15.75" hidden="1" outlineLevel="1" x14ac:dyDescent="0.25">
      <c r="A77" s="291"/>
      <c r="B77" s="291"/>
      <c r="C77" s="291"/>
      <c r="D77" s="291"/>
      <c r="E77" s="291"/>
      <c r="F77" s="291"/>
      <c r="G77" s="291"/>
      <c r="H77" s="291"/>
      <c r="I77" s="291"/>
      <c r="J77" s="291"/>
      <c r="K77" s="291">
        <f>K$2</f>
        <v>1</v>
      </c>
      <c r="L77" s="291">
        <f>L$2</f>
        <v>1</v>
      </c>
      <c r="M77" s="291"/>
      <c r="N77" s="291"/>
      <c r="O77" s="303"/>
      <c r="P77" s="303"/>
      <c r="Q77" s="303"/>
      <c r="R77" s="291"/>
      <c r="S77" s="291"/>
      <c r="T77" s="291"/>
      <c r="U77" s="291">
        <f>U$2</f>
        <v>1</v>
      </c>
      <c r="V77" s="291">
        <f>V$2</f>
        <v>1</v>
      </c>
      <c r="W77" s="291">
        <f t="shared" ref="W77:AB77" si="24">W$2</f>
        <v>1</v>
      </c>
      <c r="X77" s="291">
        <f t="shared" si="24"/>
        <v>1</v>
      </c>
      <c r="Y77" s="291">
        <f t="shared" si="24"/>
        <v>1</v>
      </c>
      <c r="Z77" s="291">
        <f t="shared" si="24"/>
        <v>1</v>
      </c>
      <c r="AA77" s="291">
        <f t="shared" si="24"/>
        <v>1</v>
      </c>
      <c r="AB77" s="291">
        <f t="shared" si="24"/>
        <v>1</v>
      </c>
    </row>
    <row r="78" spans="1:28" s="305" customFormat="1" hidden="1" outlineLevel="1" x14ac:dyDescent="0.25">
      <c r="A78" s="278"/>
      <c r="B78" s="279" t="str">
        <f>C78&amp;D78&amp;E78&amp;F78</f>
        <v/>
      </c>
      <c r="C78" s="278"/>
      <c r="D78" s="278"/>
      <c r="E78" s="278"/>
      <c r="F78" s="278"/>
      <c r="G78" s="278"/>
      <c r="H78" s="290"/>
      <c r="I78" s="280">
        <f>$I$2*H78</f>
        <v>0</v>
      </c>
      <c r="J78" s="281">
        <f>$J$2*H78</f>
        <v>0</v>
      </c>
      <c r="K78" s="282">
        <f>IF(Notes!$B$9="Domestic",I78, IF(Notes!$B$9="Commercial",J78))*$K$77</f>
        <v>0</v>
      </c>
      <c r="L78" s="283">
        <f>IF(SUM(O78:Q78)=0,0,(SUM(O78:Q78)+(K78+SUM(M78:Q78))*(INDEX($U$77:$AB$77,MATCH(Notes!$C$16,$U$3:$AB$3,0))-100%))*$L$77)</f>
        <v>0</v>
      </c>
      <c r="M78" s="286"/>
      <c r="N78" s="286"/>
      <c r="O78" s="285"/>
      <c r="P78" s="285"/>
      <c r="Q78" s="285"/>
      <c r="R78" s="278"/>
      <c r="S78" s="278"/>
      <c r="T78" s="278"/>
    </row>
    <row r="79" spans="1:28" s="305" customFormat="1" hidden="1" outlineLevel="1" x14ac:dyDescent="0.25">
      <c r="A79" s="278"/>
      <c r="B79" s="279" t="str">
        <f t="shared" ref="B79:B87" si="25">C79&amp;D79&amp;E79&amp;F79</f>
        <v/>
      </c>
      <c r="C79" s="278"/>
      <c r="D79" s="278"/>
      <c r="E79" s="278"/>
      <c r="F79" s="278"/>
      <c r="G79" s="278"/>
      <c r="H79" s="290"/>
      <c r="I79" s="280">
        <f t="shared" ref="I79:I87" si="26">$I$2*H79</f>
        <v>0</v>
      </c>
      <c r="J79" s="281">
        <f t="shared" ref="J79:J87" si="27">$J$2*H79</f>
        <v>0</v>
      </c>
      <c r="K79" s="282">
        <f>IF(Notes!$B$9="Domestic",I79, IF(Notes!$B$9="Commercial",J79))*$K$77</f>
        <v>0</v>
      </c>
      <c r="L79" s="283">
        <f>IF(SUM(O79:Q79)=0,0,(SUM(O79:Q79)+(K79+SUM(M79:Q79))*(INDEX($U$77:$AB$77,MATCH(Notes!$C$16,$U$3:$AB$3,0))-100%))*$L$77)</f>
        <v>0</v>
      </c>
      <c r="M79" s="286"/>
      <c r="N79" s="286"/>
      <c r="O79" s="285"/>
      <c r="P79" s="285"/>
      <c r="Q79" s="285"/>
      <c r="R79" s="278"/>
      <c r="S79" s="278"/>
      <c r="T79" s="278"/>
    </row>
    <row r="80" spans="1:28" s="305" customFormat="1" hidden="1" outlineLevel="1" x14ac:dyDescent="0.25">
      <c r="A80" s="278"/>
      <c r="B80" s="279" t="str">
        <f t="shared" si="25"/>
        <v/>
      </c>
      <c r="C80" s="278"/>
      <c r="D80" s="278"/>
      <c r="E80" s="278"/>
      <c r="F80" s="278"/>
      <c r="G80" s="278"/>
      <c r="H80" s="290"/>
      <c r="I80" s="280">
        <f t="shared" si="26"/>
        <v>0</v>
      </c>
      <c r="J80" s="281">
        <f t="shared" si="27"/>
        <v>0</v>
      </c>
      <c r="K80" s="282">
        <f>IF(Notes!$B$9="Domestic",I80, IF(Notes!$B$9="Commercial",J80))*$K$77</f>
        <v>0</v>
      </c>
      <c r="L80" s="283">
        <f>IF(SUM(O80:Q80)=0,0,(SUM(O80:Q80)+(K80+SUM(M80:Q80))*(INDEX($U$77:$AB$77,MATCH(Notes!$C$16,$U$3:$AB$3,0))-100%))*$L$77)</f>
        <v>0</v>
      </c>
      <c r="M80" s="286"/>
      <c r="N80" s="286"/>
      <c r="O80" s="285"/>
      <c r="P80" s="285"/>
      <c r="Q80" s="285"/>
      <c r="R80" s="278"/>
      <c r="S80" s="278"/>
      <c r="T80" s="278"/>
    </row>
    <row r="81" spans="1:28" s="305" customFormat="1" hidden="1" outlineLevel="1" x14ac:dyDescent="0.25">
      <c r="A81" s="278"/>
      <c r="B81" s="279" t="str">
        <f t="shared" si="25"/>
        <v/>
      </c>
      <c r="C81" s="278"/>
      <c r="D81" s="278"/>
      <c r="E81" s="278"/>
      <c r="F81" s="278"/>
      <c r="G81" s="278"/>
      <c r="H81" s="290"/>
      <c r="I81" s="280">
        <f t="shared" si="26"/>
        <v>0</v>
      </c>
      <c r="J81" s="281">
        <f t="shared" si="27"/>
        <v>0</v>
      </c>
      <c r="K81" s="282">
        <f>IF(Notes!$B$9="Domestic",I81, IF(Notes!$B$9="Commercial",J81))*$K$77</f>
        <v>0</v>
      </c>
      <c r="L81" s="283">
        <f>IF(SUM(O81:Q81)=0,0,(SUM(O81:Q81)+(K81+SUM(M81:Q81))*(INDEX($U$77:$AB$77,MATCH(Notes!$C$16,$U$3:$AB$3,0))-100%))*$L$77)</f>
        <v>0</v>
      </c>
      <c r="M81" s="286"/>
      <c r="N81" s="286"/>
      <c r="O81" s="285"/>
      <c r="P81" s="285"/>
      <c r="Q81" s="285"/>
      <c r="R81" s="278"/>
      <c r="S81" s="278"/>
      <c r="T81" s="278"/>
    </row>
    <row r="82" spans="1:28" s="305" customFormat="1" hidden="1" outlineLevel="1" x14ac:dyDescent="0.25">
      <c r="A82" s="278"/>
      <c r="B82" s="279" t="str">
        <f t="shared" si="25"/>
        <v/>
      </c>
      <c r="C82" s="278"/>
      <c r="D82" s="278"/>
      <c r="E82" s="278"/>
      <c r="F82" s="278"/>
      <c r="G82" s="278"/>
      <c r="H82" s="290"/>
      <c r="I82" s="280">
        <f>$I$2*H82</f>
        <v>0</v>
      </c>
      <c r="J82" s="281">
        <f t="shared" si="27"/>
        <v>0</v>
      </c>
      <c r="K82" s="282">
        <f>IF(Notes!$B$9="Domestic",I82, IF(Notes!$B$9="Commercial",J82))*$K$77</f>
        <v>0</v>
      </c>
      <c r="L82" s="283">
        <f>IF(SUM(O82:Q82)=0,0,(SUM(O82:Q82)+(K82+SUM(M82:Q82))*(INDEX($U$77:$AB$77,MATCH(Notes!$C$16,$U$3:$AB$3,0))-100%))*$L$77)</f>
        <v>0</v>
      </c>
      <c r="M82" s="286"/>
      <c r="N82" s="286"/>
      <c r="O82" s="285"/>
      <c r="P82" s="285"/>
      <c r="Q82" s="285"/>
      <c r="R82" s="278"/>
      <c r="S82" s="278"/>
      <c r="T82" s="278"/>
    </row>
    <row r="83" spans="1:28" s="305" customFormat="1" hidden="1" outlineLevel="1" x14ac:dyDescent="0.25">
      <c r="A83" s="278"/>
      <c r="B83" s="279" t="str">
        <f t="shared" si="25"/>
        <v/>
      </c>
      <c r="C83" s="278"/>
      <c r="D83" s="278"/>
      <c r="E83" s="278"/>
      <c r="F83" s="278"/>
      <c r="G83" s="278"/>
      <c r="H83" s="290"/>
      <c r="I83" s="280">
        <f t="shared" si="26"/>
        <v>0</v>
      </c>
      <c r="J83" s="281">
        <f t="shared" si="27"/>
        <v>0</v>
      </c>
      <c r="K83" s="282">
        <f>IF(Notes!$B$9="Domestic",I83, IF(Notes!$B$9="Commercial",J83))*$K$77</f>
        <v>0</v>
      </c>
      <c r="L83" s="283">
        <f>IF(SUM(O83:Q83)=0,0,(SUM(O83:Q83)+(K83+SUM(M83:Q83))*(INDEX($U$77:$AB$77,MATCH(Notes!$C$16,$U$3:$AB$3,0))-100%))*$L$77)</f>
        <v>0</v>
      </c>
      <c r="M83" s="286"/>
      <c r="N83" s="286"/>
      <c r="O83" s="285"/>
      <c r="P83" s="285"/>
      <c r="Q83" s="285"/>
      <c r="R83" s="278"/>
      <c r="S83" s="278"/>
      <c r="T83" s="278"/>
    </row>
    <row r="84" spans="1:28" s="305" customFormat="1" hidden="1" outlineLevel="1" x14ac:dyDescent="0.25">
      <c r="A84" s="278"/>
      <c r="B84" s="279" t="str">
        <f t="shared" si="25"/>
        <v/>
      </c>
      <c r="C84" s="278"/>
      <c r="D84" s="278"/>
      <c r="E84" s="278"/>
      <c r="F84" s="278"/>
      <c r="G84" s="278"/>
      <c r="H84" s="290"/>
      <c r="I84" s="280">
        <f t="shared" si="26"/>
        <v>0</v>
      </c>
      <c r="J84" s="281">
        <f t="shared" si="27"/>
        <v>0</v>
      </c>
      <c r="K84" s="282">
        <f>IF(Notes!$B$9="Domestic",I84, IF(Notes!$B$9="Commercial",J84))*$K$77</f>
        <v>0</v>
      </c>
      <c r="L84" s="283">
        <f>IF(SUM(O84:Q84)=0,0,(SUM(O84:Q84)+(K84+SUM(M84:Q84))*(INDEX($U$77:$AB$77,MATCH(Notes!$C$16,$U$3:$AB$3,0))-100%))*$L$77)</f>
        <v>0</v>
      </c>
      <c r="M84" s="286"/>
      <c r="N84" s="286"/>
      <c r="O84" s="285"/>
      <c r="P84" s="285"/>
      <c r="Q84" s="285"/>
      <c r="R84" s="278"/>
      <c r="S84" s="278"/>
      <c r="T84" s="278"/>
    </row>
    <row r="85" spans="1:28" s="305" customFormat="1" hidden="1" outlineLevel="1" x14ac:dyDescent="0.25">
      <c r="A85" s="278"/>
      <c r="B85" s="279" t="str">
        <f t="shared" si="25"/>
        <v/>
      </c>
      <c r="C85" s="278"/>
      <c r="D85" s="278"/>
      <c r="E85" s="278"/>
      <c r="F85" s="278"/>
      <c r="G85" s="278"/>
      <c r="H85" s="290"/>
      <c r="I85" s="280">
        <f t="shared" si="26"/>
        <v>0</v>
      </c>
      <c r="J85" s="281">
        <f t="shared" si="27"/>
        <v>0</v>
      </c>
      <c r="K85" s="282">
        <f>IF(Notes!$B$9="Domestic",I85, IF(Notes!$B$9="Commercial",J85))*$K$77</f>
        <v>0</v>
      </c>
      <c r="L85" s="283">
        <f>IF(SUM(O85:Q85)=0,0,(SUM(O85:Q85)+(K85+SUM(M85:Q85))*(INDEX($U$77:$AB$77,MATCH(Notes!$C$16,$U$3:$AB$3,0))-100%))*$L$77)</f>
        <v>0</v>
      </c>
      <c r="M85" s="286"/>
      <c r="N85" s="286"/>
      <c r="O85" s="285"/>
      <c r="P85" s="285"/>
      <c r="Q85" s="285"/>
      <c r="R85" s="278"/>
      <c r="S85" s="278"/>
      <c r="T85" s="278"/>
    </row>
    <row r="86" spans="1:28" s="305" customFormat="1" hidden="1" outlineLevel="1" x14ac:dyDescent="0.25">
      <c r="A86" s="278"/>
      <c r="B86" s="279" t="str">
        <f t="shared" si="25"/>
        <v/>
      </c>
      <c r="C86" s="278"/>
      <c r="D86" s="278"/>
      <c r="E86" s="278"/>
      <c r="F86" s="278"/>
      <c r="G86" s="278"/>
      <c r="H86" s="290"/>
      <c r="I86" s="280">
        <f t="shared" si="26"/>
        <v>0</v>
      </c>
      <c r="J86" s="281">
        <f t="shared" si="27"/>
        <v>0</v>
      </c>
      <c r="K86" s="282">
        <f>IF(Notes!$B$9="Domestic",I86, IF(Notes!$B$9="Commercial",J86))*$K$77</f>
        <v>0</v>
      </c>
      <c r="L86" s="283">
        <f>IF(SUM(O86:Q86)=0,0,(SUM(O86:Q86)+(K86+SUM(M86:Q86))*(INDEX($U$77:$AB$77,MATCH(Notes!$C$16,$U$3:$AB$3,0))-100%))*$L$77)</f>
        <v>0</v>
      </c>
      <c r="M86" s="286"/>
      <c r="N86" s="286"/>
      <c r="O86" s="285"/>
      <c r="P86" s="285"/>
      <c r="Q86" s="285"/>
      <c r="R86" s="278"/>
      <c r="S86" s="278"/>
      <c r="T86" s="278"/>
    </row>
    <row r="87" spans="1:28" s="305" customFormat="1" hidden="1" outlineLevel="1" x14ac:dyDescent="0.25">
      <c r="A87" s="278"/>
      <c r="B87" s="279" t="str">
        <f t="shared" si="25"/>
        <v/>
      </c>
      <c r="C87" s="278"/>
      <c r="D87" s="278"/>
      <c r="E87" s="278"/>
      <c r="F87" s="278"/>
      <c r="G87" s="278"/>
      <c r="H87" s="290"/>
      <c r="I87" s="280">
        <f t="shared" si="26"/>
        <v>0</v>
      </c>
      <c r="J87" s="281">
        <f t="shared" si="27"/>
        <v>0</v>
      </c>
      <c r="K87" s="282">
        <f>IF(Notes!$B$9="Domestic",I87, IF(Notes!$B$9="Commercial",J87))*$K$77</f>
        <v>0</v>
      </c>
      <c r="L87" s="283">
        <f>IF(SUM(O87:Q87)=0,0,(SUM(O87:Q87)+(K87+SUM(M87:Q87))*(INDEX($U$77:$AB$77,MATCH(Notes!$C$16,$U$3:$AB$3,0))-100%))*$L$77)</f>
        <v>0</v>
      </c>
      <c r="M87" s="286"/>
      <c r="N87" s="286"/>
      <c r="O87" s="285"/>
      <c r="P87" s="285"/>
      <c r="Q87" s="285"/>
      <c r="R87" s="278"/>
      <c r="S87" s="278"/>
      <c r="T87" s="278"/>
    </row>
    <row r="88" spans="1:28" ht="21" hidden="1" outlineLevel="1" x14ac:dyDescent="0.25">
      <c r="A88" s="299"/>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row>
    <row r="89" spans="1:28" ht="15.75" hidden="1" outlineLevel="1" x14ac:dyDescent="0.25">
      <c r="A89" s="291"/>
      <c r="B89" s="291"/>
      <c r="C89" s="291"/>
      <c r="D89" s="291"/>
      <c r="E89" s="291"/>
      <c r="F89" s="291"/>
      <c r="G89" s="291"/>
      <c r="H89" s="291"/>
      <c r="I89" s="291"/>
      <c r="J89" s="291"/>
      <c r="K89" s="291">
        <f>K$2</f>
        <v>1</v>
      </c>
      <c r="L89" s="291">
        <f>L$2</f>
        <v>1</v>
      </c>
      <c r="M89" s="291"/>
      <c r="N89" s="291"/>
      <c r="O89" s="303"/>
      <c r="P89" s="303"/>
      <c r="Q89" s="303"/>
      <c r="R89" s="291"/>
      <c r="S89" s="291"/>
      <c r="T89" s="291"/>
      <c r="U89" s="291">
        <f>U$2</f>
        <v>1</v>
      </c>
      <c r="V89" s="291">
        <f>V$2</f>
        <v>1</v>
      </c>
      <c r="W89" s="291">
        <f t="shared" ref="W89:AB89" si="28">W$2</f>
        <v>1</v>
      </c>
      <c r="X89" s="291">
        <f t="shared" si="28"/>
        <v>1</v>
      </c>
      <c r="Y89" s="291">
        <f t="shared" si="28"/>
        <v>1</v>
      </c>
      <c r="Z89" s="291">
        <f t="shared" si="28"/>
        <v>1</v>
      </c>
      <c r="AA89" s="291">
        <f t="shared" si="28"/>
        <v>1</v>
      </c>
      <c r="AB89" s="291">
        <f t="shared" si="28"/>
        <v>1</v>
      </c>
    </row>
    <row r="90" spans="1:28" s="305" customFormat="1" hidden="1" outlineLevel="1" x14ac:dyDescent="0.25">
      <c r="A90" s="278"/>
      <c r="B90" s="279" t="str">
        <f>C90&amp;D90&amp;E90&amp;F90</f>
        <v/>
      </c>
      <c r="C90" s="278"/>
      <c r="D90" s="278"/>
      <c r="E90" s="278"/>
      <c r="F90" s="278"/>
      <c r="G90" s="278"/>
      <c r="H90" s="290"/>
      <c r="I90" s="280">
        <f>$I$2*H90</f>
        <v>0</v>
      </c>
      <c r="J90" s="281">
        <f>$J$2*H90</f>
        <v>0</v>
      </c>
      <c r="K90" s="282">
        <f>IF(Notes!$B$9="Domestic",I90, IF(Notes!$B$9="Commercial",J90))*$K$89</f>
        <v>0</v>
      </c>
      <c r="L90" s="283">
        <f>IF(SUM(O90:Q90)=0,0,(SUM(O90:Q90)+(K90+SUM(M90:Q90))*(INDEX($U$89:$AB$89,MATCH(Notes!$C$16,$U$3:$AB$3,0))-100%))*$L$89)</f>
        <v>0</v>
      </c>
      <c r="M90" s="286"/>
      <c r="N90" s="286"/>
      <c r="O90" s="285"/>
      <c r="P90" s="285"/>
      <c r="Q90" s="285"/>
      <c r="R90" s="278"/>
      <c r="S90" s="278"/>
      <c r="T90" s="278"/>
    </row>
    <row r="91" spans="1:28" s="305" customFormat="1" hidden="1" outlineLevel="1" x14ac:dyDescent="0.25">
      <c r="A91" s="278"/>
      <c r="B91" s="279" t="str">
        <f t="shared" ref="B91:B99" si="29">C91&amp;D91&amp;E91&amp;F91</f>
        <v/>
      </c>
      <c r="C91" s="278"/>
      <c r="D91" s="278"/>
      <c r="E91" s="278"/>
      <c r="F91" s="278"/>
      <c r="G91" s="278"/>
      <c r="H91" s="290"/>
      <c r="I91" s="280">
        <f t="shared" ref="I91:I99" si="30">$I$2*H91</f>
        <v>0</v>
      </c>
      <c r="J91" s="281">
        <f t="shared" ref="J91:J99" si="31">$J$2*H91</f>
        <v>0</v>
      </c>
      <c r="K91" s="282">
        <f>IF(Notes!$B$9="Domestic",I91, IF(Notes!$B$9="Commercial",J91))*$K$89</f>
        <v>0</v>
      </c>
      <c r="L91" s="283">
        <f>IF(SUM(O91:Q91)=0,0,(SUM(O91:Q91)+(K91+SUM(M91:Q91))*(INDEX($U$89:$AB$89,MATCH(Notes!$C$16,$U$3:$AB$3,0))-100%))*$L$89)</f>
        <v>0</v>
      </c>
      <c r="M91" s="286"/>
      <c r="N91" s="286"/>
      <c r="O91" s="285"/>
      <c r="P91" s="285"/>
      <c r="Q91" s="285"/>
      <c r="R91" s="278"/>
      <c r="S91" s="278"/>
      <c r="T91" s="278"/>
    </row>
    <row r="92" spans="1:28" s="305" customFormat="1" hidden="1" outlineLevel="1" x14ac:dyDescent="0.25">
      <c r="A92" s="278"/>
      <c r="B92" s="279" t="str">
        <f t="shared" si="29"/>
        <v/>
      </c>
      <c r="C92" s="278"/>
      <c r="D92" s="278"/>
      <c r="E92" s="278"/>
      <c r="F92" s="278"/>
      <c r="G92" s="278"/>
      <c r="H92" s="290"/>
      <c r="I92" s="280">
        <f t="shared" si="30"/>
        <v>0</v>
      </c>
      <c r="J92" s="281">
        <f t="shared" si="31"/>
        <v>0</v>
      </c>
      <c r="K92" s="282">
        <f>IF(Notes!$B$9="Domestic",I92, IF(Notes!$B$9="Commercial",J92))*$K$89</f>
        <v>0</v>
      </c>
      <c r="L92" s="283">
        <f>IF(SUM(O92:Q92)=0,0,(SUM(O92:Q92)+(K92+SUM(M92:Q92))*(INDEX($U$89:$AB$89,MATCH(Notes!$C$16,$U$3:$AB$3,0))-100%))*$L$89)</f>
        <v>0</v>
      </c>
      <c r="M92" s="286"/>
      <c r="N92" s="286"/>
      <c r="O92" s="285"/>
      <c r="P92" s="285"/>
      <c r="Q92" s="285"/>
      <c r="R92" s="278"/>
      <c r="S92" s="278"/>
      <c r="T92" s="278"/>
    </row>
    <row r="93" spans="1:28" s="305" customFormat="1" hidden="1" outlineLevel="1" x14ac:dyDescent="0.25">
      <c r="A93" s="278"/>
      <c r="B93" s="279" t="str">
        <f t="shared" si="29"/>
        <v/>
      </c>
      <c r="C93" s="278"/>
      <c r="D93" s="278"/>
      <c r="E93" s="278"/>
      <c r="F93" s="278"/>
      <c r="G93" s="278"/>
      <c r="H93" s="290"/>
      <c r="I93" s="280">
        <f t="shared" si="30"/>
        <v>0</v>
      </c>
      <c r="J93" s="281">
        <f t="shared" si="31"/>
        <v>0</v>
      </c>
      <c r="K93" s="282">
        <f>IF(Notes!$B$9="Domestic",I93, IF(Notes!$B$9="Commercial",J93))*$K$89</f>
        <v>0</v>
      </c>
      <c r="L93" s="283">
        <f>IF(SUM(O93:Q93)=0,0,(SUM(O93:Q93)+(K93+SUM(M93:Q93))*(INDEX($U$89:$AB$89,MATCH(Notes!$C$16,$U$3:$AB$3,0))-100%))*$L$89)</f>
        <v>0</v>
      </c>
      <c r="M93" s="286"/>
      <c r="N93" s="286"/>
      <c r="O93" s="285"/>
      <c r="P93" s="285"/>
      <c r="Q93" s="285"/>
      <c r="R93" s="278"/>
      <c r="S93" s="278"/>
      <c r="T93" s="278"/>
    </row>
    <row r="94" spans="1:28" s="305" customFormat="1" hidden="1" outlineLevel="1" x14ac:dyDescent="0.25">
      <c r="A94" s="278"/>
      <c r="B94" s="279" t="str">
        <f t="shared" si="29"/>
        <v/>
      </c>
      <c r="C94" s="278"/>
      <c r="D94" s="278"/>
      <c r="E94" s="278"/>
      <c r="F94" s="278"/>
      <c r="G94" s="278"/>
      <c r="H94" s="290"/>
      <c r="I94" s="280">
        <f>$I$2*H94</f>
        <v>0</v>
      </c>
      <c r="J94" s="281">
        <f t="shared" si="31"/>
        <v>0</v>
      </c>
      <c r="K94" s="282">
        <f>IF(Notes!$B$9="Domestic",I94, IF(Notes!$B$9="Commercial",J94))*$K$89</f>
        <v>0</v>
      </c>
      <c r="L94" s="283">
        <f>IF(SUM(O94:Q94)=0,0,(SUM(O94:Q94)+(K94+SUM(M94:Q94))*(INDEX($U$89:$AB$89,MATCH(Notes!$C$16,$U$3:$AB$3,0))-100%))*$L$89)</f>
        <v>0</v>
      </c>
      <c r="M94" s="286"/>
      <c r="N94" s="286"/>
      <c r="O94" s="285"/>
      <c r="P94" s="285"/>
      <c r="Q94" s="285"/>
      <c r="R94" s="278"/>
      <c r="S94" s="278"/>
      <c r="T94" s="278"/>
    </row>
    <row r="95" spans="1:28" s="305" customFormat="1" hidden="1" outlineLevel="1" x14ac:dyDescent="0.25">
      <c r="A95" s="278"/>
      <c r="B95" s="279" t="str">
        <f t="shared" si="29"/>
        <v/>
      </c>
      <c r="C95" s="278"/>
      <c r="D95" s="278"/>
      <c r="E95" s="278"/>
      <c r="F95" s="278"/>
      <c r="G95" s="278"/>
      <c r="H95" s="290"/>
      <c r="I95" s="280">
        <f t="shared" si="30"/>
        <v>0</v>
      </c>
      <c r="J95" s="281">
        <f t="shared" si="31"/>
        <v>0</v>
      </c>
      <c r="K95" s="282">
        <f>IF(Notes!$B$9="Domestic",I95, IF(Notes!$B$9="Commercial",J95))*$K$89</f>
        <v>0</v>
      </c>
      <c r="L95" s="283">
        <f>IF(SUM(O95:Q95)=0,0,(SUM(O95:Q95)+(K95+SUM(M95:Q95))*(INDEX($U$89:$AB$89,MATCH(Notes!$C$16,$U$3:$AB$3,0))-100%))*$L$89)</f>
        <v>0</v>
      </c>
      <c r="M95" s="286"/>
      <c r="N95" s="286"/>
      <c r="O95" s="285"/>
      <c r="P95" s="285"/>
      <c r="Q95" s="285"/>
      <c r="R95" s="278"/>
      <c r="S95" s="278"/>
      <c r="T95" s="278"/>
    </row>
    <row r="96" spans="1:28" s="305" customFormat="1" hidden="1" outlineLevel="1" x14ac:dyDescent="0.25">
      <c r="A96" s="278"/>
      <c r="B96" s="279" t="str">
        <f t="shared" si="29"/>
        <v/>
      </c>
      <c r="C96" s="278"/>
      <c r="D96" s="278"/>
      <c r="E96" s="278"/>
      <c r="F96" s="278"/>
      <c r="G96" s="278"/>
      <c r="H96" s="290"/>
      <c r="I96" s="280">
        <f t="shared" si="30"/>
        <v>0</v>
      </c>
      <c r="J96" s="281">
        <f t="shared" si="31"/>
        <v>0</v>
      </c>
      <c r="K96" s="282">
        <f>IF(Notes!$B$9="Domestic",I96, IF(Notes!$B$9="Commercial",J96))*$K$89</f>
        <v>0</v>
      </c>
      <c r="L96" s="283">
        <f>IF(SUM(O96:Q96)=0,0,(SUM(O96:Q96)+(K96+SUM(M96:Q96))*(INDEX($U$89:$AB$89,MATCH(Notes!$C$16,$U$3:$AB$3,0))-100%))*$L$89)</f>
        <v>0</v>
      </c>
      <c r="M96" s="286"/>
      <c r="N96" s="286"/>
      <c r="O96" s="285"/>
      <c r="P96" s="285"/>
      <c r="Q96" s="285"/>
      <c r="R96" s="278"/>
      <c r="S96" s="278"/>
      <c r="T96" s="278"/>
    </row>
    <row r="97" spans="1:28" s="305" customFormat="1" hidden="1" outlineLevel="1" x14ac:dyDescent="0.25">
      <c r="A97" s="278"/>
      <c r="B97" s="279" t="str">
        <f t="shared" si="29"/>
        <v/>
      </c>
      <c r="C97" s="278"/>
      <c r="D97" s="278"/>
      <c r="E97" s="278"/>
      <c r="F97" s="278"/>
      <c r="G97" s="278"/>
      <c r="H97" s="290"/>
      <c r="I97" s="280">
        <f t="shared" si="30"/>
        <v>0</v>
      </c>
      <c r="J97" s="281">
        <f t="shared" si="31"/>
        <v>0</v>
      </c>
      <c r="K97" s="282">
        <f>IF(Notes!$B$9="Domestic",I97, IF(Notes!$B$9="Commercial",J97))*$K$89</f>
        <v>0</v>
      </c>
      <c r="L97" s="283">
        <f>IF(SUM(O97:Q97)=0,0,(SUM(O97:Q97)+(K97+SUM(M97:Q97))*(INDEX($U$89:$AB$89,MATCH(Notes!$C$16,$U$3:$AB$3,0))-100%))*$L$89)</f>
        <v>0</v>
      </c>
      <c r="M97" s="286"/>
      <c r="N97" s="286"/>
      <c r="O97" s="285"/>
      <c r="P97" s="285"/>
      <c r="Q97" s="285"/>
      <c r="R97" s="278"/>
      <c r="S97" s="278"/>
      <c r="T97" s="278"/>
    </row>
    <row r="98" spans="1:28" s="305" customFormat="1" hidden="1" outlineLevel="1" x14ac:dyDescent="0.25">
      <c r="A98" s="278"/>
      <c r="B98" s="279" t="str">
        <f t="shared" si="29"/>
        <v/>
      </c>
      <c r="C98" s="278"/>
      <c r="D98" s="278"/>
      <c r="E98" s="278"/>
      <c r="F98" s="278"/>
      <c r="G98" s="278"/>
      <c r="H98" s="290"/>
      <c r="I98" s="280">
        <f t="shared" si="30"/>
        <v>0</v>
      </c>
      <c r="J98" s="281">
        <f t="shared" si="31"/>
        <v>0</v>
      </c>
      <c r="K98" s="282">
        <f>IF(Notes!$B$9="Domestic",I98, IF(Notes!$B$9="Commercial",J98))*$K$89</f>
        <v>0</v>
      </c>
      <c r="L98" s="283">
        <f>IF(SUM(O98:Q98)=0,0,(SUM(O98:Q98)+(K98+SUM(M98:Q98))*(INDEX($U$89:$AB$89,MATCH(Notes!$C$16,$U$3:$AB$3,0))-100%))*$L$89)</f>
        <v>0</v>
      </c>
      <c r="M98" s="286"/>
      <c r="N98" s="286"/>
      <c r="O98" s="285"/>
      <c r="P98" s="285"/>
      <c r="Q98" s="285"/>
      <c r="R98" s="278"/>
      <c r="S98" s="278"/>
      <c r="T98" s="278"/>
    </row>
    <row r="99" spans="1:28" s="305" customFormat="1" hidden="1" outlineLevel="1" x14ac:dyDescent="0.25">
      <c r="A99" s="278"/>
      <c r="B99" s="279" t="str">
        <f t="shared" si="29"/>
        <v/>
      </c>
      <c r="C99" s="278"/>
      <c r="D99" s="278"/>
      <c r="E99" s="278"/>
      <c r="F99" s="278"/>
      <c r="G99" s="278"/>
      <c r="H99" s="290"/>
      <c r="I99" s="280">
        <f t="shared" si="30"/>
        <v>0</v>
      </c>
      <c r="J99" s="281">
        <f t="shared" si="31"/>
        <v>0</v>
      </c>
      <c r="K99" s="282">
        <f>IF(Notes!$B$9="Domestic",I99, IF(Notes!$B$9="Commercial",J99))*$K$89</f>
        <v>0</v>
      </c>
      <c r="L99" s="283">
        <f>IF(SUM(O99:Q99)=0,0,(SUM(O99:Q99)+(K99+SUM(M99:Q99))*(INDEX($U$89:$AB$89,MATCH(Notes!$C$16,$U$3:$AB$3,0))-100%))*$L$89)</f>
        <v>0</v>
      </c>
      <c r="M99" s="286"/>
      <c r="N99" s="286"/>
      <c r="O99" s="285"/>
      <c r="P99" s="285"/>
      <c r="Q99" s="285"/>
      <c r="R99" s="278"/>
      <c r="S99" s="278"/>
      <c r="T99" s="278"/>
    </row>
    <row r="100" spans="1:28" ht="21" hidden="1" outlineLevel="1" x14ac:dyDescent="0.25">
      <c r="A100" s="299"/>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row>
    <row r="101" spans="1:28" ht="15.75" hidden="1" outlineLevel="1" x14ac:dyDescent="0.25">
      <c r="A101" s="291"/>
      <c r="B101" s="291"/>
      <c r="C101" s="291"/>
      <c r="D101" s="291"/>
      <c r="E101" s="291"/>
      <c r="F101" s="291"/>
      <c r="G101" s="291"/>
      <c r="H101" s="291"/>
      <c r="I101" s="291"/>
      <c r="J101" s="291"/>
      <c r="K101" s="291">
        <f>K$2</f>
        <v>1</v>
      </c>
      <c r="L101" s="291">
        <f>L$2</f>
        <v>1</v>
      </c>
      <c r="M101" s="291"/>
      <c r="N101" s="291"/>
      <c r="O101" s="303"/>
      <c r="P101" s="303"/>
      <c r="Q101" s="303"/>
      <c r="R101" s="291"/>
      <c r="S101" s="291"/>
      <c r="T101" s="291"/>
      <c r="U101" s="291">
        <f>U$2</f>
        <v>1</v>
      </c>
      <c r="V101" s="291">
        <f>V$2</f>
        <v>1</v>
      </c>
      <c r="W101" s="291">
        <f t="shared" ref="W101:AB101" si="32">W$2</f>
        <v>1</v>
      </c>
      <c r="X101" s="291">
        <f t="shared" si="32"/>
        <v>1</v>
      </c>
      <c r="Y101" s="291">
        <f t="shared" si="32"/>
        <v>1</v>
      </c>
      <c r="Z101" s="291">
        <f t="shared" si="32"/>
        <v>1</v>
      </c>
      <c r="AA101" s="291">
        <f t="shared" si="32"/>
        <v>1</v>
      </c>
      <c r="AB101" s="291">
        <f t="shared" si="32"/>
        <v>1</v>
      </c>
    </row>
    <row r="102" spans="1:28" s="305" customFormat="1" hidden="1" outlineLevel="1" x14ac:dyDescent="0.25">
      <c r="A102" s="278"/>
      <c r="B102" s="279" t="str">
        <f>C102&amp;D102&amp;E102&amp;F102</f>
        <v/>
      </c>
      <c r="C102" s="278"/>
      <c r="D102" s="278"/>
      <c r="E102" s="278"/>
      <c r="F102" s="278"/>
      <c r="G102" s="278"/>
      <c r="H102" s="290"/>
      <c r="I102" s="280">
        <f>$I$2*H102</f>
        <v>0</v>
      </c>
      <c r="J102" s="281">
        <f>$J$2*H102</f>
        <v>0</v>
      </c>
      <c r="K102" s="282">
        <f>IF(Notes!$B$9="Domestic",I102, IF(Notes!$B$9="Commercial",J102))*$K$101</f>
        <v>0</v>
      </c>
      <c r="L102" s="283">
        <f>IF(SUM(O102:Q102)=0,0,(SUM(O102:Q102)+(K102+SUM(M102:Q102))*(INDEX($U$101:$AB$101,MATCH(Notes!$C$16,$U$3:$AB$3,0))-100%))*$L$101)</f>
        <v>0</v>
      </c>
      <c r="M102" s="286"/>
      <c r="N102" s="286"/>
      <c r="O102" s="285"/>
      <c r="P102" s="285"/>
      <c r="Q102" s="285"/>
      <c r="R102" s="278"/>
      <c r="S102" s="278"/>
      <c r="T102" s="278"/>
    </row>
    <row r="103" spans="1:28" s="305" customFormat="1" hidden="1" outlineLevel="1" x14ac:dyDescent="0.25">
      <c r="A103" s="278"/>
      <c r="B103" s="279" t="str">
        <f t="shared" ref="B103:B111" si="33">C103&amp;D103&amp;E103&amp;F103</f>
        <v/>
      </c>
      <c r="C103" s="278"/>
      <c r="D103" s="278"/>
      <c r="E103" s="278"/>
      <c r="F103" s="278"/>
      <c r="G103" s="278"/>
      <c r="H103" s="290"/>
      <c r="I103" s="280">
        <f t="shared" ref="I103:I111" si="34">$I$2*H103</f>
        <v>0</v>
      </c>
      <c r="J103" s="281">
        <f t="shared" ref="J103:J111" si="35">$J$2*H103</f>
        <v>0</v>
      </c>
      <c r="K103" s="282">
        <f>IF(Notes!$B$9="Domestic",I103, IF(Notes!$B$9="Commercial",J103))*$K$101</f>
        <v>0</v>
      </c>
      <c r="L103" s="283">
        <f>IF(SUM(O103:Q103)=0,0,(SUM(O103:Q103)+(K103+SUM(M103:Q103))*(INDEX($U$101:$AB$101,MATCH(Notes!$C$16,$U$3:$AB$3,0))-100%))*$L$101)</f>
        <v>0</v>
      </c>
      <c r="M103" s="286"/>
      <c r="N103" s="286"/>
      <c r="O103" s="285"/>
      <c r="P103" s="285"/>
      <c r="Q103" s="285"/>
      <c r="R103" s="278"/>
      <c r="S103" s="278"/>
      <c r="T103" s="278"/>
    </row>
    <row r="104" spans="1:28" s="305" customFormat="1" hidden="1" outlineLevel="1" x14ac:dyDescent="0.25">
      <c r="A104" s="278"/>
      <c r="B104" s="279" t="str">
        <f t="shared" si="33"/>
        <v/>
      </c>
      <c r="C104" s="278"/>
      <c r="D104" s="278"/>
      <c r="E104" s="278"/>
      <c r="F104" s="278"/>
      <c r="G104" s="278"/>
      <c r="H104" s="290"/>
      <c r="I104" s="280">
        <f t="shared" si="34"/>
        <v>0</v>
      </c>
      <c r="J104" s="281">
        <f t="shared" si="35"/>
        <v>0</v>
      </c>
      <c r="K104" s="282">
        <f>IF(Notes!$B$9="Domestic",I104, IF(Notes!$B$9="Commercial",J104))*$K$101</f>
        <v>0</v>
      </c>
      <c r="L104" s="283">
        <f>IF(SUM(O104:Q104)=0,0,(SUM(O104:Q104)+(K104+SUM(M104:Q104))*(INDEX($U$101:$AB$101,MATCH(Notes!$C$16,$U$3:$AB$3,0))-100%))*$L$101)</f>
        <v>0</v>
      </c>
      <c r="M104" s="286"/>
      <c r="N104" s="286"/>
      <c r="O104" s="285"/>
      <c r="P104" s="285"/>
      <c r="Q104" s="285"/>
      <c r="R104" s="278"/>
      <c r="S104" s="278"/>
      <c r="T104" s="278"/>
    </row>
    <row r="105" spans="1:28" s="305" customFormat="1" hidden="1" outlineLevel="1" x14ac:dyDescent="0.25">
      <c r="A105" s="278"/>
      <c r="B105" s="279" t="str">
        <f t="shared" si="33"/>
        <v/>
      </c>
      <c r="C105" s="278"/>
      <c r="D105" s="278"/>
      <c r="E105" s="278"/>
      <c r="F105" s="278"/>
      <c r="G105" s="278"/>
      <c r="H105" s="290"/>
      <c r="I105" s="280">
        <f t="shared" si="34"/>
        <v>0</v>
      </c>
      <c r="J105" s="281">
        <f t="shared" si="35"/>
        <v>0</v>
      </c>
      <c r="K105" s="282">
        <f>IF(Notes!$B$9="Domestic",I105, IF(Notes!$B$9="Commercial",J105))*$K$101</f>
        <v>0</v>
      </c>
      <c r="L105" s="283">
        <f>IF(SUM(O105:Q105)=0,0,(SUM(O105:Q105)+(K105+SUM(M105:Q105))*(INDEX($U$101:$AB$101,MATCH(Notes!$C$16,$U$3:$AB$3,0))-100%))*$L$101)</f>
        <v>0</v>
      </c>
      <c r="M105" s="286"/>
      <c r="N105" s="286"/>
      <c r="O105" s="285"/>
      <c r="P105" s="285"/>
      <c r="Q105" s="285"/>
      <c r="R105" s="278"/>
      <c r="S105" s="278"/>
      <c r="T105" s="278"/>
    </row>
    <row r="106" spans="1:28" s="305" customFormat="1" hidden="1" outlineLevel="1" x14ac:dyDescent="0.25">
      <c r="A106" s="278"/>
      <c r="B106" s="279" t="str">
        <f t="shared" si="33"/>
        <v/>
      </c>
      <c r="C106" s="278"/>
      <c r="D106" s="278"/>
      <c r="E106" s="278"/>
      <c r="F106" s="278"/>
      <c r="G106" s="278"/>
      <c r="H106" s="290"/>
      <c r="I106" s="280">
        <f>$I$2*H106</f>
        <v>0</v>
      </c>
      <c r="J106" s="281">
        <f t="shared" si="35"/>
        <v>0</v>
      </c>
      <c r="K106" s="282">
        <f>IF(Notes!$B$9="Domestic",I106, IF(Notes!$B$9="Commercial",J106))*$K$101</f>
        <v>0</v>
      </c>
      <c r="L106" s="283">
        <f>IF(SUM(O106:Q106)=0,0,(SUM(O106:Q106)+(K106+SUM(M106:Q106))*(INDEX($U$101:$AB$101,MATCH(Notes!$C$16,$U$3:$AB$3,0))-100%))*$L$101)</f>
        <v>0</v>
      </c>
      <c r="M106" s="286"/>
      <c r="N106" s="286"/>
      <c r="O106" s="285"/>
      <c r="P106" s="285"/>
      <c r="Q106" s="285"/>
      <c r="R106" s="278"/>
      <c r="S106" s="278"/>
      <c r="T106" s="278"/>
    </row>
    <row r="107" spans="1:28" s="305" customFormat="1" hidden="1" outlineLevel="1" x14ac:dyDescent="0.25">
      <c r="A107" s="278"/>
      <c r="B107" s="279" t="str">
        <f t="shared" si="33"/>
        <v/>
      </c>
      <c r="C107" s="278"/>
      <c r="D107" s="278"/>
      <c r="E107" s="278"/>
      <c r="F107" s="278"/>
      <c r="G107" s="278"/>
      <c r="H107" s="290"/>
      <c r="I107" s="280">
        <f t="shared" si="34"/>
        <v>0</v>
      </c>
      <c r="J107" s="281">
        <f t="shared" si="35"/>
        <v>0</v>
      </c>
      <c r="K107" s="282">
        <f>IF(Notes!$B$9="Domestic",I107, IF(Notes!$B$9="Commercial",J107))*$K$101</f>
        <v>0</v>
      </c>
      <c r="L107" s="283">
        <f>IF(SUM(O107:Q107)=0,0,(SUM(O107:Q107)+(K107+SUM(M107:Q107))*(INDEX($U$101:$AB$101,MATCH(Notes!$C$16,$U$3:$AB$3,0))-100%))*$L$101)</f>
        <v>0</v>
      </c>
      <c r="M107" s="286"/>
      <c r="N107" s="286"/>
      <c r="O107" s="285"/>
      <c r="P107" s="285"/>
      <c r="Q107" s="285"/>
      <c r="R107" s="278"/>
      <c r="S107" s="278"/>
      <c r="T107" s="278"/>
    </row>
    <row r="108" spans="1:28" s="305" customFormat="1" hidden="1" outlineLevel="1" x14ac:dyDescent="0.25">
      <c r="A108" s="278"/>
      <c r="B108" s="279" t="str">
        <f t="shared" si="33"/>
        <v/>
      </c>
      <c r="C108" s="278"/>
      <c r="D108" s="278"/>
      <c r="E108" s="278"/>
      <c r="F108" s="278"/>
      <c r="G108" s="278"/>
      <c r="H108" s="290"/>
      <c r="I108" s="280">
        <f t="shared" si="34"/>
        <v>0</v>
      </c>
      <c r="J108" s="281">
        <f t="shared" si="35"/>
        <v>0</v>
      </c>
      <c r="K108" s="282">
        <f>IF(Notes!$B$9="Domestic",I108, IF(Notes!$B$9="Commercial",J108))*$K$101</f>
        <v>0</v>
      </c>
      <c r="L108" s="283">
        <f>IF(SUM(O108:Q108)=0,0,(SUM(O108:Q108)+(K108+SUM(M108:Q108))*(INDEX($U$101:$AB$101,MATCH(Notes!$C$16,$U$3:$AB$3,0))-100%))*$L$101)</f>
        <v>0</v>
      </c>
      <c r="M108" s="286"/>
      <c r="N108" s="286"/>
      <c r="O108" s="285"/>
      <c r="P108" s="285"/>
      <c r="Q108" s="285"/>
      <c r="R108" s="278"/>
      <c r="S108" s="278"/>
      <c r="T108" s="278"/>
    </row>
    <row r="109" spans="1:28" s="305" customFormat="1" hidden="1" outlineLevel="1" x14ac:dyDescent="0.25">
      <c r="A109" s="278"/>
      <c r="B109" s="279" t="str">
        <f t="shared" si="33"/>
        <v/>
      </c>
      <c r="C109" s="278"/>
      <c r="D109" s="278"/>
      <c r="E109" s="278"/>
      <c r="F109" s="278"/>
      <c r="G109" s="278"/>
      <c r="H109" s="290"/>
      <c r="I109" s="280">
        <f t="shared" si="34"/>
        <v>0</v>
      </c>
      <c r="J109" s="281">
        <f t="shared" si="35"/>
        <v>0</v>
      </c>
      <c r="K109" s="282">
        <f>IF(Notes!$B$9="Domestic",I109, IF(Notes!$B$9="Commercial",J109))*$K$101</f>
        <v>0</v>
      </c>
      <c r="L109" s="283">
        <f>IF(SUM(O109:Q109)=0,0,(SUM(O109:Q109)+(K109+SUM(M109:Q109))*(INDEX($U$101:$AB$101,MATCH(Notes!$C$16,$U$3:$AB$3,0))-100%))*$L$101)</f>
        <v>0</v>
      </c>
      <c r="M109" s="286"/>
      <c r="N109" s="286"/>
      <c r="O109" s="285"/>
      <c r="P109" s="285"/>
      <c r="Q109" s="285"/>
      <c r="R109" s="278"/>
      <c r="S109" s="278"/>
      <c r="T109" s="278"/>
    </row>
    <row r="110" spans="1:28" s="305" customFormat="1" hidden="1" outlineLevel="1" x14ac:dyDescent="0.25">
      <c r="A110" s="278"/>
      <c r="B110" s="279" t="str">
        <f t="shared" si="33"/>
        <v/>
      </c>
      <c r="C110" s="278"/>
      <c r="D110" s="278"/>
      <c r="E110" s="278"/>
      <c r="F110" s="278"/>
      <c r="G110" s="278"/>
      <c r="H110" s="290"/>
      <c r="I110" s="280">
        <f t="shared" si="34"/>
        <v>0</v>
      </c>
      <c r="J110" s="281">
        <f t="shared" si="35"/>
        <v>0</v>
      </c>
      <c r="K110" s="282">
        <f>IF(Notes!$B$9="Domestic",I110, IF(Notes!$B$9="Commercial",J110))*$K$101</f>
        <v>0</v>
      </c>
      <c r="L110" s="283">
        <f>IF(SUM(O110:Q110)=0,0,(SUM(O110:Q110)+(K110+SUM(M110:Q110))*(INDEX($U$101:$AB$101,MATCH(Notes!$C$16,$U$3:$AB$3,0))-100%))*$L$101)</f>
        <v>0</v>
      </c>
      <c r="M110" s="286"/>
      <c r="N110" s="286"/>
      <c r="O110" s="285"/>
      <c r="P110" s="285"/>
      <c r="Q110" s="285"/>
      <c r="R110" s="278"/>
      <c r="S110" s="278"/>
      <c r="T110" s="278"/>
    </row>
    <row r="111" spans="1:28" s="305" customFormat="1" hidden="1" outlineLevel="1" x14ac:dyDescent="0.25">
      <c r="A111" s="278"/>
      <c r="B111" s="279" t="str">
        <f t="shared" si="33"/>
        <v/>
      </c>
      <c r="C111" s="278"/>
      <c r="D111" s="278"/>
      <c r="E111" s="278"/>
      <c r="F111" s="278"/>
      <c r="G111" s="278"/>
      <c r="H111" s="290"/>
      <c r="I111" s="280">
        <f t="shared" si="34"/>
        <v>0</v>
      </c>
      <c r="J111" s="281">
        <f t="shared" si="35"/>
        <v>0</v>
      </c>
      <c r="K111" s="282">
        <f>IF(Notes!$B$9="Domestic",I111, IF(Notes!$B$9="Commercial",J111))*$K$101</f>
        <v>0</v>
      </c>
      <c r="L111" s="283">
        <f>IF(SUM(O111:Q111)=0,0,(SUM(O111:Q111)+(K111+SUM(M111:Q111))*(INDEX($U$101:$AB$101,MATCH(Notes!$C$16,$U$3:$AB$3,0))-100%))*$L$101)</f>
        <v>0</v>
      </c>
      <c r="M111" s="286"/>
      <c r="N111" s="286"/>
      <c r="O111" s="285"/>
      <c r="P111" s="285"/>
      <c r="Q111" s="285"/>
      <c r="R111" s="278"/>
      <c r="S111" s="278"/>
      <c r="T111" s="278"/>
    </row>
    <row r="112" spans="1:28" ht="21" hidden="1" outlineLevel="1" x14ac:dyDescent="0.25">
      <c r="A112" s="299"/>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row>
    <row r="113" spans="1:28" ht="15.75" hidden="1" outlineLevel="1" x14ac:dyDescent="0.25">
      <c r="A113" s="291"/>
      <c r="B113" s="291"/>
      <c r="C113" s="291"/>
      <c r="D113" s="291"/>
      <c r="E113" s="291"/>
      <c r="F113" s="291"/>
      <c r="G113" s="291"/>
      <c r="H113" s="291"/>
      <c r="I113" s="291"/>
      <c r="J113" s="291"/>
      <c r="K113" s="291">
        <f>K$2</f>
        <v>1</v>
      </c>
      <c r="L113" s="291">
        <f>L$2</f>
        <v>1</v>
      </c>
      <c r="M113" s="291"/>
      <c r="N113" s="291"/>
      <c r="O113" s="303"/>
      <c r="P113" s="303"/>
      <c r="Q113" s="303"/>
      <c r="R113" s="291"/>
      <c r="S113" s="291"/>
      <c r="T113" s="291"/>
      <c r="U113" s="291">
        <f>U$2</f>
        <v>1</v>
      </c>
      <c r="V113" s="291">
        <f>V$2</f>
        <v>1</v>
      </c>
      <c r="W113" s="291">
        <f t="shared" ref="W113:AB113" si="36">W$2</f>
        <v>1</v>
      </c>
      <c r="X113" s="291">
        <f t="shared" si="36"/>
        <v>1</v>
      </c>
      <c r="Y113" s="291">
        <f t="shared" si="36"/>
        <v>1</v>
      </c>
      <c r="Z113" s="291">
        <f t="shared" si="36"/>
        <v>1</v>
      </c>
      <c r="AA113" s="291">
        <f t="shared" si="36"/>
        <v>1</v>
      </c>
      <c r="AB113" s="291">
        <f t="shared" si="36"/>
        <v>1</v>
      </c>
    </row>
    <row r="114" spans="1:28" s="305" customFormat="1" hidden="1" outlineLevel="1" x14ac:dyDescent="0.25">
      <c r="A114" s="278"/>
      <c r="B114" s="279" t="str">
        <f>C114&amp;D114&amp;E114&amp;F114</f>
        <v/>
      </c>
      <c r="C114" s="278"/>
      <c r="D114" s="278"/>
      <c r="E114" s="278"/>
      <c r="F114" s="278"/>
      <c r="G114" s="278"/>
      <c r="H114" s="290"/>
      <c r="I114" s="280">
        <f>$I$2*H114</f>
        <v>0</v>
      </c>
      <c r="J114" s="281">
        <f>$J$2*H114</f>
        <v>0</v>
      </c>
      <c r="K114" s="282">
        <f>IF(Notes!$B$9="Domestic",I114, IF(Notes!$B$9="Commercial",J114))*$K$113</f>
        <v>0</v>
      </c>
      <c r="L114" s="283">
        <f>IF(SUM(O114:Q114)=0,0,(SUM(O114:Q114)+(K114+SUM(M114:Q114))*(INDEX($U$113:$AB$113,MATCH(Notes!$C$16,$U$3:$AB$3,0))-100%))*$L$113)</f>
        <v>0</v>
      </c>
      <c r="M114" s="286"/>
      <c r="N114" s="286"/>
      <c r="O114" s="285"/>
      <c r="P114" s="285"/>
      <c r="Q114" s="285"/>
      <c r="R114" s="278"/>
      <c r="S114" s="278"/>
      <c r="T114" s="278"/>
    </row>
    <row r="115" spans="1:28" s="305" customFormat="1" hidden="1" outlineLevel="1" x14ac:dyDescent="0.25">
      <c r="A115" s="278"/>
      <c r="B115" s="279" t="str">
        <f t="shared" ref="B115:B123" si="37">C115&amp;D115&amp;E115&amp;F115</f>
        <v/>
      </c>
      <c r="C115" s="278"/>
      <c r="D115" s="278"/>
      <c r="E115" s="278"/>
      <c r="F115" s="278"/>
      <c r="G115" s="278"/>
      <c r="H115" s="290"/>
      <c r="I115" s="280">
        <f t="shared" ref="I115:I117" si="38">$I$2*H115</f>
        <v>0</v>
      </c>
      <c r="J115" s="281">
        <f t="shared" ref="J115:J123" si="39">$J$2*H115</f>
        <v>0</v>
      </c>
      <c r="K115" s="282">
        <f>IF(Notes!$B$9="Domestic",I115, IF(Notes!$B$9="Commercial",J115))*$K$113</f>
        <v>0</v>
      </c>
      <c r="L115" s="283">
        <f>IF(SUM(O115:Q115)=0,0,(SUM(O115:Q115)+(K115+SUM(M115:Q115))*(INDEX($U$113:$AB$113,MATCH(Notes!$C$16,$U$3:$AB$3,0))-100%))*$L$113)</f>
        <v>0</v>
      </c>
      <c r="M115" s="286"/>
      <c r="N115" s="286"/>
      <c r="O115" s="285"/>
      <c r="P115" s="285"/>
      <c r="Q115" s="285"/>
      <c r="R115" s="278"/>
      <c r="S115" s="278"/>
      <c r="T115" s="278"/>
    </row>
    <row r="116" spans="1:28" s="305" customFormat="1" hidden="1" outlineLevel="1" x14ac:dyDescent="0.25">
      <c r="A116" s="278"/>
      <c r="B116" s="279" t="str">
        <f t="shared" si="37"/>
        <v/>
      </c>
      <c r="C116" s="278"/>
      <c r="D116" s="278"/>
      <c r="E116" s="278"/>
      <c r="F116" s="278"/>
      <c r="G116" s="278"/>
      <c r="H116" s="290"/>
      <c r="I116" s="280">
        <f t="shared" si="38"/>
        <v>0</v>
      </c>
      <c r="J116" s="281">
        <f t="shared" si="39"/>
        <v>0</v>
      </c>
      <c r="K116" s="282">
        <f>IF(Notes!$B$9="Domestic",I116, IF(Notes!$B$9="Commercial",J116))*$K$113</f>
        <v>0</v>
      </c>
      <c r="L116" s="283">
        <f>IF(SUM(O116:Q116)=0,0,(SUM(O116:Q116)+(K116+SUM(M116:Q116))*(INDEX($U$113:$AB$113,MATCH(Notes!$C$16,$U$3:$AB$3,0))-100%))*$L$113)</f>
        <v>0</v>
      </c>
      <c r="M116" s="286"/>
      <c r="N116" s="286"/>
      <c r="O116" s="285"/>
      <c r="P116" s="285"/>
      <c r="Q116" s="285"/>
      <c r="R116" s="278"/>
      <c r="S116" s="278"/>
      <c r="T116" s="278"/>
    </row>
    <row r="117" spans="1:28" s="305" customFormat="1" hidden="1" outlineLevel="1" x14ac:dyDescent="0.25">
      <c r="A117" s="278"/>
      <c r="B117" s="279" t="str">
        <f t="shared" si="37"/>
        <v/>
      </c>
      <c r="C117" s="278"/>
      <c r="D117" s="278"/>
      <c r="E117" s="278"/>
      <c r="F117" s="278"/>
      <c r="G117" s="278"/>
      <c r="H117" s="290"/>
      <c r="I117" s="280">
        <f t="shared" si="38"/>
        <v>0</v>
      </c>
      <c r="J117" s="281">
        <f t="shared" si="39"/>
        <v>0</v>
      </c>
      <c r="K117" s="282">
        <f>IF(Notes!$B$9="Domestic",I117, IF(Notes!$B$9="Commercial",J117))*$K$113</f>
        <v>0</v>
      </c>
      <c r="L117" s="283">
        <f>IF(SUM(O117:Q117)=0,0,(SUM(O117:Q117)+(K117+SUM(M117:Q117))*(INDEX($U$113:$AB$113,MATCH(Notes!$C$16,$U$3:$AB$3,0))-100%))*$L$113)</f>
        <v>0</v>
      </c>
      <c r="M117" s="286"/>
      <c r="N117" s="286"/>
      <c r="O117" s="285"/>
      <c r="P117" s="285"/>
      <c r="Q117" s="285"/>
      <c r="R117" s="278"/>
      <c r="S117" s="278"/>
      <c r="T117" s="278"/>
    </row>
    <row r="118" spans="1:28" s="305" customFormat="1" hidden="1" outlineLevel="1" x14ac:dyDescent="0.25">
      <c r="A118" s="278"/>
      <c r="B118" s="279" t="str">
        <f t="shared" si="37"/>
        <v/>
      </c>
      <c r="C118" s="278"/>
      <c r="D118" s="278"/>
      <c r="E118" s="278"/>
      <c r="F118" s="278"/>
      <c r="G118" s="278"/>
      <c r="H118" s="290"/>
      <c r="I118" s="280">
        <f>$I$2*H118</f>
        <v>0</v>
      </c>
      <c r="J118" s="281">
        <f t="shared" si="39"/>
        <v>0</v>
      </c>
      <c r="K118" s="282">
        <f>IF(Notes!$B$9="Domestic",I118, IF(Notes!$B$9="Commercial",J118))*$K$113</f>
        <v>0</v>
      </c>
      <c r="L118" s="283">
        <f>IF(SUM(O118:Q118)=0,0,(SUM(O118:Q118)+(K118+SUM(M118:Q118))*(INDEX($U$113:$AB$113,MATCH(Notes!$C$16,$U$3:$AB$3,0))-100%))*$L$113)</f>
        <v>0</v>
      </c>
      <c r="M118" s="286"/>
      <c r="N118" s="286"/>
      <c r="O118" s="285"/>
      <c r="P118" s="285"/>
      <c r="Q118" s="285"/>
      <c r="R118" s="278"/>
      <c r="S118" s="278"/>
      <c r="T118" s="278"/>
    </row>
    <row r="119" spans="1:28" s="305" customFormat="1" hidden="1" outlineLevel="1" x14ac:dyDescent="0.25">
      <c r="A119" s="278"/>
      <c r="B119" s="279" t="str">
        <f t="shared" si="37"/>
        <v/>
      </c>
      <c r="C119" s="278"/>
      <c r="D119" s="278"/>
      <c r="E119" s="278"/>
      <c r="F119" s="278"/>
      <c r="G119" s="278"/>
      <c r="H119" s="290"/>
      <c r="I119" s="280">
        <f t="shared" ref="I119:I123" si="40">$I$2*H119</f>
        <v>0</v>
      </c>
      <c r="J119" s="281">
        <f t="shared" si="39"/>
        <v>0</v>
      </c>
      <c r="K119" s="282">
        <f>IF(Notes!$B$9="Domestic",I119, IF(Notes!$B$9="Commercial",J119))*$K$113</f>
        <v>0</v>
      </c>
      <c r="L119" s="283">
        <f>IF(SUM(O119:Q119)=0,0,(SUM(O119:Q119)+(K119+SUM(M119:Q119))*(INDEX($U$113:$AB$113,MATCH(Notes!$C$16,$U$3:$AB$3,0))-100%))*$L$113)</f>
        <v>0</v>
      </c>
      <c r="M119" s="286"/>
      <c r="N119" s="286"/>
      <c r="O119" s="285"/>
      <c r="P119" s="285"/>
      <c r="Q119" s="285"/>
      <c r="R119" s="278"/>
      <c r="S119" s="278"/>
      <c r="T119" s="278"/>
    </row>
    <row r="120" spans="1:28" s="305" customFormat="1" hidden="1" outlineLevel="1" x14ac:dyDescent="0.25">
      <c r="A120" s="278"/>
      <c r="B120" s="279" t="str">
        <f t="shared" si="37"/>
        <v/>
      </c>
      <c r="C120" s="278"/>
      <c r="D120" s="278"/>
      <c r="E120" s="278"/>
      <c r="F120" s="278"/>
      <c r="G120" s="278"/>
      <c r="H120" s="290"/>
      <c r="I120" s="280">
        <f t="shared" si="40"/>
        <v>0</v>
      </c>
      <c r="J120" s="281">
        <f t="shared" si="39"/>
        <v>0</v>
      </c>
      <c r="K120" s="282">
        <f>IF(Notes!$B$9="Domestic",I120, IF(Notes!$B$9="Commercial",J120))*$K$113</f>
        <v>0</v>
      </c>
      <c r="L120" s="283">
        <f>IF(SUM(O120:Q120)=0,0,(SUM(O120:Q120)+(K120+SUM(M120:Q120))*(INDEX($U$113:$AB$113,MATCH(Notes!$C$16,$U$3:$AB$3,0))-100%))*$L$113)</f>
        <v>0</v>
      </c>
      <c r="M120" s="286"/>
      <c r="N120" s="286"/>
      <c r="O120" s="285"/>
      <c r="P120" s="285"/>
      <c r="Q120" s="285"/>
      <c r="R120" s="278"/>
      <c r="S120" s="278"/>
      <c r="T120" s="278"/>
    </row>
    <row r="121" spans="1:28" s="305" customFormat="1" hidden="1" outlineLevel="1" x14ac:dyDescent="0.25">
      <c r="A121" s="278"/>
      <c r="B121" s="279" t="str">
        <f t="shared" si="37"/>
        <v/>
      </c>
      <c r="C121" s="278"/>
      <c r="D121" s="278"/>
      <c r="E121" s="278"/>
      <c r="F121" s="278"/>
      <c r="G121" s="278"/>
      <c r="H121" s="290"/>
      <c r="I121" s="280">
        <f t="shared" si="40"/>
        <v>0</v>
      </c>
      <c r="J121" s="281">
        <f t="shared" si="39"/>
        <v>0</v>
      </c>
      <c r="K121" s="282">
        <f>IF(Notes!$B$9="Domestic",I121, IF(Notes!$B$9="Commercial",J121))*$K$113</f>
        <v>0</v>
      </c>
      <c r="L121" s="283">
        <f>IF(SUM(O121:Q121)=0,0,(SUM(O121:Q121)+(K121+SUM(M121:Q121))*(INDEX($U$113:$AB$113,MATCH(Notes!$C$16,$U$3:$AB$3,0))-100%))*$L$113)</f>
        <v>0</v>
      </c>
      <c r="M121" s="286"/>
      <c r="N121" s="286"/>
      <c r="O121" s="285"/>
      <c r="P121" s="285"/>
      <c r="Q121" s="285"/>
      <c r="R121" s="278"/>
      <c r="S121" s="278"/>
      <c r="T121" s="278"/>
    </row>
    <row r="122" spans="1:28" s="305" customFormat="1" hidden="1" outlineLevel="1" x14ac:dyDescent="0.25">
      <c r="A122" s="278"/>
      <c r="B122" s="279" t="str">
        <f t="shared" si="37"/>
        <v/>
      </c>
      <c r="C122" s="278"/>
      <c r="D122" s="278"/>
      <c r="E122" s="278"/>
      <c r="F122" s="278"/>
      <c r="G122" s="278"/>
      <c r="H122" s="290"/>
      <c r="I122" s="280">
        <f t="shared" si="40"/>
        <v>0</v>
      </c>
      <c r="J122" s="281">
        <f t="shared" si="39"/>
        <v>0</v>
      </c>
      <c r="K122" s="282">
        <f>IF(Notes!$B$9="Domestic",I122, IF(Notes!$B$9="Commercial",J122))*$K$113</f>
        <v>0</v>
      </c>
      <c r="L122" s="283">
        <f>IF(SUM(O122:Q122)=0,0,(SUM(O122:Q122)+(K122+SUM(M122:Q122))*(INDEX($U$113:$AB$113,MATCH(Notes!$C$16,$U$3:$AB$3,0))-100%))*$L$113)</f>
        <v>0</v>
      </c>
      <c r="M122" s="286"/>
      <c r="N122" s="286"/>
      <c r="O122" s="285"/>
      <c r="P122" s="285"/>
      <c r="Q122" s="285"/>
      <c r="R122" s="278"/>
      <c r="S122" s="278"/>
      <c r="T122" s="278"/>
    </row>
    <row r="123" spans="1:28" s="305" customFormat="1" hidden="1" outlineLevel="1" x14ac:dyDescent="0.25">
      <c r="A123" s="278"/>
      <c r="B123" s="279" t="str">
        <f t="shared" si="37"/>
        <v/>
      </c>
      <c r="C123" s="278"/>
      <c r="D123" s="278"/>
      <c r="E123" s="278"/>
      <c r="F123" s="278"/>
      <c r="G123" s="278"/>
      <c r="H123" s="290"/>
      <c r="I123" s="280">
        <f t="shared" si="40"/>
        <v>0</v>
      </c>
      <c r="J123" s="281">
        <f t="shared" si="39"/>
        <v>0</v>
      </c>
      <c r="K123" s="282">
        <f>IF(Notes!$B$9="Domestic",I123, IF(Notes!$B$9="Commercial",J123))*$K$113</f>
        <v>0</v>
      </c>
      <c r="L123" s="283">
        <f>IF(SUM(O123:Q123)=0,0,(SUM(O123:Q123)+(K123+SUM(M123:Q123))*(INDEX($U$113:$AB$113,MATCH(Notes!$C$16,$U$3:$AB$3,0))-100%))*$L$113)</f>
        <v>0</v>
      </c>
      <c r="M123" s="286"/>
      <c r="N123" s="286"/>
      <c r="O123" s="285"/>
      <c r="P123" s="285"/>
      <c r="Q123" s="285"/>
      <c r="R123" s="278"/>
      <c r="S123" s="278"/>
      <c r="T123" s="278"/>
    </row>
    <row r="124" spans="1:28" ht="21" hidden="1" outlineLevel="1" x14ac:dyDescent="0.25">
      <c r="A124" s="299"/>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row>
    <row r="125" spans="1:28" ht="15.75" hidden="1" outlineLevel="1" x14ac:dyDescent="0.25">
      <c r="A125" s="291"/>
      <c r="B125" s="291"/>
      <c r="C125" s="291"/>
      <c r="D125" s="291"/>
      <c r="E125" s="291"/>
      <c r="F125" s="291"/>
      <c r="G125" s="291"/>
      <c r="H125" s="291"/>
      <c r="I125" s="291"/>
      <c r="J125" s="291"/>
      <c r="K125" s="291">
        <f>K$2</f>
        <v>1</v>
      </c>
      <c r="L125" s="291">
        <f>L$2</f>
        <v>1</v>
      </c>
      <c r="M125" s="291"/>
      <c r="N125" s="291"/>
      <c r="O125" s="303"/>
      <c r="P125" s="303"/>
      <c r="Q125" s="303"/>
      <c r="R125" s="291"/>
      <c r="S125" s="291"/>
      <c r="T125" s="291"/>
      <c r="U125" s="291">
        <f>U$2</f>
        <v>1</v>
      </c>
      <c r="V125" s="291">
        <f>V$2</f>
        <v>1</v>
      </c>
      <c r="W125" s="291">
        <f t="shared" ref="W125:AB125" si="41">W$2</f>
        <v>1</v>
      </c>
      <c r="X125" s="291">
        <f t="shared" si="41"/>
        <v>1</v>
      </c>
      <c r="Y125" s="291">
        <f t="shared" si="41"/>
        <v>1</v>
      </c>
      <c r="Z125" s="291">
        <f t="shared" si="41"/>
        <v>1</v>
      </c>
      <c r="AA125" s="291">
        <f t="shared" si="41"/>
        <v>1</v>
      </c>
      <c r="AB125" s="291">
        <f t="shared" si="41"/>
        <v>1</v>
      </c>
    </row>
    <row r="126" spans="1:28" s="305" customFormat="1" hidden="1" outlineLevel="1" x14ac:dyDescent="0.25">
      <c r="A126" s="278"/>
      <c r="B126" s="279" t="str">
        <f>C126&amp;D126&amp;E126&amp;F126</f>
        <v/>
      </c>
      <c r="C126" s="278"/>
      <c r="D126" s="278"/>
      <c r="E126" s="278"/>
      <c r="F126" s="278"/>
      <c r="G126" s="278"/>
      <c r="H126" s="290"/>
      <c r="I126" s="280">
        <f>$I$2*H126</f>
        <v>0</v>
      </c>
      <c r="J126" s="281">
        <f>$J$2*H126</f>
        <v>0</v>
      </c>
      <c r="K126" s="282">
        <f>IF(Notes!$B$9="Domestic",I126, IF(Notes!$B$9="Commercial",J126))*$K$125</f>
        <v>0</v>
      </c>
      <c r="L126" s="283">
        <f>IF(SUM(O126:Q126)=0,0,(SUM(O126:Q126)+(K126+SUM(M126:Q126))*(INDEX($U$125:$AB$125,MATCH(Notes!$C$16,$U$3:$AB$3,0))-100%))*$L$125)</f>
        <v>0</v>
      </c>
      <c r="M126" s="286"/>
      <c r="N126" s="286"/>
      <c r="O126" s="285"/>
      <c r="P126" s="285"/>
      <c r="Q126" s="285"/>
      <c r="R126" s="278"/>
      <c r="S126" s="278"/>
      <c r="T126" s="278"/>
    </row>
    <row r="127" spans="1:28" s="305" customFormat="1" hidden="1" outlineLevel="1" x14ac:dyDescent="0.25">
      <c r="A127" s="278"/>
      <c r="B127" s="279" t="str">
        <f t="shared" ref="B127:B135" si="42">C127&amp;D127&amp;E127&amp;F127</f>
        <v/>
      </c>
      <c r="C127" s="278"/>
      <c r="D127" s="278"/>
      <c r="E127" s="278"/>
      <c r="F127" s="278"/>
      <c r="G127" s="278"/>
      <c r="H127" s="290"/>
      <c r="I127" s="280">
        <f t="shared" ref="I127:I129" si="43">$I$2*H127</f>
        <v>0</v>
      </c>
      <c r="J127" s="281">
        <f t="shared" ref="J127:J135" si="44">$J$2*H127</f>
        <v>0</v>
      </c>
      <c r="K127" s="282">
        <f>IF(Notes!$B$9="Domestic",I127, IF(Notes!$B$9="Commercial",J127))*$K$125</f>
        <v>0</v>
      </c>
      <c r="L127" s="283">
        <f>IF(SUM(O127:Q127)=0,0,(SUM(O127:Q127)+(K127+SUM(M127:Q127))*(INDEX($U$125:$AB$125,MATCH(Notes!$C$16,$U$3:$AB$3,0))-100%))*$L$125)</f>
        <v>0</v>
      </c>
      <c r="M127" s="286"/>
      <c r="N127" s="286"/>
      <c r="O127" s="285"/>
      <c r="P127" s="285"/>
      <c r="Q127" s="285"/>
      <c r="R127" s="278"/>
      <c r="S127" s="278"/>
      <c r="T127" s="278"/>
    </row>
    <row r="128" spans="1:28" s="305" customFormat="1" hidden="1" outlineLevel="1" x14ac:dyDescent="0.25">
      <c r="A128" s="278"/>
      <c r="B128" s="279" t="str">
        <f t="shared" si="42"/>
        <v/>
      </c>
      <c r="C128" s="278"/>
      <c r="D128" s="278"/>
      <c r="E128" s="278"/>
      <c r="F128" s="278"/>
      <c r="G128" s="278"/>
      <c r="H128" s="290"/>
      <c r="I128" s="280">
        <f t="shared" si="43"/>
        <v>0</v>
      </c>
      <c r="J128" s="281">
        <f t="shared" si="44"/>
        <v>0</v>
      </c>
      <c r="K128" s="282">
        <f>IF(Notes!$B$9="Domestic",I128, IF(Notes!$B$9="Commercial",J128))*$K$125</f>
        <v>0</v>
      </c>
      <c r="L128" s="283">
        <f>IF(SUM(O128:Q128)=0,0,(SUM(O128:Q128)+(K128+SUM(M128:Q128))*(INDEX($U$125:$AB$125,MATCH(Notes!$C$16,$U$3:$AB$3,0))-100%))*$L$125)</f>
        <v>0</v>
      </c>
      <c r="M128" s="286"/>
      <c r="N128" s="286"/>
      <c r="O128" s="285"/>
      <c r="P128" s="285"/>
      <c r="Q128" s="285"/>
      <c r="R128" s="278"/>
      <c r="S128" s="278"/>
      <c r="T128" s="278"/>
    </row>
    <row r="129" spans="1:28" s="305" customFormat="1" hidden="1" outlineLevel="1" x14ac:dyDescent="0.25">
      <c r="A129" s="278"/>
      <c r="B129" s="279" t="str">
        <f t="shared" si="42"/>
        <v/>
      </c>
      <c r="C129" s="278"/>
      <c r="D129" s="278"/>
      <c r="E129" s="278"/>
      <c r="F129" s="278"/>
      <c r="G129" s="278"/>
      <c r="H129" s="290"/>
      <c r="I129" s="280">
        <f t="shared" si="43"/>
        <v>0</v>
      </c>
      <c r="J129" s="281">
        <f t="shared" si="44"/>
        <v>0</v>
      </c>
      <c r="K129" s="282">
        <f>IF(Notes!$B$9="Domestic",I129, IF(Notes!$B$9="Commercial",J129))*$K$125</f>
        <v>0</v>
      </c>
      <c r="L129" s="283">
        <f>IF(SUM(O129:Q129)=0,0,(SUM(O129:Q129)+(K129+SUM(M129:Q129))*(INDEX($U$125:$AB$125,MATCH(Notes!$C$16,$U$3:$AB$3,0))-100%))*$L$125)</f>
        <v>0</v>
      </c>
      <c r="M129" s="286"/>
      <c r="N129" s="286"/>
      <c r="O129" s="285"/>
      <c r="P129" s="285"/>
      <c r="Q129" s="285"/>
      <c r="R129" s="278"/>
      <c r="S129" s="278"/>
      <c r="T129" s="278"/>
    </row>
    <row r="130" spans="1:28" s="305" customFormat="1" hidden="1" outlineLevel="1" x14ac:dyDescent="0.25">
      <c r="A130" s="278"/>
      <c r="B130" s="279" t="str">
        <f t="shared" si="42"/>
        <v/>
      </c>
      <c r="C130" s="278"/>
      <c r="D130" s="278"/>
      <c r="E130" s="278"/>
      <c r="F130" s="278"/>
      <c r="G130" s="278"/>
      <c r="H130" s="290"/>
      <c r="I130" s="280">
        <f>$I$2*H130</f>
        <v>0</v>
      </c>
      <c r="J130" s="281">
        <f t="shared" si="44"/>
        <v>0</v>
      </c>
      <c r="K130" s="282">
        <f>IF(Notes!$B$9="Domestic",I130, IF(Notes!$B$9="Commercial",J130))*$K$125</f>
        <v>0</v>
      </c>
      <c r="L130" s="283">
        <f>IF(SUM(O130:Q130)=0,0,(SUM(O130:Q130)+(K130+SUM(M130:Q130))*(INDEX($U$125:$AB$125,MATCH(Notes!$C$16,$U$3:$AB$3,0))-100%))*$L$125)</f>
        <v>0</v>
      </c>
      <c r="M130" s="286"/>
      <c r="N130" s="286"/>
      <c r="O130" s="285"/>
      <c r="P130" s="285"/>
      <c r="Q130" s="285"/>
      <c r="R130" s="278"/>
      <c r="S130" s="278"/>
      <c r="T130" s="278"/>
    </row>
    <row r="131" spans="1:28" s="305" customFormat="1" hidden="1" outlineLevel="1" x14ac:dyDescent="0.25">
      <c r="A131" s="278"/>
      <c r="B131" s="279" t="str">
        <f t="shared" si="42"/>
        <v/>
      </c>
      <c r="C131" s="278"/>
      <c r="D131" s="278"/>
      <c r="E131" s="278"/>
      <c r="F131" s="278"/>
      <c r="G131" s="278"/>
      <c r="H131" s="290"/>
      <c r="I131" s="280">
        <f t="shared" ref="I131:I135" si="45">$I$2*H131</f>
        <v>0</v>
      </c>
      <c r="J131" s="281">
        <f t="shared" si="44"/>
        <v>0</v>
      </c>
      <c r="K131" s="282">
        <f>IF(Notes!$B$9="Domestic",I131, IF(Notes!$B$9="Commercial",J131))*$K$125</f>
        <v>0</v>
      </c>
      <c r="L131" s="283">
        <f>IF(SUM(O131:Q131)=0,0,(SUM(O131:Q131)+(K131+SUM(M131:Q131))*(INDEX($U$125:$AB$125,MATCH(Notes!$C$16,$U$3:$AB$3,0))-100%))*$L$125)</f>
        <v>0</v>
      </c>
      <c r="M131" s="286"/>
      <c r="N131" s="286"/>
      <c r="O131" s="285"/>
      <c r="P131" s="285"/>
      <c r="Q131" s="285"/>
      <c r="R131" s="278"/>
      <c r="S131" s="278"/>
      <c r="T131" s="278"/>
    </row>
    <row r="132" spans="1:28" s="305" customFormat="1" hidden="1" outlineLevel="1" x14ac:dyDescent="0.25">
      <c r="A132" s="278"/>
      <c r="B132" s="279" t="str">
        <f t="shared" si="42"/>
        <v/>
      </c>
      <c r="C132" s="278"/>
      <c r="D132" s="278"/>
      <c r="E132" s="278"/>
      <c r="F132" s="278"/>
      <c r="G132" s="278"/>
      <c r="H132" s="290"/>
      <c r="I132" s="280">
        <f t="shared" si="45"/>
        <v>0</v>
      </c>
      <c r="J132" s="281">
        <f t="shared" si="44"/>
        <v>0</v>
      </c>
      <c r="K132" s="282">
        <f>IF(Notes!$B$9="Domestic",I132, IF(Notes!$B$9="Commercial",J132))*$K$125</f>
        <v>0</v>
      </c>
      <c r="L132" s="283">
        <f>IF(SUM(O132:Q132)=0,0,(SUM(O132:Q132)+(K132+SUM(M132:Q132))*(INDEX($U$125:$AB$125,MATCH(Notes!$C$16,$U$3:$AB$3,0))-100%))*$L$125)</f>
        <v>0</v>
      </c>
      <c r="M132" s="286"/>
      <c r="N132" s="286"/>
      <c r="O132" s="285"/>
      <c r="P132" s="285"/>
      <c r="Q132" s="285"/>
      <c r="R132" s="278"/>
      <c r="S132" s="278"/>
      <c r="T132" s="278"/>
    </row>
    <row r="133" spans="1:28" s="305" customFormat="1" hidden="1" outlineLevel="1" x14ac:dyDescent="0.25">
      <c r="A133" s="278"/>
      <c r="B133" s="279" t="str">
        <f t="shared" si="42"/>
        <v/>
      </c>
      <c r="C133" s="278"/>
      <c r="D133" s="278"/>
      <c r="E133" s="278"/>
      <c r="F133" s="278"/>
      <c r="G133" s="278"/>
      <c r="H133" s="290"/>
      <c r="I133" s="280">
        <f t="shared" si="45"/>
        <v>0</v>
      </c>
      <c r="J133" s="281">
        <f t="shared" si="44"/>
        <v>0</v>
      </c>
      <c r="K133" s="282">
        <f>IF(Notes!$B$9="Domestic",I133, IF(Notes!$B$9="Commercial",J133))*$K$125</f>
        <v>0</v>
      </c>
      <c r="L133" s="283">
        <f>IF(SUM(O133:Q133)=0,0,(SUM(O133:Q133)+(K133+SUM(M133:Q133))*(INDEX($U$125:$AB$125,MATCH(Notes!$C$16,$U$3:$AB$3,0))-100%))*$L$125)</f>
        <v>0</v>
      </c>
      <c r="M133" s="286"/>
      <c r="N133" s="286"/>
      <c r="O133" s="285"/>
      <c r="P133" s="285"/>
      <c r="Q133" s="285"/>
      <c r="R133" s="278"/>
      <c r="S133" s="278"/>
      <c r="T133" s="278"/>
    </row>
    <row r="134" spans="1:28" s="305" customFormat="1" hidden="1" outlineLevel="1" x14ac:dyDescent="0.25">
      <c r="A134" s="278"/>
      <c r="B134" s="279" t="str">
        <f t="shared" si="42"/>
        <v/>
      </c>
      <c r="C134" s="278"/>
      <c r="D134" s="278"/>
      <c r="E134" s="278"/>
      <c r="F134" s="278"/>
      <c r="G134" s="278"/>
      <c r="H134" s="290"/>
      <c r="I134" s="280">
        <f t="shared" si="45"/>
        <v>0</v>
      </c>
      <c r="J134" s="281">
        <f t="shared" si="44"/>
        <v>0</v>
      </c>
      <c r="K134" s="282">
        <f>IF(Notes!$B$9="Domestic",I134, IF(Notes!$B$9="Commercial",J134))*$K$125</f>
        <v>0</v>
      </c>
      <c r="L134" s="283">
        <f>IF(SUM(O134:Q134)=0,0,(SUM(O134:Q134)+(K134+SUM(M134:Q134))*(INDEX($U$125:$AB$125,MATCH(Notes!$C$16,$U$3:$AB$3,0))-100%))*$L$125)</f>
        <v>0</v>
      </c>
      <c r="M134" s="286"/>
      <c r="N134" s="286"/>
      <c r="O134" s="285"/>
      <c r="P134" s="285"/>
      <c r="Q134" s="285"/>
      <c r="R134" s="278"/>
      <c r="S134" s="278"/>
      <c r="T134" s="278"/>
    </row>
    <row r="135" spans="1:28" s="305" customFormat="1" hidden="1" outlineLevel="1" x14ac:dyDescent="0.25">
      <c r="A135" s="278"/>
      <c r="B135" s="279" t="str">
        <f t="shared" si="42"/>
        <v/>
      </c>
      <c r="C135" s="278"/>
      <c r="D135" s="278"/>
      <c r="E135" s="278"/>
      <c r="F135" s="278"/>
      <c r="G135" s="278"/>
      <c r="H135" s="290"/>
      <c r="I135" s="280">
        <f t="shared" si="45"/>
        <v>0</v>
      </c>
      <c r="J135" s="281">
        <f t="shared" si="44"/>
        <v>0</v>
      </c>
      <c r="K135" s="282">
        <f>IF(Notes!$B$9="Domestic",I135, IF(Notes!$B$9="Commercial",J135))*$K$125</f>
        <v>0</v>
      </c>
      <c r="L135" s="283">
        <f>IF(SUM(O135:Q135)=0,0,(SUM(O135:Q135)+(K135+SUM(M135:Q135))*(INDEX($U$125:$AB$125,MATCH(Notes!$C$16,$U$3:$AB$3,0))-100%))*$L$125)</f>
        <v>0</v>
      </c>
      <c r="M135" s="286"/>
      <c r="N135" s="286"/>
      <c r="O135" s="285"/>
      <c r="P135" s="285"/>
      <c r="Q135" s="285"/>
      <c r="R135" s="278"/>
      <c r="S135" s="278"/>
      <c r="T135" s="278"/>
    </row>
    <row r="136" spans="1:28" ht="21" hidden="1" outlineLevel="1" x14ac:dyDescent="0.25">
      <c r="A136" s="299"/>
      <c r="B136" s="299"/>
      <c r="C136" s="299"/>
      <c r="D136" s="299"/>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c r="AA136" s="299"/>
      <c r="AB136" s="299"/>
    </row>
    <row r="137" spans="1:28" ht="15.75" hidden="1" outlineLevel="1" x14ac:dyDescent="0.25">
      <c r="A137" s="291"/>
      <c r="B137" s="291"/>
      <c r="C137" s="291"/>
      <c r="D137" s="291"/>
      <c r="E137" s="291"/>
      <c r="F137" s="291"/>
      <c r="G137" s="291"/>
      <c r="H137" s="291"/>
      <c r="I137" s="291"/>
      <c r="J137" s="291"/>
      <c r="K137" s="291">
        <f>K$2</f>
        <v>1</v>
      </c>
      <c r="L137" s="291">
        <f>L$2</f>
        <v>1</v>
      </c>
      <c r="M137" s="291"/>
      <c r="N137" s="291"/>
      <c r="O137" s="303"/>
      <c r="P137" s="303"/>
      <c r="Q137" s="303"/>
      <c r="R137" s="291"/>
      <c r="S137" s="291"/>
      <c r="T137" s="291"/>
      <c r="U137" s="291">
        <f>U$2</f>
        <v>1</v>
      </c>
      <c r="V137" s="291">
        <f>V$2</f>
        <v>1</v>
      </c>
      <c r="W137" s="291">
        <f t="shared" ref="W137:AB137" si="46">W$2</f>
        <v>1</v>
      </c>
      <c r="X137" s="291">
        <f t="shared" si="46"/>
        <v>1</v>
      </c>
      <c r="Y137" s="291">
        <f t="shared" si="46"/>
        <v>1</v>
      </c>
      <c r="Z137" s="291">
        <f t="shared" si="46"/>
        <v>1</v>
      </c>
      <c r="AA137" s="291">
        <f t="shared" si="46"/>
        <v>1</v>
      </c>
      <c r="AB137" s="291">
        <f t="shared" si="46"/>
        <v>1</v>
      </c>
    </row>
    <row r="138" spans="1:28" s="305" customFormat="1" hidden="1" outlineLevel="1" x14ac:dyDescent="0.25">
      <c r="A138" s="278"/>
      <c r="B138" s="279" t="str">
        <f>C138&amp;D138&amp;E138&amp;F138</f>
        <v/>
      </c>
      <c r="C138" s="278"/>
      <c r="D138" s="278"/>
      <c r="E138" s="278"/>
      <c r="F138" s="278"/>
      <c r="G138" s="278"/>
      <c r="H138" s="290"/>
      <c r="I138" s="280">
        <f>$I$2*H138</f>
        <v>0</v>
      </c>
      <c r="J138" s="281">
        <f>$J$2*H138</f>
        <v>0</v>
      </c>
      <c r="K138" s="282">
        <f>IF(Notes!$B$9="Domestic",I138, IF(Notes!$B$9="Commercial",J138))*$K$137</f>
        <v>0</v>
      </c>
      <c r="L138" s="283">
        <f>IF(SUM(O138:Q138)=0,0,(SUM(O138:Q138)+(K138+SUM(M138:Q138))*(INDEX($U$137:$AB$137,MATCH(Notes!$C$16,$U$3:$AB$3,0))-100%))*$L$137)</f>
        <v>0</v>
      </c>
      <c r="M138" s="286"/>
      <c r="N138" s="286"/>
      <c r="O138" s="285"/>
      <c r="P138" s="285"/>
      <c r="Q138" s="285"/>
      <c r="R138" s="278"/>
      <c r="S138" s="278"/>
      <c r="T138" s="278"/>
    </row>
    <row r="139" spans="1:28" s="305" customFormat="1" hidden="1" outlineLevel="1" x14ac:dyDescent="0.25">
      <c r="A139" s="278"/>
      <c r="B139" s="279" t="str">
        <f t="shared" ref="B139:B147" si="47">C139&amp;D139&amp;E139&amp;F139</f>
        <v/>
      </c>
      <c r="C139" s="278"/>
      <c r="D139" s="278"/>
      <c r="E139" s="278"/>
      <c r="F139" s="278"/>
      <c r="G139" s="278"/>
      <c r="H139" s="290"/>
      <c r="I139" s="280">
        <f t="shared" ref="I139:I141" si="48">$I$2*H139</f>
        <v>0</v>
      </c>
      <c r="J139" s="281">
        <f t="shared" ref="J139:J147" si="49">$J$2*H139</f>
        <v>0</v>
      </c>
      <c r="K139" s="282">
        <f>IF(Notes!$B$9="Domestic",I139, IF(Notes!$B$9="Commercial",J139))*$K$137</f>
        <v>0</v>
      </c>
      <c r="L139" s="283">
        <f>IF(SUM(O139:Q139)=0,0,(SUM(O139:Q139)+(K139+SUM(M139:Q139))*(INDEX($U$137:$AB$137,MATCH(Notes!$C$16,$U$3:$AB$3,0))-100%))*$L$137)</f>
        <v>0</v>
      </c>
      <c r="M139" s="286"/>
      <c r="N139" s="286"/>
      <c r="O139" s="285"/>
      <c r="P139" s="285"/>
      <c r="Q139" s="285"/>
      <c r="R139" s="278"/>
      <c r="S139" s="278"/>
      <c r="T139" s="278"/>
    </row>
    <row r="140" spans="1:28" s="305" customFormat="1" hidden="1" outlineLevel="1" x14ac:dyDescent="0.25">
      <c r="A140" s="278"/>
      <c r="B140" s="279" t="str">
        <f t="shared" si="47"/>
        <v/>
      </c>
      <c r="C140" s="278"/>
      <c r="D140" s="278"/>
      <c r="E140" s="278"/>
      <c r="F140" s="278"/>
      <c r="G140" s="278"/>
      <c r="H140" s="290"/>
      <c r="I140" s="280">
        <f t="shared" si="48"/>
        <v>0</v>
      </c>
      <c r="J140" s="281">
        <f t="shared" si="49"/>
        <v>0</v>
      </c>
      <c r="K140" s="282">
        <f>IF(Notes!$B$9="Domestic",I140, IF(Notes!$B$9="Commercial",J140))*$K$137</f>
        <v>0</v>
      </c>
      <c r="L140" s="283">
        <f>IF(SUM(O140:Q140)=0,0,(SUM(O140:Q140)+(K140+SUM(M140:Q140))*(INDEX($U$137:$AB$137,MATCH(Notes!$C$16,$U$3:$AB$3,0))-100%))*$L$137)</f>
        <v>0</v>
      </c>
      <c r="M140" s="286"/>
      <c r="N140" s="286"/>
      <c r="O140" s="285"/>
      <c r="P140" s="285"/>
      <c r="Q140" s="285"/>
      <c r="R140" s="278"/>
      <c r="S140" s="278"/>
      <c r="T140" s="278"/>
    </row>
    <row r="141" spans="1:28" s="305" customFormat="1" hidden="1" outlineLevel="1" x14ac:dyDescent="0.25">
      <c r="A141" s="278"/>
      <c r="B141" s="279" t="str">
        <f t="shared" si="47"/>
        <v/>
      </c>
      <c r="C141" s="278"/>
      <c r="D141" s="278"/>
      <c r="E141" s="278"/>
      <c r="F141" s="278"/>
      <c r="G141" s="278"/>
      <c r="H141" s="290"/>
      <c r="I141" s="280">
        <f t="shared" si="48"/>
        <v>0</v>
      </c>
      <c r="J141" s="281">
        <f t="shared" si="49"/>
        <v>0</v>
      </c>
      <c r="K141" s="282">
        <f>IF(Notes!$B$9="Domestic",I141, IF(Notes!$B$9="Commercial",J141))*$K$137</f>
        <v>0</v>
      </c>
      <c r="L141" s="283">
        <f>IF(SUM(O141:Q141)=0,0,(SUM(O141:Q141)+(K141+SUM(M141:Q141))*(INDEX($U$137:$AB$137,MATCH(Notes!$C$16,$U$3:$AB$3,0))-100%))*$L$137)</f>
        <v>0</v>
      </c>
      <c r="M141" s="286"/>
      <c r="N141" s="286"/>
      <c r="O141" s="285"/>
      <c r="P141" s="285"/>
      <c r="Q141" s="285"/>
      <c r="R141" s="278"/>
      <c r="S141" s="278"/>
      <c r="T141" s="278"/>
    </row>
    <row r="142" spans="1:28" s="305" customFormat="1" hidden="1" outlineLevel="1" x14ac:dyDescent="0.25">
      <c r="A142" s="278"/>
      <c r="B142" s="279" t="str">
        <f t="shared" si="47"/>
        <v/>
      </c>
      <c r="C142" s="278"/>
      <c r="D142" s="278"/>
      <c r="E142" s="278"/>
      <c r="F142" s="278"/>
      <c r="G142" s="278"/>
      <c r="H142" s="290"/>
      <c r="I142" s="280">
        <f>$I$2*H142</f>
        <v>0</v>
      </c>
      <c r="J142" s="281">
        <f t="shared" si="49"/>
        <v>0</v>
      </c>
      <c r="K142" s="282">
        <f>IF(Notes!$B$9="Domestic",I142, IF(Notes!$B$9="Commercial",J142))*$K$137</f>
        <v>0</v>
      </c>
      <c r="L142" s="283">
        <f>IF(SUM(O142:Q142)=0,0,(SUM(O142:Q142)+(K142+SUM(M142:Q142))*(INDEX($U$137:$AB$137,MATCH(Notes!$C$16,$U$3:$AB$3,0))-100%))*$L$137)</f>
        <v>0</v>
      </c>
      <c r="M142" s="286"/>
      <c r="N142" s="286"/>
      <c r="O142" s="285"/>
      <c r="P142" s="285"/>
      <c r="Q142" s="285"/>
      <c r="R142" s="278"/>
      <c r="S142" s="278"/>
      <c r="T142" s="278"/>
    </row>
    <row r="143" spans="1:28" s="305" customFormat="1" hidden="1" outlineLevel="1" x14ac:dyDescent="0.25">
      <c r="A143" s="278"/>
      <c r="B143" s="279" t="str">
        <f t="shared" si="47"/>
        <v/>
      </c>
      <c r="C143" s="278"/>
      <c r="D143" s="278"/>
      <c r="E143" s="278"/>
      <c r="F143" s="278"/>
      <c r="G143" s="278"/>
      <c r="H143" s="290"/>
      <c r="I143" s="280">
        <f t="shared" ref="I143:I147" si="50">$I$2*H143</f>
        <v>0</v>
      </c>
      <c r="J143" s="281">
        <f t="shared" si="49"/>
        <v>0</v>
      </c>
      <c r="K143" s="282">
        <f>IF(Notes!$B$9="Domestic",I143, IF(Notes!$B$9="Commercial",J143))*$K$137</f>
        <v>0</v>
      </c>
      <c r="L143" s="283">
        <f>IF(SUM(O143:Q143)=0,0,(SUM(O143:Q143)+(K143+SUM(M143:Q143))*(INDEX($U$137:$AB$137,MATCH(Notes!$C$16,$U$3:$AB$3,0))-100%))*$L$137)</f>
        <v>0</v>
      </c>
      <c r="M143" s="286"/>
      <c r="N143" s="286"/>
      <c r="O143" s="285"/>
      <c r="P143" s="285"/>
      <c r="Q143" s="285"/>
      <c r="R143" s="278"/>
      <c r="S143" s="278"/>
      <c r="T143" s="278"/>
    </row>
    <row r="144" spans="1:28" s="305" customFormat="1" hidden="1" outlineLevel="1" x14ac:dyDescent="0.25">
      <c r="A144" s="278"/>
      <c r="B144" s="279" t="str">
        <f t="shared" si="47"/>
        <v/>
      </c>
      <c r="C144" s="278"/>
      <c r="D144" s="278"/>
      <c r="E144" s="278"/>
      <c r="F144" s="278"/>
      <c r="G144" s="278"/>
      <c r="H144" s="290"/>
      <c r="I144" s="280">
        <f t="shared" si="50"/>
        <v>0</v>
      </c>
      <c r="J144" s="281">
        <f t="shared" si="49"/>
        <v>0</v>
      </c>
      <c r="K144" s="282">
        <f>IF(Notes!$B$9="Domestic",I144, IF(Notes!$B$9="Commercial",J144))*$K$137</f>
        <v>0</v>
      </c>
      <c r="L144" s="283">
        <f>IF(SUM(O144:Q144)=0,0,(SUM(O144:Q144)+(K144+SUM(M144:Q144))*(INDEX($U$137:$AB$137,MATCH(Notes!$C$16,$U$3:$AB$3,0))-100%))*$L$137)</f>
        <v>0</v>
      </c>
      <c r="M144" s="286"/>
      <c r="N144" s="286"/>
      <c r="O144" s="285"/>
      <c r="P144" s="285"/>
      <c r="Q144" s="285"/>
      <c r="R144" s="278"/>
      <c r="S144" s="278"/>
      <c r="T144" s="278"/>
    </row>
    <row r="145" spans="1:28" s="305" customFormat="1" hidden="1" outlineLevel="1" x14ac:dyDescent="0.25">
      <c r="A145" s="278"/>
      <c r="B145" s="279" t="str">
        <f t="shared" si="47"/>
        <v/>
      </c>
      <c r="C145" s="278"/>
      <c r="D145" s="278"/>
      <c r="E145" s="278"/>
      <c r="F145" s="278"/>
      <c r="G145" s="278"/>
      <c r="H145" s="290"/>
      <c r="I145" s="280">
        <f t="shared" si="50"/>
        <v>0</v>
      </c>
      <c r="J145" s="281">
        <f t="shared" si="49"/>
        <v>0</v>
      </c>
      <c r="K145" s="282">
        <f>IF(Notes!$B$9="Domestic",I145, IF(Notes!$B$9="Commercial",J145))*$K$137</f>
        <v>0</v>
      </c>
      <c r="L145" s="283">
        <f>IF(SUM(O145:Q145)=0,0,(SUM(O145:Q145)+(K145+SUM(M145:Q145))*(INDEX($U$137:$AB$137,MATCH(Notes!$C$16,$U$3:$AB$3,0))-100%))*$L$137)</f>
        <v>0</v>
      </c>
      <c r="M145" s="286"/>
      <c r="N145" s="286"/>
      <c r="O145" s="285"/>
      <c r="P145" s="285"/>
      <c r="Q145" s="285"/>
      <c r="R145" s="278"/>
      <c r="S145" s="278"/>
      <c r="T145" s="278"/>
    </row>
    <row r="146" spans="1:28" s="305" customFormat="1" hidden="1" outlineLevel="1" x14ac:dyDescent="0.25">
      <c r="A146" s="278"/>
      <c r="B146" s="279" t="str">
        <f t="shared" si="47"/>
        <v/>
      </c>
      <c r="C146" s="278"/>
      <c r="D146" s="278"/>
      <c r="E146" s="278"/>
      <c r="F146" s="278"/>
      <c r="G146" s="278"/>
      <c r="H146" s="290"/>
      <c r="I146" s="280">
        <f t="shared" si="50"/>
        <v>0</v>
      </c>
      <c r="J146" s="281">
        <f t="shared" si="49"/>
        <v>0</v>
      </c>
      <c r="K146" s="282">
        <f>IF(Notes!$B$9="Domestic",I146, IF(Notes!$B$9="Commercial",J146))*$K$137</f>
        <v>0</v>
      </c>
      <c r="L146" s="283">
        <f>IF(SUM(O146:Q146)=0,0,(SUM(O146:Q146)+(K146+SUM(M146:Q146))*(INDEX($U$137:$AB$137,MATCH(Notes!$C$16,$U$3:$AB$3,0))-100%))*$L$137)</f>
        <v>0</v>
      </c>
      <c r="M146" s="286"/>
      <c r="N146" s="286"/>
      <c r="O146" s="285"/>
      <c r="P146" s="285"/>
      <c r="Q146" s="285"/>
      <c r="R146" s="278"/>
      <c r="S146" s="278"/>
      <c r="T146" s="278"/>
    </row>
    <row r="147" spans="1:28" s="305" customFormat="1" hidden="1" outlineLevel="1" x14ac:dyDescent="0.25">
      <c r="A147" s="278"/>
      <c r="B147" s="279" t="str">
        <f t="shared" si="47"/>
        <v/>
      </c>
      <c r="C147" s="278"/>
      <c r="D147" s="278"/>
      <c r="E147" s="278"/>
      <c r="F147" s="278"/>
      <c r="G147" s="278"/>
      <c r="H147" s="290"/>
      <c r="I147" s="280">
        <f t="shared" si="50"/>
        <v>0</v>
      </c>
      <c r="J147" s="281">
        <f t="shared" si="49"/>
        <v>0</v>
      </c>
      <c r="K147" s="282">
        <f>IF(Notes!$B$9="Domestic",I147, IF(Notes!$B$9="Commercial",J147))*$K$137</f>
        <v>0</v>
      </c>
      <c r="L147" s="283">
        <f>IF(SUM(O147:Q147)=0,0,(SUM(O147:Q147)+(K147+SUM(M147:Q147))*(INDEX($U$137:$AB$137,MATCH(Notes!$C$16,$U$3:$AB$3,0))-100%))*$L$137)</f>
        <v>0</v>
      </c>
      <c r="M147" s="286"/>
      <c r="N147" s="286"/>
      <c r="O147" s="285"/>
      <c r="P147" s="285"/>
      <c r="Q147" s="285"/>
      <c r="R147" s="278"/>
      <c r="S147" s="278"/>
      <c r="T147" s="278"/>
    </row>
    <row r="148" spans="1:28" ht="21" hidden="1" outlineLevel="1" x14ac:dyDescent="0.25">
      <c r="A148" s="299"/>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row>
    <row r="149" spans="1:28" ht="15.75" hidden="1" outlineLevel="1" x14ac:dyDescent="0.25">
      <c r="A149" s="291"/>
      <c r="B149" s="291"/>
      <c r="C149" s="291"/>
      <c r="D149" s="291"/>
      <c r="E149" s="291"/>
      <c r="F149" s="291"/>
      <c r="G149" s="291"/>
      <c r="H149" s="291"/>
      <c r="I149" s="291"/>
      <c r="J149" s="291"/>
      <c r="K149" s="291">
        <f>K$2</f>
        <v>1</v>
      </c>
      <c r="L149" s="291">
        <f>L$2</f>
        <v>1</v>
      </c>
      <c r="M149" s="291"/>
      <c r="N149" s="291"/>
      <c r="O149" s="303"/>
      <c r="P149" s="303"/>
      <c r="Q149" s="303"/>
      <c r="R149" s="291"/>
      <c r="S149" s="291"/>
      <c r="T149" s="291"/>
      <c r="U149" s="291">
        <f>U$2</f>
        <v>1</v>
      </c>
      <c r="V149" s="291">
        <f>V$2</f>
        <v>1</v>
      </c>
      <c r="W149" s="291">
        <f t="shared" ref="W149:AB149" si="51">W$2</f>
        <v>1</v>
      </c>
      <c r="X149" s="291">
        <f t="shared" si="51"/>
        <v>1</v>
      </c>
      <c r="Y149" s="291">
        <f t="shared" si="51"/>
        <v>1</v>
      </c>
      <c r="Z149" s="291">
        <f t="shared" si="51"/>
        <v>1</v>
      </c>
      <c r="AA149" s="291">
        <f t="shared" si="51"/>
        <v>1</v>
      </c>
      <c r="AB149" s="291">
        <f t="shared" si="51"/>
        <v>1</v>
      </c>
    </row>
    <row r="150" spans="1:28" s="305" customFormat="1" hidden="1" outlineLevel="1" x14ac:dyDescent="0.25">
      <c r="A150" s="278"/>
      <c r="B150" s="279" t="str">
        <f>C150&amp;D150&amp;E150&amp;F150</f>
        <v/>
      </c>
      <c r="C150" s="278"/>
      <c r="D150" s="278"/>
      <c r="E150" s="278"/>
      <c r="F150" s="278"/>
      <c r="G150" s="278"/>
      <c r="H150" s="290"/>
      <c r="I150" s="280">
        <f>$I$2*H150</f>
        <v>0</v>
      </c>
      <c r="J150" s="281">
        <f>$J$2*H150</f>
        <v>0</v>
      </c>
      <c r="K150" s="282">
        <f>IF(Notes!$B$9="Domestic",I150, IF(Notes!$B$9="Commercial",J150))*$K$149</f>
        <v>0</v>
      </c>
      <c r="L150" s="283">
        <f>IF(SUM(O150:Q150)=0,0,(SUM(O150:Q150)+(K150+SUM(M150:Q150))*(INDEX($U$149:$AB$149,MATCH(Notes!$C$16,$U$3:$AB$3,0))-100%))*$L$149)</f>
        <v>0</v>
      </c>
      <c r="M150" s="286"/>
      <c r="N150" s="286"/>
      <c r="O150" s="285"/>
      <c r="P150" s="285"/>
      <c r="Q150" s="285"/>
      <c r="R150" s="278"/>
      <c r="S150" s="278"/>
      <c r="T150" s="278"/>
    </row>
    <row r="151" spans="1:28" s="305" customFormat="1" hidden="1" outlineLevel="1" x14ac:dyDescent="0.25">
      <c r="A151" s="278"/>
      <c r="B151" s="279" t="str">
        <f t="shared" ref="B151:B159" si="52">C151&amp;D151&amp;E151&amp;F151</f>
        <v/>
      </c>
      <c r="C151" s="278"/>
      <c r="D151" s="278"/>
      <c r="E151" s="278"/>
      <c r="F151" s="278"/>
      <c r="G151" s="278"/>
      <c r="H151" s="290"/>
      <c r="I151" s="280">
        <f t="shared" ref="I151:I153" si="53">$I$2*H151</f>
        <v>0</v>
      </c>
      <c r="J151" s="281">
        <f t="shared" ref="J151:J159" si="54">$J$2*H151</f>
        <v>0</v>
      </c>
      <c r="K151" s="282">
        <f>IF(Notes!$B$9="Domestic",I151, IF(Notes!$B$9="Commercial",J151))*$K$149</f>
        <v>0</v>
      </c>
      <c r="L151" s="283">
        <f>IF(SUM(O151:Q151)=0,0,(SUM(O151:Q151)+(K151+SUM(M151:Q151))*(INDEX($U$149:$AB$149,MATCH(Notes!$C$16,$U$3:$AB$3,0))-100%))*$L$149)</f>
        <v>0</v>
      </c>
      <c r="M151" s="286"/>
      <c r="N151" s="286"/>
      <c r="O151" s="285"/>
      <c r="P151" s="285"/>
      <c r="Q151" s="285"/>
      <c r="R151" s="278"/>
      <c r="S151" s="278"/>
      <c r="T151" s="278"/>
    </row>
    <row r="152" spans="1:28" s="305" customFormat="1" hidden="1" outlineLevel="1" x14ac:dyDescent="0.25">
      <c r="A152" s="278"/>
      <c r="B152" s="279" t="str">
        <f t="shared" si="52"/>
        <v/>
      </c>
      <c r="C152" s="278"/>
      <c r="D152" s="278"/>
      <c r="E152" s="278"/>
      <c r="F152" s="278"/>
      <c r="G152" s="278"/>
      <c r="H152" s="290"/>
      <c r="I152" s="280">
        <f t="shared" si="53"/>
        <v>0</v>
      </c>
      <c r="J152" s="281">
        <f t="shared" si="54"/>
        <v>0</v>
      </c>
      <c r="K152" s="282">
        <f>IF(Notes!$B$9="Domestic",I152, IF(Notes!$B$9="Commercial",J152))*$K$149</f>
        <v>0</v>
      </c>
      <c r="L152" s="283">
        <f>IF(SUM(O152:Q152)=0,0,(SUM(O152:Q152)+(K152+SUM(M152:Q152))*(INDEX($U$149:$AB$149,MATCH(Notes!$C$16,$U$3:$AB$3,0))-100%))*$L$149)</f>
        <v>0</v>
      </c>
      <c r="M152" s="286"/>
      <c r="N152" s="286"/>
      <c r="O152" s="285"/>
      <c r="P152" s="285"/>
      <c r="Q152" s="285"/>
      <c r="R152" s="278"/>
      <c r="S152" s="278"/>
      <c r="T152" s="278"/>
    </row>
    <row r="153" spans="1:28" s="305" customFormat="1" hidden="1" outlineLevel="1" x14ac:dyDescent="0.25">
      <c r="A153" s="278"/>
      <c r="B153" s="279" t="str">
        <f t="shared" si="52"/>
        <v/>
      </c>
      <c r="C153" s="278"/>
      <c r="D153" s="278"/>
      <c r="E153" s="278"/>
      <c r="F153" s="278"/>
      <c r="G153" s="278"/>
      <c r="H153" s="290"/>
      <c r="I153" s="280">
        <f t="shared" si="53"/>
        <v>0</v>
      </c>
      <c r="J153" s="281">
        <f t="shared" si="54"/>
        <v>0</v>
      </c>
      <c r="K153" s="282">
        <f>IF(Notes!$B$9="Domestic",I153, IF(Notes!$B$9="Commercial",J153))*$K$149</f>
        <v>0</v>
      </c>
      <c r="L153" s="283">
        <f>IF(SUM(O153:Q153)=0,0,(SUM(O153:Q153)+(K153+SUM(M153:Q153))*(INDEX($U$149:$AB$149,MATCH(Notes!$C$16,$U$3:$AB$3,0))-100%))*$L$149)</f>
        <v>0</v>
      </c>
      <c r="M153" s="286"/>
      <c r="N153" s="286"/>
      <c r="O153" s="285"/>
      <c r="P153" s="285"/>
      <c r="Q153" s="285"/>
      <c r="R153" s="278"/>
      <c r="S153" s="278"/>
      <c r="T153" s="278"/>
    </row>
    <row r="154" spans="1:28" s="305" customFormat="1" hidden="1" outlineLevel="1" x14ac:dyDescent="0.25">
      <c r="A154" s="278"/>
      <c r="B154" s="279" t="str">
        <f t="shared" si="52"/>
        <v/>
      </c>
      <c r="C154" s="278"/>
      <c r="D154" s="278"/>
      <c r="E154" s="278"/>
      <c r="F154" s="278"/>
      <c r="G154" s="278"/>
      <c r="H154" s="290"/>
      <c r="I154" s="280">
        <f>$I$2*H154</f>
        <v>0</v>
      </c>
      <c r="J154" s="281">
        <f t="shared" si="54"/>
        <v>0</v>
      </c>
      <c r="K154" s="282">
        <f>IF(Notes!$B$9="Domestic",I154, IF(Notes!$B$9="Commercial",J154))*$K$149</f>
        <v>0</v>
      </c>
      <c r="L154" s="283">
        <f>IF(SUM(O154:Q154)=0,0,(SUM(O154:Q154)+(K154+SUM(M154:Q154))*(INDEX($U$149:$AB$149,MATCH(Notes!$C$16,$U$3:$AB$3,0))-100%))*$L$149)</f>
        <v>0</v>
      </c>
      <c r="M154" s="286"/>
      <c r="N154" s="286"/>
      <c r="O154" s="285"/>
      <c r="P154" s="285"/>
      <c r="Q154" s="285"/>
      <c r="R154" s="278"/>
      <c r="S154" s="278"/>
      <c r="T154" s="278"/>
    </row>
    <row r="155" spans="1:28" s="305" customFormat="1" hidden="1" outlineLevel="1" x14ac:dyDescent="0.25">
      <c r="A155" s="278"/>
      <c r="B155" s="279" t="str">
        <f t="shared" si="52"/>
        <v/>
      </c>
      <c r="C155" s="278"/>
      <c r="D155" s="278"/>
      <c r="E155" s="278"/>
      <c r="F155" s="278"/>
      <c r="G155" s="278"/>
      <c r="H155" s="290"/>
      <c r="I155" s="280">
        <f t="shared" ref="I155:I159" si="55">$I$2*H155</f>
        <v>0</v>
      </c>
      <c r="J155" s="281">
        <f t="shared" si="54"/>
        <v>0</v>
      </c>
      <c r="K155" s="282">
        <f>IF(Notes!$B$9="Domestic",I155, IF(Notes!$B$9="Commercial",J155))*$K$149</f>
        <v>0</v>
      </c>
      <c r="L155" s="283">
        <f>IF(SUM(O155:Q155)=0,0,(SUM(O155:Q155)+(K155+SUM(M155:Q155))*(INDEX($U$149:$AB$149,MATCH(Notes!$C$16,$U$3:$AB$3,0))-100%))*$L$149)</f>
        <v>0</v>
      </c>
      <c r="M155" s="286"/>
      <c r="N155" s="286"/>
      <c r="O155" s="285"/>
      <c r="P155" s="285"/>
      <c r="Q155" s="285"/>
      <c r="R155" s="278"/>
      <c r="S155" s="278"/>
      <c r="T155" s="278"/>
    </row>
    <row r="156" spans="1:28" s="305" customFormat="1" hidden="1" outlineLevel="1" x14ac:dyDescent="0.25">
      <c r="A156" s="278"/>
      <c r="B156" s="279" t="str">
        <f t="shared" si="52"/>
        <v/>
      </c>
      <c r="C156" s="278"/>
      <c r="D156" s="278"/>
      <c r="E156" s="278"/>
      <c r="F156" s="278"/>
      <c r="G156" s="278"/>
      <c r="H156" s="290"/>
      <c r="I156" s="280">
        <f t="shared" si="55"/>
        <v>0</v>
      </c>
      <c r="J156" s="281">
        <f t="shared" si="54"/>
        <v>0</v>
      </c>
      <c r="K156" s="282">
        <f>IF(Notes!$B$9="Domestic",I156, IF(Notes!$B$9="Commercial",J156))*$K$149</f>
        <v>0</v>
      </c>
      <c r="L156" s="283">
        <f>IF(SUM(O156:Q156)=0,0,(SUM(O156:Q156)+(K156+SUM(M156:Q156))*(INDEX($U$149:$AB$149,MATCH(Notes!$C$16,$U$3:$AB$3,0))-100%))*$L$149)</f>
        <v>0</v>
      </c>
      <c r="M156" s="286"/>
      <c r="N156" s="286"/>
      <c r="O156" s="285"/>
      <c r="P156" s="285"/>
      <c r="Q156" s="285"/>
      <c r="R156" s="278"/>
      <c r="S156" s="278"/>
      <c r="T156" s="278"/>
    </row>
    <row r="157" spans="1:28" s="305" customFormat="1" hidden="1" outlineLevel="1" x14ac:dyDescent="0.25">
      <c r="A157" s="278"/>
      <c r="B157" s="279" t="str">
        <f t="shared" si="52"/>
        <v/>
      </c>
      <c r="C157" s="278"/>
      <c r="D157" s="278"/>
      <c r="E157" s="278"/>
      <c r="F157" s="278"/>
      <c r="G157" s="278"/>
      <c r="H157" s="290"/>
      <c r="I157" s="280">
        <f t="shared" si="55"/>
        <v>0</v>
      </c>
      <c r="J157" s="281">
        <f t="shared" si="54"/>
        <v>0</v>
      </c>
      <c r="K157" s="282">
        <f>IF(Notes!$B$9="Domestic",I157, IF(Notes!$B$9="Commercial",J157))*$K$149</f>
        <v>0</v>
      </c>
      <c r="L157" s="283">
        <f>IF(SUM(O157:Q157)=0,0,(SUM(O157:Q157)+(K157+SUM(M157:Q157))*(INDEX($U$149:$AB$149,MATCH(Notes!$C$16,$U$3:$AB$3,0))-100%))*$L$149)</f>
        <v>0</v>
      </c>
      <c r="M157" s="286"/>
      <c r="N157" s="286"/>
      <c r="O157" s="285"/>
      <c r="P157" s="285"/>
      <c r="Q157" s="285"/>
      <c r="R157" s="278"/>
      <c r="S157" s="278"/>
      <c r="T157" s="278"/>
    </row>
    <row r="158" spans="1:28" s="305" customFormat="1" hidden="1" outlineLevel="1" x14ac:dyDescent="0.25">
      <c r="A158" s="278"/>
      <c r="B158" s="279" t="str">
        <f t="shared" si="52"/>
        <v/>
      </c>
      <c r="C158" s="278"/>
      <c r="D158" s="278"/>
      <c r="E158" s="278"/>
      <c r="F158" s="278"/>
      <c r="G158" s="278"/>
      <c r="H158" s="290"/>
      <c r="I158" s="280">
        <f t="shared" si="55"/>
        <v>0</v>
      </c>
      <c r="J158" s="281">
        <f t="shared" si="54"/>
        <v>0</v>
      </c>
      <c r="K158" s="282">
        <f>IF(Notes!$B$9="Domestic",I158, IF(Notes!$B$9="Commercial",J158))*$K$149</f>
        <v>0</v>
      </c>
      <c r="L158" s="283">
        <f>IF(SUM(O158:Q158)=0,0,(SUM(O158:Q158)+(K158+SUM(M158:Q158))*(INDEX($U$149:$AB$149,MATCH(Notes!$C$16,$U$3:$AB$3,0))-100%))*$L$149)</f>
        <v>0</v>
      </c>
      <c r="M158" s="286"/>
      <c r="N158" s="286"/>
      <c r="O158" s="285"/>
      <c r="P158" s="285"/>
      <c r="Q158" s="285"/>
      <c r="R158" s="278"/>
      <c r="S158" s="278"/>
      <c r="T158" s="278"/>
    </row>
    <row r="159" spans="1:28" s="305" customFormat="1" hidden="1" outlineLevel="1" x14ac:dyDescent="0.25">
      <c r="A159" s="278"/>
      <c r="B159" s="279" t="str">
        <f t="shared" si="52"/>
        <v/>
      </c>
      <c r="C159" s="278"/>
      <c r="D159" s="278"/>
      <c r="E159" s="278"/>
      <c r="F159" s="278"/>
      <c r="G159" s="278"/>
      <c r="H159" s="290"/>
      <c r="I159" s="280">
        <f t="shared" si="55"/>
        <v>0</v>
      </c>
      <c r="J159" s="281">
        <f t="shared" si="54"/>
        <v>0</v>
      </c>
      <c r="K159" s="282">
        <f>IF(Notes!$B$9="Domestic",I159, IF(Notes!$B$9="Commercial",J159))*$K$149</f>
        <v>0</v>
      </c>
      <c r="L159" s="283">
        <f>IF(SUM(O159:Q159)=0,0,(SUM(O159:Q159)+(K159+SUM(M159:Q159))*(INDEX($U$149:$AB$149,MATCH(Notes!$C$16,$U$3:$AB$3,0))-100%))*$L$149)</f>
        <v>0</v>
      </c>
      <c r="M159" s="286"/>
      <c r="N159" s="286"/>
      <c r="O159" s="285"/>
      <c r="P159" s="285"/>
      <c r="Q159" s="285"/>
      <c r="R159" s="278"/>
      <c r="S159" s="278"/>
      <c r="T159" s="278"/>
    </row>
    <row r="160" spans="1:28" ht="21" hidden="1" outlineLevel="1" x14ac:dyDescent="0.25">
      <c r="A160" s="299"/>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row>
    <row r="161" spans="1:28" ht="15.75" hidden="1" outlineLevel="1" x14ac:dyDescent="0.25">
      <c r="A161" s="291"/>
      <c r="B161" s="291"/>
      <c r="C161" s="291"/>
      <c r="D161" s="291"/>
      <c r="E161" s="291"/>
      <c r="F161" s="291"/>
      <c r="G161" s="291"/>
      <c r="H161" s="291"/>
      <c r="I161" s="291"/>
      <c r="J161" s="291"/>
      <c r="K161" s="291">
        <f>K$2</f>
        <v>1</v>
      </c>
      <c r="L161" s="291">
        <f>L$2</f>
        <v>1</v>
      </c>
      <c r="M161" s="291"/>
      <c r="N161" s="291"/>
      <c r="O161" s="303"/>
      <c r="P161" s="303"/>
      <c r="Q161" s="303"/>
      <c r="R161" s="291"/>
      <c r="S161" s="291"/>
      <c r="T161" s="291"/>
      <c r="U161" s="291">
        <f>U$2</f>
        <v>1</v>
      </c>
      <c r="V161" s="291">
        <f>V$2</f>
        <v>1</v>
      </c>
      <c r="W161" s="291">
        <f t="shared" ref="W161:AB161" si="56">W$2</f>
        <v>1</v>
      </c>
      <c r="X161" s="291">
        <f t="shared" si="56"/>
        <v>1</v>
      </c>
      <c r="Y161" s="291">
        <f t="shared" si="56"/>
        <v>1</v>
      </c>
      <c r="Z161" s="291">
        <f t="shared" si="56"/>
        <v>1</v>
      </c>
      <c r="AA161" s="291">
        <f t="shared" si="56"/>
        <v>1</v>
      </c>
      <c r="AB161" s="291">
        <f t="shared" si="56"/>
        <v>1</v>
      </c>
    </row>
    <row r="162" spans="1:28" s="305" customFormat="1" hidden="1" outlineLevel="1" x14ac:dyDescent="0.25">
      <c r="A162" s="278"/>
      <c r="B162" s="279" t="str">
        <f>C162&amp;D162&amp;E162&amp;F162</f>
        <v/>
      </c>
      <c r="C162" s="278"/>
      <c r="D162" s="278"/>
      <c r="E162" s="278"/>
      <c r="F162" s="278"/>
      <c r="G162" s="278"/>
      <c r="H162" s="290"/>
      <c r="I162" s="280">
        <f>$I$2*H162</f>
        <v>0</v>
      </c>
      <c r="J162" s="281">
        <f>$J$2*H162</f>
        <v>0</v>
      </c>
      <c r="K162" s="282">
        <f>IF(Notes!$B$9="Domestic",I162, IF(Notes!$B$9="Commercial",J162))*$K$161</f>
        <v>0</v>
      </c>
      <c r="L162" s="283">
        <f>IF(SUM(O162:Q162)=0,0,(SUM(O162:Q162)+(K162+SUM(M162:Q162))*(INDEX($U$161:$AB$161,MATCH(Notes!$C$16,$U$3:$AB$3,0))-100%))*$L$161)</f>
        <v>0</v>
      </c>
      <c r="M162" s="286"/>
      <c r="N162" s="286"/>
      <c r="O162" s="285"/>
      <c r="P162" s="285"/>
      <c r="Q162" s="285"/>
      <c r="R162" s="278"/>
      <c r="S162" s="278"/>
      <c r="T162" s="278"/>
    </row>
    <row r="163" spans="1:28" s="305" customFormat="1" hidden="1" outlineLevel="1" x14ac:dyDescent="0.25">
      <c r="A163" s="278"/>
      <c r="B163" s="279" t="str">
        <f t="shared" ref="B163:B171" si="57">C163&amp;D163&amp;E163&amp;F163</f>
        <v/>
      </c>
      <c r="C163" s="278"/>
      <c r="D163" s="278"/>
      <c r="E163" s="278"/>
      <c r="F163" s="278"/>
      <c r="G163" s="278"/>
      <c r="H163" s="290"/>
      <c r="I163" s="280">
        <f t="shared" ref="I163:I165" si="58">$I$2*H163</f>
        <v>0</v>
      </c>
      <c r="J163" s="281">
        <f t="shared" ref="J163:J171" si="59">$J$2*H163</f>
        <v>0</v>
      </c>
      <c r="K163" s="282">
        <f>IF(Notes!$B$9="Domestic",I163, IF(Notes!$B$9="Commercial",J163))*$K$161</f>
        <v>0</v>
      </c>
      <c r="L163" s="283">
        <f>IF(SUM(O163:Q163)=0,0,(SUM(O163:Q163)+(K163+SUM(M163:Q163))*(INDEX($U$161:$AB$161,MATCH(Notes!$C$16,$U$3:$AB$3,0))-100%))*$L$161)</f>
        <v>0</v>
      </c>
      <c r="M163" s="286"/>
      <c r="N163" s="286"/>
      <c r="O163" s="285"/>
      <c r="P163" s="285"/>
      <c r="Q163" s="285"/>
      <c r="R163" s="278"/>
      <c r="S163" s="278"/>
      <c r="T163" s="278"/>
    </row>
    <row r="164" spans="1:28" s="305" customFormat="1" hidden="1" outlineLevel="1" x14ac:dyDescent="0.25">
      <c r="A164" s="278"/>
      <c r="B164" s="279" t="str">
        <f t="shared" si="57"/>
        <v/>
      </c>
      <c r="C164" s="278"/>
      <c r="D164" s="278"/>
      <c r="E164" s="278"/>
      <c r="F164" s="278"/>
      <c r="G164" s="278"/>
      <c r="H164" s="290"/>
      <c r="I164" s="280">
        <f t="shared" si="58"/>
        <v>0</v>
      </c>
      <c r="J164" s="281">
        <f t="shared" si="59"/>
        <v>0</v>
      </c>
      <c r="K164" s="282">
        <f>IF(Notes!$B$9="Domestic",I164, IF(Notes!$B$9="Commercial",J164))*$K$161</f>
        <v>0</v>
      </c>
      <c r="L164" s="283">
        <f>IF(SUM(O164:Q164)=0,0,(SUM(O164:Q164)+(K164+SUM(M164:Q164))*(INDEX($U$161:$AB$161,MATCH(Notes!$C$16,$U$3:$AB$3,0))-100%))*$L$161)</f>
        <v>0</v>
      </c>
      <c r="M164" s="286"/>
      <c r="N164" s="286"/>
      <c r="O164" s="285"/>
      <c r="P164" s="285"/>
      <c r="Q164" s="285"/>
      <c r="R164" s="278"/>
      <c r="S164" s="278"/>
      <c r="T164" s="278"/>
    </row>
    <row r="165" spans="1:28" s="305" customFormat="1" hidden="1" outlineLevel="1" x14ac:dyDescent="0.25">
      <c r="A165" s="278"/>
      <c r="B165" s="279" t="str">
        <f t="shared" si="57"/>
        <v/>
      </c>
      <c r="C165" s="278"/>
      <c r="D165" s="278"/>
      <c r="E165" s="278"/>
      <c r="F165" s="278"/>
      <c r="G165" s="278"/>
      <c r="H165" s="290"/>
      <c r="I165" s="280">
        <f t="shared" si="58"/>
        <v>0</v>
      </c>
      <c r="J165" s="281">
        <f t="shared" si="59"/>
        <v>0</v>
      </c>
      <c r="K165" s="282">
        <f>IF(Notes!$B$9="Domestic",I165, IF(Notes!$B$9="Commercial",J165))*$K$161</f>
        <v>0</v>
      </c>
      <c r="L165" s="283">
        <f>IF(SUM(O165:Q165)=0,0,(SUM(O165:Q165)+(K165+SUM(M165:Q165))*(INDEX($U$161:$AB$161,MATCH(Notes!$C$16,$U$3:$AB$3,0))-100%))*$L$161)</f>
        <v>0</v>
      </c>
      <c r="M165" s="286"/>
      <c r="N165" s="286"/>
      <c r="O165" s="285"/>
      <c r="P165" s="285"/>
      <c r="Q165" s="285"/>
      <c r="R165" s="278"/>
      <c r="S165" s="278"/>
      <c r="T165" s="278"/>
    </row>
    <row r="166" spans="1:28" s="305" customFormat="1" hidden="1" outlineLevel="1" x14ac:dyDescent="0.25">
      <c r="A166" s="278"/>
      <c r="B166" s="279" t="str">
        <f t="shared" si="57"/>
        <v/>
      </c>
      <c r="C166" s="278"/>
      <c r="D166" s="278"/>
      <c r="E166" s="278"/>
      <c r="F166" s="278"/>
      <c r="G166" s="278"/>
      <c r="H166" s="290"/>
      <c r="I166" s="280">
        <f>$I$2*H166</f>
        <v>0</v>
      </c>
      <c r="J166" s="281">
        <f t="shared" si="59"/>
        <v>0</v>
      </c>
      <c r="K166" s="282">
        <f>IF(Notes!$B$9="Domestic",I166, IF(Notes!$B$9="Commercial",J166))*$K$161</f>
        <v>0</v>
      </c>
      <c r="L166" s="283">
        <f>IF(SUM(O166:Q166)=0,0,(SUM(O166:Q166)+(K166+SUM(M166:Q166))*(INDEX($U$161:$AB$161,MATCH(Notes!$C$16,$U$3:$AB$3,0))-100%))*$L$161)</f>
        <v>0</v>
      </c>
      <c r="M166" s="286"/>
      <c r="N166" s="286"/>
      <c r="O166" s="285"/>
      <c r="P166" s="285"/>
      <c r="Q166" s="285"/>
      <c r="R166" s="278"/>
      <c r="S166" s="278"/>
      <c r="T166" s="278"/>
    </row>
    <row r="167" spans="1:28" s="305" customFormat="1" hidden="1" outlineLevel="1" x14ac:dyDescent="0.25">
      <c r="A167" s="278"/>
      <c r="B167" s="279" t="str">
        <f t="shared" si="57"/>
        <v/>
      </c>
      <c r="C167" s="278"/>
      <c r="D167" s="278"/>
      <c r="E167" s="278"/>
      <c r="F167" s="278"/>
      <c r="G167" s="278"/>
      <c r="H167" s="290"/>
      <c r="I167" s="280">
        <f t="shared" ref="I167:I171" si="60">$I$2*H167</f>
        <v>0</v>
      </c>
      <c r="J167" s="281">
        <f t="shared" si="59"/>
        <v>0</v>
      </c>
      <c r="K167" s="282">
        <f>IF(Notes!$B$9="Domestic",I167, IF(Notes!$B$9="Commercial",J167))*$K$161</f>
        <v>0</v>
      </c>
      <c r="L167" s="283">
        <f>IF(SUM(O167:Q167)=0,0,(SUM(O167:Q167)+(K167+SUM(M167:Q167))*(INDEX($U$161:$AB$161,MATCH(Notes!$C$16,$U$3:$AB$3,0))-100%))*$L$161)</f>
        <v>0</v>
      </c>
      <c r="M167" s="286"/>
      <c r="N167" s="286"/>
      <c r="O167" s="285"/>
      <c r="P167" s="285"/>
      <c r="Q167" s="285"/>
      <c r="R167" s="278"/>
      <c r="S167" s="278"/>
      <c r="T167" s="278"/>
    </row>
    <row r="168" spans="1:28" s="305" customFormat="1" hidden="1" outlineLevel="1" x14ac:dyDescent="0.25">
      <c r="A168" s="278"/>
      <c r="B168" s="279" t="str">
        <f t="shared" si="57"/>
        <v/>
      </c>
      <c r="C168" s="278"/>
      <c r="D168" s="278"/>
      <c r="E168" s="278"/>
      <c r="F168" s="278"/>
      <c r="G168" s="278"/>
      <c r="H168" s="290"/>
      <c r="I168" s="280">
        <f t="shared" si="60"/>
        <v>0</v>
      </c>
      <c r="J168" s="281">
        <f t="shared" si="59"/>
        <v>0</v>
      </c>
      <c r="K168" s="282">
        <f>IF(Notes!$B$9="Domestic",I168, IF(Notes!$B$9="Commercial",J168))*$K$161</f>
        <v>0</v>
      </c>
      <c r="L168" s="283">
        <f>IF(SUM(O168:Q168)=0,0,(SUM(O168:Q168)+(K168+SUM(M168:Q168))*(INDEX($U$161:$AB$161,MATCH(Notes!$C$16,$U$3:$AB$3,0))-100%))*$L$161)</f>
        <v>0</v>
      </c>
      <c r="M168" s="286"/>
      <c r="N168" s="286"/>
      <c r="O168" s="285"/>
      <c r="P168" s="285"/>
      <c r="Q168" s="285"/>
      <c r="R168" s="278"/>
      <c r="S168" s="278"/>
      <c r="T168" s="278"/>
    </row>
    <row r="169" spans="1:28" s="305" customFormat="1" hidden="1" outlineLevel="1" x14ac:dyDescent="0.25">
      <c r="A169" s="278"/>
      <c r="B169" s="279" t="str">
        <f t="shared" si="57"/>
        <v/>
      </c>
      <c r="C169" s="278"/>
      <c r="D169" s="278"/>
      <c r="E169" s="278"/>
      <c r="F169" s="278"/>
      <c r="G169" s="278"/>
      <c r="H169" s="290"/>
      <c r="I169" s="280">
        <f t="shared" si="60"/>
        <v>0</v>
      </c>
      <c r="J169" s="281">
        <f t="shared" si="59"/>
        <v>0</v>
      </c>
      <c r="K169" s="282">
        <f>IF(Notes!$B$9="Domestic",I169, IF(Notes!$B$9="Commercial",J169))*$K$161</f>
        <v>0</v>
      </c>
      <c r="L169" s="283">
        <f>IF(SUM(O169:Q169)=0,0,(SUM(O169:Q169)+(K169+SUM(M169:Q169))*(INDEX($U$161:$AB$161,MATCH(Notes!$C$16,$U$3:$AB$3,0))-100%))*$L$161)</f>
        <v>0</v>
      </c>
      <c r="M169" s="286"/>
      <c r="N169" s="286"/>
      <c r="O169" s="285"/>
      <c r="P169" s="285"/>
      <c r="Q169" s="285"/>
      <c r="R169" s="278"/>
      <c r="S169" s="278"/>
      <c r="T169" s="278"/>
    </row>
    <row r="170" spans="1:28" s="305" customFormat="1" hidden="1" outlineLevel="1" x14ac:dyDescent="0.25">
      <c r="A170" s="278"/>
      <c r="B170" s="279" t="str">
        <f t="shared" si="57"/>
        <v/>
      </c>
      <c r="C170" s="278"/>
      <c r="D170" s="278"/>
      <c r="E170" s="278"/>
      <c r="F170" s="278"/>
      <c r="G170" s="278"/>
      <c r="H170" s="290"/>
      <c r="I170" s="280">
        <f t="shared" si="60"/>
        <v>0</v>
      </c>
      <c r="J170" s="281">
        <f t="shared" si="59"/>
        <v>0</v>
      </c>
      <c r="K170" s="282">
        <f>IF(Notes!$B$9="Domestic",I170, IF(Notes!$B$9="Commercial",J170))*$K$161</f>
        <v>0</v>
      </c>
      <c r="L170" s="283">
        <f>IF(SUM(O170:Q170)=0,0,(SUM(O170:Q170)+(K170+SUM(M170:Q170))*(INDEX($U$161:$AB$161,MATCH(Notes!$C$16,$U$3:$AB$3,0))-100%))*$L$161)</f>
        <v>0</v>
      </c>
      <c r="M170" s="286"/>
      <c r="N170" s="286"/>
      <c r="O170" s="285"/>
      <c r="P170" s="285"/>
      <c r="Q170" s="285"/>
      <c r="R170" s="278"/>
      <c r="S170" s="278"/>
      <c r="T170" s="278"/>
    </row>
    <row r="171" spans="1:28" s="305" customFormat="1" hidden="1" outlineLevel="1" x14ac:dyDescent="0.25">
      <c r="A171" s="278"/>
      <c r="B171" s="279" t="str">
        <f t="shared" si="57"/>
        <v/>
      </c>
      <c r="C171" s="278"/>
      <c r="D171" s="278"/>
      <c r="E171" s="278"/>
      <c r="F171" s="278"/>
      <c r="G171" s="278"/>
      <c r="H171" s="290"/>
      <c r="I171" s="280">
        <f t="shared" si="60"/>
        <v>0</v>
      </c>
      <c r="J171" s="281">
        <f t="shared" si="59"/>
        <v>0</v>
      </c>
      <c r="K171" s="282">
        <f>IF(Notes!$B$9="Domestic",I171, IF(Notes!$B$9="Commercial",J171))*$K$161</f>
        <v>0</v>
      </c>
      <c r="L171" s="283">
        <f>IF(SUM(O171:Q171)=0,0,(SUM(O171:Q171)+(K171+SUM(M171:Q171))*(INDEX($U$161:$AB$161,MATCH(Notes!$C$16,$U$3:$AB$3,0))-100%))*$L$161)</f>
        <v>0</v>
      </c>
      <c r="M171" s="286"/>
      <c r="N171" s="286"/>
      <c r="O171" s="285"/>
      <c r="P171" s="285"/>
      <c r="Q171" s="285"/>
      <c r="R171" s="278"/>
      <c r="S171" s="278"/>
      <c r="T171" s="278"/>
    </row>
    <row r="172" spans="1:28" ht="21" hidden="1" outlineLevel="1" x14ac:dyDescent="0.25">
      <c r="A172" s="299"/>
      <c r="B172" s="299"/>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row>
    <row r="173" spans="1:28" ht="15.75" hidden="1" outlineLevel="1" x14ac:dyDescent="0.25">
      <c r="A173" s="291"/>
      <c r="B173" s="291"/>
      <c r="C173" s="291"/>
      <c r="D173" s="291"/>
      <c r="E173" s="291"/>
      <c r="F173" s="291"/>
      <c r="G173" s="291"/>
      <c r="H173" s="291"/>
      <c r="I173" s="291"/>
      <c r="J173" s="291"/>
      <c r="K173" s="291">
        <f>K$2</f>
        <v>1</v>
      </c>
      <c r="L173" s="291">
        <f>L$2</f>
        <v>1</v>
      </c>
      <c r="M173" s="291"/>
      <c r="N173" s="291"/>
      <c r="O173" s="303"/>
      <c r="P173" s="303"/>
      <c r="Q173" s="303"/>
      <c r="R173" s="291"/>
      <c r="S173" s="291"/>
      <c r="T173" s="291"/>
      <c r="U173" s="291">
        <f>U$2</f>
        <v>1</v>
      </c>
      <c r="V173" s="291">
        <f>V$2</f>
        <v>1</v>
      </c>
      <c r="W173" s="291">
        <f t="shared" ref="W173:AB173" si="61">W$2</f>
        <v>1</v>
      </c>
      <c r="X173" s="291">
        <f t="shared" si="61"/>
        <v>1</v>
      </c>
      <c r="Y173" s="291">
        <f t="shared" si="61"/>
        <v>1</v>
      </c>
      <c r="Z173" s="291">
        <f t="shared" si="61"/>
        <v>1</v>
      </c>
      <c r="AA173" s="291">
        <f t="shared" si="61"/>
        <v>1</v>
      </c>
      <c r="AB173" s="291">
        <f t="shared" si="61"/>
        <v>1</v>
      </c>
    </row>
    <row r="174" spans="1:28" s="305" customFormat="1" hidden="1" outlineLevel="1" x14ac:dyDescent="0.25">
      <c r="A174" s="278"/>
      <c r="B174" s="279" t="str">
        <f>C174&amp;D174&amp;E174&amp;F174</f>
        <v/>
      </c>
      <c r="C174" s="278"/>
      <c r="D174" s="278"/>
      <c r="E174" s="278"/>
      <c r="F174" s="278"/>
      <c r="G174" s="278"/>
      <c r="H174" s="290"/>
      <c r="I174" s="280">
        <f>$I$2*H174</f>
        <v>0</v>
      </c>
      <c r="J174" s="281">
        <f>$J$2*H174</f>
        <v>0</v>
      </c>
      <c r="K174" s="282">
        <f>IF(Notes!$B$9="Domestic",I174, IF(Notes!$B$9="Commercial",J174))*$K$173</f>
        <v>0</v>
      </c>
      <c r="L174" s="283">
        <f>IF(SUM(O174:Q174)=0,0,(SUM(O174:Q174)+(K174+SUM(M174:Q174))*(INDEX($U$173:$AB$173,MATCH(Notes!$C$16,$U$3:$AB$3,0))-100%))*$L$173)</f>
        <v>0</v>
      </c>
      <c r="M174" s="286"/>
      <c r="N174" s="286"/>
      <c r="O174" s="285"/>
      <c r="P174" s="285"/>
      <c r="Q174" s="285"/>
      <c r="R174" s="278"/>
      <c r="S174" s="278"/>
      <c r="T174" s="278"/>
    </row>
    <row r="175" spans="1:28" s="305" customFormat="1" hidden="1" outlineLevel="1" x14ac:dyDescent="0.25">
      <c r="A175" s="278"/>
      <c r="B175" s="279" t="str">
        <f t="shared" ref="B175:B183" si="62">C175&amp;D175&amp;E175&amp;F175</f>
        <v/>
      </c>
      <c r="C175" s="278"/>
      <c r="D175" s="278"/>
      <c r="E175" s="278"/>
      <c r="F175" s="278"/>
      <c r="G175" s="278"/>
      <c r="H175" s="290"/>
      <c r="I175" s="280">
        <f t="shared" ref="I175:I177" si="63">$I$2*H175</f>
        <v>0</v>
      </c>
      <c r="J175" s="281">
        <f t="shared" ref="J175:J183" si="64">$J$2*H175</f>
        <v>0</v>
      </c>
      <c r="K175" s="282">
        <f>IF(Notes!$B$9="Domestic",I175, IF(Notes!$B$9="Commercial",J175))*$K$173</f>
        <v>0</v>
      </c>
      <c r="L175" s="283">
        <f>IF(SUM(O175:Q175)=0,0,(SUM(O175:Q175)+(K175+SUM(M175:Q175))*(INDEX($U$173:$AB$173,MATCH(Notes!$C$16,$U$3:$AB$3,0))-100%))*$L$173)</f>
        <v>0</v>
      </c>
      <c r="M175" s="286"/>
      <c r="N175" s="286"/>
      <c r="O175" s="285"/>
      <c r="P175" s="285"/>
      <c r="Q175" s="285"/>
      <c r="R175" s="278"/>
      <c r="S175" s="278"/>
      <c r="T175" s="278"/>
    </row>
    <row r="176" spans="1:28" s="305" customFormat="1" hidden="1" outlineLevel="1" x14ac:dyDescent="0.25">
      <c r="A176" s="278"/>
      <c r="B176" s="279" t="str">
        <f t="shared" si="62"/>
        <v/>
      </c>
      <c r="C176" s="278"/>
      <c r="D176" s="278"/>
      <c r="E176" s="278"/>
      <c r="F176" s="278"/>
      <c r="G176" s="278"/>
      <c r="H176" s="290"/>
      <c r="I176" s="280">
        <f t="shared" si="63"/>
        <v>0</v>
      </c>
      <c r="J176" s="281">
        <f t="shared" si="64"/>
        <v>0</v>
      </c>
      <c r="K176" s="282">
        <f>IF(Notes!$B$9="Domestic",I176, IF(Notes!$B$9="Commercial",J176))*$K$173</f>
        <v>0</v>
      </c>
      <c r="L176" s="283">
        <f>IF(SUM(O176:Q176)=0,0,(SUM(O176:Q176)+(K176+SUM(M176:Q176))*(INDEX($U$173:$AB$173,MATCH(Notes!$C$16,$U$3:$AB$3,0))-100%))*$L$173)</f>
        <v>0</v>
      </c>
      <c r="M176" s="286"/>
      <c r="N176" s="286"/>
      <c r="O176" s="285"/>
      <c r="P176" s="285"/>
      <c r="Q176" s="285"/>
      <c r="R176" s="278"/>
      <c r="S176" s="278"/>
      <c r="T176" s="278"/>
    </row>
    <row r="177" spans="1:28" s="305" customFormat="1" hidden="1" outlineLevel="1" x14ac:dyDescent="0.25">
      <c r="A177" s="278"/>
      <c r="B177" s="279" t="str">
        <f t="shared" si="62"/>
        <v/>
      </c>
      <c r="C177" s="278"/>
      <c r="D177" s="278"/>
      <c r="E177" s="278"/>
      <c r="F177" s="278"/>
      <c r="G177" s="278"/>
      <c r="H177" s="290"/>
      <c r="I177" s="280">
        <f t="shared" si="63"/>
        <v>0</v>
      </c>
      <c r="J177" s="281">
        <f t="shared" si="64"/>
        <v>0</v>
      </c>
      <c r="K177" s="282">
        <f>IF(Notes!$B$9="Domestic",I177, IF(Notes!$B$9="Commercial",J177))*$K$173</f>
        <v>0</v>
      </c>
      <c r="L177" s="283">
        <f>IF(SUM(O177:Q177)=0,0,(SUM(O177:Q177)+(K177+SUM(M177:Q177))*(INDEX($U$173:$AB$173,MATCH(Notes!$C$16,$U$3:$AB$3,0))-100%))*$L$173)</f>
        <v>0</v>
      </c>
      <c r="M177" s="286"/>
      <c r="N177" s="286"/>
      <c r="O177" s="285"/>
      <c r="P177" s="285"/>
      <c r="Q177" s="285"/>
      <c r="R177" s="278"/>
      <c r="S177" s="278"/>
      <c r="T177" s="278"/>
    </row>
    <row r="178" spans="1:28" s="305" customFormat="1" hidden="1" outlineLevel="1" x14ac:dyDescent="0.25">
      <c r="A178" s="278"/>
      <c r="B178" s="279" t="str">
        <f t="shared" si="62"/>
        <v/>
      </c>
      <c r="C178" s="278"/>
      <c r="D178" s="278"/>
      <c r="E178" s="278"/>
      <c r="F178" s="278"/>
      <c r="G178" s="278"/>
      <c r="H178" s="290"/>
      <c r="I178" s="280">
        <f>$I$2*H178</f>
        <v>0</v>
      </c>
      <c r="J178" s="281">
        <f t="shared" si="64"/>
        <v>0</v>
      </c>
      <c r="K178" s="282">
        <f>IF(Notes!$B$9="Domestic",I178, IF(Notes!$B$9="Commercial",J178))*$K$173</f>
        <v>0</v>
      </c>
      <c r="L178" s="283">
        <f>IF(SUM(O178:Q178)=0,0,(SUM(O178:Q178)+(K178+SUM(M178:Q178))*(INDEX($U$173:$AB$173,MATCH(Notes!$C$16,$U$3:$AB$3,0))-100%))*$L$173)</f>
        <v>0</v>
      </c>
      <c r="M178" s="286"/>
      <c r="N178" s="286"/>
      <c r="O178" s="285"/>
      <c r="P178" s="285"/>
      <c r="Q178" s="285"/>
      <c r="R178" s="278"/>
      <c r="S178" s="278"/>
      <c r="T178" s="278"/>
    </row>
    <row r="179" spans="1:28" s="305" customFormat="1" hidden="1" outlineLevel="1" x14ac:dyDescent="0.25">
      <c r="A179" s="278"/>
      <c r="B179" s="279" t="str">
        <f t="shared" si="62"/>
        <v/>
      </c>
      <c r="C179" s="278"/>
      <c r="D179" s="278"/>
      <c r="E179" s="278"/>
      <c r="F179" s="278"/>
      <c r="G179" s="278"/>
      <c r="H179" s="290"/>
      <c r="I179" s="280">
        <f t="shared" ref="I179:I183" si="65">$I$2*H179</f>
        <v>0</v>
      </c>
      <c r="J179" s="281">
        <f t="shared" si="64"/>
        <v>0</v>
      </c>
      <c r="K179" s="282">
        <f>IF(Notes!$B$9="Domestic",I179, IF(Notes!$B$9="Commercial",J179))*$K$173</f>
        <v>0</v>
      </c>
      <c r="L179" s="283">
        <f>IF(SUM(O179:Q179)=0,0,(SUM(O179:Q179)+(K179+SUM(M179:Q179))*(INDEX($U$173:$AB$173,MATCH(Notes!$C$16,$U$3:$AB$3,0))-100%))*$L$173)</f>
        <v>0</v>
      </c>
      <c r="M179" s="286"/>
      <c r="N179" s="286"/>
      <c r="O179" s="285"/>
      <c r="P179" s="285"/>
      <c r="Q179" s="285"/>
      <c r="R179" s="278"/>
      <c r="S179" s="278"/>
      <c r="T179" s="278"/>
    </row>
    <row r="180" spans="1:28" s="305" customFormat="1" hidden="1" outlineLevel="1" x14ac:dyDescent="0.25">
      <c r="A180" s="278"/>
      <c r="B180" s="279" t="str">
        <f t="shared" si="62"/>
        <v/>
      </c>
      <c r="C180" s="278"/>
      <c r="D180" s="278"/>
      <c r="E180" s="278"/>
      <c r="F180" s="278"/>
      <c r="G180" s="278"/>
      <c r="H180" s="290"/>
      <c r="I180" s="280">
        <f t="shared" si="65"/>
        <v>0</v>
      </c>
      <c r="J180" s="281">
        <f t="shared" si="64"/>
        <v>0</v>
      </c>
      <c r="K180" s="282">
        <f>IF(Notes!$B$9="Domestic",I180, IF(Notes!$B$9="Commercial",J180))*$K$173</f>
        <v>0</v>
      </c>
      <c r="L180" s="283">
        <f>IF(SUM(O180:Q180)=0,0,(SUM(O180:Q180)+(K180+SUM(M180:Q180))*(INDEX($U$173:$AB$173,MATCH(Notes!$C$16,$U$3:$AB$3,0))-100%))*$L$173)</f>
        <v>0</v>
      </c>
      <c r="M180" s="286"/>
      <c r="N180" s="286"/>
      <c r="O180" s="285"/>
      <c r="P180" s="285"/>
      <c r="Q180" s="285"/>
      <c r="R180" s="278"/>
      <c r="S180" s="278"/>
      <c r="T180" s="278"/>
    </row>
    <row r="181" spans="1:28" s="305" customFormat="1" hidden="1" outlineLevel="1" x14ac:dyDescent="0.25">
      <c r="A181" s="278"/>
      <c r="B181" s="279" t="str">
        <f t="shared" si="62"/>
        <v/>
      </c>
      <c r="C181" s="278"/>
      <c r="D181" s="278"/>
      <c r="E181" s="278"/>
      <c r="F181" s="278"/>
      <c r="G181" s="278"/>
      <c r="H181" s="290"/>
      <c r="I181" s="280">
        <f t="shared" si="65"/>
        <v>0</v>
      </c>
      <c r="J181" s="281">
        <f t="shared" si="64"/>
        <v>0</v>
      </c>
      <c r="K181" s="282">
        <f>IF(Notes!$B$9="Domestic",I181, IF(Notes!$B$9="Commercial",J181))*$K$173</f>
        <v>0</v>
      </c>
      <c r="L181" s="283">
        <f>IF(SUM(O181:Q181)=0,0,(SUM(O181:Q181)+(K181+SUM(M181:Q181))*(INDEX($U$173:$AB$173,MATCH(Notes!$C$16,$U$3:$AB$3,0))-100%))*$L$173)</f>
        <v>0</v>
      </c>
      <c r="M181" s="286"/>
      <c r="N181" s="286"/>
      <c r="O181" s="285"/>
      <c r="P181" s="285"/>
      <c r="Q181" s="285"/>
      <c r="R181" s="278"/>
      <c r="S181" s="278"/>
      <c r="T181" s="278"/>
    </row>
    <row r="182" spans="1:28" s="305" customFormat="1" hidden="1" outlineLevel="1" x14ac:dyDescent="0.25">
      <c r="A182" s="278"/>
      <c r="B182" s="279" t="str">
        <f t="shared" si="62"/>
        <v/>
      </c>
      <c r="C182" s="278"/>
      <c r="D182" s="278"/>
      <c r="E182" s="278"/>
      <c r="F182" s="278"/>
      <c r="G182" s="278"/>
      <c r="H182" s="290"/>
      <c r="I182" s="280">
        <f t="shared" si="65"/>
        <v>0</v>
      </c>
      <c r="J182" s="281">
        <f t="shared" si="64"/>
        <v>0</v>
      </c>
      <c r="K182" s="282">
        <f>IF(Notes!$B$9="Domestic",I182, IF(Notes!$B$9="Commercial",J182))*$K$173</f>
        <v>0</v>
      </c>
      <c r="L182" s="283">
        <f>IF(SUM(O182:Q182)=0,0,(SUM(O182:Q182)+(K182+SUM(M182:Q182))*(INDEX($U$173:$AB$173,MATCH(Notes!$C$16,$U$3:$AB$3,0))-100%))*$L$173)</f>
        <v>0</v>
      </c>
      <c r="M182" s="286"/>
      <c r="N182" s="286"/>
      <c r="O182" s="285"/>
      <c r="P182" s="285"/>
      <c r="Q182" s="285"/>
      <c r="R182" s="278"/>
      <c r="S182" s="278"/>
      <c r="T182" s="278"/>
    </row>
    <row r="183" spans="1:28" s="305" customFormat="1" hidden="1" outlineLevel="1" x14ac:dyDescent="0.25">
      <c r="A183" s="278"/>
      <c r="B183" s="279" t="str">
        <f t="shared" si="62"/>
        <v/>
      </c>
      <c r="C183" s="278"/>
      <c r="D183" s="278"/>
      <c r="E183" s="278"/>
      <c r="F183" s="278"/>
      <c r="G183" s="278"/>
      <c r="H183" s="290"/>
      <c r="I183" s="280">
        <f t="shared" si="65"/>
        <v>0</v>
      </c>
      <c r="J183" s="281">
        <f t="shared" si="64"/>
        <v>0</v>
      </c>
      <c r="K183" s="282">
        <f>IF(Notes!$B$9="Domestic",I183, IF(Notes!$B$9="Commercial",J183))*$K$173</f>
        <v>0</v>
      </c>
      <c r="L183" s="283">
        <f>IF(SUM(O183:Q183)=0,0,(SUM(O183:Q183)+(K183+SUM(M183:Q183))*(INDEX($U$173:$AB$173,MATCH(Notes!$C$16,$U$3:$AB$3,0))-100%))*$L$173)</f>
        <v>0</v>
      </c>
      <c r="M183" s="286"/>
      <c r="N183" s="286"/>
      <c r="O183" s="285"/>
      <c r="P183" s="285"/>
      <c r="Q183" s="285"/>
      <c r="R183" s="278"/>
      <c r="S183" s="278"/>
      <c r="T183" s="278"/>
    </row>
    <row r="184" spans="1:28" ht="21" hidden="1" outlineLevel="1" x14ac:dyDescent="0.25">
      <c r="A184" s="299"/>
      <c r="B184" s="299"/>
      <c r="C184" s="299"/>
      <c r="D184" s="299"/>
      <c r="E184" s="299"/>
      <c r="F184" s="299"/>
      <c r="G184" s="299"/>
      <c r="H184" s="299"/>
      <c r="I184" s="299"/>
      <c r="J184" s="299"/>
      <c r="K184" s="299"/>
      <c r="L184" s="299"/>
      <c r="M184" s="299"/>
      <c r="N184" s="299"/>
      <c r="O184" s="299"/>
      <c r="P184" s="299"/>
      <c r="Q184" s="299"/>
      <c r="R184" s="299"/>
      <c r="S184" s="299"/>
      <c r="T184" s="299"/>
      <c r="U184" s="299"/>
      <c r="V184" s="299"/>
      <c r="W184" s="299"/>
      <c r="X184" s="299"/>
      <c r="Y184" s="299"/>
      <c r="Z184" s="299"/>
      <c r="AA184" s="299"/>
      <c r="AB184" s="299"/>
    </row>
    <row r="185" spans="1:28" ht="15.75" hidden="1" outlineLevel="1" x14ac:dyDescent="0.25">
      <c r="A185" s="291"/>
      <c r="B185" s="291"/>
      <c r="C185" s="291"/>
      <c r="D185" s="291"/>
      <c r="E185" s="291"/>
      <c r="F185" s="291"/>
      <c r="G185" s="291"/>
      <c r="H185" s="291"/>
      <c r="I185" s="291"/>
      <c r="J185" s="291"/>
      <c r="K185" s="291">
        <f>K$2</f>
        <v>1</v>
      </c>
      <c r="L185" s="291">
        <f>L$2</f>
        <v>1</v>
      </c>
      <c r="M185" s="291"/>
      <c r="N185" s="291"/>
      <c r="O185" s="303"/>
      <c r="P185" s="303"/>
      <c r="Q185" s="303"/>
      <c r="R185" s="291"/>
      <c r="S185" s="291"/>
      <c r="T185" s="291"/>
      <c r="U185" s="291">
        <f>U$2</f>
        <v>1</v>
      </c>
      <c r="V185" s="291">
        <f>V$2</f>
        <v>1</v>
      </c>
      <c r="W185" s="291">
        <f t="shared" ref="W185:AB185" si="66">W$2</f>
        <v>1</v>
      </c>
      <c r="X185" s="291">
        <f t="shared" si="66"/>
        <v>1</v>
      </c>
      <c r="Y185" s="291">
        <f t="shared" si="66"/>
        <v>1</v>
      </c>
      <c r="Z185" s="291">
        <f t="shared" si="66"/>
        <v>1</v>
      </c>
      <c r="AA185" s="291">
        <f t="shared" si="66"/>
        <v>1</v>
      </c>
      <c r="AB185" s="291">
        <f t="shared" si="66"/>
        <v>1</v>
      </c>
    </row>
    <row r="186" spans="1:28" s="305" customFormat="1" hidden="1" outlineLevel="1" x14ac:dyDescent="0.25">
      <c r="A186" s="278"/>
      <c r="B186" s="279" t="str">
        <f>C186&amp;D186&amp;E186&amp;F186</f>
        <v/>
      </c>
      <c r="C186" s="278"/>
      <c r="D186" s="278"/>
      <c r="E186" s="278"/>
      <c r="F186" s="278"/>
      <c r="G186" s="278"/>
      <c r="H186" s="290"/>
      <c r="I186" s="280">
        <f>$I$2*H186</f>
        <v>0</v>
      </c>
      <c r="J186" s="281">
        <f>$J$2*H186</f>
        <v>0</v>
      </c>
      <c r="K186" s="282">
        <f>IF(Notes!$B$9="Domestic",I186, IF(Notes!$B$9="Commercial",J186))*$K$185</f>
        <v>0</v>
      </c>
      <c r="L186" s="283">
        <f>IF(SUM(O186:Q186)=0,0,(SUM(O186:Q186)+(K186+SUM(M186:Q186))*(INDEX($U$185:$AB$185,MATCH(Notes!$C$16,$U$3:$AB$3,0))-100%))*$L$185)</f>
        <v>0</v>
      </c>
      <c r="M186" s="286"/>
      <c r="N186" s="286"/>
      <c r="O186" s="285"/>
      <c r="P186" s="285"/>
      <c r="Q186" s="285"/>
      <c r="R186" s="278"/>
      <c r="S186" s="278"/>
      <c r="T186" s="278"/>
    </row>
    <row r="187" spans="1:28" s="305" customFormat="1" hidden="1" outlineLevel="1" x14ac:dyDescent="0.25">
      <c r="A187" s="278"/>
      <c r="B187" s="279" t="str">
        <f t="shared" ref="B187:B195" si="67">C187&amp;D187&amp;E187&amp;F187</f>
        <v/>
      </c>
      <c r="C187" s="278"/>
      <c r="D187" s="278"/>
      <c r="E187" s="278"/>
      <c r="F187" s="278"/>
      <c r="G187" s="278"/>
      <c r="H187" s="290"/>
      <c r="I187" s="280">
        <f t="shared" ref="I187:I189" si="68">$I$2*H187</f>
        <v>0</v>
      </c>
      <c r="J187" s="281">
        <f t="shared" ref="J187:J195" si="69">$J$2*H187</f>
        <v>0</v>
      </c>
      <c r="K187" s="282">
        <f>IF(Notes!$B$9="Domestic",I187, IF(Notes!$B$9="Commercial",J187))*$K$185</f>
        <v>0</v>
      </c>
      <c r="L187" s="283">
        <f>IF(SUM(O187:Q187)=0,0,(SUM(O187:Q187)+(K187+SUM(M187:Q187))*(INDEX($U$185:$AB$185,MATCH(Notes!$C$16,$U$3:$AB$3,0))-100%))*$L$185)</f>
        <v>0</v>
      </c>
      <c r="M187" s="286"/>
      <c r="N187" s="286"/>
      <c r="O187" s="285"/>
      <c r="P187" s="285"/>
      <c r="Q187" s="285"/>
      <c r="R187" s="278"/>
      <c r="S187" s="278"/>
      <c r="T187" s="278"/>
    </row>
    <row r="188" spans="1:28" s="305" customFormat="1" hidden="1" outlineLevel="1" x14ac:dyDescent="0.25">
      <c r="A188" s="278"/>
      <c r="B188" s="279" t="str">
        <f t="shared" si="67"/>
        <v/>
      </c>
      <c r="C188" s="278"/>
      <c r="D188" s="278"/>
      <c r="E188" s="278"/>
      <c r="F188" s="278"/>
      <c r="G188" s="278"/>
      <c r="H188" s="290"/>
      <c r="I188" s="280">
        <f t="shared" si="68"/>
        <v>0</v>
      </c>
      <c r="J188" s="281">
        <f t="shared" si="69"/>
        <v>0</v>
      </c>
      <c r="K188" s="282">
        <f>IF(Notes!$B$9="Domestic",I188, IF(Notes!$B$9="Commercial",J188))*$K$185</f>
        <v>0</v>
      </c>
      <c r="L188" s="283">
        <f>IF(SUM(O188:Q188)=0,0,(SUM(O188:Q188)+(K188+SUM(M188:Q188))*(INDEX($U$185:$AB$185,MATCH(Notes!$C$16,$U$3:$AB$3,0))-100%))*$L$185)</f>
        <v>0</v>
      </c>
      <c r="M188" s="286"/>
      <c r="N188" s="286"/>
      <c r="O188" s="285"/>
      <c r="P188" s="285"/>
      <c r="Q188" s="285"/>
      <c r="R188" s="278"/>
      <c r="S188" s="278"/>
      <c r="T188" s="278"/>
    </row>
    <row r="189" spans="1:28" s="305" customFormat="1" hidden="1" outlineLevel="1" x14ac:dyDescent="0.25">
      <c r="A189" s="278"/>
      <c r="B189" s="279" t="str">
        <f t="shared" si="67"/>
        <v/>
      </c>
      <c r="C189" s="278"/>
      <c r="D189" s="278"/>
      <c r="E189" s="278"/>
      <c r="F189" s="278"/>
      <c r="G189" s="278"/>
      <c r="H189" s="290"/>
      <c r="I189" s="280">
        <f t="shared" si="68"/>
        <v>0</v>
      </c>
      <c r="J189" s="281">
        <f t="shared" si="69"/>
        <v>0</v>
      </c>
      <c r="K189" s="282">
        <f>IF(Notes!$B$9="Domestic",I189, IF(Notes!$B$9="Commercial",J189))*$K$185</f>
        <v>0</v>
      </c>
      <c r="L189" s="283">
        <f>IF(SUM(O189:Q189)=0,0,(SUM(O189:Q189)+(K189+SUM(M189:Q189))*(INDEX($U$185:$AB$185,MATCH(Notes!$C$16,$U$3:$AB$3,0))-100%))*$L$185)</f>
        <v>0</v>
      </c>
      <c r="M189" s="286"/>
      <c r="N189" s="286"/>
      <c r="O189" s="285"/>
      <c r="P189" s="285"/>
      <c r="Q189" s="285"/>
      <c r="R189" s="278"/>
      <c r="S189" s="278"/>
      <c r="T189" s="278"/>
    </row>
    <row r="190" spans="1:28" s="305" customFormat="1" hidden="1" outlineLevel="1" x14ac:dyDescent="0.25">
      <c r="A190" s="278"/>
      <c r="B190" s="279" t="str">
        <f t="shared" si="67"/>
        <v/>
      </c>
      <c r="C190" s="278"/>
      <c r="D190" s="278"/>
      <c r="E190" s="278"/>
      <c r="F190" s="278"/>
      <c r="G190" s="278"/>
      <c r="H190" s="290"/>
      <c r="I190" s="280">
        <f>$I$2*H190</f>
        <v>0</v>
      </c>
      <c r="J190" s="281">
        <f t="shared" si="69"/>
        <v>0</v>
      </c>
      <c r="K190" s="282">
        <f>IF(Notes!$B$9="Domestic",I190, IF(Notes!$B$9="Commercial",J190))*$K$185</f>
        <v>0</v>
      </c>
      <c r="L190" s="283">
        <f>IF(SUM(O190:Q190)=0,0,(SUM(O190:Q190)+(K190+SUM(M190:Q190))*(INDEX($U$185:$AB$185,MATCH(Notes!$C$16,$U$3:$AB$3,0))-100%))*$L$185)</f>
        <v>0</v>
      </c>
      <c r="M190" s="286"/>
      <c r="N190" s="286"/>
      <c r="O190" s="285"/>
      <c r="P190" s="285"/>
      <c r="Q190" s="285"/>
      <c r="R190" s="278"/>
      <c r="S190" s="278"/>
      <c r="T190" s="278"/>
    </row>
    <row r="191" spans="1:28" s="305" customFormat="1" hidden="1" outlineLevel="1" x14ac:dyDescent="0.25">
      <c r="A191" s="278"/>
      <c r="B191" s="279" t="str">
        <f t="shared" si="67"/>
        <v/>
      </c>
      <c r="C191" s="278"/>
      <c r="D191" s="278"/>
      <c r="E191" s="278"/>
      <c r="F191" s="278"/>
      <c r="G191" s="278"/>
      <c r="H191" s="290"/>
      <c r="I191" s="280">
        <f t="shared" ref="I191:I195" si="70">$I$2*H191</f>
        <v>0</v>
      </c>
      <c r="J191" s="281">
        <f t="shared" si="69"/>
        <v>0</v>
      </c>
      <c r="K191" s="282">
        <f>IF(Notes!$B$9="Domestic",I191, IF(Notes!$B$9="Commercial",J191))*$K$185</f>
        <v>0</v>
      </c>
      <c r="L191" s="283">
        <f>IF(SUM(O191:Q191)=0,0,(SUM(O191:Q191)+(K191+SUM(M191:Q191))*(INDEX($U$185:$AB$185,MATCH(Notes!$C$16,$U$3:$AB$3,0))-100%))*$L$185)</f>
        <v>0</v>
      </c>
      <c r="M191" s="286"/>
      <c r="N191" s="286"/>
      <c r="O191" s="285"/>
      <c r="P191" s="285"/>
      <c r="Q191" s="285"/>
      <c r="R191" s="278"/>
      <c r="S191" s="278"/>
      <c r="T191" s="278"/>
    </row>
    <row r="192" spans="1:28" s="305" customFormat="1" hidden="1" outlineLevel="1" x14ac:dyDescent="0.25">
      <c r="A192" s="278"/>
      <c r="B192" s="279" t="str">
        <f t="shared" si="67"/>
        <v/>
      </c>
      <c r="C192" s="278"/>
      <c r="D192" s="278"/>
      <c r="E192" s="278"/>
      <c r="F192" s="278"/>
      <c r="G192" s="278"/>
      <c r="H192" s="290"/>
      <c r="I192" s="280">
        <f t="shared" si="70"/>
        <v>0</v>
      </c>
      <c r="J192" s="281">
        <f t="shared" si="69"/>
        <v>0</v>
      </c>
      <c r="K192" s="282">
        <f>IF(Notes!$B$9="Domestic",I192, IF(Notes!$B$9="Commercial",J192))*$K$185</f>
        <v>0</v>
      </c>
      <c r="L192" s="283">
        <f>IF(SUM(O192:Q192)=0,0,(SUM(O192:Q192)+(K192+SUM(M192:Q192))*(INDEX($U$185:$AB$185,MATCH(Notes!$C$16,$U$3:$AB$3,0))-100%))*$L$185)</f>
        <v>0</v>
      </c>
      <c r="M192" s="286"/>
      <c r="N192" s="286"/>
      <c r="O192" s="285"/>
      <c r="P192" s="285"/>
      <c r="Q192" s="285"/>
      <c r="R192" s="278"/>
      <c r="S192" s="278"/>
      <c r="T192" s="278"/>
    </row>
    <row r="193" spans="1:28" s="305" customFormat="1" hidden="1" outlineLevel="1" x14ac:dyDescent="0.25">
      <c r="A193" s="278"/>
      <c r="B193" s="279" t="str">
        <f t="shared" si="67"/>
        <v/>
      </c>
      <c r="C193" s="278"/>
      <c r="D193" s="278"/>
      <c r="E193" s="278"/>
      <c r="F193" s="278"/>
      <c r="G193" s="278"/>
      <c r="H193" s="290"/>
      <c r="I193" s="280">
        <f t="shared" si="70"/>
        <v>0</v>
      </c>
      <c r="J193" s="281">
        <f t="shared" si="69"/>
        <v>0</v>
      </c>
      <c r="K193" s="282">
        <f>IF(Notes!$B$9="Domestic",I193, IF(Notes!$B$9="Commercial",J193))*$K$185</f>
        <v>0</v>
      </c>
      <c r="L193" s="283">
        <f>IF(SUM(O193:Q193)=0,0,(SUM(O193:Q193)+(K193+SUM(M193:Q193))*(INDEX($U$185:$AB$185,MATCH(Notes!$C$16,$U$3:$AB$3,0))-100%))*$L$185)</f>
        <v>0</v>
      </c>
      <c r="M193" s="286"/>
      <c r="N193" s="286"/>
      <c r="O193" s="285"/>
      <c r="P193" s="285"/>
      <c r="Q193" s="285"/>
      <c r="R193" s="278"/>
      <c r="S193" s="278"/>
      <c r="T193" s="278"/>
    </row>
    <row r="194" spans="1:28" s="305" customFormat="1" hidden="1" outlineLevel="1" x14ac:dyDescent="0.25">
      <c r="A194" s="278"/>
      <c r="B194" s="279" t="str">
        <f t="shared" si="67"/>
        <v/>
      </c>
      <c r="C194" s="278"/>
      <c r="D194" s="278"/>
      <c r="E194" s="278"/>
      <c r="F194" s="278"/>
      <c r="G194" s="278"/>
      <c r="H194" s="290"/>
      <c r="I194" s="280">
        <f t="shared" si="70"/>
        <v>0</v>
      </c>
      <c r="J194" s="281">
        <f t="shared" si="69"/>
        <v>0</v>
      </c>
      <c r="K194" s="282">
        <f>IF(Notes!$B$9="Domestic",I194, IF(Notes!$B$9="Commercial",J194))*$K$185</f>
        <v>0</v>
      </c>
      <c r="L194" s="283">
        <f>IF(SUM(O194:Q194)=0,0,(SUM(O194:Q194)+(K194+SUM(M194:Q194))*(INDEX($U$185:$AB$185,MATCH(Notes!$C$16,$U$3:$AB$3,0))-100%))*$L$185)</f>
        <v>0</v>
      </c>
      <c r="M194" s="286"/>
      <c r="N194" s="286"/>
      <c r="O194" s="285"/>
      <c r="P194" s="285"/>
      <c r="Q194" s="285"/>
      <c r="R194" s="278"/>
      <c r="S194" s="278"/>
      <c r="T194" s="278"/>
    </row>
    <row r="195" spans="1:28" s="305" customFormat="1" hidden="1" outlineLevel="1" x14ac:dyDescent="0.25">
      <c r="A195" s="278"/>
      <c r="B195" s="279" t="str">
        <f t="shared" si="67"/>
        <v/>
      </c>
      <c r="C195" s="278"/>
      <c r="D195" s="278"/>
      <c r="E195" s="278"/>
      <c r="F195" s="278"/>
      <c r="G195" s="278"/>
      <c r="H195" s="290"/>
      <c r="I195" s="280">
        <f t="shared" si="70"/>
        <v>0</v>
      </c>
      <c r="J195" s="281">
        <f t="shared" si="69"/>
        <v>0</v>
      </c>
      <c r="K195" s="282">
        <f>IF(Notes!$B$9="Domestic",I195, IF(Notes!$B$9="Commercial",J195))*$K$185</f>
        <v>0</v>
      </c>
      <c r="L195" s="283">
        <f>IF(SUM(O195:Q195)=0,0,(SUM(O195:Q195)+(K195+SUM(M195:Q195))*(INDEX($U$185:$AB$185,MATCH(Notes!$C$16,$U$3:$AB$3,0))-100%))*$L$185)</f>
        <v>0</v>
      </c>
      <c r="M195" s="286"/>
      <c r="N195" s="286"/>
      <c r="O195" s="285"/>
      <c r="P195" s="285"/>
      <c r="Q195" s="285"/>
      <c r="R195" s="278"/>
      <c r="S195" s="278"/>
      <c r="T195" s="278"/>
    </row>
    <row r="196" spans="1:28" ht="21" hidden="1" outlineLevel="1" x14ac:dyDescent="0.25">
      <c r="A196" s="299"/>
      <c r="B196" s="299"/>
      <c r="C196" s="299"/>
      <c r="D196" s="299"/>
      <c r="E196" s="299"/>
      <c r="F196" s="299"/>
      <c r="G196" s="299"/>
      <c r="H196" s="299"/>
      <c r="I196" s="299"/>
      <c r="J196" s="299"/>
      <c r="K196" s="299"/>
      <c r="L196" s="299"/>
      <c r="M196" s="299"/>
      <c r="N196" s="299"/>
      <c r="O196" s="299"/>
      <c r="P196" s="299"/>
      <c r="Q196" s="299"/>
      <c r="R196" s="299"/>
      <c r="S196" s="299"/>
      <c r="T196" s="299"/>
      <c r="U196" s="299"/>
      <c r="V196" s="299"/>
      <c r="W196" s="299"/>
      <c r="X196" s="299"/>
      <c r="Y196" s="299"/>
      <c r="Z196" s="299"/>
      <c r="AA196" s="299"/>
      <c r="AB196" s="299"/>
    </row>
    <row r="197" spans="1:28" ht="15.75" hidden="1" outlineLevel="1" x14ac:dyDescent="0.25">
      <c r="A197" s="291"/>
      <c r="B197" s="291"/>
      <c r="C197" s="291"/>
      <c r="D197" s="291"/>
      <c r="E197" s="291"/>
      <c r="F197" s="291"/>
      <c r="G197" s="291"/>
      <c r="H197" s="291"/>
      <c r="I197" s="291"/>
      <c r="J197" s="291"/>
      <c r="K197" s="291">
        <f>K$2</f>
        <v>1</v>
      </c>
      <c r="L197" s="291">
        <f>L$2</f>
        <v>1</v>
      </c>
      <c r="M197" s="291"/>
      <c r="N197" s="291"/>
      <c r="O197" s="303"/>
      <c r="P197" s="303"/>
      <c r="Q197" s="303"/>
      <c r="R197" s="291"/>
      <c r="S197" s="291"/>
      <c r="T197" s="291"/>
      <c r="U197" s="291">
        <f>U$2</f>
        <v>1</v>
      </c>
      <c r="V197" s="291">
        <f>V$2</f>
        <v>1</v>
      </c>
      <c r="W197" s="291">
        <f t="shared" ref="W197:AB197" si="71">W$2</f>
        <v>1</v>
      </c>
      <c r="X197" s="291">
        <f t="shared" si="71"/>
        <v>1</v>
      </c>
      <c r="Y197" s="291">
        <f t="shared" si="71"/>
        <v>1</v>
      </c>
      <c r="Z197" s="291">
        <f t="shared" si="71"/>
        <v>1</v>
      </c>
      <c r="AA197" s="291">
        <f t="shared" si="71"/>
        <v>1</v>
      </c>
      <c r="AB197" s="291">
        <f t="shared" si="71"/>
        <v>1</v>
      </c>
    </row>
    <row r="198" spans="1:28" s="305" customFormat="1" hidden="1" outlineLevel="1" x14ac:dyDescent="0.25">
      <c r="A198" s="278"/>
      <c r="B198" s="279" t="str">
        <f>C198&amp;D198&amp;E198&amp;F198</f>
        <v/>
      </c>
      <c r="C198" s="278"/>
      <c r="D198" s="278"/>
      <c r="E198" s="278"/>
      <c r="F198" s="278"/>
      <c r="G198" s="278"/>
      <c r="H198" s="290"/>
      <c r="I198" s="280">
        <f>$I$2*H198</f>
        <v>0</v>
      </c>
      <c r="J198" s="281">
        <f>$J$2*H198</f>
        <v>0</v>
      </c>
      <c r="K198" s="282">
        <f>IF(Notes!$B$9="Domestic",I198, IF(Notes!$B$9="Commercial",J198))*$K$197</f>
        <v>0</v>
      </c>
      <c r="L198" s="283">
        <f>IF(SUM(O198:Q198)=0,0,(SUM(O198:Q198)+(K198+SUM(M198:Q198))*(INDEX($U$197:$AB$197,MATCH(Notes!$C$16,$U$3:$AB$3,0))-100%))*$L$197)</f>
        <v>0</v>
      </c>
      <c r="M198" s="286"/>
      <c r="N198" s="286"/>
      <c r="O198" s="285"/>
      <c r="P198" s="285"/>
      <c r="Q198" s="285"/>
      <c r="R198" s="278"/>
      <c r="S198" s="278"/>
      <c r="T198" s="278"/>
    </row>
    <row r="199" spans="1:28" s="305" customFormat="1" hidden="1" outlineLevel="1" x14ac:dyDescent="0.25">
      <c r="A199" s="278"/>
      <c r="B199" s="279" t="str">
        <f t="shared" ref="B199:B207" si="72">C199&amp;D199&amp;E199&amp;F199</f>
        <v/>
      </c>
      <c r="C199" s="278"/>
      <c r="D199" s="278"/>
      <c r="E199" s="278"/>
      <c r="F199" s="278"/>
      <c r="G199" s="278"/>
      <c r="H199" s="290"/>
      <c r="I199" s="280">
        <f t="shared" ref="I199:I201" si="73">$I$2*H199</f>
        <v>0</v>
      </c>
      <c r="J199" s="281">
        <f t="shared" ref="J199:J207" si="74">$J$2*H199</f>
        <v>0</v>
      </c>
      <c r="K199" s="282">
        <f>IF(Notes!$B$9="Domestic",I199, IF(Notes!$B$9="Commercial",J199))*$K$197</f>
        <v>0</v>
      </c>
      <c r="L199" s="283">
        <f>IF(SUM(O199:Q199)=0,0,(SUM(O199:Q199)+(K199+SUM(M199:Q199))*(INDEX($U$197:$AB$197,MATCH(Notes!$C$16,$U$3:$AB$3,0))-100%))*$L$197)</f>
        <v>0</v>
      </c>
      <c r="M199" s="286"/>
      <c r="N199" s="286"/>
      <c r="O199" s="285"/>
      <c r="P199" s="285"/>
      <c r="Q199" s="285"/>
      <c r="R199" s="278"/>
      <c r="S199" s="278"/>
      <c r="T199" s="278"/>
    </row>
    <row r="200" spans="1:28" s="305" customFormat="1" hidden="1" outlineLevel="1" x14ac:dyDescent="0.25">
      <c r="A200" s="278"/>
      <c r="B200" s="279" t="str">
        <f t="shared" si="72"/>
        <v/>
      </c>
      <c r="C200" s="278"/>
      <c r="D200" s="278"/>
      <c r="E200" s="278"/>
      <c r="F200" s="278"/>
      <c r="G200" s="278"/>
      <c r="H200" s="290"/>
      <c r="I200" s="280">
        <f t="shared" si="73"/>
        <v>0</v>
      </c>
      <c r="J200" s="281">
        <f t="shared" si="74"/>
        <v>0</v>
      </c>
      <c r="K200" s="282">
        <f>IF(Notes!$B$9="Domestic",I200, IF(Notes!$B$9="Commercial",J200))*$K$197</f>
        <v>0</v>
      </c>
      <c r="L200" s="283">
        <f>IF(SUM(O200:Q200)=0,0,(SUM(O200:Q200)+(K200+SUM(M200:Q200))*(INDEX($U$197:$AB$197,MATCH(Notes!$C$16,$U$3:$AB$3,0))-100%))*$L$197)</f>
        <v>0</v>
      </c>
      <c r="M200" s="286"/>
      <c r="N200" s="286"/>
      <c r="O200" s="285"/>
      <c r="P200" s="285"/>
      <c r="Q200" s="285"/>
      <c r="R200" s="278"/>
      <c r="S200" s="278"/>
      <c r="T200" s="278"/>
    </row>
    <row r="201" spans="1:28" s="305" customFormat="1" hidden="1" outlineLevel="1" x14ac:dyDescent="0.25">
      <c r="A201" s="278"/>
      <c r="B201" s="279" t="str">
        <f t="shared" si="72"/>
        <v/>
      </c>
      <c r="C201" s="278"/>
      <c r="D201" s="278"/>
      <c r="E201" s="278"/>
      <c r="F201" s="278"/>
      <c r="G201" s="278"/>
      <c r="H201" s="290"/>
      <c r="I201" s="280">
        <f t="shared" si="73"/>
        <v>0</v>
      </c>
      <c r="J201" s="281">
        <f t="shared" si="74"/>
        <v>0</v>
      </c>
      <c r="K201" s="282">
        <f>IF(Notes!$B$9="Domestic",I201, IF(Notes!$B$9="Commercial",J201))*$K$197</f>
        <v>0</v>
      </c>
      <c r="L201" s="283">
        <f>IF(SUM(O201:Q201)=0,0,(SUM(O201:Q201)+(K201+SUM(M201:Q201))*(INDEX($U$197:$AB$197,MATCH(Notes!$C$16,$U$3:$AB$3,0))-100%))*$L$197)</f>
        <v>0</v>
      </c>
      <c r="M201" s="286"/>
      <c r="N201" s="286"/>
      <c r="O201" s="285"/>
      <c r="P201" s="285"/>
      <c r="Q201" s="285"/>
      <c r="R201" s="278"/>
      <c r="S201" s="278"/>
      <c r="T201" s="278"/>
    </row>
    <row r="202" spans="1:28" s="305" customFormat="1" hidden="1" outlineLevel="1" x14ac:dyDescent="0.25">
      <c r="A202" s="278"/>
      <c r="B202" s="279" t="str">
        <f t="shared" si="72"/>
        <v/>
      </c>
      <c r="C202" s="278"/>
      <c r="D202" s="278"/>
      <c r="E202" s="278"/>
      <c r="F202" s="278"/>
      <c r="G202" s="278"/>
      <c r="H202" s="290"/>
      <c r="I202" s="280">
        <f>$I$2*H202</f>
        <v>0</v>
      </c>
      <c r="J202" s="281">
        <f t="shared" si="74"/>
        <v>0</v>
      </c>
      <c r="K202" s="282">
        <f>IF(Notes!$B$9="Domestic",I202, IF(Notes!$B$9="Commercial",J202))*$K$197</f>
        <v>0</v>
      </c>
      <c r="L202" s="283">
        <f>IF(SUM(O202:Q202)=0,0,(SUM(O202:Q202)+(K202+SUM(M202:Q202))*(INDEX($U$197:$AB$197,MATCH(Notes!$C$16,$U$3:$AB$3,0))-100%))*$L$197)</f>
        <v>0</v>
      </c>
      <c r="M202" s="286"/>
      <c r="N202" s="286"/>
      <c r="O202" s="285"/>
      <c r="P202" s="285"/>
      <c r="Q202" s="285"/>
      <c r="R202" s="278"/>
      <c r="S202" s="278"/>
      <c r="T202" s="278"/>
    </row>
    <row r="203" spans="1:28" s="305" customFormat="1" hidden="1" outlineLevel="1" x14ac:dyDescent="0.25">
      <c r="A203" s="278"/>
      <c r="B203" s="279" t="str">
        <f t="shared" si="72"/>
        <v/>
      </c>
      <c r="C203" s="278"/>
      <c r="D203" s="278"/>
      <c r="E203" s="278"/>
      <c r="F203" s="278"/>
      <c r="G203" s="278"/>
      <c r="H203" s="290"/>
      <c r="I203" s="280">
        <f t="shared" ref="I203:I207" si="75">$I$2*H203</f>
        <v>0</v>
      </c>
      <c r="J203" s="281">
        <f t="shared" si="74"/>
        <v>0</v>
      </c>
      <c r="K203" s="282">
        <f>IF(Notes!$B$9="Domestic",I203, IF(Notes!$B$9="Commercial",J203))*$K$197</f>
        <v>0</v>
      </c>
      <c r="L203" s="283">
        <f>IF(SUM(O203:Q203)=0,0,(SUM(O203:Q203)+(K203+SUM(M203:Q203))*(INDEX($U$197:$AB$197,MATCH(Notes!$C$16,$U$3:$AB$3,0))-100%))*$L$197)</f>
        <v>0</v>
      </c>
      <c r="M203" s="286"/>
      <c r="N203" s="286"/>
      <c r="O203" s="285"/>
      <c r="P203" s="285"/>
      <c r="Q203" s="285"/>
      <c r="R203" s="278"/>
      <c r="S203" s="278"/>
      <c r="T203" s="278"/>
    </row>
    <row r="204" spans="1:28" s="305" customFormat="1" hidden="1" outlineLevel="1" x14ac:dyDescent="0.25">
      <c r="A204" s="278"/>
      <c r="B204" s="279" t="str">
        <f t="shared" si="72"/>
        <v/>
      </c>
      <c r="C204" s="278"/>
      <c r="D204" s="278"/>
      <c r="E204" s="278"/>
      <c r="F204" s="278"/>
      <c r="G204" s="278"/>
      <c r="H204" s="290"/>
      <c r="I204" s="280">
        <f t="shared" si="75"/>
        <v>0</v>
      </c>
      <c r="J204" s="281">
        <f t="shared" si="74"/>
        <v>0</v>
      </c>
      <c r="K204" s="282">
        <f>IF(Notes!$B$9="Domestic",I204, IF(Notes!$B$9="Commercial",J204))*$K$197</f>
        <v>0</v>
      </c>
      <c r="L204" s="283">
        <f>IF(SUM(O204:Q204)=0,0,(SUM(O204:Q204)+(K204+SUM(M204:Q204))*(INDEX($U$197:$AB$197,MATCH(Notes!$C$16,$U$3:$AB$3,0))-100%))*$L$197)</f>
        <v>0</v>
      </c>
      <c r="M204" s="286"/>
      <c r="N204" s="286"/>
      <c r="O204" s="285"/>
      <c r="P204" s="285"/>
      <c r="Q204" s="285"/>
      <c r="R204" s="278"/>
      <c r="S204" s="278"/>
      <c r="T204" s="278"/>
    </row>
    <row r="205" spans="1:28" s="305" customFormat="1" hidden="1" outlineLevel="1" x14ac:dyDescent="0.25">
      <c r="A205" s="278"/>
      <c r="B205" s="279" t="str">
        <f t="shared" si="72"/>
        <v/>
      </c>
      <c r="C205" s="278"/>
      <c r="D205" s="278"/>
      <c r="E205" s="278"/>
      <c r="F205" s="278"/>
      <c r="G205" s="278"/>
      <c r="H205" s="290"/>
      <c r="I205" s="280">
        <f t="shared" si="75"/>
        <v>0</v>
      </c>
      <c r="J205" s="281">
        <f t="shared" si="74"/>
        <v>0</v>
      </c>
      <c r="K205" s="282">
        <f>IF(Notes!$B$9="Domestic",I205, IF(Notes!$B$9="Commercial",J205))*$K$197</f>
        <v>0</v>
      </c>
      <c r="L205" s="283">
        <f>IF(SUM(O205:Q205)=0,0,(SUM(O205:Q205)+(K205+SUM(M205:Q205))*(INDEX($U$197:$AB$197,MATCH(Notes!$C$16,$U$3:$AB$3,0))-100%))*$L$197)</f>
        <v>0</v>
      </c>
      <c r="M205" s="286"/>
      <c r="N205" s="286"/>
      <c r="O205" s="285"/>
      <c r="P205" s="285"/>
      <c r="Q205" s="285"/>
      <c r="R205" s="278"/>
      <c r="S205" s="278"/>
      <c r="T205" s="278"/>
    </row>
    <row r="206" spans="1:28" s="305" customFormat="1" hidden="1" outlineLevel="1" x14ac:dyDescent="0.25">
      <c r="A206" s="278"/>
      <c r="B206" s="279" t="str">
        <f t="shared" si="72"/>
        <v/>
      </c>
      <c r="C206" s="278"/>
      <c r="D206" s="278"/>
      <c r="E206" s="278"/>
      <c r="F206" s="278"/>
      <c r="G206" s="278"/>
      <c r="H206" s="290"/>
      <c r="I206" s="280">
        <f t="shared" si="75"/>
        <v>0</v>
      </c>
      <c r="J206" s="281">
        <f t="shared" si="74"/>
        <v>0</v>
      </c>
      <c r="K206" s="282">
        <f>IF(Notes!$B$9="Domestic",I206, IF(Notes!$B$9="Commercial",J206))*$K$197</f>
        <v>0</v>
      </c>
      <c r="L206" s="283">
        <f>IF(SUM(O206:Q206)=0,0,(SUM(O206:Q206)+(K206+SUM(M206:Q206))*(INDEX($U$197:$AB$197,MATCH(Notes!$C$16,$U$3:$AB$3,0))-100%))*$L$197)</f>
        <v>0</v>
      </c>
      <c r="M206" s="286"/>
      <c r="N206" s="286"/>
      <c r="O206" s="285"/>
      <c r="P206" s="285"/>
      <c r="Q206" s="285"/>
      <c r="R206" s="278"/>
      <c r="S206" s="278"/>
      <c r="T206" s="278"/>
    </row>
    <row r="207" spans="1:28" s="305" customFormat="1" hidden="1" outlineLevel="1" x14ac:dyDescent="0.25">
      <c r="A207" s="278"/>
      <c r="B207" s="279" t="str">
        <f t="shared" si="72"/>
        <v/>
      </c>
      <c r="C207" s="278"/>
      <c r="D207" s="278"/>
      <c r="E207" s="278"/>
      <c r="F207" s="278"/>
      <c r="G207" s="278"/>
      <c r="H207" s="290"/>
      <c r="I207" s="280">
        <f t="shared" si="75"/>
        <v>0</v>
      </c>
      <c r="J207" s="281">
        <f t="shared" si="74"/>
        <v>0</v>
      </c>
      <c r="K207" s="282">
        <f>IF(Notes!$B$9="Domestic",I207, IF(Notes!$B$9="Commercial",J207))*$K$197</f>
        <v>0</v>
      </c>
      <c r="L207" s="283">
        <f>IF(SUM(O207:Q207)=0,0,(SUM(O207:Q207)+(K207+SUM(M207:Q207))*(INDEX($U$197:$AB$197,MATCH(Notes!$C$16,$U$3:$AB$3,0))-100%))*$L$197)</f>
        <v>0</v>
      </c>
      <c r="M207" s="286"/>
      <c r="N207" s="286"/>
      <c r="O207" s="285"/>
      <c r="P207" s="285"/>
      <c r="Q207" s="285"/>
      <c r="R207" s="278"/>
      <c r="S207" s="278"/>
      <c r="T207" s="278"/>
    </row>
    <row r="208" spans="1:28" ht="21" hidden="1" outlineLevel="1" x14ac:dyDescent="0.25">
      <c r="A208" s="299"/>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row>
    <row r="209" spans="1:28" ht="15.75" hidden="1" outlineLevel="1" x14ac:dyDescent="0.25">
      <c r="A209" s="291"/>
      <c r="B209" s="291"/>
      <c r="C209" s="291"/>
      <c r="D209" s="291"/>
      <c r="E209" s="291"/>
      <c r="F209" s="291"/>
      <c r="G209" s="291"/>
      <c r="H209" s="291"/>
      <c r="I209" s="291"/>
      <c r="J209" s="291"/>
      <c r="K209" s="291">
        <f>K$2</f>
        <v>1</v>
      </c>
      <c r="L209" s="291">
        <f>L$2</f>
        <v>1</v>
      </c>
      <c r="M209" s="291"/>
      <c r="N209" s="291"/>
      <c r="O209" s="303"/>
      <c r="P209" s="303"/>
      <c r="Q209" s="303"/>
      <c r="R209" s="291"/>
      <c r="S209" s="291"/>
      <c r="T209" s="291"/>
      <c r="U209" s="291">
        <f>U$2</f>
        <v>1</v>
      </c>
      <c r="V209" s="291">
        <f>V$2</f>
        <v>1</v>
      </c>
      <c r="W209" s="291">
        <f t="shared" ref="W209:AB209" si="76">W$2</f>
        <v>1</v>
      </c>
      <c r="X209" s="291">
        <f t="shared" si="76"/>
        <v>1</v>
      </c>
      <c r="Y209" s="291">
        <f t="shared" si="76"/>
        <v>1</v>
      </c>
      <c r="Z209" s="291">
        <f t="shared" si="76"/>
        <v>1</v>
      </c>
      <c r="AA209" s="291">
        <f t="shared" si="76"/>
        <v>1</v>
      </c>
      <c r="AB209" s="291">
        <f t="shared" si="76"/>
        <v>1</v>
      </c>
    </row>
    <row r="210" spans="1:28" s="305" customFormat="1" hidden="1" outlineLevel="1" x14ac:dyDescent="0.25">
      <c r="A210" s="278"/>
      <c r="B210" s="279" t="str">
        <f>C210&amp;D210&amp;E210&amp;F210</f>
        <v/>
      </c>
      <c r="C210" s="278"/>
      <c r="D210" s="278"/>
      <c r="E210" s="278"/>
      <c r="F210" s="278"/>
      <c r="G210" s="278"/>
      <c r="H210" s="290"/>
      <c r="I210" s="280">
        <f>$I$2*H210</f>
        <v>0</v>
      </c>
      <c r="J210" s="281">
        <f>$J$2*H210</f>
        <v>0</v>
      </c>
      <c r="K210" s="282">
        <f>IF(Notes!$B$9="Domestic",I210, IF(Notes!$B$9="Commercial",J210))*$K$209</f>
        <v>0</v>
      </c>
      <c r="L210" s="283">
        <f>IF(SUM(O210:Q210)=0,0,(SUM(O210:Q210)+(K210+SUM(M210:Q210))*(INDEX($U$209:$AB$209,MATCH(Notes!$C$16,$U$3:$AB$3,0))-100%))*$L$209)</f>
        <v>0</v>
      </c>
      <c r="M210" s="286"/>
      <c r="N210" s="286"/>
      <c r="O210" s="285"/>
      <c r="P210" s="285"/>
      <c r="Q210" s="285"/>
      <c r="R210" s="278"/>
      <c r="S210" s="278"/>
      <c r="T210" s="278"/>
    </row>
    <row r="211" spans="1:28" s="305" customFormat="1" hidden="1" outlineLevel="1" x14ac:dyDescent="0.25">
      <c r="A211" s="278"/>
      <c r="B211" s="279" t="str">
        <f t="shared" ref="B211:B219" si="77">C211&amp;D211&amp;E211&amp;F211</f>
        <v/>
      </c>
      <c r="C211" s="278"/>
      <c r="D211" s="278"/>
      <c r="E211" s="278"/>
      <c r="F211" s="278"/>
      <c r="G211" s="278"/>
      <c r="H211" s="290"/>
      <c r="I211" s="280">
        <f t="shared" ref="I211:I213" si="78">$I$2*H211</f>
        <v>0</v>
      </c>
      <c r="J211" s="281">
        <f t="shared" ref="J211:J219" si="79">$J$2*H211</f>
        <v>0</v>
      </c>
      <c r="K211" s="282">
        <f>IF(Notes!$B$9="Domestic",I211, IF(Notes!$B$9="Commercial",J211))*$K$209</f>
        <v>0</v>
      </c>
      <c r="L211" s="283">
        <f>IF(SUM(O211:Q211)=0,0,(SUM(O211:Q211)+(K211+SUM(M211:Q211))*(INDEX($U$209:$AB$209,MATCH(Notes!$C$16,$U$3:$AB$3,0))-100%))*$L$209)</f>
        <v>0</v>
      </c>
      <c r="M211" s="286"/>
      <c r="N211" s="286"/>
      <c r="O211" s="285"/>
      <c r="P211" s="285"/>
      <c r="Q211" s="285"/>
      <c r="R211" s="278"/>
      <c r="S211" s="278"/>
      <c r="T211" s="278"/>
    </row>
    <row r="212" spans="1:28" s="305" customFormat="1" hidden="1" outlineLevel="1" x14ac:dyDescent="0.25">
      <c r="A212" s="278"/>
      <c r="B212" s="279" t="str">
        <f t="shared" si="77"/>
        <v/>
      </c>
      <c r="C212" s="278"/>
      <c r="D212" s="278"/>
      <c r="E212" s="278"/>
      <c r="F212" s="278"/>
      <c r="G212" s="278"/>
      <c r="H212" s="290"/>
      <c r="I212" s="280">
        <f t="shared" si="78"/>
        <v>0</v>
      </c>
      <c r="J212" s="281">
        <f t="shared" si="79"/>
        <v>0</v>
      </c>
      <c r="K212" s="282">
        <f>IF(Notes!$B$9="Domestic",I212, IF(Notes!$B$9="Commercial",J212))*$K$209</f>
        <v>0</v>
      </c>
      <c r="L212" s="283">
        <f>IF(SUM(O212:Q212)=0,0,(SUM(O212:Q212)+(K212+SUM(M212:Q212))*(INDEX($U$209:$AB$209,MATCH(Notes!$C$16,$U$3:$AB$3,0))-100%))*$L$209)</f>
        <v>0</v>
      </c>
      <c r="M212" s="286"/>
      <c r="N212" s="286"/>
      <c r="O212" s="285"/>
      <c r="P212" s="285"/>
      <c r="Q212" s="285"/>
      <c r="R212" s="278"/>
      <c r="S212" s="278"/>
      <c r="T212" s="278"/>
    </row>
    <row r="213" spans="1:28" s="305" customFormat="1" hidden="1" outlineLevel="1" x14ac:dyDescent="0.25">
      <c r="A213" s="278"/>
      <c r="B213" s="279" t="str">
        <f t="shared" si="77"/>
        <v/>
      </c>
      <c r="C213" s="278"/>
      <c r="D213" s="278"/>
      <c r="E213" s="278"/>
      <c r="F213" s="278"/>
      <c r="G213" s="278"/>
      <c r="H213" s="290"/>
      <c r="I213" s="280">
        <f t="shared" si="78"/>
        <v>0</v>
      </c>
      <c r="J213" s="281">
        <f t="shared" si="79"/>
        <v>0</v>
      </c>
      <c r="K213" s="282">
        <f>IF(Notes!$B$9="Domestic",I213, IF(Notes!$B$9="Commercial",J213))*$K$209</f>
        <v>0</v>
      </c>
      <c r="L213" s="283">
        <f>IF(SUM(O213:Q213)=0,0,(SUM(O213:Q213)+(K213+SUM(M213:Q213))*(INDEX($U$209:$AB$209,MATCH(Notes!$C$16,$U$3:$AB$3,0))-100%))*$L$209)</f>
        <v>0</v>
      </c>
      <c r="M213" s="286"/>
      <c r="N213" s="286"/>
      <c r="O213" s="285"/>
      <c r="P213" s="285"/>
      <c r="Q213" s="285"/>
      <c r="R213" s="278"/>
      <c r="S213" s="278"/>
      <c r="T213" s="278"/>
    </row>
    <row r="214" spans="1:28" s="305" customFormat="1" hidden="1" outlineLevel="1" x14ac:dyDescent="0.25">
      <c r="A214" s="278"/>
      <c r="B214" s="279" t="str">
        <f t="shared" si="77"/>
        <v/>
      </c>
      <c r="C214" s="278"/>
      <c r="D214" s="278"/>
      <c r="E214" s="278"/>
      <c r="F214" s="278"/>
      <c r="G214" s="278"/>
      <c r="H214" s="290"/>
      <c r="I214" s="280">
        <f>$I$2*H214</f>
        <v>0</v>
      </c>
      <c r="J214" s="281">
        <f t="shared" si="79"/>
        <v>0</v>
      </c>
      <c r="K214" s="282">
        <f>IF(Notes!$B$9="Domestic",I214, IF(Notes!$B$9="Commercial",J214))*$K$209</f>
        <v>0</v>
      </c>
      <c r="L214" s="283">
        <f>IF(SUM(O214:Q214)=0,0,(SUM(O214:Q214)+(K214+SUM(M214:Q214))*(INDEX($U$209:$AB$209,MATCH(Notes!$C$16,$U$3:$AB$3,0))-100%))*$L$209)</f>
        <v>0</v>
      </c>
      <c r="M214" s="286"/>
      <c r="N214" s="286"/>
      <c r="O214" s="285"/>
      <c r="P214" s="285"/>
      <c r="Q214" s="285"/>
      <c r="R214" s="278"/>
      <c r="S214" s="278"/>
      <c r="T214" s="278"/>
    </row>
    <row r="215" spans="1:28" s="305" customFormat="1" hidden="1" outlineLevel="1" x14ac:dyDescent="0.25">
      <c r="A215" s="278"/>
      <c r="B215" s="279" t="str">
        <f t="shared" si="77"/>
        <v/>
      </c>
      <c r="C215" s="278"/>
      <c r="D215" s="278"/>
      <c r="E215" s="278"/>
      <c r="F215" s="278"/>
      <c r="G215" s="278"/>
      <c r="H215" s="290"/>
      <c r="I215" s="280">
        <f t="shared" ref="I215:I219" si="80">$I$2*H215</f>
        <v>0</v>
      </c>
      <c r="J215" s="281">
        <f t="shared" si="79"/>
        <v>0</v>
      </c>
      <c r="K215" s="282">
        <f>IF(Notes!$B$9="Domestic",I215, IF(Notes!$B$9="Commercial",J215))*$K$209</f>
        <v>0</v>
      </c>
      <c r="L215" s="283">
        <f>IF(SUM(O215:Q215)=0,0,(SUM(O215:Q215)+(K215+SUM(M215:Q215))*(INDEX($U$209:$AB$209,MATCH(Notes!$C$16,$U$3:$AB$3,0))-100%))*$L$209)</f>
        <v>0</v>
      </c>
      <c r="M215" s="286"/>
      <c r="N215" s="286"/>
      <c r="O215" s="285"/>
      <c r="P215" s="285"/>
      <c r="Q215" s="285"/>
      <c r="R215" s="278"/>
      <c r="S215" s="278"/>
      <c r="T215" s="278"/>
    </row>
    <row r="216" spans="1:28" s="305" customFormat="1" hidden="1" outlineLevel="1" x14ac:dyDescent="0.25">
      <c r="A216" s="278"/>
      <c r="B216" s="279" t="str">
        <f t="shared" si="77"/>
        <v/>
      </c>
      <c r="C216" s="278"/>
      <c r="D216" s="278"/>
      <c r="E216" s="278"/>
      <c r="F216" s="278"/>
      <c r="G216" s="278"/>
      <c r="H216" s="290"/>
      <c r="I216" s="280">
        <f t="shared" si="80"/>
        <v>0</v>
      </c>
      <c r="J216" s="281">
        <f t="shared" si="79"/>
        <v>0</v>
      </c>
      <c r="K216" s="282">
        <f>IF(Notes!$B$9="Domestic",I216, IF(Notes!$B$9="Commercial",J216))*$K$209</f>
        <v>0</v>
      </c>
      <c r="L216" s="283">
        <f>IF(SUM(O216:Q216)=0,0,(SUM(O216:Q216)+(K216+SUM(M216:Q216))*(INDEX($U$209:$AB$209,MATCH(Notes!$C$16,$U$3:$AB$3,0))-100%))*$L$209)</f>
        <v>0</v>
      </c>
      <c r="M216" s="286"/>
      <c r="N216" s="286"/>
      <c r="O216" s="285"/>
      <c r="P216" s="285"/>
      <c r="Q216" s="285"/>
      <c r="R216" s="278"/>
      <c r="S216" s="278"/>
      <c r="T216" s="278"/>
    </row>
    <row r="217" spans="1:28" s="305" customFormat="1" hidden="1" outlineLevel="1" x14ac:dyDescent="0.25">
      <c r="A217" s="278"/>
      <c r="B217" s="279" t="str">
        <f t="shared" si="77"/>
        <v/>
      </c>
      <c r="C217" s="278"/>
      <c r="D217" s="278"/>
      <c r="E217" s="278"/>
      <c r="F217" s="278"/>
      <c r="G217" s="278"/>
      <c r="H217" s="290"/>
      <c r="I217" s="280">
        <f t="shared" si="80"/>
        <v>0</v>
      </c>
      <c r="J217" s="281">
        <f t="shared" si="79"/>
        <v>0</v>
      </c>
      <c r="K217" s="282">
        <f>IF(Notes!$B$9="Domestic",I217, IF(Notes!$B$9="Commercial",J217))*$K$209</f>
        <v>0</v>
      </c>
      <c r="L217" s="283">
        <f>IF(SUM(O217:Q217)=0,0,(SUM(O217:Q217)+(K217+SUM(M217:Q217))*(INDEX($U$209:$AB$209,MATCH(Notes!$C$16,$U$3:$AB$3,0))-100%))*$L$209)</f>
        <v>0</v>
      </c>
      <c r="M217" s="286"/>
      <c r="N217" s="286"/>
      <c r="O217" s="285"/>
      <c r="P217" s="285"/>
      <c r="Q217" s="285"/>
      <c r="R217" s="278"/>
      <c r="S217" s="278"/>
      <c r="T217" s="278"/>
    </row>
    <row r="218" spans="1:28" s="305" customFormat="1" hidden="1" outlineLevel="1" x14ac:dyDescent="0.25">
      <c r="A218" s="278"/>
      <c r="B218" s="279" t="str">
        <f t="shared" si="77"/>
        <v/>
      </c>
      <c r="C218" s="278"/>
      <c r="D218" s="278"/>
      <c r="E218" s="278"/>
      <c r="F218" s="278"/>
      <c r="G218" s="278"/>
      <c r="H218" s="290"/>
      <c r="I218" s="280">
        <f t="shared" si="80"/>
        <v>0</v>
      </c>
      <c r="J218" s="281">
        <f t="shared" si="79"/>
        <v>0</v>
      </c>
      <c r="K218" s="282">
        <f>IF(Notes!$B$9="Domestic",I218, IF(Notes!$B$9="Commercial",J218))*$K$209</f>
        <v>0</v>
      </c>
      <c r="L218" s="283">
        <f>IF(SUM(O218:Q218)=0,0,(SUM(O218:Q218)+(K218+SUM(M218:Q218))*(INDEX($U$209:$AB$209,MATCH(Notes!$C$16,$U$3:$AB$3,0))-100%))*$L$209)</f>
        <v>0</v>
      </c>
      <c r="M218" s="286"/>
      <c r="N218" s="286"/>
      <c r="O218" s="285"/>
      <c r="P218" s="285"/>
      <c r="Q218" s="285"/>
      <c r="R218" s="278"/>
      <c r="S218" s="278"/>
      <c r="T218" s="278"/>
    </row>
    <row r="219" spans="1:28" s="305" customFormat="1" hidden="1" outlineLevel="1" x14ac:dyDescent="0.25">
      <c r="A219" s="278"/>
      <c r="B219" s="279" t="str">
        <f t="shared" si="77"/>
        <v/>
      </c>
      <c r="C219" s="278"/>
      <c r="D219" s="278"/>
      <c r="E219" s="278"/>
      <c r="F219" s="278"/>
      <c r="G219" s="278"/>
      <c r="H219" s="290"/>
      <c r="I219" s="280">
        <f t="shared" si="80"/>
        <v>0</v>
      </c>
      <c r="J219" s="281">
        <f t="shared" si="79"/>
        <v>0</v>
      </c>
      <c r="K219" s="282">
        <f>IF(Notes!$B$9="Domestic",I219, IF(Notes!$B$9="Commercial",J219))*$K$209</f>
        <v>0</v>
      </c>
      <c r="L219" s="283">
        <f>IF(SUM(O219:Q219)=0,0,(SUM(O219:Q219)+(K219+SUM(M219:Q219))*(INDEX($U$209:$AB$209,MATCH(Notes!$C$16,$U$3:$AB$3,0))-100%))*$L$209)</f>
        <v>0</v>
      </c>
      <c r="M219" s="286"/>
      <c r="N219" s="286"/>
      <c r="O219" s="285"/>
      <c r="P219" s="285"/>
      <c r="Q219" s="285"/>
      <c r="R219" s="278"/>
      <c r="S219" s="278"/>
      <c r="T219" s="278"/>
    </row>
    <row r="220" spans="1:28" ht="21" hidden="1" outlineLevel="1" x14ac:dyDescent="0.25">
      <c r="A220" s="299"/>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row>
    <row r="221" spans="1:28" ht="15.75" hidden="1" outlineLevel="1" x14ac:dyDescent="0.25">
      <c r="A221" s="291"/>
      <c r="B221" s="291"/>
      <c r="C221" s="291"/>
      <c r="D221" s="291"/>
      <c r="E221" s="291"/>
      <c r="F221" s="291"/>
      <c r="G221" s="291"/>
      <c r="H221" s="291"/>
      <c r="I221" s="291"/>
      <c r="J221" s="291"/>
      <c r="K221" s="291">
        <f>K$2</f>
        <v>1</v>
      </c>
      <c r="L221" s="291">
        <f>L$2</f>
        <v>1</v>
      </c>
      <c r="M221" s="291"/>
      <c r="N221" s="291"/>
      <c r="O221" s="303"/>
      <c r="P221" s="303"/>
      <c r="Q221" s="303"/>
      <c r="R221" s="291"/>
      <c r="S221" s="291"/>
      <c r="T221" s="291"/>
      <c r="U221" s="291">
        <f>U$2</f>
        <v>1</v>
      </c>
      <c r="V221" s="291">
        <f>V$2</f>
        <v>1</v>
      </c>
      <c r="W221" s="291">
        <f t="shared" ref="W221:AB221" si="81">W$2</f>
        <v>1</v>
      </c>
      <c r="X221" s="291">
        <f t="shared" si="81"/>
        <v>1</v>
      </c>
      <c r="Y221" s="291">
        <f t="shared" si="81"/>
        <v>1</v>
      </c>
      <c r="Z221" s="291">
        <f t="shared" si="81"/>
        <v>1</v>
      </c>
      <c r="AA221" s="291">
        <f t="shared" si="81"/>
        <v>1</v>
      </c>
      <c r="AB221" s="291">
        <f t="shared" si="81"/>
        <v>1</v>
      </c>
    </row>
    <row r="222" spans="1:28" s="305" customFormat="1" hidden="1" outlineLevel="1" x14ac:dyDescent="0.25">
      <c r="A222" s="278"/>
      <c r="B222" s="279" t="str">
        <f>C222&amp;D222&amp;E222&amp;F222</f>
        <v/>
      </c>
      <c r="C222" s="278"/>
      <c r="D222" s="278"/>
      <c r="E222" s="278"/>
      <c r="F222" s="278"/>
      <c r="G222" s="278"/>
      <c r="H222" s="290"/>
      <c r="I222" s="280">
        <f>$I$2*H222</f>
        <v>0</v>
      </c>
      <c r="J222" s="281">
        <f>$J$2*H222</f>
        <v>0</v>
      </c>
      <c r="K222" s="282">
        <f>IF(Notes!$B$9="Domestic",I222, IF(Notes!$B$9="Commercial",J222))*$K$221</f>
        <v>0</v>
      </c>
      <c r="L222" s="283">
        <f>IF(SUM(O222:Q222)=0,0,(SUM(O222:Q222)+(K222+SUM(M222:Q222))*(INDEX($U$221:$AB$221,MATCH(Notes!$C$16,$U$3:$AB$3,0))-100%))*$L$221)</f>
        <v>0</v>
      </c>
      <c r="M222" s="286"/>
      <c r="N222" s="286"/>
      <c r="O222" s="285"/>
      <c r="P222" s="285"/>
      <c r="Q222" s="285"/>
      <c r="R222" s="278"/>
      <c r="S222" s="278"/>
      <c r="T222" s="278"/>
    </row>
    <row r="223" spans="1:28" s="305" customFormat="1" hidden="1" outlineLevel="1" x14ac:dyDescent="0.25">
      <c r="A223" s="278"/>
      <c r="B223" s="279" t="str">
        <f t="shared" ref="B223:B231" si="82">C223&amp;D223&amp;E223&amp;F223</f>
        <v/>
      </c>
      <c r="C223" s="278"/>
      <c r="D223" s="278"/>
      <c r="E223" s="278"/>
      <c r="F223" s="278"/>
      <c r="G223" s="278"/>
      <c r="H223" s="290"/>
      <c r="I223" s="280">
        <f t="shared" ref="I223:I225" si="83">$I$2*H223</f>
        <v>0</v>
      </c>
      <c r="J223" s="281">
        <f t="shared" ref="J223:J231" si="84">$J$2*H223</f>
        <v>0</v>
      </c>
      <c r="K223" s="282">
        <f>IF(Notes!$B$9="Domestic",I223, IF(Notes!$B$9="Commercial",J223))*$K$221</f>
        <v>0</v>
      </c>
      <c r="L223" s="283">
        <f>IF(SUM(O223:Q223)=0,0,(SUM(O223:Q223)+(K223+SUM(M223:Q223))*(INDEX($U$221:$AB$221,MATCH(Notes!$C$16,$U$3:$AB$3,0))-100%))*$L$221)</f>
        <v>0</v>
      </c>
      <c r="M223" s="286"/>
      <c r="N223" s="286"/>
      <c r="O223" s="285"/>
      <c r="P223" s="285"/>
      <c r="Q223" s="285"/>
      <c r="R223" s="278"/>
      <c r="S223" s="278"/>
      <c r="T223" s="278"/>
    </row>
    <row r="224" spans="1:28" s="305" customFormat="1" hidden="1" outlineLevel="1" x14ac:dyDescent="0.25">
      <c r="A224" s="278"/>
      <c r="B224" s="279" t="str">
        <f t="shared" si="82"/>
        <v/>
      </c>
      <c r="C224" s="278"/>
      <c r="D224" s="278"/>
      <c r="E224" s="278"/>
      <c r="F224" s="278"/>
      <c r="G224" s="278"/>
      <c r="H224" s="290"/>
      <c r="I224" s="280">
        <f t="shared" si="83"/>
        <v>0</v>
      </c>
      <c r="J224" s="281">
        <f t="shared" si="84"/>
        <v>0</v>
      </c>
      <c r="K224" s="282">
        <f>IF(Notes!$B$9="Domestic",I224, IF(Notes!$B$9="Commercial",J224))*$K$221</f>
        <v>0</v>
      </c>
      <c r="L224" s="283">
        <f>IF(SUM(O224:Q224)=0,0,(SUM(O224:Q224)+(K224+SUM(M224:Q224))*(INDEX($U$221:$AB$221,MATCH(Notes!$C$16,$U$3:$AB$3,0))-100%))*$L$221)</f>
        <v>0</v>
      </c>
      <c r="M224" s="286"/>
      <c r="N224" s="286"/>
      <c r="O224" s="285"/>
      <c r="P224" s="285"/>
      <c r="Q224" s="285"/>
      <c r="R224" s="278"/>
      <c r="S224" s="278"/>
      <c r="T224" s="278"/>
    </row>
    <row r="225" spans="1:28" s="305" customFormat="1" hidden="1" outlineLevel="1" x14ac:dyDescent="0.25">
      <c r="A225" s="278"/>
      <c r="B225" s="279" t="str">
        <f t="shared" si="82"/>
        <v/>
      </c>
      <c r="C225" s="278"/>
      <c r="D225" s="278"/>
      <c r="E225" s="278"/>
      <c r="F225" s="278"/>
      <c r="G225" s="278"/>
      <c r="H225" s="290"/>
      <c r="I225" s="280">
        <f t="shared" si="83"/>
        <v>0</v>
      </c>
      <c r="J225" s="281">
        <f t="shared" si="84"/>
        <v>0</v>
      </c>
      <c r="K225" s="282">
        <f>IF(Notes!$B$9="Domestic",I225, IF(Notes!$B$9="Commercial",J225))*$K$221</f>
        <v>0</v>
      </c>
      <c r="L225" s="283">
        <f>IF(SUM(O225:Q225)=0,0,(SUM(O225:Q225)+(K225+SUM(M225:Q225))*(INDEX($U$221:$AB$221,MATCH(Notes!$C$16,$U$3:$AB$3,0))-100%))*$L$221)</f>
        <v>0</v>
      </c>
      <c r="M225" s="286"/>
      <c r="N225" s="286"/>
      <c r="O225" s="285"/>
      <c r="P225" s="285"/>
      <c r="Q225" s="285"/>
      <c r="R225" s="278"/>
      <c r="S225" s="278"/>
      <c r="T225" s="278"/>
    </row>
    <row r="226" spans="1:28" s="305" customFormat="1" hidden="1" outlineLevel="1" x14ac:dyDescent="0.25">
      <c r="A226" s="278"/>
      <c r="B226" s="279" t="str">
        <f t="shared" si="82"/>
        <v/>
      </c>
      <c r="C226" s="278"/>
      <c r="D226" s="278"/>
      <c r="E226" s="278"/>
      <c r="F226" s="278"/>
      <c r="G226" s="278"/>
      <c r="H226" s="290"/>
      <c r="I226" s="280">
        <f>$I$2*H226</f>
        <v>0</v>
      </c>
      <c r="J226" s="281">
        <f t="shared" si="84"/>
        <v>0</v>
      </c>
      <c r="K226" s="282">
        <f>IF(Notes!$B$9="Domestic",I226, IF(Notes!$B$9="Commercial",J226))*$K$221</f>
        <v>0</v>
      </c>
      <c r="L226" s="283">
        <f>IF(SUM(O226:Q226)=0,0,(SUM(O226:Q226)+(K226+SUM(M226:Q226))*(INDEX($U$221:$AB$221,MATCH(Notes!$C$16,$U$3:$AB$3,0))-100%))*$L$221)</f>
        <v>0</v>
      </c>
      <c r="M226" s="286"/>
      <c r="N226" s="286"/>
      <c r="O226" s="285"/>
      <c r="P226" s="285"/>
      <c r="Q226" s="285"/>
      <c r="R226" s="278"/>
      <c r="S226" s="278"/>
      <c r="T226" s="278"/>
    </row>
    <row r="227" spans="1:28" s="305" customFormat="1" hidden="1" outlineLevel="1" x14ac:dyDescent="0.25">
      <c r="A227" s="278"/>
      <c r="B227" s="279" t="str">
        <f t="shared" si="82"/>
        <v/>
      </c>
      <c r="C227" s="278"/>
      <c r="D227" s="278"/>
      <c r="E227" s="278"/>
      <c r="F227" s="278"/>
      <c r="G227" s="278"/>
      <c r="H227" s="290"/>
      <c r="I227" s="280">
        <f t="shared" ref="I227:I231" si="85">$I$2*H227</f>
        <v>0</v>
      </c>
      <c r="J227" s="281">
        <f t="shared" si="84"/>
        <v>0</v>
      </c>
      <c r="K227" s="282">
        <f>IF(Notes!$B$9="Domestic",I227, IF(Notes!$B$9="Commercial",J227))*$K$221</f>
        <v>0</v>
      </c>
      <c r="L227" s="283">
        <f>IF(SUM(O227:Q227)=0,0,(SUM(O227:Q227)+(K227+SUM(M227:Q227))*(INDEX($U$221:$AB$221,MATCH(Notes!$C$16,$U$3:$AB$3,0))-100%))*$L$221)</f>
        <v>0</v>
      </c>
      <c r="M227" s="286"/>
      <c r="N227" s="286"/>
      <c r="O227" s="285"/>
      <c r="P227" s="285"/>
      <c r="Q227" s="285"/>
      <c r="R227" s="278"/>
      <c r="S227" s="278"/>
      <c r="T227" s="278"/>
    </row>
    <row r="228" spans="1:28" s="305" customFormat="1" hidden="1" outlineLevel="1" x14ac:dyDescent="0.25">
      <c r="A228" s="278"/>
      <c r="B228" s="279" t="str">
        <f t="shared" si="82"/>
        <v/>
      </c>
      <c r="C228" s="278"/>
      <c r="D228" s="278"/>
      <c r="E228" s="278"/>
      <c r="F228" s="278"/>
      <c r="G228" s="278"/>
      <c r="H228" s="290"/>
      <c r="I228" s="280">
        <f t="shared" si="85"/>
        <v>0</v>
      </c>
      <c r="J228" s="281">
        <f t="shared" si="84"/>
        <v>0</v>
      </c>
      <c r="K228" s="282">
        <f>IF(Notes!$B$9="Domestic",I228, IF(Notes!$B$9="Commercial",J228))*$K$221</f>
        <v>0</v>
      </c>
      <c r="L228" s="283">
        <f>IF(SUM(O228:Q228)=0,0,(SUM(O228:Q228)+(K228+SUM(M228:Q228))*(INDEX($U$221:$AB$221,MATCH(Notes!$C$16,$U$3:$AB$3,0))-100%))*$L$221)</f>
        <v>0</v>
      </c>
      <c r="M228" s="286"/>
      <c r="N228" s="286"/>
      <c r="O228" s="285"/>
      <c r="P228" s="285"/>
      <c r="Q228" s="285"/>
      <c r="R228" s="278"/>
      <c r="S228" s="278"/>
      <c r="T228" s="278"/>
    </row>
    <row r="229" spans="1:28" s="305" customFormat="1" hidden="1" outlineLevel="1" x14ac:dyDescent="0.25">
      <c r="A229" s="278"/>
      <c r="B229" s="279" t="str">
        <f t="shared" si="82"/>
        <v/>
      </c>
      <c r="C229" s="278"/>
      <c r="D229" s="278"/>
      <c r="E229" s="278"/>
      <c r="F229" s="278"/>
      <c r="G229" s="278"/>
      <c r="H229" s="290"/>
      <c r="I229" s="280">
        <f t="shared" si="85"/>
        <v>0</v>
      </c>
      <c r="J229" s="281">
        <f t="shared" si="84"/>
        <v>0</v>
      </c>
      <c r="K229" s="282">
        <f>IF(Notes!$B$9="Domestic",I229, IF(Notes!$B$9="Commercial",J229))*$K$221</f>
        <v>0</v>
      </c>
      <c r="L229" s="283">
        <f>IF(SUM(O229:Q229)=0,0,(SUM(O229:Q229)+(K229+SUM(M229:Q229))*(INDEX($U$221:$AB$221,MATCH(Notes!$C$16,$U$3:$AB$3,0))-100%))*$L$221)</f>
        <v>0</v>
      </c>
      <c r="M229" s="286"/>
      <c r="N229" s="286"/>
      <c r="O229" s="285"/>
      <c r="P229" s="285"/>
      <c r="Q229" s="285"/>
      <c r="R229" s="278"/>
      <c r="S229" s="278"/>
      <c r="T229" s="278"/>
    </row>
    <row r="230" spans="1:28" s="305" customFormat="1" hidden="1" outlineLevel="1" x14ac:dyDescent="0.25">
      <c r="A230" s="278"/>
      <c r="B230" s="279" t="str">
        <f t="shared" si="82"/>
        <v/>
      </c>
      <c r="C230" s="278"/>
      <c r="D230" s="278"/>
      <c r="E230" s="278"/>
      <c r="F230" s="278"/>
      <c r="G230" s="278"/>
      <c r="H230" s="290"/>
      <c r="I230" s="280">
        <f t="shared" si="85"/>
        <v>0</v>
      </c>
      <c r="J230" s="281">
        <f t="shared" si="84"/>
        <v>0</v>
      </c>
      <c r="K230" s="282">
        <f>IF(Notes!$B$9="Domestic",I230, IF(Notes!$B$9="Commercial",J230))*$K$221</f>
        <v>0</v>
      </c>
      <c r="L230" s="283">
        <f>IF(SUM(O230:Q230)=0,0,(SUM(O230:Q230)+(K230+SUM(M230:Q230))*(INDEX($U$221:$AB$221,MATCH(Notes!$C$16,$U$3:$AB$3,0))-100%))*$L$221)</f>
        <v>0</v>
      </c>
      <c r="M230" s="286"/>
      <c r="N230" s="286"/>
      <c r="O230" s="285"/>
      <c r="P230" s="285"/>
      <c r="Q230" s="285"/>
      <c r="R230" s="278"/>
      <c r="S230" s="278"/>
      <c r="T230" s="278"/>
    </row>
    <row r="231" spans="1:28" s="305" customFormat="1" hidden="1" outlineLevel="1" x14ac:dyDescent="0.25">
      <c r="A231" s="278"/>
      <c r="B231" s="279" t="str">
        <f t="shared" si="82"/>
        <v/>
      </c>
      <c r="C231" s="278"/>
      <c r="D231" s="278"/>
      <c r="E231" s="278"/>
      <c r="F231" s="278"/>
      <c r="G231" s="278"/>
      <c r="H231" s="290"/>
      <c r="I231" s="280">
        <f t="shared" si="85"/>
        <v>0</v>
      </c>
      <c r="J231" s="281">
        <f t="shared" si="84"/>
        <v>0</v>
      </c>
      <c r="K231" s="282">
        <f>IF(Notes!$B$9="Domestic",I231, IF(Notes!$B$9="Commercial",J231))*$K$221</f>
        <v>0</v>
      </c>
      <c r="L231" s="283">
        <f>IF(SUM(O231:Q231)=0,0,(SUM(O231:Q231)+(K231+SUM(M231:Q231))*(INDEX($U$221:$AB$221,MATCH(Notes!$C$16,$U$3:$AB$3,0))-100%))*$L$221)</f>
        <v>0</v>
      </c>
      <c r="M231" s="286"/>
      <c r="N231" s="286"/>
      <c r="O231" s="285"/>
      <c r="P231" s="285"/>
      <c r="Q231" s="285"/>
      <c r="R231" s="278"/>
      <c r="S231" s="278"/>
      <c r="T231" s="278"/>
    </row>
    <row r="232" spans="1:28" ht="21" hidden="1" outlineLevel="1" x14ac:dyDescent="0.25">
      <c r="A232" s="299"/>
      <c r="B232" s="299"/>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row>
    <row r="233" spans="1:28" ht="15.75" hidden="1" outlineLevel="1" x14ac:dyDescent="0.25">
      <c r="A233" s="291"/>
      <c r="B233" s="291"/>
      <c r="C233" s="291"/>
      <c r="D233" s="291"/>
      <c r="E233" s="291"/>
      <c r="F233" s="291"/>
      <c r="G233" s="291"/>
      <c r="H233" s="291"/>
      <c r="I233" s="291"/>
      <c r="J233" s="291"/>
      <c r="K233" s="291">
        <f>K$2</f>
        <v>1</v>
      </c>
      <c r="L233" s="291">
        <f>L$2</f>
        <v>1</v>
      </c>
      <c r="M233" s="291"/>
      <c r="N233" s="291"/>
      <c r="O233" s="303"/>
      <c r="P233" s="303"/>
      <c r="Q233" s="303"/>
      <c r="R233" s="291"/>
      <c r="S233" s="291"/>
      <c r="T233" s="291"/>
      <c r="U233" s="291">
        <f>U$2</f>
        <v>1</v>
      </c>
      <c r="V233" s="291">
        <f>V$2</f>
        <v>1</v>
      </c>
      <c r="W233" s="291">
        <f t="shared" ref="W233:AB233" si="86">W$2</f>
        <v>1</v>
      </c>
      <c r="X233" s="291">
        <f t="shared" si="86"/>
        <v>1</v>
      </c>
      <c r="Y233" s="291">
        <f t="shared" si="86"/>
        <v>1</v>
      </c>
      <c r="Z233" s="291">
        <f t="shared" si="86"/>
        <v>1</v>
      </c>
      <c r="AA233" s="291">
        <f t="shared" si="86"/>
        <v>1</v>
      </c>
      <c r="AB233" s="291">
        <f t="shared" si="86"/>
        <v>1</v>
      </c>
    </row>
    <row r="234" spans="1:28" s="305" customFormat="1" hidden="1" outlineLevel="1" x14ac:dyDescent="0.25">
      <c r="A234" s="278"/>
      <c r="B234" s="279" t="str">
        <f>C234&amp;D234&amp;E234&amp;F234</f>
        <v/>
      </c>
      <c r="C234" s="278"/>
      <c r="D234" s="278"/>
      <c r="E234" s="278"/>
      <c r="F234" s="278"/>
      <c r="G234" s="278"/>
      <c r="H234" s="290"/>
      <c r="I234" s="280">
        <f>$I$2*H234</f>
        <v>0</v>
      </c>
      <c r="J234" s="281">
        <f>$J$2*H234</f>
        <v>0</v>
      </c>
      <c r="K234" s="282">
        <f>IF(Notes!$B$9="Domestic",I234, IF(Notes!$B$9="Commercial",J234))*$K$233</f>
        <v>0</v>
      </c>
      <c r="L234" s="283">
        <f>IF(SUM(O234:Q234)=0,0,(SUM(O234:Q234)+(K234+SUM(M234:Q234))*(INDEX($U$233:$AB$233,MATCH(Notes!$C$16,$U$3:$AB$3,0))-100%))*$L$233)</f>
        <v>0</v>
      </c>
      <c r="M234" s="286"/>
      <c r="N234" s="286"/>
      <c r="O234" s="285"/>
      <c r="P234" s="285"/>
      <c r="Q234" s="285"/>
      <c r="R234" s="278"/>
      <c r="S234" s="278"/>
      <c r="T234" s="278"/>
    </row>
    <row r="235" spans="1:28" s="305" customFormat="1" hidden="1" outlineLevel="1" x14ac:dyDescent="0.25">
      <c r="A235" s="278"/>
      <c r="B235" s="279" t="str">
        <f t="shared" ref="B235:B243" si="87">C235&amp;D235&amp;E235&amp;F235</f>
        <v/>
      </c>
      <c r="C235" s="278"/>
      <c r="D235" s="278"/>
      <c r="E235" s="278"/>
      <c r="F235" s="278"/>
      <c r="G235" s="278"/>
      <c r="H235" s="290"/>
      <c r="I235" s="280">
        <f t="shared" ref="I235:I243" si="88">$I$2*H235</f>
        <v>0</v>
      </c>
      <c r="J235" s="281">
        <f t="shared" ref="J235:J243" si="89">$J$2*H235</f>
        <v>0</v>
      </c>
      <c r="K235" s="282">
        <f>IF(Notes!$B$9="Domestic",I235, IF(Notes!$B$9="Commercial",J235))*$K$233</f>
        <v>0</v>
      </c>
      <c r="L235" s="283">
        <f>IF(SUM(O235:Q235)=0,0,(SUM(O235:Q235)+(K235+SUM(M235:Q235))*(INDEX($U$233:$AB$233,MATCH(Notes!$C$16,$U$3:$AB$3,0))-100%))*$L$233)</f>
        <v>0</v>
      </c>
      <c r="M235" s="286"/>
      <c r="N235" s="286"/>
      <c r="O235" s="285"/>
      <c r="P235" s="285"/>
      <c r="Q235" s="285"/>
      <c r="R235" s="278"/>
      <c r="S235" s="278"/>
      <c r="T235" s="278"/>
    </row>
    <row r="236" spans="1:28" s="305" customFormat="1" hidden="1" outlineLevel="1" x14ac:dyDescent="0.25">
      <c r="A236" s="278"/>
      <c r="B236" s="279" t="str">
        <f t="shared" si="87"/>
        <v/>
      </c>
      <c r="C236" s="278"/>
      <c r="D236" s="278"/>
      <c r="E236" s="278"/>
      <c r="F236" s="278"/>
      <c r="G236" s="278"/>
      <c r="H236" s="290"/>
      <c r="I236" s="280">
        <f t="shared" si="88"/>
        <v>0</v>
      </c>
      <c r="J236" s="281">
        <f t="shared" si="89"/>
        <v>0</v>
      </c>
      <c r="K236" s="282">
        <f>IF(Notes!$B$9="Domestic",I236, IF(Notes!$B$9="Commercial",J236))*$K$233</f>
        <v>0</v>
      </c>
      <c r="L236" s="283">
        <f>IF(SUM(O236:Q236)=0,0,(SUM(O236:Q236)+(K236+SUM(M236:Q236))*(INDEX($U$233:$AB$233,MATCH(Notes!$C$16,$U$3:$AB$3,0))-100%))*$L$233)</f>
        <v>0</v>
      </c>
      <c r="M236" s="286"/>
      <c r="N236" s="286"/>
      <c r="O236" s="285"/>
      <c r="P236" s="285"/>
      <c r="Q236" s="285"/>
      <c r="R236" s="278"/>
      <c r="S236" s="278"/>
      <c r="T236" s="278"/>
    </row>
    <row r="237" spans="1:28" s="305" customFormat="1" hidden="1" outlineLevel="1" x14ac:dyDescent="0.25">
      <c r="A237" s="278"/>
      <c r="B237" s="279" t="str">
        <f t="shared" si="87"/>
        <v/>
      </c>
      <c r="C237" s="278"/>
      <c r="D237" s="278"/>
      <c r="E237" s="278"/>
      <c r="F237" s="278"/>
      <c r="G237" s="278"/>
      <c r="H237" s="290"/>
      <c r="I237" s="280">
        <f t="shared" si="88"/>
        <v>0</v>
      </c>
      <c r="J237" s="281">
        <f t="shared" si="89"/>
        <v>0</v>
      </c>
      <c r="K237" s="282">
        <f>IF(Notes!$B$9="Domestic",I237, IF(Notes!$B$9="Commercial",J237))*$K$233</f>
        <v>0</v>
      </c>
      <c r="L237" s="283">
        <f>IF(SUM(O237:Q237)=0,0,(SUM(O237:Q237)+(K237+SUM(M237:Q237))*(INDEX($U$233:$AB$233,MATCH(Notes!$C$16,$U$3:$AB$3,0))-100%))*$L$233)</f>
        <v>0</v>
      </c>
      <c r="M237" s="286"/>
      <c r="N237" s="286"/>
      <c r="O237" s="285"/>
      <c r="P237" s="285"/>
      <c r="Q237" s="285"/>
      <c r="R237" s="278"/>
      <c r="S237" s="278"/>
      <c r="T237" s="278"/>
    </row>
    <row r="238" spans="1:28" s="305" customFormat="1" hidden="1" outlineLevel="1" x14ac:dyDescent="0.25">
      <c r="A238" s="278"/>
      <c r="B238" s="279" t="str">
        <f t="shared" si="87"/>
        <v/>
      </c>
      <c r="C238" s="278"/>
      <c r="D238" s="278"/>
      <c r="E238" s="278"/>
      <c r="F238" s="278"/>
      <c r="G238" s="278"/>
      <c r="H238" s="290"/>
      <c r="I238" s="280">
        <f>$I$2*H238</f>
        <v>0</v>
      </c>
      <c r="J238" s="281">
        <f t="shared" si="89"/>
        <v>0</v>
      </c>
      <c r="K238" s="282">
        <f>IF(Notes!$B$9="Domestic",I238, IF(Notes!$B$9="Commercial",J238))*$K$233</f>
        <v>0</v>
      </c>
      <c r="L238" s="283">
        <f>IF(SUM(O238:Q238)=0,0,(SUM(O238:Q238)+(K238+SUM(M238:Q238))*(INDEX($U$233:$AB$233,MATCH(Notes!$C$16,$U$3:$AB$3,0))-100%))*$L$233)</f>
        <v>0</v>
      </c>
      <c r="M238" s="286"/>
      <c r="N238" s="286"/>
      <c r="O238" s="285"/>
      <c r="P238" s="285"/>
      <c r="Q238" s="285"/>
      <c r="R238" s="278"/>
      <c r="S238" s="278"/>
      <c r="T238" s="278"/>
    </row>
    <row r="239" spans="1:28" s="305" customFormat="1" hidden="1" outlineLevel="1" x14ac:dyDescent="0.25">
      <c r="A239" s="278"/>
      <c r="B239" s="279" t="str">
        <f t="shared" si="87"/>
        <v/>
      </c>
      <c r="C239" s="278"/>
      <c r="D239" s="278"/>
      <c r="E239" s="278"/>
      <c r="F239" s="278"/>
      <c r="G239" s="278"/>
      <c r="H239" s="290"/>
      <c r="I239" s="280">
        <f t="shared" si="88"/>
        <v>0</v>
      </c>
      <c r="J239" s="281">
        <f t="shared" si="89"/>
        <v>0</v>
      </c>
      <c r="K239" s="282">
        <f>IF(Notes!$B$9="Domestic",I239, IF(Notes!$B$9="Commercial",J239))*$K$233</f>
        <v>0</v>
      </c>
      <c r="L239" s="283">
        <f>IF(SUM(O239:Q239)=0,0,(SUM(O239:Q239)+(K239+SUM(M239:Q239))*(INDEX($U$233:$AB$233,MATCH(Notes!$C$16,$U$3:$AB$3,0))-100%))*$L$233)</f>
        <v>0</v>
      </c>
      <c r="M239" s="286"/>
      <c r="N239" s="286"/>
      <c r="O239" s="285"/>
      <c r="P239" s="285"/>
      <c r="Q239" s="285"/>
      <c r="R239" s="278"/>
      <c r="S239" s="278"/>
      <c r="T239" s="278"/>
    </row>
    <row r="240" spans="1:28" s="305" customFormat="1" hidden="1" outlineLevel="1" x14ac:dyDescent="0.25">
      <c r="A240" s="278"/>
      <c r="B240" s="279" t="str">
        <f t="shared" si="87"/>
        <v/>
      </c>
      <c r="C240" s="278"/>
      <c r="D240" s="278"/>
      <c r="E240" s="278"/>
      <c r="F240" s="278"/>
      <c r="G240" s="278"/>
      <c r="H240" s="290"/>
      <c r="I240" s="280">
        <f t="shared" si="88"/>
        <v>0</v>
      </c>
      <c r="J240" s="281">
        <f t="shared" si="89"/>
        <v>0</v>
      </c>
      <c r="K240" s="282">
        <f>IF(Notes!$B$9="Domestic",I240, IF(Notes!$B$9="Commercial",J240))*$K$233</f>
        <v>0</v>
      </c>
      <c r="L240" s="283">
        <f>IF(SUM(O240:Q240)=0,0,(SUM(O240:Q240)+(K240+SUM(M240:Q240))*(INDEX($U$233:$AB$233,MATCH(Notes!$C$16,$U$3:$AB$3,0))-100%))*$L$233)</f>
        <v>0</v>
      </c>
      <c r="M240" s="286"/>
      <c r="N240" s="286"/>
      <c r="O240" s="285"/>
      <c r="P240" s="285"/>
      <c r="Q240" s="285"/>
      <c r="R240" s="278"/>
      <c r="S240" s="278"/>
      <c r="T240" s="278"/>
    </row>
    <row r="241" spans="1:20" s="305" customFormat="1" hidden="1" outlineLevel="1" x14ac:dyDescent="0.25">
      <c r="A241" s="278"/>
      <c r="B241" s="279" t="str">
        <f t="shared" si="87"/>
        <v/>
      </c>
      <c r="C241" s="278"/>
      <c r="D241" s="278"/>
      <c r="E241" s="278"/>
      <c r="F241" s="278"/>
      <c r="G241" s="278"/>
      <c r="H241" s="290"/>
      <c r="I241" s="280">
        <f t="shared" si="88"/>
        <v>0</v>
      </c>
      <c r="J241" s="281">
        <f t="shared" si="89"/>
        <v>0</v>
      </c>
      <c r="K241" s="282">
        <f>IF(Notes!$B$9="Domestic",I241, IF(Notes!$B$9="Commercial",J241))*$K$233</f>
        <v>0</v>
      </c>
      <c r="L241" s="283">
        <f>IF(SUM(O241:Q241)=0,0,(SUM(O241:Q241)+(K241+SUM(M241:Q241))*(INDEX($U$233:$AB$233,MATCH(Notes!$C$16,$U$3:$AB$3,0))-100%))*$L$233)</f>
        <v>0</v>
      </c>
      <c r="M241" s="286"/>
      <c r="N241" s="286"/>
      <c r="O241" s="285"/>
      <c r="P241" s="285"/>
      <c r="Q241" s="285"/>
      <c r="R241" s="278"/>
      <c r="S241" s="278"/>
      <c r="T241" s="278"/>
    </row>
    <row r="242" spans="1:20" s="305" customFormat="1" hidden="1" outlineLevel="1" x14ac:dyDescent="0.25">
      <c r="A242" s="278"/>
      <c r="B242" s="279" t="str">
        <f t="shared" si="87"/>
        <v/>
      </c>
      <c r="C242" s="278"/>
      <c r="D242" s="278"/>
      <c r="E242" s="278"/>
      <c r="F242" s="278"/>
      <c r="G242" s="278"/>
      <c r="H242" s="290"/>
      <c r="I242" s="280">
        <f t="shared" si="88"/>
        <v>0</v>
      </c>
      <c r="J242" s="281">
        <f t="shared" si="89"/>
        <v>0</v>
      </c>
      <c r="K242" s="282">
        <f>IF(Notes!$B$9="Domestic",I242, IF(Notes!$B$9="Commercial",J242))*$K$233</f>
        <v>0</v>
      </c>
      <c r="L242" s="283">
        <f>IF(SUM(O242:Q242)=0,0,(SUM(O242:Q242)+(K242+SUM(M242:Q242))*(INDEX($U$233:$AB$233,MATCH(Notes!$C$16,$U$3:$AB$3,0))-100%))*$L$233)</f>
        <v>0</v>
      </c>
      <c r="M242" s="286"/>
      <c r="N242" s="286"/>
      <c r="O242" s="285"/>
      <c r="P242" s="285"/>
      <c r="Q242" s="285"/>
      <c r="R242" s="278"/>
      <c r="S242" s="278"/>
      <c r="T242" s="278"/>
    </row>
    <row r="243" spans="1:20" s="305" customFormat="1" hidden="1" outlineLevel="1" x14ac:dyDescent="0.25">
      <c r="A243" s="278"/>
      <c r="B243" s="279" t="str">
        <f t="shared" si="87"/>
        <v/>
      </c>
      <c r="C243" s="278"/>
      <c r="D243" s="278"/>
      <c r="E243" s="278"/>
      <c r="F243" s="278"/>
      <c r="G243" s="278"/>
      <c r="H243" s="290"/>
      <c r="I243" s="280">
        <f t="shared" si="88"/>
        <v>0</v>
      </c>
      <c r="J243" s="281">
        <f t="shared" si="89"/>
        <v>0</v>
      </c>
      <c r="K243" s="282">
        <f>IF(Notes!$B$9="Domestic",I243, IF(Notes!$B$9="Commercial",J243))*$K$233</f>
        <v>0</v>
      </c>
      <c r="L243" s="283">
        <f>IF(SUM(O243:Q243)=0,0,(SUM(O243:Q243)+(K243+SUM(M243:Q243))*(INDEX($U$233:$AB$233,MATCH(Notes!$C$16,$U$3:$AB$3,0))-100%))*$L$233)</f>
        <v>0</v>
      </c>
      <c r="M243" s="286"/>
      <c r="N243" s="286"/>
      <c r="O243" s="285"/>
      <c r="P243" s="285"/>
      <c r="Q243" s="285"/>
      <c r="R243" s="278"/>
      <c r="S243" s="278"/>
      <c r="T243" s="278"/>
    </row>
    <row r="244" spans="1:20" hidden="1" outlineLevel="1" x14ac:dyDescent="0.25">
      <c r="A244" s="284" t="str">
        <f>C244&amp;D244&amp;E244</f>
        <v/>
      </c>
      <c r="B244" s="284"/>
      <c r="C244" s="284"/>
      <c r="D244" s="284"/>
      <c r="E244" s="284"/>
      <c r="F244" s="284"/>
      <c r="G244" s="284"/>
      <c r="H244" s="284"/>
      <c r="I244" s="284"/>
      <c r="J244" s="284"/>
      <c r="K244" s="284"/>
      <c r="L244" s="284"/>
      <c r="M244" s="284"/>
      <c r="N244" s="284"/>
      <c r="O244" s="284"/>
      <c r="P244" s="284"/>
      <c r="Q244" s="284"/>
      <c r="R244" s="284"/>
      <c r="S244" s="284"/>
      <c r="T244" s="284"/>
    </row>
    <row r="245" spans="1:20" hidden="1" outlineLevel="1" x14ac:dyDescent="0.25"/>
    <row r="246" spans="1:20" hidden="1" outlineLevel="1" x14ac:dyDescent="0.25"/>
    <row r="247" spans="1:20" collapsed="1" x14ac:dyDescent="0.25"/>
  </sheetData>
  <sheetProtection algorithmName="SHA-512" hashValue="JBVEWJcBv/ZNa0vg7g9pzMULgoe6kBpiw8qW6KcJEO56vcdfo5BjGxpGtLxHL0ggf24NsjfctvinZYNMvcOEWg==" saltValue="/CVZcga7ro2W9MBW/ZqD9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E4652-D4E1-445D-BA4B-CE2BD384E34A}">
  <sheetPr codeName="Sheet8">
    <tabColor rgb="FF0070C0"/>
  </sheetPr>
  <dimension ref="A2:K37"/>
  <sheetViews>
    <sheetView workbookViewId="0"/>
  </sheetViews>
  <sheetFormatPr defaultColWidth="9.140625" defaultRowHeight="15" outlineLevelRow="1" x14ac:dyDescent="0.25"/>
  <cols>
    <col min="2" max="2" width="27.5703125" bestFit="1" customWidth="1"/>
    <col min="3" max="3" width="27.140625" customWidth="1"/>
    <col min="4" max="5" width="9" bestFit="1" customWidth="1"/>
    <col min="6" max="6" width="12.42578125" customWidth="1"/>
    <col min="7" max="7" width="5.5703125" customWidth="1"/>
    <col min="8" max="8" width="34.42578125" customWidth="1"/>
    <col min="9" max="10" width="13" customWidth="1"/>
    <col min="11" max="11" width="11.5703125" style="231" customWidth="1"/>
  </cols>
  <sheetData>
    <row r="2" spans="1:11" hidden="1" outlineLevel="1" x14ac:dyDescent="0.25"/>
    <row r="3" spans="1:11" s="232" customFormat="1" ht="45" hidden="1" outlineLevel="1" x14ac:dyDescent="0.25">
      <c r="B3" s="233" t="s">
        <v>679</v>
      </c>
      <c r="C3" s="233" t="s">
        <v>680</v>
      </c>
      <c r="D3" s="233" t="s">
        <v>681</v>
      </c>
      <c r="E3" s="233" t="s">
        <v>682</v>
      </c>
      <c r="F3" s="234" t="s">
        <v>683</v>
      </c>
      <c r="H3" s="350" t="s">
        <v>684</v>
      </c>
      <c r="I3" s="233" t="s">
        <v>2192</v>
      </c>
      <c r="J3" s="233" t="s">
        <v>2193</v>
      </c>
      <c r="K3" s="234" t="s">
        <v>683</v>
      </c>
    </row>
    <row r="4" spans="1:11" hidden="1" outlineLevel="1" x14ac:dyDescent="0.25">
      <c r="A4" s="230">
        <f>SUMMARY!A6</f>
        <v>1</v>
      </c>
      <c r="B4" s="10" t="str">
        <f ca="1">SUMMARY!B6</f>
        <v>PRELIMINARIES</v>
      </c>
      <c r="C4" s="10" t="s">
        <v>697</v>
      </c>
      <c r="D4" s="2">
        <f>IF($C4="",0,IF(Notes!$B$9="Domestic",INDEX(I$3:I$35,MATCH(C4,H$3:H$35,0)),IF(Notes!$B$9="Commercial",INDEX(J$3:J$35,MATCH(C4,H$3:H$35,0)))))</f>
        <v>80.84</v>
      </c>
      <c r="E4" s="2">
        <f>IFERROR(Notes!E102,0)</f>
        <v>80.84</v>
      </c>
      <c r="F4" s="235">
        <v>1</v>
      </c>
      <c r="H4" s="352" t="s">
        <v>685</v>
      </c>
      <c r="I4" s="219">
        <v>133.79</v>
      </c>
      <c r="J4" s="219">
        <v>133.79</v>
      </c>
      <c r="K4" s="236">
        <f>J4/I4</f>
        <v>1</v>
      </c>
    </row>
    <row r="5" spans="1:11" hidden="1" outlineLevel="1" x14ac:dyDescent="0.25">
      <c r="A5" s="230">
        <f>SUMMARY!A7</f>
        <v>2</v>
      </c>
      <c r="B5" s="10" t="str">
        <f ca="1">SUMMARY!B7</f>
        <v>SCAFFOLDING</v>
      </c>
      <c r="C5" s="10" t="s">
        <v>697</v>
      </c>
      <c r="D5" s="2">
        <f>IF($C5="",0,IF(Notes!$B$9="Domestic",INDEX(I$3:I$35,MATCH(C5,H$3:H$35,0)),IF(Notes!$B$9="Commercial",INDEX(J$3:J$35,MATCH(C5,H$3:H$35,0)))))</f>
        <v>80.84</v>
      </c>
      <c r="E5" s="2">
        <f>IFERROR(Notes!E103,0)</f>
        <v>80.84</v>
      </c>
      <c r="F5" s="235">
        <f>IFERROR(E5/D5,0)</f>
        <v>1</v>
      </c>
      <c r="H5" s="352" t="s">
        <v>686</v>
      </c>
      <c r="I5" s="219">
        <v>80.62</v>
      </c>
      <c r="J5" s="219">
        <v>91.43</v>
      </c>
      <c r="K5" s="236">
        <f t="shared" ref="K5:K9" si="0">J5/I5</f>
        <v>1.1340858347804514</v>
      </c>
    </row>
    <row r="6" spans="1:11" hidden="1" outlineLevel="1" x14ac:dyDescent="0.25">
      <c r="A6" s="230">
        <f>SUMMARY!A8</f>
        <v>3</v>
      </c>
      <c r="B6" s="10" t="str">
        <f ca="1">SUMMARY!B8</f>
        <v>DEMOLITION</v>
      </c>
      <c r="C6" s="10" t="s">
        <v>698</v>
      </c>
      <c r="D6" s="2">
        <f>IF($C6="",0,IF(Notes!$B$9="Domestic",INDEX(I$3:I$35,MATCH(C6,H$3:H$35,0)),IF(Notes!$B$9="Commercial",INDEX(J$3:J$35,MATCH(C6,H$3:H$35,0)))))</f>
        <v>70.55</v>
      </c>
      <c r="E6" s="2">
        <f>IFERROR(Notes!E104,0)</f>
        <v>70.55</v>
      </c>
      <c r="F6" s="235">
        <f t="shared" ref="F6:F35" si="1">IFERROR(E6/D6,0)</f>
        <v>1</v>
      </c>
      <c r="G6" s="237"/>
      <c r="H6" s="352" t="s">
        <v>687</v>
      </c>
      <c r="I6" s="219">
        <v>81.290000000000006</v>
      </c>
      <c r="J6" s="219">
        <v>95.58</v>
      </c>
      <c r="K6" s="236">
        <f t="shared" si="0"/>
        <v>1.175790380120556</v>
      </c>
    </row>
    <row r="7" spans="1:11" hidden="1" outlineLevel="1" x14ac:dyDescent="0.25">
      <c r="A7" s="230">
        <f>SUMMARY!A9</f>
        <v>4</v>
      </c>
      <c r="B7" s="10" t="str">
        <f ca="1">SUMMARY!B9</f>
        <v>CIVIL</v>
      </c>
      <c r="C7" s="10" t="s">
        <v>697</v>
      </c>
      <c r="D7" s="2">
        <f>IF($C7="",0,IF(Notes!$B$9="Domestic",INDEX(I$3:I$35,MATCH(C7,H$3:H$35,0)),IF(Notes!$B$9="Commercial",INDEX(J$3:J$35,MATCH(C7,H$3:H$35,0)))))</f>
        <v>80.84</v>
      </c>
      <c r="E7" s="2">
        <f>IFERROR(Notes!E105,0)</f>
        <v>80.84</v>
      </c>
      <c r="F7" s="235">
        <f t="shared" si="1"/>
        <v>1</v>
      </c>
      <c r="H7" s="352" t="s">
        <v>688</v>
      </c>
      <c r="I7" s="219">
        <v>86.54</v>
      </c>
      <c r="J7" s="219">
        <v>97.55</v>
      </c>
      <c r="K7" s="236">
        <f t="shared" si="0"/>
        <v>1.1272244048994684</v>
      </c>
    </row>
    <row r="8" spans="1:11" hidden="1" outlineLevel="1" x14ac:dyDescent="0.25">
      <c r="A8" s="230">
        <f>SUMMARY!A10</f>
        <v>5</v>
      </c>
      <c r="B8" s="10" t="str">
        <f ca="1">SUMMARY!B10</f>
        <v>DETAILED EXCAVATION</v>
      </c>
      <c r="C8" s="10" t="s">
        <v>697</v>
      </c>
      <c r="D8" s="2">
        <f>IF($C8="",0,IF(Notes!$B$9="Domestic",INDEX(I$3:I$35,MATCH(C8,H$3:H$35,0)),IF(Notes!$B$9="Commercial",INDEX(J$3:J$35,MATCH(C8,H$3:H$35,0)))))</f>
        <v>80.84</v>
      </c>
      <c r="E8" s="2">
        <f>IFERROR(Notes!E106,0)</f>
        <v>80.84</v>
      </c>
      <c r="F8" s="235">
        <f t="shared" si="1"/>
        <v>1</v>
      </c>
      <c r="H8" s="352" t="s">
        <v>689</v>
      </c>
      <c r="I8" s="219">
        <v>83.84</v>
      </c>
      <c r="J8" s="219">
        <v>98.49</v>
      </c>
      <c r="K8" s="236">
        <f t="shared" si="0"/>
        <v>1.1747375954198471</v>
      </c>
    </row>
    <row r="9" spans="1:11" hidden="1" outlineLevel="1" x14ac:dyDescent="0.25">
      <c r="A9" s="230">
        <f>SUMMARY!A11</f>
        <v>6</v>
      </c>
      <c r="B9" s="10" t="str">
        <f ca="1">SUMMARY!B11</f>
        <v>CONCRETE</v>
      </c>
      <c r="C9" s="10" t="s">
        <v>697</v>
      </c>
      <c r="D9" s="2">
        <f>IF($C9="",0,IF(Notes!$B$9="Domestic",INDEX(I$3:I$35,MATCH(C9,H$3:H$35,0)),IF(Notes!$B$9="Commercial",INDEX(J$3:J$35,MATCH(C9,H$3:H$35,0)))))</f>
        <v>80.84</v>
      </c>
      <c r="E9" s="2">
        <f>IFERROR(Notes!E107,0)</f>
        <v>80.84</v>
      </c>
      <c r="F9" s="235">
        <f t="shared" si="1"/>
        <v>1</v>
      </c>
      <c r="H9" s="352" t="s">
        <v>1887</v>
      </c>
      <c r="I9" s="219">
        <v>85.33</v>
      </c>
      <c r="J9" s="219">
        <v>100.05</v>
      </c>
      <c r="K9" s="236">
        <f t="shared" si="0"/>
        <v>1.1725067385444743</v>
      </c>
    </row>
    <row r="10" spans="1:11" hidden="1" outlineLevel="1" x14ac:dyDescent="0.25">
      <c r="A10" s="230">
        <f>SUMMARY!A12</f>
        <v>7</v>
      </c>
      <c r="B10" s="10" t="str">
        <f ca="1">SUMMARY!B12</f>
        <v>FORMWORK</v>
      </c>
      <c r="C10" s="10" t="s">
        <v>697</v>
      </c>
      <c r="D10" s="2">
        <f>IF($C10="",0,IF(Notes!$B$9="Domestic",INDEX(I$3:I$35,MATCH(C10,H$3:H$35,0)),IF(Notes!$B$9="Commercial",INDEX(J$3:J$35,MATCH(C10,H$3:H$35,0)))))</f>
        <v>80.84</v>
      </c>
      <c r="E10" s="2">
        <f>IFERROR(Notes!E108,0)</f>
        <v>80.84</v>
      </c>
      <c r="F10" s="235">
        <f t="shared" si="1"/>
        <v>1</v>
      </c>
      <c r="H10" s="352" t="s">
        <v>690</v>
      </c>
      <c r="I10" s="219">
        <v>73.66</v>
      </c>
      <c r="J10" s="219">
        <v>97.75</v>
      </c>
      <c r="K10" s="236">
        <f t="shared" ref="K10:K16" si="2">J10/I10</f>
        <v>1.327043171327722</v>
      </c>
    </row>
    <row r="11" spans="1:11" hidden="1" outlineLevel="1" x14ac:dyDescent="0.25">
      <c r="A11" s="230">
        <f>SUMMARY!A13</f>
        <v>8</v>
      </c>
      <c r="B11" s="10" t="str">
        <f ca="1">SUMMARY!B13</f>
        <v>REINFORCEMENT</v>
      </c>
      <c r="C11" s="10" t="s">
        <v>697</v>
      </c>
      <c r="D11" s="2">
        <f>IF($C11="",0,IF(Notes!$B$9="Domestic",INDEX(I$3:I$35,MATCH(C11,H$3:H$35,0)),IF(Notes!$B$9="Commercial",INDEX(J$3:J$35,MATCH(C11,H$3:H$35,0)))))</f>
        <v>80.84</v>
      </c>
      <c r="E11" s="2">
        <f>IFERROR(Notes!E109,0)</f>
        <v>80.84</v>
      </c>
      <c r="F11" s="235">
        <f t="shared" si="1"/>
        <v>1</v>
      </c>
      <c r="H11" s="352" t="s">
        <v>691</v>
      </c>
      <c r="I11" s="219">
        <v>75.819999999999993</v>
      </c>
      <c r="J11" s="219">
        <v>83.7</v>
      </c>
      <c r="K11" s="236">
        <f t="shared" si="2"/>
        <v>1.1039303613822211</v>
      </c>
    </row>
    <row r="12" spans="1:11" hidden="1" outlineLevel="1" x14ac:dyDescent="0.25">
      <c r="A12" s="230">
        <f>SUMMARY!A14</f>
        <v>9</v>
      </c>
      <c r="B12" s="10" t="str">
        <f ca="1">SUMMARY!B14</f>
        <v>TERMITE PROTECTION</v>
      </c>
      <c r="C12" s="10" t="s">
        <v>697</v>
      </c>
      <c r="D12" s="2">
        <f>IF($C12="",0,IF(Notes!$B$9="Domestic",INDEX(I$3:I$35,MATCH(C12,H$3:H$35,0)),IF(Notes!$B$9="Commercial",INDEX(J$3:J$35,MATCH(C12,H$3:H$35,0)))))</f>
        <v>80.84</v>
      </c>
      <c r="E12" s="2">
        <f>IFERROR(Notes!E110,0)</f>
        <v>80.84</v>
      </c>
      <c r="F12" s="235">
        <f t="shared" si="1"/>
        <v>1</v>
      </c>
      <c r="H12" s="352" t="s">
        <v>692</v>
      </c>
      <c r="I12" s="219">
        <v>75.819999999999993</v>
      </c>
      <c r="J12" s="219">
        <v>86.05</v>
      </c>
      <c r="K12" s="236">
        <f t="shared" si="2"/>
        <v>1.1349248219467161</v>
      </c>
    </row>
    <row r="13" spans="1:11" hidden="1" outlineLevel="1" x14ac:dyDescent="0.25">
      <c r="A13" s="230">
        <f>SUMMARY!A15</f>
        <v>10</v>
      </c>
      <c r="B13" s="10" t="str">
        <f ca="1">SUMMARY!B15</f>
        <v>ROOFING &amp; METAL CLADDING</v>
      </c>
      <c r="C13" s="10" t="s">
        <v>690</v>
      </c>
      <c r="D13" s="2">
        <f>IF($C13="",0,IF(Notes!$B$9="Domestic",INDEX(I$3:I$35,MATCH(C13,H$3:H$35,0)),IF(Notes!$B$9="Commercial",INDEX(J$3:J$35,MATCH(C13,H$3:H$35,0)))))</f>
        <v>97.75</v>
      </c>
      <c r="E13" s="2">
        <f>IFERROR(Notes!E111,0)</f>
        <v>97.75</v>
      </c>
      <c r="F13" s="235">
        <f t="shared" si="1"/>
        <v>1</v>
      </c>
      <c r="H13" s="352" t="s">
        <v>693</v>
      </c>
      <c r="I13" s="219">
        <v>70.12</v>
      </c>
      <c r="J13" s="219">
        <v>79.77</v>
      </c>
      <c r="K13" s="236">
        <f t="shared" si="2"/>
        <v>1.1376212207644036</v>
      </c>
    </row>
    <row r="14" spans="1:11" hidden="1" outlineLevel="1" x14ac:dyDescent="0.25">
      <c r="A14" s="230">
        <f>SUMMARY!A16</f>
        <v>11</v>
      </c>
      <c r="B14" s="10" t="str">
        <f ca="1">SUMMARY!B16</f>
        <v>EXTERNAL CLADDING</v>
      </c>
      <c r="C14" s="10" t="s">
        <v>686</v>
      </c>
      <c r="D14" s="2">
        <f>IF($C14="",0,IF(Notes!$B$9="Domestic",INDEX(I$3:I$35,MATCH(C14,H$3:H$35,0)),IF(Notes!$B$9="Commercial",INDEX(J$3:J$35,MATCH(C14,H$3:H$35,0)))))</f>
        <v>91.43</v>
      </c>
      <c r="E14" s="2">
        <f>IFERROR(Notes!E112,0)</f>
        <v>91.43</v>
      </c>
      <c r="F14" s="235">
        <f t="shared" si="1"/>
        <v>1</v>
      </c>
      <c r="H14" s="352" t="s">
        <v>694</v>
      </c>
      <c r="I14" s="219">
        <v>74.8</v>
      </c>
      <c r="J14" s="219">
        <v>83.18</v>
      </c>
      <c r="K14" s="236">
        <f t="shared" si="2"/>
        <v>1.1120320855614974</v>
      </c>
    </row>
    <row r="15" spans="1:11" hidden="1" outlineLevel="1" x14ac:dyDescent="0.25">
      <c r="A15" s="230">
        <f>SUMMARY!A17</f>
        <v>12</v>
      </c>
      <c r="B15" s="10" t="str">
        <f ca="1">SUMMARY!B17</f>
        <v>CEILINGS &amp; PARTITIONS</v>
      </c>
      <c r="C15" s="10" t="s">
        <v>692</v>
      </c>
      <c r="D15" s="2">
        <f>IF($C15="",0,IF(Notes!$B$9="Domestic",INDEX(I$3:I$35,MATCH(C15,H$3:H$35,0)),IF(Notes!$B$9="Commercial",INDEX(J$3:J$35,MATCH(C15,H$3:H$35,0)))))</f>
        <v>86.05</v>
      </c>
      <c r="E15" s="2">
        <f>IFERROR(Notes!E113,0)</f>
        <v>86.05</v>
      </c>
      <c r="F15" s="235">
        <f t="shared" si="1"/>
        <v>1</v>
      </c>
      <c r="H15" s="352" t="s">
        <v>695</v>
      </c>
      <c r="I15" s="219">
        <v>74.38</v>
      </c>
      <c r="J15" s="219">
        <v>81.39</v>
      </c>
      <c r="K15" s="236">
        <f t="shared" si="2"/>
        <v>1.094245764990589</v>
      </c>
    </row>
    <row r="16" spans="1:11" hidden="1" outlineLevel="1" x14ac:dyDescent="0.25">
      <c r="A16" s="230">
        <f>SUMMARY!A18</f>
        <v>13</v>
      </c>
      <c r="B16" s="10" t="str">
        <f ca="1">SUMMARY!B18</f>
        <v>CARPENTRY</v>
      </c>
      <c r="C16" s="10" t="s">
        <v>686</v>
      </c>
      <c r="D16" s="2">
        <f>IF($C16="",0,IF(Notes!$B$9="Domestic",INDEX(I$3:I$35,MATCH(C16,H$3:H$35,0)),IF(Notes!$B$9="Commercial",INDEX(J$3:J$35,MATCH(C16,H$3:H$35,0)))))</f>
        <v>91.43</v>
      </c>
      <c r="E16" s="2">
        <f>IFERROR(Notes!E114,0)</f>
        <v>91.43</v>
      </c>
      <c r="F16" s="235">
        <f t="shared" si="1"/>
        <v>1</v>
      </c>
      <c r="H16" s="352" t="s">
        <v>696</v>
      </c>
      <c r="I16" s="219">
        <v>58.87</v>
      </c>
      <c r="J16" s="219">
        <v>58.87</v>
      </c>
      <c r="K16" s="236">
        <f t="shared" si="2"/>
        <v>1</v>
      </c>
    </row>
    <row r="17" spans="1:11" hidden="1" outlineLevel="1" x14ac:dyDescent="0.25">
      <c r="A17" s="230">
        <f>SUMMARY!A19</f>
        <v>14</v>
      </c>
      <c r="B17" s="10" t="str">
        <f ca="1">SUMMARY!B19</f>
        <v>STRUCTURAL STEEL</v>
      </c>
      <c r="C17" s="10" t="s">
        <v>686</v>
      </c>
      <c r="D17" s="2">
        <f>IF($C17="",0,IF(Notes!$B$9="Domestic",INDEX(I$3:I$35,MATCH(C17,H$3:H$35,0)),IF(Notes!$B$9="Commercial",INDEX(J$3:J$35,MATCH(C17,H$3:H$35,0)))))</f>
        <v>91.43</v>
      </c>
      <c r="E17" s="2">
        <f>IFERROR(Notes!E115,0)</f>
        <v>91.43</v>
      </c>
      <c r="F17" s="235">
        <f t="shared" si="1"/>
        <v>1</v>
      </c>
      <c r="H17" s="352" t="s">
        <v>697</v>
      </c>
      <c r="I17" s="219">
        <v>65.37</v>
      </c>
      <c r="J17" s="219">
        <v>80.84</v>
      </c>
      <c r="K17" s="236">
        <f>J17/I17</f>
        <v>1.2366528988832797</v>
      </c>
    </row>
    <row r="18" spans="1:11" hidden="1" outlineLevel="1" x14ac:dyDescent="0.25">
      <c r="A18" s="230">
        <f>SUMMARY!A20</f>
        <v>15</v>
      </c>
      <c r="B18" s="10" t="str">
        <f ca="1">SUMMARY!B20</f>
        <v>METALWORK</v>
      </c>
      <c r="C18" s="10" t="s">
        <v>697</v>
      </c>
      <c r="D18" s="2">
        <f>IF($C18="",0,IF(Notes!$B$9="Domestic",INDEX(I$3:I$35,MATCH(C18,H$3:H$35,0)),IF(Notes!$B$9="Commercial",INDEX(J$3:J$35,MATCH(C18,H$3:H$35,0)))))</f>
        <v>80.84</v>
      </c>
      <c r="E18" s="2">
        <f>IFERROR(Notes!E116,0)</f>
        <v>80.84</v>
      </c>
      <c r="F18" s="235">
        <f t="shared" si="1"/>
        <v>1</v>
      </c>
      <c r="H18" s="352" t="s">
        <v>698</v>
      </c>
      <c r="I18" s="219">
        <v>57.08</v>
      </c>
      <c r="J18" s="219">
        <v>70.55</v>
      </c>
      <c r="K18" s="236">
        <f>J18/I18</f>
        <v>1.2359845830413454</v>
      </c>
    </row>
    <row r="19" spans="1:11" hidden="1" outlineLevel="1" x14ac:dyDescent="0.25">
      <c r="A19" s="230">
        <f>SUMMARY!A21</f>
        <v>16</v>
      </c>
      <c r="B19" s="10" t="str">
        <f ca="1">SUMMARY!B21</f>
        <v>PLUMBING</v>
      </c>
      <c r="C19" s="10" t="s">
        <v>1887</v>
      </c>
      <c r="D19" s="2">
        <f>IF($C19="",0,IF(Notes!$B$9="Domestic",INDEX(I$3:I$35,MATCH(C19,H$3:H$35,0)),IF(Notes!$B$9="Commercial",INDEX(J$3:J$35,MATCH(C19,H$3:H$35,0)))))</f>
        <v>100.05</v>
      </c>
      <c r="E19" s="2">
        <f>IFERROR(Notes!E117,0)</f>
        <v>100.05</v>
      </c>
      <c r="F19" s="235">
        <f t="shared" si="1"/>
        <v>1</v>
      </c>
      <c r="H19" s="352" t="s">
        <v>699</v>
      </c>
      <c r="I19" s="219">
        <v>124.69</v>
      </c>
      <c r="J19" s="219">
        <v>124.69</v>
      </c>
      <c r="K19" s="236">
        <f>J19/I19</f>
        <v>1</v>
      </c>
    </row>
    <row r="20" spans="1:11" hidden="1" outlineLevel="1" x14ac:dyDescent="0.25">
      <c r="A20" s="230">
        <f>SUMMARY!A22</f>
        <v>17</v>
      </c>
      <c r="B20" s="10" t="str">
        <f ca="1">SUMMARY!B22</f>
        <v>PLUMBING PC ITEM</v>
      </c>
      <c r="C20" s="10"/>
      <c r="D20" s="2">
        <f>IF($C20="",0,IF(Notes!$B$9="Domestic",INDEX(I$3:I$35,MATCH(C20,H$3:H$35,0)),IF(Notes!$B$9="Commercial",INDEX(J$3:J$35,MATCH(C20,H$3:H$35,0)))))</f>
        <v>0</v>
      </c>
      <c r="E20" s="2">
        <f>IFERROR(Notes!E118,0)</f>
        <v>0</v>
      </c>
      <c r="F20" s="235">
        <v>1</v>
      </c>
      <c r="H20" s="352" t="s">
        <v>700</v>
      </c>
      <c r="I20" s="219">
        <v>40.14</v>
      </c>
      <c r="J20" s="219">
        <v>40.14</v>
      </c>
      <c r="K20" s="236">
        <f>J20/I20</f>
        <v>1</v>
      </c>
    </row>
    <row r="21" spans="1:11" hidden="1" outlineLevel="1" x14ac:dyDescent="0.25">
      <c r="A21" s="230">
        <f>SUMMARY!A23</f>
        <v>18</v>
      </c>
      <c r="B21" s="10" t="str">
        <f ca="1">SUMMARY!B23</f>
        <v>ELECTRICAL</v>
      </c>
      <c r="C21" s="10" t="s">
        <v>689</v>
      </c>
      <c r="D21" s="2">
        <f>IF($C21="",0,IF(Notes!$B$9="Domestic",INDEX(I$3:I$35,MATCH(C21,H$3:H$35,0)),IF(Notes!$B$9="Commercial",INDEX(J$3:J$35,MATCH(C21,H$3:H$35,0)))))</f>
        <v>98.49</v>
      </c>
      <c r="E21" s="2">
        <f>IFERROR(Notes!E119,0)</f>
        <v>98.49</v>
      </c>
      <c r="F21" s="235">
        <f t="shared" si="1"/>
        <v>1</v>
      </c>
      <c r="H21" s="352" t="s">
        <v>701</v>
      </c>
      <c r="I21" s="219">
        <v>108.1</v>
      </c>
      <c r="J21" s="219">
        <v>108.1</v>
      </c>
      <c r="K21" s="236">
        <f>J21/I21</f>
        <v>1</v>
      </c>
    </row>
    <row r="22" spans="1:11" hidden="1" outlineLevel="1" x14ac:dyDescent="0.25">
      <c r="A22" s="230">
        <f>SUMMARY!A24</f>
        <v>19</v>
      </c>
      <c r="B22" s="10" t="str">
        <f ca="1">SUMMARY!B24</f>
        <v>ELECTRICAL PC ITEM</v>
      </c>
      <c r="C22" s="10"/>
      <c r="D22" s="2">
        <f>IF($C22="",0,IF(Notes!$B$9="Domestic",INDEX(I$3:I$35,MATCH(C22,H$3:H$35,0)),IF(Notes!$B$9="Commercial",INDEX(J$3:J$35,MATCH(C22,H$3:H$35,0)))))</f>
        <v>0</v>
      </c>
      <c r="E22" s="2">
        <f>IFERROR(Notes!E120,0)</f>
        <v>0</v>
      </c>
      <c r="F22" s="235">
        <v>1</v>
      </c>
    </row>
    <row r="23" spans="1:11" hidden="1" outlineLevel="1" x14ac:dyDescent="0.25">
      <c r="A23" s="230">
        <f>SUMMARY!A25</f>
        <v>20</v>
      </c>
      <c r="B23" s="10" t="str">
        <f ca="1">SUMMARY!B25</f>
        <v>MECHANICAL</v>
      </c>
      <c r="C23" s="10" t="s">
        <v>701</v>
      </c>
      <c r="D23" s="2">
        <f>IF($C23="",0,IF(Notes!$B$9="Domestic",INDEX(I$3:I$35,MATCH(C23,H$3:H$35,0)),IF(Notes!$B$9="Commercial",INDEX(J$3:J$35,MATCH(C23,H$3:H$35,0)))))</f>
        <v>108.1</v>
      </c>
      <c r="E23" s="2">
        <f>IFERROR(Notes!E121,0)</f>
        <v>108.1</v>
      </c>
      <c r="F23" s="235">
        <f t="shared" si="1"/>
        <v>1</v>
      </c>
    </row>
    <row r="24" spans="1:11" hidden="1" outlineLevel="1" x14ac:dyDescent="0.25">
      <c r="A24" s="230">
        <f>SUMMARY!A26</f>
        <v>21</v>
      </c>
      <c r="B24" s="10" t="str">
        <f ca="1">SUMMARY!B26</f>
        <v>FIRE</v>
      </c>
      <c r="C24" s="10" t="s">
        <v>1887</v>
      </c>
      <c r="D24" s="2">
        <f>IF($C24="",0,IF(Notes!$B$9="Domestic",INDEX(I$3:I$35,MATCH(C24,H$3:H$35,0)),IF(Notes!$B$9="Commercial",INDEX(J$3:J$35,MATCH(C24,H$3:H$35,0)))))</f>
        <v>100.05</v>
      </c>
      <c r="E24" s="2">
        <f>IFERROR(Notes!E122,0)</f>
        <v>100.05</v>
      </c>
      <c r="F24" s="235">
        <f t="shared" si="1"/>
        <v>1</v>
      </c>
    </row>
    <row r="25" spans="1:11" hidden="1" outlineLevel="1" x14ac:dyDescent="0.25">
      <c r="A25" s="230">
        <f>SUMMARY!A27</f>
        <v>22</v>
      </c>
      <c r="B25" s="10" t="str">
        <f ca="1">SUMMARY!B27</f>
        <v>BLOCKWORK</v>
      </c>
      <c r="C25" s="10" t="s">
        <v>687</v>
      </c>
      <c r="D25" s="2">
        <f>IF($C25="",0,IF(Notes!$B$9="Domestic",INDEX(I$3:I$35,MATCH(C25,H$3:H$35,0)),IF(Notes!$B$9="Commercial",INDEX(J$3:J$35,MATCH(C25,H$3:H$35,0)))))</f>
        <v>95.58</v>
      </c>
      <c r="E25" s="2">
        <f>IFERROR(Notes!E123,0)</f>
        <v>95.58</v>
      </c>
      <c r="F25" s="235">
        <f t="shared" si="1"/>
        <v>1</v>
      </c>
    </row>
    <row r="26" spans="1:11" hidden="1" outlineLevel="1" x14ac:dyDescent="0.25">
      <c r="A26" s="230">
        <f>SUMMARY!A28</f>
        <v>23</v>
      </c>
      <c r="B26" s="10" t="str">
        <f ca="1">SUMMARY!B28</f>
        <v>RENDERING</v>
      </c>
      <c r="C26" s="10" t="s">
        <v>691</v>
      </c>
      <c r="D26" s="2">
        <f>IF($C26="",0,IF(Notes!$B$9="Domestic",INDEX(I$3:I$35,MATCH(C26,H$3:H$35,0)),IF(Notes!$B$9="Commercial",INDEX(J$3:J$35,MATCH(C26,H$3:H$35,0)))))</f>
        <v>83.7</v>
      </c>
      <c r="E26" s="2">
        <f>IFERROR(Notes!E124,0)</f>
        <v>83.7</v>
      </c>
      <c r="F26" s="235">
        <f t="shared" si="1"/>
        <v>1</v>
      </c>
    </row>
    <row r="27" spans="1:11" hidden="1" outlineLevel="1" x14ac:dyDescent="0.25">
      <c r="A27" s="230">
        <f>SUMMARY!A29</f>
        <v>24</v>
      </c>
      <c r="B27" s="10" t="str">
        <f ca="1">SUMMARY!B29</f>
        <v>PAINTING</v>
      </c>
      <c r="C27" s="10" t="s">
        <v>693</v>
      </c>
      <c r="D27" s="2">
        <f>IF($C27="",0,IF(Notes!$B$9="Domestic",INDEX(I$3:I$35,MATCH(C27,H$3:H$35,0)),IF(Notes!$B$9="Commercial",INDEX(J$3:J$35,MATCH(C27,H$3:H$35,0)))))</f>
        <v>79.77</v>
      </c>
      <c r="E27" s="2">
        <f>IFERROR(Notes!E125,0)</f>
        <v>79.77</v>
      </c>
      <c r="F27" s="235">
        <f t="shared" si="1"/>
        <v>1</v>
      </c>
    </row>
    <row r="28" spans="1:11" hidden="1" outlineLevel="1" x14ac:dyDescent="0.25">
      <c r="A28" s="230">
        <f>SUMMARY!A30</f>
        <v>25</v>
      </c>
      <c r="B28" s="10" t="str">
        <f ca="1">SUMMARY!B30</f>
        <v>JOINERY</v>
      </c>
      <c r="C28" s="10" t="s">
        <v>686</v>
      </c>
      <c r="D28" s="2">
        <f>IF($C28="",0,IF(Notes!$B$9="Domestic",INDEX(I$3:I$35,MATCH(C28,H$3:H$35,0)),IF(Notes!$B$9="Commercial",INDEX(J$3:J$35,MATCH(C28,H$3:H$35,0)))))</f>
        <v>91.43</v>
      </c>
      <c r="E28" s="2">
        <f>IFERROR(Notes!E126,0)</f>
        <v>91.43</v>
      </c>
      <c r="F28" s="235">
        <f t="shared" si="1"/>
        <v>1</v>
      </c>
    </row>
    <row r="29" spans="1:11" hidden="1" outlineLevel="1" x14ac:dyDescent="0.25">
      <c r="A29" s="230">
        <f>SUMMARY!A31</f>
        <v>26</v>
      </c>
      <c r="B29" s="10" t="str">
        <f ca="1">SUMMARY!B31</f>
        <v>WINDOWS &amp; DOORS</v>
      </c>
      <c r="C29" s="10" t="s">
        <v>686</v>
      </c>
      <c r="D29" s="2">
        <f>IF($C29="",0,IF(Notes!$B$9="Domestic",INDEX(I$3:I$35,MATCH(C29,H$3:H$35,0)),IF(Notes!$B$9="Commercial",INDEX(J$3:J$35,MATCH(C29,H$3:H$35,0)))))</f>
        <v>91.43</v>
      </c>
      <c r="E29" s="2">
        <f>IFERROR(Notes!E127,0)</f>
        <v>91.43</v>
      </c>
      <c r="F29" s="235">
        <f t="shared" si="1"/>
        <v>1</v>
      </c>
    </row>
    <row r="30" spans="1:11" hidden="1" outlineLevel="1" x14ac:dyDescent="0.25">
      <c r="A30" s="230">
        <f>SUMMARY!A32</f>
        <v>27</v>
      </c>
      <c r="B30" s="10" t="str">
        <f ca="1">SUMMARY!B32</f>
        <v>WATERPROOFING</v>
      </c>
      <c r="C30" s="10" t="s">
        <v>694</v>
      </c>
      <c r="D30" s="2">
        <f>IF($C30="",0,IF(Notes!$B$9="Domestic",INDEX(I$3:I$35,MATCH(C30,H$3:H$35,0)),IF(Notes!$B$9="Commercial",INDEX(J$3:J$35,MATCH(C30,H$3:H$35,0)))))</f>
        <v>83.18</v>
      </c>
      <c r="E30" s="2">
        <f>IFERROR(Notes!E128,0)</f>
        <v>83.18</v>
      </c>
      <c r="F30" s="235">
        <f t="shared" si="1"/>
        <v>1</v>
      </c>
    </row>
    <row r="31" spans="1:11" hidden="1" outlineLevel="1" x14ac:dyDescent="0.25">
      <c r="A31" s="230">
        <f>SUMMARY!A33</f>
        <v>28</v>
      </c>
      <c r="B31" s="10" t="str">
        <f ca="1">SUMMARY!B33</f>
        <v>TILING</v>
      </c>
      <c r="C31" s="10" t="s">
        <v>694</v>
      </c>
      <c r="D31" s="2">
        <f>IF($C31="",0,IF(Notes!$B$9="Domestic",INDEX(I$3:I$35,MATCH(C31,H$3:H$35,0)),IF(Notes!$B$9="Commercial",INDEX(J$3:J$35,MATCH(C31,H$3:H$35,0)))))</f>
        <v>83.18</v>
      </c>
      <c r="E31" s="2">
        <f>IFERROR(Notes!E129,0)</f>
        <v>83.18</v>
      </c>
      <c r="F31" s="235">
        <f t="shared" si="1"/>
        <v>1</v>
      </c>
    </row>
    <row r="32" spans="1:11" hidden="1" outlineLevel="1" x14ac:dyDescent="0.25">
      <c r="A32" s="230">
        <f>SUMMARY!A34</f>
        <v>29</v>
      </c>
      <c r="B32" s="10" t="str">
        <f ca="1">SUMMARY!B34</f>
        <v>FLOOR FINISHES</v>
      </c>
      <c r="C32" s="10" t="s">
        <v>696</v>
      </c>
      <c r="D32" s="2">
        <f>IF($C32="",0,IF(Notes!$B$9="Domestic",INDEX(I$3:I$35,MATCH(C32,H$3:H$35,0)),IF(Notes!$B$9="Commercial",INDEX(J$3:J$35,MATCH(C32,H$3:H$35,0)))))</f>
        <v>58.87</v>
      </c>
      <c r="E32" s="2">
        <f>IFERROR(Notes!E130,0)</f>
        <v>58.87</v>
      </c>
      <c r="F32" s="235">
        <f t="shared" si="1"/>
        <v>1</v>
      </c>
    </row>
    <row r="33" spans="1:6" hidden="1" outlineLevel="1" x14ac:dyDescent="0.25">
      <c r="A33" s="230">
        <f>SUMMARY!A35</f>
        <v>30</v>
      </c>
      <c r="B33" s="10" t="str">
        <f ca="1">SUMMARY!B35</f>
        <v>LIFT</v>
      </c>
      <c r="C33" s="10" t="s">
        <v>689</v>
      </c>
      <c r="D33" s="2">
        <f>IF($C33="",0,IF(Notes!$B$9="Domestic",INDEX(I$3:I$35,MATCH(C33,H$3:H$35,0)),IF(Notes!$B$9="Commercial",INDEX(J$3:J$35,MATCH(C33,H$3:H$35,0)))))</f>
        <v>98.49</v>
      </c>
      <c r="E33" s="2">
        <f>IFERROR(Notes!E131,0)</f>
        <v>98.49</v>
      </c>
      <c r="F33" s="235">
        <f t="shared" si="1"/>
        <v>1</v>
      </c>
    </row>
    <row r="34" spans="1:6" hidden="1" outlineLevel="1" x14ac:dyDescent="0.25">
      <c r="A34" s="230">
        <f>SUMMARY!A36</f>
        <v>31</v>
      </c>
      <c r="B34" s="10" t="str">
        <f ca="1">SUMMARY!B36</f>
        <v>LANDSCAPING</v>
      </c>
      <c r="C34" s="10" t="s">
        <v>697</v>
      </c>
      <c r="D34" s="2">
        <f>IF($C34="",0,IF(Notes!$B$9="Domestic",INDEX(I$3:I$35,MATCH(C34,H$3:H$35,0)),IF(Notes!$B$9="Commercial",INDEX(J$3:J$35,MATCH(C34,H$3:H$35,0)))))</f>
        <v>80.84</v>
      </c>
      <c r="E34" s="2">
        <f>IFERROR(Notes!E132,0)</f>
        <v>80.84</v>
      </c>
      <c r="F34" s="235">
        <f t="shared" si="1"/>
        <v>1</v>
      </c>
    </row>
    <row r="35" spans="1:6" hidden="1" outlineLevel="1" x14ac:dyDescent="0.25">
      <c r="A35" s="230">
        <f>SUMMARY!A37</f>
        <v>32</v>
      </c>
      <c r="B35" s="10" t="str">
        <f ca="1">SUMMARY!B37</f>
        <v>FENCING</v>
      </c>
      <c r="C35" s="10" t="s">
        <v>697</v>
      </c>
      <c r="D35" s="2">
        <f>IF($C35="",0,IF(Notes!$B$9="Domestic",INDEX(I$3:I$35,MATCH(C35,H$3:H$35,0)),IF(Notes!$B$9="Commercial",INDEX(J$3:J$35,MATCH(C35,H$3:H$35,0)))))</f>
        <v>80.84</v>
      </c>
      <c r="E35" s="2">
        <f>IFERROR(Notes!E133,0)</f>
        <v>80.84</v>
      </c>
      <c r="F35" s="235">
        <f t="shared" si="1"/>
        <v>1</v>
      </c>
    </row>
    <row r="36" spans="1:6" hidden="1" outlineLevel="1" x14ac:dyDescent="0.25">
      <c r="A36" s="230">
        <f>SUMMARY!A38</f>
        <v>33</v>
      </c>
      <c r="B36" s="10" t="str">
        <f ca="1">SUMMARY!B38</f>
        <v>MISCELLANEOUS</v>
      </c>
      <c r="C36" s="10" t="s">
        <v>697</v>
      </c>
      <c r="D36" s="2">
        <f>IF($C36="",0,IF(Notes!$B$9="Domestic",INDEX(I$3:I$35,MATCH(C36,H$3:H$35,0)),IF(Notes!$B$9="Commercial",INDEX(J$3:J$35,MATCH(C36,H$3:H$35,0)))))</f>
        <v>80.84</v>
      </c>
      <c r="E36" s="2">
        <f>IFERROR(Notes!E134,0)</f>
        <v>80.84</v>
      </c>
      <c r="F36" s="235">
        <f t="shared" ref="F36" si="3">IFERROR(E36/D36,0)</f>
        <v>1</v>
      </c>
    </row>
    <row r="37" spans="1:6" collapsed="1" x14ac:dyDescent="0.25"/>
  </sheetData>
  <sheetProtection algorithmName="SHA-512" hashValue="DEqABYFUznErRHzznISc29CmwFgwvUwqHszR+3yURrlLD198C3/tVKkV1OGptyhLakEk9TIKEGTQpq9LO2STdA==" saltValue="Ua8YIliCXHGqv85jbRTkuw==" spinCount="100000" sheet="1" objects="1" scenarios="1"/>
  <dataValidations count="1">
    <dataValidation type="list" allowBlank="1" showInputMessage="1" showErrorMessage="1" sqref="C4:C36" xr:uid="{B2DB1CC9-ED2E-45D2-8A86-FF483DA378CA}">
      <formula1>$H$4:$H$21</formula1>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00B050"/>
  </sheetPr>
  <dimension ref="A1:S138"/>
  <sheetViews>
    <sheetView view="pageBreakPreview" zoomScale="70" zoomScaleNormal="85" zoomScaleSheetLayoutView="70" zoomScalePageLayoutView="85" workbookViewId="0">
      <pane ySplit="2" topLeftCell="A210" activePane="bottomLeft" state="frozen"/>
      <selection activeCell="F51" sqref="F51"/>
      <selection pane="bottomLeft"/>
    </sheetView>
  </sheetViews>
  <sheetFormatPr defaultColWidth="8.85546875" defaultRowHeight="15" outlineLevelCol="1" x14ac:dyDescent="0.25"/>
  <cols>
    <col min="1" max="1" width="11" style="25" customWidth="1"/>
    <col min="2" max="2" width="64.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Painting!A2+1</f>
        <v>25</v>
      </c>
      <c r="B2" s="73" t="s" cm="1">
        <v>2472</v>
      </c>
      <c r="C2" s="75"/>
      <c r="D2" s="76"/>
      <c r="E2" s="77"/>
      <c r="F2" s="78"/>
      <c r="G2" s="207"/>
      <c r="H2" s="221" t="s">
        <v>26</v>
      </c>
      <c r="I2" s="222" t="s">
        <v>27</v>
      </c>
      <c r="J2" s="222" t="s">
        <v>28</v>
      </c>
      <c r="K2" s="222" t="s">
        <v>34</v>
      </c>
      <c r="L2" s="222" t="s">
        <v>615</v>
      </c>
      <c r="M2" s="80"/>
      <c r="N2" s="71"/>
    </row>
    <row r="3" spans="1:19" s="90" customFormat="1" ht="38.1" customHeight="1" x14ac:dyDescent="0.25">
      <c r="A3" s="82">
        <f ca="1">IF(C3&gt;0,MAX($A$1:OFFSET(A3,-1,0))+0.01,"")</f>
        <v>25.01</v>
      </c>
      <c r="B3" s="27" t="s">
        <v>2357</v>
      </c>
      <c r="C3" s="97">
        <v>1</v>
      </c>
      <c r="D3" s="29" t="s">
        <v>24</v>
      </c>
      <c r="E3" s="85"/>
      <c r="F3" s="86">
        <f>IF(E3="inc",0,IF(C3="",0,C3*E3))</f>
        <v>0</v>
      </c>
      <c r="G3" s="208"/>
      <c r="H3" s="30"/>
      <c r="I3" s="30"/>
      <c r="J3" s="30"/>
      <c r="K3" s="30"/>
      <c r="L3" s="30"/>
      <c r="M3" s="87"/>
      <c r="N3" s="88"/>
      <c r="O3" s="25"/>
      <c r="P3" s="25"/>
      <c r="Q3" s="25"/>
      <c r="R3" s="25"/>
      <c r="S3" s="25"/>
    </row>
    <row r="4" spans="1:19" s="94" customFormat="1" ht="15.75" x14ac:dyDescent="0.25">
      <c r="A4" s="24"/>
      <c r="B4" s="166" t="s">
        <v>2473</v>
      </c>
      <c r="C4" s="32">
        <v>2.8559999999999999</v>
      </c>
      <c r="D4" s="32" t="s">
        <v>15</v>
      </c>
      <c r="E4" s="26"/>
      <c r="F4" s="33"/>
      <c r="G4" s="209"/>
      <c r="H4" s="26"/>
      <c r="I4" s="26"/>
      <c r="J4" s="26"/>
      <c r="K4" s="26"/>
      <c r="L4" s="26"/>
      <c r="M4" s="34"/>
      <c r="N4" s="32"/>
      <c r="O4" s="44"/>
    </row>
    <row r="5" spans="1:19" s="94" customFormat="1" ht="15.75" x14ac:dyDescent="0.25">
      <c r="A5" s="24"/>
      <c r="B5" s="166" t="s">
        <v>2474</v>
      </c>
      <c r="C5" s="32">
        <v>2.8559999999999999</v>
      </c>
      <c r="D5" s="32" t="s">
        <v>15</v>
      </c>
      <c r="E5" s="167"/>
      <c r="F5" s="33"/>
      <c r="G5" s="209"/>
      <c r="H5" s="26"/>
      <c r="I5" s="26"/>
      <c r="J5" s="26"/>
      <c r="K5" s="26"/>
      <c r="L5" s="26"/>
      <c r="M5" s="34"/>
      <c r="N5" s="32"/>
      <c r="O5" s="44"/>
    </row>
    <row r="6" spans="1:19" s="94" customFormat="1" ht="15.75" x14ac:dyDescent="0.25">
      <c r="A6" s="112" t="str">
        <f t="shared" ref="A6" si="0">IF(C6="","d","")</f>
        <v/>
      </c>
      <c r="B6" s="166" t="s">
        <v>2475</v>
      </c>
      <c r="C6" s="32">
        <v>1.57</v>
      </c>
      <c r="D6" s="32" t="s">
        <v>15</v>
      </c>
      <c r="E6" s="167"/>
      <c r="F6" s="33"/>
      <c r="G6" s="209"/>
      <c r="H6" s="26"/>
      <c r="I6" s="26"/>
      <c r="J6" s="26"/>
      <c r="K6" s="26"/>
      <c r="L6" s="26"/>
      <c r="M6" s="34"/>
      <c r="N6" s="32"/>
      <c r="O6" s="44"/>
    </row>
    <row r="7" spans="1:19" s="94" customFormat="1" ht="15.75" x14ac:dyDescent="0.25">
      <c r="A7" s="24"/>
      <c r="B7" s="166" t="s">
        <v>2476</v>
      </c>
      <c r="C7" s="32">
        <v>0.61</v>
      </c>
      <c r="D7" s="32" t="s">
        <v>15</v>
      </c>
      <c r="E7" s="167"/>
      <c r="F7" s="33"/>
      <c r="G7" s="209"/>
      <c r="H7" s="26"/>
      <c r="I7" s="26"/>
      <c r="J7" s="26"/>
      <c r="K7" s="26"/>
      <c r="L7" s="26"/>
      <c r="M7" s="34"/>
      <c r="N7" s="32"/>
      <c r="O7" s="44"/>
    </row>
    <row r="8" spans="1:19" s="94" customFormat="1" ht="15.75" x14ac:dyDescent="0.25">
      <c r="A8" s="112" t="str">
        <f t="shared" ref="A8" si="1">IF(C8="","d","")</f>
        <v/>
      </c>
      <c r="B8" s="166" t="s">
        <v>2477</v>
      </c>
      <c r="C8" s="32">
        <v>0.30199999999999999</v>
      </c>
      <c r="D8" s="32" t="s">
        <v>15</v>
      </c>
      <c r="E8" s="167"/>
      <c r="F8" s="33"/>
      <c r="G8" s="209"/>
      <c r="H8" s="26"/>
      <c r="I8" s="26"/>
      <c r="J8" s="26"/>
      <c r="K8" s="26"/>
      <c r="L8" s="26"/>
      <c r="M8" s="34"/>
      <c r="N8" s="32"/>
      <c r="O8" s="44"/>
    </row>
    <row r="9" spans="1:19" s="94" customFormat="1" ht="15.75" x14ac:dyDescent="0.25">
      <c r="A9" s="24"/>
      <c r="B9" s="166" t="s">
        <v>2478</v>
      </c>
      <c r="C9" s="32">
        <v>2</v>
      </c>
      <c r="D9" s="32" t="s">
        <v>5</v>
      </c>
      <c r="E9" s="26"/>
      <c r="F9" s="33"/>
      <c r="G9" s="209"/>
      <c r="H9" s="26"/>
      <c r="I9" s="26"/>
      <c r="J9" s="26"/>
      <c r="K9" s="26"/>
      <c r="L9" s="26"/>
      <c r="M9" s="34"/>
      <c r="N9" s="32"/>
      <c r="O9" s="44"/>
    </row>
    <row r="10" spans="1:19" s="94" customFormat="1" ht="15.75" x14ac:dyDescent="0.25">
      <c r="A10" s="24"/>
      <c r="B10" s="166" t="s">
        <v>2479</v>
      </c>
      <c r="C10" s="32">
        <v>3</v>
      </c>
      <c r="D10" s="32" t="s">
        <v>5</v>
      </c>
      <c r="E10" s="26"/>
      <c r="F10" s="33"/>
      <c r="G10" s="209"/>
      <c r="H10" s="26"/>
      <c r="I10" s="26"/>
      <c r="J10" s="26"/>
      <c r="K10" s="26"/>
      <c r="L10" s="26"/>
      <c r="M10" s="34"/>
      <c r="N10" s="32"/>
      <c r="O10" s="44"/>
    </row>
    <row r="11" spans="1:19" s="94" customFormat="1" ht="15.75" x14ac:dyDescent="0.25">
      <c r="A11" s="24"/>
      <c r="B11" s="166" t="s">
        <v>2480</v>
      </c>
      <c r="C11" s="32">
        <v>1</v>
      </c>
      <c r="D11" s="32" t="s">
        <v>5</v>
      </c>
      <c r="E11" s="26"/>
      <c r="F11" s="33"/>
      <c r="G11" s="209"/>
      <c r="H11" s="26"/>
      <c r="I11" s="26"/>
      <c r="J11" s="26"/>
      <c r="K11" s="26"/>
      <c r="L11" s="26"/>
      <c r="M11" s="34"/>
      <c r="N11" s="32"/>
      <c r="O11" s="44"/>
    </row>
    <row r="12" spans="1:19" s="94" customFormat="1" ht="15.75" x14ac:dyDescent="0.25">
      <c r="A12" s="112"/>
      <c r="B12" s="166" t="s">
        <v>2481</v>
      </c>
      <c r="C12" s="32">
        <v>3.1579999999999999</v>
      </c>
      <c r="D12" s="32" t="s">
        <v>15</v>
      </c>
      <c r="E12" s="167"/>
      <c r="F12" s="33"/>
      <c r="G12" s="209"/>
      <c r="H12" s="26"/>
      <c r="I12" s="26"/>
      <c r="J12" s="26"/>
      <c r="K12" s="26"/>
      <c r="L12" s="26"/>
      <c r="M12" s="34"/>
      <c r="N12" s="32"/>
      <c r="O12" s="44"/>
    </row>
    <row r="13" spans="1:19" s="94" customFormat="1" ht="15.75" x14ac:dyDescent="0.25">
      <c r="A13" s="24"/>
      <c r="B13" s="166" t="s">
        <v>2482</v>
      </c>
      <c r="C13" s="32">
        <v>1.53</v>
      </c>
      <c r="D13" s="32" t="s">
        <v>11</v>
      </c>
      <c r="E13" s="26"/>
      <c r="F13" s="33"/>
      <c r="G13" s="209"/>
      <c r="H13" s="26"/>
      <c r="I13" s="26"/>
      <c r="J13" s="26"/>
      <c r="K13" s="26"/>
      <c r="L13" s="26"/>
      <c r="M13" s="34"/>
      <c r="N13" s="32"/>
      <c r="O13" s="44"/>
    </row>
    <row r="14" spans="1:19" s="94" customFormat="1" ht="15.75" x14ac:dyDescent="0.25">
      <c r="A14" s="24"/>
      <c r="B14" s="24"/>
      <c r="C14" s="32" t="s">
        <v>2346</v>
      </c>
      <c r="D14" s="32">
        <v>0</v>
      </c>
      <c r="E14" s="26"/>
      <c r="F14" s="33"/>
      <c r="G14" s="209"/>
      <c r="H14" s="26"/>
      <c r="I14" s="26"/>
      <c r="J14" s="26"/>
      <c r="K14" s="26"/>
      <c r="L14" s="26"/>
      <c r="M14" s="34"/>
      <c r="N14" s="32"/>
      <c r="O14" s="44"/>
    </row>
    <row r="15" spans="1:19" s="90" customFormat="1" ht="38.1" customHeight="1" x14ac:dyDescent="0.25">
      <c r="A15" s="82">
        <f ca="1">IF(C15&gt;0,MAX($A$1:OFFSET(A15,-1,0))+0.01,"")</f>
        <v>25.020000000000003</v>
      </c>
      <c r="B15" s="27" t="s">
        <v>2358</v>
      </c>
      <c r="C15" s="97">
        <v>1</v>
      </c>
      <c r="D15" s="29" t="s">
        <v>24</v>
      </c>
      <c r="E15" s="85"/>
      <c r="F15" s="86">
        <f>IF(E15="inc",0,IF(C15="",0,C15*E15))</f>
        <v>0</v>
      </c>
      <c r="G15" s="208"/>
      <c r="H15" s="30"/>
      <c r="I15" s="30"/>
      <c r="J15" s="30"/>
      <c r="K15" s="30"/>
      <c r="L15" s="30"/>
      <c r="M15" s="87"/>
      <c r="N15" s="88"/>
      <c r="O15" s="25"/>
      <c r="P15" s="25"/>
      <c r="Q15" s="25"/>
      <c r="R15" s="25"/>
      <c r="S15" s="25"/>
    </row>
    <row r="16" spans="1:19" s="94" customFormat="1" ht="15.75" x14ac:dyDescent="0.25">
      <c r="A16" s="24"/>
      <c r="B16" s="166" t="s">
        <v>2483</v>
      </c>
      <c r="C16" s="32">
        <v>1.68</v>
      </c>
      <c r="D16" s="32" t="s">
        <v>15</v>
      </c>
      <c r="E16" s="26"/>
      <c r="F16" s="33"/>
      <c r="G16" s="209"/>
      <c r="H16" s="26"/>
      <c r="I16" s="26"/>
      <c r="J16" s="26"/>
      <c r="K16" s="26"/>
      <c r="L16" s="26"/>
      <c r="M16" s="34"/>
      <c r="N16" s="32"/>
      <c r="O16" s="44"/>
    </row>
    <row r="17" spans="1:15" s="94" customFormat="1" ht="15.75" x14ac:dyDescent="0.25">
      <c r="A17" s="24"/>
      <c r="B17" s="166" t="s">
        <v>2474</v>
      </c>
      <c r="C17" s="32">
        <v>1.68</v>
      </c>
      <c r="D17" s="32" t="s">
        <v>15</v>
      </c>
      <c r="E17" s="167"/>
      <c r="F17" s="33"/>
      <c r="G17" s="209"/>
      <c r="H17" s="26"/>
      <c r="I17" s="26"/>
      <c r="J17" s="26"/>
      <c r="K17" s="26"/>
      <c r="L17" s="26"/>
      <c r="M17" s="34"/>
      <c r="N17" s="32"/>
      <c r="O17" s="44"/>
    </row>
    <row r="18" spans="1:15" s="94" customFormat="1" ht="15.75" x14ac:dyDescent="0.25">
      <c r="A18" s="24"/>
      <c r="B18" s="166" t="s">
        <v>2484</v>
      </c>
      <c r="C18" s="32">
        <v>1.68</v>
      </c>
      <c r="D18" s="32" t="s">
        <v>15</v>
      </c>
      <c r="E18" s="26"/>
      <c r="F18" s="33"/>
      <c r="G18" s="209"/>
      <c r="H18" s="26"/>
      <c r="I18" s="26"/>
      <c r="J18" s="26"/>
      <c r="K18" s="26"/>
      <c r="L18" s="26"/>
      <c r="M18" s="34"/>
      <c r="N18" s="32"/>
      <c r="O18" s="44"/>
    </row>
    <row r="19" spans="1:15" s="94" customFormat="1" ht="15.75" x14ac:dyDescent="0.25">
      <c r="A19" s="112" t="str">
        <f>IF(C19="","d","")</f>
        <v/>
      </c>
      <c r="B19" s="166" t="s">
        <v>2485</v>
      </c>
      <c r="C19" s="32">
        <v>1</v>
      </c>
      <c r="D19" s="32" t="s">
        <v>5</v>
      </c>
      <c r="E19" s="26"/>
      <c r="F19" s="33"/>
      <c r="G19" s="209"/>
      <c r="H19" s="26"/>
      <c r="I19" s="26"/>
      <c r="J19" s="26"/>
      <c r="K19" s="26"/>
      <c r="L19" s="26"/>
      <c r="M19" s="34"/>
      <c r="N19" s="32"/>
      <c r="O19" s="44"/>
    </row>
    <row r="20" spans="1:15" s="94" customFormat="1" ht="15.75" x14ac:dyDescent="0.25">
      <c r="A20" s="112"/>
      <c r="B20" s="166" t="s">
        <v>2481</v>
      </c>
      <c r="C20" s="32">
        <v>1.68</v>
      </c>
      <c r="D20" s="32" t="s">
        <v>15</v>
      </c>
      <c r="E20" s="167"/>
      <c r="F20" s="33"/>
      <c r="G20" s="209"/>
      <c r="H20" s="26"/>
      <c r="I20" s="26"/>
      <c r="J20" s="26"/>
      <c r="K20" s="26"/>
      <c r="L20" s="26"/>
      <c r="M20" s="34"/>
      <c r="N20" s="32"/>
      <c r="O20" s="44"/>
    </row>
    <row r="21" spans="1:15" s="94" customFormat="1" ht="15.75" x14ac:dyDescent="0.25">
      <c r="A21" s="24"/>
      <c r="B21" s="166" t="s">
        <v>2482</v>
      </c>
      <c r="C21" s="32">
        <v>0.28000000000000003</v>
      </c>
      <c r="D21" s="32" t="s">
        <v>11</v>
      </c>
      <c r="E21" s="26"/>
      <c r="F21" s="33"/>
      <c r="G21" s="209"/>
      <c r="H21" s="26"/>
      <c r="I21" s="26"/>
      <c r="J21" s="26"/>
      <c r="K21" s="26"/>
      <c r="L21" s="26"/>
      <c r="M21" s="34"/>
      <c r="N21" s="32"/>
      <c r="O21" s="44"/>
    </row>
    <row r="22" spans="1:15" s="94" customFormat="1" ht="15.75" x14ac:dyDescent="0.25">
      <c r="A22" s="24"/>
      <c r="B22" s="24"/>
      <c r="C22" s="32" t="s">
        <v>2346</v>
      </c>
      <c r="D22" s="32">
        <v>0</v>
      </c>
      <c r="E22" s="26"/>
      <c r="F22" s="33"/>
      <c r="G22" s="209"/>
      <c r="H22" s="26"/>
      <c r="I22" s="26"/>
      <c r="J22" s="26"/>
      <c r="K22" s="26"/>
      <c r="L22" s="26"/>
      <c r="M22" s="34"/>
      <c r="N22" s="32"/>
      <c r="O22" s="44"/>
    </row>
    <row r="23" spans="1:15" s="79" customFormat="1" ht="21.75" thickBot="1" x14ac:dyDescent="0.4">
      <c r="A23" s="99"/>
      <c r="B23" s="394" t="s">
        <v>4</v>
      </c>
      <c r="C23" s="395"/>
      <c r="D23" s="396"/>
      <c r="E23" s="100"/>
      <c r="F23" s="101">
        <f ca="1">SUM(F$2:OFFSET(F23,-1,0))</f>
        <v>0</v>
      </c>
      <c r="G23" s="209"/>
      <c r="H23" s="100"/>
      <c r="I23" s="100"/>
      <c r="J23" s="100"/>
      <c r="K23" s="100"/>
      <c r="L23" s="100"/>
      <c r="M23" s="102"/>
      <c r="N23" s="103"/>
    </row>
    <row r="24" spans="1:15" s="94" customFormat="1" ht="18.75" x14ac:dyDescent="0.25">
      <c r="A24" s="105"/>
      <c r="B24" s="25"/>
      <c r="C24" s="106"/>
      <c r="D24" s="32"/>
      <c r="E24" s="92"/>
      <c r="F24" s="107"/>
      <c r="G24" s="107"/>
      <c r="H24" s="107"/>
      <c r="I24" s="30"/>
      <c r="J24" s="30"/>
      <c r="K24" s="30"/>
      <c r="L24" s="30"/>
      <c r="M24" s="88"/>
      <c r="N24" s="88"/>
    </row>
    <row r="25" spans="1:15" ht="18.75" x14ac:dyDescent="0.25">
      <c r="C25" s="106"/>
      <c r="G25" s="107"/>
      <c r="H25" s="107"/>
      <c r="I25" s="30"/>
      <c r="J25" s="30"/>
      <c r="K25" s="30"/>
      <c r="L25" s="30"/>
    </row>
    <row r="26" spans="1:15" ht="18.75" x14ac:dyDescent="0.25">
      <c r="G26" s="107"/>
      <c r="H26" s="107"/>
      <c r="I26" s="30"/>
      <c r="J26" s="30"/>
      <c r="K26" s="30"/>
      <c r="L26" s="30"/>
    </row>
    <row r="27" spans="1:15" ht="18.75" x14ac:dyDescent="0.25">
      <c r="G27" s="107"/>
      <c r="H27" s="107"/>
      <c r="I27" s="30"/>
      <c r="J27" s="30"/>
      <c r="K27" s="30"/>
      <c r="L27" s="30"/>
    </row>
    <row r="28" spans="1:15" ht="18.75" x14ac:dyDescent="0.25">
      <c r="F28" s="108" t="e">
        <f ca="1">F23-#REF!</f>
        <v>#REF!</v>
      </c>
      <c r="G28" s="107"/>
      <c r="H28" s="107"/>
      <c r="I28" s="30"/>
      <c r="J28" s="30"/>
      <c r="K28" s="30"/>
      <c r="L28" s="30"/>
    </row>
    <row r="29" spans="1:15" ht="18.75" x14ac:dyDescent="0.25">
      <c r="G29" s="107"/>
      <c r="H29" s="107"/>
      <c r="I29" s="30"/>
      <c r="J29" s="30"/>
      <c r="K29" s="30"/>
      <c r="L29" s="30"/>
    </row>
    <row r="30" spans="1:15" ht="18.75" x14ac:dyDescent="0.25">
      <c r="G30" s="107"/>
      <c r="H30" s="107"/>
      <c r="I30" s="30"/>
      <c r="J30" s="30"/>
      <c r="K30" s="30"/>
      <c r="L30" s="30"/>
    </row>
    <row r="31" spans="1:15" ht="18.75" x14ac:dyDescent="0.25">
      <c r="G31" s="107"/>
      <c r="H31" s="107"/>
      <c r="I31" s="30"/>
      <c r="J31" s="30"/>
      <c r="K31" s="30"/>
      <c r="L31" s="30"/>
    </row>
    <row r="32" spans="1:15" ht="18.75" x14ac:dyDescent="0.25">
      <c r="G32" s="107"/>
      <c r="H32" s="107"/>
      <c r="I32" s="30"/>
      <c r="J32" s="30"/>
      <c r="K32" s="30"/>
      <c r="L32" s="30"/>
    </row>
    <row r="33" spans="1:19" ht="18.75" x14ac:dyDescent="0.25">
      <c r="G33" s="107"/>
      <c r="H33" s="107"/>
      <c r="I33" s="30"/>
      <c r="J33" s="30"/>
      <c r="K33" s="30"/>
      <c r="L33" s="30"/>
    </row>
    <row r="34" spans="1:19" ht="18.75" x14ac:dyDescent="0.25">
      <c r="G34" s="107"/>
      <c r="H34" s="107"/>
      <c r="I34" s="30"/>
      <c r="J34" s="30"/>
      <c r="K34" s="30"/>
      <c r="L34" s="30"/>
    </row>
    <row r="35" spans="1:19" ht="18.75" x14ac:dyDescent="0.25">
      <c r="G35" s="107"/>
      <c r="H35" s="107"/>
      <c r="I35" s="30"/>
      <c r="J35" s="30"/>
      <c r="K35" s="30"/>
      <c r="L35" s="30"/>
    </row>
    <row r="36" spans="1:19" ht="18.75" x14ac:dyDescent="0.25">
      <c r="G36" s="107"/>
      <c r="H36" s="107"/>
      <c r="I36" s="30"/>
      <c r="J36" s="30"/>
      <c r="K36" s="30"/>
      <c r="L36" s="30"/>
    </row>
    <row r="37" spans="1:19" ht="18.75" x14ac:dyDescent="0.25">
      <c r="G37" s="107"/>
      <c r="H37" s="107"/>
      <c r="I37" s="30"/>
      <c r="J37" s="30"/>
      <c r="K37" s="30"/>
      <c r="L37" s="30"/>
    </row>
    <row r="38" spans="1:19" s="110" customFormat="1" ht="18.75" x14ac:dyDescent="0.25">
      <c r="A38" s="25"/>
      <c r="B38" s="25"/>
      <c r="D38" s="36"/>
      <c r="E38" s="25"/>
      <c r="F38" s="108"/>
      <c r="G38" s="107"/>
      <c r="H38" s="107"/>
      <c r="I38" s="30"/>
      <c r="J38" s="30"/>
      <c r="K38" s="30"/>
      <c r="L38" s="30"/>
      <c r="M38" s="88"/>
      <c r="N38" s="88"/>
      <c r="O38" s="25"/>
      <c r="P38" s="25"/>
      <c r="Q38" s="25"/>
      <c r="R38" s="25"/>
      <c r="S38" s="25"/>
    </row>
    <row r="39" spans="1:19" s="110" customFormat="1" ht="18.75" x14ac:dyDescent="0.25">
      <c r="A39" s="25"/>
      <c r="B39" s="25"/>
      <c r="D39" s="36"/>
      <c r="E39" s="25"/>
      <c r="F39" s="108"/>
      <c r="G39" s="107"/>
      <c r="H39" s="107"/>
      <c r="I39" s="30"/>
      <c r="J39" s="30"/>
      <c r="K39" s="30"/>
      <c r="L39" s="30"/>
      <c r="M39" s="88"/>
      <c r="N39" s="88"/>
      <c r="O39" s="25"/>
      <c r="P39" s="25"/>
      <c r="Q39" s="25"/>
      <c r="R39" s="25"/>
      <c r="S39" s="25"/>
    </row>
    <row r="40" spans="1:19" s="110" customFormat="1" ht="18.75" x14ac:dyDescent="0.25">
      <c r="A40" s="25"/>
      <c r="B40" s="25"/>
      <c r="D40" s="36"/>
      <c r="E40" s="25"/>
      <c r="F40" s="108"/>
      <c r="G40" s="107"/>
      <c r="H40" s="107"/>
      <c r="I40" s="30"/>
      <c r="J40" s="30"/>
      <c r="K40" s="30"/>
      <c r="L40" s="30"/>
      <c r="M40" s="88"/>
      <c r="N40" s="88"/>
      <c r="O40" s="25"/>
      <c r="P40" s="25"/>
      <c r="Q40" s="25"/>
      <c r="R40" s="25"/>
      <c r="S40" s="25"/>
    </row>
    <row r="41" spans="1:19" s="110" customFormat="1" ht="18.75" x14ac:dyDescent="0.25">
      <c r="A41" s="25"/>
      <c r="B41" s="25"/>
      <c r="D41" s="36"/>
      <c r="E41" s="25"/>
      <c r="F41" s="108"/>
      <c r="G41" s="107"/>
      <c r="H41" s="107"/>
      <c r="I41" s="30"/>
      <c r="J41" s="30"/>
      <c r="K41" s="30"/>
      <c r="L41" s="30"/>
      <c r="M41" s="88"/>
      <c r="N41" s="88"/>
      <c r="O41" s="25"/>
      <c r="P41" s="25"/>
      <c r="Q41" s="25"/>
      <c r="R41" s="25"/>
      <c r="S41" s="25"/>
    </row>
    <row r="42" spans="1:19" s="110" customFormat="1" ht="18.75" x14ac:dyDescent="0.25">
      <c r="A42" s="25"/>
      <c r="B42" s="25"/>
      <c r="D42" s="36"/>
      <c r="E42" s="25"/>
      <c r="F42" s="108"/>
      <c r="G42" s="107"/>
      <c r="H42" s="107"/>
      <c r="I42" s="30"/>
      <c r="J42" s="30"/>
      <c r="K42" s="30"/>
      <c r="L42" s="30"/>
      <c r="M42" s="88"/>
      <c r="N42" s="88"/>
      <c r="O42" s="25"/>
      <c r="P42" s="25"/>
      <c r="Q42" s="25"/>
      <c r="R42" s="25"/>
      <c r="S42" s="25"/>
    </row>
    <row r="43" spans="1:19" s="110" customFormat="1" ht="18.75" x14ac:dyDescent="0.25">
      <c r="A43" s="25"/>
      <c r="B43" s="25"/>
      <c r="D43" s="36"/>
      <c r="E43" s="25"/>
      <c r="F43" s="108"/>
      <c r="G43" s="107"/>
      <c r="H43" s="107"/>
      <c r="I43" s="30"/>
      <c r="J43" s="30"/>
      <c r="K43" s="30"/>
      <c r="L43" s="30"/>
      <c r="M43" s="88"/>
      <c r="N43" s="88"/>
      <c r="O43" s="25"/>
      <c r="P43" s="25"/>
      <c r="Q43" s="25"/>
      <c r="R43" s="25"/>
      <c r="S43" s="25"/>
    </row>
    <row r="44" spans="1:19" s="110" customFormat="1" ht="18.75" x14ac:dyDescent="0.25">
      <c r="A44" s="25"/>
      <c r="B44" s="25"/>
      <c r="D44" s="36"/>
      <c r="E44" s="25"/>
      <c r="F44" s="108"/>
      <c r="G44" s="107"/>
      <c r="H44" s="107"/>
      <c r="I44" s="30"/>
      <c r="J44" s="30"/>
      <c r="K44" s="30"/>
      <c r="L44" s="30"/>
      <c r="M44" s="88"/>
      <c r="N44" s="88"/>
      <c r="O44" s="25"/>
      <c r="P44" s="25"/>
      <c r="Q44" s="25"/>
      <c r="R44" s="25"/>
      <c r="S44" s="25"/>
    </row>
    <row r="45" spans="1:19" s="110" customFormat="1" ht="18.75" x14ac:dyDescent="0.25">
      <c r="A45" s="25"/>
      <c r="B45" s="25"/>
      <c r="D45" s="36"/>
      <c r="E45" s="25"/>
      <c r="F45" s="108"/>
      <c r="G45" s="107"/>
      <c r="H45" s="107"/>
      <c r="I45" s="30"/>
      <c r="J45" s="30"/>
      <c r="K45" s="30"/>
      <c r="L45" s="30"/>
      <c r="M45" s="88"/>
      <c r="N45" s="88"/>
      <c r="O45" s="25"/>
      <c r="P45" s="25"/>
      <c r="Q45" s="25"/>
      <c r="R45" s="25"/>
      <c r="S45" s="25"/>
    </row>
    <row r="46" spans="1:19" s="110" customFormat="1" ht="18.75" x14ac:dyDescent="0.25">
      <c r="A46" s="25"/>
      <c r="B46" s="25"/>
      <c r="D46" s="36"/>
      <c r="E46" s="25"/>
      <c r="F46" s="108"/>
      <c r="G46" s="107"/>
      <c r="H46" s="107"/>
      <c r="I46" s="30"/>
      <c r="J46" s="30"/>
      <c r="K46" s="30"/>
      <c r="L46" s="30"/>
      <c r="M46" s="88"/>
      <c r="N46" s="88"/>
      <c r="O46" s="25"/>
      <c r="P46" s="25"/>
      <c r="Q46" s="25"/>
      <c r="R46" s="25"/>
      <c r="S46" s="25"/>
    </row>
    <row r="47" spans="1:19" s="110" customFormat="1" ht="18.75" x14ac:dyDescent="0.25">
      <c r="A47" s="25"/>
      <c r="B47" s="25"/>
      <c r="D47" s="36"/>
      <c r="E47" s="25"/>
      <c r="F47" s="108"/>
      <c r="G47" s="107"/>
      <c r="H47" s="107"/>
      <c r="I47" s="30"/>
      <c r="J47" s="30"/>
      <c r="K47" s="30"/>
      <c r="L47" s="30"/>
      <c r="M47" s="88"/>
      <c r="N47" s="88"/>
      <c r="O47" s="25"/>
      <c r="P47" s="25"/>
      <c r="Q47" s="25"/>
      <c r="R47" s="25"/>
      <c r="S47" s="25"/>
    </row>
    <row r="48" spans="1:19" s="110" customFormat="1" ht="18.75" x14ac:dyDescent="0.25">
      <c r="A48" s="25"/>
      <c r="B48" s="25"/>
      <c r="D48" s="36"/>
      <c r="E48" s="25"/>
      <c r="F48" s="108"/>
      <c r="G48" s="107"/>
      <c r="H48" s="107"/>
      <c r="I48" s="30"/>
      <c r="J48" s="30"/>
      <c r="K48" s="30"/>
      <c r="L48" s="30"/>
      <c r="M48" s="88"/>
      <c r="N48" s="88"/>
      <c r="O48" s="25"/>
      <c r="P48" s="25"/>
      <c r="Q48" s="25"/>
      <c r="R48" s="25"/>
      <c r="S48" s="25"/>
    </row>
    <row r="49" spans="1:19" s="110" customFormat="1" ht="18.75" x14ac:dyDescent="0.25">
      <c r="A49" s="25"/>
      <c r="B49" s="25"/>
      <c r="D49" s="36"/>
      <c r="E49" s="25"/>
      <c r="F49" s="108"/>
      <c r="G49" s="107"/>
      <c r="H49" s="107"/>
      <c r="I49" s="30"/>
      <c r="J49" s="30"/>
      <c r="K49" s="30"/>
      <c r="L49" s="30"/>
      <c r="M49" s="88"/>
      <c r="N49" s="88"/>
      <c r="O49" s="25"/>
      <c r="P49" s="25"/>
      <c r="Q49" s="25"/>
      <c r="R49" s="25"/>
      <c r="S49" s="25"/>
    </row>
    <row r="50" spans="1:19" s="110" customFormat="1" ht="18.75" x14ac:dyDescent="0.25">
      <c r="A50" s="25"/>
      <c r="B50" s="25"/>
      <c r="D50" s="36"/>
      <c r="E50" s="25"/>
      <c r="F50" s="108"/>
      <c r="G50" s="107"/>
      <c r="H50" s="107"/>
      <c r="I50" s="30"/>
      <c r="J50" s="30"/>
      <c r="K50" s="30"/>
      <c r="L50" s="30"/>
      <c r="M50" s="88"/>
      <c r="N50" s="88"/>
      <c r="O50" s="25"/>
      <c r="P50" s="25"/>
      <c r="Q50" s="25"/>
      <c r="R50" s="25"/>
      <c r="S50" s="25"/>
    </row>
    <row r="51" spans="1:19" ht="18.75" x14ac:dyDescent="0.25">
      <c r="G51" s="107"/>
      <c r="H51" s="107"/>
      <c r="I51" s="30"/>
      <c r="J51" s="30"/>
      <c r="K51" s="30"/>
      <c r="L51" s="30"/>
    </row>
    <row r="52" spans="1:19" ht="18.75" x14ac:dyDescent="0.25">
      <c r="G52" s="107"/>
      <c r="H52" s="107"/>
      <c r="I52" s="30"/>
      <c r="J52" s="30"/>
      <c r="K52" s="30"/>
      <c r="L52" s="30"/>
    </row>
    <row r="53" spans="1:19" ht="18.75" x14ac:dyDescent="0.25">
      <c r="G53" s="107"/>
      <c r="H53" s="107"/>
      <c r="I53" s="30"/>
      <c r="J53" s="30"/>
      <c r="K53" s="30"/>
      <c r="L53" s="30"/>
    </row>
    <row r="54" spans="1:19" ht="18.75" x14ac:dyDescent="0.25">
      <c r="G54" s="107"/>
      <c r="H54" s="107"/>
      <c r="I54" s="30"/>
      <c r="J54" s="30"/>
      <c r="K54" s="30"/>
      <c r="L54" s="30"/>
    </row>
    <row r="55" spans="1:19" ht="18.75" x14ac:dyDescent="0.25">
      <c r="G55" s="107"/>
      <c r="H55" s="107"/>
      <c r="I55" s="30"/>
      <c r="J55" s="30"/>
      <c r="K55" s="30"/>
      <c r="L55" s="30"/>
    </row>
    <row r="56" spans="1:19" ht="18.75" x14ac:dyDescent="0.25">
      <c r="G56" s="107"/>
      <c r="H56" s="107"/>
      <c r="I56" s="30"/>
      <c r="J56" s="30"/>
      <c r="K56" s="30"/>
      <c r="L56" s="30"/>
    </row>
    <row r="57" spans="1:19" ht="18.75" x14ac:dyDescent="0.25">
      <c r="G57" s="107"/>
      <c r="H57" s="107"/>
      <c r="I57" s="30"/>
      <c r="J57" s="30"/>
      <c r="K57" s="30"/>
      <c r="L57" s="30"/>
    </row>
    <row r="58" spans="1:19" ht="18.75" x14ac:dyDescent="0.25">
      <c r="G58" s="107"/>
      <c r="H58" s="107"/>
      <c r="I58" s="30"/>
      <c r="J58" s="30"/>
      <c r="K58" s="30"/>
      <c r="L58" s="30"/>
    </row>
    <row r="59" spans="1:19" ht="18.75" x14ac:dyDescent="0.25">
      <c r="G59" s="107"/>
      <c r="H59" s="107"/>
      <c r="I59" s="30"/>
      <c r="J59" s="30"/>
      <c r="K59" s="30"/>
      <c r="L59" s="30"/>
    </row>
    <row r="60" spans="1:19" ht="18.75" x14ac:dyDescent="0.25">
      <c r="G60" s="107"/>
      <c r="H60" s="107"/>
      <c r="I60" s="30"/>
      <c r="J60" s="30"/>
      <c r="K60" s="30"/>
      <c r="L60" s="30"/>
    </row>
    <row r="61" spans="1:19" ht="18.75" x14ac:dyDescent="0.25">
      <c r="G61" s="107"/>
      <c r="H61" s="107"/>
      <c r="I61" s="30"/>
      <c r="J61" s="30"/>
      <c r="K61" s="30"/>
      <c r="L61" s="30"/>
    </row>
    <row r="62" spans="1:19" ht="18.75" x14ac:dyDescent="0.25">
      <c r="G62" s="107"/>
      <c r="H62" s="107"/>
      <c r="I62" s="30"/>
      <c r="J62" s="30"/>
      <c r="K62" s="30"/>
      <c r="L62" s="30"/>
    </row>
    <row r="63" spans="1:19" ht="18.75" x14ac:dyDescent="0.25">
      <c r="G63" s="107"/>
      <c r="H63" s="107"/>
      <c r="I63" s="30"/>
      <c r="J63" s="30"/>
      <c r="K63" s="30"/>
      <c r="L63" s="30"/>
    </row>
    <row r="64" spans="1:19" ht="18.75" x14ac:dyDescent="0.25">
      <c r="G64" s="107"/>
      <c r="H64" s="107"/>
      <c r="I64" s="30"/>
      <c r="J64" s="30"/>
      <c r="K64" s="30"/>
      <c r="L64" s="30"/>
    </row>
    <row r="65" spans="7:12" ht="18.75" x14ac:dyDescent="0.25">
      <c r="G65" s="107"/>
      <c r="H65" s="107"/>
      <c r="I65" s="30"/>
      <c r="J65" s="30"/>
      <c r="K65" s="30"/>
      <c r="L65" s="30"/>
    </row>
    <row r="66" spans="7:12" ht="18.75" x14ac:dyDescent="0.25">
      <c r="G66" s="107"/>
      <c r="H66" s="107"/>
      <c r="I66" s="30"/>
      <c r="J66" s="30"/>
      <c r="K66" s="30"/>
      <c r="L66" s="30"/>
    </row>
    <row r="67" spans="7:12" ht="18.75" x14ac:dyDescent="0.25">
      <c r="G67" s="107"/>
      <c r="H67" s="107"/>
      <c r="I67" s="30"/>
      <c r="J67" s="30"/>
      <c r="K67" s="30"/>
      <c r="L67" s="30"/>
    </row>
    <row r="68" spans="7:12" ht="18.75" x14ac:dyDescent="0.25">
      <c r="G68" s="107"/>
      <c r="H68" s="107"/>
      <c r="I68" s="30"/>
      <c r="J68" s="30"/>
      <c r="K68" s="30"/>
      <c r="L68" s="30"/>
    </row>
    <row r="69" spans="7:12" ht="18.75" x14ac:dyDescent="0.25">
      <c r="G69" s="107"/>
      <c r="H69" s="107"/>
      <c r="I69" s="30"/>
      <c r="J69" s="30"/>
      <c r="K69" s="30"/>
      <c r="L69" s="30"/>
    </row>
    <row r="70" spans="7:12" ht="18.75" x14ac:dyDescent="0.25">
      <c r="G70" s="107"/>
      <c r="H70" s="107"/>
      <c r="I70" s="30"/>
      <c r="J70" s="30"/>
      <c r="K70" s="30"/>
      <c r="L70" s="30"/>
    </row>
    <row r="71" spans="7:12" ht="18.75" x14ac:dyDescent="0.25">
      <c r="G71" s="107"/>
      <c r="H71" s="107"/>
      <c r="I71" s="30"/>
      <c r="J71" s="30"/>
      <c r="K71" s="30"/>
      <c r="L71" s="30"/>
    </row>
    <row r="72" spans="7:12" ht="18.75" x14ac:dyDescent="0.25">
      <c r="G72" s="107"/>
      <c r="H72" s="107"/>
      <c r="I72" s="30"/>
      <c r="J72" s="30"/>
      <c r="K72" s="30"/>
      <c r="L72" s="30"/>
    </row>
    <row r="73" spans="7:12" ht="18.75" x14ac:dyDescent="0.25">
      <c r="G73" s="107"/>
      <c r="H73" s="107"/>
      <c r="I73" s="30"/>
      <c r="J73" s="30"/>
      <c r="K73" s="30"/>
      <c r="L73" s="30"/>
    </row>
    <row r="74" spans="7:12" ht="18.75" x14ac:dyDescent="0.25">
      <c r="G74" s="107"/>
      <c r="H74" s="107"/>
      <c r="I74" s="30"/>
      <c r="J74" s="30"/>
      <c r="K74" s="30"/>
      <c r="L74" s="30"/>
    </row>
    <row r="75" spans="7:12" ht="18.75" x14ac:dyDescent="0.25">
      <c r="G75" s="107"/>
      <c r="H75" s="107"/>
      <c r="I75" s="30"/>
      <c r="J75" s="30"/>
      <c r="K75" s="30"/>
      <c r="L75" s="30"/>
    </row>
    <row r="76" spans="7:12" ht="18.75" x14ac:dyDescent="0.25">
      <c r="G76" s="107"/>
      <c r="H76" s="107"/>
      <c r="I76" s="30"/>
      <c r="J76" s="30"/>
      <c r="K76" s="30"/>
      <c r="L76" s="30"/>
    </row>
    <row r="77" spans="7:12" ht="18.75" x14ac:dyDescent="0.25">
      <c r="G77" s="107"/>
      <c r="H77" s="107"/>
      <c r="I77" s="30"/>
      <c r="J77" s="30"/>
      <c r="K77" s="30"/>
      <c r="L77" s="30"/>
    </row>
    <row r="78" spans="7:12" ht="18.75" x14ac:dyDescent="0.25">
      <c r="G78" s="107"/>
      <c r="H78" s="107"/>
      <c r="I78" s="30"/>
      <c r="J78" s="30"/>
      <c r="K78" s="30"/>
      <c r="L78" s="30"/>
    </row>
    <row r="79" spans="7:12" ht="18.75" x14ac:dyDescent="0.25">
      <c r="G79" s="107"/>
      <c r="H79" s="107"/>
      <c r="I79" s="30"/>
      <c r="J79" s="30"/>
      <c r="K79" s="30"/>
      <c r="L79" s="30"/>
    </row>
    <row r="80" spans="7:12" ht="18.75" x14ac:dyDescent="0.25">
      <c r="G80" s="107"/>
      <c r="H80" s="107"/>
      <c r="I80" s="30"/>
      <c r="J80" s="30"/>
      <c r="K80" s="30"/>
      <c r="L80" s="30"/>
    </row>
    <row r="81" spans="7:12" ht="18.75" x14ac:dyDescent="0.25">
      <c r="G81" s="107"/>
      <c r="H81" s="107"/>
      <c r="I81" s="30"/>
      <c r="J81" s="30"/>
      <c r="K81" s="30"/>
      <c r="L81" s="30"/>
    </row>
    <row r="82" spans="7:12" ht="18.75" x14ac:dyDescent="0.25">
      <c r="G82" s="107"/>
      <c r="H82" s="107"/>
      <c r="I82" s="30"/>
      <c r="J82" s="30"/>
      <c r="K82" s="30"/>
      <c r="L82" s="30"/>
    </row>
    <row r="83" spans="7:12" ht="18.75" x14ac:dyDescent="0.25">
      <c r="G83" s="107"/>
      <c r="H83" s="107"/>
      <c r="I83" s="30"/>
      <c r="J83" s="30"/>
      <c r="K83" s="30"/>
      <c r="L83" s="30"/>
    </row>
    <row r="84" spans="7:12" ht="18.75" x14ac:dyDescent="0.25">
      <c r="G84" s="107"/>
      <c r="H84" s="107"/>
      <c r="I84" s="30"/>
      <c r="J84" s="30"/>
      <c r="K84" s="30"/>
      <c r="L84" s="30"/>
    </row>
    <row r="85" spans="7:12" ht="18.75" x14ac:dyDescent="0.25">
      <c r="G85" s="107"/>
      <c r="H85" s="107"/>
      <c r="I85" s="30"/>
      <c r="J85" s="30"/>
      <c r="K85" s="30"/>
      <c r="L85" s="30"/>
    </row>
    <row r="86" spans="7:12" ht="18.75" x14ac:dyDescent="0.25">
      <c r="G86" s="107"/>
      <c r="H86" s="107"/>
      <c r="I86" s="30"/>
      <c r="J86" s="30"/>
      <c r="K86" s="30"/>
      <c r="L86" s="30"/>
    </row>
    <row r="87" spans="7:12" ht="18.75" x14ac:dyDescent="0.25">
      <c r="G87" s="107"/>
      <c r="H87" s="107"/>
      <c r="I87" s="30"/>
      <c r="J87" s="30"/>
      <c r="K87" s="30"/>
      <c r="L87" s="30"/>
    </row>
    <row r="88" spans="7:12" ht="18.75" x14ac:dyDescent="0.25">
      <c r="G88" s="107"/>
      <c r="H88" s="107"/>
      <c r="I88" s="30"/>
      <c r="J88" s="30"/>
      <c r="K88" s="30"/>
      <c r="L88" s="30"/>
    </row>
    <row r="89" spans="7:12" ht="18.75" x14ac:dyDescent="0.25">
      <c r="G89" s="107"/>
      <c r="H89" s="107"/>
      <c r="I89" s="30"/>
      <c r="J89" s="30"/>
      <c r="K89" s="30"/>
      <c r="L89" s="30"/>
    </row>
    <row r="90" spans="7:12" ht="18.75" x14ac:dyDescent="0.25">
      <c r="G90" s="107"/>
      <c r="H90" s="107"/>
      <c r="I90" s="30"/>
      <c r="J90" s="30"/>
      <c r="K90" s="30"/>
      <c r="L90" s="30"/>
    </row>
    <row r="91" spans="7:12" ht="18.75" x14ac:dyDescent="0.25">
      <c r="G91" s="107"/>
      <c r="H91" s="107"/>
      <c r="I91" s="30"/>
      <c r="J91" s="30"/>
      <c r="K91" s="30"/>
      <c r="L91" s="30"/>
    </row>
    <row r="92" spans="7:12" ht="18.75" x14ac:dyDescent="0.25">
      <c r="G92" s="107"/>
      <c r="H92" s="107"/>
      <c r="I92" s="30"/>
      <c r="J92" s="30"/>
      <c r="K92" s="30"/>
      <c r="L92" s="30"/>
    </row>
    <row r="93" spans="7:12" ht="18.75" x14ac:dyDescent="0.25">
      <c r="G93" s="107"/>
      <c r="H93" s="107"/>
      <c r="I93" s="30"/>
      <c r="J93" s="30"/>
      <c r="K93" s="30"/>
      <c r="L93" s="30"/>
    </row>
    <row r="94" spans="7:12" ht="18.75" x14ac:dyDescent="0.25">
      <c r="G94" s="107"/>
      <c r="H94" s="107"/>
      <c r="I94" s="30"/>
      <c r="J94" s="30"/>
      <c r="K94" s="30"/>
      <c r="L94" s="30"/>
    </row>
    <row r="95" spans="7:12" ht="18.75" x14ac:dyDescent="0.25">
      <c r="G95" s="107"/>
      <c r="H95" s="107"/>
      <c r="I95" s="30"/>
      <c r="J95" s="30"/>
      <c r="K95" s="30"/>
      <c r="L95" s="30"/>
    </row>
    <row r="96" spans="7:12" ht="18.75" x14ac:dyDescent="0.25">
      <c r="G96" s="107"/>
      <c r="H96" s="107"/>
      <c r="I96" s="30"/>
      <c r="J96" s="30"/>
      <c r="K96" s="30"/>
      <c r="L96" s="30"/>
    </row>
    <row r="97" spans="7:12" ht="18.75" x14ac:dyDescent="0.25">
      <c r="G97" s="107"/>
      <c r="H97" s="107"/>
      <c r="I97" s="30"/>
      <c r="J97" s="30"/>
      <c r="K97" s="30"/>
      <c r="L97" s="30"/>
    </row>
    <row r="98" spans="7:12" ht="18.75" x14ac:dyDescent="0.25">
      <c r="G98" s="107"/>
      <c r="H98" s="107"/>
      <c r="I98" s="30"/>
      <c r="J98" s="30"/>
      <c r="K98" s="30"/>
      <c r="L98" s="30"/>
    </row>
    <row r="99" spans="7:12" ht="18.75" x14ac:dyDescent="0.25">
      <c r="G99" s="107"/>
      <c r="H99" s="107"/>
      <c r="I99" s="30"/>
      <c r="J99" s="30"/>
      <c r="K99" s="30"/>
      <c r="L99" s="30"/>
    </row>
    <row r="100" spans="7:12" ht="18.75" x14ac:dyDescent="0.25">
      <c r="G100" s="107"/>
      <c r="H100" s="107"/>
      <c r="I100" s="30"/>
      <c r="J100" s="30"/>
      <c r="K100" s="30"/>
      <c r="L100" s="30"/>
    </row>
    <row r="101" spans="7:12" ht="18.75" x14ac:dyDescent="0.25">
      <c r="G101" s="107"/>
      <c r="H101" s="107"/>
      <c r="I101" s="30"/>
      <c r="J101" s="30"/>
      <c r="K101" s="30"/>
      <c r="L101" s="30"/>
    </row>
    <row r="102" spans="7:12" ht="18.75" x14ac:dyDescent="0.25">
      <c r="G102" s="107"/>
      <c r="H102" s="107"/>
      <c r="I102" s="30"/>
      <c r="J102" s="30"/>
      <c r="K102" s="30"/>
      <c r="L102" s="30"/>
    </row>
    <row r="103" spans="7:12" ht="18.75" x14ac:dyDescent="0.25">
      <c r="G103" s="107"/>
      <c r="H103" s="107"/>
      <c r="I103" s="30"/>
      <c r="J103" s="30"/>
      <c r="K103" s="30"/>
      <c r="L103" s="30"/>
    </row>
    <row r="104" spans="7:12" ht="18.75" x14ac:dyDescent="0.25">
      <c r="G104" s="107"/>
      <c r="H104" s="107"/>
      <c r="I104" s="30"/>
      <c r="J104" s="30"/>
      <c r="K104" s="30"/>
      <c r="L104" s="30"/>
    </row>
    <row r="105" spans="7:12" ht="18.75" x14ac:dyDescent="0.25">
      <c r="G105" s="107"/>
      <c r="H105" s="107"/>
      <c r="I105" s="30"/>
      <c r="J105" s="30"/>
      <c r="K105" s="30"/>
      <c r="L105" s="30"/>
    </row>
    <row r="106" spans="7:12" ht="18.75" x14ac:dyDescent="0.25">
      <c r="G106" s="107"/>
      <c r="H106" s="107"/>
      <c r="I106" s="30"/>
      <c r="J106" s="30"/>
      <c r="K106" s="30"/>
      <c r="L106" s="30"/>
    </row>
    <row r="107" spans="7:12" ht="18.75" x14ac:dyDescent="0.25">
      <c r="G107" s="107"/>
      <c r="H107" s="107"/>
      <c r="I107" s="30"/>
      <c r="J107" s="30"/>
      <c r="K107" s="30"/>
      <c r="L107" s="30"/>
    </row>
    <row r="108" spans="7:12" ht="18.75" x14ac:dyDescent="0.25">
      <c r="G108" s="107"/>
      <c r="H108" s="107"/>
      <c r="I108" s="30"/>
      <c r="J108" s="30"/>
      <c r="K108" s="30"/>
      <c r="L108" s="30"/>
    </row>
    <row r="109" spans="7:12" ht="18.75" x14ac:dyDescent="0.25">
      <c r="G109" s="107"/>
      <c r="H109" s="107"/>
      <c r="I109" s="30"/>
      <c r="J109" s="30"/>
      <c r="K109" s="30"/>
      <c r="L109" s="30"/>
    </row>
    <row r="110" spans="7:12" ht="18.75" x14ac:dyDescent="0.25">
      <c r="G110" s="107"/>
      <c r="H110" s="107"/>
      <c r="I110" s="30"/>
      <c r="J110" s="30"/>
      <c r="K110" s="30"/>
      <c r="L110" s="30"/>
    </row>
    <row r="111" spans="7:12" ht="18.75" x14ac:dyDescent="0.25">
      <c r="G111" s="107"/>
      <c r="H111" s="107"/>
      <c r="I111" s="30"/>
      <c r="J111" s="30"/>
      <c r="K111" s="30"/>
      <c r="L111" s="30"/>
    </row>
    <row r="112" spans="7:12" ht="18.75" x14ac:dyDescent="0.25">
      <c r="G112" s="107"/>
      <c r="H112" s="107"/>
      <c r="I112" s="30"/>
      <c r="J112" s="30"/>
      <c r="K112" s="30"/>
      <c r="L112" s="30"/>
    </row>
    <row r="113" spans="7:12" ht="18.75" x14ac:dyDescent="0.25">
      <c r="G113" s="107"/>
      <c r="H113" s="107"/>
      <c r="I113" s="30"/>
      <c r="J113" s="30"/>
      <c r="K113" s="30"/>
      <c r="L113" s="30"/>
    </row>
    <row r="114" spans="7:12" ht="18.75" x14ac:dyDescent="0.25">
      <c r="G114" s="107"/>
      <c r="H114" s="107"/>
      <c r="I114" s="30"/>
      <c r="J114" s="30"/>
      <c r="K114" s="30"/>
      <c r="L114" s="30"/>
    </row>
    <row r="115" spans="7:12" ht="18.75" x14ac:dyDescent="0.25">
      <c r="G115" s="107"/>
      <c r="H115" s="107"/>
      <c r="I115" s="30"/>
      <c r="J115" s="30"/>
      <c r="K115" s="30"/>
      <c r="L115" s="30"/>
    </row>
    <row r="116" spans="7:12" ht="18.75" x14ac:dyDescent="0.25">
      <c r="G116" s="107"/>
      <c r="H116" s="107"/>
      <c r="I116" s="30"/>
      <c r="J116" s="30"/>
      <c r="K116" s="30"/>
      <c r="L116" s="30"/>
    </row>
    <row r="117" spans="7:12" ht="18.75" x14ac:dyDescent="0.25">
      <c r="G117" s="107"/>
      <c r="H117" s="107"/>
      <c r="I117" s="30"/>
      <c r="J117" s="30"/>
      <c r="K117" s="30"/>
      <c r="L117" s="30"/>
    </row>
    <row r="118" spans="7:12" ht="18.75" x14ac:dyDescent="0.25">
      <c r="G118" s="107"/>
      <c r="H118" s="107"/>
      <c r="I118" s="30"/>
      <c r="J118" s="30"/>
      <c r="K118" s="30"/>
      <c r="L118" s="30"/>
    </row>
    <row r="119" spans="7:12" ht="18.75" x14ac:dyDescent="0.25">
      <c r="G119" s="107"/>
      <c r="H119" s="107"/>
      <c r="I119" s="30"/>
      <c r="J119" s="30"/>
      <c r="K119" s="30"/>
      <c r="L119" s="30"/>
    </row>
    <row r="120" spans="7:12" ht="18.75" x14ac:dyDescent="0.25">
      <c r="G120" s="107"/>
      <c r="H120" s="107"/>
      <c r="I120" s="30"/>
      <c r="J120" s="30"/>
      <c r="K120" s="30"/>
      <c r="L120" s="30"/>
    </row>
    <row r="121" spans="7:12" ht="18.75" x14ac:dyDescent="0.25">
      <c r="G121" s="107"/>
      <c r="H121" s="107"/>
      <c r="I121" s="30"/>
      <c r="J121" s="30"/>
      <c r="K121" s="30"/>
      <c r="L121" s="30"/>
    </row>
    <row r="122" spans="7:12" ht="18.75" x14ac:dyDescent="0.25">
      <c r="G122" s="107"/>
      <c r="H122" s="107"/>
      <c r="I122" s="30"/>
      <c r="J122" s="30"/>
      <c r="K122" s="30"/>
      <c r="L122" s="30"/>
    </row>
    <row r="123" spans="7:12" ht="18.75" x14ac:dyDescent="0.25">
      <c r="G123" s="107"/>
      <c r="H123" s="107"/>
      <c r="I123" s="30"/>
      <c r="J123" s="30"/>
      <c r="K123" s="30"/>
      <c r="L123" s="30"/>
    </row>
    <row r="124" spans="7:12" ht="18.75" x14ac:dyDescent="0.25">
      <c r="G124" s="107"/>
      <c r="H124" s="107"/>
      <c r="I124" s="30"/>
      <c r="J124" s="30"/>
      <c r="K124" s="30"/>
      <c r="L124" s="30"/>
    </row>
    <row r="125" spans="7:12" ht="18.75" x14ac:dyDescent="0.25">
      <c r="G125" s="107"/>
      <c r="H125" s="107"/>
      <c r="I125" s="30"/>
      <c r="J125" s="30"/>
      <c r="K125" s="30"/>
      <c r="L125" s="30"/>
    </row>
    <row r="126" spans="7:12" ht="18.75" x14ac:dyDescent="0.25">
      <c r="G126" s="107"/>
      <c r="H126" s="107"/>
      <c r="I126" s="30"/>
      <c r="J126" s="30"/>
      <c r="K126" s="30"/>
      <c r="L126" s="30"/>
    </row>
    <row r="127" spans="7:12" ht="18.75" x14ac:dyDescent="0.25">
      <c r="G127" s="107"/>
      <c r="H127" s="107"/>
      <c r="I127" s="30"/>
      <c r="J127" s="30"/>
      <c r="K127" s="30"/>
      <c r="L127" s="30"/>
    </row>
    <row r="128" spans="7:12" ht="18.75" x14ac:dyDescent="0.25">
      <c r="G128" s="107"/>
      <c r="H128" s="107"/>
      <c r="I128" s="30"/>
      <c r="J128" s="30"/>
      <c r="K128" s="30"/>
      <c r="L128" s="30"/>
    </row>
    <row r="129" spans="7:12" ht="18.75" x14ac:dyDescent="0.25">
      <c r="G129" s="107"/>
      <c r="H129" s="107"/>
      <c r="I129" s="30"/>
      <c r="J129" s="30"/>
      <c r="K129" s="30"/>
      <c r="L129" s="30"/>
    </row>
    <row r="130" spans="7:12" ht="18.75" x14ac:dyDescent="0.25">
      <c r="G130" s="107"/>
      <c r="H130" s="107"/>
      <c r="I130" s="30"/>
      <c r="J130" s="30"/>
      <c r="K130" s="30"/>
      <c r="L130" s="30"/>
    </row>
    <row r="131" spans="7:12" ht="18.75" x14ac:dyDescent="0.25">
      <c r="G131" s="107"/>
      <c r="H131" s="107"/>
      <c r="I131" s="30"/>
      <c r="J131" s="30"/>
      <c r="K131" s="30"/>
      <c r="L131" s="30"/>
    </row>
    <row r="132" spans="7:12" ht="18.75" x14ac:dyDescent="0.25">
      <c r="G132" s="107"/>
      <c r="H132" s="107"/>
      <c r="I132" s="30"/>
      <c r="J132" s="30"/>
      <c r="K132" s="30"/>
      <c r="L132" s="30"/>
    </row>
    <row r="133" spans="7:12" ht="18.75" x14ac:dyDescent="0.25">
      <c r="G133" s="107"/>
      <c r="H133" s="107"/>
      <c r="I133" s="30"/>
      <c r="J133" s="30"/>
      <c r="K133" s="30"/>
      <c r="L133" s="30"/>
    </row>
    <row r="134" spans="7:12" ht="18.75" x14ac:dyDescent="0.25">
      <c r="G134" s="107"/>
      <c r="H134" s="107"/>
      <c r="I134" s="30"/>
      <c r="J134" s="30"/>
      <c r="K134" s="30"/>
      <c r="L134" s="30"/>
    </row>
    <row r="135" spans="7:12" ht="18.75" x14ac:dyDescent="0.25">
      <c r="G135" s="107"/>
      <c r="H135" s="107"/>
      <c r="I135" s="30"/>
      <c r="J135" s="30"/>
      <c r="K135" s="30"/>
      <c r="L135" s="30"/>
    </row>
    <row r="136" spans="7:12" ht="18.75" x14ac:dyDescent="0.25">
      <c r="G136" s="107"/>
      <c r="H136" s="107"/>
      <c r="I136" s="30"/>
      <c r="J136" s="30"/>
      <c r="K136" s="30"/>
      <c r="L136" s="30"/>
    </row>
    <row r="137" spans="7:12" ht="18.75" x14ac:dyDescent="0.25">
      <c r="G137" s="107"/>
      <c r="H137" s="107"/>
      <c r="I137" s="30"/>
      <c r="J137" s="30"/>
      <c r="K137" s="30"/>
      <c r="L137" s="30"/>
    </row>
    <row r="138" spans="7:12" ht="18.75" x14ac:dyDescent="0.25">
      <c r="G138" s="107"/>
      <c r="H138" s="107"/>
      <c r="I138" s="30"/>
      <c r="J138" s="30"/>
      <c r="K138" s="30"/>
      <c r="L138" s="30"/>
    </row>
  </sheetData>
  <mergeCells count="1">
    <mergeCell ref="H1:L1"/>
  </mergeCells>
  <conditionalFormatting sqref="D4:D14 D16:D22">
    <cfRule type="cellIs" dxfId="18" priority="289" operator="equal">
      <formula>0</formula>
    </cfRule>
  </conditionalFormatting>
  <dataValidations count="1">
    <dataValidation type="list" allowBlank="1" showInputMessage="1" sqref="H3:L3 H15:L15" xr:uid="{75EA1248-5999-44E2-AF44-39B1BB7BE4ED}">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Please select units from the dropdown box" xr:uid="{00000000-0002-0000-1E00-000000000000}">
          <x14:formula1>
            <xm:f>Unit!$A$4:$A$11</xm:f>
          </x14:formula1>
          <xm:sqref>D15 D3</xm:sqref>
        </x14:dataValidation>
        <x14:dataValidation type="list" allowBlank="1" showInputMessage="1" xr:uid="{00000000-0002-0000-1E00-00000B000000}">
          <x14:formula1>
            <xm:f>Unit!#REF!</xm:f>
          </x14:formula1>
          <xm:sqref>I24:L138</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9095-7DD5-4783-A8C2-85D57436E29E}">
  <sheetPr codeName="Sheet55">
    <tabColor rgb="FF00B0F0"/>
  </sheetPr>
  <dimension ref="A1:AB704"/>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3" width="15.140625" style="273" customWidth="1"/>
    <col min="4" max="4" width="16.140625" style="273" customWidth="1"/>
    <col min="5" max="5" width="18.85546875" style="273" bestFit="1" customWidth="1"/>
    <col min="6"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986</v>
      </c>
      <c r="B1" s="295"/>
      <c r="C1" s="295"/>
      <c r="D1" s="295"/>
      <c r="E1" s="295"/>
      <c r="F1" s="295"/>
      <c r="G1" s="295"/>
      <c r="H1" s="295"/>
      <c r="I1" s="295"/>
      <c r="J1" s="295"/>
      <c r="K1" s="295"/>
      <c r="L1" s="295"/>
      <c r="M1" s="295"/>
      <c r="N1" s="295"/>
      <c r="O1" s="295"/>
      <c r="P1" s="295"/>
      <c r="Q1" s="295"/>
      <c r="R1" s="295"/>
      <c r="S1" s="296" t="s">
        <v>888</v>
      </c>
      <c r="T1" s="301">
        <v>44845</v>
      </c>
      <c r="U1" s="301"/>
      <c r="V1" s="301"/>
      <c r="W1" s="301"/>
      <c r="X1" s="301"/>
      <c r="Y1" s="301"/>
      <c r="Z1" s="301"/>
      <c r="AA1" s="301"/>
      <c r="AB1" s="301"/>
    </row>
    <row r="2" spans="1:28" ht="15.75" x14ac:dyDescent="0.25">
      <c r="I2" s="292">
        <v>80.62</v>
      </c>
      <c r="J2" s="293">
        <v>91.43</v>
      </c>
      <c r="K2" s="291">
        <v>1</v>
      </c>
      <c r="L2" s="291">
        <v>1</v>
      </c>
      <c r="U2" s="291">
        <f>1100/1100</f>
        <v>1</v>
      </c>
      <c r="V2" s="291">
        <f>1100/1100</f>
        <v>1</v>
      </c>
      <c r="W2" s="291">
        <f>1110/1100</f>
        <v>1.009090909090909</v>
      </c>
      <c r="X2" s="291">
        <f>1200/1100</f>
        <v>1.0909090909090908</v>
      </c>
      <c r="Y2" s="291">
        <f>1260/1100</f>
        <v>1.1454545454545455</v>
      </c>
      <c r="Z2" s="291">
        <f t="shared" ref="Z2:AB2" si="0">1100/1100</f>
        <v>1</v>
      </c>
      <c r="AA2" s="291">
        <f t="shared" si="0"/>
        <v>1</v>
      </c>
      <c r="AB2" s="291">
        <f t="shared" si="0"/>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1000</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t="s">
        <v>1039</v>
      </c>
      <c r="Q5" s="303" t="s">
        <v>1038</v>
      </c>
      <c r="R5" s="291"/>
      <c r="S5" s="291"/>
      <c r="T5" s="291"/>
      <c r="U5" s="291">
        <f>U$2</f>
        <v>1</v>
      </c>
      <c r="V5" s="291">
        <f>V$2</f>
        <v>1</v>
      </c>
      <c r="W5" s="291">
        <f t="shared" ref="W5:AB5" si="1">W$2</f>
        <v>1.009090909090909</v>
      </c>
      <c r="X5" s="291">
        <f t="shared" si="1"/>
        <v>1.0909090909090908</v>
      </c>
      <c r="Y5" s="291">
        <f t="shared" si="1"/>
        <v>1.1454545454545455</v>
      </c>
      <c r="Z5" s="291">
        <f t="shared" si="1"/>
        <v>1</v>
      </c>
      <c r="AA5" s="291">
        <f t="shared" si="1"/>
        <v>1</v>
      </c>
      <c r="AB5" s="291">
        <f t="shared" si="1"/>
        <v>1</v>
      </c>
    </row>
    <row r="6" spans="1:28" s="305" customFormat="1" ht="14.45" hidden="1" customHeight="1" outlineLevel="1" x14ac:dyDescent="0.25">
      <c r="A6" s="278"/>
      <c r="B6" s="279" t="str">
        <f>C6&amp;D6&amp;E6&amp;F6</f>
        <v>benchtopup to 600mmlaminatedaverage</v>
      </c>
      <c r="C6" s="278" t="s">
        <v>995</v>
      </c>
      <c r="D6" s="278" t="s">
        <v>546</v>
      </c>
      <c r="E6" s="278" t="s">
        <v>536</v>
      </c>
      <c r="F6" s="278" t="s">
        <v>543</v>
      </c>
      <c r="G6" s="278" t="s">
        <v>15</v>
      </c>
      <c r="H6" s="290">
        <v>0.25</v>
      </c>
      <c r="I6" s="280">
        <f t="shared" ref="I6:I17" si="2">$I$2*H6</f>
        <v>20.155000000000001</v>
      </c>
      <c r="J6" s="281">
        <f>$J$2*H6</f>
        <v>22.857500000000002</v>
      </c>
      <c r="K6" s="282">
        <f>IF(Notes!$B$9="Domestic",I6, IF(Notes!$B$9="Commercial",J6))*$K$5</f>
        <v>22.857500000000002</v>
      </c>
      <c r="L6" s="283">
        <f>(SUM(O6:Q6)+(K6+SUM(M6:Q6))*(INDEX($U$5:$AB$5,MATCH(Notes!$C$16,$U$3:$AB$3,0))-100%))*$L$5</f>
        <v>139.36000000000001</v>
      </c>
      <c r="M6" s="286"/>
      <c r="N6" s="286"/>
      <c r="O6" s="285">
        <v>107.86</v>
      </c>
      <c r="P6" s="285">
        <v>31.5</v>
      </c>
      <c r="Q6" s="285"/>
      <c r="R6" s="278"/>
      <c r="S6" s="278" t="s">
        <v>546</v>
      </c>
      <c r="T6" s="278" t="s">
        <v>536</v>
      </c>
      <c r="U6" s="304"/>
    </row>
    <row r="7" spans="1:28" s="305" customFormat="1" ht="14.45" hidden="1" customHeight="1" outlineLevel="1" x14ac:dyDescent="0.25">
      <c r="A7" s="278"/>
      <c r="B7" s="279" t="str">
        <f t="shared" ref="B7:B17" si="3">C7&amp;D7&amp;E7&amp;F7</f>
        <v>benchtopup to 600mmlaminatedquality</v>
      </c>
      <c r="C7" s="278" t="s">
        <v>995</v>
      </c>
      <c r="D7" s="278" t="s">
        <v>546</v>
      </c>
      <c r="E7" s="278" t="s">
        <v>536</v>
      </c>
      <c r="F7" s="278" t="s">
        <v>544</v>
      </c>
      <c r="G7" s="278" t="s">
        <v>15</v>
      </c>
      <c r="H7" s="290">
        <v>0.25</v>
      </c>
      <c r="I7" s="280">
        <f t="shared" si="2"/>
        <v>20.155000000000001</v>
      </c>
      <c r="J7" s="281">
        <f t="shared" ref="J7:J17" si="4">$J$2*H7</f>
        <v>22.857500000000002</v>
      </c>
      <c r="K7" s="282">
        <f>IF(Notes!$B$9="Domestic",I7, IF(Notes!$B$9="Commercial",J7))*$K$5</f>
        <v>22.857500000000002</v>
      </c>
      <c r="L7" s="283">
        <f>(SUM(O7:Q7)+(K7+SUM(M7:Q7))*(INDEX($U$5:$AB$5,MATCH(Notes!$C$16,$U$3:$AB$3,0))-100%))*$L$5</f>
        <v>146.03</v>
      </c>
      <c r="M7" s="286"/>
      <c r="N7" s="286"/>
      <c r="O7" s="285">
        <v>114.53</v>
      </c>
      <c r="P7" s="285">
        <v>31.5</v>
      </c>
      <c r="Q7" s="285"/>
      <c r="R7" s="278"/>
      <c r="S7" s="278" t="s">
        <v>998</v>
      </c>
      <c r="T7" s="278" t="s">
        <v>997</v>
      </c>
      <c r="U7" s="304"/>
    </row>
    <row r="8" spans="1:28" s="305" customFormat="1" ht="14.45" hidden="1" customHeight="1" outlineLevel="1" x14ac:dyDescent="0.25">
      <c r="A8" s="278"/>
      <c r="B8" s="279" t="str">
        <f t="shared" si="3"/>
        <v>benchtopup to 600mmlaminatedprestige</v>
      </c>
      <c r="C8" s="278" t="s">
        <v>995</v>
      </c>
      <c r="D8" s="278" t="s">
        <v>546</v>
      </c>
      <c r="E8" s="278" t="s">
        <v>536</v>
      </c>
      <c r="F8" s="278" t="s">
        <v>545</v>
      </c>
      <c r="G8" s="278" t="s">
        <v>15</v>
      </c>
      <c r="H8" s="290">
        <v>0.25</v>
      </c>
      <c r="I8" s="280">
        <f t="shared" si="2"/>
        <v>20.155000000000001</v>
      </c>
      <c r="J8" s="281">
        <f t="shared" si="4"/>
        <v>22.857500000000002</v>
      </c>
      <c r="K8" s="282">
        <f>IF(Notes!$B$9="Domestic",I8, IF(Notes!$B$9="Commercial",J8))*$K$5</f>
        <v>22.857500000000002</v>
      </c>
      <c r="L8" s="283">
        <f>(SUM(O8:Q8)+(K8+SUM(M8:Q8))*(INDEX($U$5:$AB$5,MATCH(Notes!$C$16,$U$3:$AB$3,0))-100%))*$L$5</f>
        <v>158.69999999999999</v>
      </c>
      <c r="M8" s="286"/>
      <c r="N8" s="286"/>
      <c r="O8" s="285">
        <v>127.2</v>
      </c>
      <c r="P8" s="285">
        <v>31.5</v>
      </c>
      <c r="Q8" s="285"/>
      <c r="R8" s="278"/>
      <c r="S8" s="278" t="s">
        <v>537</v>
      </c>
      <c r="T8" s="278" t="s">
        <v>924</v>
      </c>
      <c r="U8" s="304"/>
    </row>
    <row r="9" spans="1:28" s="305" customFormat="1" hidden="1" outlineLevel="1" x14ac:dyDescent="0.25">
      <c r="A9" s="278"/>
      <c r="B9" s="279" t="str">
        <f t="shared" si="3"/>
        <v>benchtop601mm to 900mmlaminatedaverage</v>
      </c>
      <c r="C9" s="278" t="s">
        <v>995</v>
      </c>
      <c r="D9" s="278" t="s">
        <v>998</v>
      </c>
      <c r="E9" s="278" t="s">
        <v>536</v>
      </c>
      <c r="F9" s="278" t="s">
        <v>543</v>
      </c>
      <c r="G9" s="278" t="s">
        <v>15</v>
      </c>
      <c r="H9" s="290">
        <v>0.3</v>
      </c>
      <c r="I9" s="280">
        <f t="shared" si="2"/>
        <v>24.186</v>
      </c>
      <c r="J9" s="281">
        <f t="shared" si="4"/>
        <v>27.429000000000002</v>
      </c>
      <c r="K9" s="282">
        <f>IF(Notes!$B$9="Domestic",I9, IF(Notes!$B$9="Commercial",J9))*$K$5</f>
        <v>27.429000000000002</v>
      </c>
      <c r="L9" s="283">
        <f>(SUM(O9:Q9)+(K9+SUM(M9:Q9))*(INDEX($U$5:$AB$5,MATCH(Notes!$C$16,$U$3:$AB$3,0))-100%))*$L$5</f>
        <v>210.48</v>
      </c>
      <c r="M9" s="286"/>
      <c r="N9" s="286"/>
      <c r="O9" s="285">
        <v>178.98</v>
      </c>
      <c r="P9" s="285">
        <v>31.5</v>
      </c>
      <c r="Q9" s="285"/>
      <c r="R9" s="278"/>
      <c r="S9" s="278" t="s">
        <v>549</v>
      </c>
      <c r="T9" s="278" t="s">
        <v>708</v>
      </c>
    </row>
    <row r="10" spans="1:28" s="305" customFormat="1" hidden="1" outlineLevel="1" x14ac:dyDescent="0.25">
      <c r="A10" s="278"/>
      <c r="B10" s="279" t="str">
        <f t="shared" si="3"/>
        <v>benchtop601mm to 900mmlaminatedquality</v>
      </c>
      <c r="C10" s="278" t="s">
        <v>995</v>
      </c>
      <c r="D10" s="278" t="s">
        <v>998</v>
      </c>
      <c r="E10" s="278" t="s">
        <v>536</v>
      </c>
      <c r="F10" s="278" t="s">
        <v>544</v>
      </c>
      <c r="G10" s="278" t="s">
        <v>15</v>
      </c>
      <c r="H10" s="290">
        <v>0.3</v>
      </c>
      <c r="I10" s="280">
        <f t="shared" si="2"/>
        <v>24.186</v>
      </c>
      <c r="J10" s="281">
        <f t="shared" si="4"/>
        <v>27.429000000000002</v>
      </c>
      <c r="K10" s="282">
        <f>IF(Notes!$B$9="Domestic",I10, IF(Notes!$B$9="Commercial",J10))*$K$5</f>
        <v>27.429000000000002</v>
      </c>
      <c r="L10" s="283">
        <f>(SUM(O10:Q10)+(K10+SUM(M10:Q10))*(INDEX($U$5:$AB$5,MATCH(Notes!$C$16,$U$3:$AB$3,0))-100%))*$L$5</f>
        <v>221.59</v>
      </c>
      <c r="M10" s="286"/>
      <c r="N10" s="286"/>
      <c r="O10" s="285">
        <v>190.09</v>
      </c>
      <c r="P10" s="285">
        <v>31.5</v>
      </c>
      <c r="Q10" s="285"/>
      <c r="R10" s="278"/>
      <c r="S10" s="278"/>
      <c r="T10" s="278"/>
    </row>
    <row r="11" spans="1:28" s="305" customFormat="1" hidden="1" outlineLevel="1" x14ac:dyDescent="0.25">
      <c r="A11" s="278"/>
      <c r="B11" s="279" t="str">
        <f t="shared" si="3"/>
        <v>benchtop601mm to 900mmlaminatedprestige</v>
      </c>
      <c r="C11" s="278" t="s">
        <v>995</v>
      </c>
      <c r="D11" s="278" t="s">
        <v>998</v>
      </c>
      <c r="E11" s="278" t="s">
        <v>536</v>
      </c>
      <c r="F11" s="278" t="s">
        <v>545</v>
      </c>
      <c r="G11" s="278" t="s">
        <v>15</v>
      </c>
      <c r="H11" s="290">
        <v>0.3</v>
      </c>
      <c r="I11" s="280">
        <f t="shared" si="2"/>
        <v>24.186</v>
      </c>
      <c r="J11" s="281">
        <f t="shared" si="4"/>
        <v>27.429000000000002</v>
      </c>
      <c r="K11" s="282">
        <f>IF(Notes!$B$9="Domestic",I11, IF(Notes!$B$9="Commercial",J11))*$K$5</f>
        <v>27.429000000000002</v>
      </c>
      <c r="L11" s="283">
        <f>(SUM(O11:Q11)+(K11+SUM(M11:Q11))*(INDEX($U$5:$AB$5,MATCH(Notes!$C$16,$U$3:$AB$3,0))-100%))*$L$5</f>
        <v>242.61890334410199</v>
      </c>
      <c r="M11" s="286"/>
      <c r="N11" s="286"/>
      <c r="O11" s="311">
        <f>O10*O8/O7</f>
        <v>211.11890334410199</v>
      </c>
      <c r="P11" s="285">
        <v>31.5</v>
      </c>
      <c r="Q11" s="285"/>
      <c r="R11" s="278"/>
      <c r="S11" s="278"/>
      <c r="T11" s="278"/>
    </row>
    <row r="12" spans="1:28" s="305" customFormat="1" hidden="1" outlineLevel="1" x14ac:dyDescent="0.25">
      <c r="A12" s="278"/>
      <c r="B12" s="279" t="str">
        <f t="shared" si="3"/>
        <v>benchtop901mm to 1200mmlaminatedaverage</v>
      </c>
      <c r="C12" s="278" t="s">
        <v>995</v>
      </c>
      <c r="D12" s="278" t="s">
        <v>537</v>
      </c>
      <c r="E12" s="278" t="s">
        <v>536</v>
      </c>
      <c r="F12" s="278" t="s">
        <v>543</v>
      </c>
      <c r="G12" s="278" t="s">
        <v>15</v>
      </c>
      <c r="H12" s="290">
        <v>0.4</v>
      </c>
      <c r="I12" s="280">
        <f t="shared" si="2"/>
        <v>32.248000000000005</v>
      </c>
      <c r="J12" s="281">
        <f t="shared" si="4"/>
        <v>36.572000000000003</v>
      </c>
      <c r="K12" s="282">
        <f>IF(Notes!$B$9="Domestic",I12, IF(Notes!$B$9="Commercial",J12))*$K$5</f>
        <v>36.572000000000003</v>
      </c>
      <c r="L12" s="283">
        <f>(SUM(O12:Q12)+(K12+SUM(M12:Q12))*(INDEX($U$5:$AB$5,MATCH(Notes!$C$16,$U$3:$AB$3,0))-100%))*$L$5</f>
        <v>246.27599999999998</v>
      </c>
      <c r="M12" s="286"/>
      <c r="N12" s="286"/>
      <c r="O12" s="311">
        <f>O9*1.2</f>
        <v>214.77599999999998</v>
      </c>
      <c r="P12" s="285">
        <v>31.5</v>
      </c>
      <c r="Q12" s="285"/>
      <c r="R12" s="278"/>
      <c r="S12" s="278"/>
      <c r="T12" s="278"/>
    </row>
    <row r="13" spans="1:28" s="305" customFormat="1" hidden="1" outlineLevel="1" x14ac:dyDescent="0.25">
      <c r="A13" s="278"/>
      <c r="B13" s="279" t="str">
        <f t="shared" si="3"/>
        <v>benchtop901mm to 1200mmlaminatedquality</v>
      </c>
      <c r="C13" s="278" t="s">
        <v>995</v>
      </c>
      <c r="D13" s="278" t="s">
        <v>537</v>
      </c>
      <c r="E13" s="278" t="s">
        <v>536</v>
      </c>
      <c r="F13" s="278" t="s">
        <v>544</v>
      </c>
      <c r="G13" s="278" t="s">
        <v>15</v>
      </c>
      <c r="H13" s="290">
        <v>0.4</v>
      </c>
      <c r="I13" s="280">
        <f t="shared" si="2"/>
        <v>32.248000000000005</v>
      </c>
      <c r="J13" s="281">
        <f t="shared" si="4"/>
        <v>36.572000000000003</v>
      </c>
      <c r="K13" s="282">
        <f>IF(Notes!$B$9="Domestic",I13, IF(Notes!$B$9="Commercial",J13))*$K$5</f>
        <v>36.572000000000003</v>
      </c>
      <c r="L13" s="283">
        <f>(SUM(O13:Q13)+(K13+SUM(M13:Q13))*(INDEX($U$5:$AB$5,MATCH(Notes!$C$16,$U$3:$AB$3,0))-100%))*$L$5</f>
        <v>259.608</v>
      </c>
      <c r="M13" s="286"/>
      <c r="N13" s="286"/>
      <c r="O13" s="311">
        <f t="shared" ref="O13:O14" si="5">O10*1.2</f>
        <v>228.108</v>
      </c>
      <c r="P13" s="285">
        <v>31.5</v>
      </c>
      <c r="Q13" s="285"/>
      <c r="R13" s="278"/>
      <c r="S13" s="278"/>
      <c r="T13" s="278"/>
    </row>
    <row r="14" spans="1:28" s="305" customFormat="1" hidden="1" outlineLevel="1" x14ac:dyDescent="0.25">
      <c r="A14" s="278"/>
      <c r="B14" s="279" t="str">
        <f t="shared" si="3"/>
        <v>benchtop901mm to 1200mmlaminatedprestige</v>
      </c>
      <c r="C14" s="278" t="s">
        <v>995</v>
      </c>
      <c r="D14" s="278" t="s">
        <v>537</v>
      </c>
      <c r="E14" s="278" t="s">
        <v>536</v>
      </c>
      <c r="F14" s="278" t="s">
        <v>545</v>
      </c>
      <c r="G14" s="278" t="s">
        <v>15</v>
      </c>
      <c r="H14" s="290">
        <v>0.4</v>
      </c>
      <c r="I14" s="280">
        <f t="shared" si="2"/>
        <v>32.248000000000005</v>
      </c>
      <c r="J14" s="281">
        <f t="shared" si="4"/>
        <v>36.572000000000003</v>
      </c>
      <c r="K14" s="282">
        <f>IF(Notes!$B$9="Domestic",I14, IF(Notes!$B$9="Commercial",J14))*$K$5</f>
        <v>36.572000000000003</v>
      </c>
      <c r="L14" s="283">
        <f>(SUM(O14:Q14)+(K14+SUM(M14:Q14))*(INDEX($U$5:$AB$5,MATCH(Notes!$C$16,$U$3:$AB$3,0))-100%))*$L$5</f>
        <v>284.8426840129224</v>
      </c>
      <c r="M14" s="286"/>
      <c r="N14" s="286"/>
      <c r="O14" s="311">
        <f t="shared" si="5"/>
        <v>253.34268401292238</v>
      </c>
      <c r="P14" s="285">
        <v>31.5</v>
      </c>
      <c r="Q14" s="285"/>
      <c r="R14" s="278"/>
      <c r="S14" s="278"/>
      <c r="T14" s="278"/>
    </row>
    <row r="15" spans="1:28" s="305" customFormat="1" hidden="1" outlineLevel="1" x14ac:dyDescent="0.25">
      <c r="A15" s="278"/>
      <c r="B15" s="279" t="str">
        <f t="shared" si="3"/>
        <v>benchtop1201mm to 1500mmlaminatedaverage</v>
      </c>
      <c r="C15" s="278" t="s">
        <v>995</v>
      </c>
      <c r="D15" s="278" t="s">
        <v>549</v>
      </c>
      <c r="E15" s="278" t="s">
        <v>536</v>
      </c>
      <c r="F15" s="278" t="s">
        <v>543</v>
      </c>
      <c r="G15" s="278" t="s">
        <v>15</v>
      </c>
      <c r="H15" s="290">
        <v>0.5</v>
      </c>
      <c r="I15" s="280">
        <f t="shared" si="2"/>
        <v>40.31</v>
      </c>
      <c r="J15" s="281">
        <f t="shared" si="4"/>
        <v>45.715000000000003</v>
      </c>
      <c r="K15" s="282">
        <f>IF(Notes!$B$9="Domestic",I15, IF(Notes!$B$9="Commercial",J15))*$K$5</f>
        <v>45.715000000000003</v>
      </c>
      <c r="L15" s="283">
        <f>(SUM(O15:Q15)+(K15+SUM(M15:Q15))*(INDEX($U$5:$AB$5,MATCH(Notes!$C$16,$U$3:$AB$3,0))-100%))*$L$5</f>
        <v>299.96999999999997</v>
      </c>
      <c r="M15" s="286"/>
      <c r="N15" s="286"/>
      <c r="O15" s="311">
        <f>O9*1.5</f>
        <v>268.46999999999997</v>
      </c>
      <c r="P15" s="285">
        <v>31.5</v>
      </c>
      <c r="Q15" s="285"/>
      <c r="R15" s="278"/>
      <c r="S15" s="278"/>
      <c r="T15" s="278"/>
    </row>
    <row r="16" spans="1:28" s="305" customFormat="1" hidden="1" outlineLevel="1" x14ac:dyDescent="0.25">
      <c r="A16" s="278"/>
      <c r="B16" s="279" t="str">
        <f t="shared" si="3"/>
        <v>benchtop1201mm to 1500mmlaminatedquality</v>
      </c>
      <c r="C16" s="278" t="s">
        <v>995</v>
      </c>
      <c r="D16" s="278" t="s">
        <v>549</v>
      </c>
      <c r="E16" s="278" t="s">
        <v>536</v>
      </c>
      <c r="F16" s="278" t="s">
        <v>544</v>
      </c>
      <c r="G16" s="278" t="s">
        <v>15</v>
      </c>
      <c r="H16" s="290">
        <v>0.5</v>
      </c>
      <c r="I16" s="280">
        <f t="shared" si="2"/>
        <v>40.31</v>
      </c>
      <c r="J16" s="281">
        <f t="shared" si="4"/>
        <v>45.715000000000003</v>
      </c>
      <c r="K16" s="282">
        <f>IF(Notes!$B$9="Domestic",I16, IF(Notes!$B$9="Commercial",J16))*$K$5</f>
        <v>45.715000000000003</v>
      </c>
      <c r="L16" s="283">
        <f>(SUM(O16:Q16)+(K16+SUM(M16:Q16))*(INDEX($U$5:$AB$5,MATCH(Notes!$C$16,$U$3:$AB$3,0))-100%))*$L$5</f>
        <v>316.63499999999999</v>
      </c>
      <c r="M16" s="286"/>
      <c r="N16" s="286"/>
      <c r="O16" s="311">
        <f t="shared" ref="O16:O17" si="6">O10*1.5</f>
        <v>285.13499999999999</v>
      </c>
      <c r="P16" s="285">
        <v>31.5</v>
      </c>
      <c r="Q16" s="285"/>
      <c r="R16" s="278"/>
      <c r="S16" s="278"/>
      <c r="T16" s="278"/>
    </row>
    <row r="17" spans="1:20" s="305" customFormat="1" hidden="1" outlineLevel="1" x14ac:dyDescent="0.25">
      <c r="A17" s="278"/>
      <c r="B17" s="279" t="str">
        <f t="shared" si="3"/>
        <v>benchtop1201mm to 1500mmlaminatedprestige</v>
      </c>
      <c r="C17" s="278" t="s">
        <v>995</v>
      </c>
      <c r="D17" s="278" t="s">
        <v>549</v>
      </c>
      <c r="E17" s="278" t="s">
        <v>536</v>
      </c>
      <c r="F17" s="278" t="s">
        <v>545</v>
      </c>
      <c r="G17" s="278" t="s">
        <v>15</v>
      </c>
      <c r="H17" s="290">
        <v>0.5</v>
      </c>
      <c r="I17" s="280">
        <f t="shared" si="2"/>
        <v>40.31</v>
      </c>
      <c r="J17" s="281">
        <f t="shared" si="4"/>
        <v>45.715000000000003</v>
      </c>
      <c r="K17" s="282">
        <f>IF(Notes!$B$9="Domestic",I17, IF(Notes!$B$9="Commercial",J17))*$K$5</f>
        <v>45.715000000000003</v>
      </c>
      <c r="L17" s="283">
        <f>(SUM(O17:Q17)+(K17+SUM(M17:Q17))*(INDEX($U$5:$AB$5,MATCH(Notes!$C$16,$U$3:$AB$3,0))-100%))*$L$5</f>
        <v>348.17835501615298</v>
      </c>
      <c r="M17" s="286"/>
      <c r="N17" s="286"/>
      <c r="O17" s="311">
        <f t="shared" si="6"/>
        <v>316.67835501615298</v>
      </c>
      <c r="P17" s="285">
        <v>31.5</v>
      </c>
      <c r="Q17" s="285"/>
      <c r="R17" s="278"/>
      <c r="S17" s="278"/>
      <c r="T17" s="278"/>
    </row>
    <row r="18" spans="1:20" s="305" customFormat="1" hidden="1" outlineLevel="1" x14ac:dyDescent="0.25">
      <c r="A18" s="278"/>
      <c r="B18" s="279" t="str">
        <f t="shared" ref="B18:B45" si="7">C18&amp;D18&amp;E18&amp;F18</f>
        <v>benchtopup to 600mmengineered stoneaverage</v>
      </c>
      <c r="C18" s="278" t="s">
        <v>995</v>
      </c>
      <c r="D18" s="278" t="s">
        <v>546</v>
      </c>
      <c r="E18" s="278" t="s">
        <v>997</v>
      </c>
      <c r="F18" s="278" t="s">
        <v>543</v>
      </c>
      <c r="G18" s="278" t="s">
        <v>15</v>
      </c>
      <c r="H18" s="290">
        <v>0.25</v>
      </c>
      <c r="I18" s="280">
        <f t="shared" ref="I18:I45" si="8">$I$2*H18</f>
        <v>20.155000000000001</v>
      </c>
      <c r="J18" s="281">
        <f t="shared" ref="J18:J45" si="9">$J$2*H18</f>
        <v>22.857500000000002</v>
      </c>
      <c r="K18" s="282">
        <f>IF(Notes!$B$9="Domestic",I18, IF(Notes!$B$9="Commercial",J18))*$K$5</f>
        <v>22.857500000000002</v>
      </c>
      <c r="L18" s="283">
        <f>(SUM(O18:Q18)+(K18+SUM(M18:Q18))*(INDEX($U$5:$AB$5,MATCH(Notes!$C$16,$U$3:$AB$3,0))-100%))*$L$5</f>
        <v>338.26</v>
      </c>
      <c r="M18" s="286"/>
      <c r="N18" s="286"/>
      <c r="O18" s="285">
        <v>260.2</v>
      </c>
      <c r="P18" s="285"/>
      <c r="Q18" s="311">
        <f t="shared" ref="Q18:Q21" si="10">O18*0.3</f>
        <v>78.059999999999988</v>
      </c>
      <c r="R18" s="278"/>
      <c r="S18" s="278"/>
      <c r="T18" s="278"/>
    </row>
    <row r="19" spans="1:20" s="305" customFormat="1" hidden="1" outlineLevel="1" x14ac:dyDescent="0.25">
      <c r="A19" s="278"/>
      <c r="B19" s="279" t="str">
        <f t="shared" si="7"/>
        <v>benchtopup to 600mmengineered stonequality</v>
      </c>
      <c r="C19" s="278" t="s">
        <v>995</v>
      </c>
      <c r="D19" s="278" t="s">
        <v>546</v>
      </c>
      <c r="E19" s="278" t="s">
        <v>997</v>
      </c>
      <c r="F19" s="278" t="s">
        <v>544</v>
      </c>
      <c r="G19" s="278" t="s">
        <v>15</v>
      </c>
      <c r="H19" s="290">
        <v>0.25</v>
      </c>
      <c r="I19" s="280">
        <f t="shared" si="8"/>
        <v>20.155000000000001</v>
      </c>
      <c r="J19" s="281">
        <f t="shared" si="9"/>
        <v>22.857500000000002</v>
      </c>
      <c r="K19" s="282">
        <f>IF(Notes!$B$9="Domestic",I19, IF(Notes!$B$9="Commercial",J19))*$K$5</f>
        <v>22.857500000000002</v>
      </c>
      <c r="L19" s="283">
        <f>(SUM(O19:Q19)+(K19+SUM(M19:Q19))*(INDEX($U$5:$AB$5,MATCH(Notes!$C$16,$U$3:$AB$3,0))-100%))*$L$5</f>
        <v>540.78700000000003</v>
      </c>
      <c r="M19" s="286"/>
      <c r="N19" s="286"/>
      <c r="O19" s="285">
        <v>415.99</v>
      </c>
      <c r="P19" s="285"/>
      <c r="Q19" s="311">
        <f t="shared" si="10"/>
        <v>124.797</v>
      </c>
      <c r="R19" s="278"/>
      <c r="S19" s="278"/>
      <c r="T19" s="278"/>
    </row>
    <row r="20" spans="1:20" s="305" customFormat="1" hidden="1" outlineLevel="1" x14ac:dyDescent="0.25">
      <c r="A20" s="278"/>
      <c r="B20" s="279" t="str">
        <f t="shared" si="7"/>
        <v>benchtopup to 600mmengineered stoneprestige</v>
      </c>
      <c r="C20" s="278" t="s">
        <v>995</v>
      </c>
      <c r="D20" s="278" t="s">
        <v>546</v>
      </c>
      <c r="E20" s="278" t="s">
        <v>997</v>
      </c>
      <c r="F20" s="278" t="s">
        <v>545</v>
      </c>
      <c r="G20" s="278" t="s">
        <v>15</v>
      </c>
      <c r="H20" s="290">
        <v>0.25</v>
      </c>
      <c r="I20" s="280">
        <f t="shared" si="8"/>
        <v>20.155000000000001</v>
      </c>
      <c r="J20" s="281">
        <f t="shared" si="9"/>
        <v>22.857500000000002</v>
      </c>
      <c r="K20" s="282">
        <f>IF(Notes!$B$9="Domestic",I20, IF(Notes!$B$9="Commercial",J20))*$K$5</f>
        <v>22.857500000000002</v>
      </c>
      <c r="L20" s="283">
        <f>(SUM(O20:Q20)+(K20+SUM(M20:Q20))*(INDEX($U$5:$AB$5,MATCH(Notes!$C$16,$U$3:$AB$3,0))-100%))*$L$5</f>
        <v>760.17499999999995</v>
      </c>
      <c r="M20" s="286"/>
      <c r="N20" s="286"/>
      <c r="O20" s="285">
        <v>584.75</v>
      </c>
      <c r="P20" s="285"/>
      <c r="Q20" s="311">
        <f t="shared" si="10"/>
        <v>175.42499999999998</v>
      </c>
      <c r="R20" s="278"/>
      <c r="S20" s="278"/>
      <c r="T20" s="278"/>
    </row>
    <row r="21" spans="1:20" s="305" customFormat="1" hidden="1" outlineLevel="1" x14ac:dyDescent="0.25">
      <c r="A21" s="278"/>
      <c r="B21" s="279" t="str">
        <f>C21&amp;D21&amp;E21&amp;F21</f>
        <v>benchtop601mm to 900mmengineered stoneaverage</v>
      </c>
      <c r="C21" s="278" t="s">
        <v>995</v>
      </c>
      <c r="D21" s="278" t="s">
        <v>998</v>
      </c>
      <c r="E21" s="278" t="s">
        <v>997</v>
      </c>
      <c r="F21" s="278" t="s">
        <v>543</v>
      </c>
      <c r="G21" s="278" t="s">
        <v>15</v>
      </c>
      <c r="H21" s="290">
        <v>0.3</v>
      </c>
      <c r="I21" s="280">
        <f t="shared" si="8"/>
        <v>24.186</v>
      </c>
      <c r="J21" s="281">
        <f t="shared" si="9"/>
        <v>27.429000000000002</v>
      </c>
      <c r="K21" s="282">
        <f>IF(Notes!$B$9="Domestic",I21, IF(Notes!$B$9="Commercial",J21))*$K$5</f>
        <v>27.429000000000002</v>
      </c>
      <c r="L21" s="283">
        <f>(SUM(O21:Q21)+(K21+SUM(M21:Q21))*(INDEX($U$5:$AB$5,MATCH(Notes!$C$16,$U$3:$AB$3,0))-100%))*$L$5</f>
        <v>563.78399999999999</v>
      </c>
      <c r="M21" s="286"/>
      <c r="N21" s="286"/>
      <c r="O21" s="285">
        <v>433.68</v>
      </c>
      <c r="P21" s="285"/>
      <c r="Q21" s="311">
        <f t="shared" si="10"/>
        <v>130.10399999999998</v>
      </c>
      <c r="R21" s="278"/>
      <c r="S21" s="278"/>
      <c r="T21" s="278"/>
    </row>
    <row r="22" spans="1:20" s="305" customFormat="1" hidden="1" outlineLevel="1" x14ac:dyDescent="0.25">
      <c r="A22" s="278"/>
      <c r="B22" s="279" t="str">
        <f>C22&amp;D22&amp;E22&amp;F22</f>
        <v>benchtop601mm to 900mmengineered stonequality</v>
      </c>
      <c r="C22" s="278" t="s">
        <v>995</v>
      </c>
      <c r="D22" s="278" t="s">
        <v>998</v>
      </c>
      <c r="E22" s="278" t="s">
        <v>997</v>
      </c>
      <c r="F22" s="278" t="s">
        <v>544</v>
      </c>
      <c r="G22" s="278" t="s">
        <v>15</v>
      </c>
      <c r="H22" s="290">
        <v>0.3</v>
      </c>
      <c r="I22" s="280">
        <f t="shared" si="8"/>
        <v>24.186</v>
      </c>
      <c r="J22" s="281">
        <f t="shared" si="9"/>
        <v>27.429000000000002</v>
      </c>
      <c r="K22" s="282">
        <f>IF(Notes!$B$9="Domestic",I22, IF(Notes!$B$9="Commercial",J22))*$K$5</f>
        <v>27.429000000000002</v>
      </c>
      <c r="L22" s="283">
        <f>(SUM(O22:Q22)+(K22+SUM(M22:Q22))*(INDEX($U$5:$AB$5,MATCH(Notes!$C$16,$U$3:$AB$3,0))-100%))*$L$5</f>
        <v>901.31600000000003</v>
      </c>
      <c r="M22" s="286"/>
      <c r="N22" s="286"/>
      <c r="O22" s="285">
        <v>693.32</v>
      </c>
      <c r="P22" s="285"/>
      <c r="Q22" s="311">
        <f>O22*0.3</f>
        <v>207.99600000000001</v>
      </c>
      <c r="R22" s="278"/>
      <c r="S22" s="278"/>
      <c r="T22" s="278"/>
    </row>
    <row r="23" spans="1:20" s="305" customFormat="1" hidden="1" outlineLevel="1" x14ac:dyDescent="0.25">
      <c r="A23" s="278"/>
      <c r="B23" s="279" t="str">
        <f t="shared" si="7"/>
        <v>benchtop601mm to 900mmengineered stoneprestige</v>
      </c>
      <c r="C23" s="278" t="s">
        <v>995</v>
      </c>
      <c r="D23" s="278" t="s">
        <v>998</v>
      </c>
      <c r="E23" s="278" t="s">
        <v>997</v>
      </c>
      <c r="F23" s="278" t="s">
        <v>545</v>
      </c>
      <c r="G23" s="278" t="s">
        <v>15</v>
      </c>
      <c r="H23" s="290">
        <v>0.3</v>
      </c>
      <c r="I23" s="280">
        <f t="shared" si="8"/>
        <v>24.186</v>
      </c>
      <c r="J23" s="281">
        <f t="shared" si="9"/>
        <v>27.429000000000002</v>
      </c>
      <c r="K23" s="282">
        <f>IF(Notes!$B$9="Domestic",I23, IF(Notes!$B$9="Commercial",J23))*$K$5</f>
        <v>27.429000000000002</v>
      </c>
      <c r="L23" s="283">
        <f>(SUM(O23:Q23)+(K23+SUM(M23:Q23))*(INDEX($U$5:$AB$5,MATCH(Notes!$C$16,$U$3:$AB$3,0))-100%))*$L$5</f>
        <v>1266.9670000000001</v>
      </c>
      <c r="M23" s="286"/>
      <c r="N23" s="286"/>
      <c r="O23" s="285">
        <v>974.59</v>
      </c>
      <c r="P23" s="285"/>
      <c r="Q23" s="311">
        <f t="shared" ref="Q23:Q29" si="11">O23*0.3</f>
        <v>292.37700000000001</v>
      </c>
      <c r="R23" s="278"/>
      <c r="S23" s="278"/>
      <c r="T23" s="278"/>
    </row>
    <row r="24" spans="1:20" s="305" customFormat="1" hidden="1" outlineLevel="1" x14ac:dyDescent="0.25">
      <c r="A24" s="278"/>
      <c r="B24" s="279" t="str">
        <f t="shared" si="7"/>
        <v>benchtop901mm to 1200mmengineered stoneaverage</v>
      </c>
      <c r="C24" s="278" t="s">
        <v>995</v>
      </c>
      <c r="D24" s="278" t="s">
        <v>537</v>
      </c>
      <c r="E24" s="278" t="s">
        <v>997</v>
      </c>
      <c r="F24" s="278" t="s">
        <v>543</v>
      </c>
      <c r="G24" s="278" t="s">
        <v>15</v>
      </c>
      <c r="H24" s="290">
        <v>0.4</v>
      </c>
      <c r="I24" s="280">
        <f t="shared" si="8"/>
        <v>32.248000000000005</v>
      </c>
      <c r="J24" s="281">
        <f t="shared" si="9"/>
        <v>36.572000000000003</v>
      </c>
      <c r="K24" s="282">
        <f>IF(Notes!$B$9="Domestic",I24, IF(Notes!$B$9="Commercial",J24))*$K$5</f>
        <v>36.572000000000003</v>
      </c>
      <c r="L24" s="283">
        <f>(SUM(O24:Q24)+(K24+SUM(M24:Q24))*(INDEX($U$5:$AB$5,MATCH(Notes!$C$16,$U$3:$AB$3,0))-100%))*$L$5</f>
        <v>676.5329999999999</v>
      </c>
      <c r="M24" s="286"/>
      <c r="N24" s="286"/>
      <c r="O24" s="285">
        <v>520.41</v>
      </c>
      <c r="P24" s="285"/>
      <c r="Q24" s="311">
        <f t="shared" si="11"/>
        <v>156.12299999999999</v>
      </c>
      <c r="R24" s="278"/>
      <c r="S24" s="278"/>
      <c r="T24" s="278"/>
    </row>
    <row r="25" spans="1:20" s="305" customFormat="1" hidden="1" outlineLevel="1" x14ac:dyDescent="0.25">
      <c r="A25" s="278"/>
      <c r="B25" s="279" t="str">
        <f t="shared" si="7"/>
        <v>benchtop901mm to 1200mmengineered stonequality</v>
      </c>
      <c r="C25" s="278" t="s">
        <v>995</v>
      </c>
      <c r="D25" s="278" t="s">
        <v>537</v>
      </c>
      <c r="E25" s="278" t="s">
        <v>997</v>
      </c>
      <c r="F25" s="278" t="s">
        <v>544</v>
      </c>
      <c r="G25" s="278" t="s">
        <v>15</v>
      </c>
      <c r="H25" s="290">
        <v>0.4</v>
      </c>
      <c r="I25" s="280">
        <f t="shared" si="8"/>
        <v>32.248000000000005</v>
      </c>
      <c r="J25" s="281">
        <f t="shared" si="9"/>
        <v>36.572000000000003</v>
      </c>
      <c r="K25" s="282">
        <f>IF(Notes!$B$9="Domestic",I25, IF(Notes!$B$9="Commercial",J25))*$K$5</f>
        <v>36.572000000000003</v>
      </c>
      <c r="L25" s="283">
        <f>(SUM(O25:Q25)+(K25+SUM(M25:Q25))*(INDEX($U$5:$AB$5,MATCH(Notes!$C$16,$U$3:$AB$3,0))-100%))*$L$5</f>
        <v>1081.5740000000001</v>
      </c>
      <c r="M25" s="286"/>
      <c r="N25" s="286"/>
      <c r="O25" s="285">
        <v>831.98</v>
      </c>
      <c r="P25" s="285"/>
      <c r="Q25" s="311">
        <f t="shared" si="11"/>
        <v>249.59399999999999</v>
      </c>
      <c r="R25" s="278"/>
      <c r="S25" s="278"/>
      <c r="T25" s="278"/>
    </row>
    <row r="26" spans="1:20" s="305" customFormat="1" hidden="1" outlineLevel="1" x14ac:dyDescent="0.25">
      <c r="A26" s="278"/>
      <c r="B26" s="279" t="str">
        <f t="shared" si="7"/>
        <v>benchtop901mm to 1200mmengineered stoneprestige</v>
      </c>
      <c r="C26" s="278" t="s">
        <v>995</v>
      </c>
      <c r="D26" s="278" t="s">
        <v>537</v>
      </c>
      <c r="E26" s="278" t="s">
        <v>997</v>
      </c>
      <c r="F26" s="278" t="s">
        <v>545</v>
      </c>
      <c r="G26" s="278" t="s">
        <v>15</v>
      </c>
      <c r="H26" s="290">
        <v>0.4</v>
      </c>
      <c r="I26" s="280">
        <f t="shared" si="8"/>
        <v>32.248000000000005</v>
      </c>
      <c r="J26" s="281">
        <f t="shared" si="9"/>
        <v>36.572000000000003</v>
      </c>
      <c r="K26" s="282">
        <f>IF(Notes!$B$9="Domestic",I26, IF(Notes!$B$9="Commercial",J26))*$K$5</f>
        <v>36.572000000000003</v>
      </c>
      <c r="L26" s="283">
        <f>(SUM(O26:Q26)+(K26+SUM(M26:Q26))*(INDEX($U$5:$AB$5,MATCH(Notes!$C$16,$U$3:$AB$3,0))-100%))*$L$5</f>
        <v>1520.35</v>
      </c>
      <c r="M26" s="286"/>
      <c r="N26" s="286"/>
      <c r="O26" s="285">
        <v>1169.5</v>
      </c>
      <c r="P26" s="285"/>
      <c r="Q26" s="311">
        <f t="shared" si="11"/>
        <v>350.84999999999997</v>
      </c>
      <c r="R26" s="278"/>
      <c r="S26" s="278"/>
      <c r="T26" s="278"/>
    </row>
    <row r="27" spans="1:20" s="305" customFormat="1" hidden="1" outlineLevel="1" x14ac:dyDescent="0.25">
      <c r="A27" s="278"/>
      <c r="B27" s="279" t="str">
        <f t="shared" si="7"/>
        <v>benchtop1201mm to 1500mmengineered stoneaverage</v>
      </c>
      <c r="C27" s="278" t="s">
        <v>995</v>
      </c>
      <c r="D27" s="278" t="s">
        <v>549</v>
      </c>
      <c r="E27" s="278" t="s">
        <v>997</v>
      </c>
      <c r="F27" s="278" t="s">
        <v>543</v>
      </c>
      <c r="G27" s="278" t="s">
        <v>15</v>
      </c>
      <c r="H27" s="290">
        <v>0.5</v>
      </c>
      <c r="I27" s="280">
        <f t="shared" si="8"/>
        <v>40.31</v>
      </c>
      <c r="J27" s="281">
        <f t="shared" si="9"/>
        <v>45.715000000000003</v>
      </c>
      <c r="K27" s="282">
        <f>IF(Notes!$B$9="Domestic",I27, IF(Notes!$B$9="Commercial",J27))*$K$5</f>
        <v>45.715000000000003</v>
      </c>
      <c r="L27" s="283">
        <f>(SUM(O27:Q27)+(K27+SUM(M27:Q27))*(INDEX($U$5:$AB$5,MATCH(Notes!$C$16,$U$3:$AB$3,0))-100%))*$L$5</f>
        <v>845.67599999999993</v>
      </c>
      <c r="M27" s="286"/>
      <c r="N27" s="286"/>
      <c r="O27" s="311">
        <f>O21*1.5</f>
        <v>650.52</v>
      </c>
      <c r="P27" s="285"/>
      <c r="Q27" s="311">
        <f t="shared" si="11"/>
        <v>195.15599999999998</v>
      </c>
      <c r="R27" s="278"/>
      <c r="S27" s="278"/>
      <c r="T27" s="278"/>
    </row>
    <row r="28" spans="1:20" s="305" customFormat="1" hidden="1" outlineLevel="1" x14ac:dyDescent="0.25">
      <c r="A28" s="278"/>
      <c r="B28" s="279" t="str">
        <f t="shared" si="7"/>
        <v>benchtop1201mm to 1500mmengineered stonequality</v>
      </c>
      <c r="C28" s="278" t="s">
        <v>995</v>
      </c>
      <c r="D28" s="278" t="s">
        <v>549</v>
      </c>
      <c r="E28" s="278" t="s">
        <v>997</v>
      </c>
      <c r="F28" s="278" t="s">
        <v>544</v>
      </c>
      <c r="G28" s="278" t="s">
        <v>15</v>
      </c>
      <c r="H28" s="290">
        <v>0.5</v>
      </c>
      <c r="I28" s="280">
        <f t="shared" si="8"/>
        <v>40.31</v>
      </c>
      <c r="J28" s="281">
        <f t="shared" si="9"/>
        <v>45.715000000000003</v>
      </c>
      <c r="K28" s="282">
        <f>IF(Notes!$B$9="Domestic",I28, IF(Notes!$B$9="Commercial",J28))*$K$5</f>
        <v>45.715000000000003</v>
      </c>
      <c r="L28" s="283">
        <f>(SUM(O28:Q28)+(K28+SUM(M28:Q28))*(INDEX($U$5:$AB$5,MATCH(Notes!$C$16,$U$3:$AB$3,0))-100%))*$L$5</f>
        <v>1351.9739999999999</v>
      </c>
      <c r="M28" s="286"/>
      <c r="N28" s="286"/>
      <c r="O28" s="311">
        <f t="shared" ref="O28:O29" si="12">O22*1.5</f>
        <v>1039.98</v>
      </c>
      <c r="P28" s="285"/>
      <c r="Q28" s="311">
        <f t="shared" si="11"/>
        <v>311.99399999999997</v>
      </c>
      <c r="R28" s="278"/>
      <c r="S28" s="278"/>
      <c r="T28" s="278"/>
    </row>
    <row r="29" spans="1:20" s="305" customFormat="1" hidden="1" outlineLevel="1" x14ac:dyDescent="0.25">
      <c r="A29" s="278"/>
      <c r="B29" s="279" t="str">
        <f t="shared" si="7"/>
        <v>benchtop1201mm to 1500mmengineered stoneprestige</v>
      </c>
      <c r="C29" s="278" t="s">
        <v>995</v>
      </c>
      <c r="D29" s="278" t="s">
        <v>549</v>
      </c>
      <c r="E29" s="278" t="s">
        <v>997</v>
      </c>
      <c r="F29" s="278" t="s">
        <v>545</v>
      </c>
      <c r="G29" s="278" t="s">
        <v>15</v>
      </c>
      <c r="H29" s="290">
        <v>0.5</v>
      </c>
      <c r="I29" s="280">
        <f t="shared" si="8"/>
        <v>40.31</v>
      </c>
      <c r="J29" s="281">
        <f t="shared" si="9"/>
        <v>45.715000000000003</v>
      </c>
      <c r="K29" s="282">
        <f>IF(Notes!$B$9="Domestic",I29, IF(Notes!$B$9="Commercial",J29))*$K$5</f>
        <v>45.715000000000003</v>
      </c>
      <c r="L29" s="283">
        <f>(SUM(O29:Q29)+(K29+SUM(M29:Q29))*(INDEX($U$5:$AB$5,MATCH(Notes!$C$16,$U$3:$AB$3,0))-100%))*$L$5</f>
        <v>1900.4504999999999</v>
      </c>
      <c r="M29" s="286"/>
      <c r="N29" s="286"/>
      <c r="O29" s="311">
        <f t="shared" si="12"/>
        <v>1461.885</v>
      </c>
      <c r="P29" s="285"/>
      <c r="Q29" s="311">
        <f t="shared" si="11"/>
        <v>438.56549999999999</v>
      </c>
      <c r="R29" s="278"/>
      <c r="S29" s="278"/>
      <c r="T29" s="278"/>
    </row>
    <row r="30" spans="1:20" s="305" customFormat="1" hidden="1" outlineLevel="1" x14ac:dyDescent="0.25">
      <c r="A30" s="278"/>
      <c r="B30" s="279" t="str">
        <f>C30&amp;D30&amp;E30&amp;F30</f>
        <v>benchtopup to 600mmnatural stoneaverage</v>
      </c>
      <c r="C30" s="278" t="s">
        <v>995</v>
      </c>
      <c r="D30" s="278" t="s">
        <v>546</v>
      </c>
      <c r="E30" s="278" t="s">
        <v>924</v>
      </c>
      <c r="F30" s="278" t="s">
        <v>543</v>
      </c>
      <c r="G30" s="278" t="s">
        <v>15</v>
      </c>
      <c r="H30" s="290">
        <v>0.25</v>
      </c>
      <c r="I30" s="280">
        <f t="shared" ref="I30:I41" si="13">$I$2*H30</f>
        <v>20.155000000000001</v>
      </c>
      <c r="J30" s="281">
        <f t="shared" ref="J30:J41" si="14">$J$2*H30</f>
        <v>22.857500000000002</v>
      </c>
      <c r="K30" s="282">
        <f>IF(Notes!$B$9="Domestic",I30, IF(Notes!$B$9="Commercial",J30))*$K$5</f>
        <v>22.857500000000002</v>
      </c>
      <c r="L30" s="283">
        <f>(SUM(O30:Q30)+(K30+SUM(M30:Q30))*(INDEX($U$5:$AB$5,MATCH(Notes!$C$16,$U$3:$AB$3,0))-100%))*$L$5</f>
        <v>479.29</v>
      </c>
      <c r="M30" s="286"/>
      <c r="N30" s="286"/>
      <c r="O30" s="285">
        <v>479.29</v>
      </c>
      <c r="P30" s="285"/>
      <c r="Q30" s="285"/>
      <c r="R30" s="278"/>
      <c r="S30" s="278"/>
      <c r="T30" s="278"/>
    </row>
    <row r="31" spans="1:20" s="305" customFormat="1" hidden="1" outlineLevel="1" x14ac:dyDescent="0.25">
      <c r="A31" s="278"/>
      <c r="B31" s="279" t="str">
        <f>C31&amp;D31&amp;E31&amp;F31</f>
        <v>benchtopup to 600mmnatural stonequality</v>
      </c>
      <c r="C31" s="278" t="s">
        <v>995</v>
      </c>
      <c r="D31" s="278" t="s">
        <v>546</v>
      </c>
      <c r="E31" s="278" t="s">
        <v>924</v>
      </c>
      <c r="F31" s="278" t="s">
        <v>544</v>
      </c>
      <c r="G31" s="278" t="s">
        <v>15</v>
      </c>
      <c r="H31" s="290">
        <v>0.25</v>
      </c>
      <c r="I31" s="280">
        <f t="shared" si="13"/>
        <v>20.155000000000001</v>
      </c>
      <c r="J31" s="281">
        <f t="shared" si="14"/>
        <v>22.857500000000002</v>
      </c>
      <c r="K31" s="282">
        <f>IF(Notes!$B$9="Domestic",I31, IF(Notes!$B$9="Commercial",J31))*$K$5</f>
        <v>22.857500000000002</v>
      </c>
      <c r="L31" s="283">
        <f>(SUM(O31:Q31)+(K31+SUM(M31:Q31))*(INDEX($U$5:$AB$5,MATCH(Notes!$C$16,$U$3:$AB$3,0))-100%))*$L$5</f>
        <v>748.78200000000004</v>
      </c>
      <c r="M31" s="286"/>
      <c r="N31" s="286"/>
      <c r="O31" s="311">
        <f>O19*1.8</f>
        <v>748.78200000000004</v>
      </c>
      <c r="P31" s="285"/>
      <c r="Q31" s="285"/>
      <c r="R31" s="278"/>
      <c r="S31" s="278"/>
      <c r="T31" s="278"/>
    </row>
    <row r="32" spans="1:20" s="305" customFormat="1" hidden="1" outlineLevel="1" x14ac:dyDescent="0.25">
      <c r="A32" s="278"/>
      <c r="B32" s="279" t="str">
        <f t="shared" ref="B32" si="15">C32&amp;D32&amp;E32&amp;F32</f>
        <v>benchtopup to 600mmnatural stoneprestige</v>
      </c>
      <c r="C32" s="278" t="s">
        <v>995</v>
      </c>
      <c r="D32" s="278" t="s">
        <v>546</v>
      </c>
      <c r="E32" s="278" t="s">
        <v>924</v>
      </c>
      <c r="F32" s="278" t="s">
        <v>545</v>
      </c>
      <c r="G32" s="278" t="s">
        <v>15</v>
      </c>
      <c r="H32" s="290">
        <v>0.25</v>
      </c>
      <c r="I32" s="280">
        <f t="shared" si="13"/>
        <v>20.155000000000001</v>
      </c>
      <c r="J32" s="281">
        <f t="shared" si="14"/>
        <v>22.857500000000002</v>
      </c>
      <c r="K32" s="282">
        <f>IF(Notes!$B$9="Domestic",I32, IF(Notes!$B$9="Commercial",J32))*$K$5</f>
        <v>22.857500000000002</v>
      </c>
      <c r="L32" s="283">
        <f>(SUM(O32:Q32)+(K32+SUM(M32:Q32))*(INDEX($U$5:$AB$5,MATCH(Notes!$C$16,$U$3:$AB$3,0))-100%))*$L$5</f>
        <v>1052.55</v>
      </c>
      <c r="M32" s="286"/>
      <c r="N32" s="286"/>
      <c r="O32" s="311">
        <f t="shared" ref="O32:O41" si="16">O20*1.8</f>
        <v>1052.55</v>
      </c>
      <c r="P32" s="285"/>
      <c r="Q32" s="285"/>
      <c r="R32" s="278"/>
      <c r="S32" s="278"/>
      <c r="T32" s="278"/>
    </row>
    <row r="33" spans="1:20" s="305" customFormat="1" hidden="1" outlineLevel="1" x14ac:dyDescent="0.25">
      <c r="A33" s="278"/>
      <c r="B33" s="279" t="str">
        <f>C33&amp;D33&amp;E33&amp;F33</f>
        <v>benchtop601mm to 900mmnatural stoneaverage</v>
      </c>
      <c r="C33" s="278" t="s">
        <v>995</v>
      </c>
      <c r="D33" s="278" t="s">
        <v>998</v>
      </c>
      <c r="E33" s="278" t="s">
        <v>924</v>
      </c>
      <c r="F33" s="278" t="s">
        <v>543</v>
      </c>
      <c r="G33" s="278" t="s">
        <v>15</v>
      </c>
      <c r="H33" s="290">
        <v>0.3</v>
      </c>
      <c r="I33" s="280">
        <f t="shared" si="13"/>
        <v>24.186</v>
      </c>
      <c r="J33" s="281">
        <f t="shared" si="14"/>
        <v>27.429000000000002</v>
      </c>
      <c r="K33" s="282">
        <f>IF(Notes!$B$9="Domestic",I33, IF(Notes!$B$9="Commercial",J33))*$K$5</f>
        <v>27.429000000000002</v>
      </c>
      <c r="L33" s="283">
        <f>(SUM(O33:Q33)+(K33+SUM(M33:Q33))*(INDEX($U$5:$AB$5,MATCH(Notes!$C$16,$U$3:$AB$3,0))-100%))*$L$5</f>
        <v>780.62400000000002</v>
      </c>
      <c r="M33" s="286"/>
      <c r="N33" s="286"/>
      <c r="O33" s="311">
        <f t="shared" si="16"/>
        <v>780.62400000000002</v>
      </c>
      <c r="P33" s="285"/>
      <c r="Q33" s="285"/>
      <c r="R33" s="278"/>
      <c r="S33" s="278"/>
      <c r="T33" s="278"/>
    </row>
    <row r="34" spans="1:20" s="305" customFormat="1" hidden="1" outlineLevel="1" x14ac:dyDescent="0.25">
      <c r="A34" s="278"/>
      <c r="B34" s="279" t="str">
        <f>C34&amp;D34&amp;E34&amp;F34</f>
        <v>benchtop601mm to 900mmnatural stonequality</v>
      </c>
      <c r="C34" s="278" t="s">
        <v>995</v>
      </c>
      <c r="D34" s="278" t="s">
        <v>998</v>
      </c>
      <c r="E34" s="278" t="s">
        <v>924</v>
      </c>
      <c r="F34" s="278" t="s">
        <v>544</v>
      </c>
      <c r="G34" s="278" t="s">
        <v>15</v>
      </c>
      <c r="H34" s="290">
        <v>0.3</v>
      </c>
      <c r="I34" s="280">
        <f t="shared" si="13"/>
        <v>24.186</v>
      </c>
      <c r="J34" s="281">
        <f t="shared" si="14"/>
        <v>27.429000000000002</v>
      </c>
      <c r="K34" s="282">
        <f>IF(Notes!$B$9="Domestic",I34, IF(Notes!$B$9="Commercial",J34))*$K$5</f>
        <v>27.429000000000002</v>
      </c>
      <c r="L34" s="283">
        <f>(SUM(O34:Q34)+(K34+SUM(M34:Q34))*(INDEX($U$5:$AB$5,MATCH(Notes!$C$16,$U$3:$AB$3,0))-100%))*$L$5</f>
        <v>1247.9760000000001</v>
      </c>
      <c r="M34" s="286"/>
      <c r="N34" s="286"/>
      <c r="O34" s="311">
        <f t="shared" si="16"/>
        <v>1247.9760000000001</v>
      </c>
      <c r="P34" s="285"/>
      <c r="Q34" s="285"/>
      <c r="R34" s="278"/>
      <c r="S34" s="278"/>
      <c r="T34" s="278"/>
    </row>
    <row r="35" spans="1:20" s="305" customFormat="1" hidden="1" outlineLevel="1" x14ac:dyDescent="0.25">
      <c r="A35" s="278"/>
      <c r="B35" s="279" t="str">
        <f t="shared" ref="B35:B41" si="17">C35&amp;D35&amp;E35&amp;F35</f>
        <v>benchtop601mm to 900mmnatural stoneprestige</v>
      </c>
      <c r="C35" s="278" t="s">
        <v>995</v>
      </c>
      <c r="D35" s="278" t="s">
        <v>998</v>
      </c>
      <c r="E35" s="278" t="s">
        <v>924</v>
      </c>
      <c r="F35" s="278" t="s">
        <v>545</v>
      </c>
      <c r="G35" s="278" t="s">
        <v>15</v>
      </c>
      <c r="H35" s="290">
        <v>0.3</v>
      </c>
      <c r="I35" s="280">
        <f t="shared" si="13"/>
        <v>24.186</v>
      </c>
      <c r="J35" s="281">
        <f t="shared" si="14"/>
        <v>27.429000000000002</v>
      </c>
      <c r="K35" s="282">
        <f>IF(Notes!$B$9="Domestic",I35, IF(Notes!$B$9="Commercial",J35))*$K$5</f>
        <v>27.429000000000002</v>
      </c>
      <c r="L35" s="283">
        <f>(SUM(O35:Q35)+(K35+SUM(M35:Q35))*(INDEX($U$5:$AB$5,MATCH(Notes!$C$16,$U$3:$AB$3,0))-100%))*$L$5</f>
        <v>1754.2620000000002</v>
      </c>
      <c r="M35" s="286"/>
      <c r="N35" s="286"/>
      <c r="O35" s="311">
        <f t="shared" si="16"/>
        <v>1754.2620000000002</v>
      </c>
      <c r="P35" s="285"/>
      <c r="Q35" s="285"/>
      <c r="R35" s="278"/>
      <c r="S35" s="278"/>
      <c r="T35" s="278"/>
    </row>
    <row r="36" spans="1:20" s="305" customFormat="1" hidden="1" outlineLevel="1" x14ac:dyDescent="0.25">
      <c r="A36" s="278"/>
      <c r="B36" s="279" t="str">
        <f t="shared" si="17"/>
        <v>benchtop901mm to 1200mmnatural stoneaverage</v>
      </c>
      <c r="C36" s="278" t="s">
        <v>995</v>
      </c>
      <c r="D36" s="278" t="s">
        <v>537</v>
      </c>
      <c r="E36" s="278" t="s">
        <v>924</v>
      </c>
      <c r="F36" s="278" t="s">
        <v>543</v>
      </c>
      <c r="G36" s="278" t="s">
        <v>15</v>
      </c>
      <c r="H36" s="290">
        <v>0.4</v>
      </c>
      <c r="I36" s="280">
        <f t="shared" si="13"/>
        <v>32.248000000000005</v>
      </c>
      <c r="J36" s="281">
        <f t="shared" si="14"/>
        <v>36.572000000000003</v>
      </c>
      <c r="K36" s="282">
        <f>IF(Notes!$B$9="Domestic",I36, IF(Notes!$B$9="Commercial",J36))*$K$5</f>
        <v>36.572000000000003</v>
      </c>
      <c r="L36" s="283">
        <f>(SUM(O36:Q36)+(K36+SUM(M36:Q36))*(INDEX($U$5:$AB$5,MATCH(Notes!$C$16,$U$3:$AB$3,0))-100%))*$L$5</f>
        <v>936.73799999999994</v>
      </c>
      <c r="M36" s="286"/>
      <c r="N36" s="286"/>
      <c r="O36" s="311">
        <f t="shared" si="16"/>
        <v>936.73799999999994</v>
      </c>
      <c r="P36" s="285"/>
      <c r="Q36" s="285"/>
      <c r="R36" s="278"/>
      <c r="S36" s="278"/>
      <c r="T36" s="278"/>
    </row>
    <row r="37" spans="1:20" s="305" customFormat="1" hidden="1" outlineLevel="1" x14ac:dyDescent="0.25">
      <c r="A37" s="278"/>
      <c r="B37" s="279" t="str">
        <f t="shared" si="17"/>
        <v>benchtop901mm to 1200mmnatural stonequality</v>
      </c>
      <c r="C37" s="278" t="s">
        <v>995</v>
      </c>
      <c r="D37" s="278" t="s">
        <v>537</v>
      </c>
      <c r="E37" s="278" t="s">
        <v>924</v>
      </c>
      <c r="F37" s="278" t="s">
        <v>544</v>
      </c>
      <c r="G37" s="278" t="s">
        <v>15</v>
      </c>
      <c r="H37" s="290">
        <v>0.4</v>
      </c>
      <c r="I37" s="280">
        <f t="shared" si="13"/>
        <v>32.248000000000005</v>
      </c>
      <c r="J37" s="281">
        <f t="shared" si="14"/>
        <v>36.572000000000003</v>
      </c>
      <c r="K37" s="282">
        <f>IF(Notes!$B$9="Domestic",I37, IF(Notes!$B$9="Commercial",J37))*$K$5</f>
        <v>36.572000000000003</v>
      </c>
      <c r="L37" s="283">
        <f>(SUM(O37:Q37)+(K37+SUM(M37:Q37))*(INDEX($U$5:$AB$5,MATCH(Notes!$C$16,$U$3:$AB$3,0))-100%))*$L$5</f>
        <v>1497.5640000000001</v>
      </c>
      <c r="M37" s="286"/>
      <c r="N37" s="286"/>
      <c r="O37" s="311">
        <f t="shared" si="16"/>
        <v>1497.5640000000001</v>
      </c>
      <c r="P37" s="285"/>
      <c r="Q37" s="285"/>
      <c r="R37" s="278"/>
      <c r="S37" s="278"/>
      <c r="T37" s="278"/>
    </row>
    <row r="38" spans="1:20" s="305" customFormat="1" hidden="1" outlineLevel="1" x14ac:dyDescent="0.25">
      <c r="A38" s="278"/>
      <c r="B38" s="279" t="str">
        <f t="shared" si="17"/>
        <v>benchtop901mm to 1200mmnatural stoneprestige</v>
      </c>
      <c r="C38" s="278" t="s">
        <v>995</v>
      </c>
      <c r="D38" s="278" t="s">
        <v>537</v>
      </c>
      <c r="E38" s="278" t="s">
        <v>924</v>
      </c>
      <c r="F38" s="278" t="s">
        <v>545</v>
      </c>
      <c r="G38" s="278" t="s">
        <v>15</v>
      </c>
      <c r="H38" s="290">
        <v>0.4</v>
      </c>
      <c r="I38" s="280">
        <f t="shared" si="13"/>
        <v>32.248000000000005</v>
      </c>
      <c r="J38" s="281">
        <f t="shared" si="14"/>
        <v>36.572000000000003</v>
      </c>
      <c r="K38" s="282">
        <f>IF(Notes!$B$9="Domestic",I38, IF(Notes!$B$9="Commercial",J38))*$K$5</f>
        <v>36.572000000000003</v>
      </c>
      <c r="L38" s="283">
        <f>(SUM(O38:Q38)+(K38+SUM(M38:Q38))*(INDEX($U$5:$AB$5,MATCH(Notes!$C$16,$U$3:$AB$3,0))-100%))*$L$5</f>
        <v>2105.1</v>
      </c>
      <c r="M38" s="286"/>
      <c r="N38" s="286"/>
      <c r="O38" s="311">
        <f t="shared" si="16"/>
        <v>2105.1</v>
      </c>
      <c r="P38" s="285"/>
      <c r="Q38" s="285"/>
      <c r="R38" s="278"/>
      <c r="S38" s="278"/>
      <c r="T38" s="278"/>
    </row>
    <row r="39" spans="1:20" s="305" customFormat="1" hidden="1" outlineLevel="1" x14ac:dyDescent="0.25">
      <c r="A39" s="278"/>
      <c r="B39" s="279" t="str">
        <f t="shared" si="17"/>
        <v>benchtop1201mm to 1500mmnatural stoneaverage</v>
      </c>
      <c r="C39" s="278" t="s">
        <v>995</v>
      </c>
      <c r="D39" s="278" t="s">
        <v>549</v>
      </c>
      <c r="E39" s="278" t="s">
        <v>924</v>
      </c>
      <c r="F39" s="278" t="s">
        <v>543</v>
      </c>
      <c r="G39" s="278" t="s">
        <v>15</v>
      </c>
      <c r="H39" s="290">
        <v>0.5</v>
      </c>
      <c r="I39" s="280">
        <f t="shared" si="13"/>
        <v>40.31</v>
      </c>
      <c r="J39" s="281">
        <f t="shared" si="14"/>
        <v>45.715000000000003</v>
      </c>
      <c r="K39" s="282">
        <f>IF(Notes!$B$9="Domestic",I39, IF(Notes!$B$9="Commercial",J39))*$K$5</f>
        <v>45.715000000000003</v>
      </c>
      <c r="L39" s="283">
        <f>(SUM(O39:Q39)+(K39+SUM(M39:Q39))*(INDEX($U$5:$AB$5,MATCH(Notes!$C$16,$U$3:$AB$3,0))-100%))*$L$5</f>
        <v>1170.9359999999999</v>
      </c>
      <c r="M39" s="286"/>
      <c r="N39" s="286"/>
      <c r="O39" s="311">
        <f t="shared" si="16"/>
        <v>1170.9359999999999</v>
      </c>
      <c r="P39" s="285"/>
      <c r="Q39" s="285"/>
      <c r="R39" s="278"/>
      <c r="S39" s="278"/>
      <c r="T39" s="278"/>
    </row>
    <row r="40" spans="1:20" s="305" customFormat="1" hidden="1" outlineLevel="1" x14ac:dyDescent="0.25">
      <c r="A40" s="278"/>
      <c r="B40" s="279" t="str">
        <f t="shared" si="17"/>
        <v>benchtop1201mm to 1500mmnatural stonequality</v>
      </c>
      <c r="C40" s="278" t="s">
        <v>995</v>
      </c>
      <c r="D40" s="278" t="s">
        <v>549</v>
      </c>
      <c r="E40" s="278" t="s">
        <v>924</v>
      </c>
      <c r="F40" s="278" t="s">
        <v>544</v>
      </c>
      <c r="G40" s="278" t="s">
        <v>15</v>
      </c>
      <c r="H40" s="290">
        <v>0.5</v>
      </c>
      <c r="I40" s="280">
        <f t="shared" si="13"/>
        <v>40.31</v>
      </c>
      <c r="J40" s="281">
        <f t="shared" si="14"/>
        <v>45.715000000000003</v>
      </c>
      <c r="K40" s="282">
        <f>IF(Notes!$B$9="Domestic",I40, IF(Notes!$B$9="Commercial",J40))*$K$5</f>
        <v>45.715000000000003</v>
      </c>
      <c r="L40" s="283">
        <f>(SUM(O40:Q40)+(K40+SUM(M40:Q40))*(INDEX($U$5:$AB$5,MATCH(Notes!$C$16,$U$3:$AB$3,0))-100%))*$L$5</f>
        <v>1871.9640000000002</v>
      </c>
      <c r="M40" s="286"/>
      <c r="N40" s="286"/>
      <c r="O40" s="311">
        <f t="shared" si="16"/>
        <v>1871.9640000000002</v>
      </c>
      <c r="P40" s="285"/>
      <c r="Q40" s="285"/>
      <c r="R40" s="278"/>
      <c r="S40" s="278"/>
      <c r="T40" s="278"/>
    </row>
    <row r="41" spans="1:20" s="305" customFormat="1" hidden="1" outlineLevel="1" x14ac:dyDescent="0.25">
      <c r="A41" s="278"/>
      <c r="B41" s="279" t="str">
        <f t="shared" si="17"/>
        <v>benchtop1201mm to 1500mmnatural stoneprestige</v>
      </c>
      <c r="C41" s="278" t="s">
        <v>995</v>
      </c>
      <c r="D41" s="278" t="s">
        <v>549</v>
      </c>
      <c r="E41" s="278" t="s">
        <v>924</v>
      </c>
      <c r="F41" s="278" t="s">
        <v>545</v>
      </c>
      <c r="G41" s="278" t="s">
        <v>15</v>
      </c>
      <c r="H41" s="290">
        <v>0.5</v>
      </c>
      <c r="I41" s="280">
        <f t="shared" si="13"/>
        <v>40.31</v>
      </c>
      <c r="J41" s="281">
        <f t="shared" si="14"/>
        <v>45.715000000000003</v>
      </c>
      <c r="K41" s="282">
        <f>IF(Notes!$B$9="Domestic",I41, IF(Notes!$B$9="Commercial",J41))*$K$5</f>
        <v>45.715000000000003</v>
      </c>
      <c r="L41" s="283">
        <f>(SUM(O41:Q41)+(K41+SUM(M41:Q41))*(INDEX($U$5:$AB$5,MATCH(Notes!$C$16,$U$3:$AB$3,0))-100%))*$L$5</f>
        <v>2631.393</v>
      </c>
      <c r="M41" s="286"/>
      <c r="N41" s="286"/>
      <c r="O41" s="311">
        <f t="shared" si="16"/>
        <v>2631.393</v>
      </c>
      <c r="P41" s="285"/>
      <c r="Q41" s="285"/>
      <c r="R41" s="278"/>
      <c r="S41" s="278"/>
      <c r="T41" s="278"/>
    </row>
    <row r="42" spans="1:20" s="305" customFormat="1" hidden="1" outlineLevel="1" x14ac:dyDescent="0.25">
      <c r="A42" s="278"/>
      <c r="B42" s="279" t="str">
        <f t="shared" si="7"/>
        <v>benchtopup to 600mmtimberaverage</v>
      </c>
      <c r="C42" s="278" t="s">
        <v>995</v>
      </c>
      <c r="D42" s="278" t="s">
        <v>546</v>
      </c>
      <c r="E42" s="278" t="s">
        <v>708</v>
      </c>
      <c r="F42" s="278" t="s">
        <v>543</v>
      </c>
      <c r="G42" s="278" t="s">
        <v>15</v>
      </c>
      <c r="H42" s="290">
        <v>0.25</v>
      </c>
      <c r="I42" s="280">
        <f t="shared" si="8"/>
        <v>20.155000000000001</v>
      </c>
      <c r="J42" s="281">
        <f t="shared" si="9"/>
        <v>22.857500000000002</v>
      </c>
      <c r="K42" s="282">
        <f>IF(Notes!$B$9="Domestic",I42, IF(Notes!$B$9="Commercial",J42))*$K$5</f>
        <v>22.857500000000002</v>
      </c>
      <c r="L42" s="283">
        <f>(SUM(O42:Q42)+(K42+SUM(M42:Q42))*(INDEX($U$5:$AB$5,MATCH(Notes!$C$16,$U$3:$AB$3,0))-100%))*$L$5</f>
        <v>811.12</v>
      </c>
      <c r="M42" s="286"/>
      <c r="N42" s="286"/>
      <c r="O42" s="285">
        <v>811.12</v>
      </c>
      <c r="P42" s="285"/>
      <c r="Q42" s="285"/>
      <c r="R42" s="278"/>
      <c r="S42" s="278"/>
      <c r="T42" s="278"/>
    </row>
    <row r="43" spans="1:20" s="305" customFormat="1" hidden="1" outlineLevel="1" x14ac:dyDescent="0.25">
      <c r="A43" s="278"/>
      <c r="B43" s="279" t="str">
        <f t="shared" si="7"/>
        <v>benchtopup to 600mmtimberquality</v>
      </c>
      <c r="C43" s="278" t="s">
        <v>995</v>
      </c>
      <c r="D43" s="278" t="s">
        <v>546</v>
      </c>
      <c r="E43" s="278" t="s">
        <v>708</v>
      </c>
      <c r="F43" s="278" t="s">
        <v>544</v>
      </c>
      <c r="G43" s="278" t="s">
        <v>15</v>
      </c>
      <c r="H43" s="290">
        <v>0.25</v>
      </c>
      <c r="I43" s="280">
        <f t="shared" si="8"/>
        <v>20.155000000000001</v>
      </c>
      <c r="J43" s="281">
        <f t="shared" si="9"/>
        <v>22.857500000000002</v>
      </c>
      <c r="K43" s="282">
        <f>IF(Notes!$B$9="Domestic",I43, IF(Notes!$B$9="Commercial",J43))*$K$5</f>
        <v>22.857500000000002</v>
      </c>
      <c r="L43" s="283">
        <f>(SUM(O43:Q43)+(K43+SUM(M43:Q43))*(INDEX($U$5:$AB$5,MATCH(Notes!$C$16,$U$3:$AB$3,0))-100%))*$L$5</f>
        <v>1076.1199999999999</v>
      </c>
      <c r="M43" s="286"/>
      <c r="N43" s="286"/>
      <c r="O43" s="311">
        <f>(O42+O44)/2</f>
        <v>1076.1199999999999</v>
      </c>
      <c r="P43" s="285"/>
      <c r="Q43" s="285"/>
      <c r="R43" s="278"/>
      <c r="S43" s="278"/>
      <c r="T43" s="278"/>
    </row>
    <row r="44" spans="1:20" s="305" customFormat="1" hidden="1" outlineLevel="1" x14ac:dyDescent="0.25">
      <c r="A44" s="278"/>
      <c r="B44" s="279" t="str">
        <f t="shared" si="7"/>
        <v>benchtopup to 600mmtimberprestige</v>
      </c>
      <c r="C44" s="278" t="s">
        <v>995</v>
      </c>
      <c r="D44" s="278" t="s">
        <v>546</v>
      </c>
      <c r="E44" s="278" t="s">
        <v>708</v>
      </c>
      <c r="F44" s="278" t="s">
        <v>545</v>
      </c>
      <c r="G44" s="278" t="s">
        <v>15</v>
      </c>
      <c r="H44" s="290">
        <v>0.25</v>
      </c>
      <c r="I44" s="280">
        <f t="shared" si="8"/>
        <v>20.155000000000001</v>
      </c>
      <c r="J44" s="281">
        <f t="shared" si="9"/>
        <v>22.857500000000002</v>
      </c>
      <c r="K44" s="282">
        <f>IF(Notes!$B$9="Domestic",I44, IF(Notes!$B$9="Commercial",J44))*$K$5</f>
        <v>22.857500000000002</v>
      </c>
      <c r="L44" s="283">
        <f>(SUM(O44:Q44)+(K44+SUM(M44:Q44))*(INDEX($U$5:$AB$5,MATCH(Notes!$C$16,$U$3:$AB$3,0))-100%))*$L$5</f>
        <v>1341.12</v>
      </c>
      <c r="M44" s="286"/>
      <c r="N44" s="286"/>
      <c r="O44" s="285">
        <v>1341.12</v>
      </c>
      <c r="P44" s="285"/>
      <c r="Q44" s="285"/>
      <c r="R44" s="278"/>
      <c r="S44" s="278"/>
      <c r="T44" s="278"/>
    </row>
    <row r="45" spans="1:20" s="305" customFormat="1" hidden="1" outlineLevel="1" x14ac:dyDescent="0.25">
      <c r="A45" s="278"/>
      <c r="B45" s="279" t="str">
        <f t="shared" si="7"/>
        <v>benchtop601mm to 900mmtimberaverage</v>
      </c>
      <c r="C45" s="278" t="s">
        <v>995</v>
      </c>
      <c r="D45" s="278" t="s">
        <v>998</v>
      </c>
      <c r="E45" s="278" t="s">
        <v>708</v>
      </c>
      <c r="F45" s="278" t="s">
        <v>543</v>
      </c>
      <c r="G45" s="278" t="s">
        <v>15</v>
      </c>
      <c r="H45" s="290">
        <v>0.3</v>
      </c>
      <c r="I45" s="280">
        <f t="shared" si="8"/>
        <v>24.186</v>
      </c>
      <c r="J45" s="281">
        <f t="shared" si="9"/>
        <v>27.429000000000002</v>
      </c>
      <c r="K45" s="282">
        <f>IF(Notes!$B$9="Domestic",I45, IF(Notes!$B$9="Commercial",J45))*$K$5</f>
        <v>27.429000000000002</v>
      </c>
      <c r="L45" s="283">
        <f>(SUM(O45:Q45)+(K45+SUM(M45:Q45))*(INDEX($U$5:$AB$5,MATCH(Notes!$C$16,$U$3:$AB$3,0))-100%))*$L$5</f>
        <v>1196.1199999999999</v>
      </c>
      <c r="M45" s="286"/>
      <c r="N45" s="286"/>
      <c r="O45" s="285">
        <v>1196.1199999999999</v>
      </c>
      <c r="P45" s="285"/>
      <c r="Q45" s="285"/>
      <c r="R45" s="278"/>
      <c r="S45" s="278"/>
      <c r="T45" s="278"/>
    </row>
    <row r="46" spans="1:20" s="305" customFormat="1" hidden="1" outlineLevel="1" x14ac:dyDescent="0.25">
      <c r="A46" s="278"/>
      <c r="B46" s="279" t="str">
        <f t="shared" ref="B46:B53" si="18">C46&amp;D46&amp;E46&amp;F46</f>
        <v>benchtop601mm to 900mmtimberquality</v>
      </c>
      <c r="C46" s="278" t="s">
        <v>995</v>
      </c>
      <c r="D46" s="278" t="s">
        <v>998</v>
      </c>
      <c r="E46" s="278" t="s">
        <v>708</v>
      </c>
      <c r="F46" s="278" t="s">
        <v>544</v>
      </c>
      <c r="G46" s="278" t="s">
        <v>15</v>
      </c>
      <c r="H46" s="290">
        <v>0.3</v>
      </c>
      <c r="I46" s="280">
        <f t="shared" ref="I46:I53" si="19">$I$2*H46</f>
        <v>24.186</v>
      </c>
      <c r="J46" s="281">
        <f t="shared" ref="J46:J53" si="20">$J$2*H46</f>
        <v>27.429000000000002</v>
      </c>
      <c r="K46" s="282">
        <f>IF(Notes!$B$9="Domestic",I46, IF(Notes!$B$9="Commercial",J46))*$K$5</f>
        <v>27.429000000000002</v>
      </c>
      <c r="L46" s="283">
        <f>(SUM(O46:Q46)+(K46+SUM(M46:Q46))*(INDEX($U$5:$AB$5,MATCH(Notes!$C$16,$U$3:$AB$3,0))-100%))*$L$5</f>
        <v>1413.62</v>
      </c>
      <c r="M46" s="286"/>
      <c r="N46" s="286"/>
      <c r="O46" s="311">
        <f>(O45+O47)/2</f>
        <v>1413.62</v>
      </c>
      <c r="P46" s="285"/>
      <c r="Q46" s="285"/>
      <c r="R46" s="278"/>
      <c r="S46" s="278"/>
      <c r="T46" s="278"/>
    </row>
    <row r="47" spans="1:20" s="305" customFormat="1" hidden="1" outlineLevel="1" x14ac:dyDescent="0.25">
      <c r="A47" s="278"/>
      <c r="B47" s="279" t="str">
        <f t="shared" si="18"/>
        <v>benchtop601mm to 900mmtimberprestige</v>
      </c>
      <c r="C47" s="278" t="s">
        <v>995</v>
      </c>
      <c r="D47" s="278" t="s">
        <v>998</v>
      </c>
      <c r="E47" s="278" t="s">
        <v>708</v>
      </c>
      <c r="F47" s="278" t="s">
        <v>545</v>
      </c>
      <c r="G47" s="278" t="s">
        <v>15</v>
      </c>
      <c r="H47" s="290">
        <v>0.3</v>
      </c>
      <c r="I47" s="280">
        <f t="shared" si="19"/>
        <v>24.186</v>
      </c>
      <c r="J47" s="281">
        <f t="shared" si="20"/>
        <v>27.429000000000002</v>
      </c>
      <c r="K47" s="282">
        <f>IF(Notes!$B$9="Domestic",I47, IF(Notes!$B$9="Commercial",J47))*$K$5</f>
        <v>27.429000000000002</v>
      </c>
      <c r="L47" s="283">
        <f>(SUM(O47:Q47)+(K47+SUM(M47:Q47))*(INDEX($U$5:$AB$5,MATCH(Notes!$C$16,$U$3:$AB$3,0))-100%))*$L$5</f>
        <v>1631.12</v>
      </c>
      <c r="M47" s="286"/>
      <c r="N47" s="286"/>
      <c r="O47" s="285">
        <v>1631.12</v>
      </c>
      <c r="P47" s="285"/>
      <c r="Q47" s="285"/>
      <c r="R47" s="278"/>
      <c r="S47" s="278"/>
      <c r="T47" s="278"/>
    </row>
    <row r="48" spans="1:20" s="305" customFormat="1" hidden="1" outlineLevel="1" x14ac:dyDescent="0.25">
      <c r="A48" s="278"/>
      <c r="B48" s="279" t="str">
        <f t="shared" si="18"/>
        <v>benchtop901mm to 1200mmtimberaverage</v>
      </c>
      <c r="C48" s="278" t="s">
        <v>995</v>
      </c>
      <c r="D48" s="278" t="s">
        <v>537</v>
      </c>
      <c r="E48" s="278" t="s">
        <v>708</v>
      </c>
      <c r="F48" s="278" t="s">
        <v>543</v>
      </c>
      <c r="G48" s="278" t="s">
        <v>15</v>
      </c>
      <c r="H48" s="290">
        <v>0.4</v>
      </c>
      <c r="I48" s="280">
        <f t="shared" si="19"/>
        <v>32.248000000000005</v>
      </c>
      <c r="J48" s="281">
        <f t="shared" si="20"/>
        <v>36.572000000000003</v>
      </c>
      <c r="K48" s="282">
        <f>IF(Notes!$B$9="Domestic",I48, IF(Notes!$B$9="Commercial",J48))*$K$5</f>
        <v>36.572000000000003</v>
      </c>
      <c r="L48" s="283">
        <f>(SUM(O48:Q48)+(K48+SUM(M48:Q48))*(INDEX($U$5:$AB$5,MATCH(Notes!$C$16,$U$3:$AB$3,0))-100%))*$L$5</f>
        <v>1435.3439999999998</v>
      </c>
      <c r="M48" s="286"/>
      <c r="N48" s="286"/>
      <c r="O48" s="311">
        <f>O45*1.2</f>
        <v>1435.3439999999998</v>
      </c>
      <c r="P48" s="285"/>
      <c r="Q48" s="285"/>
      <c r="R48" s="278"/>
      <c r="S48" s="278"/>
      <c r="T48" s="278"/>
    </row>
    <row r="49" spans="1:28" s="305" customFormat="1" hidden="1" outlineLevel="1" x14ac:dyDescent="0.25">
      <c r="A49" s="278"/>
      <c r="B49" s="279" t="str">
        <f t="shared" si="18"/>
        <v>benchtop901mm to 1200mmtimberquality</v>
      </c>
      <c r="C49" s="278" t="s">
        <v>995</v>
      </c>
      <c r="D49" s="278" t="s">
        <v>537</v>
      </c>
      <c r="E49" s="278" t="s">
        <v>708</v>
      </c>
      <c r="F49" s="278" t="s">
        <v>544</v>
      </c>
      <c r="G49" s="278" t="s">
        <v>15</v>
      </c>
      <c r="H49" s="290">
        <v>0.4</v>
      </c>
      <c r="I49" s="280">
        <f t="shared" si="19"/>
        <v>32.248000000000005</v>
      </c>
      <c r="J49" s="281">
        <f t="shared" si="20"/>
        <v>36.572000000000003</v>
      </c>
      <c r="K49" s="282">
        <f>IF(Notes!$B$9="Domestic",I49, IF(Notes!$B$9="Commercial",J49))*$K$5</f>
        <v>36.572000000000003</v>
      </c>
      <c r="L49" s="283">
        <f>(SUM(O49:Q49)+(K49+SUM(M49:Q49))*(INDEX($U$5:$AB$5,MATCH(Notes!$C$16,$U$3:$AB$3,0))-100%))*$L$5</f>
        <v>1696.3439999999998</v>
      </c>
      <c r="M49" s="286"/>
      <c r="N49" s="286"/>
      <c r="O49" s="311">
        <f t="shared" ref="O49:O50" si="21">O46*1.2</f>
        <v>1696.3439999999998</v>
      </c>
      <c r="P49" s="285"/>
      <c r="Q49" s="285"/>
      <c r="R49" s="278"/>
      <c r="S49" s="278"/>
      <c r="T49" s="278"/>
    </row>
    <row r="50" spans="1:28" s="305" customFormat="1" hidden="1" outlineLevel="1" x14ac:dyDescent="0.25">
      <c r="A50" s="278"/>
      <c r="B50" s="279" t="str">
        <f t="shared" si="18"/>
        <v>benchtop901mm to 1200mmtimberprestige</v>
      </c>
      <c r="C50" s="278" t="s">
        <v>995</v>
      </c>
      <c r="D50" s="278" t="s">
        <v>537</v>
      </c>
      <c r="E50" s="278" t="s">
        <v>708</v>
      </c>
      <c r="F50" s="278" t="s">
        <v>545</v>
      </c>
      <c r="G50" s="278" t="s">
        <v>15</v>
      </c>
      <c r="H50" s="290">
        <v>0.4</v>
      </c>
      <c r="I50" s="280">
        <f t="shared" si="19"/>
        <v>32.248000000000005</v>
      </c>
      <c r="J50" s="281">
        <f t="shared" si="20"/>
        <v>36.572000000000003</v>
      </c>
      <c r="K50" s="282">
        <f>IF(Notes!$B$9="Domestic",I50, IF(Notes!$B$9="Commercial",J50))*$K$5</f>
        <v>36.572000000000003</v>
      </c>
      <c r="L50" s="283">
        <f>(SUM(O50:Q50)+(K50+SUM(M50:Q50))*(INDEX($U$5:$AB$5,MATCH(Notes!$C$16,$U$3:$AB$3,0))-100%))*$L$5</f>
        <v>1957.3439999999998</v>
      </c>
      <c r="M50" s="286"/>
      <c r="N50" s="286"/>
      <c r="O50" s="311">
        <f t="shared" si="21"/>
        <v>1957.3439999999998</v>
      </c>
      <c r="P50" s="285"/>
      <c r="Q50" s="285"/>
      <c r="R50" s="278"/>
      <c r="S50" s="278"/>
      <c r="T50" s="278"/>
    </row>
    <row r="51" spans="1:28" s="305" customFormat="1" hidden="1" outlineLevel="1" x14ac:dyDescent="0.25">
      <c r="A51" s="278"/>
      <c r="B51" s="279" t="str">
        <f t="shared" si="18"/>
        <v>benchtop1201mm to 1500mmtimberaverage</v>
      </c>
      <c r="C51" s="278" t="s">
        <v>995</v>
      </c>
      <c r="D51" s="278" t="s">
        <v>549</v>
      </c>
      <c r="E51" s="278" t="s">
        <v>708</v>
      </c>
      <c r="F51" s="278" t="s">
        <v>543</v>
      </c>
      <c r="G51" s="278" t="s">
        <v>15</v>
      </c>
      <c r="H51" s="290">
        <v>0.5</v>
      </c>
      <c r="I51" s="280">
        <f t="shared" si="19"/>
        <v>40.31</v>
      </c>
      <c r="J51" s="281">
        <f t="shared" si="20"/>
        <v>45.715000000000003</v>
      </c>
      <c r="K51" s="282">
        <f>IF(Notes!$B$9="Domestic",I51, IF(Notes!$B$9="Commercial",J51))*$K$5</f>
        <v>45.715000000000003</v>
      </c>
      <c r="L51" s="283">
        <f>(SUM(O51:Q51)+(K51+SUM(M51:Q51))*(INDEX($U$5:$AB$5,MATCH(Notes!$C$16,$U$3:$AB$3,0))-100%))*$L$5</f>
        <v>2153.0159999999996</v>
      </c>
      <c r="M51" s="286"/>
      <c r="N51" s="286"/>
      <c r="O51" s="311">
        <f>O48*1.5</f>
        <v>2153.0159999999996</v>
      </c>
      <c r="P51" s="285"/>
      <c r="Q51" s="285"/>
      <c r="R51" s="278"/>
      <c r="S51" s="278"/>
      <c r="T51" s="278"/>
    </row>
    <row r="52" spans="1:28" s="305" customFormat="1" hidden="1" outlineLevel="1" x14ac:dyDescent="0.25">
      <c r="A52" s="278"/>
      <c r="B52" s="279" t="str">
        <f t="shared" si="18"/>
        <v>benchtop1201mm to 1500mmtimberquality</v>
      </c>
      <c r="C52" s="278" t="s">
        <v>995</v>
      </c>
      <c r="D52" s="278" t="s">
        <v>549</v>
      </c>
      <c r="E52" s="278" t="s">
        <v>708</v>
      </c>
      <c r="F52" s="278" t="s">
        <v>544</v>
      </c>
      <c r="G52" s="278" t="s">
        <v>15</v>
      </c>
      <c r="H52" s="290">
        <v>0.5</v>
      </c>
      <c r="I52" s="280">
        <f t="shared" si="19"/>
        <v>40.31</v>
      </c>
      <c r="J52" s="281">
        <f t="shared" si="20"/>
        <v>45.715000000000003</v>
      </c>
      <c r="K52" s="282">
        <f>IF(Notes!$B$9="Domestic",I52, IF(Notes!$B$9="Commercial",J52))*$K$5</f>
        <v>45.715000000000003</v>
      </c>
      <c r="L52" s="283">
        <f>(SUM(O52:Q52)+(K52+SUM(M52:Q52))*(INDEX($U$5:$AB$5,MATCH(Notes!$C$16,$U$3:$AB$3,0))-100%))*$L$5</f>
        <v>2544.5159999999996</v>
      </c>
      <c r="M52" s="286"/>
      <c r="N52" s="286"/>
      <c r="O52" s="311">
        <f t="shared" ref="O52:O53" si="22">O49*1.5</f>
        <v>2544.5159999999996</v>
      </c>
      <c r="P52" s="285"/>
      <c r="Q52" s="285"/>
      <c r="R52" s="278"/>
      <c r="S52" s="278"/>
      <c r="T52" s="278"/>
    </row>
    <row r="53" spans="1:28" s="305" customFormat="1" hidden="1" outlineLevel="1" x14ac:dyDescent="0.25">
      <c r="A53" s="278"/>
      <c r="B53" s="279" t="str">
        <f t="shared" si="18"/>
        <v>benchtop1201mm to 1500mmtimberprestige</v>
      </c>
      <c r="C53" s="278" t="s">
        <v>995</v>
      </c>
      <c r="D53" s="278" t="s">
        <v>549</v>
      </c>
      <c r="E53" s="278" t="s">
        <v>708</v>
      </c>
      <c r="F53" s="278" t="s">
        <v>545</v>
      </c>
      <c r="G53" s="278" t="s">
        <v>15</v>
      </c>
      <c r="H53" s="290">
        <v>0.5</v>
      </c>
      <c r="I53" s="280">
        <f t="shared" si="19"/>
        <v>40.31</v>
      </c>
      <c r="J53" s="281">
        <f t="shared" si="20"/>
        <v>45.715000000000003</v>
      </c>
      <c r="K53" s="282">
        <f>IF(Notes!$B$9="Domestic",I53, IF(Notes!$B$9="Commercial",J53))*$K$5</f>
        <v>45.715000000000003</v>
      </c>
      <c r="L53" s="283">
        <f>(SUM(O53:Q53)+(K53+SUM(M53:Q53))*(INDEX($U$5:$AB$5,MATCH(Notes!$C$16,$U$3:$AB$3,0))-100%))*$L$5</f>
        <v>2936.0159999999996</v>
      </c>
      <c r="M53" s="286"/>
      <c r="N53" s="286"/>
      <c r="O53" s="311">
        <f t="shared" si="22"/>
        <v>2936.0159999999996</v>
      </c>
      <c r="P53" s="285"/>
      <c r="Q53" s="285"/>
      <c r="R53" s="278"/>
      <c r="S53" s="278"/>
      <c r="T53" s="278"/>
    </row>
    <row r="54" spans="1:28" ht="21" hidden="1" outlineLevel="1" x14ac:dyDescent="0.25">
      <c r="A54" s="299" t="s">
        <v>999</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row>
    <row r="55" spans="1:28" ht="15.75" hidden="1" outlineLevel="1" x14ac:dyDescent="0.25">
      <c r="A55" s="291"/>
      <c r="B55" s="291"/>
      <c r="C55" s="291"/>
      <c r="D55" s="291"/>
      <c r="E55" s="291"/>
      <c r="F55" s="291"/>
      <c r="G55" s="291"/>
      <c r="H55" s="291"/>
      <c r="I55" s="291"/>
      <c r="J55" s="291"/>
      <c r="K55" s="291">
        <f>K$2</f>
        <v>1</v>
      </c>
      <c r="L55" s="291">
        <f>L$2</f>
        <v>1</v>
      </c>
      <c r="M55" s="291"/>
      <c r="N55" s="291"/>
      <c r="O55" s="303"/>
      <c r="P55" s="303"/>
      <c r="Q55" s="303" t="s">
        <v>1038</v>
      </c>
      <c r="R55" s="291"/>
      <c r="S55" s="291"/>
      <c r="T55" s="291"/>
      <c r="U55" s="291">
        <f>U$2</f>
        <v>1</v>
      </c>
      <c r="V55" s="291">
        <f>V$2</f>
        <v>1</v>
      </c>
      <c r="W55" s="291">
        <f t="shared" ref="W55:AB55" si="23">W$2</f>
        <v>1.009090909090909</v>
      </c>
      <c r="X55" s="291">
        <f t="shared" si="23"/>
        <v>1.0909090909090908</v>
      </c>
      <c r="Y55" s="291">
        <f t="shared" si="23"/>
        <v>1.1454545454545455</v>
      </c>
      <c r="Z55" s="291">
        <f t="shared" si="23"/>
        <v>1</v>
      </c>
      <c r="AA55" s="291">
        <f t="shared" si="23"/>
        <v>1</v>
      </c>
      <c r="AB55" s="291">
        <f t="shared" si="23"/>
        <v>1</v>
      </c>
    </row>
    <row r="56" spans="1:28" s="305" customFormat="1" ht="14.45" hidden="1" customHeight="1" outlineLevel="1" x14ac:dyDescent="0.25">
      <c r="A56" s="278"/>
      <c r="B56" s="279" t="str">
        <f>C56&amp;D56&amp;E56&amp;F56</f>
        <v>benchtoparealaminatedaverage</v>
      </c>
      <c r="C56" s="278" t="s">
        <v>995</v>
      </c>
      <c r="D56" s="278" t="s">
        <v>1001</v>
      </c>
      <c r="E56" s="278" t="s">
        <v>536</v>
      </c>
      <c r="F56" s="278" t="s">
        <v>543</v>
      </c>
      <c r="G56" s="278" t="s">
        <v>11</v>
      </c>
      <c r="H56" s="290">
        <v>0.4</v>
      </c>
      <c r="I56" s="280">
        <f t="shared" ref="I56:I67" si="24">$I$2*H56</f>
        <v>32.248000000000005</v>
      </c>
      <c r="J56" s="281">
        <f>$J$2*H56</f>
        <v>36.572000000000003</v>
      </c>
      <c r="K56" s="282">
        <f>IF(Notes!$B$9="Domestic",I56, IF(Notes!$B$9="Commercial",J56))*$K$55</f>
        <v>36.572000000000003</v>
      </c>
      <c r="L56" s="283">
        <f>(SUM(O56:Q56)+(K56+SUM(M56:Q56))*(INDEX($U$55:$AB$55,MATCH(Notes!$C$16,$U$3:$AB$3,0))-100%))*$L$55</f>
        <v>178.98</v>
      </c>
      <c r="M56" s="286"/>
      <c r="N56" s="286"/>
      <c r="O56" s="311">
        <f>O9</f>
        <v>178.98</v>
      </c>
      <c r="P56" s="285"/>
      <c r="Q56" s="285"/>
      <c r="R56" s="278"/>
      <c r="S56" s="278"/>
      <c r="T56" s="278" t="s">
        <v>536</v>
      </c>
      <c r="U56" s="304"/>
    </row>
    <row r="57" spans="1:28" s="305" customFormat="1" ht="14.45" hidden="1" customHeight="1" outlineLevel="1" x14ac:dyDescent="0.25">
      <c r="A57" s="278"/>
      <c r="B57" s="279" t="str">
        <f t="shared" ref="B57:B58" si="25">C57&amp;D57&amp;E57&amp;F57</f>
        <v>benchtoparealaminatedquality</v>
      </c>
      <c r="C57" s="278" t="s">
        <v>995</v>
      </c>
      <c r="D57" s="278" t="s">
        <v>1001</v>
      </c>
      <c r="E57" s="278" t="s">
        <v>536</v>
      </c>
      <c r="F57" s="278" t="s">
        <v>544</v>
      </c>
      <c r="G57" s="278" t="s">
        <v>11</v>
      </c>
      <c r="H57" s="290">
        <v>0.4</v>
      </c>
      <c r="I57" s="280">
        <f t="shared" ref="I57:I58" si="26">$I$2*H57</f>
        <v>32.248000000000005</v>
      </c>
      <c r="J57" s="281">
        <f t="shared" ref="J57:J58" si="27">$J$2*H57</f>
        <v>36.572000000000003</v>
      </c>
      <c r="K57" s="282">
        <f>IF(Notes!$B$9="Domestic",I57, IF(Notes!$B$9="Commercial",J57))*$K$55</f>
        <v>36.572000000000003</v>
      </c>
      <c r="L57" s="283">
        <f>(SUM(O57:Q57)+(K57+SUM(M57:Q57))*(INDEX($U$55:$AB$55,MATCH(Notes!$C$16,$U$3:$AB$3,0))-100%))*$L$55</f>
        <v>190.09</v>
      </c>
      <c r="M57" s="286"/>
      <c r="N57" s="286"/>
      <c r="O57" s="311">
        <f t="shared" ref="O57:O58" si="28">O10</f>
        <v>190.09</v>
      </c>
      <c r="P57" s="285"/>
      <c r="Q57" s="285"/>
      <c r="R57" s="278"/>
      <c r="S57" s="278"/>
      <c r="T57" s="278" t="s">
        <v>997</v>
      </c>
      <c r="U57" s="304"/>
    </row>
    <row r="58" spans="1:28" s="305" customFormat="1" ht="14.45" hidden="1" customHeight="1" outlineLevel="1" x14ac:dyDescent="0.25">
      <c r="A58" s="278"/>
      <c r="B58" s="279" t="str">
        <f t="shared" si="25"/>
        <v>benchtoparealaminatedprestige</v>
      </c>
      <c r="C58" s="278" t="s">
        <v>995</v>
      </c>
      <c r="D58" s="278" t="s">
        <v>1001</v>
      </c>
      <c r="E58" s="278" t="s">
        <v>536</v>
      </c>
      <c r="F58" s="278" t="s">
        <v>545</v>
      </c>
      <c r="G58" s="278" t="s">
        <v>11</v>
      </c>
      <c r="H58" s="290">
        <v>0.4</v>
      </c>
      <c r="I58" s="280">
        <f t="shared" si="26"/>
        <v>32.248000000000005</v>
      </c>
      <c r="J58" s="281">
        <f t="shared" si="27"/>
        <v>36.572000000000003</v>
      </c>
      <c r="K58" s="282">
        <f>IF(Notes!$B$9="Domestic",I58, IF(Notes!$B$9="Commercial",J58))*$K$55</f>
        <v>36.572000000000003</v>
      </c>
      <c r="L58" s="283">
        <f>(SUM(O58:Q58)+(K58+SUM(M58:Q58))*(INDEX($U$55:$AB$55,MATCH(Notes!$C$16,$U$3:$AB$3,0))-100%))*$L$55</f>
        <v>211.11890334410199</v>
      </c>
      <c r="M58" s="286"/>
      <c r="N58" s="286"/>
      <c r="O58" s="311">
        <f t="shared" si="28"/>
        <v>211.11890334410199</v>
      </c>
      <c r="P58" s="285"/>
      <c r="Q58" s="285"/>
      <c r="R58" s="278"/>
      <c r="S58" s="278"/>
      <c r="T58" s="278" t="s">
        <v>924</v>
      </c>
      <c r="U58" s="304"/>
    </row>
    <row r="59" spans="1:28" s="305" customFormat="1" ht="14.45" hidden="1" customHeight="1" outlineLevel="1" x14ac:dyDescent="0.25">
      <c r="A59" s="278"/>
      <c r="B59" s="279" t="str">
        <f t="shared" ref="B59:B67" si="29">C59&amp;D59&amp;E59&amp;F59</f>
        <v>benchtopareaengineered stoneaverage</v>
      </c>
      <c r="C59" s="278" t="s">
        <v>995</v>
      </c>
      <c r="D59" s="278" t="s">
        <v>1001</v>
      </c>
      <c r="E59" s="278" t="s">
        <v>997</v>
      </c>
      <c r="F59" s="278" t="s">
        <v>543</v>
      </c>
      <c r="G59" s="278" t="s">
        <v>11</v>
      </c>
      <c r="H59" s="290">
        <v>0.4</v>
      </c>
      <c r="I59" s="280">
        <f t="shared" si="24"/>
        <v>32.248000000000005</v>
      </c>
      <c r="J59" s="281">
        <f t="shared" ref="J59:J67" si="30">$J$2*H59</f>
        <v>36.572000000000003</v>
      </c>
      <c r="K59" s="282">
        <f>IF(Notes!$B$9="Domestic",I59, IF(Notes!$B$9="Commercial",J59))*$K$55</f>
        <v>36.572000000000003</v>
      </c>
      <c r="L59" s="283">
        <f>(SUM(O59:Q59)+(K59+SUM(M59:Q59))*(INDEX($U$55:$AB$55,MATCH(Notes!$C$16,$U$3:$AB$3,0))-100%))*$L$55</f>
        <v>563.78399999999999</v>
      </c>
      <c r="M59" s="286"/>
      <c r="N59" s="286"/>
      <c r="O59" s="311">
        <f>O21</f>
        <v>433.68</v>
      </c>
      <c r="P59" s="285"/>
      <c r="Q59" s="311">
        <f t="shared" ref="Q59:Q61" si="31">O59*0.3</f>
        <v>130.10399999999998</v>
      </c>
      <c r="R59" s="278"/>
      <c r="S59" s="278"/>
      <c r="T59" s="278" t="s">
        <v>708</v>
      </c>
      <c r="U59" s="304"/>
    </row>
    <row r="60" spans="1:28" s="305" customFormat="1" ht="14.45" hidden="1" customHeight="1" outlineLevel="1" x14ac:dyDescent="0.25">
      <c r="A60" s="278"/>
      <c r="B60" s="279" t="str">
        <f t="shared" si="29"/>
        <v>benchtopareaengineered stonequality</v>
      </c>
      <c r="C60" s="278" t="s">
        <v>995</v>
      </c>
      <c r="D60" s="278" t="s">
        <v>1001</v>
      </c>
      <c r="E60" s="278" t="s">
        <v>997</v>
      </c>
      <c r="F60" s="278" t="s">
        <v>544</v>
      </c>
      <c r="G60" s="278" t="s">
        <v>11</v>
      </c>
      <c r="H60" s="290">
        <v>0.4</v>
      </c>
      <c r="I60" s="280">
        <f t="shared" si="24"/>
        <v>32.248000000000005</v>
      </c>
      <c r="J60" s="281">
        <f t="shared" si="30"/>
        <v>36.572000000000003</v>
      </c>
      <c r="K60" s="282">
        <f>IF(Notes!$B$9="Domestic",I60, IF(Notes!$B$9="Commercial",J60))*$K$55</f>
        <v>36.572000000000003</v>
      </c>
      <c r="L60" s="283">
        <f>(SUM(O60:Q60)+(K60+SUM(M60:Q60))*(INDEX($U$55:$AB$55,MATCH(Notes!$C$16,$U$3:$AB$3,0))-100%))*$L$55</f>
        <v>901.31600000000003</v>
      </c>
      <c r="M60" s="286"/>
      <c r="N60" s="286"/>
      <c r="O60" s="311">
        <f t="shared" ref="O60:O61" si="32">O22</f>
        <v>693.32</v>
      </c>
      <c r="P60" s="285"/>
      <c r="Q60" s="311">
        <f t="shared" si="31"/>
        <v>207.99600000000001</v>
      </c>
      <c r="R60" s="278"/>
      <c r="S60" s="278"/>
      <c r="T60" s="278"/>
      <c r="U60" s="304"/>
    </row>
    <row r="61" spans="1:28" s="305" customFormat="1" ht="14.45" hidden="1" customHeight="1" outlineLevel="1" x14ac:dyDescent="0.25">
      <c r="A61" s="278"/>
      <c r="B61" s="279" t="str">
        <f t="shared" si="29"/>
        <v>benchtopareaengineered stoneprestige</v>
      </c>
      <c r="C61" s="278" t="s">
        <v>995</v>
      </c>
      <c r="D61" s="278" t="s">
        <v>1001</v>
      </c>
      <c r="E61" s="278" t="s">
        <v>997</v>
      </c>
      <c r="F61" s="278" t="s">
        <v>545</v>
      </c>
      <c r="G61" s="278" t="s">
        <v>11</v>
      </c>
      <c r="H61" s="290">
        <v>0.4</v>
      </c>
      <c r="I61" s="280">
        <f t="shared" si="24"/>
        <v>32.248000000000005</v>
      </c>
      <c r="J61" s="281">
        <f t="shared" si="30"/>
        <v>36.572000000000003</v>
      </c>
      <c r="K61" s="282">
        <f>IF(Notes!$B$9="Domestic",I61, IF(Notes!$B$9="Commercial",J61))*$K$55</f>
        <v>36.572000000000003</v>
      </c>
      <c r="L61" s="283">
        <f>(SUM(O61:Q61)+(K61+SUM(M61:Q61))*(INDEX($U$55:$AB$55,MATCH(Notes!$C$16,$U$3:$AB$3,0))-100%))*$L$55</f>
        <v>1266.9670000000001</v>
      </c>
      <c r="M61" s="286"/>
      <c r="N61" s="286"/>
      <c r="O61" s="311">
        <f t="shared" si="32"/>
        <v>974.59</v>
      </c>
      <c r="P61" s="285"/>
      <c r="Q61" s="311">
        <f t="shared" si="31"/>
        <v>292.37700000000001</v>
      </c>
      <c r="R61" s="278"/>
      <c r="S61" s="278"/>
      <c r="T61" s="278"/>
      <c r="U61" s="304"/>
    </row>
    <row r="62" spans="1:28" s="305" customFormat="1" ht="14.45" hidden="1" customHeight="1" outlineLevel="1" x14ac:dyDescent="0.25">
      <c r="A62" s="278"/>
      <c r="B62" s="279" t="str">
        <f t="shared" si="29"/>
        <v>benchtopareanatural stoneaverage</v>
      </c>
      <c r="C62" s="278" t="s">
        <v>995</v>
      </c>
      <c r="D62" s="278" t="s">
        <v>1001</v>
      </c>
      <c r="E62" s="278" t="s">
        <v>924</v>
      </c>
      <c r="F62" s="278" t="s">
        <v>543</v>
      </c>
      <c r="G62" s="278" t="s">
        <v>11</v>
      </c>
      <c r="H62" s="290">
        <v>0.4</v>
      </c>
      <c r="I62" s="280">
        <f t="shared" si="24"/>
        <v>32.248000000000005</v>
      </c>
      <c r="J62" s="281">
        <f t="shared" si="30"/>
        <v>36.572000000000003</v>
      </c>
      <c r="K62" s="282">
        <f>IF(Notes!$B$9="Domestic",I62, IF(Notes!$B$9="Commercial",J62))*$K$55</f>
        <v>36.572000000000003</v>
      </c>
      <c r="L62" s="283">
        <f>(SUM(O62:Q62)+(K62+SUM(M62:Q62))*(INDEX($U$55:$AB$55,MATCH(Notes!$C$16,$U$3:$AB$3,0))-100%))*$L$55</f>
        <v>780.62400000000002</v>
      </c>
      <c r="M62" s="286"/>
      <c r="N62" s="286"/>
      <c r="O62" s="311">
        <f>O33</f>
        <v>780.62400000000002</v>
      </c>
      <c r="P62" s="285"/>
      <c r="Q62" s="285"/>
      <c r="R62" s="278"/>
      <c r="S62" s="278"/>
      <c r="T62" s="278"/>
      <c r="U62" s="304"/>
    </row>
    <row r="63" spans="1:28" s="305" customFormat="1" ht="14.45" hidden="1" customHeight="1" outlineLevel="1" x14ac:dyDescent="0.25">
      <c r="A63" s="278"/>
      <c r="B63" s="279" t="str">
        <f t="shared" ref="B63:B66" si="33">C63&amp;D63&amp;E63&amp;F63</f>
        <v>benchtopareanatural stonequality</v>
      </c>
      <c r="C63" s="278" t="s">
        <v>995</v>
      </c>
      <c r="D63" s="278" t="s">
        <v>1001</v>
      </c>
      <c r="E63" s="278" t="s">
        <v>924</v>
      </c>
      <c r="F63" s="278" t="s">
        <v>544</v>
      </c>
      <c r="G63" s="278" t="s">
        <v>11</v>
      </c>
      <c r="H63" s="290">
        <v>0.4</v>
      </c>
      <c r="I63" s="280">
        <f t="shared" ref="I63:I66" si="34">$I$2*H63</f>
        <v>32.248000000000005</v>
      </c>
      <c r="J63" s="281">
        <f t="shared" ref="J63:J66" si="35">$J$2*H63</f>
        <v>36.572000000000003</v>
      </c>
      <c r="K63" s="282">
        <f>IF(Notes!$B$9="Domestic",I63, IF(Notes!$B$9="Commercial",J63))*$K$55</f>
        <v>36.572000000000003</v>
      </c>
      <c r="L63" s="283">
        <f>(SUM(O63:Q63)+(K63+SUM(M63:Q63))*(INDEX($U$55:$AB$55,MATCH(Notes!$C$16,$U$3:$AB$3,0))-100%))*$L$55</f>
        <v>1247.9760000000001</v>
      </c>
      <c r="M63" s="286"/>
      <c r="N63" s="286"/>
      <c r="O63" s="311">
        <f t="shared" ref="O63:O64" si="36">O34</f>
        <v>1247.9760000000001</v>
      </c>
      <c r="P63" s="285"/>
      <c r="Q63" s="285"/>
      <c r="R63" s="278"/>
      <c r="S63" s="278"/>
      <c r="T63" s="278"/>
      <c r="U63" s="304"/>
    </row>
    <row r="64" spans="1:28" s="305" customFormat="1" ht="14.45" hidden="1" customHeight="1" outlineLevel="1" x14ac:dyDescent="0.25">
      <c r="A64" s="278"/>
      <c r="B64" s="279" t="str">
        <f t="shared" si="33"/>
        <v>benchtopareanatural stoneprestige</v>
      </c>
      <c r="C64" s="278" t="s">
        <v>995</v>
      </c>
      <c r="D64" s="278" t="s">
        <v>1001</v>
      </c>
      <c r="E64" s="278" t="s">
        <v>924</v>
      </c>
      <c r="F64" s="278" t="s">
        <v>545</v>
      </c>
      <c r="G64" s="278" t="s">
        <v>11</v>
      </c>
      <c r="H64" s="290">
        <v>0.4</v>
      </c>
      <c r="I64" s="280">
        <f t="shared" si="34"/>
        <v>32.248000000000005</v>
      </c>
      <c r="J64" s="281">
        <f t="shared" si="35"/>
        <v>36.572000000000003</v>
      </c>
      <c r="K64" s="282">
        <f>IF(Notes!$B$9="Domestic",I64, IF(Notes!$B$9="Commercial",J64))*$K$55</f>
        <v>36.572000000000003</v>
      </c>
      <c r="L64" s="283">
        <f>(SUM(O64:Q64)+(K64+SUM(M64:Q64))*(INDEX($U$55:$AB$55,MATCH(Notes!$C$16,$U$3:$AB$3,0))-100%))*$L$55</f>
        <v>1754.2620000000002</v>
      </c>
      <c r="M64" s="286"/>
      <c r="N64" s="286"/>
      <c r="O64" s="311">
        <f t="shared" si="36"/>
        <v>1754.2620000000002</v>
      </c>
      <c r="P64" s="285"/>
      <c r="Q64" s="285"/>
      <c r="R64" s="278"/>
      <c r="S64" s="278"/>
      <c r="T64" s="278"/>
      <c r="U64" s="304"/>
    </row>
    <row r="65" spans="1:28" s="305" customFormat="1" hidden="1" outlineLevel="1" x14ac:dyDescent="0.25">
      <c r="A65" s="278"/>
      <c r="B65" s="279" t="str">
        <f t="shared" si="33"/>
        <v>benchtopareatimberaverage</v>
      </c>
      <c r="C65" s="278" t="s">
        <v>995</v>
      </c>
      <c r="D65" s="278" t="s">
        <v>1001</v>
      </c>
      <c r="E65" s="278" t="s">
        <v>708</v>
      </c>
      <c r="F65" s="278" t="s">
        <v>543</v>
      </c>
      <c r="G65" s="278" t="s">
        <v>11</v>
      </c>
      <c r="H65" s="290">
        <v>0.4</v>
      </c>
      <c r="I65" s="280">
        <f t="shared" si="34"/>
        <v>32.248000000000005</v>
      </c>
      <c r="J65" s="281">
        <f t="shared" si="35"/>
        <v>36.572000000000003</v>
      </c>
      <c r="K65" s="282">
        <f>IF(Notes!$B$9="Domestic",I65, IF(Notes!$B$9="Commercial",J65))*$K$55</f>
        <v>36.572000000000003</v>
      </c>
      <c r="L65" s="283">
        <f>(SUM(O65:Q65)+(K65+SUM(M65:Q65))*(INDEX($U$55:$AB$55,MATCH(Notes!$C$16,$U$3:$AB$3,0))-100%))*$L$55</f>
        <v>1196.1199999999999</v>
      </c>
      <c r="M65" s="286"/>
      <c r="N65" s="286"/>
      <c r="O65" s="311">
        <f>O45</f>
        <v>1196.1199999999999</v>
      </c>
      <c r="P65" s="285"/>
      <c r="Q65" s="285"/>
      <c r="R65" s="278"/>
      <c r="S65" s="278"/>
      <c r="T65" s="278"/>
    </row>
    <row r="66" spans="1:28" s="305" customFormat="1" hidden="1" outlineLevel="1" x14ac:dyDescent="0.25">
      <c r="A66" s="278"/>
      <c r="B66" s="279" t="str">
        <f t="shared" si="33"/>
        <v>benchtopareatimberquality</v>
      </c>
      <c r="C66" s="278" t="s">
        <v>995</v>
      </c>
      <c r="D66" s="278" t="s">
        <v>1001</v>
      </c>
      <c r="E66" s="278" t="s">
        <v>708</v>
      </c>
      <c r="F66" s="278" t="s">
        <v>544</v>
      </c>
      <c r="G66" s="278" t="s">
        <v>11</v>
      </c>
      <c r="H66" s="290">
        <v>0.4</v>
      </c>
      <c r="I66" s="280">
        <f t="shared" si="34"/>
        <v>32.248000000000005</v>
      </c>
      <c r="J66" s="281">
        <f t="shared" si="35"/>
        <v>36.572000000000003</v>
      </c>
      <c r="K66" s="282">
        <f>IF(Notes!$B$9="Domestic",I66, IF(Notes!$B$9="Commercial",J66))*$K$55</f>
        <v>36.572000000000003</v>
      </c>
      <c r="L66" s="283">
        <f>(SUM(O66:Q66)+(K66+SUM(M66:Q66))*(INDEX($U$55:$AB$55,MATCH(Notes!$C$16,$U$3:$AB$3,0))-100%))*$L$55</f>
        <v>1413.62</v>
      </c>
      <c r="M66" s="286"/>
      <c r="N66" s="286"/>
      <c r="O66" s="311">
        <f t="shared" ref="O66:O67" si="37">O46</f>
        <v>1413.62</v>
      </c>
      <c r="P66" s="285"/>
      <c r="Q66" s="285"/>
      <c r="R66" s="278"/>
      <c r="S66" s="278"/>
      <c r="T66" s="278"/>
    </row>
    <row r="67" spans="1:28" s="305" customFormat="1" hidden="1" outlineLevel="1" x14ac:dyDescent="0.25">
      <c r="A67" s="278"/>
      <c r="B67" s="279" t="str">
        <f t="shared" si="29"/>
        <v>benchtopareatimberprestige</v>
      </c>
      <c r="C67" s="278" t="s">
        <v>995</v>
      </c>
      <c r="D67" s="278" t="s">
        <v>1001</v>
      </c>
      <c r="E67" s="278" t="s">
        <v>708</v>
      </c>
      <c r="F67" s="278" t="s">
        <v>545</v>
      </c>
      <c r="G67" s="278" t="s">
        <v>11</v>
      </c>
      <c r="H67" s="290">
        <v>0.4</v>
      </c>
      <c r="I67" s="280">
        <f t="shared" si="24"/>
        <v>32.248000000000005</v>
      </c>
      <c r="J67" s="281">
        <f t="shared" si="30"/>
        <v>36.572000000000003</v>
      </c>
      <c r="K67" s="282">
        <f>IF(Notes!$B$9="Domestic",I67, IF(Notes!$B$9="Commercial",J67))*$K$55</f>
        <v>36.572000000000003</v>
      </c>
      <c r="L67" s="283">
        <f>(SUM(O67:Q67)+(K67+SUM(M67:Q67))*(INDEX($U$55:$AB$55,MATCH(Notes!$C$16,$U$3:$AB$3,0))-100%))*$L$55</f>
        <v>1631.12</v>
      </c>
      <c r="M67" s="286"/>
      <c r="N67" s="286"/>
      <c r="O67" s="311">
        <f t="shared" si="37"/>
        <v>1631.12</v>
      </c>
      <c r="P67" s="285"/>
      <c r="Q67" s="285"/>
      <c r="R67" s="278"/>
      <c r="S67" s="278"/>
      <c r="T67" s="278"/>
    </row>
    <row r="68" spans="1:28" ht="21" hidden="1" outlineLevel="1" x14ac:dyDescent="0.25">
      <c r="A68" s="299" t="s">
        <v>1010</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row>
    <row r="69" spans="1:28" ht="15.75" hidden="1" outlineLevel="1" x14ac:dyDescent="0.25">
      <c r="A69" s="291"/>
      <c r="B69" s="291"/>
      <c r="C69" s="291"/>
      <c r="D69" s="291"/>
      <c r="E69" s="291"/>
      <c r="F69" s="291"/>
      <c r="G69" s="291"/>
      <c r="H69" s="291"/>
      <c r="I69" s="291"/>
      <c r="J69" s="291"/>
      <c r="K69" s="291">
        <f>K$2</f>
        <v>1</v>
      </c>
      <c r="L69" s="291">
        <f>L$2</f>
        <v>1</v>
      </c>
      <c r="M69" s="291"/>
      <c r="N69" s="291"/>
      <c r="O69" s="303"/>
      <c r="P69" s="303"/>
      <c r="Q69" s="303" t="s">
        <v>1038</v>
      </c>
      <c r="R69" s="291"/>
      <c r="S69" s="291"/>
      <c r="T69" s="291"/>
      <c r="U69" s="291">
        <f>U$2</f>
        <v>1</v>
      </c>
      <c r="V69" s="291">
        <f>V$2</f>
        <v>1</v>
      </c>
      <c r="W69" s="291">
        <f t="shared" ref="W69:AB69" si="38">W$2</f>
        <v>1.009090909090909</v>
      </c>
      <c r="X69" s="291">
        <f t="shared" si="38"/>
        <v>1.0909090909090908</v>
      </c>
      <c r="Y69" s="291">
        <f t="shared" si="38"/>
        <v>1.1454545454545455</v>
      </c>
      <c r="Z69" s="291">
        <f t="shared" si="38"/>
        <v>1</v>
      </c>
      <c r="AA69" s="291">
        <f t="shared" si="38"/>
        <v>1</v>
      </c>
      <c r="AB69" s="291">
        <f t="shared" si="38"/>
        <v>1</v>
      </c>
    </row>
    <row r="70" spans="1:28" s="305" customFormat="1" ht="14.45" hidden="1" customHeight="1" outlineLevel="1" x14ac:dyDescent="0.25">
      <c r="A70" s="278"/>
      <c r="B70" s="279" t="str">
        <f>C70&amp;D70&amp;E70&amp;F70</f>
        <v>splashbackarealaminatedaverage</v>
      </c>
      <c r="C70" s="278" t="s">
        <v>1009</v>
      </c>
      <c r="D70" s="278" t="s">
        <v>1001</v>
      </c>
      <c r="E70" s="278" t="s">
        <v>536</v>
      </c>
      <c r="F70" s="278" t="s">
        <v>543</v>
      </c>
      <c r="G70" s="278" t="s">
        <v>11</v>
      </c>
      <c r="H70" s="290">
        <v>0.4</v>
      </c>
      <c r="I70" s="280">
        <f>$I$2*H70</f>
        <v>32.248000000000005</v>
      </c>
      <c r="J70" s="281">
        <f>$J$2*H70</f>
        <v>36.572000000000003</v>
      </c>
      <c r="K70" s="282">
        <f>IF(Notes!$B$9="Domestic",I70, IF(Notes!$B$9="Commercial",J70))*$K$69</f>
        <v>36.572000000000003</v>
      </c>
      <c r="L70" s="283">
        <f>(SUM(O70:Q70)+(K70+SUM(M70:Q70))*(INDEX($U$69:$AB$69,MATCH(Notes!$C$16,$U$3:$AB$3,0))-100%))*$L$69</f>
        <v>178.98</v>
      </c>
      <c r="M70" s="286"/>
      <c r="N70" s="286"/>
      <c r="O70" s="311">
        <f>O56</f>
        <v>178.98</v>
      </c>
      <c r="P70" s="285"/>
      <c r="Q70" s="285"/>
      <c r="R70" s="278"/>
      <c r="S70" s="278"/>
      <c r="T70" s="278" t="s">
        <v>536</v>
      </c>
      <c r="U70" s="304"/>
    </row>
    <row r="71" spans="1:28" s="305" customFormat="1" ht="14.45" hidden="1" customHeight="1" outlineLevel="1" x14ac:dyDescent="0.25">
      <c r="A71" s="278"/>
      <c r="B71" s="279" t="str">
        <f t="shared" ref="B71:B81" si="39">C71&amp;D71&amp;E71&amp;F71</f>
        <v>splashbackarealaminatedquality</v>
      </c>
      <c r="C71" s="278" t="s">
        <v>1009</v>
      </c>
      <c r="D71" s="278" t="s">
        <v>1001</v>
      </c>
      <c r="E71" s="278" t="s">
        <v>536</v>
      </c>
      <c r="F71" s="278" t="s">
        <v>544</v>
      </c>
      <c r="G71" s="278" t="s">
        <v>11</v>
      </c>
      <c r="H71" s="290">
        <v>0.4</v>
      </c>
      <c r="I71" s="280">
        <f t="shared" ref="I71:I81" si="40">$I$2*H71</f>
        <v>32.248000000000005</v>
      </c>
      <c r="J71" s="281">
        <f t="shared" ref="J71:J81" si="41">$J$2*H71</f>
        <v>36.572000000000003</v>
      </c>
      <c r="K71" s="282">
        <f>IF(Notes!$B$9="Domestic",I71, IF(Notes!$B$9="Commercial",J71))*$K$69</f>
        <v>36.572000000000003</v>
      </c>
      <c r="L71" s="283">
        <f>(SUM(O71:Q71)+(K71+SUM(M71:Q71))*(INDEX($U$69:$AB$69,MATCH(Notes!$C$16,$U$3:$AB$3,0))-100%))*$L$69</f>
        <v>190.09</v>
      </c>
      <c r="M71" s="286"/>
      <c r="N71" s="286"/>
      <c r="O71" s="311">
        <f t="shared" ref="O71:O81" si="42">O57</f>
        <v>190.09</v>
      </c>
      <c r="P71" s="285"/>
      <c r="Q71" s="285"/>
      <c r="R71" s="278"/>
      <c r="S71" s="278"/>
      <c r="T71" s="278" t="s">
        <v>997</v>
      </c>
      <c r="U71" s="304"/>
    </row>
    <row r="72" spans="1:28" s="305" customFormat="1" ht="14.45" hidden="1" customHeight="1" outlineLevel="1" x14ac:dyDescent="0.25">
      <c r="A72" s="278"/>
      <c r="B72" s="279" t="str">
        <f t="shared" si="39"/>
        <v>splashbackarealaminatedprestige</v>
      </c>
      <c r="C72" s="278" t="s">
        <v>1009</v>
      </c>
      <c r="D72" s="278" t="s">
        <v>1001</v>
      </c>
      <c r="E72" s="278" t="s">
        <v>536</v>
      </c>
      <c r="F72" s="278" t="s">
        <v>545</v>
      </c>
      <c r="G72" s="278" t="s">
        <v>11</v>
      </c>
      <c r="H72" s="290">
        <v>0.4</v>
      </c>
      <c r="I72" s="280">
        <f t="shared" si="40"/>
        <v>32.248000000000005</v>
      </c>
      <c r="J72" s="281">
        <f t="shared" si="41"/>
        <v>36.572000000000003</v>
      </c>
      <c r="K72" s="282">
        <f>IF(Notes!$B$9="Domestic",I72, IF(Notes!$B$9="Commercial",J72))*$K$69</f>
        <v>36.572000000000003</v>
      </c>
      <c r="L72" s="283">
        <f>(SUM(O72:Q72)+(K72+SUM(M72:Q72))*(INDEX($U$69:$AB$69,MATCH(Notes!$C$16,$U$3:$AB$3,0))-100%))*$L$69</f>
        <v>211.11890334410199</v>
      </c>
      <c r="M72" s="286"/>
      <c r="N72" s="286"/>
      <c r="O72" s="311">
        <f t="shared" si="42"/>
        <v>211.11890334410199</v>
      </c>
      <c r="P72" s="285"/>
      <c r="Q72" s="285"/>
      <c r="R72" s="278"/>
      <c r="S72" s="278"/>
      <c r="T72" s="278" t="s">
        <v>924</v>
      </c>
      <c r="U72" s="304"/>
    </row>
    <row r="73" spans="1:28" s="305" customFormat="1" ht="14.45" hidden="1" customHeight="1" outlineLevel="1" x14ac:dyDescent="0.25">
      <c r="A73" s="278"/>
      <c r="B73" s="279" t="str">
        <f t="shared" si="39"/>
        <v>splashbackareaengineered stoneaverage</v>
      </c>
      <c r="C73" s="278" t="s">
        <v>1009</v>
      </c>
      <c r="D73" s="278" t="s">
        <v>1001</v>
      </c>
      <c r="E73" s="278" t="s">
        <v>997</v>
      </c>
      <c r="F73" s="278" t="s">
        <v>543</v>
      </c>
      <c r="G73" s="278" t="s">
        <v>11</v>
      </c>
      <c r="H73" s="290">
        <v>0.4</v>
      </c>
      <c r="I73" s="280">
        <f t="shared" si="40"/>
        <v>32.248000000000005</v>
      </c>
      <c r="J73" s="281">
        <f t="shared" si="41"/>
        <v>36.572000000000003</v>
      </c>
      <c r="K73" s="282">
        <f>IF(Notes!$B$9="Domestic",I73, IF(Notes!$B$9="Commercial",J73))*$K$69</f>
        <v>36.572000000000003</v>
      </c>
      <c r="L73" s="283">
        <f>(SUM(O73:Q73)+(K73+SUM(M73:Q73))*(INDEX($U$69:$AB$69,MATCH(Notes!$C$16,$U$3:$AB$3,0))-100%))*$L$69</f>
        <v>563.78399999999999</v>
      </c>
      <c r="M73" s="286"/>
      <c r="N73" s="286"/>
      <c r="O73" s="311">
        <f t="shared" si="42"/>
        <v>433.68</v>
      </c>
      <c r="P73" s="285"/>
      <c r="Q73" s="311">
        <f t="shared" ref="Q73:Q75" si="43">O73*0.3</f>
        <v>130.10399999999998</v>
      </c>
      <c r="R73" s="278"/>
      <c r="S73" s="278"/>
      <c r="T73" s="278" t="s">
        <v>708</v>
      </c>
      <c r="U73" s="304"/>
    </row>
    <row r="74" spans="1:28" s="305" customFormat="1" ht="14.45" hidden="1" customHeight="1" outlineLevel="1" x14ac:dyDescent="0.25">
      <c r="A74" s="278"/>
      <c r="B74" s="279" t="str">
        <f t="shared" si="39"/>
        <v>splashbackareaengineered stonequality</v>
      </c>
      <c r="C74" s="278" t="s">
        <v>1009</v>
      </c>
      <c r="D74" s="278" t="s">
        <v>1001</v>
      </c>
      <c r="E74" s="278" t="s">
        <v>997</v>
      </c>
      <c r="F74" s="278" t="s">
        <v>544</v>
      </c>
      <c r="G74" s="278" t="s">
        <v>11</v>
      </c>
      <c r="H74" s="290">
        <v>0.4</v>
      </c>
      <c r="I74" s="280">
        <f t="shared" si="40"/>
        <v>32.248000000000005</v>
      </c>
      <c r="J74" s="281">
        <f t="shared" si="41"/>
        <v>36.572000000000003</v>
      </c>
      <c r="K74" s="282">
        <f>IF(Notes!$B$9="Domestic",I74, IF(Notes!$B$9="Commercial",J74))*$K$69</f>
        <v>36.572000000000003</v>
      </c>
      <c r="L74" s="283">
        <f>(SUM(O74:Q74)+(K74+SUM(M74:Q74))*(INDEX($U$69:$AB$69,MATCH(Notes!$C$16,$U$3:$AB$3,0))-100%))*$L$69</f>
        <v>901.31600000000003</v>
      </c>
      <c r="M74" s="286"/>
      <c r="N74" s="286"/>
      <c r="O74" s="311">
        <f t="shared" si="42"/>
        <v>693.32</v>
      </c>
      <c r="P74" s="285"/>
      <c r="Q74" s="311">
        <f t="shared" si="43"/>
        <v>207.99600000000001</v>
      </c>
      <c r="R74" s="278"/>
      <c r="S74" s="278"/>
      <c r="T74" s="278" t="s">
        <v>539</v>
      </c>
      <c r="U74" s="304"/>
    </row>
    <row r="75" spans="1:28" s="305" customFormat="1" ht="14.45" hidden="1" customHeight="1" outlineLevel="1" x14ac:dyDescent="0.25">
      <c r="A75" s="278"/>
      <c r="B75" s="279" t="str">
        <f t="shared" si="39"/>
        <v>splashbackareaengineered stoneprestige</v>
      </c>
      <c r="C75" s="278" t="s">
        <v>1009</v>
      </c>
      <c r="D75" s="278" t="s">
        <v>1001</v>
      </c>
      <c r="E75" s="278" t="s">
        <v>997</v>
      </c>
      <c r="F75" s="278" t="s">
        <v>545</v>
      </c>
      <c r="G75" s="278" t="s">
        <v>11</v>
      </c>
      <c r="H75" s="290">
        <v>0.4</v>
      </c>
      <c r="I75" s="280">
        <f t="shared" si="40"/>
        <v>32.248000000000005</v>
      </c>
      <c r="J75" s="281">
        <f t="shared" si="41"/>
        <v>36.572000000000003</v>
      </c>
      <c r="K75" s="282">
        <f>IF(Notes!$B$9="Domestic",I75, IF(Notes!$B$9="Commercial",J75))*$K$69</f>
        <v>36.572000000000003</v>
      </c>
      <c r="L75" s="283">
        <f>(SUM(O75:Q75)+(K75+SUM(M75:Q75))*(INDEX($U$69:$AB$69,MATCH(Notes!$C$16,$U$3:$AB$3,0))-100%))*$L$69</f>
        <v>1266.9670000000001</v>
      </c>
      <c r="M75" s="286"/>
      <c r="N75" s="286"/>
      <c r="O75" s="311">
        <f t="shared" si="42"/>
        <v>974.59</v>
      </c>
      <c r="P75" s="285"/>
      <c r="Q75" s="311">
        <f t="shared" si="43"/>
        <v>292.37700000000001</v>
      </c>
      <c r="R75" s="278"/>
      <c r="S75" s="278"/>
      <c r="T75" s="278" t="s">
        <v>1011</v>
      </c>
      <c r="U75" s="304"/>
    </row>
    <row r="76" spans="1:28" s="305" customFormat="1" ht="14.45" hidden="1" customHeight="1" outlineLevel="1" x14ac:dyDescent="0.25">
      <c r="A76" s="278"/>
      <c r="B76" s="279" t="str">
        <f t="shared" si="39"/>
        <v>splashbackareanatural stoneaverage</v>
      </c>
      <c r="C76" s="278" t="s">
        <v>1009</v>
      </c>
      <c r="D76" s="278" t="s">
        <v>1001</v>
      </c>
      <c r="E76" s="278" t="s">
        <v>924</v>
      </c>
      <c r="F76" s="278" t="s">
        <v>543</v>
      </c>
      <c r="G76" s="278" t="s">
        <v>11</v>
      </c>
      <c r="H76" s="290">
        <v>0.4</v>
      </c>
      <c r="I76" s="280">
        <f t="shared" si="40"/>
        <v>32.248000000000005</v>
      </c>
      <c r="J76" s="281">
        <f t="shared" si="41"/>
        <v>36.572000000000003</v>
      </c>
      <c r="K76" s="282">
        <f>IF(Notes!$B$9="Domestic",I76, IF(Notes!$B$9="Commercial",J76))*$K$69</f>
        <v>36.572000000000003</v>
      </c>
      <c r="L76" s="283">
        <f>(SUM(O76:Q76)+(K76+SUM(M76:Q76))*(INDEX($U$69:$AB$69,MATCH(Notes!$C$16,$U$3:$AB$3,0))-100%))*$L$69</f>
        <v>780.62400000000002</v>
      </c>
      <c r="M76" s="286"/>
      <c r="N76" s="286"/>
      <c r="O76" s="311">
        <f t="shared" si="42"/>
        <v>780.62400000000002</v>
      </c>
      <c r="P76" s="285"/>
      <c r="Q76" s="285"/>
      <c r="R76" s="278"/>
      <c r="S76" s="278"/>
      <c r="T76" s="278" t="s">
        <v>1012</v>
      </c>
      <c r="U76" s="304"/>
    </row>
    <row r="77" spans="1:28" s="305" customFormat="1" ht="14.45" hidden="1" customHeight="1" outlineLevel="1" x14ac:dyDescent="0.25">
      <c r="A77" s="278"/>
      <c r="B77" s="279" t="str">
        <f t="shared" si="39"/>
        <v>splashbackareanatural stonequality</v>
      </c>
      <c r="C77" s="278" t="s">
        <v>1009</v>
      </c>
      <c r="D77" s="278" t="s">
        <v>1001</v>
      </c>
      <c r="E77" s="278" t="s">
        <v>924</v>
      </c>
      <c r="F77" s="278" t="s">
        <v>544</v>
      </c>
      <c r="G77" s="278" t="s">
        <v>11</v>
      </c>
      <c r="H77" s="290">
        <v>0.4</v>
      </c>
      <c r="I77" s="280">
        <f t="shared" si="40"/>
        <v>32.248000000000005</v>
      </c>
      <c r="J77" s="281">
        <f t="shared" si="41"/>
        <v>36.572000000000003</v>
      </c>
      <c r="K77" s="282">
        <f>IF(Notes!$B$9="Domestic",I77, IF(Notes!$B$9="Commercial",J77))*$K$69</f>
        <v>36.572000000000003</v>
      </c>
      <c r="L77" s="283">
        <f>(SUM(O77:Q77)+(K77+SUM(M77:Q77))*(INDEX($U$69:$AB$69,MATCH(Notes!$C$16,$U$3:$AB$3,0))-100%))*$L$69</f>
        <v>1247.9760000000001</v>
      </c>
      <c r="M77" s="286"/>
      <c r="N77" s="286"/>
      <c r="O77" s="311">
        <f t="shared" si="42"/>
        <v>1247.9760000000001</v>
      </c>
      <c r="P77" s="285"/>
      <c r="Q77" s="285"/>
      <c r="R77" s="278"/>
      <c r="S77" s="278"/>
      <c r="T77" s="278"/>
      <c r="U77" s="304"/>
    </row>
    <row r="78" spans="1:28" s="305" customFormat="1" ht="14.45" hidden="1" customHeight="1" outlineLevel="1" x14ac:dyDescent="0.25">
      <c r="A78" s="278"/>
      <c r="B78" s="279" t="str">
        <f t="shared" si="39"/>
        <v>splashbackareanatural stoneprestige</v>
      </c>
      <c r="C78" s="278" t="s">
        <v>1009</v>
      </c>
      <c r="D78" s="278" t="s">
        <v>1001</v>
      </c>
      <c r="E78" s="278" t="s">
        <v>924</v>
      </c>
      <c r="F78" s="278" t="s">
        <v>545</v>
      </c>
      <c r="G78" s="278" t="s">
        <v>11</v>
      </c>
      <c r="H78" s="290">
        <v>0.4</v>
      </c>
      <c r="I78" s="280">
        <f t="shared" si="40"/>
        <v>32.248000000000005</v>
      </c>
      <c r="J78" s="281">
        <f t="shared" si="41"/>
        <v>36.572000000000003</v>
      </c>
      <c r="K78" s="282">
        <f>IF(Notes!$B$9="Domestic",I78, IF(Notes!$B$9="Commercial",J78))*$K$69</f>
        <v>36.572000000000003</v>
      </c>
      <c r="L78" s="283">
        <f>(SUM(O78:Q78)+(K78+SUM(M78:Q78))*(INDEX($U$69:$AB$69,MATCH(Notes!$C$16,$U$3:$AB$3,0))-100%))*$L$69</f>
        <v>1754.2620000000002</v>
      </c>
      <c r="M78" s="286"/>
      <c r="N78" s="286"/>
      <c r="O78" s="311">
        <f t="shared" si="42"/>
        <v>1754.2620000000002</v>
      </c>
      <c r="P78" s="285"/>
      <c r="Q78" s="285"/>
      <c r="R78" s="278"/>
      <c r="S78" s="278"/>
      <c r="T78" s="278"/>
      <c r="U78" s="304"/>
    </row>
    <row r="79" spans="1:28" s="305" customFormat="1" hidden="1" outlineLevel="1" x14ac:dyDescent="0.25">
      <c r="A79" s="278"/>
      <c r="B79" s="279" t="str">
        <f t="shared" si="39"/>
        <v>splashbackareatimberaverage</v>
      </c>
      <c r="C79" s="278" t="s">
        <v>1009</v>
      </c>
      <c r="D79" s="278" t="s">
        <v>1001</v>
      </c>
      <c r="E79" s="278" t="s">
        <v>708</v>
      </c>
      <c r="F79" s="278" t="s">
        <v>543</v>
      </c>
      <c r="G79" s="278" t="s">
        <v>11</v>
      </c>
      <c r="H79" s="290">
        <v>0.4</v>
      </c>
      <c r="I79" s="280">
        <f t="shared" si="40"/>
        <v>32.248000000000005</v>
      </c>
      <c r="J79" s="281">
        <f t="shared" si="41"/>
        <v>36.572000000000003</v>
      </c>
      <c r="K79" s="282">
        <f>IF(Notes!$B$9="Domestic",I79, IF(Notes!$B$9="Commercial",J79))*$K$69</f>
        <v>36.572000000000003</v>
      </c>
      <c r="L79" s="283">
        <f>(SUM(O79:Q79)+(K79+SUM(M79:Q79))*(INDEX($U$69:$AB$69,MATCH(Notes!$C$16,$U$3:$AB$3,0))-100%))*$L$69</f>
        <v>1196.1199999999999</v>
      </c>
      <c r="M79" s="286"/>
      <c r="N79" s="286"/>
      <c r="O79" s="311">
        <f t="shared" si="42"/>
        <v>1196.1199999999999</v>
      </c>
      <c r="P79" s="285"/>
      <c r="Q79" s="285"/>
      <c r="R79" s="278"/>
      <c r="S79" s="278"/>
      <c r="T79" s="278"/>
    </row>
    <row r="80" spans="1:28" s="305" customFormat="1" hidden="1" outlineLevel="1" x14ac:dyDescent="0.25">
      <c r="A80" s="278"/>
      <c r="B80" s="279" t="str">
        <f t="shared" si="39"/>
        <v>splashbackareatimberquality</v>
      </c>
      <c r="C80" s="278" t="s">
        <v>1009</v>
      </c>
      <c r="D80" s="278" t="s">
        <v>1001</v>
      </c>
      <c r="E80" s="278" t="s">
        <v>708</v>
      </c>
      <c r="F80" s="278" t="s">
        <v>544</v>
      </c>
      <c r="G80" s="278" t="s">
        <v>11</v>
      </c>
      <c r="H80" s="290">
        <v>0.4</v>
      </c>
      <c r="I80" s="280">
        <f t="shared" si="40"/>
        <v>32.248000000000005</v>
      </c>
      <c r="J80" s="281">
        <f t="shared" si="41"/>
        <v>36.572000000000003</v>
      </c>
      <c r="K80" s="282">
        <f>IF(Notes!$B$9="Domestic",I80, IF(Notes!$B$9="Commercial",J80))*$K$69</f>
        <v>36.572000000000003</v>
      </c>
      <c r="L80" s="283">
        <f>(SUM(O80:Q80)+(K80+SUM(M80:Q80))*(INDEX($U$69:$AB$69,MATCH(Notes!$C$16,$U$3:$AB$3,0))-100%))*$L$69</f>
        <v>1413.62</v>
      </c>
      <c r="M80" s="286"/>
      <c r="N80" s="286"/>
      <c r="O80" s="311">
        <f t="shared" si="42"/>
        <v>1413.62</v>
      </c>
      <c r="P80" s="285"/>
      <c r="Q80" s="285"/>
      <c r="R80" s="278"/>
      <c r="S80" s="278"/>
      <c r="T80" s="278"/>
    </row>
    <row r="81" spans="1:28" s="305" customFormat="1" hidden="1" outlineLevel="1" x14ac:dyDescent="0.25">
      <c r="A81" s="278"/>
      <c r="B81" s="279" t="str">
        <f t="shared" si="39"/>
        <v>splashbackareatimberprestige</v>
      </c>
      <c r="C81" s="278" t="s">
        <v>1009</v>
      </c>
      <c r="D81" s="278" t="s">
        <v>1001</v>
      </c>
      <c r="E81" s="278" t="s">
        <v>708</v>
      </c>
      <c r="F81" s="278" t="s">
        <v>545</v>
      </c>
      <c r="G81" s="278" t="s">
        <v>11</v>
      </c>
      <c r="H81" s="290">
        <v>0.4</v>
      </c>
      <c r="I81" s="280">
        <f t="shared" si="40"/>
        <v>32.248000000000005</v>
      </c>
      <c r="J81" s="281">
        <f t="shared" si="41"/>
        <v>36.572000000000003</v>
      </c>
      <c r="K81" s="282">
        <f>IF(Notes!$B$9="Domestic",I81, IF(Notes!$B$9="Commercial",J81))*$K$69</f>
        <v>36.572000000000003</v>
      </c>
      <c r="L81" s="283">
        <f>(SUM(O81:Q81)+(K81+SUM(M81:Q81))*(INDEX($U$69:$AB$69,MATCH(Notes!$C$16,$U$3:$AB$3,0))-100%))*$L$69</f>
        <v>1631.12</v>
      </c>
      <c r="M81" s="286"/>
      <c r="N81" s="286"/>
      <c r="O81" s="311">
        <f t="shared" si="42"/>
        <v>1631.12</v>
      </c>
      <c r="P81" s="285"/>
      <c r="Q81" s="285"/>
      <c r="R81" s="278"/>
      <c r="S81" s="278"/>
      <c r="T81" s="278"/>
    </row>
    <row r="82" spans="1:28" s="305" customFormat="1" hidden="1" outlineLevel="1" x14ac:dyDescent="0.25">
      <c r="A82" s="278"/>
      <c r="B82" s="279" t="str">
        <f>C82&amp;D82&amp;E82&amp;F82</f>
        <v>splashbackareaglassaverage</v>
      </c>
      <c r="C82" s="278" t="s">
        <v>1009</v>
      </c>
      <c r="D82" s="278" t="s">
        <v>1001</v>
      </c>
      <c r="E82" s="278" t="s">
        <v>539</v>
      </c>
      <c r="F82" s="278" t="s">
        <v>543</v>
      </c>
      <c r="G82" s="278" t="s">
        <v>11</v>
      </c>
      <c r="H82" s="290">
        <v>0.4</v>
      </c>
      <c r="I82" s="280">
        <f t="shared" ref="I82:I90" si="44">$I$2*H82</f>
        <v>32.248000000000005</v>
      </c>
      <c r="J82" s="281">
        <f t="shared" ref="J82:J90" si="45">$J$2*H82</f>
        <v>36.572000000000003</v>
      </c>
      <c r="K82" s="282">
        <f>IF(Notes!$B$9="Domestic",I82, IF(Notes!$B$9="Commercial",J82))*$K$69</f>
        <v>36.572000000000003</v>
      </c>
      <c r="L82" s="283">
        <f>(SUM(O82:Q82)+(K82+SUM(M82:Q82))*(INDEX($U$69:$AB$69,MATCH(Notes!$C$16,$U$3:$AB$3,0))-100%))*$L$69</f>
        <v>302.33999999999997</v>
      </c>
      <c r="M82" s="286"/>
      <c r="N82" s="286"/>
      <c r="O82" s="285">
        <v>302.33999999999997</v>
      </c>
      <c r="P82" s="285"/>
      <c r="Q82" s="285"/>
      <c r="R82" s="278"/>
      <c r="S82" s="278"/>
      <c r="T82" s="278"/>
    </row>
    <row r="83" spans="1:28" s="305" customFormat="1" hidden="1" outlineLevel="1" x14ac:dyDescent="0.25">
      <c r="A83" s="278"/>
      <c r="B83" s="279" t="str">
        <f t="shared" ref="B83:B90" si="46">C83&amp;D83&amp;E83&amp;F83</f>
        <v>splashbackareaglassquality</v>
      </c>
      <c r="C83" s="278" t="s">
        <v>1009</v>
      </c>
      <c r="D83" s="278" t="s">
        <v>1001</v>
      </c>
      <c r="E83" s="278" t="s">
        <v>539</v>
      </c>
      <c r="F83" s="278" t="s">
        <v>544</v>
      </c>
      <c r="G83" s="278" t="s">
        <v>11</v>
      </c>
      <c r="H83" s="290">
        <v>0.4</v>
      </c>
      <c r="I83" s="280">
        <f t="shared" si="44"/>
        <v>32.248000000000005</v>
      </c>
      <c r="J83" s="281">
        <f t="shared" si="45"/>
        <v>36.572000000000003</v>
      </c>
      <c r="K83" s="282">
        <f>IF(Notes!$B$9="Domestic",I83, IF(Notes!$B$9="Commercial",J83))*$K$69</f>
        <v>36.572000000000003</v>
      </c>
      <c r="L83" s="283">
        <f>(SUM(O83:Q83)+(K83+SUM(M83:Q83))*(INDEX($U$69:$AB$69,MATCH(Notes!$C$16,$U$3:$AB$3,0))-100%))*$L$69</f>
        <v>384.16</v>
      </c>
      <c r="M83" s="286"/>
      <c r="N83" s="286"/>
      <c r="O83" s="285">
        <v>384.16</v>
      </c>
      <c r="P83" s="285"/>
      <c r="Q83" s="285"/>
      <c r="R83" s="278"/>
      <c r="S83" s="278"/>
      <c r="T83" s="278"/>
    </row>
    <row r="84" spans="1:28" s="305" customFormat="1" hidden="1" outlineLevel="1" x14ac:dyDescent="0.25">
      <c r="A84" s="278"/>
      <c r="B84" s="279" t="str">
        <f>C84&amp;D84&amp;E84&amp;F84</f>
        <v>splashbackareaglassprestige</v>
      </c>
      <c r="C84" s="278" t="s">
        <v>1009</v>
      </c>
      <c r="D84" s="278" t="s">
        <v>1001</v>
      </c>
      <c r="E84" s="278" t="s">
        <v>539</v>
      </c>
      <c r="F84" s="278" t="s">
        <v>545</v>
      </c>
      <c r="G84" s="278" t="s">
        <v>11</v>
      </c>
      <c r="H84" s="290">
        <v>0.4</v>
      </c>
      <c r="I84" s="280">
        <f t="shared" si="44"/>
        <v>32.248000000000005</v>
      </c>
      <c r="J84" s="281">
        <f t="shared" si="45"/>
        <v>36.572000000000003</v>
      </c>
      <c r="K84" s="282">
        <f>IF(Notes!$B$9="Domestic",I84, IF(Notes!$B$9="Commercial",J84))*$K$69</f>
        <v>36.572000000000003</v>
      </c>
      <c r="L84" s="283">
        <f>(SUM(O84:Q84)+(K84+SUM(M84:Q84))*(INDEX($U$69:$AB$69,MATCH(Notes!$C$16,$U$3:$AB$3,0))-100%))*$L$69</f>
        <v>480.20000000000005</v>
      </c>
      <c r="M84" s="286"/>
      <c r="N84" s="286"/>
      <c r="O84" s="311">
        <f>O83*1.25</f>
        <v>480.20000000000005</v>
      </c>
      <c r="P84" s="285"/>
      <c r="Q84" s="285"/>
      <c r="R84" s="278"/>
      <c r="S84" s="278"/>
      <c r="T84" s="278"/>
    </row>
    <row r="85" spans="1:28" s="305" customFormat="1" hidden="1" outlineLevel="1" x14ac:dyDescent="0.25">
      <c r="A85" s="278"/>
      <c r="B85" s="279" t="str">
        <f t="shared" si="46"/>
        <v>splashbackareastainless steelaverage</v>
      </c>
      <c r="C85" s="278" t="s">
        <v>1009</v>
      </c>
      <c r="D85" s="278" t="s">
        <v>1001</v>
      </c>
      <c r="E85" s="278" t="s">
        <v>1011</v>
      </c>
      <c r="F85" s="278" t="s">
        <v>543</v>
      </c>
      <c r="G85" s="278" t="s">
        <v>11</v>
      </c>
      <c r="H85" s="290">
        <v>0.4</v>
      </c>
      <c r="I85" s="280">
        <f t="shared" si="44"/>
        <v>32.248000000000005</v>
      </c>
      <c r="J85" s="281">
        <f t="shared" si="45"/>
        <v>36.572000000000003</v>
      </c>
      <c r="K85" s="282">
        <f>IF(Notes!$B$9="Domestic",I85, IF(Notes!$B$9="Commercial",J85))*$K$69</f>
        <v>36.572000000000003</v>
      </c>
      <c r="L85" s="283">
        <f>(SUM(O85:Q85)+(K85+SUM(M85:Q85))*(INDEX($U$69:$AB$69,MATCH(Notes!$C$16,$U$3:$AB$3,0))-100%))*$L$69</f>
        <v>221.69</v>
      </c>
      <c r="M85" s="286"/>
      <c r="N85" s="286"/>
      <c r="O85" s="285">
        <v>221.69</v>
      </c>
      <c r="P85" s="285"/>
      <c r="Q85" s="285"/>
      <c r="R85" s="278"/>
      <c r="S85" s="278"/>
      <c r="T85" s="278"/>
    </row>
    <row r="86" spans="1:28" s="305" customFormat="1" hidden="1" outlineLevel="1" x14ac:dyDescent="0.25">
      <c r="A86" s="278"/>
      <c r="B86" s="279" t="str">
        <f t="shared" si="46"/>
        <v>splashbackareastainless steelquality</v>
      </c>
      <c r="C86" s="278" t="s">
        <v>1009</v>
      </c>
      <c r="D86" s="278" t="s">
        <v>1001</v>
      </c>
      <c r="E86" s="278" t="s">
        <v>1011</v>
      </c>
      <c r="F86" s="278" t="s">
        <v>544</v>
      </c>
      <c r="G86" s="278" t="s">
        <v>11</v>
      </c>
      <c r="H86" s="290">
        <v>0.4</v>
      </c>
      <c r="I86" s="280">
        <f t="shared" si="44"/>
        <v>32.248000000000005</v>
      </c>
      <c r="J86" s="281">
        <f t="shared" si="45"/>
        <v>36.572000000000003</v>
      </c>
      <c r="K86" s="282">
        <f>IF(Notes!$B$9="Domestic",I86, IF(Notes!$B$9="Commercial",J86))*$K$69</f>
        <v>36.572000000000003</v>
      </c>
      <c r="L86" s="283">
        <f>(SUM(O86:Q86)+(K86+SUM(M86:Q86))*(INDEX($U$69:$AB$69,MATCH(Notes!$C$16,$U$3:$AB$3,0))-100%))*$L$69</f>
        <v>232.77450000000002</v>
      </c>
      <c r="M86" s="286"/>
      <c r="N86" s="286"/>
      <c r="O86" s="311">
        <f>O85*1.05</f>
        <v>232.77450000000002</v>
      </c>
      <c r="P86" s="285"/>
      <c r="Q86" s="285"/>
      <c r="R86" s="278"/>
      <c r="S86" s="278"/>
      <c r="T86" s="278"/>
    </row>
    <row r="87" spans="1:28" s="305" customFormat="1" hidden="1" outlineLevel="1" x14ac:dyDescent="0.25">
      <c r="A87" s="278"/>
      <c r="B87" s="279" t="str">
        <f t="shared" si="46"/>
        <v>splashbackareastainless steelprestige</v>
      </c>
      <c r="C87" s="278" t="s">
        <v>1009</v>
      </c>
      <c r="D87" s="278" t="s">
        <v>1001</v>
      </c>
      <c r="E87" s="278" t="s">
        <v>1011</v>
      </c>
      <c r="F87" s="278" t="s">
        <v>545</v>
      </c>
      <c r="G87" s="278" t="s">
        <v>11</v>
      </c>
      <c r="H87" s="290">
        <v>0.4</v>
      </c>
      <c r="I87" s="280">
        <f t="shared" si="44"/>
        <v>32.248000000000005</v>
      </c>
      <c r="J87" s="281">
        <f t="shared" si="45"/>
        <v>36.572000000000003</v>
      </c>
      <c r="K87" s="282">
        <f>IF(Notes!$B$9="Domestic",I87, IF(Notes!$B$9="Commercial",J87))*$K$69</f>
        <v>36.572000000000003</v>
      </c>
      <c r="L87" s="283">
        <f>(SUM(O87:Q87)+(K87+SUM(M87:Q87))*(INDEX($U$69:$AB$69,MATCH(Notes!$C$16,$U$3:$AB$3,0))-100%))*$L$69</f>
        <v>244.41322500000004</v>
      </c>
      <c r="M87" s="286"/>
      <c r="N87" s="286"/>
      <c r="O87" s="311">
        <f>O86*1.05</f>
        <v>244.41322500000004</v>
      </c>
      <c r="P87" s="285"/>
      <c r="Q87" s="285"/>
      <c r="R87" s="278"/>
      <c r="S87" s="278"/>
      <c r="T87" s="278"/>
    </row>
    <row r="88" spans="1:28" s="305" customFormat="1" hidden="1" outlineLevel="1" x14ac:dyDescent="0.25">
      <c r="A88" s="278"/>
      <c r="B88" s="279" t="str">
        <f t="shared" si="46"/>
        <v>splashbackareaacrylicaverage</v>
      </c>
      <c r="C88" s="278" t="s">
        <v>1009</v>
      </c>
      <c r="D88" s="278" t="s">
        <v>1001</v>
      </c>
      <c r="E88" s="278" t="s">
        <v>1012</v>
      </c>
      <c r="F88" s="278" t="s">
        <v>543</v>
      </c>
      <c r="G88" s="278" t="s">
        <v>11</v>
      </c>
      <c r="H88" s="290">
        <v>0.4</v>
      </c>
      <c r="I88" s="280">
        <f t="shared" si="44"/>
        <v>32.248000000000005</v>
      </c>
      <c r="J88" s="281">
        <f t="shared" si="45"/>
        <v>36.572000000000003</v>
      </c>
      <c r="K88" s="282">
        <f>IF(Notes!$B$9="Domestic",I88, IF(Notes!$B$9="Commercial",J88))*$K$69</f>
        <v>36.572000000000003</v>
      </c>
      <c r="L88" s="283">
        <f>(SUM(O88:Q88)+(K88+SUM(M88:Q88))*(INDEX($U$69:$AB$69,MATCH(Notes!$C$16,$U$3:$AB$3,0))-100%))*$L$69</f>
        <v>130.74</v>
      </c>
      <c r="M88" s="286"/>
      <c r="N88" s="286"/>
      <c r="O88" s="285">
        <v>130.74</v>
      </c>
      <c r="P88" s="285"/>
      <c r="Q88" s="285"/>
      <c r="R88" s="278"/>
      <c r="S88" s="278"/>
      <c r="T88" s="278"/>
    </row>
    <row r="89" spans="1:28" s="305" customFormat="1" hidden="1" outlineLevel="1" x14ac:dyDescent="0.25">
      <c r="A89" s="278"/>
      <c r="B89" s="279" t="str">
        <f t="shared" si="46"/>
        <v>splashbackareaacrylicquality</v>
      </c>
      <c r="C89" s="278" t="s">
        <v>1009</v>
      </c>
      <c r="D89" s="278" t="s">
        <v>1001</v>
      </c>
      <c r="E89" s="278" t="s">
        <v>1012</v>
      </c>
      <c r="F89" s="278" t="s">
        <v>544</v>
      </c>
      <c r="G89" s="278" t="s">
        <v>11</v>
      </c>
      <c r="H89" s="290">
        <v>0.4</v>
      </c>
      <c r="I89" s="280">
        <f t="shared" si="44"/>
        <v>32.248000000000005</v>
      </c>
      <c r="J89" s="281">
        <f t="shared" si="45"/>
        <v>36.572000000000003</v>
      </c>
      <c r="K89" s="282">
        <f>IF(Notes!$B$9="Domestic",I89, IF(Notes!$B$9="Commercial",J89))*$K$69</f>
        <v>36.572000000000003</v>
      </c>
      <c r="L89" s="283">
        <f>(SUM(O89:Q89)+(K89+SUM(M89:Q89))*(INDEX($U$69:$AB$69,MATCH(Notes!$C$16,$U$3:$AB$3,0))-100%))*$L$69</f>
        <v>260.08999999999997</v>
      </c>
      <c r="M89" s="286"/>
      <c r="N89" s="286"/>
      <c r="O89" s="285">
        <v>260.08999999999997</v>
      </c>
      <c r="P89" s="285"/>
      <c r="Q89" s="285"/>
      <c r="R89" s="278"/>
      <c r="S89" s="278"/>
      <c r="T89" s="278"/>
    </row>
    <row r="90" spans="1:28" s="305" customFormat="1" hidden="1" outlineLevel="1" x14ac:dyDescent="0.25">
      <c r="A90" s="278"/>
      <c r="B90" s="279" t="str">
        <f t="shared" si="46"/>
        <v>splashbackareaacrylicprestige</v>
      </c>
      <c r="C90" s="278" t="s">
        <v>1009</v>
      </c>
      <c r="D90" s="278" t="s">
        <v>1001</v>
      </c>
      <c r="E90" s="278" t="s">
        <v>1012</v>
      </c>
      <c r="F90" s="278" t="s">
        <v>545</v>
      </c>
      <c r="G90" s="278" t="s">
        <v>11</v>
      </c>
      <c r="H90" s="290">
        <v>0.4</v>
      </c>
      <c r="I90" s="280">
        <f t="shared" si="44"/>
        <v>32.248000000000005</v>
      </c>
      <c r="J90" s="281">
        <f t="shared" si="45"/>
        <v>36.572000000000003</v>
      </c>
      <c r="K90" s="282">
        <f>IF(Notes!$B$9="Domestic",I90, IF(Notes!$B$9="Commercial",J90))*$K$69</f>
        <v>36.572000000000003</v>
      </c>
      <c r="L90" s="283">
        <f>(SUM(O90:Q90)+(K90+SUM(M90:Q90))*(INDEX($U$69:$AB$69,MATCH(Notes!$C$16,$U$3:$AB$3,0))-100%))*$L$69</f>
        <v>569.47</v>
      </c>
      <c r="M90" s="286"/>
      <c r="N90" s="286"/>
      <c r="O90" s="285">
        <v>569.47</v>
      </c>
      <c r="P90" s="285"/>
      <c r="Q90" s="285"/>
      <c r="R90" s="278"/>
      <c r="S90" s="278"/>
      <c r="T90" s="278"/>
    </row>
    <row r="91" spans="1:28" ht="21" hidden="1" outlineLevel="1" x14ac:dyDescent="0.25">
      <c r="A91" s="299" t="s">
        <v>221</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row>
    <row r="92" spans="1:28" ht="15.75" hidden="1" outlineLevel="1" x14ac:dyDescent="0.25">
      <c r="A92" s="291"/>
      <c r="B92" s="291"/>
      <c r="C92" s="291"/>
      <c r="D92" s="291"/>
      <c r="E92" s="291"/>
      <c r="F92" s="291"/>
      <c r="G92" s="291"/>
      <c r="H92" s="291"/>
      <c r="I92" s="291"/>
      <c r="J92" s="291"/>
      <c r="K92" s="291">
        <f>K$2</f>
        <v>1</v>
      </c>
      <c r="L92" s="291">
        <f>L$2</f>
        <v>1</v>
      </c>
      <c r="M92" s="291"/>
      <c r="N92" s="291"/>
      <c r="O92" s="303"/>
      <c r="P92" s="303"/>
      <c r="Q92" s="303"/>
      <c r="R92" s="291"/>
      <c r="S92" s="291"/>
      <c r="T92" s="291"/>
      <c r="U92" s="291">
        <f>U$2</f>
        <v>1</v>
      </c>
      <c r="V92" s="291">
        <f>V$2</f>
        <v>1</v>
      </c>
      <c r="W92" s="291">
        <f t="shared" ref="W92:AB92" si="47">W$2</f>
        <v>1.009090909090909</v>
      </c>
      <c r="X92" s="291">
        <f t="shared" si="47"/>
        <v>1.0909090909090908</v>
      </c>
      <c r="Y92" s="291">
        <f t="shared" si="47"/>
        <v>1.1454545454545455</v>
      </c>
      <c r="Z92" s="291">
        <f t="shared" si="47"/>
        <v>1</v>
      </c>
      <c r="AA92" s="291">
        <f t="shared" si="47"/>
        <v>1</v>
      </c>
      <c r="AB92" s="291">
        <f t="shared" si="47"/>
        <v>1</v>
      </c>
    </row>
    <row r="93" spans="1:28" s="305" customFormat="1" ht="14.45" hidden="1" customHeight="1" outlineLevel="1" x14ac:dyDescent="0.25">
      <c r="A93" s="278"/>
      <c r="B93" s="279" t="str">
        <f>C93&amp;D93&amp;E93&amp;F93</f>
        <v>base cabinetenclosedstandard laminatedaverage</v>
      </c>
      <c r="C93" s="278" t="s">
        <v>988</v>
      </c>
      <c r="D93" s="278" t="s">
        <v>1025</v>
      </c>
      <c r="E93" s="278" t="s">
        <v>989</v>
      </c>
      <c r="F93" s="278" t="s">
        <v>543</v>
      </c>
      <c r="G93" s="278" t="s">
        <v>15</v>
      </c>
      <c r="H93" s="290">
        <v>1.52</v>
      </c>
      <c r="I93" s="280">
        <f>$I$2*H93</f>
        <v>122.54240000000001</v>
      </c>
      <c r="J93" s="281">
        <f>$J$2*H93</f>
        <v>138.9736</v>
      </c>
      <c r="K93" s="282">
        <f>IF(Notes!$B$9="Domestic",I93, IF(Notes!$B$9="Commercial",J93))*$K$92</f>
        <v>138.9736</v>
      </c>
      <c r="L93" s="283">
        <f>(SUM(O93:Q93)+(K93+SUM(M93:Q93))*(INDEX($U$92:$AB$92,MATCH(Notes!$C$16,$U$3:$AB$3,0))-100%))*$L$92</f>
        <v>378.02</v>
      </c>
      <c r="M93" s="286"/>
      <c r="N93" s="286"/>
      <c r="O93" s="285">
        <v>378.02</v>
      </c>
      <c r="P93" s="285"/>
      <c r="Q93" s="285"/>
      <c r="R93" s="278"/>
      <c r="S93" s="278"/>
      <c r="T93" s="278"/>
      <c r="U93" s="304"/>
    </row>
    <row r="94" spans="1:28" s="305" customFormat="1" ht="14.45" hidden="1" customHeight="1" outlineLevel="1" x14ac:dyDescent="0.25">
      <c r="A94" s="278"/>
      <c r="B94" s="279" t="str">
        <f t="shared" ref="B94:B101" si="48">C94&amp;D94&amp;E94&amp;F94</f>
        <v>base cabinetenclosedstandard laminatedquality</v>
      </c>
      <c r="C94" s="278" t="s">
        <v>988</v>
      </c>
      <c r="D94" s="278" t="s">
        <v>1025</v>
      </c>
      <c r="E94" s="278" t="s">
        <v>989</v>
      </c>
      <c r="F94" s="278" t="s">
        <v>544</v>
      </c>
      <c r="G94" s="278" t="s">
        <v>15</v>
      </c>
      <c r="H94" s="290">
        <v>1.52</v>
      </c>
      <c r="I94" s="280">
        <f>$I$2*H94</f>
        <v>122.54240000000001</v>
      </c>
      <c r="J94" s="281">
        <f t="shared" ref="J94:J101" si="49">$J$2*H94</f>
        <v>138.9736</v>
      </c>
      <c r="K94" s="282">
        <f>IF(Notes!$B$9="Domestic",I94, IF(Notes!$B$9="Commercial",J94))*$K$92</f>
        <v>138.9736</v>
      </c>
      <c r="L94" s="283">
        <f>(SUM(O94:Q94)+(K94+SUM(M94:Q94))*(INDEX($U$92:$AB$92,MATCH(Notes!$C$16,$U$3:$AB$3,0))-100%))*$L$92</f>
        <v>415.822</v>
      </c>
      <c r="M94" s="286"/>
      <c r="N94" s="286"/>
      <c r="O94" s="311">
        <f>O93*1.1</f>
        <v>415.822</v>
      </c>
      <c r="P94" s="285"/>
      <c r="Q94" s="285"/>
      <c r="R94" s="278"/>
      <c r="S94" s="278"/>
      <c r="T94" s="278"/>
      <c r="U94" s="304"/>
    </row>
    <row r="95" spans="1:28" s="305" customFormat="1" ht="14.45" hidden="1" customHeight="1" outlineLevel="1" x14ac:dyDescent="0.25">
      <c r="A95" s="278"/>
      <c r="B95" s="279" t="str">
        <f t="shared" si="48"/>
        <v>base cabinetenclosedstandard laminatedprestige</v>
      </c>
      <c r="C95" s="278" t="s">
        <v>988</v>
      </c>
      <c r="D95" s="278" t="s">
        <v>1025</v>
      </c>
      <c r="E95" s="278" t="s">
        <v>989</v>
      </c>
      <c r="F95" s="278" t="s">
        <v>545</v>
      </c>
      <c r="G95" s="278" t="s">
        <v>15</v>
      </c>
      <c r="H95" s="290">
        <v>1.52</v>
      </c>
      <c r="I95" s="280">
        <f t="shared" ref="I95:I100" si="50">$I$2*H95</f>
        <v>122.54240000000001</v>
      </c>
      <c r="J95" s="281">
        <f t="shared" si="49"/>
        <v>138.9736</v>
      </c>
      <c r="K95" s="282">
        <f>IF(Notes!$B$9="Domestic",I95, IF(Notes!$B$9="Commercial",J95))*$K$92</f>
        <v>138.9736</v>
      </c>
      <c r="L95" s="283">
        <f>(SUM(O95:Q95)+(K95+SUM(M95:Q95))*(INDEX($U$92:$AB$92,MATCH(Notes!$C$16,$U$3:$AB$3,0))-100%))*$L$92</f>
        <v>457.40420000000006</v>
      </c>
      <c r="M95" s="286"/>
      <c r="N95" s="286"/>
      <c r="O95" s="311">
        <f>O94*1.1</f>
        <v>457.40420000000006</v>
      </c>
      <c r="P95" s="285"/>
      <c r="Q95" s="285"/>
      <c r="R95" s="278"/>
      <c r="S95" s="278"/>
      <c r="T95" s="278"/>
      <c r="U95" s="304"/>
    </row>
    <row r="96" spans="1:28" s="305" customFormat="1" hidden="1" outlineLevel="1" x14ac:dyDescent="0.25">
      <c r="A96" s="278"/>
      <c r="B96" s="279" t="str">
        <f t="shared" si="48"/>
        <v>base cabinetencloseddesigner laminatedaverage</v>
      </c>
      <c r="C96" s="278" t="s">
        <v>988</v>
      </c>
      <c r="D96" s="278" t="s">
        <v>1025</v>
      </c>
      <c r="E96" s="278" t="s">
        <v>990</v>
      </c>
      <c r="F96" s="278" t="s">
        <v>543</v>
      </c>
      <c r="G96" s="278" t="s">
        <v>15</v>
      </c>
      <c r="H96" s="290">
        <v>1.52</v>
      </c>
      <c r="I96" s="280">
        <f t="shared" si="50"/>
        <v>122.54240000000001</v>
      </c>
      <c r="J96" s="281">
        <f t="shared" si="49"/>
        <v>138.9736</v>
      </c>
      <c r="K96" s="282">
        <f>IF(Notes!$B$9="Domestic",I96, IF(Notes!$B$9="Commercial",J96))*$K$92</f>
        <v>138.9736</v>
      </c>
      <c r="L96" s="283">
        <f>(SUM(O96:Q96)+(K96+SUM(M96:Q96))*(INDEX($U$92:$AB$92,MATCH(Notes!$C$16,$U$3:$AB$3,0))-100%))*$L$92</f>
        <v>489.84</v>
      </c>
      <c r="M96" s="286"/>
      <c r="N96" s="286"/>
      <c r="O96" s="285">
        <v>489.84</v>
      </c>
      <c r="P96" s="285"/>
      <c r="Q96" s="285"/>
      <c r="R96" s="278"/>
      <c r="S96" s="278"/>
      <c r="T96" s="278"/>
    </row>
    <row r="97" spans="1:20" s="305" customFormat="1" hidden="1" outlineLevel="1" x14ac:dyDescent="0.25">
      <c r="A97" s="278"/>
      <c r="B97" s="279" t="str">
        <f t="shared" si="48"/>
        <v>base cabinetencloseddesigner laminatedquality</v>
      </c>
      <c r="C97" s="278" t="s">
        <v>988</v>
      </c>
      <c r="D97" s="278" t="s">
        <v>1025</v>
      </c>
      <c r="E97" s="278" t="s">
        <v>990</v>
      </c>
      <c r="F97" s="278" t="s">
        <v>544</v>
      </c>
      <c r="G97" s="278" t="s">
        <v>15</v>
      </c>
      <c r="H97" s="290">
        <v>1.52</v>
      </c>
      <c r="I97" s="280">
        <f>$I$2*H97</f>
        <v>122.54240000000001</v>
      </c>
      <c r="J97" s="281">
        <f t="shared" si="49"/>
        <v>138.9736</v>
      </c>
      <c r="K97" s="282">
        <f>IF(Notes!$B$9="Domestic",I97, IF(Notes!$B$9="Commercial",J97))*$K$92</f>
        <v>138.9736</v>
      </c>
      <c r="L97" s="283">
        <f>(SUM(O97:Q97)+(K97+SUM(M97:Q97))*(INDEX($U$92:$AB$92,MATCH(Notes!$C$16,$U$3:$AB$3,0))-100%))*$L$92</f>
        <v>538.82400000000007</v>
      </c>
      <c r="M97" s="286"/>
      <c r="N97" s="286"/>
      <c r="O97" s="311">
        <f>O96*1.1</f>
        <v>538.82400000000007</v>
      </c>
      <c r="P97" s="285"/>
      <c r="Q97" s="285"/>
      <c r="R97" s="278"/>
      <c r="S97" s="278"/>
      <c r="T97" s="278"/>
    </row>
    <row r="98" spans="1:20" s="305" customFormat="1" hidden="1" outlineLevel="1" x14ac:dyDescent="0.25">
      <c r="A98" s="278"/>
      <c r="B98" s="279" t="str">
        <f t="shared" si="48"/>
        <v>base cabinetencloseddesigner laminatedprestige</v>
      </c>
      <c r="C98" s="278" t="s">
        <v>988</v>
      </c>
      <c r="D98" s="278" t="s">
        <v>1025</v>
      </c>
      <c r="E98" s="278" t="s">
        <v>990</v>
      </c>
      <c r="F98" s="278" t="s">
        <v>545</v>
      </c>
      <c r="G98" s="278" t="s">
        <v>15</v>
      </c>
      <c r="H98" s="290">
        <v>1.52</v>
      </c>
      <c r="I98" s="280">
        <f t="shared" si="50"/>
        <v>122.54240000000001</v>
      </c>
      <c r="J98" s="281">
        <f t="shared" si="49"/>
        <v>138.9736</v>
      </c>
      <c r="K98" s="282">
        <f>IF(Notes!$B$9="Domestic",I98, IF(Notes!$B$9="Commercial",J98))*$K$92</f>
        <v>138.9736</v>
      </c>
      <c r="L98" s="283">
        <f>(SUM(O98:Q98)+(K98+SUM(M98:Q98))*(INDEX($U$92:$AB$92,MATCH(Notes!$C$16,$U$3:$AB$3,0))-100%))*$L$92</f>
        <v>592.70640000000014</v>
      </c>
      <c r="M98" s="286"/>
      <c r="N98" s="286"/>
      <c r="O98" s="311">
        <f>O97*1.1</f>
        <v>592.70640000000014</v>
      </c>
      <c r="P98" s="285"/>
      <c r="Q98" s="285"/>
      <c r="R98" s="278"/>
      <c r="S98" s="278"/>
      <c r="T98" s="278"/>
    </row>
    <row r="99" spans="1:20" s="305" customFormat="1" hidden="1" outlineLevel="1" x14ac:dyDescent="0.25">
      <c r="A99" s="278"/>
      <c r="B99" s="279" t="str">
        <f t="shared" si="48"/>
        <v>base cabinetenclosedstandard 2 packaverage</v>
      </c>
      <c r="C99" s="278" t="s">
        <v>988</v>
      </c>
      <c r="D99" s="278" t="s">
        <v>1025</v>
      </c>
      <c r="E99" s="278" t="s">
        <v>991</v>
      </c>
      <c r="F99" s="278" t="s">
        <v>543</v>
      </c>
      <c r="G99" s="278" t="s">
        <v>15</v>
      </c>
      <c r="H99" s="290">
        <v>1.52</v>
      </c>
      <c r="I99" s="280">
        <f t="shared" si="50"/>
        <v>122.54240000000001</v>
      </c>
      <c r="J99" s="281">
        <f t="shared" si="49"/>
        <v>138.9736</v>
      </c>
      <c r="K99" s="282">
        <f>IF(Notes!$B$9="Domestic",I99, IF(Notes!$B$9="Commercial",J99))*$K$92</f>
        <v>138.9736</v>
      </c>
      <c r="L99" s="283">
        <f>(SUM(O99:Q99)+(K99+SUM(M99:Q99))*(INDEX($U$92:$AB$92,MATCH(Notes!$C$16,$U$3:$AB$3,0))-100%))*$L$92</f>
        <v>514.39</v>
      </c>
      <c r="M99" s="286"/>
      <c r="N99" s="286"/>
      <c r="O99" s="285">
        <v>514.39</v>
      </c>
      <c r="P99" s="285"/>
      <c r="Q99" s="285"/>
      <c r="R99" s="278"/>
      <c r="S99" s="278"/>
      <c r="T99" s="278"/>
    </row>
    <row r="100" spans="1:20" s="305" customFormat="1" hidden="1" outlineLevel="1" x14ac:dyDescent="0.25">
      <c r="A100" s="278"/>
      <c r="B100" s="279" t="str">
        <f t="shared" si="48"/>
        <v>base cabinetenclosedstandard 2 packquality</v>
      </c>
      <c r="C100" s="278" t="s">
        <v>988</v>
      </c>
      <c r="D100" s="278" t="s">
        <v>1025</v>
      </c>
      <c r="E100" s="278" t="s">
        <v>991</v>
      </c>
      <c r="F100" s="278" t="s">
        <v>544</v>
      </c>
      <c r="G100" s="278" t="s">
        <v>15</v>
      </c>
      <c r="H100" s="290">
        <v>1.52</v>
      </c>
      <c r="I100" s="280">
        <f t="shared" si="50"/>
        <v>122.54240000000001</v>
      </c>
      <c r="J100" s="281">
        <f t="shared" si="49"/>
        <v>138.9736</v>
      </c>
      <c r="K100" s="282">
        <f>IF(Notes!$B$9="Domestic",I100, IF(Notes!$B$9="Commercial",J100))*$K$92</f>
        <v>138.9736</v>
      </c>
      <c r="L100" s="283">
        <f>(SUM(O100:Q100)+(K100+SUM(M100:Q100))*(INDEX($U$92:$AB$92,MATCH(Notes!$C$16,$U$3:$AB$3,0))-100%))*$L$92</f>
        <v>565.82900000000006</v>
      </c>
      <c r="M100" s="286"/>
      <c r="N100" s="286"/>
      <c r="O100" s="311">
        <f>O99*1.1</f>
        <v>565.82900000000006</v>
      </c>
      <c r="P100" s="285"/>
      <c r="Q100" s="285"/>
      <c r="R100" s="278"/>
      <c r="S100" s="278"/>
      <c r="T100" s="278"/>
    </row>
    <row r="101" spans="1:20" s="305" customFormat="1" hidden="1" outlineLevel="1" x14ac:dyDescent="0.25">
      <c r="A101" s="278"/>
      <c r="B101" s="279" t="str">
        <f t="shared" si="48"/>
        <v>base cabinetenclosedstandard 2 packprestige</v>
      </c>
      <c r="C101" s="278" t="s">
        <v>988</v>
      </c>
      <c r="D101" s="278" t="s">
        <v>1025</v>
      </c>
      <c r="E101" s="278" t="s">
        <v>991</v>
      </c>
      <c r="F101" s="278" t="s">
        <v>545</v>
      </c>
      <c r="G101" s="278" t="s">
        <v>15</v>
      </c>
      <c r="H101" s="290">
        <v>1.52</v>
      </c>
      <c r="I101" s="280">
        <f>$I$2*H101</f>
        <v>122.54240000000001</v>
      </c>
      <c r="J101" s="281">
        <f t="shared" si="49"/>
        <v>138.9736</v>
      </c>
      <c r="K101" s="282">
        <f>IF(Notes!$B$9="Domestic",I101, IF(Notes!$B$9="Commercial",J101))*$K$92</f>
        <v>138.9736</v>
      </c>
      <c r="L101" s="283">
        <f>(SUM(O101:Q101)+(K101+SUM(M101:Q101))*(INDEX($U$92:$AB$92,MATCH(Notes!$C$16,$U$3:$AB$3,0))-100%))*$L$92</f>
        <v>622.41190000000017</v>
      </c>
      <c r="M101" s="286"/>
      <c r="N101" s="286"/>
      <c r="O101" s="311">
        <f>O100*1.1</f>
        <v>622.41190000000017</v>
      </c>
      <c r="P101" s="285"/>
      <c r="Q101" s="285"/>
      <c r="R101" s="278"/>
      <c r="S101" s="278"/>
      <c r="T101" s="278"/>
    </row>
    <row r="102" spans="1:20" s="305" customFormat="1" hidden="1" outlineLevel="1" x14ac:dyDescent="0.25">
      <c r="A102" s="278"/>
      <c r="B102" s="279" t="str">
        <f t="shared" ref="B102:B103" si="51">C102&amp;D102&amp;E102&amp;F102</f>
        <v>base cabinetencloseddesigner 2 packaverage</v>
      </c>
      <c r="C102" s="278" t="s">
        <v>988</v>
      </c>
      <c r="D102" s="278" t="s">
        <v>1025</v>
      </c>
      <c r="E102" s="278" t="s">
        <v>992</v>
      </c>
      <c r="F102" s="278" t="s">
        <v>543</v>
      </c>
      <c r="G102" s="278" t="s">
        <v>15</v>
      </c>
      <c r="H102" s="290">
        <v>1.52</v>
      </c>
      <c r="I102" s="280">
        <f t="shared" ref="I102:I116" si="52">$I$2*H102</f>
        <v>122.54240000000001</v>
      </c>
      <c r="J102" s="281">
        <f t="shared" ref="J102:J103" si="53">$J$2*H102</f>
        <v>138.9736</v>
      </c>
      <c r="K102" s="282">
        <f>IF(Notes!$B$9="Domestic",I102, IF(Notes!$B$9="Commercial",J102))*$K$92</f>
        <v>138.9736</v>
      </c>
      <c r="L102" s="283">
        <f>(SUM(O102:Q102)+(K102+SUM(M102:Q102))*(INDEX($U$92:$AB$92,MATCH(Notes!$C$16,$U$3:$AB$3,0))-100%))*$L$92</f>
        <v>1007.9</v>
      </c>
      <c r="M102" s="286"/>
      <c r="N102" s="286"/>
      <c r="O102" s="285">
        <v>1007.9</v>
      </c>
      <c r="P102" s="285"/>
      <c r="Q102" s="285"/>
      <c r="R102" s="278"/>
      <c r="S102" s="278"/>
      <c r="T102" s="278"/>
    </row>
    <row r="103" spans="1:20" s="305" customFormat="1" hidden="1" outlineLevel="1" x14ac:dyDescent="0.25">
      <c r="A103" s="278"/>
      <c r="B103" s="279" t="str">
        <f t="shared" si="51"/>
        <v>base cabinetencloseddesigner 2 packquality</v>
      </c>
      <c r="C103" s="278" t="s">
        <v>988</v>
      </c>
      <c r="D103" s="278" t="s">
        <v>1025</v>
      </c>
      <c r="E103" s="278" t="s">
        <v>992</v>
      </c>
      <c r="F103" s="278" t="s">
        <v>544</v>
      </c>
      <c r="G103" s="278" t="s">
        <v>15</v>
      </c>
      <c r="H103" s="290">
        <v>1.52</v>
      </c>
      <c r="I103" s="280">
        <f t="shared" si="52"/>
        <v>122.54240000000001</v>
      </c>
      <c r="J103" s="281">
        <f t="shared" si="53"/>
        <v>138.9736</v>
      </c>
      <c r="K103" s="282">
        <f>IF(Notes!$B$9="Domestic",I103, IF(Notes!$B$9="Commercial",J103))*$K$92</f>
        <v>138.9736</v>
      </c>
      <c r="L103" s="283">
        <f>(SUM(O103:Q103)+(K103+SUM(M103:Q103))*(INDEX($U$92:$AB$92,MATCH(Notes!$C$16,$U$3:$AB$3,0))-100%))*$L$92</f>
        <v>1108.69</v>
      </c>
      <c r="M103" s="286"/>
      <c r="N103" s="286"/>
      <c r="O103" s="311">
        <f>O102*1.1</f>
        <v>1108.69</v>
      </c>
      <c r="P103" s="285"/>
      <c r="Q103" s="285"/>
      <c r="R103" s="278"/>
      <c r="S103" s="278"/>
      <c r="T103" s="278"/>
    </row>
    <row r="104" spans="1:20" s="305" customFormat="1" hidden="1" outlineLevel="1" x14ac:dyDescent="0.25">
      <c r="A104" s="278"/>
      <c r="B104" s="279" t="str">
        <f t="shared" ref="B104:B116" si="54">C104&amp;D104&amp;E104&amp;F104</f>
        <v>base cabinetencloseddesigner 2 packprestige</v>
      </c>
      <c r="C104" s="278" t="s">
        <v>988</v>
      </c>
      <c r="D104" s="278" t="s">
        <v>1025</v>
      </c>
      <c r="E104" s="278" t="s">
        <v>992</v>
      </c>
      <c r="F104" s="278" t="s">
        <v>545</v>
      </c>
      <c r="G104" s="278" t="s">
        <v>15</v>
      </c>
      <c r="H104" s="290">
        <v>1.52</v>
      </c>
      <c r="I104" s="280">
        <f t="shared" si="52"/>
        <v>122.54240000000001</v>
      </c>
      <c r="J104" s="281">
        <f t="shared" ref="J104:J116" si="55">$J$2*H104</f>
        <v>138.9736</v>
      </c>
      <c r="K104" s="282">
        <f>IF(Notes!$B$9="Domestic",I104, IF(Notes!$B$9="Commercial",J104))*$K$92</f>
        <v>138.9736</v>
      </c>
      <c r="L104" s="283">
        <f>(SUM(O104:Q104)+(K104+SUM(M104:Q104))*(INDEX($U$92:$AB$92,MATCH(Notes!$C$16,$U$3:$AB$3,0))-100%))*$L$92</f>
        <v>1219.5590000000002</v>
      </c>
      <c r="M104" s="286"/>
      <c r="N104" s="286"/>
      <c r="O104" s="311">
        <f>O103*1.1</f>
        <v>1219.5590000000002</v>
      </c>
      <c r="P104" s="285"/>
      <c r="Q104" s="285"/>
      <c r="R104" s="278"/>
      <c r="S104" s="278"/>
      <c r="T104" s="278"/>
    </row>
    <row r="105" spans="1:20" s="305" customFormat="1" hidden="1" outlineLevel="1" x14ac:dyDescent="0.25">
      <c r="A105" s="278"/>
      <c r="B105" s="279" t="str">
        <f t="shared" si="54"/>
        <v>base cabinetopenstandard laminatedaverage</v>
      </c>
      <c r="C105" s="278" t="s">
        <v>988</v>
      </c>
      <c r="D105" s="278" t="s">
        <v>1026</v>
      </c>
      <c r="E105" s="278" t="s">
        <v>989</v>
      </c>
      <c r="F105" s="278" t="s">
        <v>543</v>
      </c>
      <c r="G105" s="278" t="s">
        <v>15</v>
      </c>
      <c r="H105" s="290">
        <v>1.3</v>
      </c>
      <c r="I105" s="280">
        <f t="shared" si="52"/>
        <v>104.80600000000001</v>
      </c>
      <c r="J105" s="281">
        <f t="shared" si="55"/>
        <v>118.85900000000001</v>
      </c>
      <c r="K105" s="282">
        <f>IF(Notes!$B$9="Domestic",I105, IF(Notes!$B$9="Commercial",J105))*$K$92</f>
        <v>118.85900000000001</v>
      </c>
      <c r="L105" s="283">
        <f>(SUM(O105:Q105)+(K105+SUM(M105:Q105))*(INDEX($U$92:$AB$92,MATCH(Notes!$C$16,$U$3:$AB$3,0))-100%))*$L$92</f>
        <v>491.42599999999999</v>
      </c>
      <c r="M105" s="286"/>
      <c r="N105" s="286"/>
      <c r="O105" s="311">
        <f>O93*1.3</f>
        <v>491.42599999999999</v>
      </c>
      <c r="P105" s="285"/>
      <c r="Q105" s="285"/>
      <c r="R105" s="278"/>
      <c r="S105" s="278"/>
      <c r="T105" s="278"/>
    </row>
    <row r="106" spans="1:20" s="305" customFormat="1" hidden="1" outlineLevel="1" x14ac:dyDescent="0.25">
      <c r="A106" s="278"/>
      <c r="B106" s="279" t="str">
        <f t="shared" si="54"/>
        <v>base cabinetopenstandard laminatedquality</v>
      </c>
      <c r="C106" s="278" t="s">
        <v>988</v>
      </c>
      <c r="D106" s="278" t="s">
        <v>1026</v>
      </c>
      <c r="E106" s="278" t="s">
        <v>989</v>
      </c>
      <c r="F106" s="278" t="s">
        <v>544</v>
      </c>
      <c r="G106" s="278" t="s">
        <v>15</v>
      </c>
      <c r="H106" s="290">
        <v>1.3</v>
      </c>
      <c r="I106" s="280">
        <f t="shared" si="52"/>
        <v>104.80600000000001</v>
      </c>
      <c r="J106" s="281">
        <f t="shared" si="55"/>
        <v>118.85900000000001</v>
      </c>
      <c r="K106" s="282">
        <f>IF(Notes!$B$9="Domestic",I106, IF(Notes!$B$9="Commercial",J106))*$K$92</f>
        <v>118.85900000000001</v>
      </c>
      <c r="L106" s="283">
        <f>(SUM(O106:Q106)+(K106+SUM(M106:Q106))*(INDEX($U$92:$AB$92,MATCH(Notes!$C$16,$U$3:$AB$3,0))-100%))*$L$92</f>
        <v>540.56860000000006</v>
      </c>
      <c r="M106" s="286"/>
      <c r="N106" s="286"/>
      <c r="O106" s="311">
        <f t="shared" ref="O106:O116" si="56">O94*1.3</f>
        <v>540.56860000000006</v>
      </c>
      <c r="P106" s="285"/>
      <c r="Q106" s="285"/>
      <c r="R106" s="278"/>
      <c r="S106" s="278"/>
      <c r="T106" s="278"/>
    </row>
    <row r="107" spans="1:20" s="305" customFormat="1" hidden="1" outlineLevel="1" x14ac:dyDescent="0.25">
      <c r="A107" s="278"/>
      <c r="B107" s="279" t="str">
        <f t="shared" si="54"/>
        <v>base cabinetopenstandard laminatedprestige</v>
      </c>
      <c r="C107" s="278" t="s">
        <v>988</v>
      </c>
      <c r="D107" s="278" t="s">
        <v>1026</v>
      </c>
      <c r="E107" s="278" t="s">
        <v>989</v>
      </c>
      <c r="F107" s="278" t="s">
        <v>545</v>
      </c>
      <c r="G107" s="278" t="s">
        <v>15</v>
      </c>
      <c r="H107" s="290">
        <v>1.3</v>
      </c>
      <c r="I107" s="280">
        <f t="shared" si="52"/>
        <v>104.80600000000001</v>
      </c>
      <c r="J107" s="281">
        <f t="shared" si="55"/>
        <v>118.85900000000001</v>
      </c>
      <c r="K107" s="282">
        <f>IF(Notes!$B$9="Domestic",I107, IF(Notes!$B$9="Commercial",J107))*$K$92</f>
        <v>118.85900000000001</v>
      </c>
      <c r="L107" s="283">
        <f>(SUM(O107:Q107)+(K107+SUM(M107:Q107))*(INDEX($U$92:$AB$92,MATCH(Notes!$C$16,$U$3:$AB$3,0))-100%))*$L$92</f>
        <v>594.62546000000009</v>
      </c>
      <c r="M107" s="286"/>
      <c r="N107" s="286"/>
      <c r="O107" s="311">
        <f t="shared" si="56"/>
        <v>594.62546000000009</v>
      </c>
      <c r="P107" s="285"/>
      <c r="Q107" s="285"/>
      <c r="R107" s="278"/>
      <c r="S107" s="278"/>
      <c r="T107" s="278"/>
    </row>
    <row r="108" spans="1:20" s="305" customFormat="1" hidden="1" outlineLevel="1" x14ac:dyDescent="0.25">
      <c r="A108" s="278"/>
      <c r="B108" s="279" t="str">
        <f t="shared" si="54"/>
        <v>base cabinetopendesigner laminatedaverage</v>
      </c>
      <c r="C108" s="278" t="s">
        <v>988</v>
      </c>
      <c r="D108" s="278" t="s">
        <v>1026</v>
      </c>
      <c r="E108" s="278" t="s">
        <v>990</v>
      </c>
      <c r="F108" s="278" t="s">
        <v>543</v>
      </c>
      <c r="G108" s="278" t="s">
        <v>15</v>
      </c>
      <c r="H108" s="290">
        <v>1.3</v>
      </c>
      <c r="I108" s="280">
        <f t="shared" si="52"/>
        <v>104.80600000000001</v>
      </c>
      <c r="J108" s="281">
        <f t="shared" si="55"/>
        <v>118.85900000000001</v>
      </c>
      <c r="K108" s="282">
        <f>IF(Notes!$B$9="Domestic",I108, IF(Notes!$B$9="Commercial",J108))*$K$92</f>
        <v>118.85900000000001</v>
      </c>
      <c r="L108" s="283">
        <f>(SUM(O108:Q108)+(K108+SUM(M108:Q108))*(INDEX($U$92:$AB$92,MATCH(Notes!$C$16,$U$3:$AB$3,0))-100%))*$L$92</f>
        <v>636.79200000000003</v>
      </c>
      <c r="M108" s="286"/>
      <c r="N108" s="286"/>
      <c r="O108" s="311">
        <f t="shared" si="56"/>
        <v>636.79200000000003</v>
      </c>
      <c r="P108" s="285"/>
      <c r="Q108" s="285"/>
      <c r="R108" s="278"/>
      <c r="S108" s="278"/>
      <c r="T108" s="278"/>
    </row>
    <row r="109" spans="1:20" s="305" customFormat="1" hidden="1" outlineLevel="1" x14ac:dyDescent="0.25">
      <c r="A109" s="278"/>
      <c r="B109" s="279" t="str">
        <f t="shared" si="54"/>
        <v>base cabinetopendesigner laminatedquality</v>
      </c>
      <c r="C109" s="278" t="s">
        <v>988</v>
      </c>
      <c r="D109" s="278" t="s">
        <v>1026</v>
      </c>
      <c r="E109" s="278" t="s">
        <v>990</v>
      </c>
      <c r="F109" s="278" t="s">
        <v>544</v>
      </c>
      <c r="G109" s="278" t="s">
        <v>15</v>
      </c>
      <c r="H109" s="290">
        <v>1.3</v>
      </c>
      <c r="I109" s="280">
        <f t="shared" si="52"/>
        <v>104.80600000000001</v>
      </c>
      <c r="J109" s="281">
        <f t="shared" si="55"/>
        <v>118.85900000000001</v>
      </c>
      <c r="K109" s="282">
        <f>IF(Notes!$B$9="Domestic",I109, IF(Notes!$B$9="Commercial",J109))*$K$92</f>
        <v>118.85900000000001</v>
      </c>
      <c r="L109" s="283">
        <f>(SUM(O109:Q109)+(K109+SUM(M109:Q109))*(INDEX($U$92:$AB$92,MATCH(Notes!$C$16,$U$3:$AB$3,0))-100%))*$L$92</f>
        <v>700.47120000000007</v>
      </c>
      <c r="M109" s="286"/>
      <c r="N109" s="286"/>
      <c r="O109" s="311">
        <f t="shared" si="56"/>
        <v>700.47120000000007</v>
      </c>
      <c r="P109" s="285"/>
      <c r="Q109" s="285"/>
      <c r="R109" s="278"/>
      <c r="S109" s="278"/>
      <c r="T109" s="278"/>
    </row>
    <row r="110" spans="1:20" s="305" customFormat="1" hidden="1" outlineLevel="1" x14ac:dyDescent="0.25">
      <c r="A110" s="278"/>
      <c r="B110" s="279" t="str">
        <f t="shared" si="54"/>
        <v>base cabinetopendesigner laminatedprestige</v>
      </c>
      <c r="C110" s="278" t="s">
        <v>988</v>
      </c>
      <c r="D110" s="278" t="s">
        <v>1026</v>
      </c>
      <c r="E110" s="278" t="s">
        <v>990</v>
      </c>
      <c r="F110" s="278" t="s">
        <v>545</v>
      </c>
      <c r="G110" s="278" t="s">
        <v>15</v>
      </c>
      <c r="H110" s="290">
        <v>1.3</v>
      </c>
      <c r="I110" s="280">
        <f t="shared" si="52"/>
        <v>104.80600000000001</v>
      </c>
      <c r="J110" s="281">
        <f t="shared" si="55"/>
        <v>118.85900000000001</v>
      </c>
      <c r="K110" s="282">
        <f>IF(Notes!$B$9="Domestic",I110, IF(Notes!$B$9="Commercial",J110))*$K$92</f>
        <v>118.85900000000001</v>
      </c>
      <c r="L110" s="283">
        <f>(SUM(O110:Q110)+(K110+SUM(M110:Q110))*(INDEX($U$92:$AB$92,MATCH(Notes!$C$16,$U$3:$AB$3,0))-100%))*$L$92</f>
        <v>770.51832000000024</v>
      </c>
      <c r="M110" s="286"/>
      <c r="N110" s="286"/>
      <c r="O110" s="311">
        <f t="shared" si="56"/>
        <v>770.51832000000024</v>
      </c>
      <c r="P110" s="285"/>
      <c r="Q110" s="285"/>
      <c r="R110" s="278"/>
      <c r="S110" s="278"/>
      <c r="T110" s="278"/>
    </row>
    <row r="111" spans="1:20" s="305" customFormat="1" hidden="1" outlineLevel="1" x14ac:dyDescent="0.25">
      <c r="A111" s="278"/>
      <c r="B111" s="279" t="str">
        <f t="shared" si="54"/>
        <v>base cabinetopenstandard 2 packaverage</v>
      </c>
      <c r="C111" s="278" t="s">
        <v>988</v>
      </c>
      <c r="D111" s="278" t="s">
        <v>1026</v>
      </c>
      <c r="E111" s="278" t="s">
        <v>991</v>
      </c>
      <c r="F111" s="278" t="s">
        <v>543</v>
      </c>
      <c r="G111" s="278" t="s">
        <v>15</v>
      </c>
      <c r="H111" s="290">
        <v>1.3</v>
      </c>
      <c r="I111" s="280">
        <f t="shared" si="52"/>
        <v>104.80600000000001</v>
      </c>
      <c r="J111" s="281">
        <f t="shared" si="55"/>
        <v>118.85900000000001</v>
      </c>
      <c r="K111" s="282">
        <f>IF(Notes!$B$9="Domestic",I111, IF(Notes!$B$9="Commercial",J111))*$K$92</f>
        <v>118.85900000000001</v>
      </c>
      <c r="L111" s="283">
        <f>(SUM(O111:Q111)+(K111+SUM(M111:Q111))*(INDEX($U$92:$AB$92,MATCH(Notes!$C$16,$U$3:$AB$3,0))-100%))*$L$92</f>
        <v>668.70699999999999</v>
      </c>
      <c r="M111" s="286"/>
      <c r="N111" s="286"/>
      <c r="O111" s="311">
        <f t="shared" si="56"/>
        <v>668.70699999999999</v>
      </c>
      <c r="P111" s="285"/>
      <c r="Q111" s="285"/>
      <c r="R111" s="278"/>
      <c r="S111" s="278"/>
      <c r="T111" s="278"/>
    </row>
    <row r="112" spans="1:20" s="305" customFormat="1" hidden="1" outlineLevel="1" x14ac:dyDescent="0.25">
      <c r="A112" s="278"/>
      <c r="B112" s="279" t="str">
        <f t="shared" si="54"/>
        <v>base cabinetopenstandard 2 packquality</v>
      </c>
      <c r="C112" s="278" t="s">
        <v>988</v>
      </c>
      <c r="D112" s="278" t="s">
        <v>1026</v>
      </c>
      <c r="E112" s="278" t="s">
        <v>991</v>
      </c>
      <c r="F112" s="278" t="s">
        <v>544</v>
      </c>
      <c r="G112" s="278" t="s">
        <v>15</v>
      </c>
      <c r="H112" s="290">
        <v>1.3</v>
      </c>
      <c r="I112" s="280">
        <f t="shared" si="52"/>
        <v>104.80600000000001</v>
      </c>
      <c r="J112" s="281">
        <f t="shared" si="55"/>
        <v>118.85900000000001</v>
      </c>
      <c r="K112" s="282">
        <f>IF(Notes!$B$9="Domestic",I112, IF(Notes!$B$9="Commercial",J112))*$K$92</f>
        <v>118.85900000000001</v>
      </c>
      <c r="L112" s="283">
        <f>(SUM(O112:Q112)+(K112+SUM(M112:Q112))*(INDEX($U$92:$AB$92,MATCH(Notes!$C$16,$U$3:$AB$3,0))-100%))*$L$92</f>
        <v>735.57770000000016</v>
      </c>
      <c r="M112" s="286"/>
      <c r="N112" s="286"/>
      <c r="O112" s="311">
        <f t="shared" si="56"/>
        <v>735.57770000000016</v>
      </c>
      <c r="P112" s="285"/>
      <c r="Q112" s="285"/>
      <c r="R112" s="278"/>
      <c r="S112" s="278"/>
      <c r="T112" s="278"/>
    </row>
    <row r="113" spans="1:28" s="305" customFormat="1" hidden="1" outlineLevel="1" x14ac:dyDescent="0.25">
      <c r="A113" s="278"/>
      <c r="B113" s="279" t="str">
        <f t="shared" si="54"/>
        <v>base cabinetopenstandard 2 packprestige</v>
      </c>
      <c r="C113" s="278" t="s">
        <v>988</v>
      </c>
      <c r="D113" s="278" t="s">
        <v>1026</v>
      </c>
      <c r="E113" s="278" t="s">
        <v>991</v>
      </c>
      <c r="F113" s="278" t="s">
        <v>545</v>
      </c>
      <c r="G113" s="278" t="s">
        <v>15</v>
      </c>
      <c r="H113" s="290">
        <v>1.3</v>
      </c>
      <c r="I113" s="280">
        <f t="shared" si="52"/>
        <v>104.80600000000001</v>
      </c>
      <c r="J113" s="281">
        <f t="shared" si="55"/>
        <v>118.85900000000001</v>
      </c>
      <c r="K113" s="282">
        <f>IF(Notes!$B$9="Domestic",I113, IF(Notes!$B$9="Commercial",J113))*$K$92</f>
        <v>118.85900000000001</v>
      </c>
      <c r="L113" s="283">
        <f>(SUM(O113:Q113)+(K113+SUM(M113:Q113))*(INDEX($U$92:$AB$92,MATCH(Notes!$C$16,$U$3:$AB$3,0))-100%))*$L$92</f>
        <v>809.13547000000028</v>
      </c>
      <c r="M113" s="286"/>
      <c r="N113" s="286"/>
      <c r="O113" s="311">
        <f t="shared" si="56"/>
        <v>809.13547000000028</v>
      </c>
      <c r="P113" s="285"/>
      <c r="Q113" s="285"/>
      <c r="R113" s="278"/>
      <c r="S113" s="278"/>
      <c r="T113" s="278"/>
    </row>
    <row r="114" spans="1:28" s="305" customFormat="1" hidden="1" outlineLevel="1" x14ac:dyDescent="0.25">
      <c r="A114" s="278"/>
      <c r="B114" s="279" t="str">
        <f t="shared" si="54"/>
        <v>base cabinetopendesigner 2 packaverage</v>
      </c>
      <c r="C114" s="278" t="s">
        <v>988</v>
      </c>
      <c r="D114" s="278" t="s">
        <v>1026</v>
      </c>
      <c r="E114" s="278" t="s">
        <v>992</v>
      </c>
      <c r="F114" s="278" t="s">
        <v>543</v>
      </c>
      <c r="G114" s="278" t="s">
        <v>15</v>
      </c>
      <c r="H114" s="290">
        <v>1.3</v>
      </c>
      <c r="I114" s="280">
        <f t="shared" si="52"/>
        <v>104.80600000000001</v>
      </c>
      <c r="J114" s="281">
        <f t="shared" si="55"/>
        <v>118.85900000000001</v>
      </c>
      <c r="K114" s="282">
        <f>IF(Notes!$B$9="Domestic",I114, IF(Notes!$B$9="Commercial",J114))*$K$92</f>
        <v>118.85900000000001</v>
      </c>
      <c r="L114" s="283">
        <f>(SUM(O114:Q114)+(K114+SUM(M114:Q114))*(INDEX($U$92:$AB$92,MATCH(Notes!$C$16,$U$3:$AB$3,0))-100%))*$L$92</f>
        <v>1310.27</v>
      </c>
      <c r="M114" s="286"/>
      <c r="N114" s="286"/>
      <c r="O114" s="311">
        <f t="shared" si="56"/>
        <v>1310.27</v>
      </c>
      <c r="P114" s="285"/>
      <c r="Q114" s="285"/>
      <c r="R114" s="278"/>
      <c r="S114" s="278"/>
      <c r="T114" s="278"/>
    </row>
    <row r="115" spans="1:28" s="305" customFormat="1" hidden="1" outlineLevel="1" x14ac:dyDescent="0.25">
      <c r="A115" s="278"/>
      <c r="B115" s="279" t="str">
        <f t="shared" si="54"/>
        <v>base cabinetopendesigner 2 packquality</v>
      </c>
      <c r="C115" s="278" t="s">
        <v>988</v>
      </c>
      <c r="D115" s="278" t="s">
        <v>1026</v>
      </c>
      <c r="E115" s="278" t="s">
        <v>992</v>
      </c>
      <c r="F115" s="278" t="s">
        <v>544</v>
      </c>
      <c r="G115" s="278" t="s">
        <v>15</v>
      </c>
      <c r="H115" s="290">
        <v>1.3</v>
      </c>
      <c r="I115" s="280">
        <f t="shared" si="52"/>
        <v>104.80600000000001</v>
      </c>
      <c r="J115" s="281">
        <f t="shared" si="55"/>
        <v>118.85900000000001</v>
      </c>
      <c r="K115" s="282">
        <f>IF(Notes!$B$9="Domestic",I115, IF(Notes!$B$9="Commercial",J115))*$K$92</f>
        <v>118.85900000000001</v>
      </c>
      <c r="L115" s="283">
        <f>(SUM(O115:Q115)+(K115+SUM(M115:Q115))*(INDEX($U$92:$AB$92,MATCH(Notes!$C$16,$U$3:$AB$3,0))-100%))*$L$92</f>
        <v>1441.297</v>
      </c>
      <c r="M115" s="286"/>
      <c r="N115" s="286"/>
      <c r="O115" s="311">
        <f t="shared" si="56"/>
        <v>1441.297</v>
      </c>
      <c r="P115" s="285"/>
      <c r="Q115" s="285"/>
      <c r="R115" s="278"/>
      <c r="S115" s="278"/>
      <c r="T115" s="278"/>
    </row>
    <row r="116" spans="1:28" s="305" customFormat="1" hidden="1" outlineLevel="1" x14ac:dyDescent="0.25">
      <c r="A116" s="278"/>
      <c r="B116" s="279" t="str">
        <f t="shared" si="54"/>
        <v>base cabinetopendesigner 2 packprestige</v>
      </c>
      <c r="C116" s="278" t="s">
        <v>988</v>
      </c>
      <c r="D116" s="278" t="s">
        <v>1026</v>
      </c>
      <c r="E116" s="278" t="s">
        <v>992</v>
      </c>
      <c r="F116" s="278" t="s">
        <v>545</v>
      </c>
      <c r="G116" s="278" t="s">
        <v>15</v>
      </c>
      <c r="H116" s="290">
        <v>1.3</v>
      </c>
      <c r="I116" s="280">
        <f t="shared" si="52"/>
        <v>104.80600000000001</v>
      </c>
      <c r="J116" s="281">
        <f t="shared" si="55"/>
        <v>118.85900000000001</v>
      </c>
      <c r="K116" s="282">
        <f>IF(Notes!$B$9="Domestic",I116, IF(Notes!$B$9="Commercial",J116))*$K$92</f>
        <v>118.85900000000001</v>
      </c>
      <c r="L116" s="283">
        <f>(SUM(O116:Q116)+(K116+SUM(M116:Q116))*(INDEX($U$92:$AB$92,MATCH(Notes!$C$16,$U$3:$AB$3,0))-100%))*$L$92</f>
        <v>1585.4267000000002</v>
      </c>
      <c r="M116" s="286"/>
      <c r="N116" s="286"/>
      <c r="O116" s="311">
        <f t="shared" si="56"/>
        <v>1585.4267000000002</v>
      </c>
      <c r="P116" s="285"/>
      <c r="Q116" s="285"/>
      <c r="R116" s="278"/>
      <c r="S116" s="278"/>
      <c r="T116" s="278"/>
    </row>
    <row r="117" spans="1:28" ht="21" hidden="1" outlineLevel="1" x14ac:dyDescent="0.25">
      <c r="A117" s="299" t="s">
        <v>247</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row>
    <row r="118" spans="1:28" ht="15.75" hidden="1" outlineLevel="1" x14ac:dyDescent="0.25">
      <c r="A118" s="291"/>
      <c r="B118" s="291"/>
      <c r="C118" s="291"/>
      <c r="D118" s="291"/>
      <c r="E118" s="291"/>
      <c r="F118" s="291"/>
      <c r="G118" s="291"/>
      <c r="H118" s="291"/>
      <c r="I118" s="291"/>
      <c r="J118" s="291"/>
      <c r="K118" s="291">
        <f>K$2</f>
        <v>1</v>
      </c>
      <c r="L118" s="291">
        <f>L$2</f>
        <v>1</v>
      </c>
      <c r="M118" s="291"/>
      <c r="N118" s="291"/>
      <c r="O118" s="303"/>
      <c r="P118" s="303"/>
      <c r="Q118" s="303"/>
      <c r="R118" s="291"/>
      <c r="S118" s="291"/>
      <c r="T118" s="291"/>
      <c r="U118" s="291">
        <f>U$2</f>
        <v>1</v>
      </c>
      <c r="V118" s="291">
        <f>V$2</f>
        <v>1</v>
      </c>
      <c r="W118" s="291">
        <f t="shared" ref="W118:AB118" si="57">W$2</f>
        <v>1.009090909090909</v>
      </c>
      <c r="X118" s="291">
        <f t="shared" si="57"/>
        <v>1.0909090909090908</v>
      </c>
      <c r="Y118" s="291">
        <f t="shared" si="57"/>
        <v>1.1454545454545455</v>
      </c>
      <c r="Z118" s="291">
        <f t="shared" si="57"/>
        <v>1</v>
      </c>
      <c r="AA118" s="291">
        <f t="shared" si="57"/>
        <v>1</v>
      </c>
      <c r="AB118" s="291">
        <f t="shared" si="57"/>
        <v>1</v>
      </c>
    </row>
    <row r="119" spans="1:28" s="305" customFormat="1" ht="14.45" hidden="1" customHeight="1" outlineLevel="1" x14ac:dyDescent="0.25">
      <c r="A119" s="278"/>
      <c r="B119" s="279" t="str">
        <f>C119&amp;D119&amp;E119&amp;F119</f>
        <v>top cabinetenclosedstandard laminatedaverage</v>
      </c>
      <c r="C119" s="278" t="s">
        <v>993</v>
      </c>
      <c r="D119" s="278" t="s">
        <v>1025</v>
      </c>
      <c r="E119" s="278" t="s">
        <v>989</v>
      </c>
      <c r="F119" s="278" t="s">
        <v>543</v>
      </c>
      <c r="G119" s="278" t="s">
        <v>15</v>
      </c>
      <c r="H119" s="290">
        <v>1.52</v>
      </c>
      <c r="I119" s="280">
        <f>$I$2*H119</f>
        <v>122.54240000000001</v>
      </c>
      <c r="J119" s="281">
        <f>$J$2*H119</f>
        <v>138.9736</v>
      </c>
      <c r="K119" s="282">
        <f>IF(Notes!$B$9="Domestic",I119, IF(Notes!$B$9="Commercial",J119))*$K$118</f>
        <v>138.9736</v>
      </c>
      <c r="L119" s="283">
        <f>(SUM(O119:Q119)+(K119+SUM(M119:Q119))*(INDEX($U$118:$AB$118,MATCH(Notes!$C$16,$U$3:$AB$3,0))-100%))*$L$118</f>
        <v>378.04</v>
      </c>
      <c r="M119" s="286"/>
      <c r="N119" s="286"/>
      <c r="O119" s="285">
        <v>378.04</v>
      </c>
      <c r="P119" s="285"/>
      <c r="Q119" s="285"/>
      <c r="R119" s="278"/>
      <c r="S119" s="278"/>
      <c r="T119" s="278"/>
      <c r="U119" s="304"/>
    </row>
    <row r="120" spans="1:28" s="305" customFormat="1" ht="14.45" hidden="1" customHeight="1" outlineLevel="1" x14ac:dyDescent="0.25">
      <c r="A120" s="278"/>
      <c r="B120" s="279" t="str">
        <f t="shared" ref="B120:B126" si="58">C120&amp;D120&amp;E120&amp;F120</f>
        <v>top cabinetenclosedstandard laminatedquality</v>
      </c>
      <c r="C120" s="278" t="s">
        <v>993</v>
      </c>
      <c r="D120" s="278" t="s">
        <v>1025</v>
      </c>
      <c r="E120" s="278" t="s">
        <v>989</v>
      </c>
      <c r="F120" s="278" t="s">
        <v>544</v>
      </c>
      <c r="G120" s="278" t="s">
        <v>15</v>
      </c>
      <c r="H120" s="290">
        <v>1.52</v>
      </c>
      <c r="I120" s="280">
        <f t="shared" ref="I120:I126" si="59">$I$2*H120</f>
        <v>122.54240000000001</v>
      </c>
      <c r="J120" s="281">
        <f t="shared" ref="J120:J126" si="60">$J$2*H120</f>
        <v>138.9736</v>
      </c>
      <c r="K120" s="282">
        <f>IF(Notes!$B$9="Domestic",I120, IF(Notes!$B$9="Commercial",J120))*$K$118</f>
        <v>138.9736</v>
      </c>
      <c r="L120" s="283">
        <f>(SUM(O120:Q120)+(K120+SUM(M120:Q120))*(INDEX($U$118:$AB$118,MATCH(Notes!$C$16,$U$3:$AB$3,0))-100%))*$L$118</f>
        <v>415.84400000000005</v>
      </c>
      <c r="M120" s="286"/>
      <c r="N120" s="286"/>
      <c r="O120" s="311">
        <f>O119*1.1</f>
        <v>415.84400000000005</v>
      </c>
      <c r="P120" s="285"/>
      <c r="Q120" s="285"/>
      <c r="R120" s="278"/>
      <c r="S120" s="278"/>
      <c r="T120" s="278"/>
      <c r="U120" s="304"/>
    </row>
    <row r="121" spans="1:28" s="305" customFormat="1" ht="14.45" hidden="1" customHeight="1" outlineLevel="1" x14ac:dyDescent="0.25">
      <c r="A121" s="278"/>
      <c r="B121" s="279" t="str">
        <f t="shared" si="58"/>
        <v>top cabinetenclosedstandard laminatedprestige</v>
      </c>
      <c r="C121" s="278" t="s">
        <v>993</v>
      </c>
      <c r="D121" s="278" t="s">
        <v>1025</v>
      </c>
      <c r="E121" s="278" t="s">
        <v>989</v>
      </c>
      <c r="F121" s="278" t="s">
        <v>545</v>
      </c>
      <c r="G121" s="278" t="s">
        <v>15</v>
      </c>
      <c r="H121" s="290">
        <v>1.52</v>
      </c>
      <c r="I121" s="280">
        <f>$I$2*H121</f>
        <v>122.54240000000001</v>
      </c>
      <c r="J121" s="281">
        <f t="shared" si="60"/>
        <v>138.9736</v>
      </c>
      <c r="K121" s="282">
        <f>IF(Notes!$B$9="Domestic",I121, IF(Notes!$B$9="Commercial",J121))*$K$118</f>
        <v>138.9736</v>
      </c>
      <c r="L121" s="283">
        <f>(SUM(O121:Q121)+(K121+SUM(M121:Q121))*(INDEX($U$118:$AB$118,MATCH(Notes!$C$16,$U$3:$AB$3,0))-100%))*$L$118</f>
        <v>457.42840000000007</v>
      </c>
      <c r="M121" s="286"/>
      <c r="N121" s="286"/>
      <c r="O121" s="311">
        <f>O120*1.1</f>
        <v>457.42840000000007</v>
      </c>
      <c r="P121" s="285"/>
      <c r="Q121" s="285"/>
      <c r="R121" s="278"/>
      <c r="S121" s="278"/>
      <c r="T121" s="278"/>
      <c r="U121" s="304"/>
    </row>
    <row r="122" spans="1:28" s="305" customFormat="1" ht="14.45" hidden="1" customHeight="1" outlineLevel="1" x14ac:dyDescent="0.25">
      <c r="A122" s="278"/>
      <c r="B122" s="279" t="str">
        <f t="shared" si="58"/>
        <v>top cabinetencloseddesigner laminatedaverage</v>
      </c>
      <c r="C122" s="278" t="s">
        <v>993</v>
      </c>
      <c r="D122" s="278" t="s">
        <v>1025</v>
      </c>
      <c r="E122" s="278" t="s">
        <v>990</v>
      </c>
      <c r="F122" s="278" t="s">
        <v>543</v>
      </c>
      <c r="G122" s="278" t="s">
        <v>15</v>
      </c>
      <c r="H122" s="290">
        <v>1.52</v>
      </c>
      <c r="I122" s="280">
        <f t="shared" si="59"/>
        <v>122.54240000000001</v>
      </c>
      <c r="J122" s="281">
        <f t="shared" si="60"/>
        <v>138.9736</v>
      </c>
      <c r="K122" s="282">
        <f>IF(Notes!$B$9="Domestic",I122, IF(Notes!$B$9="Commercial",J122))*$K$118</f>
        <v>138.9736</v>
      </c>
      <c r="L122" s="283">
        <f>(SUM(O122:Q122)+(K122+SUM(M122:Q122))*(INDEX($U$118:$AB$118,MATCH(Notes!$C$16,$U$3:$AB$3,0))-100%))*$L$118</f>
        <v>489.86</v>
      </c>
      <c r="M122" s="286"/>
      <c r="N122" s="286"/>
      <c r="O122" s="285">
        <v>489.86</v>
      </c>
      <c r="P122" s="285"/>
      <c r="Q122" s="285"/>
      <c r="R122" s="278"/>
      <c r="S122" s="278"/>
      <c r="T122" s="278"/>
    </row>
    <row r="123" spans="1:28" s="305" customFormat="1" ht="14.45" hidden="1" customHeight="1" outlineLevel="1" x14ac:dyDescent="0.25">
      <c r="A123" s="278"/>
      <c r="B123" s="279" t="str">
        <f t="shared" si="58"/>
        <v>top cabinetencloseddesigner laminatedquality</v>
      </c>
      <c r="C123" s="278" t="s">
        <v>993</v>
      </c>
      <c r="D123" s="278" t="s">
        <v>1025</v>
      </c>
      <c r="E123" s="278" t="s">
        <v>990</v>
      </c>
      <c r="F123" s="278" t="s">
        <v>544</v>
      </c>
      <c r="G123" s="278" t="s">
        <v>15</v>
      </c>
      <c r="H123" s="290">
        <v>1.52</v>
      </c>
      <c r="I123" s="280">
        <f>$I$2*H123</f>
        <v>122.54240000000001</v>
      </c>
      <c r="J123" s="281">
        <f t="shared" si="60"/>
        <v>138.9736</v>
      </c>
      <c r="K123" s="282">
        <f>IF(Notes!$B$9="Domestic",I123, IF(Notes!$B$9="Commercial",J123))*$K$118</f>
        <v>138.9736</v>
      </c>
      <c r="L123" s="283">
        <f>(SUM(O123:Q123)+(K123+SUM(M123:Q123))*(INDEX($U$118:$AB$118,MATCH(Notes!$C$16,$U$3:$AB$3,0))-100%))*$L$118</f>
        <v>538.846</v>
      </c>
      <c r="M123" s="286"/>
      <c r="N123" s="286"/>
      <c r="O123" s="311">
        <f>O122*1.1</f>
        <v>538.846</v>
      </c>
      <c r="P123" s="285"/>
      <c r="Q123" s="285"/>
      <c r="R123" s="278"/>
      <c r="S123" s="278"/>
      <c r="T123" s="278"/>
    </row>
    <row r="124" spans="1:28" s="305" customFormat="1" ht="14.45" hidden="1" customHeight="1" outlineLevel="1" x14ac:dyDescent="0.25">
      <c r="A124" s="278"/>
      <c r="B124" s="279" t="str">
        <f t="shared" si="58"/>
        <v>top cabinetencloseddesigner laminatedprestige</v>
      </c>
      <c r="C124" s="278" t="s">
        <v>993</v>
      </c>
      <c r="D124" s="278" t="s">
        <v>1025</v>
      </c>
      <c r="E124" s="278" t="s">
        <v>990</v>
      </c>
      <c r="F124" s="278" t="s">
        <v>545</v>
      </c>
      <c r="G124" s="278" t="s">
        <v>15</v>
      </c>
      <c r="H124" s="290">
        <v>1.52</v>
      </c>
      <c r="I124" s="280">
        <f t="shared" si="59"/>
        <v>122.54240000000001</v>
      </c>
      <c r="J124" s="281">
        <f t="shared" si="60"/>
        <v>138.9736</v>
      </c>
      <c r="K124" s="282">
        <f>IF(Notes!$B$9="Domestic",I124, IF(Notes!$B$9="Commercial",J124))*$K$118</f>
        <v>138.9736</v>
      </c>
      <c r="L124" s="283">
        <f>(SUM(O124:Q124)+(K124+SUM(M124:Q124))*(INDEX($U$118:$AB$118,MATCH(Notes!$C$16,$U$3:$AB$3,0))-100%))*$L$118</f>
        <v>592.73060000000009</v>
      </c>
      <c r="M124" s="286"/>
      <c r="N124" s="286"/>
      <c r="O124" s="311">
        <f>O123*1.1</f>
        <v>592.73060000000009</v>
      </c>
      <c r="P124" s="285"/>
      <c r="Q124" s="285"/>
      <c r="R124" s="278"/>
      <c r="S124" s="278"/>
      <c r="T124" s="278"/>
    </row>
    <row r="125" spans="1:28" s="305" customFormat="1" ht="14.45" hidden="1" customHeight="1" outlineLevel="1" x14ac:dyDescent="0.25">
      <c r="A125" s="278"/>
      <c r="B125" s="279" t="str">
        <f t="shared" si="58"/>
        <v>top cabinetenclosedstandard 2 packaverage</v>
      </c>
      <c r="C125" s="278" t="s">
        <v>993</v>
      </c>
      <c r="D125" s="278" t="s">
        <v>1025</v>
      </c>
      <c r="E125" s="278" t="s">
        <v>991</v>
      </c>
      <c r="F125" s="278" t="s">
        <v>543</v>
      </c>
      <c r="G125" s="278" t="s">
        <v>15</v>
      </c>
      <c r="H125" s="290">
        <v>1.52</v>
      </c>
      <c r="I125" s="280">
        <f t="shared" si="59"/>
        <v>122.54240000000001</v>
      </c>
      <c r="J125" s="281">
        <f t="shared" si="60"/>
        <v>138.9736</v>
      </c>
      <c r="K125" s="282">
        <f>IF(Notes!$B$9="Domestic",I125, IF(Notes!$B$9="Commercial",J125))*$K$118</f>
        <v>138.9736</v>
      </c>
      <c r="L125" s="283">
        <f>(SUM(O125:Q125)+(K125+SUM(M125:Q125))*(INDEX($U$118:$AB$118,MATCH(Notes!$C$16,$U$3:$AB$3,0))-100%))*$L$118</f>
        <v>514.41</v>
      </c>
      <c r="M125" s="286"/>
      <c r="N125" s="286"/>
      <c r="O125" s="285">
        <v>514.41</v>
      </c>
      <c r="P125" s="285"/>
      <c r="Q125" s="285"/>
      <c r="R125" s="278"/>
      <c r="S125" s="278"/>
      <c r="T125" s="278"/>
    </row>
    <row r="126" spans="1:28" s="305" customFormat="1" ht="14.45" hidden="1" customHeight="1" outlineLevel="1" x14ac:dyDescent="0.25">
      <c r="A126" s="278"/>
      <c r="B126" s="279" t="str">
        <f t="shared" si="58"/>
        <v>top cabinetenclosedstandard 2 packquality</v>
      </c>
      <c r="C126" s="278" t="s">
        <v>993</v>
      </c>
      <c r="D126" s="278" t="s">
        <v>1025</v>
      </c>
      <c r="E126" s="278" t="s">
        <v>991</v>
      </c>
      <c r="F126" s="278" t="s">
        <v>544</v>
      </c>
      <c r="G126" s="278" t="s">
        <v>15</v>
      </c>
      <c r="H126" s="290">
        <v>1.52</v>
      </c>
      <c r="I126" s="280">
        <f t="shared" si="59"/>
        <v>122.54240000000001</v>
      </c>
      <c r="J126" s="281">
        <f t="shared" si="60"/>
        <v>138.9736</v>
      </c>
      <c r="K126" s="282">
        <f>IF(Notes!$B$9="Domestic",I126, IF(Notes!$B$9="Commercial",J126))*$K$118</f>
        <v>138.9736</v>
      </c>
      <c r="L126" s="283">
        <f>(SUM(O126:Q126)+(K126+SUM(M126:Q126))*(INDEX($U$118:$AB$118,MATCH(Notes!$C$16,$U$3:$AB$3,0))-100%))*$L$118</f>
        <v>565.851</v>
      </c>
      <c r="M126" s="286"/>
      <c r="N126" s="286"/>
      <c r="O126" s="311">
        <f>O125*1.1</f>
        <v>565.851</v>
      </c>
      <c r="P126" s="285"/>
      <c r="Q126" s="285"/>
      <c r="R126" s="278"/>
      <c r="S126" s="278"/>
      <c r="T126" s="278"/>
    </row>
    <row r="127" spans="1:28" s="305" customFormat="1" ht="14.45" hidden="1" customHeight="1" outlineLevel="1" x14ac:dyDescent="0.25">
      <c r="A127" s="278"/>
      <c r="B127" s="279" t="str">
        <f t="shared" ref="B127:B129" si="61">C127&amp;D127&amp;E127&amp;F127</f>
        <v>top cabinetenclosedstandard 2 packprestige</v>
      </c>
      <c r="C127" s="278" t="s">
        <v>993</v>
      </c>
      <c r="D127" s="278" t="s">
        <v>1025</v>
      </c>
      <c r="E127" s="278" t="s">
        <v>991</v>
      </c>
      <c r="F127" s="278" t="s">
        <v>545</v>
      </c>
      <c r="G127" s="278" t="s">
        <v>15</v>
      </c>
      <c r="H127" s="290">
        <v>1.52</v>
      </c>
      <c r="I127" s="280">
        <f t="shared" ref="I127:I129" si="62">$I$2*H127</f>
        <v>122.54240000000001</v>
      </c>
      <c r="J127" s="281">
        <f t="shared" ref="J127:J129" si="63">$J$2*H127</f>
        <v>138.9736</v>
      </c>
      <c r="K127" s="282">
        <f>IF(Notes!$B$9="Domestic",I127, IF(Notes!$B$9="Commercial",J127))*$K$118</f>
        <v>138.9736</v>
      </c>
      <c r="L127" s="283">
        <f>(SUM(O127:Q127)+(K127+SUM(M127:Q127))*(INDEX($U$118:$AB$118,MATCH(Notes!$C$16,$U$3:$AB$3,0))-100%))*$L$118</f>
        <v>622.43610000000001</v>
      </c>
      <c r="M127" s="286"/>
      <c r="N127" s="286"/>
      <c r="O127" s="311">
        <f>O126*1.1</f>
        <v>622.43610000000001</v>
      </c>
      <c r="P127" s="285"/>
      <c r="Q127" s="285"/>
      <c r="R127" s="278"/>
      <c r="S127" s="278"/>
      <c r="T127" s="278"/>
    </row>
    <row r="128" spans="1:28" s="305" customFormat="1" ht="14.45" hidden="1" customHeight="1" outlineLevel="1" x14ac:dyDescent="0.25">
      <c r="A128" s="278"/>
      <c r="B128" s="279" t="str">
        <f t="shared" si="61"/>
        <v>top cabinetencloseddesigner 2 packaverage</v>
      </c>
      <c r="C128" s="278" t="s">
        <v>993</v>
      </c>
      <c r="D128" s="278" t="s">
        <v>1025</v>
      </c>
      <c r="E128" s="278" t="s">
        <v>992</v>
      </c>
      <c r="F128" s="278" t="s">
        <v>543</v>
      </c>
      <c r="G128" s="278" t="s">
        <v>15</v>
      </c>
      <c r="H128" s="290">
        <v>1.52</v>
      </c>
      <c r="I128" s="280">
        <f t="shared" si="62"/>
        <v>122.54240000000001</v>
      </c>
      <c r="J128" s="281">
        <f t="shared" si="63"/>
        <v>138.9736</v>
      </c>
      <c r="K128" s="282">
        <f>IF(Notes!$B$9="Domestic",I128, IF(Notes!$B$9="Commercial",J128))*$K$118</f>
        <v>138.9736</v>
      </c>
      <c r="L128" s="283">
        <f>(SUM(O128:Q128)+(K128+SUM(M128:Q128))*(INDEX($U$118:$AB$118,MATCH(Notes!$C$16,$U$3:$AB$3,0))-100%))*$L$118</f>
        <v>1007.9</v>
      </c>
      <c r="M128" s="286"/>
      <c r="N128" s="286"/>
      <c r="O128" s="285">
        <v>1007.9</v>
      </c>
      <c r="P128" s="285"/>
      <c r="Q128" s="285"/>
      <c r="R128" s="278"/>
      <c r="S128" s="278"/>
      <c r="T128" s="278"/>
    </row>
    <row r="129" spans="1:28" s="305" customFormat="1" ht="14.45" hidden="1" customHeight="1" outlineLevel="1" x14ac:dyDescent="0.25">
      <c r="A129" s="278"/>
      <c r="B129" s="279" t="str">
        <f t="shared" si="61"/>
        <v>top cabinetencloseddesigner 2 packquality</v>
      </c>
      <c r="C129" s="278" t="s">
        <v>993</v>
      </c>
      <c r="D129" s="278" t="s">
        <v>1025</v>
      </c>
      <c r="E129" s="278" t="s">
        <v>992</v>
      </c>
      <c r="F129" s="278" t="s">
        <v>544</v>
      </c>
      <c r="G129" s="278" t="s">
        <v>15</v>
      </c>
      <c r="H129" s="290">
        <v>1.52</v>
      </c>
      <c r="I129" s="280">
        <f t="shared" si="62"/>
        <v>122.54240000000001</v>
      </c>
      <c r="J129" s="281">
        <f t="shared" si="63"/>
        <v>138.9736</v>
      </c>
      <c r="K129" s="282">
        <f>IF(Notes!$B$9="Domestic",I129, IF(Notes!$B$9="Commercial",J129))*$K$118</f>
        <v>138.9736</v>
      </c>
      <c r="L129" s="283">
        <f>(SUM(O129:Q129)+(K129+SUM(M129:Q129))*(INDEX($U$118:$AB$118,MATCH(Notes!$C$16,$U$3:$AB$3,0))-100%))*$L$118</f>
        <v>1108.69</v>
      </c>
      <c r="M129" s="286"/>
      <c r="N129" s="286"/>
      <c r="O129" s="311">
        <f>O128*1.1</f>
        <v>1108.69</v>
      </c>
      <c r="P129" s="285"/>
      <c r="Q129" s="285"/>
      <c r="R129" s="278"/>
      <c r="S129" s="278"/>
      <c r="T129" s="278"/>
    </row>
    <row r="130" spans="1:28" s="305" customFormat="1" ht="14.45" hidden="1" customHeight="1" outlineLevel="1" x14ac:dyDescent="0.25">
      <c r="A130" s="278"/>
      <c r="B130" s="279" t="str">
        <f t="shared" ref="B130" si="64">C130&amp;D130&amp;E130&amp;F130</f>
        <v>top cabinetencloseddesigner 2 packprestige</v>
      </c>
      <c r="C130" s="278" t="s">
        <v>993</v>
      </c>
      <c r="D130" s="278" t="s">
        <v>1025</v>
      </c>
      <c r="E130" s="278" t="s">
        <v>992</v>
      </c>
      <c r="F130" s="278" t="s">
        <v>545</v>
      </c>
      <c r="G130" s="278" t="s">
        <v>15</v>
      </c>
      <c r="H130" s="290">
        <v>1.52</v>
      </c>
      <c r="I130" s="280">
        <f t="shared" ref="I130" si="65">$I$2*H130</f>
        <v>122.54240000000001</v>
      </c>
      <c r="J130" s="281">
        <f t="shared" ref="J130" si="66">$J$2*H130</f>
        <v>138.9736</v>
      </c>
      <c r="K130" s="282">
        <f>IF(Notes!$B$9="Domestic",I130, IF(Notes!$B$9="Commercial",J130))*$K$118</f>
        <v>138.9736</v>
      </c>
      <c r="L130" s="283">
        <f>(SUM(O130:Q130)+(K130+SUM(M130:Q130))*(INDEX($U$118:$AB$118,MATCH(Notes!$C$16,$U$3:$AB$3,0))-100%))*$L$118</f>
        <v>1219.5590000000002</v>
      </c>
      <c r="M130" s="286"/>
      <c r="N130" s="286"/>
      <c r="O130" s="311">
        <f>O129*1.1</f>
        <v>1219.5590000000002</v>
      </c>
      <c r="P130" s="285"/>
      <c r="Q130" s="285"/>
      <c r="R130" s="278"/>
      <c r="S130" s="278"/>
      <c r="T130" s="278"/>
    </row>
    <row r="131" spans="1:28" s="305" customFormat="1" ht="14.45" hidden="1" customHeight="1" outlineLevel="1" x14ac:dyDescent="0.25">
      <c r="A131" s="278"/>
      <c r="B131" s="279" t="str">
        <f>C131&amp;D131&amp;E131&amp;F131</f>
        <v>top cabinetopenstandard laminatedaverage</v>
      </c>
      <c r="C131" s="278" t="s">
        <v>993</v>
      </c>
      <c r="D131" s="278" t="s">
        <v>1026</v>
      </c>
      <c r="E131" s="278" t="s">
        <v>989</v>
      </c>
      <c r="F131" s="278" t="s">
        <v>543</v>
      </c>
      <c r="G131" s="278" t="s">
        <v>15</v>
      </c>
      <c r="H131" s="290">
        <v>1.3</v>
      </c>
      <c r="I131" s="280">
        <f>$I$2*H131</f>
        <v>104.80600000000001</v>
      </c>
      <c r="J131" s="281">
        <f>$J$2*H131</f>
        <v>118.85900000000001</v>
      </c>
      <c r="K131" s="282">
        <f>IF(Notes!$B$9="Domestic",I131, IF(Notes!$B$9="Commercial",J131))*$K$118</f>
        <v>118.85900000000001</v>
      </c>
      <c r="L131" s="283">
        <f>(SUM(O131:Q131)+(K131+SUM(M131:Q131))*(INDEX($U$118:$AB$118,MATCH(Notes!$C$16,$U$3:$AB$3,0))-100%))*$L$118</f>
        <v>491.45200000000006</v>
      </c>
      <c r="M131" s="286"/>
      <c r="N131" s="286"/>
      <c r="O131" s="311">
        <f>O119*1.3</f>
        <v>491.45200000000006</v>
      </c>
      <c r="P131" s="285"/>
      <c r="Q131" s="285"/>
      <c r="R131" s="278"/>
      <c r="S131" s="278"/>
      <c r="T131" s="278"/>
      <c r="U131" s="304"/>
    </row>
    <row r="132" spans="1:28" s="305" customFormat="1" ht="14.45" hidden="1" customHeight="1" outlineLevel="1" x14ac:dyDescent="0.25">
      <c r="A132" s="278"/>
      <c r="B132" s="279" t="str">
        <f t="shared" ref="B132:B142" si="67">C132&amp;D132&amp;E132&amp;F132</f>
        <v>top cabinetopenstandard laminatedquality</v>
      </c>
      <c r="C132" s="278" t="s">
        <v>993</v>
      </c>
      <c r="D132" s="278" t="s">
        <v>1026</v>
      </c>
      <c r="E132" s="278" t="s">
        <v>989</v>
      </c>
      <c r="F132" s="278" t="s">
        <v>544</v>
      </c>
      <c r="G132" s="278" t="s">
        <v>15</v>
      </c>
      <c r="H132" s="290">
        <v>1.3</v>
      </c>
      <c r="I132" s="280">
        <f t="shared" ref="I132" si="68">$I$2*H132</f>
        <v>104.80600000000001</v>
      </c>
      <c r="J132" s="281">
        <f t="shared" ref="J132:J142" si="69">$J$2*H132</f>
        <v>118.85900000000001</v>
      </c>
      <c r="K132" s="282">
        <f>IF(Notes!$B$9="Domestic",I132, IF(Notes!$B$9="Commercial",J132))*$K$118</f>
        <v>118.85900000000001</v>
      </c>
      <c r="L132" s="283">
        <f>(SUM(O132:Q132)+(K132+SUM(M132:Q132))*(INDEX($U$118:$AB$118,MATCH(Notes!$C$16,$U$3:$AB$3,0))-100%))*$L$118</f>
        <v>540.59720000000004</v>
      </c>
      <c r="M132" s="286"/>
      <c r="N132" s="286"/>
      <c r="O132" s="311">
        <f t="shared" ref="O132:O142" si="70">O120*1.3</f>
        <v>540.59720000000004</v>
      </c>
      <c r="P132" s="285"/>
      <c r="Q132" s="285"/>
      <c r="R132" s="278"/>
      <c r="S132" s="278"/>
      <c r="T132" s="278"/>
      <c r="U132" s="304"/>
    </row>
    <row r="133" spans="1:28" s="305" customFormat="1" ht="14.45" hidden="1" customHeight="1" outlineLevel="1" x14ac:dyDescent="0.25">
      <c r="A133" s="278"/>
      <c r="B133" s="279" t="str">
        <f t="shared" si="67"/>
        <v>top cabinetopenstandard laminatedprestige</v>
      </c>
      <c r="C133" s="278" t="s">
        <v>993</v>
      </c>
      <c r="D133" s="278" t="s">
        <v>1026</v>
      </c>
      <c r="E133" s="278" t="s">
        <v>989</v>
      </c>
      <c r="F133" s="278" t="s">
        <v>545</v>
      </c>
      <c r="G133" s="278" t="s">
        <v>15</v>
      </c>
      <c r="H133" s="290">
        <v>1.3</v>
      </c>
      <c r="I133" s="280">
        <f>$I$2*H133</f>
        <v>104.80600000000001</v>
      </c>
      <c r="J133" s="281">
        <f t="shared" si="69"/>
        <v>118.85900000000001</v>
      </c>
      <c r="K133" s="282">
        <f>IF(Notes!$B$9="Domestic",I133, IF(Notes!$B$9="Commercial",J133))*$K$118</f>
        <v>118.85900000000001</v>
      </c>
      <c r="L133" s="283">
        <f>(SUM(O133:Q133)+(K133+SUM(M133:Q133))*(INDEX($U$118:$AB$118,MATCH(Notes!$C$16,$U$3:$AB$3,0))-100%))*$L$118</f>
        <v>594.65692000000013</v>
      </c>
      <c r="M133" s="286"/>
      <c r="N133" s="286"/>
      <c r="O133" s="311">
        <f t="shared" si="70"/>
        <v>594.65692000000013</v>
      </c>
      <c r="P133" s="285"/>
      <c r="Q133" s="285"/>
      <c r="R133" s="278"/>
      <c r="S133" s="278"/>
      <c r="T133" s="278"/>
      <c r="U133" s="304"/>
    </row>
    <row r="134" spans="1:28" s="305" customFormat="1" ht="14.45" hidden="1" customHeight="1" outlineLevel="1" x14ac:dyDescent="0.25">
      <c r="A134" s="278"/>
      <c r="B134" s="279" t="str">
        <f t="shared" si="67"/>
        <v>top cabinetopendesigner laminatedaverage</v>
      </c>
      <c r="C134" s="278" t="s">
        <v>993</v>
      </c>
      <c r="D134" s="278" t="s">
        <v>1026</v>
      </c>
      <c r="E134" s="278" t="s">
        <v>990</v>
      </c>
      <c r="F134" s="278" t="s">
        <v>543</v>
      </c>
      <c r="G134" s="278" t="s">
        <v>15</v>
      </c>
      <c r="H134" s="290">
        <v>1.3</v>
      </c>
      <c r="I134" s="280">
        <f t="shared" ref="I134" si="71">$I$2*H134</f>
        <v>104.80600000000001</v>
      </c>
      <c r="J134" s="281">
        <f t="shared" si="69"/>
        <v>118.85900000000001</v>
      </c>
      <c r="K134" s="282">
        <f>IF(Notes!$B$9="Domestic",I134, IF(Notes!$B$9="Commercial",J134))*$K$118</f>
        <v>118.85900000000001</v>
      </c>
      <c r="L134" s="283">
        <f>(SUM(O134:Q134)+(K134+SUM(M134:Q134))*(INDEX($U$118:$AB$118,MATCH(Notes!$C$16,$U$3:$AB$3,0))-100%))*$L$118</f>
        <v>636.81799999999998</v>
      </c>
      <c r="M134" s="286"/>
      <c r="N134" s="286"/>
      <c r="O134" s="311">
        <f t="shared" si="70"/>
        <v>636.81799999999998</v>
      </c>
      <c r="P134" s="285"/>
      <c r="Q134" s="285"/>
      <c r="R134" s="278"/>
      <c r="S134" s="278"/>
      <c r="T134" s="278"/>
    </row>
    <row r="135" spans="1:28" s="305" customFormat="1" ht="14.45" hidden="1" customHeight="1" outlineLevel="1" x14ac:dyDescent="0.25">
      <c r="A135" s="278"/>
      <c r="B135" s="279" t="str">
        <f t="shared" si="67"/>
        <v>top cabinetopendesigner laminatedquality</v>
      </c>
      <c r="C135" s="278" t="s">
        <v>993</v>
      </c>
      <c r="D135" s="278" t="s">
        <v>1026</v>
      </c>
      <c r="E135" s="278" t="s">
        <v>990</v>
      </c>
      <c r="F135" s="278" t="s">
        <v>544</v>
      </c>
      <c r="G135" s="278" t="s">
        <v>15</v>
      </c>
      <c r="H135" s="290">
        <v>1.3</v>
      </c>
      <c r="I135" s="280">
        <f>$I$2*H135</f>
        <v>104.80600000000001</v>
      </c>
      <c r="J135" s="281">
        <f t="shared" si="69"/>
        <v>118.85900000000001</v>
      </c>
      <c r="K135" s="282">
        <f>IF(Notes!$B$9="Domestic",I135, IF(Notes!$B$9="Commercial",J135))*$K$118</f>
        <v>118.85900000000001</v>
      </c>
      <c r="L135" s="283">
        <f>(SUM(O135:Q135)+(K135+SUM(M135:Q135))*(INDEX($U$118:$AB$118,MATCH(Notes!$C$16,$U$3:$AB$3,0))-100%))*$L$118</f>
        <v>700.49980000000005</v>
      </c>
      <c r="M135" s="286"/>
      <c r="N135" s="286"/>
      <c r="O135" s="311">
        <f t="shared" si="70"/>
        <v>700.49980000000005</v>
      </c>
      <c r="P135" s="285"/>
      <c r="Q135" s="285"/>
      <c r="R135" s="278"/>
      <c r="S135" s="278"/>
      <c r="T135" s="278"/>
    </row>
    <row r="136" spans="1:28" s="305" customFormat="1" ht="14.45" hidden="1" customHeight="1" outlineLevel="1" x14ac:dyDescent="0.25">
      <c r="A136" s="278"/>
      <c r="B136" s="279" t="str">
        <f t="shared" si="67"/>
        <v>top cabinetopendesigner laminatedprestige</v>
      </c>
      <c r="C136" s="278" t="s">
        <v>993</v>
      </c>
      <c r="D136" s="278" t="s">
        <v>1026</v>
      </c>
      <c r="E136" s="278" t="s">
        <v>990</v>
      </c>
      <c r="F136" s="278" t="s">
        <v>545</v>
      </c>
      <c r="G136" s="278" t="s">
        <v>15</v>
      </c>
      <c r="H136" s="290">
        <v>1.3</v>
      </c>
      <c r="I136" s="280">
        <f t="shared" ref="I136:I142" si="72">$I$2*H136</f>
        <v>104.80600000000001</v>
      </c>
      <c r="J136" s="281">
        <f t="shared" si="69"/>
        <v>118.85900000000001</v>
      </c>
      <c r="K136" s="282">
        <f>IF(Notes!$B$9="Domestic",I136, IF(Notes!$B$9="Commercial",J136))*$K$118</f>
        <v>118.85900000000001</v>
      </c>
      <c r="L136" s="283">
        <f>(SUM(O136:Q136)+(K136+SUM(M136:Q136))*(INDEX($U$118:$AB$118,MATCH(Notes!$C$16,$U$3:$AB$3,0))-100%))*$L$118</f>
        <v>770.54978000000017</v>
      </c>
      <c r="M136" s="286"/>
      <c r="N136" s="286"/>
      <c r="O136" s="311">
        <f t="shared" si="70"/>
        <v>770.54978000000017</v>
      </c>
      <c r="P136" s="285"/>
      <c r="Q136" s="285"/>
      <c r="R136" s="278"/>
      <c r="S136" s="278"/>
      <c r="T136" s="278"/>
    </row>
    <row r="137" spans="1:28" s="305" customFormat="1" ht="14.45" hidden="1" customHeight="1" outlineLevel="1" x14ac:dyDescent="0.25">
      <c r="A137" s="278"/>
      <c r="B137" s="279" t="str">
        <f t="shared" si="67"/>
        <v>top cabinetopenstandard 2 packaverage</v>
      </c>
      <c r="C137" s="278" t="s">
        <v>993</v>
      </c>
      <c r="D137" s="278" t="s">
        <v>1026</v>
      </c>
      <c r="E137" s="278" t="s">
        <v>991</v>
      </c>
      <c r="F137" s="278" t="s">
        <v>543</v>
      </c>
      <c r="G137" s="278" t="s">
        <v>15</v>
      </c>
      <c r="H137" s="290">
        <v>1.3</v>
      </c>
      <c r="I137" s="280">
        <f t="shared" si="72"/>
        <v>104.80600000000001</v>
      </c>
      <c r="J137" s="281">
        <f t="shared" si="69"/>
        <v>118.85900000000001</v>
      </c>
      <c r="K137" s="282">
        <f>IF(Notes!$B$9="Domestic",I137, IF(Notes!$B$9="Commercial",J137))*$K$118</f>
        <v>118.85900000000001</v>
      </c>
      <c r="L137" s="283">
        <f>(SUM(O137:Q137)+(K137+SUM(M137:Q137))*(INDEX($U$118:$AB$118,MATCH(Notes!$C$16,$U$3:$AB$3,0))-100%))*$L$118</f>
        <v>668.73299999999995</v>
      </c>
      <c r="M137" s="286"/>
      <c r="N137" s="286"/>
      <c r="O137" s="311">
        <f t="shared" si="70"/>
        <v>668.73299999999995</v>
      </c>
      <c r="P137" s="285"/>
      <c r="Q137" s="285"/>
      <c r="R137" s="278"/>
      <c r="S137" s="278"/>
      <c r="T137" s="278"/>
    </row>
    <row r="138" spans="1:28" s="305" customFormat="1" ht="14.45" hidden="1" customHeight="1" outlineLevel="1" x14ac:dyDescent="0.25">
      <c r="A138" s="278"/>
      <c r="B138" s="279" t="str">
        <f t="shared" si="67"/>
        <v>top cabinetopenstandard 2 packquality</v>
      </c>
      <c r="C138" s="278" t="s">
        <v>993</v>
      </c>
      <c r="D138" s="278" t="s">
        <v>1026</v>
      </c>
      <c r="E138" s="278" t="s">
        <v>991</v>
      </c>
      <c r="F138" s="278" t="s">
        <v>544</v>
      </c>
      <c r="G138" s="278" t="s">
        <v>15</v>
      </c>
      <c r="H138" s="290">
        <v>1.3</v>
      </c>
      <c r="I138" s="280">
        <f t="shared" si="72"/>
        <v>104.80600000000001</v>
      </c>
      <c r="J138" s="281">
        <f t="shared" si="69"/>
        <v>118.85900000000001</v>
      </c>
      <c r="K138" s="282">
        <f>IF(Notes!$B$9="Domestic",I138, IF(Notes!$B$9="Commercial",J138))*$K$118</f>
        <v>118.85900000000001</v>
      </c>
      <c r="L138" s="283">
        <f>(SUM(O138:Q138)+(K138+SUM(M138:Q138))*(INDEX($U$118:$AB$118,MATCH(Notes!$C$16,$U$3:$AB$3,0))-100%))*$L$118</f>
        <v>735.60630000000003</v>
      </c>
      <c r="M138" s="286"/>
      <c r="N138" s="286"/>
      <c r="O138" s="311">
        <f t="shared" si="70"/>
        <v>735.60630000000003</v>
      </c>
      <c r="P138" s="285"/>
      <c r="Q138" s="285"/>
      <c r="R138" s="278"/>
      <c r="S138" s="278"/>
      <c r="T138" s="278"/>
    </row>
    <row r="139" spans="1:28" s="305" customFormat="1" ht="14.45" hidden="1" customHeight="1" outlineLevel="1" x14ac:dyDescent="0.25">
      <c r="A139" s="278"/>
      <c r="B139" s="279" t="str">
        <f t="shared" si="67"/>
        <v>top cabinetopenstandard 2 packprestige</v>
      </c>
      <c r="C139" s="278" t="s">
        <v>993</v>
      </c>
      <c r="D139" s="278" t="s">
        <v>1026</v>
      </c>
      <c r="E139" s="278" t="s">
        <v>991</v>
      </c>
      <c r="F139" s="278" t="s">
        <v>545</v>
      </c>
      <c r="G139" s="278" t="s">
        <v>15</v>
      </c>
      <c r="H139" s="290">
        <v>1.3</v>
      </c>
      <c r="I139" s="280">
        <f t="shared" si="72"/>
        <v>104.80600000000001</v>
      </c>
      <c r="J139" s="281">
        <f t="shared" si="69"/>
        <v>118.85900000000001</v>
      </c>
      <c r="K139" s="282">
        <f>IF(Notes!$B$9="Domestic",I139, IF(Notes!$B$9="Commercial",J139))*$K$118</f>
        <v>118.85900000000001</v>
      </c>
      <c r="L139" s="283">
        <f>(SUM(O139:Q139)+(K139+SUM(M139:Q139))*(INDEX($U$118:$AB$118,MATCH(Notes!$C$16,$U$3:$AB$3,0))-100%))*$L$118</f>
        <v>809.16693000000009</v>
      </c>
      <c r="M139" s="286"/>
      <c r="N139" s="286"/>
      <c r="O139" s="311">
        <f t="shared" si="70"/>
        <v>809.16693000000009</v>
      </c>
      <c r="P139" s="285"/>
      <c r="Q139" s="285"/>
      <c r="R139" s="278"/>
      <c r="S139" s="278"/>
      <c r="T139" s="278"/>
    </row>
    <row r="140" spans="1:28" s="305" customFormat="1" ht="14.45" hidden="1" customHeight="1" outlineLevel="1" x14ac:dyDescent="0.25">
      <c r="A140" s="278"/>
      <c r="B140" s="279" t="str">
        <f t="shared" si="67"/>
        <v>top cabinetopendesigner 2 packaverage</v>
      </c>
      <c r="C140" s="278" t="s">
        <v>993</v>
      </c>
      <c r="D140" s="278" t="s">
        <v>1026</v>
      </c>
      <c r="E140" s="278" t="s">
        <v>992</v>
      </c>
      <c r="F140" s="278" t="s">
        <v>543</v>
      </c>
      <c r="G140" s="278" t="s">
        <v>15</v>
      </c>
      <c r="H140" s="290">
        <v>1.3</v>
      </c>
      <c r="I140" s="280">
        <f t="shared" si="72"/>
        <v>104.80600000000001</v>
      </c>
      <c r="J140" s="281">
        <f t="shared" si="69"/>
        <v>118.85900000000001</v>
      </c>
      <c r="K140" s="282">
        <f>IF(Notes!$B$9="Domestic",I140, IF(Notes!$B$9="Commercial",J140))*$K$118</f>
        <v>118.85900000000001</v>
      </c>
      <c r="L140" s="283">
        <f>(SUM(O140:Q140)+(K140+SUM(M140:Q140))*(INDEX($U$118:$AB$118,MATCH(Notes!$C$16,$U$3:$AB$3,0))-100%))*$L$118</f>
        <v>1310.27</v>
      </c>
      <c r="M140" s="286"/>
      <c r="N140" s="286"/>
      <c r="O140" s="311">
        <f t="shared" si="70"/>
        <v>1310.27</v>
      </c>
      <c r="P140" s="285"/>
      <c r="Q140" s="285"/>
      <c r="R140" s="278"/>
      <c r="S140" s="278"/>
      <c r="T140" s="278"/>
    </row>
    <row r="141" spans="1:28" s="305" customFormat="1" ht="14.45" hidden="1" customHeight="1" outlineLevel="1" x14ac:dyDescent="0.25">
      <c r="A141" s="278"/>
      <c r="B141" s="279" t="str">
        <f t="shared" si="67"/>
        <v>top cabinetopendesigner 2 packquality</v>
      </c>
      <c r="C141" s="278" t="s">
        <v>993</v>
      </c>
      <c r="D141" s="278" t="s">
        <v>1026</v>
      </c>
      <c r="E141" s="278" t="s">
        <v>992</v>
      </c>
      <c r="F141" s="278" t="s">
        <v>544</v>
      </c>
      <c r="G141" s="278" t="s">
        <v>15</v>
      </c>
      <c r="H141" s="290">
        <v>1.3</v>
      </c>
      <c r="I141" s="280">
        <f t="shared" si="72"/>
        <v>104.80600000000001</v>
      </c>
      <c r="J141" s="281">
        <f t="shared" si="69"/>
        <v>118.85900000000001</v>
      </c>
      <c r="K141" s="282">
        <f>IF(Notes!$B$9="Domestic",I141, IF(Notes!$B$9="Commercial",J141))*$K$118</f>
        <v>118.85900000000001</v>
      </c>
      <c r="L141" s="283">
        <f>(SUM(O141:Q141)+(K141+SUM(M141:Q141))*(INDEX($U$118:$AB$118,MATCH(Notes!$C$16,$U$3:$AB$3,0))-100%))*$L$118</f>
        <v>1441.297</v>
      </c>
      <c r="M141" s="286"/>
      <c r="N141" s="286"/>
      <c r="O141" s="311">
        <f t="shared" si="70"/>
        <v>1441.297</v>
      </c>
      <c r="P141" s="285"/>
      <c r="Q141" s="285"/>
      <c r="R141" s="278"/>
      <c r="S141" s="278"/>
      <c r="T141" s="278"/>
    </row>
    <row r="142" spans="1:28" s="305" customFormat="1" ht="14.45" hidden="1" customHeight="1" outlineLevel="1" x14ac:dyDescent="0.25">
      <c r="A142" s="278"/>
      <c r="B142" s="279" t="str">
        <f t="shared" si="67"/>
        <v>top cabinetopendesigner 2 packprestige</v>
      </c>
      <c r="C142" s="278" t="s">
        <v>993</v>
      </c>
      <c r="D142" s="278" t="s">
        <v>1026</v>
      </c>
      <c r="E142" s="278" t="s">
        <v>992</v>
      </c>
      <c r="F142" s="278" t="s">
        <v>545</v>
      </c>
      <c r="G142" s="278" t="s">
        <v>15</v>
      </c>
      <c r="H142" s="290">
        <v>1.3</v>
      </c>
      <c r="I142" s="280">
        <f t="shared" si="72"/>
        <v>104.80600000000001</v>
      </c>
      <c r="J142" s="281">
        <f t="shared" si="69"/>
        <v>118.85900000000001</v>
      </c>
      <c r="K142" s="282">
        <f>IF(Notes!$B$9="Domestic",I142, IF(Notes!$B$9="Commercial",J142))*$K$118</f>
        <v>118.85900000000001</v>
      </c>
      <c r="L142" s="283">
        <f>(SUM(O142:Q142)+(K142+SUM(M142:Q142))*(INDEX($U$118:$AB$118,MATCH(Notes!$C$16,$U$3:$AB$3,0))-100%))*$L$118</f>
        <v>1585.4267000000002</v>
      </c>
      <c r="M142" s="286"/>
      <c r="N142" s="286"/>
      <c r="O142" s="311">
        <f t="shared" si="70"/>
        <v>1585.4267000000002</v>
      </c>
      <c r="P142" s="285"/>
      <c r="Q142" s="285"/>
      <c r="R142" s="278"/>
      <c r="S142" s="278"/>
      <c r="T142" s="278"/>
    </row>
    <row r="143" spans="1:28" ht="21" hidden="1" outlineLevel="1" x14ac:dyDescent="0.25">
      <c r="A143" s="299" t="s">
        <v>248</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row>
    <row r="144" spans="1:28" ht="15.75" hidden="1" outlineLevel="1" x14ac:dyDescent="0.25">
      <c r="A144" s="291"/>
      <c r="B144" s="291"/>
      <c r="C144" s="291"/>
      <c r="D144" s="291"/>
      <c r="E144" s="291"/>
      <c r="F144" s="291"/>
      <c r="G144" s="291"/>
      <c r="H144" s="291"/>
      <c r="I144" s="291"/>
      <c r="J144" s="291"/>
      <c r="K144" s="291">
        <f>K$2</f>
        <v>1</v>
      </c>
      <c r="L144" s="291">
        <f>L$2</f>
        <v>1</v>
      </c>
      <c r="M144" s="291"/>
      <c r="N144" s="291"/>
      <c r="O144" s="303"/>
      <c r="P144" s="303"/>
      <c r="Q144" s="303"/>
      <c r="R144" s="291"/>
      <c r="S144" s="291"/>
      <c r="T144" s="291"/>
      <c r="U144" s="291">
        <f>U$2</f>
        <v>1</v>
      </c>
      <c r="V144" s="291">
        <f>V$2</f>
        <v>1</v>
      </c>
      <c r="W144" s="291">
        <f t="shared" ref="W144:AB144" si="73">W$2</f>
        <v>1.009090909090909</v>
      </c>
      <c r="X144" s="291">
        <f t="shared" si="73"/>
        <v>1.0909090909090908</v>
      </c>
      <c r="Y144" s="291">
        <f t="shared" si="73"/>
        <v>1.1454545454545455</v>
      </c>
      <c r="Z144" s="291">
        <f t="shared" si="73"/>
        <v>1</v>
      </c>
      <c r="AA144" s="291">
        <f t="shared" si="73"/>
        <v>1</v>
      </c>
      <c r="AB144" s="291">
        <f t="shared" si="73"/>
        <v>1</v>
      </c>
    </row>
    <row r="145" spans="1:21" s="305" customFormat="1" ht="14.45" hidden="1" customHeight="1" outlineLevel="1" x14ac:dyDescent="0.25">
      <c r="A145" s="278"/>
      <c r="B145" s="279" t="str">
        <f>C145&amp;D145&amp;E145&amp;F145</f>
        <v>full height cabinetenclosedstandard laminatedaverage</v>
      </c>
      <c r="C145" s="278" t="s">
        <v>994</v>
      </c>
      <c r="D145" s="278" t="s">
        <v>1025</v>
      </c>
      <c r="E145" s="278" t="s">
        <v>989</v>
      </c>
      <c r="F145" s="278" t="s">
        <v>543</v>
      </c>
      <c r="G145" s="278" t="s">
        <v>15</v>
      </c>
      <c r="H145" s="290">
        <v>2.2000000000000002</v>
      </c>
      <c r="I145" s="280">
        <f>$I$2*H145</f>
        <v>177.36400000000003</v>
      </c>
      <c r="J145" s="281">
        <f>$J$2*H145</f>
        <v>201.14600000000004</v>
      </c>
      <c r="K145" s="282">
        <f>IF(Notes!$B$9="Domestic",I145, IF(Notes!$B$9="Commercial",J145))*$K$144</f>
        <v>201.14600000000004</v>
      </c>
      <c r="L145" s="283">
        <f>(SUM(O145:Q145)+(K145+SUM(M145:Q145))*(INDEX($U$144:$AB$144,MATCH(Notes!$C$16,$U$3:$AB$3,0))-100%))*$L$144</f>
        <v>815.79</v>
      </c>
      <c r="M145" s="286"/>
      <c r="N145" s="286"/>
      <c r="O145" s="285">
        <v>815.79</v>
      </c>
      <c r="P145" s="285"/>
      <c r="Q145" s="285"/>
      <c r="R145" s="278"/>
      <c r="S145" s="278"/>
      <c r="T145" s="278"/>
      <c r="U145" s="304"/>
    </row>
    <row r="146" spans="1:21" s="305" customFormat="1" ht="14.45" hidden="1" customHeight="1" outlineLevel="1" x14ac:dyDescent="0.25">
      <c r="A146" s="278"/>
      <c r="B146" s="279" t="str">
        <f t="shared" ref="B146:B147" si="74">C146&amp;D146&amp;E146&amp;F146</f>
        <v>full height cabinetenclosedstandard laminatedquality</v>
      </c>
      <c r="C146" s="278" t="s">
        <v>994</v>
      </c>
      <c r="D146" s="278" t="s">
        <v>1025</v>
      </c>
      <c r="E146" s="278" t="s">
        <v>989</v>
      </c>
      <c r="F146" s="278" t="s">
        <v>544</v>
      </c>
      <c r="G146" s="278" t="s">
        <v>15</v>
      </c>
      <c r="H146" s="290">
        <v>2.2000000000000002</v>
      </c>
      <c r="I146" s="280">
        <f t="shared" ref="I146:I147" si="75">$I$2*H146</f>
        <v>177.36400000000003</v>
      </c>
      <c r="J146" s="281">
        <f t="shared" ref="J146:J147" si="76">$J$2*H146</f>
        <v>201.14600000000004</v>
      </c>
      <c r="K146" s="282">
        <f>IF(Notes!$B$9="Domestic",I146, IF(Notes!$B$9="Commercial",J146))*$K$144</f>
        <v>201.14600000000004</v>
      </c>
      <c r="L146" s="283">
        <f>(SUM(O146:Q146)+(K146+SUM(M146:Q146))*(INDEX($U$144:$AB$144,MATCH(Notes!$C$16,$U$3:$AB$3,0))-100%))*$L$144</f>
        <v>897.36900000000003</v>
      </c>
      <c r="M146" s="286"/>
      <c r="N146" s="286"/>
      <c r="O146" s="311">
        <f>O145*1.1</f>
        <v>897.36900000000003</v>
      </c>
      <c r="P146" s="285"/>
      <c r="Q146" s="285"/>
      <c r="R146" s="278"/>
      <c r="S146" s="278"/>
      <c r="T146" s="278"/>
      <c r="U146" s="304"/>
    </row>
    <row r="147" spans="1:21" s="305" customFormat="1" ht="14.45" hidden="1" customHeight="1" outlineLevel="1" x14ac:dyDescent="0.25">
      <c r="A147" s="278"/>
      <c r="B147" s="279" t="str">
        <f t="shared" si="74"/>
        <v>full height cabinetenclosedstandard laminatedprestige</v>
      </c>
      <c r="C147" s="278" t="s">
        <v>994</v>
      </c>
      <c r="D147" s="278" t="s">
        <v>1025</v>
      </c>
      <c r="E147" s="278" t="s">
        <v>989</v>
      </c>
      <c r="F147" s="278" t="s">
        <v>545</v>
      </c>
      <c r="G147" s="278" t="s">
        <v>15</v>
      </c>
      <c r="H147" s="290">
        <v>2.2000000000000002</v>
      </c>
      <c r="I147" s="280">
        <f t="shared" si="75"/>
        <v>177.36400000000003</v>
      </c>
      <c r="J147" s="281">
        <f t="shared" si="76"/>
        <v>201.14600000000004</v>
      </c>
      <c r="K147" s="282">
        <f>IF(Notes!$B$9="Domestic",I147, IF(Notes!$B$9="Commercial",J147))*$K$144</f>
        <v>201.14600000000004</v>
      </c>
      <c r="L147" s="283">
        <f>(SUM(O147:Q147)+(K147+SUM(M147:Q147))*(INDEX($U$144:$AB$144,MATCH(Notes!$C$16,$U$3:$AB$3,0))-100%))*$L$144</f>
        <v>987.10590000000013</v>
      </c>
      <c r="M147" s="286"/>
      <c r="N147" s="286"/>
      <c r="O147" s="311">
        <f>O146*1.1</f>
        <v>987.10590000000013</v>
      </c>
      <c r="P147" s="285"/>
      <c r="Q147" s="285"/>
      <c r="R147" s="278"/>
      <c r="S147" s="278"/>
      <c r="T147" s="278"/>
      <c r="U147" s="304"/>
    </row>
    <row r="148" spans="1:21" s="305" customFormat="1" ht="14.45" hidden="1" customHeight="1" outlineLevel="1" x14ac:dyDescent="0.25">
      <c r="A148" s="278"/>
      <c r="B148" s="279" t="str">
        <f t="shared" ref="B148:B168" si="77">C148&amp;D148&amp;E148&amp;F148</f>
        <v>full height cabinetencloseddesigner laminatedaverage</v>
      </c>
      <c r="C148" s="278" t="s">
        <v>994</v>
      </c>
      <c r="D148" s="278" t="s">
        <v>1025</v>
      </c>
      <c r="E148" s="278" t="s">
        <v>990</v>
      </c>
      <c r="F148" s="278" t="s">
        <v>543</v>
      </c>
      <c r="G148" s="278" t="s">
        <v>15</v>
      </c>
      <c r="H148" s="290">
        <v>2.2000000000000002</v>
      </c>
      <c r="I148" s="280">
        <f t="shared" ref="I148:I168" si="78">$I$2*H148</f>
        <v>177.36400000000003</v>
      </c>
      <c r="J148" s="281">
        <f t="shared" ref="J148:J168" si="79">$J$2*H148</f>
        <v>201.14600000000004</v>
      </c>
      <c r="K148" s="282">
        <f>IF(Notes!$B$9="Domestic",I148, IF(Notes!$B$9="Commercial",J148))*$K$144</f>
        <v>201.14600000000004</v>
      </c>
      <c r="L148" s="283">
        <f>(SUM(O148:Q148)+(K148+SUM(M148:Q148))*(INDEX($U$144:$AB$144,MATCH(Notes!$C$16,$U$3:$AB$3,0))-100%))*$L$144</f>
        <v>1049.42</v>
      </c>
      <c r="M148" s="286"/>
      <c r="N148" s="286"/>
      <c r="O148" s="285">
        <v>1049.42</v>
      </c>
      <c r="P148" s="285"/>
      <c r="Q148" s="285"/>
      <c r="R148" s="278"/>
      <c r="S148" s="278"/>
      <c r="T148" s="278"/>
      <c r="U148" s="304"/>
    </row>
    <row r="149" spans="1:21" s="305" customFormat="1" ht="14.45" hidden="1" customHeight="1" outlineLevel="1" x14ac:dyDescent="0.25">
      <c r="A149" s="278"/>
      <c r="B149" s="279" t="str">
        <f t="shared" si="77"/>
        <v>full height cabinetencloseddesigner laminatedquality</v>
      </c>
      <c r="C149" s="278" t="s">
        <v>994</v>
      </c>
      <c r="D149" s="278" t="s">
        <v>1025</v>
      </c>
      <c r="E149" s="278" t="s">
        <v>990</v>
      </c>
      <c r="F149" s="278" t="s">
        <v>544</v>
      </c>
      <c r="G149" s="278" t="s">
        <v>15</v>
      </c>
      <c r="H149" s="290">
        <v>2.2000000000000002</v>
      </c>
      <c r="I149" s="280">
        <f t="shared" si="78"/>
        <v>177.36400000000003</v>
      </c>
      <c r="J149" s="281">
        <f t="shared" si="79"/>
        <v>201.14600000000004</v>
      </c>
      <c r="K149" s="282">
        <f>IF(Notes!$B$9="Domestic",I149, IF(Notes!$B$9="Commercial",J149))*$K$144</f>
        <v>201.14600000000004</v>
      </c>
      <c r="L149" s="283">
        <f>(SUM(O149:Q149)+(K149+SUM(M149:Q149))*(INDEX($U$144:$AB$144,MATCH(Notes!$C$16,$U$3:$AB$3,0))-100%))*$L$144</f>
        <v>1154.3620000000001</v>
      </c>
      <c r="M149" s="286"/>
      <c r="N149" s="286"/>
      <c r="O149" s="311">
        <f>O148*1.1</f>
        <v>1154.3620000000001</v>
      </c>
      <c r="P149" s="285"/>
      <c r="Q149" s="285"/>
      <c r="R149" s="278"/>
      <c r="S149" s="278"/>
      <c r="T149" s="278"/>
      <c r="U149" s="304"/>
    </row>
    <row r="150" spans="1:21" s="305" customFormat="1" ht="14.45" hidden="1" customHeight="1" outlineLevel="1" x14ac:dyDescent="0.25">
      <c r="A150" s="278"/>
      <c r="B150" s="279" t="str">
        <f t="shared" si="77"/>
        <v>full height cabinetencloseddesigner laminatedprestige</v>
      </c>
      <c r="C150" s="278" t="s">
        <v>994</v>
      </c>
      <c r="D150" s="278" t="s">
        <v>1025</v>
      </c>
      <c r="E150" s="278" t="s">
        <v>990</v>
      </c>
      <c r="F150" s="278" t="s">
        <v>545</v>
      </c>
      <c r="G150" s="278" t="s">
        <v>15</v>
      </c>
      <c r="H150" s="290">
        <v>2.2000000000000002</v>
      </c>
      <c r="I150" s="280">
        <f t="shared" si="78"/>
        <v>177.36400000000003</v>
      </c>
      <c r="J150" s="281">
        <f t="shared" si="79"/>
        <v>201.14600000000004</v>
      </c>
      <c r="K150" s="282">
        <f>IF(Notes!$B$9="Domestic",I150, IF(Notes!$B$9="Commercial",J150))*$K$144</f>
        <v>201.14600000000004</v>
      </c>
      <c r="L150" s="283">
        <f>(SUM(O150:Q150)+(K150+SUM(M150:Q150))*(INDEX($U$144:$AB$144,MATCH(Notes!$C$16,$U$3:$AB$3,0))-100%))*$L$144</f>
        <v>1269.7982000000002</v>
      </c>
      <c r="M150" s="286"/>
      <c r="N150" s="286"/>
      <c r="O150" s="311">
        <f>O149*1.1</f>
        <v>1269.7982000000002</v>
      </c>
      <c r="P150" s="285"/>
      <c r="Q150" s="285"/>
      <c r="R150" s="278"/>
      <c r="S150" s="278"/>
      <c r="T150" s="278"/>
      <c r="U150" s="304"/>
    </row>
    <row r="151" spans="1:21" s="305" customFormat="1" ht="14.45" hidden="1" customHeight="1" outlineLevel="1" x14ac:dyDescent="0.25">
      <c r="A151" s="278"/>
      <c r="B151" s="279" t="str">
        <f t="shared" si="77"/>
        <v>full height cabinetenclosedstandard 2 packaverage</v>
      </c>
      <c r="C151" s="278" t="s">
        <v>994</v>
      </c>
      <c r="D151" s="278" t="s">
        <v>1025</v>
      </c>
      <c r="E151" s="278" t="s">
        <v>991</v>
      </c>
      <c r="F151" s="278" t="s">
        <v>543</v>
      </c>
      <c r="G151" s="278" t="s">
        <v>15</v>
      </c>
      <c r="H151" s="290">
        <v>2.2000000000000002</v>
      </c>
      <c r="I151" s="280">
        <f t="shared" si="78"/>
        <v>177.36400000000003</v>
      </c>
      <c r="J151" s="281">
        <f t="shared" si="79"/>
        <v>201.14600000000004</v>
      </c>
      <c r="K151" s="282">
        <f>IF(Notes!$B$9="Domestic",I151, IF(Notes!$B$9="Commercial",J151))*$K$144</f>
        <v>201.14600000000004</v>
      </c>
      <c r="L151" s="283">
        <f>(SUM(O151:Q151)+(K151+SUM(M151:Q151))*(INDEX($U$144:$AB$144,MATCH(Notes!$C$16,$U$3:$AB$3,0))-100%))*$L$144</f>
        <v>1146.69</v>
      </c>
      <c r="M151" s="286"/>
      <c r="N151" s="286"/>
      <c r="O151" s="285">
        <v>1146.69</v>
      </c>
      <c r="P151" s="285"/>
      <c r="Q151" s="285"/>
      <c r="R151" s="278"/>
      <c r="S151" s="278"/>
      <c r="T151" s="278"/>
      <c r="U151" s="304"/>
    </row>
    <row r="152" spans="1:21" s="305" customFormat="1" ht="14.45" hidden="1" customHeight="1" outlineLevel="1" x14ac:dyDescent="0.25">
      <c r="A152" s="278"/>
      <c r="B152" s="279" t="str">
        <f t="shared" si="77"/>
        <v>full height cabinetenclosedstandard 2 packquality</v>
      </c>
      <c r="C152" s="278" t="s">
        <v>994</v>
      </c>
      <c r="D152" s="278" t="s">
        <v>1025</v>
      </c>
      <c r="E152" s="278" t="s">
        <v>991</v>
      </c>
      <c r="F152" s="278" t="s">
        <v>544</v>
      </c>
      <c r="G152" s="278" t="s">
        <v>15</v>
      </c>
      <c r="H152" s="290">
        <v>2.2000000000000002</v>
      </c>
      <c r="I152" s="280">
        <f t="shared" si="78"/>
        <v>177.36400000000003</v>
      </c>
      <c r="J152" s="281">
        <f t="shared" si="79"/>
        <v>201.14600000000004</v>
      </c>
      <c r="K152" s="282">
        <f>IF(Notes!$B$9="Domestic",I152, IF(Notes!$B$9="Commercial",J152))*$K$144</f>
        <v>201.14600000000004</v>
      </c>
      <c r="L152" s="283">
        <f>(SUM(O152:Q152)+(K152+SUM(M152:Q152))*(INDEX($U$144:$AB$144,MATCH(Notes!$C$16,$U$3:$AB$3,0))-100%))*$L$144</f>
        <v>1261.3590000000002</v>
      </c>
      <c r="M152" s="286"/>
      <c r="N152" s="286"/>
      <c r="O152" s="311">
        <f>O151*1.1</f>
        <v>1261.3590000000002</v>
      </c>
      <c r="P152" s="285"/>
      <c r="Q152" s="285"/>
      <c r="R152" s="278"/>
      <c r="S152" s="278"/>
      <c r="T152" s="278"/>
      <c r="U152" s="304"/>
    </row>
    <row r="153" spans="1:21" s="305" customFormat="1" ht="14.45" hidden="1" customHeight="1" outlineLevel="1" x14ac:dyDescent="0.25">
      <c r="A153" s="278"/>
      <c r="B153" s="279" t="str">
        <f t="shared" si="77"/>
        <v>full height cabinetenclosedstandard 2 packprestige</v>
      </c>
      <c r="C153" s="278" t="s">
        <v>994</v>
      </c>
      <c r="D153" s="278" t="s">
        <v>1025</v>
      </c>
      <c r="E153" s="278" t="s">
        <v>991</v>
      </c>
      <c r="F153" s="278" t="s">
        <v>545</v>
      </c>
      <c r="G153" s="278" t="s">
        <v>15</v>
      </c>
      <c r="H153" s="290">
        <v>2.2000000000000002</v>
      </c>
      <c r="I153" s="280">
        <f t="shared" si="78"/>
        <v>177.36400000000003</v>
      </c>
      <c r="J153" s="281">
        <f t="shared" si="79"/>
        <v>201.14600000000004</v>
      </c>
      <c r="K153" s="282">
        <f>IF(Notes!$B$9="Domestic",I153, IF(Notes!$B$9="Commercial",J153))*$K$144</f>
        <v>201.14600000000004</v>
      </c>
      <c r="L153" s="283">
        <f>(SUM(O153:Q153)+(K153+SUM(M153:Q153))*(INDEX($U$144:$AB$144,MATCH(Notes!$C$16,$U$3:$AB$3,0))-100%))*$L$144</f>
        <v>1387.4949000000004</v>
      </c>
      <c r="M153" s="286"/>
      <c r="N153" s="286"/>
      <c r="O153" s="311">
        <f>O152*1.1</f>
        <v>1387.4949000000004</v>
      </c>
      <c r="P153" s="285"/>
      <c r="Q153" s="285"/>
      <c r="R153" s="278"/>
      <c r="S153" s="278"/>
      <c r="T153" s="278"/>
      <c r="U153" s="304"/>
    </row>
    <row r="154" spans="1:21" s="305" customFormat="1" ht="14.45" hidden="1" customHeight="1" outlineLevel="1" x14ac:dyDescent="0.25">
      <c r="A154" s="278"/>
      <c r="B154" s="279" t="str">
        <f t="shared" si="77"/>
        <v>full height cabinetencloseddesigner 2 packaverage</v>
      </c>
      <c r="C154" s="278" t="s">
        <v>994</v>
      </c>
      <c r="D154" s="278" t="s">
        <v>1025</v>
      </c>
      <c r="E154" s="278" t="s">
        <v>992</v>
      </c>
      <c r="F154" s="278" t="s">
        <v>543</v>
      </c>
      <c r="G154" s="278" t="s">
        <v>15</v>
      </c>
      <c r="H154" s="290">
        <v>2.2000000000000002</v>
      </c>
      <c r="I154" s="280">
        <f t="shared" si="78"/>
        <v>177.36400000000003</v>
      </c>
      <c r="J154" s="281">
        <f t="shared" si="79"/>
        <v>201.14600000000004</v>
      </c>
      <c r="K154" s="282">
        <f>IF(Notes!$B$9="Domestic",I154, IF(Notes!$B$9="Commercial",J154))*$K$144</f>
        <v>201.14600000000004</v>
      </c>
      <c r="L154" s="283">
        <f>(SUM(O154:Q154)+(K154+SUM(M154:Q154))*(INDEX($U$144:$AB$144,MATCH(Notes!$C$16,$U$3:$AB$3,0))-100%))*$L$144</f>
        <v>1828.58</v>
      </c>
      <c r="M154" s="286"/>
      <c r="N154" s="286"/>
      <c r="O154" s="285">
        <v>1828.58</v>
      </c>
      <c r="P154" s="285"/>
      <c r="Q154" s="285"/>
      <c r="R154" s="278"/>
      <c r="S154" s="278"/>
      <c r="T154" s="278"/>
      <c r="U154" s="304"/>
    </row>
    <row r="155" spans="1:21" s="305" customFormat="1" ht="14.45" hidden="1" customHeight="1" outlineLevel="1" x14ac:dyDescent="0.25">
      <c r="A155" s="278"/>
      <c r="B155" s="279" t="str">
        <f t="shared" si="77"/>
        <v>full height cabinetencloseddesigner 2 packquality</v>
      </c>
      <c r="C155" s="278" t="s">
        <v>994</v>
      </c>
      <c r="D155" s="278" t="s">
        <v>1025</v>
      </c>
      <c r="E155" s="278" t="s">
        <v>992</v>
      </c>
      <c r="F155" s="278" t="s">
        <v>544</v>
      </c>
      <c r="G155" s="278" t="s">
        <v>15</v>
      </c>
      <c r="H155" s="290">
        <v>2.2000000000000002</v>
      </c>
      <c r="I155" s="280">
        <f t="shared" si="78"/>
        <v>177.36400000000003</v>
      </c>
      <c r="J155" s="281">
        <f t="shared" si="79"/>
        <v>201.14600000000004</v>
      </c>
      <c r="K155" s="282">
        <f>IF(Notes!$B$9="Domestic",I155, IF(Notes!$B$9="Commercial",J155))*$K$144</f>
        <v>201.14600000000004</v>
      </c>
      <c r="L155" s="283">
        <f>(SUM(O155:Q155)+(K155+SUM(M155:Q155))*(INDEX($U$144:$AB$144,MATCH(Notes!$C$16,$U$3:$AB$3,0))-100%))*$L$144</f>
        <v>2011.4380000000001</v>
      </c>
      <c r="M155" s="286"/>
      <c r="N155" s="286"/>
      <c r="O155" s="311">
        <f>O154*1.1</f>
        <v>2011.4380000000001</v>
      </c>
      <c r="P155" s="285"/>
      <c r="Q155" s="285"/>
      <c r="R155" s="278"/>
      <c r="S155" s="278"/>
      <c r="T155" s="278"/>
      <c r="U155" s="304"/>
    </row>
    <row r="156" spans="1:21" s="305" customFormat="1" ht="14.45" hidden="1" customHeight="1" outlineLevel="1" x14ac:dyDescent="0.25">
      <c r="A156" s="278"/>
      <c r="B156" s="279" t="str">
        <f t="shared" si="77"/>
        <v>full height cabinetencloseddesigner 2 packprestige</v>
      </c>
      <c r="C156" s="278" t="s">
        <v>994</v>
      </c>
      <c r="D156" s="278" t="s">
        <v>1025</v>
      </c>
      <c r="E156" s="278" t="s">
        <v>992</v>
      </c>
      <c r="F156" s="278" t="s">
        <v>545</v>
      </c>
      <c r="G156" s="278" t="s">
        <v>15</v>
      </c>
      <c r="H156" s="290">
        <v>2.2000000000000002</v>
      </c>
      <c r="I156" s="280">
        <f t="shared" si="78"/>
        <v>177.36400000000003</v>
      </c>
      <c r="J156" s="281">
        <f t="shared" si="79"/>
        <v>201.14600000000004</v>
      </c>
      <c r="K156" s="282">
        <f>IF(Notes!$B$9="Domestic",I156, IF(Notes!$B$9="Commercial",J156))*$K$144</f>
        <v>201.14600000000004</v>
      </c>
      <c r="L156" s="283">
        <f>(SUM(O156:Q156)+(K156+SUM(M156:Q156))*(INDEX($U$144:$AB$144,MATCH(Notes!$C$16,$U$3:$AB$3,0))-100%))*$L$144</f>
        <v>2212.5818000000004</v>
      </c>
      <c r="M156" s="286"/>
      <c r="N156" s="286"/>
      <c r="O156" s="311">
        <f>O155*1.1</f>
        <v>2212.5818000000004</v>
      </c>
      <c r="P156" s="285"/>
      <c r="Q156" s="285"/>
      <c r="R156" s="278"/>
      <c r="S156" s="278"/>
      <c r="T156" s="278"/>
      <c r="U156" s="304"/>
    </row>
    <row r="157" spans="1:21" s="305" customFormat="1" ht="14.45" hidden="1" customHeight="1" outlineLevel="1" x14ac:dyDescent="0.25">
      <c r="A157" s="278"/>
      <c r="B157" s="279" t="str">
        <f t="shared" si="77"/>
        <v>full height cabinetopenstandard laminatedaverage</v>
      </c>
      <c r="C157" s="278" t="s">
        <v>994</v>
      </c>
      <c r="D157" s="278" t="s">
        <v>1026</v>
      </c>
      <c r="E157" s="278" t="s">
        <v>989</v>
      </c>
      <c r="F157" s="278" t="s">
        <v>543</v>
      </c>
      <c r="G157" s="278" t="s">
        <v>15</v>
      </c>
      <c r="H157" s="290">
        <v>1.88</v>
      </c>
      <c r="I157" s="280">
        <f t="shared" si="78"/>
        <v>151.56559999999999</v>
      </c>
      <c r="J157" s="281">
        <f t="shared" si="79"/>
        <v>171.88839999999999</v>
      </c>
      <c r="K157" s="282">
        <f>IF(Notes!$B$9="Domestic",I157, IF(Notes!$B$9="Commercial",J157))*$K$144</f>
        <v>171.88839999999999</v>
      </c>
      <c r="L157" s="283">
        <f>(SUM(O157:Q157)+(K157+SUM(M157:Q157))*(INDEX($U$144:$AB$144,MATCH(Notes!$C$16,$U$3:$AB$3,0))-100%))*$L$144</f>
        <v>1060.527</v>
      </c>
      <c r="M157" s="286"/>
      <c r="N157" s="286"/>
      <c r="O157" s="311">
        <f>O145*1.3</f>
        <v>1060.527</v>
      </c>
      <c r="P157" s="285"/>
      <c r="Q157" s="285"/>
      <c r="R157" s="278"/>
      <c r="S157" s="278"/>
      <c r="T157" s="278"/>
      <c r="U157" s="304"/>
    </row>
    <row r="158" spans="1:21" s="305" customFormat="1" ht="14.45" hidden="1" customHeight="1" outlineLevel="1" x14ac:dyDescent="0.25">
      <c r="A158" s="278"/>
      <c r="B158" s="279" t="str">
        <f t="shared" si="77"/>
        <v>full height cabinetopenstandard laminatedquality</v>
      </c>
      <c r="C158" s="278" t="s">
        <v>994</v>
      </c>
      <c r="D158" s="278" t="s">
        <v>1026</v>
      </c>
      <c r="E158" s="278" t="s">
        <v>989</v>
      </c>
      <c r="F158" s="278" t="s">
        <v>544</v>
      </c>
      <c r="G158" s="278" t="s">
        <v>15</v>
      </c>
      <c r="H158" s="290">
        <v>1.88</v>
      </c>
      <c r="I158" s="280">
        <f t="shared" si="78"/>
        <v>151.56559999999999</v>
      </c>
      <c r="J158" s="281">
        <f t="shared" si="79"/>
        <v>171.88839999999999</v>
      </c>
      <c r="K158" s="282">
        <f>IF(Notes!$B$9="Domestic",I158, IF(Notes!$B$9="Commercial",J158))*$K$144</f>
        <v>171.88839999999999</v>
      </c>
      <c r="L158" s="283">
        <f>(SUM(O158:Q158)+(K158+SUM(M158:Q158))*(INDEX($U$144:$AB$144,MATCH(Notes!$C$16,$U$3:$AB$3,0))-100%))*$L$144</f>
        <v>1166.5797</v>
      </c>
      <c r="M158" s="286"/>
      <c r="N158" s="286"/>
      <c r="O158" s="311">
        <f t="shared" ref="O158:O168" si="80">O146*1.3</f>
        <v>1166.5797</v>
      </c>
      <c r="P158" s="285"/>
      <c r="Q158" s="285"/>
      <c r="R158" s="278"/>
      <c r="S158" s="278"/>
      <c r="T158" s="278"/>
      <c r="U158" s="304"/>
    </row>
    <row r="159" spans="1:21" s="305" customFormat="1" ht="14.45" hidden="1" customHeight="1" outlineLevel="1" x14ac:dyDescent="0.25">
      <c r="A159" s="278"/>
      <c r="B159" s="279" t="str">
        <f t="shared" si="77"/>
        <v>full height cabinetopenstandard laminatedprestige</v>
      </c>
      <c r="C159" s="278" t="s">
        <v>994</v>
      </c>
      <c r="D159" s="278" t="s">
        <v>1026</v>
      </c>
      <c r="E159" s="278" t="s">
        <v>989</v>
      </c>
      <c r="F159" s="278" t="s">
        <v>545</v>
      </c>
      <c r="G159" s="278" t="s">
        <v>15</v>
      </c>
      <c r="H159" s="290">
        <v>1.88</v>
      </c>
      <c r="I159" s="280">
        <f t="shared" si="78"/>
        <v>151.56559999999999</v>
      </c>
      <c r="J159" s="281">
        <f t="shared" si="79"/>
        <v>171.88839999999999</v>
      </c>
      <c r="K159" s="282">
        <f>IF(Notes!$B$9="Domestic",I159, IF(Notes!$B$9="Commercial",J159))*$K$144</f>
        <v>171.88839999999999</v>
      </c>
      <c r="L159" s="283">
        <f>(SUM(O159:Q159)+(K159+SUM(M159:Q159))*(INDEX($U$144:$AB$144,MATCH(Notes!$C$16,$U$3:$AB$3,0))-100%))*$L$144</f>
        <v>1283.2376700000002</v>
      </c>
      <c r="M159" s="286"/>
      <c r="N159" s="286"/>
      <c r="O159" s="311">
        <f t="shared" si="80"/>
        <v>1283.2376700000002</v>
      </c>
      <c r="P159" s="285"/>
      <c r="Q159" s="285"/>
      <c r="R159" s="278"/>
      <c r="S159" s="278"/>
      <c r="T159" s="278"/>
      <c r="U159" s="304"/>
    </row>
    <row r="160" spans="1:21" s="305" customFormat="1" ht="14.45" hidden="1" customHeight="1" outlineLevel="1" x14ac:dyDescent="0.25">
      <c r="A160" s="278"/>
      <c r="B160" s="279" t="str">
        <f t="shared" si="77"/>
        <v>full height cabinetopendesigner laminatedaverage</v>
      </c>
      <c r="C160" s="278" t="s">
        <v>994</v>
      </c>
      <c r="D160" s="278" t="s">
        <v>1026</v>
      </c>
      <c r="E160" s="278" t="s">
        <v>990</v>
      </c>
      <c r="F160" s="278" t="s">
        <v>543</v>
      </c>
      <c r="G160" s="278" t="s">
        <v>15</v>
      </c>
      <c r="H160" s="290">
        <v>1.88</v>
      </c>
      <c r="I160" s="280">
        <f t="shared" si="78"/>
        <v>151.56559999999999</v>
      </c>
      <c r="J160" s="281">
        <f t="shared" si="79"/>
        <v>171.88839999999999</v>
      </c>
      <c r="K160" s="282">
        <f>IF(Notes!$B$9="Domestic",I160, IF(Notes!$B$9="Commercial",J160))*$K$144</f>
        <v>171.88839999999999</v>
      </c>
      <c r="L160" s="283">
        <f>(SUM(O160:Q160)+(K160+SUM(M160:Q160))*(INDEX($U$144:$AB$144,MATCH(Notes!$C$16,$U$3:$AB$3,0))-100%))*$L$144</f>
        <v>1364.2460000000001</v>
      </c>
      <c r="M160" s="286"/>
      <c r="N160" s="286"/>
      <c r="O160" s="311">
        <f t="shared" si="80"/>
        <v>1364.2460000000001</v>
      </c>
      <c r="P160" s="285"/>
      <c r="Q160" s="285"/>
      <c r="R160" s="278"/>
      <c r="S160" s="278"/>
      <c r="T160" s="278"/>
      <c r="U160" s="304"/>
    </row>
    <row r="161" spans="1:28" s="305" customFormat="1" ht="14.45" hidden="1" customHeight="1" outlineLevel="1" x14ac:dyDescent="0.25">
      <c r="A161" s="278"/>
      <c r="B161" s="279" t="str">
        <f t="shared" si="77"/>
        <v>full height cabinetopendesigner laminatedquality</v>
      </c>
      <c r="C161" s="278" t="s">
        <v>994</v>
      </c>
      <c r="D161" s="278" t="s">
        <v>1026</v>
      </c>
      <c r="E161" s="278" t="s">
        <v>990</v>
      </c>
      <c r="F161" s="278" t="s">
        <v>544</v>
      </c>
      <c r="G161" s="278" t="s">
        <v>15</v>
      </c>
      <c r="H161" s="290">
        <v>1.88</v>
      </c>
      <c r="I161" s="280">
        <f t="shared" si="78"/>
        <v>151.56559999999999</v>
      </c>
      <c r="J161" s="281">
        <f t="shared" si="79"/>
        <v>171.88839999999999</v>
      </c>
      <c r="K161" s="282">
        <f>IF(Notes!$B$9="Domestic",I161, IF(Notes!$B$9="Commercial",J161))*$K$144</f>
        <v>171.88839999999999</v>
      </c>
      <c r="L161" s="283">
        <f>(SUM(O161:Q161)+(K161+SUM(M161:Q161))*(INDEX($U$144:$AB$144,MATCH(Notes!$C$16,$U$3:$AB$3,0))-100%))*$L$144</f>
        <v>1500.6706000000001</v>
      </c>
      <c r="M161" s="286"/>
      <c r="N161" s="286"/>
      <c r="O161" s="311">
        <f t="shared" si="80"/>
        <v>1500.6706000000001</v>
      </c>
      <c r="P161" s="285"/>
      <c r="Q161" s="285"/>
      <c r="R161" s="278"/>
      <c r="S161" s="278"/>
      <c r="T161" s="278"/>
      <c r="U161" s="304"/>
    </row>
    <row r="162" spans="1:28" s="305" customFormat="1" ht="14.45" hidden="1" customHeight="1" outlineLevel="1" x14ac:dyDescent="0.25">
      <c r="A162" s="278"/>
      <c r="B162" s="279" t="str">
        <f t="shared" si="77"/>
        <v>full height cabinetopendesigner laminatedprestige</v>
      </c>
      <c r="C162" s="278" t="s">
        <v>994</v>
      </c>
      <c r="D162" s="278" t="s">
        <v>1026</v>
      </c>
      <c r="E162" s="278" t="s">
        <v>990</v>
      </c>
      <c r="F162" s="278" t="s">
        <v>545</v>
      </c>
      <c r="G162" s="278" t="s">
        <v>15</v>
      </c>
      <c r="H162" s="290">
        <v>1.88</v>
      </c>
      <c r="I162" s="280">
        <f t="shared" si="78"/>
        <v>151.56559999999999</v>
      </c>
      <c r="J162" s="281">
        <f t="shared" si="79"/>
        <v>171.88839999999999</v>
      </c>
      <c r="K162" s="282">
        <f>IF(Notes!$B$9="Domestic",I162, IF(Notes!$B$9="Commercial",J162))*$K$144</f>
        <v>171.88839999999999</v>
      </c>
      <c r="L162" s="283">
        <f>(SUM(O162:Q162)+(K162+SUM(M162:Q162))*(INDEX($U$144:$AB$144,MATCH(Notes!$C$16,$U$3:$AB$3,0))-100%))*$L$144</f>
        <v>1650.7376600000002</v>
      </c>
      <c r="M162" s="286"/>
      <c r="N162" s="286"/>
      <c r="O162" s="311">
        <f t="shared" si="80"/>
        <v>1650.7376600000002</v>
      </c>
      <c r="P162" s="285"/>
      <c r="Q162" s="285"/>
      <c r="R162" s="278"/>
      <c r="S162" s="278"/>
      <c r="T162" s="278"/>
      <c r="U162" s="304"/>
    </row>
    <row r="163" spans="1:28" s="305" customFormat="1" ht="14.45" hidden="1" customHeight="1" outlineLevel="1" x14ac:dyDescent="0.25">
      <c r="A163" s="278"/>
      <c r="B163" s="279" t="str">
        <f t="shared" si="77"/>
        <v>full height cabinetopenstandard 2 packaverage</v>
      </c>
      <c r="C163" s="278" t="s">
        <v>994</v>
      </c>
      <c r="D163" s="278" t="s">
        <v>1026</v>
      </c>
      <c r="E163" s="278" t="s">
        <v>991</v>
      </c>
      <c r="F163" s="278" t="s">
        <v>543</v>
      </c>
      <c r="G163" s="278" t="s">
        <v>15</v>
      </c>
      <c r="H163" s="290">
        <v>1.88</v>
      </c>
      <c r="I163" s="280">
        <f t="shared" si="78"/>
        <v>151.56559999999999</v>
      </c>
      <c r="J163" s="281">
        <f t="shared" si="79"/>
        <v>171.88839999999999</v>
      </c>
      <c r="K163" s="282">
        <f>IF(Notes!$B$9="Domestic",I163, IF(Notes!$B$9="Commercial",J163))*$K$144</f>
        <v>171.88839999999999</v>
      </c>
      <c r="L163" s="283">
        <f>(SUM(O163:Q163)+(K163+SUM(M163:Q163))*(INDEX($U$144:$AB$144,MATCH(Notes!$C$16,$U$3:$AB$3,0))-100%))*$L$144</f>
        <v>1490.6970000000001</v>
      </c>
      <c r="M163" s="286"/>
      <c r="N163" s="286"/>
      <c r="O163" s="311">
        <f t="shared" si="80"/>
        <v>1490.6970000000001</v>
      </c>
      <c r="P163" s="285"/>
      <c r="Q163" s="285"/>
      <c r="R163" s="278"/>
      <c r="S163" s="278"/>
      <c r="T163" s="278"/>
      <c r="U163" s="304"/>
    </row>
    <row r="164" spans="1:28" s="305" customFormat="1" ht="14.45" hidden="1" customHeight="1" outlineLevel="1" x14ac:dyDescent="0.25">
      <c r="A164" s="278"/>
      <c r="B164" s="279" t="str">
        <f t="shared" si="77"/>
        <v>full height cabinetopenstandard 2 packquality</v>
      </c>
      <c r="C164" s="278" t="s">
        <v>994</v>
      </c>
      <c r="D164" s="278" t="s">
        <v>1026</v>
      </c>
      <c r="E164" s="278" t="s">
        <v>991</v>
      </c>
      <c r="F164" s="278" t="s">
        <v>544</v>
      </c>
      <c r="G164" s="278" t="s">
        <v>15</v>
      </c>
      <c r="H164" s="290">
        <v>1.88</v>
      </c>
      <c r="I164" s="280">
        <f t="shared" si="78"/>
        <v>151.56559999999999</v>
      </c>
      <c r="J164" s="281">
        <f t="shared" si="79"/>
        <v>171.88839999999999</v>
      </c>
      <c r="K164" s="282">
        <f>IF(Notes!$B$9="Domestic",I164, IF(Notes!$B$9="Commercial",J164))*$K$144</f>
        <v>171.88839999999999</v>
      </c>
      <c r="L164" s="283">
        <f>(SUM(O164:Q164)+(K164+SUM(M164:Q164))*(INDEX($U$144:$AB$144,MATCH(Notes!$C$16,$U$3:$AB$3,0))-100%))*$L$144</f>
        <v>1639.7667000000004</v>
      </c>
      <c r="M164" s="286"/>
      <c r="N164" s="286"/>
      <c r="O164" s="311">
        <f t="shared" si="80"/>
        <v>1639.7667000000004</v>
      </c>
      <c r="P164" s="285"/>
      <c r="Q164" s="285"/>
      <c r="R164" s="278"/>
      <c r="S164" s="278"/>
      <c r="T164" s="278"/>
      <c r="U164" s="304"/>
    </row>
    <row r="165" spans="1:28" s="305" customFormat="1" ht="14.45" hidden="1" customHeight="1" outlineLevel="1" x14ac:dyDescent="0.25">
      <c r="A165" s="278"/>
      <c r="B165" s="279" t="str">
        <f t="shared" si="77"/>
        <v>full height cabinetopenstandard 2 packprestige</v>
      </c>
      <c r="C165" s="278" t="s">
        <v>994</v>
      </c>
      <c r="D165" s="278" t="s">
        <v>1026</v>
      </c>
      <c r="E165" s="278" t="s">
        <v>991</v>
      </c>
      <c r="F165" s="278" t="s">
        <v>545</v>
      </c>
      <c r="G165" s="278" t="s">
        <v>15</v>
      </c>
      <c r="H165" s="290">
        <v>1.88</v>
      </c>
      <c r="I165" s="280">
        <f t="shared" si="78"/>
        <v>151.56559999999999</v>
      </c>
      <c r="J165" s="281">
        <f t="shared" si="79"/>
        <v>171.88839999999999</v>
      </c>
      <c r="K165" s="282">
        <f>IF(Notes!$B$9="Domestic",I165, IF(Notes!$B$9="Commercial",J165))*$K$144</f>
        <v>171.88839999999999</v>
      </c>
      <c r="L165" s="283">
        <f>(SUM(O165:Q165)+(K165+SUM(M165:Q165))*(INDEX($U$144:$AB$144,MATCH(Notes!$C$16,$U$3:$AB$3,0))-100%))*$L$144</f>
        <v>1803.7433700000006</v>
      </c>
      <c r="M165" s="286"/>
      <c r="N165" s="286"/>
      <c r="O165" s="311">
        <f t="shared" si="80"/>
        <v>1803.7433700000006</v>
      </c>
      <c r="P165" s="285"/>
      <c r="Q165" s="285"/>
      <c r="R165" s="278"/>
      <c r="S165" s="278"/>
      <c r="T165" s="278"/>
      <c r="U165" s="304"/>
    </row>
    <row r="166" spans="1:28" s="305" customFormat="1" ht="14.45" hidden="1" customHeight="1" outlineLevel="1" x14ac:dyDescent="0.25">
      <c r="A166" s="278"/>
      <c r="B166" s="279" t="str">
        <f t="shared" si="77"/>
        <v>full height cabinetopendesigner 2 packaverage</v>
      </c>
      <c r="C166" s="278" t="s">
        <v>994</v>
      </c>
      <c r="D166" s="278" t="s">
        <v>1026</v>
      </c>
      <c r="E166" s="278" t="s">
        <v>992</v>
      </c>
      <c r="F166" s="278" t="s">
        <v>543</v>
      </c>
      <c r="G166" s="278" t="s">
        <v>15</v>
      </c>
      <c r="H166" s="290">
        <v>1.88</v>
      </c>
      <c r="I166" s="280">
        <f t="shared" si="78"/>
        <v>151.56559999999999</v>
      </c>
      <c r="J166" s="281">
        <f t="shared" si="79"/>
        <v>171.88839999999999</v>
      </c>
      <c r="K166" s="282">
        <f>IF(Notes!$B$9="Domestic",I166, IF(Notes!$B$9="Commercial",J166))*$K$144</f>
        <v>171.88839999999999</v>
      </c>
      <c r="L166" s="283">
        <f>(SUM(O166:Q166)+(K166+SUM(M166:Q166))*(INDEX($U$144:$AB$144,MATCH(Notes!$C$16,$U$3:$AB$3,0))-100%))*$L$144</f>
        <v>2377.154</v>
      </c>
      <c r="M166" s="286"/>
      <c r="N166" s="286"/>
      <c r="O166" s="311">
        <f t="shared" si="80"/>
        <v>2377.154</v>
      </c>
      <c r="P166" s="285"/>
      <c r="Q166" s="285"/>
      <c r="R166" s="278"/>
      <c r="S166" s="278"/>
      <c r="T166" s="278"/>
      <c r="U166" s="304"/>
    </row>
    <row r="167" spans="1:28" s="305" customFormat="1" ht="14.45" hidden="1" customHeight="1" outlineLevel="1" x14ac:dyDescent="0.25">
      <c r="A167" s="278"/>
      <c r="B167" s="279" t="str">
        <f t="shared" si="77"/>
        <v>full height cabinetopendesigner 2 packquality</v>
      </c>
      <c r="C167" s="278" t="s">
        <v>994</v>
      </c>
      <c r="D167" s="278" t="s">
        <v>1026</v>
      </c>
      <c r="E167" s="278" t="s">
        <v>992</v>
      </c>
      <c r="F167" s="278" t="s">
        <v>544</v>
      </c>
      <c r="G167" s="278" t="s">
        <v>15</v>
      </c>
      <c r="H167" s="290">
        <v>1.88</v>
      </c>
      <c r="I167" s="280">
        <f t="shared" si="78"/>
        <v>151.56559999999999</v>
      </c>
      <c r="J167" s="281">
        <f t="shared" si="79"/>
        <v>171.88839999999999</v>
      </c>
      <c r="K167" s="282">
        <f>IF(Notes!$B$9="Domestic",I167, IF(Notes!$B$9="Commercial",J167))*$K$144</f>
        <v>171.88839999999999</v>
      </c>
      <c r="L167" s="283">
        <f>(SUM(O167:Q167)+(K167+SUM(M167:Q167))*(INDEX($U$144:$AB$144,MATCH(Notes!$C$16,$U$3:$AB$3,0))-100%))*$L$144</f>
        <v>2614.8694</v>
      </c>
      <c r="M167" s="286"/>
      <c r="N167" s="286"/>
      <c r="O167" s="311">
        <f t="shared" si="80"/>
        <v>2614.8694</v>
      </c>
      <c r="P167" s="285"/>
      <c r="Q167" s="285"/>
      <c r="R167" s="278"/>
      <c r="S167" s="278"/>
      <c r="T167" s="278"/>
      <c r="U167" s="304"/>
    </row>
    <row r="168" spans="1:28" s="305" customFormat="1" ht="14.45" hidden="1" customHeight="1" outlineLevel="1" x14ac:dyDescent="0.25">
      <c r="A168" s="278"/>
      <c r="B168" s="279" t="str">
        <f t="shared" si="77"/>
        <v>full height cabinetopendesigner 2 packprestige</v>
      </c>
      <c r="C168" s="278" t="s">
        <v>994</v>
      </c>
      <c r="D168" s="278" t="s">
        <v>1026</v>
      </c>
      <c r="E168" s="278" t="s">
        <v>992</v>
      </c>
      <c r="F168" s="278" t="s">
        <v>545</v>
      </c>
      <c r="G168" s="278" t="s">
        <v>15</v>
      </c>
      <c r="H168" s="290">
        <v>1.88</v>
      </c>
      <c r="I168" s="280">
        <f t="shared" si="78"/>
        <v>151.56559999999999</v>
      </c>
      <c r="J168" s="281">
        <f t="shared" si="79"/>
        <v>171.88839999999999</v>
      </c>
      <c r="K168" s="282">
        <f>IF(Notes!$B$9="Domestic",I168, IF(Notes!$B$9="Commercial",J168))*$K$144</f>
        <v>171.88839999999999</v>
      </c>
      <c r="L168" s="283">
        <f>(SUM(O168:Q168)+(K168+SUM(M168:Q168))*(INDEX($U$144:$AB$144,MATCH(Notes!$C$16,$U$3:$AB$3,0))-100%))*$L$144</f>
        <v>2876.3563400000007</v>
      </c>
      <c r="M168" s="286"/>
      <c r="N168" s="286"/>
      <c r="O168" s="311">
        <f t="shared" si="80"/>
        <v>2876.3563400000007</v>
      </c>
      <c r="P168" s="285"/>
      <c r="Q168" s="285"/>
      <c r="R168" s="278"/>
      <c r="S168" s="278"/>
      <c r="T168" s="278"/>
      <c r="U168" s="304"/>
    </row>
    <row r="169" spans="1:28" ht="21" hidden="1" outlineLevel="1" x14ac:dyDescent="0.25">
      <c r="A169" s="299" t="s">
        <v>220</v>
      </c>
      <c r="B169" s="299"/>
      <c r="C169" s="299"/>
      <c r="D169" s="299"/>
      <c r="E169" s="299"/>
      <c r="F169" s="299"/>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row>
    <row r="170" spans="1:28" ht="15.75" hidden="1" outlineLevel="1" x14ac:dyDescent="0.25">
      <c r="A170" s="291"/>
      <c r="B170" s="291"/>
      <c r="C170" s="291"/>
      <c r="D170" s="291"/>
      <c r="E170" s="291"/>
      <c r="F170" s="291"/>
      <c r="G170" s="291"/>
      <c r="H170" s="291"/>
      <c r="I170" s="291"/>
      <c r="J170" s="291"/>
      <c r="K170" s="291">
        <f>K$2</f>
        <v>1</v>
      </c>
      <c r="L170" s="291">
        <f>L$2</f>
        <v>1</v>
      </c>
      <c r="M170" s="291"/>
      <c r="N170" s="291"/>
      <c r="O170" s="303"/>
      <c r="P170" s="303"/>
      <c r="Q170" s="303"/>
      <c r="R170" s="291"/>
      <c r="S170" s="291"/>
      <c r="T170" s="291"/>
      <c r="U170" s="291">
        <f>U$2</f>
        <v>1</v>
      </c>
      <c r="V170" s="291">
        <f>V$2</f>
        <v>1</v>
      </c>
      <c r="W170" s="291">
        <f t="shared" ref="W170:AB170" si="81">W$2</f>
        <v>1.009090909090909</v>
      </c>
      <c r="X170" s="291">
        <f t="shared" si="81"/>
        <v>1.0909090909090908</v>
      </c>
      <c r="Y170" s="291">
        <f t="shared" si="81"/>
        <v>1.1454545454545455</v>
      </c>
      <c r="Z170" s="291">
        <f t="shared" si="81"/>
        <v>1</v>
      </c>
      <c r="AA170" s="291">
        <f t="shared" si="81"/>
        <v>1</v>
      </c>
      <c r="AB170" s="291">
        <f t="shared" si="81"/>
        <v>1</v>
      </c>
    </row>
    <row r="171" spans="1:28" s="305" customFormat="1" ht="14.45" hidden="1" customHeight="1" outlineLevel="1" x14ac:dyDescent="0.25">
      <c r="A171" s="278"/>
      <c r="B171" s="279" t="str">
        <f>C171&amp;D171&amp;E171&amp;F171</f>
        <v>front dress panelstandard laminatedaverage</v>
      </c>
      <c r="C171" s="278" t="s">
        <v>1003</v>
      </c>
      <c r="D171" s="278"/>
      <c r="E171" s="278" t="s">
        <v>989</v>
      </c>
      <c r="F171" s="278" t="s">
        <v>543</v>
      </c>
      <c r="G171" s="278" t="s">
        <v>15</v>
      </c>
      <c r="H171" s="290">
        <v>0.25</v>
      </c>
      <c r="I171" s="280">
        <f>$I$2*H171</f>
        <v>20.155000000000001</v>
      </c>
      <c r="J171" s="281">
        <f>$J$2*H171</f>
        <v>22.857500000000002</v>
      </c>
      <c r="K171" s="282">
        <f>IF(Notes!$B$9="Domestic",I171, IF(Notes!$B$9="Commercial",J171))*$K$170</f>
        <v>22.857500000000002</v>
      </c>
      <c r="L171" s="283">
        <f>(SUM(O171:Q171)+(K171+SUM(M171:Q171))*(INDEX($U$170:$AB$170,MATCH(Notes!$C$16,$U$3:$AB$3,0))-100%))*$L$170</f>
        <v>136.36000000000001</v>
      </c>
      <c r="M171" s="286"/>
      <c r="N171" s="286"/>
      <c r="O171" s="311">
        <f>O183*2</f>
        <v>136.36000000000001</v>
      </c>
      <c r="P171" s="285"/>
      <c r="Q171" s="285"/>
      <c r="R171" s="278"/>
      <c r="S171" s="278"/>
      <c r="T171" s="278"/>
      <c r="U171" s="304"/>
    </row>
    <row r="172" spans="1:28" s="305" customFormat="1" ht="14.45" hidden="1" customHeight="1" outlineLevel="1" x14ac:dyDescent="0.25">
      <c r="A172" s="278"/>
      <c r="B172" s="279" t="str">
        <f t="shared" ref="B172:B202" si="82">C172&amp;D172&amp;E172&amp;F172</f>
        <v>front dress panelstandard laminatedquality</v>
      </c>
      <c r="C172" s="278" t="s">
        <v>1003</v>
      </c>
      <c r="D172" s="278"/>
      <c r="E172" s="278" t="s">
        <v>989</v>
      </c>
      <c r="F172" s="278" t="s">
        <v>544</v>
      </c>
      <c r="G172" s="278" t="s">
        <v>15</v>
      </c>
      <c r="H172" s="290">
        <v>0.25</v>
      </c>
      <c r="I172" s="280">
        <f t="shared" ref="I172:I202" si="83">$I$2*H172</f>
        <v>20.155000000000001</v>
      </c>
      <c r="J172" s="281">
        <f t="shared" ref="J172:J202" si="84">$J$2*H172</f>
        <v>22.857500000000002</v>
      </c>
      <c r="K172" s="282">
        <f>IF(Notes!$B$9="Domestic",I172, IF(Notes!$B$9="Commercial",J172))*$K$170</f>
        <v>22.857500000000002</v>
      </c>
      <c r="L172" s="283">
        <f>(SUM(O172:Q172)+(K172+SUM(M172:Q172))*(INDEX($U$170:$AB$170,MATCH(Notes!$C$16,$U$3:$AB$3,0))-100%))*$L$170</f>
        <v>149.99600000000004</v>
      </c>
      <c r="M172" s="286"/>
      <c r="N172" s="286"/>
      <c r="O172" s="311">
        <f>O171*1.1</f>
        <v>149.99600000000004</v>
      </c>
      <c r="P172" s="285"/>
      <c r="Q172" s="285"/>
      <c r="R172" s="278"/>
      <c r="S172" s="278"/>
      <c r="T172" s="278"/>
      <c r="U172" s="304"/>
    </row>
    <row r="173" spans="1:28" s="305" customFormat="1" ht="14.45" hidden="1" customHeight="1" outlineLevel="1" x14ac:dyDescent="0.25">
      <c r="A173" s="278"/>
      <c r="B173" s="279" t="str">
        <f t="shared" ref="B173:B190" si="85">C173&amp;D173&amp;E173&amp;F173</f>
        <v>front dress panelstandard laminatedprestige</v>
      </c>
      <c r="C173" s="278" t="s">
        <v>1003</v>
      </c>
      <c r="D173" s="278"/>
      <c r="E173" s="278" t="s">
        <v>989</v>
      </c>
      <c r="F173" s="278" t="s">
        <v>545</v>
      </c>
      <c r="G173" s="278" t="s">
        <v>15</v>
      </c>
      <c r="H173" s="290">
        <v>0.25</v>
      </c>
      <c r="I173" s="280">
        <f t="shared" ref="I173:I190" si="86">$I$2*H173</f>
        <v>20.155000000000001</v>
      </c>
      <c r="J173" s="281">
        <f t="shared" ref="J173:J190" si="87">$J$2*H173</f>
        <v>22.857500000000002</v>
      </c>
      <c r="K173" s="282">
        <f>IF(Notes!$B$9="Domestic",I173, IF(Notes!$B$9="Commercial",J173))*$K$170</f>
        <v>22.857500000000002</v>
      </c>
      <c r="L173" s="283">
        <f>(SUM(O173:Q173)+(K173+SUM(M173:Q173))*(INDEX($U$170:$AB$170,MATCH(Notes!$C$16,$U$3:$AB$3,0))-100%))*$L$170</f>
        <v>164.99560000000005</v>
      </c>
      <c r="M173" s="286"/>
      <c r="N173" s="286"/>
      <c r="O173" s="311">
        <f>O172*1.1</f>
        <v>164.99560000000005</v>
      </c>
      <c r="P173" s="285"/>
      <c r="Q173" s="285"/>
      <c r="R173" s="278"/>
      <c r="S173" s="278"/>
      <c r="T173" s="278"/>
      <c r="U173" s="304"/>
    </row>
    <row r="174" spans="1:28" s="305" customFormat="1" ht="14.45" hidden="1" customHeight="1" outlineLevel="1" x14ac:dyDescent="0.25">
      <c r="A174" s="278"/>
      <c r="B174" s="279" t="str">
        <f t="shared" si="85"/>
        <v>front dress paneldesigner laminatedaverage</v>
      </c>
      <c r="C174" s="278" t="s">
        <v>1003</v>
      </c>
      <c r="D174" s="278"/>
      <c r="E174" s="278" t="s">
        <v>990</v>
      </c>
      <c r="F174" s="278" t="s">
        <v>543</v>
      </c>
      <c r="G174" s="278" t="s">
        <v>15</v>
      </c>
      <c r="H174" s="290">
        <v>0.25</v>
      </c>
      <c r="I174" s="280">
        <f t="shared" si="86"/>
        <v>20.155000000000001</v>
      </c>
      <c r="J174" s="281">
        <f t="shared" si="87"/>
        <v>22.857500000000002</v>
      </c>
      <c r="K174" s="282">
        <f>IF(Notes!$B$9="Domestic",I174, IF(Notes!$B$9="Commercial",J174))*$K$170</f>
        <v>22.857500000000002</v>
      </c>
      <c r="L174" s="283">
        <f>(SUM(O174:Q174)+(K174+SUM(M174:Q174))*(INDEX($U$170:$AB$170,MATCH(Notes!$C$16,$U$3:$AB$3,0))-100%))*$L$170</f>
        <v>218.18</v>
      </c>
      <c r="M174" s="286"/>
      <c r="N174" s="286"/>
      <c r="O174" s="311">
        <f>O186*2</f>
        <v>218.18</v>
      </c>
      <c r="P174" s="285"/>
      <c r="Q174" s="285"/>
      <c r="R174" s="278"/>
      <c r="S174" s="278"/>
      <c r="T174" s="278"/>
      <c r="U174" s="304"/>
    </row>
    <row r="175" spans="1:28" s="305" customFormat="1" ht="14.45" hidden="1" customHeight="1" outlineLevel="1" x14ac:dyDescent="0.25">
      <c r="A175" s="278"/>
      <c r="B175" s="279" t="str">
        <f t="shared" si="85"/>
        <v>front dress paneldesigner laminatedquality</v>
      </c>
      <c r="C175" s="278" t="s">
        <v>1003</v>
      </c>
      <c r="D175" s="278"/>
      <c r="E175" s="278" t="s">
        <v>990</v>
      </c>
      <c r="F175" s="278" t="s">
        <v>544</v>
      </c>
      <c r="G175" s="278" t="s">
        <v>15</v>
      </c>
      <c r="H175" s="290">
        <v>0.25</v>
      </c>
      <c r="I175" s="280">
        <f t="shared" si="86"/>
        <v>20.155000000000001</v>
      </c>
      <c r="J175" s="281">
        <f t="shared" si="87"/>
        <v>22.857500000000002</v>
      </c>
      <c r="K175" s="282">
        <f>IF(Notes!$B$9="Domestic",I175, IF(Notes!$B$9="Commercial",J175))*$K$170</f>
        <v>22.857500000000002</v>
      </c>
      <c r="L175" s="283">
        <f>(SUM(O175:Q175)+(K175+SUM(M175:Q175))*(INDEX($U$170:$AB$170,MATCH(Notes!$C$16,$U$3:$AB$3,0))-100%))*$L$170</f>
        <v>239.99800000000002</v>
      </c>
      <c r="M175" s="286"/>
      <c r="N175" s="286"/>
      <c r="O175" s="311">
        <f t="shared" ref="O175:O176" si="88">O174*1.1</f>
        <v>239.99800000000002</v>
      </c>
      <c r="P175" s="285"/>
      <c r="Q175" s="285"/>
      <c r="R175" s="278"/>
      <c r="S175" s="278"/>
      <c r="T175" s="278"/>
      <c r="U175" s="304"/>
    </row>
    <row r="176" spans="1:28" s="305" customFormat="1" ht="14.45" hidden="1" customHeight="1" outlineLevel="1" x14ac:dyDescent="0.25">
      <c r="A176" s="278"/>
      <c r="B176" s="279" t="str">
        <f t="shared" si="85"/>
        <v>front dress paneldesigner laminatedprestige</v>
      </c>
      <c r="C176" s="278" t="s">
        <v>1003</v>
      </c>
      <c r="D176" s="278"/>
      <c r="E176" s="278" t="s">
        <v>990</v>
      </c>
      <c r="F176" s="278" t="s">
        <v>545</v>
      </c>
      <c r="G176" s="278" t="s">
        <v>15</v>
      </c>
      <c r="H176" s="290">
        <v>0.25</v>
      </c>
      <c r="I176" s="280">
        <f t="shared" si="86"/>
        <v>20.155000000000001</v>
      </c>
      <c r="J176" s="281">
        <f t="shared" si="87"/>
        <v>22.857500000000002</v>
      </c>
      <c r="K176" s="282">
        <f>IF(Notes!$B$9="Domestic",I176, IF(Notes!$B$9="Commercial",J176))*$K$170</f>
        <v>22.857500000000002</v>
      </c>
      <c r="L176" s="283">
        <f>(SUM(O176:Q176)+(K176+SUM(M176:Q176))*(INDEX($U$170:$AB$170,MATCH(Notes!$C$16,$U$3:$AB$3,0))-100%))*$L$170</f>
        <v>263.99780000000004</v>
      </c>
      <c r="M176" s="286"/>
      <c r="N176" s="286"/>
      <c r="O176" s="311">
        <f t="shared" si="88"/>
        <v>263.99780000000004</v>
      </c>
      <c r="P176" s="285"/>
      <c r="Q176" s="285"/>
      <c r="R176" s="278"/>
      <c r="S176" s="278"/>
      <c r="T176" s="278"/>
      <c r="U176" s="304"/>
    </row>
    <row r="177" spans="1:21" s="305" customFormat="1" ht="14.45" hidden="1" customHeight="1" outlineLevel="1" x14ac:dyDescent="0.25">
      <c r="A177" s="278"/>
      <c r="B177" s="279" t="str">
        <f t="shared" si="85"/>
        <v>front dress panelstandard 2 packaverage</v>
      </c>
      <c r="C177" s="278" t="s">
        <v>1003</v>
      </c>
      <c r="D177" s="278"/>
      <c r="E177" s="278" t="s">
        <v>991</v>
      </c>
      <c r="F177" s="278" t="s">
        <v>543</v>
      </c>
      <c r="G177" s="278" t="s">
        <v>15</v>
      </c>
      <c r="H177" s="290">
        <v>0.25</v>
      </c>
      <c r="I177" s="280">
        <f t="shared" si="86"/>
        <v>20.155000000000001</v>
      </c>
      <c r="J177" s="281">
        <f t="shared" si="87"/>
        <v>22.857500000000002</v>
      </c>
      <c r="K177" s="282">
        <f>IF(Notes!$B$9="Domestic",I177, IF(Notes!$B$9="Commercial",J177))*$K$170</f>
        <v>22.857500000000002</v>
      </c>
      <c r="L177" s="283">
        <f>(SUM(O177:Q177)+(K177+SUM(M177:Q177))*(INDEX($U$170:$AB$170,MATCH(Notes!$C$16,$U$3:$AB$3,0))-100%))*$L$170</f>
        <v>272.72000000000003</v>
      </c>
      <c r="M177" s="286"/>
      <c r="N177" s="286"/>
      <c r="O177" s="311">
        <f>O189*2</f>
        <v>272.72000000000003</v>
      </c>
      <c r="P177" s="285"/>
      <c r="Q177" s="285"/>
      <c r="R177" s="278"/>
      <c r="S177" s="278"/>
      <c r="T177" s="278"/>
      <c r="U177" s="304"/>
    </row>
    <row r="178" spans="1:21" s="305" customFormat="1" ht="14.45" hidden="1" customHeight="1" outlineLevel="1" x14ac:dyDescent="0.25">
      <c r="A178" s="278"/>
      <c r="B178" s="279" t="str">
        <f t="shared" si="85"/>
        <v>front dress panelstandard 2 packquality</v>
      </c>
      <c r="C178" s="278" t="s">
        <v>1003</v>
      </c>
      <c r="D178" s="278"/>
      <c r="E178" s="278" t="s">
        <v>991</v>
      </c>
      <c r="F178" s="278" t="s">
        <v>544</v>
      </c>
      <c r="G178" s="278" t="s">
        <v>15</v>
      </c>
      <c r="H178" s="290">
        <v>0.25</v>
      </c>
      <c r="I178" s="280">
        <f t="shared" si="86"/>
        <v>20.155000000000001</v>
      </c>
      <c r="J178" s="281">
        <f t="shared" si="87"/>
        <v>22.857500000000002</v>
      </c>
      <c r="K178" s="282">
        <f>IF(Notes!$B$9="Domestic",I178, IF(Notes!$B$9="Commercial",J178))*$K$170</f>
        <v>22.857500000000002</v>
      </c>
      <c r="L178" s="283">
        <f>(SUM(O178:Q178)+(K178+SUM(M178:Q178))*(INDEX($U$170:$AB$170,MATCH(Notes!$C$16,$U$3:$AB$3,0))-100%))*$L$170</f>
        <v>299.99200000000008</v>
      </c>
      <c r="M178" s="286"/>
      <c r="N178" s="286"/>
      <c r="O178" s="311">
        <f t="shared" ref="O178:O179" si="89">O177*1.1</f>
        <v>299.99200000000008</v>
      </c>
      <c r="P178" s="285"/>
      <c r="Q178" s="285"/>
      <c r="R178" s="278"/>
      <c r="S178" s="278"/>
      <c r="T178" s="278"/>
      <c r="U178" s="304"/>
    </row>
    <row r="179" spans="1:21" s="305" customFormat="1" ht="14.45" hidden="1" customHeight="1" outlineLevel="1" x14ac:dyDescent="0.25">
      <c r="A179" s="278"/>
      <c r="B179" s="279" t="str">
        <f t="shared" si="85"/>
        <v>front dress panelstandard 2 packprestige</v>
      </c>
      <c r="C179" s="278" t="s">
        <v>1003</v>
      </c>
      <c r="D179" s="278"/>
      <c r="E179" s="278" t="s">
        <v>991</v>
      </c>
      <c r="F179" s="278" t="s">
        <v>545</v>
      </c>
      <c r="G179" s="278" t="s">
        <v>15</v>
      </c>
      <c r="H179" s="290">
        <v>0.25</v>
      </c>
      <c r="I179" s="280">
        <f t="shared" si="86"/>
        <v>20.155000000000001</v>
      </c>
      <c r="J179" s="281">
        <f t="shared" si="87"/>
        <v>22.857500000000002</v>
      </c>
      <c r="K179" s="282">
        <f>IF(Notes!$B$9="Domestic",I179, IF(Notes!$B$9="Commercial",J179))*$K$170</f>
        <v>22.857500000000002</v>
      </c>
      <c r="L179" s="283">
        <f>(SUM(O179:Q179)+(K179+SUM(M179:Q179))*(INDEX($U$170:$AB$170,MATCH(Notes!$C$16,$U$3:$AB$3,0))-100%))*$L$170</f>
        <v>329.99120000000011</v>
      </c>
      <c r="M179" s="286"/>
      <c r="N179" s="286"/>
      <c r="O179" s="311">
        <f t="shared" si="89"/>
        <v>329.99120000000011</v>
      </c>
      <c r="P179" s="285"/>
      <c r="Q179" s="285"/>
      <c r="R179" s="278"/>
      <c r="S179" s="278"/>
      <c r="T179" s="278"/>
      <c r="U179" s="304"/>
    </row>
    <row r="180" spans="1:21" s="305" customFormat="1" ht="14.45" hidden="1" customHeight="1" outlineLevel="1" x14ac:dyDescent="0.25">
      <c r="A180" s="278"/>
      <c r="B180" s="279" t="str">
        <f t="shared" si="85"/>
        <v>front dress paneldesigner 2 packaverage</v>
      </c>
      <c r="C180" s="278" t="s">
        <v>1003</v>
      </c>
      <c r="D180" s="278"/>
      <c r="E180" s="278" t="s">
        <v>992</v>
      </c>
      <c r="F180" s="278" t="s">
        <v>543</v>
      </c>
      <c r="G180" s="278" t="s">
        <v>15</v>
      </c>
      <c r="H180" s="290">
        <v>0.25</v>
      </c>
      <c r="I180" s="280">
        <f t="shared" si="86"/>
        <v>20.155000000000001</v>
      </c>
      <c r="J180" s="281">
        <f t="shared" si="87"/>
        <v>22.857500000000002</v>
      </c>
      <c r="K180" s="282">
        <f>IF(Notes!$B$9="Domestic",I180, IF(Notes!$B$9="Commercial",J180))*$K$170</f>
        <v>22.857500000000002</v>
      </c>
      <c r="L180" s="283">
        <f>(SUM(O180:Q180)+(K180+SUM(M180:Q180))*(INDEX($U$170:$AB$170,MATCH(Notes!$C$16,$U$3:$AB$3,0))-100%))*$L$170</f>
        <v>674.54</v>
      </c>
      <c r="M180" s="286"/>
      <c r="N180" s="286"/>
      <c r="O180" s="311">
        <f>O192*2</f>
        <v>674.54</v>
      </c>
      <c r="P180" s="285"/>
      <c r="Q180" s="285"/>
      <c r="R180" s="278"/>
      <c r="S180" s="278"/>
      <c r="T180" s="278"/>
      <c r="U180" s="304"/>
    </row>
    <row r="181" spans="1:21" s="305" customFormat="1" ht="14.45" hidden="1" customHeight="1" outlineLevel="1" x14ac:dyDescent="0.25">
      <c r="A181" s="278"/>
      <c r="B181" s="279" t="str">
        <f t="shared" si="85"/>
        <v>front dress paneldesigner 2 packquality</v>
      </c>
      <c r="C181" s="278" t="s">
        <v>1003</v>
      </c>
      <c r="D181" s="278"/>
      <c r="E181" s="278" t="s">
        <v>992</v>
      </c>
      <c r="F181" s="278" t="s">
        <v>544</v>
      </c>
      <c r="G181" s="278" t="s">
        <v>15</v>
      </c>
      <c r="H181" s="290">
        <v>0.25</v>
      </c>
      <c r="I181" s="280">
        <f t="shared" si="86"/>
        <v>20.155000000000001</v>
      </c>
      <c r="J181" s="281">
        <f t="shared" si="87"/>
        <v>22.857500000000002</v>
      </c>
      <c r="K181" s="282">
        <f>IF(Notes!$B$9="Domestic",I181, IF(Notes!$B$9="Commercial",J181))*$K$170</f>
        <v>22.857500000000002</v>
      </c>
      <c r="L181" s="283">
        <f>(SUM(O181:Q181)+(K181+SUM(M181:Q181))*(INDEX($U$170:$AB$170,MATCH(Notes!$C$16,$U$3:$AB$3,0))-100%))*$L$170</f>
        <v>741.99400000000003</v>
      </c>
      <c r="M181" s="286"/>
      <c r="N181" s="286"/>
      <c r="O181" s="311">
        <f>O180*1.1</f>
        <v>741.99400000000003</v>
      </c>
      <c r="P181" s="285"/>
      <c r="Q181" s="285"/>
      <c r="R181" s="278"/>
      <c r="S181" s="278"/>
      <c r="T181" s="278"/>
      <c r="U181" s="304"/>
    </row>
    <row r="182" spans="1:21" s="305" customFormat="1" ht="14.45" hidden="1" customHeight="1" outlineLevel="1" x14ac:dyDescent="0.25">
      <c r="A182" s="278"/>
      <c r="B182" s="279" t="str">
        <f t="shared" si="85"/>
        <v>front dress paneldesigner 2 packprestige</v>
      </c>
      <c r="C182" s="278" t="s">
        <v>1003</v>
      </c>
      <c r="D182" s="278"/>
      <c r="E182" s="278" t="s">
        <v>992</v>
      </c>
      <c r="F182" s="278" t="s">
        <v>545</v>
      </c>
      <c r="G182" s="278" t="s">
        <v>15</v>
      </c>
      <c r="H182" s="290">
        <v>0.25</v>
      </c>
      <c r="I182" s="280">
        <f t="shared" si="86"/>
        <v>20.155000000000001</v>
      </c>
      <c r="J182" s="281">
        <f t="shared" si="87"/>
        <v>22.857500000000002</v>
      </c>
      <c r="K182" s="282">
        <f>IF(Notes!$B$9="Domestic",I182, IF(Notes!$B$9="Commercial",J182))*$K$170</f>
        <v>22.857500000000002</v>
      </c>
      <c r="L182" s="283">
        <f>(SUM(O182:Q182)+(K182+SUM(M182:Q182))*(INDEX($U$170:$AB$170,MATCH(Notes!$C$16,$U$3:$AB$3,0))-100%))*$L$170</f>
        <v>816.19340000000011</v>
      </c>
      <c r="M182" s="286"/>
      <c r="N182" s="286"/>
      <c r="O182" s="311">
        <f>O181*1.1</f>
        <v>816.19340000000011</v>
      </c>
      <c r="P182" s="285"/>
      <c r="Q182" s="285"/>
      <c r="R182" s="278"/>
      <c r="S182" s="278"/>
      <c r="T182" s="278"/>
      <c r="U182" s="304"/>
    </row>
    <row r="183" spans="1:21" s="305" customFormat="1" ht="14.45" hidden="1" customHeight="1" outlineLevel="1" x14ac:dyDescent="0.25">
      <c r="A183" s="278"/>
      <c r="B183" s="279" t="str">
        <f t="shared" si="85"/>
        <v>base end panelstandard laminatedaverage</v>
      </c>
      <c r="C183" s="278" t="s">
        <v>1002</v>
      </c>
      <c r="D183" s="278"/>
      <c r="E183" s="278" t="s">
        <v>989</v>
      </c>
      <c r="F183" s="278" t="s">
        <v>543</v>
      </c>
      <c r="G183" s="278" t="s">
        <v>5</v>
      </c>
      <c r="H183" s="290">
        <v>0.25</v>
      </c>
      <c r="I183" s="280">
        <f t="shared" si="86"/>
        <v>20.155000000000001</v>
      </c>
      <c r="J183" s="281">
        <f t="shared" si="87"/>
        <v>22.857500000000002</v>
      </c>
      <c r="K183" s="282">
        <f>IF(Notes!$B$9="Domestic",I183, IF(Notes!$B$9="Commercial",J183))*$K$170</f>
        <v>22.857500000000002</v>
      </c>
      <c r="L183" s="283">
        <f>(SUM(O183:Q183)+(K183+SUM(M183:Q183))*(INDEX($U$170:$AB$170,MATCH(Notes!$C$16,$U$3:$AB$3,0))-100%))*$L$170</f>
        <v>68.180000000000007</v>
      </c>
      <c r="M183" s="286"/>
      <c r="N183" s="286"/>
      <c r="O183" s="285">
        <v>68.180000000000007</v>
      </c>
      <c r="P183" s="285"/>
      <c r="Q183" s="285"/>
      <c r="R183" s="278"/>
      <c r="S183" s="278"/>
      <c r="T183" s="278"/>
      <c r="U183" s="304"/>
    </row>
    <row r="184" spans="1:21" s="305" customFormat="1" ht="14.45" hidden="1" customHeight="1" outlineLevel="1" x14ac:dyDescent="0.25">
      <c r="A184" s="278"/>
      <c r="B184" s="279" t="str">
        <f t="shared" si="85"/>
        <v>base end panelstandard laminatedquality</v>
      </c>
      <c r="C184" s="278" t="s">
        <v>1002</v>
      </c>
      <c r="D184" s="278"/>
      <c r="E184" s="278" t="s">
        <v>989</v>
      </c>
      <c r="F184" s="278" t="s">
        <v>544</v>
      </c>
      <c r="G184" s="278" t="s">
        <v>5</v>
      </c>
      <c r="H184" s="290">
        <v>0.25</v>
      </c>
      <c r="I184" s="280">
        <f t="shared" si="86"/>
        <v>20.155000000000001</v>
      </c>
      <c r="J184" s="281">
        <f t="shared" si="87"/>
        <v>22.857500000000002</v>
      </c>
      <c r="K184" s="282">
        <f>IF(Notes!$B$9="Domestic",I184, IF(Notes!$B$9="Commercial",J184))*$K$170</f>
        <v>22.857500000000002</v>
      </c>
      <c r="L184" s="283">
        <f>(SUM(O184:Q184)+(K184+SUM(M184:Q184))*(INDEX($U$170:$AB$170,MATCH(Notes!$C$16,$U$3:$AB$3,0))-100%))*$L$170</f>
        <v>74.998000000000019</v>
      </c>
      <c r="M184" s="286"/>
      <c r="N184" s="286"/>
      <c r="O184" s="311">
        <f>O183*1.1</f>
        <v>74.998000000000019</v>
      </c>
      <c r="P184" s="285"/>
      <c r="Q184" s="285"/>
      <c r="R184" s="278"/>
      <c r="S184" s="278"/>
      <c r="T184" s="278"/>
      <c r="U184" s="304"/>
    </row>
    <row r="185" spans="1:21" s="305" customFormat="1" ht="14.45" hidden="1" customHeight="1" outlineLevel="1" x14ac:dyDescent="0.25">
      <c r="A185" s="278"/>
      <c r="B185" s="279" t="str">
        <f t="shared" si="85"/>
        <v>base end panelstandard laminatedprestige</v>
      </c>
      <c r="C185" s="278" t="s">
        <v>1002</v>
      </c>
      <c r="D185" s="278"/>
      <c r="E185" s="278" t="s">
        <v>989</v>
      </c>
      <c r="F185" s="278" t="s">
        <v>545</v>
      </c>
      <c r="G185" s="278" t="s">
        <v>5</v>
      </c>
      <c r="H185" s="290">
        <v>0.25</v>
      </c>
      <c r="I185" s="280">
        <f t="shared" si="86"/>
        <v>20.155000000000001</v>
      </c>
      <c r="J185" s="281">
        <f t="shared" si="87"/>
        <v>22.857500000000002</v>
      </c>
      <c r="K185" s="282">
        <f>IF(Notes!$B$9="Domestic",I185, IF(Notes!$B$9="Commercial",J185))*$K$170</f>
        <v>22.857500000000002</v>
      </c>
      <c r="L185" s="283">
        <f>(SUM(O185:Q185)+(K185+SUM(M185:Q185))*(INDEX($U$170:$AB$170,MATCH(Notes!$C$16,$U$3:$AB$3,0))-100%))*$L$170</f>
        <v>82.497800000000026</v>
      </c>
      <c r="M185" s="286"/>
      <c r="N185" s="286"/>
      <c r="O185" s="311">
        <f>O184*1.1</f>
        <v>82.497800000000026</v>
      </c>
      <c r="P185" s="285"/>
      <c r="Q185" s="285"/>
      <c r="R185" s="278"/>
      <c r="S185" s="278"/>
      <c r="T185" s="278"/>
      <c r="U185" s="304"/>
    </row>
    <row r="186" spans="1:21" s="305" customFormat="1" ht="14.45" hidden="1" customHeight="1" outlineLevel="1" x14ac:dyDescent="0.25">
      <c r="A186" s="278"/>
      <c r="B186" s="279" t="str">
        <f t="shared" si="85"/>
        <v>base end paneldesigner laminatedaverage</v>
      </c>
      <c r="C186" s="278" t="s">
        <v>1002</v>
      </c>
      <c r="D186" s="278"/>
      <c r="E186" s="278" t="s">
        <v>990</v>
      </c>
      <c r="F186" s="278" t="s">
        <v>543</v>
      </c>
      <c r="G186" s="278" t="s">
        <v>5</v>
      </c>
      <c r="H186" s="290">
        <v>0.25</v>
      </c>
      <c r="I186" s="280">
        <f t="shared" si="86"/>
        <v>20.155000000000001</v>
      </c>
      <c r="J186" s="281">
        <f t="shared" si="87"/>
        <v>22.857500000000002</v>
      </c>
      <c r="K186" s="282">
        <f>IF(Notes!$B$9="Domestic",I186, IF(Notes!$B$9="Commercial",J186))*$K$170</f>
        <v>22.857500000000002</v>
      </c>
      <c r="L186" s="283">
        <f>(SUM(O186:Q186)+(K186+SUM(M186:Q186))*(INDEX($U$170:$AB$170,MATCH(Notes!$C$16,$U$3:$AB$3,0))-100%))*$L$170</f>
        <v>109.09</v>
      </c>
      <c r="M186" s="286"/>
      <c r="N186" s="286"/>
      <c r="O186" s="285">
        <v>109.09</v>
      </c>
      <c r="P186" s="285"/>
      <c r="Q186" s="285"/>
      <c r="R186" s="278"/>
      <c r="S186" s="278"/>
      <c r="T186" s="278"/>
      <c r="U186" s="304"/>
    </row>
    <row r="187" spans="1:21" s="305" customFormat="1" ht="14.45" hidden="1" customHeight="1" outlineLevel="1" x14ac:dyDescent="0.25">
      <c r="A187" s="278"/>
      <c r="B187" s="279" t="str">
        <f t="shared" si="85"/>
        <v>base end paneldesigner laminatedquality</v>
      </c>
      <c r="C187" s="278" t="s">
        <v>1002</v>
      </c>
      <c r="D187" s="278"/>
      <c r="E187" s="278" t="s">
        <v>990</v>
      </c>
      <c r="F187" s="278" t="s">
        <v>544</v>
      </c>
      <c r="G187" s="278" t="s">
        <v>5</v>
      </c>
      <c r="H187" s="290">
        <v>0.25</v>
      </c>
      <c r="I187" s="280">
        <f t="shared" si="86"/>
        <v>20.155000000000001</v>
      </c>
      <c r="J187" s="281">
        <f t="shared" si="87"/>
        <v>22.857500000000002</v>
      </c>
      <c r="K187" s="282">
        <f>IF(Notes!$B$9="Domestic",I187, IF(Notes!$B$9="Commercial",J187))*$K$170</f>
        <v>22.857500000000002</v>
      </c>
      <c r="L187" s="283">
        <f>(SUM(O187:Q187)+(K187+SUM(M187:Q187))*(INDEX($U$170:$AB$170,MATCH(Notes!$C$16,$U$3:$AB$3,0))-100%))*$L$170</f>
        <v>119.99900000000001</v>
      </c>
      <c r="M187" s="286"/>
      <c r="N187" s="286"/>
      <c r="O187" s="311">
        <f t="shared" ref="O187:O194" si="90">O186*1.1</f>
        <v>119.99900000000001</v>
      </c>
      <c r="P187" s="285"/>
      <c r="Q187" s="285"/>
      <c r="R187" s="278"/>
      <c r="S187" s="278"/>
      <c r="T187" s="278"/>
      <c r="U187" s="304"/>
    </row>
    <row r="188" spans="1:21" s="305" customFormat="1" ht="14.45" hidden="1" customHeight="1" outlineLevel="1" x14ac:dyDescent="0.25">
      <c r="A188" s="278"/>
      <c r="B188" s="279" t="str">
        <f t="shared" si="85"/>
        <v>base end paneldesigner laminatedprestige</v>
      </c>
      <c r="C188" s="278" t="s">
        <v>1002</v>
      </c>
      <c r="D188" s="278"/>
      <c r="E188" s="278" t="s">
        <v>990</v>
      </c>
      <c r="F188" s="278" t="s">
        <v>545</v>
      </c>
      <c r="G188" s="278" t="s">
        <v>5</v>
      </c>
      <c r="H188" s="290">
        <v>0.25</v>
      </c>
      <c r="I188" s="280">
        <f t="shared" si="86"/>
        <v>20.155000000000001</v>
      </c>
      <c r="J188" s="281">
        <f t="shared" si="87"/>
        <v>22.857500000000002</v>
      </c>
      <c r="K188" s="282">
        <f>IF(Notes!$B$9="Domestic",I188, IF(Notes!$B$9="Commercial",J188))*$K$170</f>
        <v>22.857500000000002</v>
      </c>
      <c r="L188" s="283">
        <f>(SUM(O188:Q188)+(K188+SUM(M188:Q188))*(INDEX($U$170:$AB$170,MATCH(Notes!$C$16,$U$3:$AB$3,0))-100%))*$L$170</f>
        <v>131.99890000000002</v>
      </c>
      <c r="M188" s="286"/>
      <c r="N188" s="286"/>
      <c r="O188" s="311">
        <f t="shared" si="90"/>
        <v>131.99890000000002</v>
      </c>
      <c r="P188" s="285"/>
      <c r="Q188" s="285"/>
      <c r="R188" s="278"/>
      <c r="S188" s="278"/>
      <c r="T188" s="278"/>
      <c r="U188" s="304"/>
    </row>
    <row r="189" spans="1:21" s="305" customFormat="1" ht="14.45" hidden="1" customHeight="1" outlineLevel="1" x14ac:dyDescent="0.25">
      <c r="A189" s="278"/>
      <c r="B189" s="279" t="str">
        <f t="shared" si="85"/>
        <v>base end panelstandard 2 packaverage</v>
      </c>
      <c r="C189" s="278" t="s">
        <v>1002</v>
      </c>
      <c r="D189" s="278"/>
      <c r="E189" s="278" t="s">
        <v>991</v>
      </c>
      <c r="F189" s="278" t="s">
        <v>543</v>
      </c>
      <c r="G189" s="278" t="s">
        <v>5</v>
      </c>
      <c r="H189" s="290">
        <v>0.25</v>
      </c>
      <c r="I189" s="280">
        <f t="shared" si="86"/>
        <v>20.155000000000001</v>
      </c>
      <c r="J189" s="281">
        <f t="shared" si="87"/>
        <v>22.857500000000002</v>
      </c>
      <c r="K189" s="282">
        <f>IF(Notes!$B$9="Domestic",I189, IF(Notes!$B$9="Commercial",J189))*$K$170</f>
        <v>22.857500000000002</v>
      </c>
      <c r="L189" s="283">
        <f>(SUM(O189:Q189)+(K189+SUM(M189:Q189))*(INDEX($U$170:$AB$170,MATCH(Notes!$C$16,$U$3:$AB$3,0))-100%))*$L$170</f>
        <v>136.36000000000001</v>
      </c>
      <c r="M189" s="286"/>
      <c r="N189" s="286"/>
      <c r="O189" s="285">
        <v>136.36000000000001</v>
      </c>
      <c r="P189" s="285"/>
      <c r="Q189" s="285"/>
      <c r="R189" s="278"/>
      <c r="S189" s="278"/>
      <c r="T189" s="278"/>
      <c r="U189" s="304"/>
    </row>
    <row r="190" spans="1:21" s="305" customFormat="1" ht="14.45" hidden="1" customHeight="1" outlineLevel="1" x14ac:dyDescent="0.25">
      <c r="A190" s="278"/>
      <c r="B190" s="279" t="str">
        <f t="shared" si="85"/>
        <v>base end panelstandard 2 packquality</v>
      </c>
      <c r="C190" s="278" t="s">
        <v>1002</v>
      </c>
      <c r="D190" s="278"/>
      <c r="E190" s="278" t="s">
        <v>991</v>
      </c>
      <c r="F190" s="278" t="s">
        <v>544</v>
      </c>
      <c r="G190" s="278" t="s">
        <v>5</v>
      </c>
      <c r="H190" s="290">
        <v>0.25</v>
      </c>
      <c r="I190" s="280">
        <f t="shared" si="86"/>
        <v>20.155000000000001</v>
      </c>
      <c r="J190" s="281">
        <f t="shared" si="87"/>
        <v>22.857500000000002</v>
      </c>
      <c r="K190" s="282">
        <f>IF(Notes!$B$9="Domestic",I190, IF(Notes!$B$9="Commercial",J190))*$K$170</f>
        <v>22.857500000000002</v>
      </c>
      <c r="L190" s="283">
        <f>(SUM(O190:Q190)+(K190+SUM(M190:Q190))*(INDEX($U$170:$AB$170,MATCH(Notes!$C$16,$U$3:$AB$3,0))-100%))*$L$170</f>
        <v>149.99600000000004</v>
      </c>
      <c r="M190" s="286"/>
      <c r="N190" s="286"/>
      <c r="O190" s="311">
        <f t="shared" si="90"/>
        <v>149.99600000000004</v>
      </c>
      <c r="P190" s="285"/>
      <c r="Q190" s="285"/>
      <c r="R190" s="278"/>
      <c r="S190" s="278"/>
      <c r="T190" s="278"/>
      <c r="U190" s="304"/>
    </row>
    <row r="191" spans="1:21" s="305" customFormat="1" ht="14.45" hidden="1" customHeight="1" outlineLevel="1" x14ac:dyDescent="0.25">
      <c r="A191" s="278"/>
      <c r="B191" s="279" t="str">
        <f t="shared" si="82"/>
        <v>base end panelstandard 2 packprestige</v>
      </c>
      <c r="C191" s="278" t="s">
        <v>1002</v>
      </c>
      <c r="D191" s="278"/>
      <c r="E191" s="278" t="s">
        <v>991</v>
      </c>
      <c r="F191" s="278" t="s">
        <v>545</v>
      </c>
      <c r="G191" s="278" t="s">
        <v>5</v>
      </c>
      <c r="H191" s="290">
        <v>0.25</v>
      </c>
      <c r="I191" s="280">
        <f t="shared" si="83"/>
        <v>20.155000000000001</v>
      </c>
      <c r="J191" s="281">
        <f t="shared" si="84"/>
        <v>22.857500000000002</v>
      </c>
      <c r="K191" s="282">
        <f>IF(Notes!$B$9="Domestic",I191, IF(Notes!$B$9="Commercial",J191))*$K$170</f>
        <v>22.857500000000002</v>
      </c>
      <c r="L191" s="283">
        <f>(SUM(O191:Q191)+(K191+SUM(M191:Q191))*(INDEX($U$170:$AB$170,MATCH(Notes!$C$16,$U$3:$AB$3,0))-100%))*$L$170</f>
        <v>164.99560000000005</v>
      </c>
      <c r="M191" s="286"/>
      <c r="N191" s="286"/>
      <c r="O191" s="311">
        <f t="shared" si="90"/>
        <v>164.99560000000005</v>
      </c>
      <c r="P191" s="285"/>
      <c r="Q191" s="285"/>
      <c r="R191" s="278"/>
      <c r="S191" s="278"/>
      <c r="T191" s="278"/>
      <c r="U191" s="304"/>
    </row>
    <row r="192" spans="1:21" s="305" customFormat="1" ht="14.45" hidden="1" customHeight="1" outlineLevel="1" x14ac:dyDescent="0.25">
      <c r="A192" s="278"/>
      <c r="B192" s="279" t="str">
        <f t="shared" si="82"/>
        <v>base end paneldesigner 2 packaverage</v>
      </c>
      <c r="C192" s="278" t="s">
        <v>1002</v>
      </c>
      <c r="D192" s="278"/>
      <c r="E192" s="278" t="s">
        <v>992</v>
      </c>
      <c r="F192" s="278" t="s">
        <v>543</v>
      </c>
      <c r="G192" s="278" t="s">
        <v>5</v>
      </c>
      <c r="H192" s="290">
        <v>0.25</v>
      </c>
      <c r="I192" s="280">
        <f t="shared" si="83"/>
        <v>20.155000000000001</v>
      </c>
      <c r="J192" s="281">
        <f t="shared" si="84"/>
        <v>22.857500000000002</v>
      </c>
      <c r="K192" s="282">
        <f>IF(Notes!$B$9="Domestic",I192, IF(Notes!$B$9="Commercial",J192))*$K$170</f>
        <v>22.857500000000002</v>
      </c>
      <c r="L192" s="283">
        <f>(SUM(O192:Q192)+(K192+SUM(M192:Q192))*(INDEX($U$170:$AB$170,MATCH(Notes!$C$16,$U$3:$AB$3,0))-100%))*$L$170</f>
        <v>337.27</v>
      </c>
      <c r="M192" s="286"/>
      <c r="N192" s="286"/>
      <c r="O192" s="285">
        <v>337.27</v>
      </c>
      <c r="P192" s="285"/>
      <c r="Q192" s="285"/>
      <c r="R192" s="278"/>
      <c r="S192" s="278"/>
      <c r="T192" s="278"/>
    </row>
    <row r="193" spans="1:21" s="305" customFormat="1" hidden="1" outlineLevel="1" x14ac:dyDescent="0.25">
      <c r="A193" s="278"/>
      <c r="B193" s="279" t="str">
        <f t="shared" si="82"/>
        <v>base end paneldesigner 2 packquality</v>
      </c>
      <c r="C193" s="278" t="s">
        <v>1002</v>
      </c>
      <c r="D193" s="278"/>
      <c r="E193" s="278" t="s">
        <v>992</v>
      </c>
      <c r="F193" s="278" t="s">
        <v>544</v>
      </c>
      <c r="G193" s="278" t="s">
        <v>5</v>
      </c>
      <c r="H193" s="290">
        <v>0.25</v>
      </c>
      <c r="I193" s="280">
        <f>$I$2*H193</f>
        <v>20.155000000000001</v>
      </c>
      <c r="J193" s="281">
        <f t="shared" si="84"/>
        <v>22.857500000000002</v>
      </c>
      <c r="K193" s="282">
        <f>IF(Notes!$B$9="Domestic",I193, IF(Notes!$B$9="Commercial",J193))*$K$170</f>
        <v>22.857500000000002</v>
      </c>
      <c r="L193" s="283">
        <f>(SUM(O193:Q193)+(K193+SUM(M193:Q193))*(INDEX($U$170:$AB$170,MATCH(Notes!$C$16,$U$3:$AB$3,0))-100%))*$L$170</f>
        <v>370.99700000000001</v>
      </c>
      <c r="M193" s="286"/>
      <c r="N193" s="286"/>
      <c r="O193" s="311">
        <f t="shared" si="90"/>
        <v>370.99700000000001</v>
      </c>
      <c r="P193" s="285"/>
      <c r="Q193" s="285"/>
      <c r="R193" s="278"/>
      <c r="S193" s="278"/>
      <c r="T193" s="278"/>
    </row>
    <row r="194" spans="1:21" s="305" customFormat="1" hidden="1" outlineLevel="1" x14ac:dyDescent="0.25">
      <c r="A194" s="278"/>
      <c r="B194" s="279" t="str">
        <f t="shared" si="82"/>
        <v>base end paneldesigner 2 packprestige</v>
      </c>
      <c r="C194" s="278" t="s">
        <v>1002</v>
      </c>
      <c r="D194" s="278"/>
      <c r="E194" s="278" t="s">
        <v>992</v>
      </c>
      <c r="F194" s="278" t="s">
        <v>545</v>
      </c>
      <c r="G194" s="278" t="s">
        <v>5</v>
      </c>
      <c r="H194" s="290">
        <v>0.25</v>
      </c>
      <c r="I194" s="280">
        <f t="shared" si="83"/>
        <v>20.155000000000001</v>
      </c>
      <c r="J194" s="281">
        <f t="shared" si="84"/>
        <v>22.857500000000002</v>
      </c>
      <c r="K194" s="282">
        <f>IF(Notes!$B$9="Domestic",I194, IF(Notes!$B$9="Commercial",J194))*$K$170</f>
        <v>22.857500000000002</v>
      </c>
      <c r="L194" s="283">
        <f>(SUM(O194:Q194)+(K194+SUM(M194:Q194))*(INDEX($U$170:$AB$170,MATCH(Notes!$C$16,$U$3:$AB$3,0))-100%))*$L$170</f>
        <v>408.09670000000006</v>
      </c>
      <c r="M194" s="286"/>
      <c r="N194" s="286"/>
      <c r="O194" s="311">
        <f t="shared" si="90"/>
        <v>408.09670000000006</v>
      </c>
      <c r="P194" s="285"/>
      <c r="Q194" s="285"/>
      <c r="R194" s="278"/>
      <c r="S194" s="278"/>
      <c r="T194" s="278"/>
    </row>
    <row r="195" spans="1:21" s="305" customFormat="1" ht="14.45" hidden="1" customHeight="1" outlineLevel="1" x14ac:dyDescent="0.25">
      <c r="A195" s="278"/>
      <c r="B195" s="279" t="str">
        <f t="shared" si="82"/>
        <v>top end panelstandard laminatedaverage</v>
      </c>
      <c r="C195" s="278" t="s">
        <v>1005</v>
      </c>
      <c r="D195" s="278"/>
      <c r="E195" s="278" t="s">
        <v>989</v>
      </c>
      <c r="F195" s="278" t="s">
        <v>543</v>
      </c>
      <c r="G195" s="278" t="s">
        <v>5</v>
      </c>
      <c r="H195" s="290">
        <v>0.25</v>
      </c>
      <c r="I195" s="280">
        <f t="shared" si="83"/>
        <v>20.155000000000001</v>
      </c>
      <c r="J195" s="281">
        <f t="shared" si="84"/>
        <v>22.857500000000002</v>
      </c>
      <c r="K195" s="282">
        <f>IF(Notes!$B$9="Domestic",I195, IF(Notes!$B$9="Commercial",J195))*$K$170</f>
        <v>22.857500000000002</v>
      </c>
      <c r="L195" s="283">
        <f>(SUM(O195:Q195)+(K195+SUM(M195:Q195))*(INDEX($U$170:$AB$170,MATCH(Notes!$C$16,$U$3:$AB$3,0))-100%))*$L$170</f>
        <v>40.909999999999997</v>
      </c>
      <c r="M195" s="286"/>
      <c r="N195" s="286"/>
      <c r="O195" s="285">
        <v>40.909999999999997</v>
      </c>
      <c r="P195" s="285"/>
      <c r="Q195" s="285"/>
      <c r="R195" s="278"/>
      <c r="S195" s="278"/>
      <c r="T195" s="278"/>
      <c r="U195" s="304"/>
    </row>
    <row r="196" spans="1:21" s="305" customFormat="1" ht="14.45" hidden="1" customHeight="1" outlineLevel="1" x14ac:dyDescent="0.25">
      <c r="A196" s="278"/>
      <c r="B196" s="279" t="str">
        <f t="shared" si="82"/>
        <v>top end panelstandard laminatedquality</v>
      </c>
      <c r="C196" s="278" t="s">
        <v>1005</v>
      </c>
      <c r="D196" s="278"/>
      <c r="E196" s="278" t="s">
        <v>989</v>
      </c>
      <c r="F196" s="278" t="s">
        <v>544</v>
      </c>
      <c r="G196" s="278" t="s">
        <v>5</v>
      </c>
      <c r="H196" s="290">
        <v>0.25</v>
      </c>
      <c r="I196" s="280">
        <f t="shared" si="83"/>
        <v>20.155000000000001</v>
      </c>
      <c r="J196" s="281">
        <f t="shared" si="84"/>
        <v>22.857500000000002</v>
      </c>
      <c r="K196" s="282">
        <f>IF(Notes!$B$9="Domestic",I196, IF(Notes!$B$9="Commercial",J196))*$K$170</f>
        <v>22.857500000000002</v>
      </c>
      <c r="L196" s="283">
        <f>(SUM(O196:Q196)+(K196+SUM(M196:Q196))*(INDEX($U$170:$AB$170,MATCH(Notes!$C$16,$U$3:$AB$3,0))-100%))*$L$170</f>
        <v>45.000999999999998</v>
      </c>
      <c r="M196" s="286"/>
      <c r="N196" s="286"/>
      <c r="O196" s="311">
        <f>O195*1.1</f>
        <v>45.000999999999998</v>
      </c>
      <c r="P196" s="285"/>
      <c r="Q196" s="285"/>
      <c r="R196" s="278"/>
      <c r="S196" s="278"/>
      <c r="T196" s="278"/>
      <c r="U196" s="304"/>
    </row>
    <row r="197" spans="1:21" s="305" customFormat="1" ht="14.45" hidden="1" customHeight="1" outlineLevel="1" x14ac:dyDescent="0.25">
      <c r="A197" s="278"/>
      <c r="B197" s="279" t="str">
        <f t="shared" si="82"/>
        <v>top end panelstandard laminatedprestige</v>
      </c>
      <c r="C197" s="278" t="s">
        <v>1005</v>
      </c>
      <c r="D197" s="278"/>
      <c r="E197" s="278" t="s">
        <v>989</v>
      </c>
      <c r="F197" s="278" t="s">
        <v>545</v>
      </c>
      <c r="G197" s="278" t="s">
        <v>5</v>
      </c>
      <c r="H197" s="290">
        <v>0.25</v>
      </c>
      <c r="I197" s="280">
        <f t="shared" si="83"/>
        <v>20.155000000000001</v>
      </c>
      <c r="J197" s="281">
        <f t="shared" si="84"/>
        <v>22.857500000000002</v>
      </c>
      <c r="K197" s="282">
        <f>IF(Notes!$B$9="Domestic",I197, IF(Notes!$B$9="Commercial",J197))*$K$170</f>
        <v>22.857500000000002</v>
      </c>
      <c r="L197" s="283">
        <f>(SUM(O197:Q197)+(K197+SUM(M197:Q197))*(INDEX($U$170:$AB$170,MATCH(Notes!$C$16,$U$3:$AB$3,0))-100%))*$L$170</f>
        <v>49.501100000000001</v>
      </c>
      <c r="M197" s="286"/>
      <c r="N197" s="286"/>
      <c r="O197" s="311">
        <f>O196*1.1</f>
        <v>49.501100000000001</v>
      </c>
      <c r="P197" s="285"/>
      <c r="Q197" s="285"/>
      <c r="R197" s="278"/>
      <c r="S197" s="278"/>
      <c r="T197" s="278"/>
      <c r="U197" s="304"/>
    </row>
    <row r="198" spans="1:21" s="305" customFormat="1" ht="14.45" hidden="1" customHeight="1" outlineLevel="1" x14ac:dyDescent="0.25">
      <c r="A198" s="278"/>
      <c r="B198" s="279" t="str">
        <f t="shared" si="82"/>
        <v>top end paneldesigner laminatedaverage</v>
      </c>
      <c r="C198" s="278" t="s">
        <v>1005</v>
      </c>
      <c r="D198" s="278"/>
      <c r="E198" s="278" t="s">
        <v>990</v>
      </c>
      <c r="F198" s="278" t="s">
        <v>543</v>
      </c>
      <c r="G198" s="278" t="s">
        <v>5</v>
      </c>
      <c r="H198" s="290">
        <v>0.25</v>
      </c>
      <c r="I198" s="280">
        <f t="shared" si="83"/>
        <v>20.155000000000001</v>
      </c>
      <c r="J198" s="281">
        <f t="shared" si="84"/>
        <v>22.857500000000002</v>
      </c>
      <c r="K198" s="282">
        <f>IF(Notes!$B$9="Domestic",I198, IF(Notes!$B$9="Commercial",J198))*$K$170</f>
        <v>22.857500000000002</v>
      </c>
      <c r="L198" s="283">
        <f>(SUM(O198:Q198)+(K198+SUM(M198:Q198))*(INDEX($U$170:$AB$170,MATCH(Notes!$C$16,$U$3:$AB$3,0))-100%))*$L$170</f>
        <v>59.09</v>
      </c>
      <c r="M198" s="286"/>
      <c r="N198" s="286"/>
      <c r="O198" s="285">
        <v>59.09</v>
      </c>
      <c r="P198" s="285"/>
      <c r="Q198" s="285"/>
      <c r="R198" s="278"/>
      <c r="S198" s="278"/>
      <c r="T198" s="278"/>
      <c r="U198" s="304"/>
    </row>
    <row r="199" spans="1:21" s="305" customFormat="1" ht="14.45" hidden="1" customHeight="1" outlineLevel="1" x14ac:dyDescent="0.25">
      <c r="A199" s="278"/>
      <c r="B199" s="279" t="str">
        <f t="shared" si="82"/>
        <v>top end paneldesigner laminatedquality</v>
      </c>
      <c r="C199" s="278" t="s">
        <v>1005</v>
      </c>
      <c r="D199" s="278"/>
      <c r="E199" s="278" t="s">
        <v>990</v>
      </c>
      <c r="F199" s="278" t="s">
        <v>544</v>
      </c>
      <c r="G199" s="278" t="s">
        <v>5</v>
      </c>
      <c r="H199" s="290">
        <v>0.25</v>
      </c>
      <c r="I199" s="280">
        <f t="shared" si="83"/>
        <v>20.155000000000001</v>
      </c>
      <c r="J199" s="281">
        <f t="shared" si="84"/>
        <v>22.857500000000002</v>
      </c>
      <c r="K199" s="282">
        <f>IF(Notes!$B$9="Domestic",I199, IF(Notes!$B$9="Commercial",J199))*$K$170</f>
        <v>22.857500000000002</v>
      </c>
      <c r="L199" s="283">
        <f>(SUM(O199:Q199)+(K199+SUM(M199:Q199))*(INDEX($U$170:$AB$170,MATCH(Notes!$C$16,$U$3:$AB$3,0))-100%))*$L$170</f>
        <v>64.999000000000009</v>
      </c>
      <c r="M199" s="286"/>
      <c r="N199" s="286"/>
      <c r="O199" s="311">
        <f t="shared" ref="O199:O200" si="91">O198*1.1</f>
        <v>64.999000000000009</v>
      </c>
      <c r="P199" s="285"/>
      <c r="Q199" s="285"/>
      <c r="R199" s="278"/>
      <c r="S199" s="278"/>
      <c r="T199" s="278"/>
      <c r="U199" s="304"/>
    </row>
    <row r="200" spans="1:21" s="305" customFormat="1" ht="14.45" hidden="1" customHeight="1" outlineLevel="1" x14ac:dyDescent="0.25">
      <c r="A200" s="278"/>
      <c r="B200" s="279" t="str">
        <f t="shared" si="82"/>
        <v>top end paneldesigner laminatedprestige</v>
      </c>
      <c r="C200" s="278" t="s">
        <v>1005</v>
      </c>
      <c r="D200" s="278"/>
      <c r="E200" s="278" t="s">
        <v>990</v>
      </c>
      <c r="F200" s="278" t="s">
        <v>545</v>
      </c>
      <c r="G200" s="278" t="s">
        <v>5</v>
      </c>
      <c r="H200" s="290">
        <v>0.25</v>
      </c>
      <c r="I200" s="280">
        <f t="shared" si="83"/>
        <v>20.155000000000001</v>
      </c>
      <c r="J200" s="281">
        <f t="shared" si="84"/>
        <v>22.857500000000002</v>
      </c>
      <c r="K200" s="282">
        <f>IF(Notes!$B$9="Domestic",I200, IF(Notes!$B$9="Commercial",J200))*$K$170</f>
        <v>22.857500000000002</v>
      </c>
      <c r="L200" s="283">
        <f>(SUM(O200:Q200)+(K200+SUM(M200:Q200))*(INDEX($U$170:$AB$170,MATCH(Notes!$C$16,$U$3:$AB$3,0))-100%))*$L$170</f>
        <v>71.49890000000002</v>
      </c>
      <c r="M200" s="286"/>
      <c r="N200" s="286"/>
      <c r="O200" s="311">
        <f t="shared" si="91"/>
        <v>71.49890000000002</v>
      </c>
      <c r="P200" s="285"/>
      <c r="Q200" s="285"/>
      <c r="R200" s="278"/>
      <c r="S200" s="278"/>
      <c r="T200" s="278"/>
      <c r="U200" s="304"/>
    </row>
    <row r="201" spans="1:21" s="305" customFormat="1" ht="14.45" hidden="1" customHeight="1" outlineLevel="1" x14ac:dyDescent="0.25">
      <c r="A201" s="278"/>
      <c r="B201" s="279" t="str">
        <f t="shared" si="82"/>
        <v>top end panelstandard 2 packaverage</v>
      </c>
      <c r="C201" s="278" t="s">
        <v>1005</v>
      </c>
      <c r="D201" s="278"/>
      <c r="E201" s="278" t="s">
        <v>991</v>
      </c>
      <c r="F201" s="278" t="s">
        <v>543</v>
      </c>
      <c r="G201" s="278" t="s">
        <v>5</v>
      </c>
      <c r="H201" s="290">
        <v>0.25</v>
      </c>
      <c r="I201" s="280">
        <f t="shared" si="83"/>
        <v>20.155000000000001</v>
      </c>
      <c r="J201" s="281">
        <f t="shared" si="84"/>
        <v>22.857500000000002</v>
      </c>
      <c r="K201" s="282">
        <f>IF(Notes!$B$9="Domestic",I201, IF(Notes!$B$9="Commercial",J201))*$K$170</f>
        <v>22.857500000000002</v>
      </c>
      <c r="L201" s="283">
        <f>(SUM(O201:Q201)+(K201+SUM(M201:Q201))*(INDEX($U$170:$AB$170,MATCH(Notes!$C$16,$U$3:$AB$3,0))-100%))*$L$170</f>
        <v>90.91</v>
      </c>
      <c r="M201" s="286"/>
      <c r="N201" s="286"/>
      <c r="O201" s="285">
        <v>90.91</v>
      </c>
      <c r="P201" s="285"/>
      <c r="Q201" s="285"/>
      <c r="R201" s="278"/>
      <c r="S201" s="278"/>
      <c r="T201" s="278"/>
      <c r="U201" s="304"/>
    </row>
    <row r="202" spans="1:21" s="305" customFormat="1" ht="14.45" hidden="1" customHeight="1" outlineLevel="1" x14ac:dyDescent="0.25">
      <c r="A202" s="278"/>
      <c r="B202" s="279" t="str">
        <f t="shared" si="82"/>
        <v>top end panelstandard 2 packquality</v>
      </c>
      <c r="C202" s="278" t="s">
        <v>1005</v>
      </c>
      <c r="D202" s="278"/>
      <c r="E202" s="278" t="s">
        <v>991</v>
      </c>
      <c r="F202" s="278" t="s">
        <v>544</v>
      </c>
      <c r="G202" s="278" t="s">
        <v>5</v>
      </c>
      <c r="H202" s="290">
        <v>0.25</v>
      </c>
      <c r="I202" s="280">
        <f t="shared" si="83"/>
        <v>20.155000000000001</v>
      </c>
      <c r="J202" s="281">
        <f t="shared" si="84"/>
        <v>22.857500000000002</v>
      </c>
      <c r="K202" s="282">
        <f>IF(Notes!$B$9="Domestic",I202, IF(Notes!$B$9="Commercial",J202))*$K$170</f>
        <v>22.857500000000002</v>
      </c>
      <c r="L202" s="283">
        <f>(SUM(O202:Q202)+(K202+SUM(M202:Q202))*(INDEX($U$170:$AB$170,MATCH(Notes!$C$16,$U$3:$AB$3,0))-100%))*$L$170</f>
        <v>100.001</v>
      </c>
      <c r="M202" s="286"/>
      <c r="N202" s="286"/>
      <c r="O202" s="311">
        <f t="shared" ref="O202:O203" si="92">O201*1.1</f>
        <v>100.001</v>
      </c>
      <c r="P202" s="285"/>
      <c r="Q202" s="285"/>
      <c r="R202" s="278"/>
      <c r="S202" s="278"/>
      <c r="T202" s="278"/>
      <c r="U202" s="304"/>
    </row>
    <row r="203" spans="1:21" s="305" customFormat="1" ht="14.45" hidden="1" customHeight="1" outlineLevel="1" x14ac:dyDescent="0.25">
      <c r="A203" s="278"/>
      <c r="B203" s="279" t="str">
        <f t="shared" ref="B203:B214" si="93">C203&amp;D203&amp;E203&amp;F203</f>
        <v>top end panelstandard 2 packprestige</v>
      </c>
      <c r="C203" s="278" t="s">
        <v>1005</v>
      </c>
      <c r="D203" s="278"/>
      <c r="E203" s="278" t="s">
        <v>991</v>
      </c>
      <c r="F203" s="278" t="s">
        <v>545</v>
      </c>
      <c r="G203" s="278" t="s">
        <v>5</v>
      </c>
      <c r="H203" s="290">
        <v>0.25</v>
      </c>
      <c r="I203" s="280">
        <f t="shared" ref="I203:I204" si="94">$I$2*H203</f>
        <v>20.155000000000001</v>
      </c>
      <c r="J203" s="281">
        <f t="shared" ref="J203:J214" si="95">$J$2*H203</f>
        <v>22.857500000000002</v>
      </c>
      <c r="K203" s="282">
        <f>IF(Notes!$B$9="Domestic",I203, IF(Notes!$B$9="Commercial",J203))*$K$170</f>
        <v>22.857500000000002</v>
      </c>
      <c r="L203" s="283">
        <f>(SUM(O203:Q203)+(K203+SUM(M203:Q203))*(INDEX($U$170:$AB$170,MATCH(Notes!$C$16,$U$3:$AB$3,0))-100%))*$L$170</f>
        <v>110.00110000000001</v>
      </c>
      <c r="M203" s="286"/>
      <c r="N203" s="286"/>
      <c r="O203" s="311">
        <f t="shared" si="92"/>
        <v>110.00110000000001</v>
      </c>
      <c r="P203" s="285"/>
      <c r="Q203" s="285"/>
      <c r="R203" s="278"/>
      <c r="S203" s="278"/>
      <c r="T203" s="278"/>
      <c r="U203" s="304"/>
    </row>
    <row r="204" spans="1:21" s="305" customFormat="1" ht="14.45" hidden="1" customHeight="1" outlineLevel="1" x14ac:dyDescent="0.25">
      <c r="A204" s="278"/>
      <c r="B204" s="279" t="str">
        <f t="shared" si="93"/>
        <v>top end paneldesigner 2 packaverage</v>
      </c>
      <c r="C204" s="278" t="s">
        <v>1005</v>
      </c>
      <c r="D204" s="278"/>
      <c r="E204" s="278" t="s">
        <v>992</v>
      </c>
      <c r="F204" s="278" t="s">
        <v>543</v>
      </c>
      <c r="G204" s="278" t="s">
        <v>5</v>
      </c>
      <c r="H204" s="290">
        <v>0.25</v>
      </c>
      <c r="I204" s="280">
        <f t="shared" si="94"/>
        <v>20.155000000000001</v>
      </c>
      <c r="J204" s="281">
        <f t="shared" si="95"/>
        <v>22.857500000000002</v>
      </c>
      <c r="K204" s="282">
        <f>IF(Notes!$B$9="Domestic",I204, IF(Notes!$B$9="Commercial",J204))*$K$170</f>
        <v>22.857500000000002</v>
      </c>
      <c r="L204" s="283">
        <f>(SUM(O204:Q204)+(K204+SUM(M204:Q204))*(INDEX($U$170:$AB$170,MATCH(Notes!$C$16,$U$3:$AB$3,0))-100%))*$L$170</f>
        <v>140.91</v>
      </c>
      <c r="M204" s="286"/>
      <c r="N204" s="286"/>
      <c r="O204" s="285">
        <v>140.91</v>
      </c>
      <c r="P204" s="285"/>
      <c r="Q204" s="285"/>
      <c r="R204" s="278"/>
      <c r="S204" s="278"/>
      <c r="T204" s="278"/>
    </row>
    <row r="205" spans="1:21" s="305" customFormat="1" hidden="1" outlineLevel="1" x14ac:dyDescent="0.25">
      <c r="A205" s="278"/>
      <c r="B205" s="279" t="str">
        <f t="shared" si="93"/>
        <v>top end paneldesigner 2 packquality</v>
      </c>
      <c r="C205" s="278" t="s">
        <v>1005</v>
      </c>
      <c r="D205" s="278"/>
      <c r="E205" s="278" t="s">
        <v>992</v>
      </c>
      <c r="F205" s="278" t="s">
        <v>544</v>
      </c>
      <c r="G205" s="278" t="s">
        <v>5</v>
      </c>
      <c r="H205" s="290">
        <v>0.25</v>
      </c>
      <c r="I205" s="280">
        <f>$I$2*H205</f>
        <v>20.155000000000001</v>
      </c>
      <c r="J205" s="281">
        <f t="shared" si="95"/>
        <v>22.857500000000002</v>
      </c>
      <c r="K205" s="282">
        <f>IF(Notes!$B$9="Domestic",I205, IF(Notes!$B$9="Commercial",J205))*$K$170</f>
        <v>22.857500000000002</v>
      </c>
      <c r="L205" s="283">
        <f>(SUM(O205:Q205)+(K205+SUM(M205:Q205))*(INDEX($U$170:$AB$170,MATCH(Notes!$C$16,$U$3:$AB$3,0))-100%))*$L$170</f>
        <v>155.001</v>
      </c>
      <c r="M205" s="286"/>
      <c r="N205" s="286"/>
      <c r="O205" s="311">
        <f t="shared" ref="O205:O206" si="96">O204*1.1</f>
        <v>155.001</v>
      </c>
      <c r="P205" s="285"/>
      <c r="Q205" s="285"/>
      <c r="R205" s="278"/>
      <c r="S205" s="278"/>
      <c r="T205" s="278"/>
    </row>
    <row r="206" spans="1:21" s="305" customFormat="1" hidden="1" outlineLevel="1" x14ac:dyDescent="0.25">
      <c r="A206" s="278"/>
      <c r="B206" s="279" t="str">
        <f t="shared" si="93"/>
        <v>top end paneldesigner 2 packprestige</v>
      </c>
      <c r="C206" s="278" t="s">
        <v>1005</v>
      </c>
      <c r="D206" s="278"/>
      <c r="E206" s="278" t="s">
        <v>992</v>
      </c>
      <c r="F206" s="278" t="s">
        <v>545</v>
      </c>
      <c r="G206" s="278" t="s">
        <v>5</v>
      </c>
      <c r="H206" s="290">
        <v>0.25</v>
      </c>
      <c r="I206" s="280">
        <f t="shared" ref="I206:I216" si="97">$I$2*H206</f>
        <v>20.155000000000001</v>
      </c>
      <c r="J206" s="281">
        <f t="shared" si="95"/>
        <v>22.857500000000002</v>
      </c>
      <c r="K206" s="282">
        <f>IF(Notes!$B$9="Domestic",I206, IF(Notes!$B$9="Commercial",J206))*$K$170</f>
        <v>22.857500000000002</v>
      </c>
      <c r="L206" s="283">
        <f>(SUM(O206:Q206)+(K206+SUM(M206:Q206))*(INDEX($U$170:$AB$170,MATCH(Notes!$C$16,$U$3:$AB$3,0))-100%))*$L$170</f>
        <v>170.50110000000001</v>
      </c>
      <c r="M206" s="286"/>
      <c r="N206" s="286"/>
      <c r="O206" s="311">
        <f t="shared" si="96"/>
        <v>170.50110000000001</v>
      </c>
      <c r="P206" s="285"/>
      <c r="Q206" s="285"/>
      <c r="R206" s="278"/>
      <c r="S206" s="278"/>
      <c r="T206" s="278"/>
    </row>
    <row r="207" spans="1:21" s="305" customFormat="1" ht="14.45" hidden="1" customHeight="1" outlineLevel="1" x14ac:dyDescent="0.25">
      <c r="A207" s="278"/>
      <c r="B207" s="279" t="str">
        <f t="shared" si="93"/>
        <v>full height end panelstandard laminatedaverage</v>
      </c>
      <c r="C207" s="278" t="s">
        <v>1006</v>
      </c>
      <c r="D207" s="278"/>
      <c r="E207" s="278" t="s">
        <v>989</v>
      </c>
      <c r="F207" s="278" t="s">
        <v>543</v>
      </c>
      <c r="G207" s="278" t="s">
        <v>5</v>
      </c>
      <c r="H207" s="290">
        <v>0.4</v>
      </c>
      <c r="I207" s="280">
        <f t="shared" si="97"/>
        <v>32.248000000000005</v>
      </c>
      <c r="J207" s="281">
        <f t="shared" si="95"/>
        <v>36.572000000000003</v>
      </c>
      <c r="K207" s="282">
        <f>IF(Notes!$B$9="Domestic",I207, IF(Notes!$B$9="Commercial",J207))*$K$170</f>
        <v>36.572000000000003</v>
      </c>
      <c r="L207" s="283">
        <f>(SUM(O207:Q207)+(K207+SUM(M207:Q207))*(INDEX($U$170:$AB$170,MATCH(Notes!$C$16,$U$3:$AB$3,0))-100%))*$L$170</f>
        <v>204.54000000000002</v>
      </c>
      <c r="M207" s="286"/>
      <c r="N207" s="286"/>
      <c r="O207" s="311">
        <f>O183*3</f>
        <v>204.54000000000002</v>
      </c>
      <c r="P207" s="285"/>
      <c r="Q207" s="285"/>
      <c r="R207" s="278"/>
      <c r="S207" s="278"/>
      <c r="T207" s="278"/>
      <c r="U207" s="304"/>
    </row>
    <row r="208" spans="1:21" s="305" customFormat="1" ht="14.45" hidden="1" customHeight="1" outlineLevel="1" x14ac:dyDescent="0.25">
      <c r="A208" s="278"/>
      <c r="B208" s="279" t="str">
        <f t="shared" si="93"/>
        <v>full height end panelstandard laminatedquality</v>
      </c>
      <c r="C208" s="278" t="s">
        <v>1006</v>
      </c>
      <c r="D208" s="278"/>
      <c r="E208" s="278" t="s">
        <v>989</v>
      </c>
      <c r="F208" s="278" t="s">
        <v>544</v>
      </c>
      <c r="G208" s="278" t="s">
        <v>5</v>
      </c>
      <c r="H208" s="290">
        <v>0.4</v>
      </c>
      <c r="I208" s="280">
        <f t="shared" si="97"/>
        <v>32.248000000000005</v>
      </c>
      <c r="J208" s="281">
        <f t="shared" si="95"/>
        <v>36.572000000000003</v>
      </c>
      <c r="K208" s="282">
        <f>IF(Notes!$B$9="Domestic",I208, IF(Notes!$B$9="Commercial",J208))*$K$170</f>
        <v>36.572000000000003</v>
      </c>
      <c r="L208" s="283">
        <f>(SUM(O208:Q208)+(K208+SUM(M208:Q208))*(INDEX($U$170:$AB$170,MATCH(Notes!$C$16,$U$3:$AB$3,0))-100%))*$L$170</f>
        <v>224.99400000000003</v>
      </c>
      <c r="M208" s="286"/>
      <c r="N208" s="286"/>
      <c r="O208" s="311">
        <f>O207*1.1</f>
        <v>224.99400000000003</v>
      </c>
      <c r="P208" s="285"/>
      <c r="Q208" s="285"/>
      <c r="R208" s="278"/>
      <c r="S208" s="278"/>
      <c r="T208" s="278"/>
      <c r="U208" s="304"/>
    </row>
    <row r="209" spans="1:28" s="305" customFormat="1" ht="14.45" hidden="1" customHeight="1" outlineLevel="1" x14ac:dyDescent="0.25">
      <c r="A209" s="278"/>
      <c r="B209" s="279" t="str">
        <f t="shared" si="93"/>
        <v>full height end panelstandard laminatedprestige</v>
      </c>
      <c r="C209" s="278" t="s">
        <v>1006</v>
      </c>
      <c r="D209" s="278"/>
      <c r="E209" s="278" t="s">
        <v>989</v>
      </c>
      <c r="F209" s="278" t="s">
        <v>545</v>
      </c>
      <c r="G209" s="278" t="s">
        <v>5</v>
      </c>
      <c r="H209" s="290">
        <v>0.4</v>
      </c>
      <c r="I209" s="280">
        <f t="shared" si="97"/>
        <v>32.248000000000005</v>
      </c>
      <c r="J209" s="281">
        <f t="shared" si="95"/>
        <v>36.572000000000003</v>
      </c>
      <c r="K209" s="282">
        <f>IF(Notes!$B$9="Domestic",I209, IF(Notes!$B$9="Commercial",J209))*$K$170</f>
        <v>36.572000000000003</v>
      </c>
      <c r="L209" s="283">
        <f>(SUM(O209:Q209)+(K209+SUM(M209:Q209))*(INDEX($U$170:$AB$170,MATCH(Notes!$C$16,$U$3:$AB$3,0))-100%))*$L$170</f>
        <v>247.49340000000007</v>
      </c>
      <c r="M209" s="286"/>
      <c r="N209" s="286"/>
      <c r="O209" s="311">
        <f>O208*1.1</f>
        <v>247.49340000000007</v>
      </c>
      <c r="P209" s="285"/>
      <c r="Q209" s="285"/>
      <c r="R209" s="278"/>
      <c r="S209" s="278"/>
      <c r="T209" s="278"/>
      <c r="U209" s="304"/>
    </row>
    <row r="210" spans="1:28" s="305" customFormat="1" ht="14.45" hidden="1" customHeight="1" outlineLevel="1" x14ac:dyDescent="0.25">
      <c r="A210" s="278"/>
      <c r="B210" s="279" t="str">
        <f t="shared" si="93"/>
        <v>full height end paneldesigner laminatedaverage</v>
      </c>
      <c r="C210" s="278" t="s">
        <v>1006</v>
      </c>
      <c r="D210" s="278"/>
      <c r="E210" s="278" t="s">
        <v>990</v>
      </c>
      <c r="F210" s="278" t="s">
        <v>543</v>
      </c>
      <c r="G210" s="278" t="s">
        <v>5</v>
      </c>
      <c r="H210" s="290">
        <v>0.4</v>
      </c>
      <c r="I210" s="280">
        <f t="shared" si="97"/>
        <v>32.248000000000005</v>
      </c>
      <c r="J210" s="281">
        <f t="shared" si="95"/>
        <v>36.572000000000003</v>
      </c>
      <c r="K210" s="282">
        <f>IF(Notes!$B$9="Domestic",I210, IF(Notes!$B$9="Commercial",J210))*$K$170</f>
        <v>36.572000000000003</v>
      </c>
      <c r="L210" s="283">
        <f>(SUM(O210:Q210)+(K210+SUM(M210:Q210))*(INDEX($U$170:$AB$170,MATCH(Notes!$C$16,$U$3:$AB$3,0))-100%))*$L$170</f>
        <v>327.27</v>
      </c>
      <c r="M210" s="286"/>
      <c r="N210" s="286"/>
      <c r="O210" s="311">
        <f>O186*3</f>
        <v>327.27</v>
      </c>
      <c r="P210" s="285"/>
      <c r="Q210" s="285"/>
      <c r="R210" s="278"/>
      <c r="S210" s="278"/>
      <c r="T210" s="278"/>
      <c r="U210" s="304"/>
    </row>
    <row r="211" spans="1:28" s="305" customFormat="1" ht="14.45" hidden="1" customHeight="1" outlineLevel="1" x14ac:dyDescent="0.25">
      <c r="A211" s="278"/>
      <c r="B211" s="279" t="str">
        <f t="shared" si="93"/>
        <v>full height end paneldesigner laminatedquality</v>
      </c>
      <c r="C211" s="278" t="s">
        <v>1006</v>
      </c>
      <c r="D211" s="278"/>
      <c r="E211" s="278" t="s">
        <v>990</v>
      </c>
      <c r="F211" s="278" t="s">
        <v>544</v>
      </c>
      <c r="G211" s="278" t="s">
        <v>5</v>
      </c>
      <c r="H211" s="290">
        <v>0.4</v>
      </c>
      <c r="I211" s="280">
        <f t="shared" si="97"/>
        <v>32.248000000000005</v>
      </c>
      <c r="J211" s="281">
        <f t="shared" si="95"/>
        <v>36.572000000000003</v>
      </c>
      <c r="K211" s="282">
        <f>IF(Notes!$B$9="Domestic",I211, IF(Notes!$B$9="Commercial",J211))*$K$170</f>
        <v>36.572000000000003</v>
      </c>
      <c r="L211" s="283">
        <f>(SUM(O211:Q211)+(K211+SUM(M211:Q211))*(INDEX($U$170:$AB$170,MATCH(Notes!$C$16,$U$3:$AB$3,0))-100%))*$L$170</f>
        <v>359.99700000000001</v>
      </c>
      <c r="M211" s="286"/>
      <c r="N211" s="286"/>
      <c r="O211" s="311">
        <f t="shared" ref="O211:O212" si="98">O210*1.1</f>
        <v>359.99700000000001</v>
      </c>
      <c r="P211" s="285"/>
      <c r="Q211" s="285"/>
      <c r="R211" s="278"/>
      <c r="S211" s="278"/>
      <c r="T211" s="278"/>
      <c r="U211" s="304"/>
    </row>
    <row r="212" spans="1:28" s="305" customFormat="1" ht="14.45" hidden="1" customHeight="1" outlineLevel="1" x14ac:dyDescent="0.25">
      <c r="A212" s="278"/>
      <c r="B212" s="279" t="str">
        <f t="shared" si="93"/>
        <v>full height end paneldesigner laminatedprestige</v>
      </c>
      <c r="C212" s="278" t="s">
        <v>1006</v>
      </c>
      <c r="D212" s="278"/>
      <c r="E212" s="278" t="s">
        <v>990</v>
      </c>
      <c r="F212" s="278" t="s">
        <v>545</v>
      </c>
      <c r="G212" s="278" t="s">
        <v>5</v>
      </c>
      <c r="H212" s="290">
        <v>0.4</v>
      </c>
      <c r="I212" s="280">
        <f t="shared" si="97"/>
        <v>32.248000000000005</v>
      </c>
      <c r="J212" s="281">
        <f t="shared" si="95"/>
        <v>36.572000000000003</v>
      </c>
      <c r="K212" s="282">
        <f>IF(Notes!$B$9="Domestic",I212, IF(Notes!$B$9="Commercial",J212))*$K$170</f>
        <v>36.572000000000003</v>
      </c>
      <c r="L212" s="283">
        <f>(SUM(O212:Q212)+(K212+SUM(M212:Q212))*(INDEX($U$170:$AB$170,MATCH(Notes!$C$16,$U$3:$AB$3,0))-100%))*$L$170</f>
        <v>395.99670000000003</v>
      </c>
      <c r="M212" s="286"/>
      <c r="N212" s="286"/>
      <c r="O212" s="311">
        <f t="shared" si="98"/>
        <v>395.99670000000003</v>
      </c>
      <c r="P212" s="285"/>
      <c r="Q212" s="285"/>
      <c r="R212" s="278"/>
      <c r="S212" s="278"/>
      <c r="T212" s="278"/>
      <c r="U212" s="304"/>
    </row>
    <row r="213" spans="1:28" s="305" customFormat="1" ht="14.45" hidden="1" customHeight="1" outlineLevel="1" x14ac:dyDescent="0.25">
      <c r="A213" s="278"/>
      <c r="B213" s="279" t="str">
        <f t="shared" si="93"/>
        <v>full height end panelstandard 2 packaverage</v>
      </c>
      <c r="C213" s="278" t="s">
        <v>1006</v>
      </c>
      <c r="D213" s="278"/>
      <c r="E213" s="278" t="s">
        <v>991</v>
      </c>
      <c r="F213" s="278" t="s">
        <v>543</v>
      </c>
      <c r="G213" s="278" t="s">
        <v>5</v>
      </c>
      <c r="H213" s="290">
        <v>0.4</v>
      </c>
      <c r="I213" s="280">
        <f t="shared" si="97"/>
        <v>32.248000000000005</v>
      </c>
      <c r="J213" s="281">
        <f t="shared" si="95"/>
        <v>36.572000000000003</v>
      </c>
      <c r="K213" s="282">
        <f>IF(Notes!$B$9="Domestic",I213, IF(Notes!$B$9="Commercial",J213))*$K$170</f>
        <v>36.572000000000003</v>
      </c>
      <c r="L213" s="283">
        <f>(SUM(O213:Q213)+(K213+SUM(M213:Q213))*(INDEX($U$170:$AB$170,MATCH(Notes!$C$16,$U$3:$AB$3,0))-100%))*$L$170</f>
        <v>409.08000000000004</v>
      </c>
      <c r="M213" s="286"/>
      <c r="N213" s="286"/>
      <c r="O213" s="311">
        <f>O189*3</f>
        <v>409.08000000000004</v>
      </c>
      <c r="P213" s="285"/>
      <c r="Q213" s="285"/>
      <c r="R213" s="278"/>
      <c r="S213" s="278"/>
      <c r="T213" s="278"/>
      <c r="U213" s="304"/>
    </row>
    <row r="214" spans="1:28" s="305" customFormat="1" ht="14.45" hidden="1" customHeight="1" outlineLevel="1" x14ac:dyDescent="0.25">
      <c r="A214" s="278"/>
      <c r="B214" s="279" t="str">
        <f t="shared" si="93"/>
        <v>full height end panelstandard 2 packquality</v>
      </c>
      <c r="C214" s="278" t="s">
        <v>1006</v>
      </c>
      <c r="D214" s="278"/>
      <c r="E214" s="278" t="s">
        <v>991</v>
      </c>
      <c r="F214" s="278" t="s">
        <v>544</v>
      </c>
      <c r="G214" s="278" t="s">
        <v>5</v>
      </c>
      <c r="H214" s="290">
        <v>0.4</v>
      </c>
      <c r="I214" s="280">
        <f t="shared" si="97"/>
        <v>32.248000000000005</v>
      </c>
      <c r="J214" s="281">
        <f t="shared" si="95"/>
        <v>36.572000000000003</v>
      </c>
      <c r="K214" s="282">
        <f>IF(Notes!$B$9="Domestic",I214, IF(Notes!$B$9="Commercial",J214))*$K$170</f>
        <v>36.572000000000003</v>
      </c>
      <c r="L214" s="283">
        <f>(SUM(O214:Q214)+(K214+SUM(M214:Q214))*(INDEX($U$170:$AB$170,MATCH(Notes!$C$16,$U$3:$AB$3,0))-100%))*$L$170</f>
        <v>449.98800000000006</v>
      </c>
      <c r="M214" s="286"/>
      <c r="N214" s="286"/>
      <c r="O214" s="311">
        <f t="shared" ref="O214:O215" si="99">O213*1.1</f>
        <v>449.98800000000006</v>
      </c>
      <c r="P214" s="285"/>
      <c r="Q214" s="285"/>
      <c r="R214" s="278"/>
      <c r="S214" s="278"/>
      <c r="T214" s="278"/>
      <c r="U214" s="304"/>
    </row>
    <row r="215" spans="1:28" s="305" customFormat="1" ht="14.45" hidden="1" customHeight="1" outlineLevel="1" x14ac:dyDescent="0.25">
      <c r="A215" s="278"/>
      <c r="B215" s="279" t="str">
        <f t="shared" ref="B215:B218" si="100">C215&amp;D215&amp;E215&amp;F215</f>
        <v>full height end panelstandard 2 packprestige</v>
      </c>
      <c r="C215" s="278" t="s">
        <v>1006</v>
      </c>
      <c r="D215" s="278"/>
      <c r="E215" s="278" t="s">
        <v>991</v>
      </c>
      <c r="F215" s="278" t="s">
        <v>545</v>
      </c>
      <c r="G215" s="278" t="s">
        <v>5</v>
      </c>
      <c r="H215" s="290">
        <v>0.4</v>
      </c>
      <c r="I215" s="280">
        <f t="shared" si="97"/>
        <v>32.248000000000005</v>
      </c>
      <c r="J215" s="281">
        <f t="shared" ref="J215:J218" si="101">$J$2*H215</f>
        <v>36.572000000000003</v>
      </c>
      <c r="K215" s="282">
        <f>IF(Notes!$B$9="Domestic",I215, IF(Notes!$B$9="Commercial",J215))*$K$170</f>
        <v>36.572000000000003</v>
      </c>
      <c r="L215" s="283">
        <f>(SUM(O215:Q215)+(K215+SUM(M215:Q215))*(INDEX($U$170:$AB$170,MATCH(Notes!$C$16,$U$3:$AB$3,0))-100%))*$L$170</f>
        <v>494.98680000000013</v>
      </c>
      <c r="M215" s="286"/>
      <c r="N215" s="286"/>
      <c r="O215" s="311">
        <f t="shared" si="99"/>
        <v>494.98680000000013</v>
      </c>
      <c r="P215" s="285"/>
      <c r="Q215" s="285"/>
      <c r="R215" s="278"/>
      <c r="S215" s="278"/>
      <c r="T215" s="278"/>
      <c r="U215" s="304"/>
    </row>
    <row r="216" spans="1:28" s="305" customFormat="1" ht="14.45" hidden="1" customHeight="1" outlineLevel="1" x14ac:dyDescent="0.25">
      <c r="A216" s="278"/>
      <c r="B216" s="279" t="str">
        <f t="shared" si="100"/>
        <v>full height end paneldesigner 2 packaverage</v>
      </c>
      <c r="C216" s="278" t="s">
        <v>1006</v>
      </c>
      <c r="D216" s="278"/>
      <c r="E216" s="278" t="s">
        <v>992</v>
      </c>
      <c r="F216" s="278" t="s">
        <v>543</v>
      </c>
      <c r="G216" s="278" t="s">
        <v>5</v>
      </c>
      <c r="H216" s="290">
        <v>0.4</v>
      </c>
      <c r="I216" s="280">
        <f t="shared" si="97"/>
        <v>32.248000000000005</v>
      </c>
      <c r="J216" s="281">
        <f t="shared" si="101"/>
        <v>36.572000000000003</v>
      </c>
      <c r="K216" s="282">
        <f>IF(Notes!$B$9="Domestic",I216, IF(Notes!$B$9="Commercial",J216))*$K$170</f>
        <v>36.572000000000003</v>
      </c>
      <c r="L216" s="283">
        <f>(SUM(O216:Q216)+(K216+SUM(M216:Q216))*(INDEX($U$170:$AB$170,MATCH(Notes!$C$16,$U$3:$AB$3,0))-100%))*$L$170</f>
        <v>1011.81</v>
      </c>
      <c r="M216" s="286"/>
      <c r="N216" s="286"/>
      <c r="O216" s="311">
        <f>O192*3</f>
        <v>1011.81</v>
      </c>
      <c r="P216" s="285"/>
      <c r="Q216" s="285"/>
      <c r="R216" s="278"/>
      <c r="S216" s="278"/>
      <c r="T216" s="278"/>
    </row>
    <row r="217" spans="1:28" s="305" customFormat="1" hidden="1" outlineLevel="1" x14ac:dyDescent="0.25">
      <c r="A217" s="278"/>
      <c r="B217" s="279" t="str">
        <f t="shared" si="100"/>
        <v>full height end paneldesigner 2 packquality</v>
      </c>
      <c r="C217" s="278" t="s">
        <v>1006</v>
      </c>
      <c r="D217" s="278"/>
      <c r="E217" s="278" t="s">
        <v>992</v>
      </c>
      <c r="F217" s="278" t="s">
        <v>544</v>
      </c>
      <c r="G217" s="278" t="s">
        <v>5</v>
      </c>
      <c r="H217" s="290">
        <v>0.4</v>
      </c>
      <c r="I217" s="280">
        <f>$I$2*H217</f>
        <v>32.248000000000005</v>
      </c>
      <c r="J217" s="281">
        <f t="shared" si="101"/>
        <v>36.572000000000003</v>
      </c>
      <c r="K217" s="282">
        <f>IF(Notes!$B$9="Domestic",I217, IF(Notes!$B$9="Commercial",J217))*$K$170</f>
        <v>36.572000000000003</v>
      </c>
      <c r="L217" s="283">
        <f>(SUM(O217:Q217)+(K217+SUM(M217:Q217))*(INDEX($U$170:$AB$170,MATCH(Notes!$C$16,$U$3:$AB$3,0))-100%))*$L$170</f>
        <v>1112.991</v>
      </c>
      <c r="M217" s="286"/>
      <c r="N217" s="286"/>
      <c r="O217" s="311">
        <f t="shared" ref="O217:O218" si="102">O216*1.1</f>
        <v>1112.991</v>
      </c>
      <c r="P217" s="285"/>
      <c r="Q217" s="285"/>
      <c r="R217" s="278"/>
      <c r="S217" s="278"/>
      <c r="T217" s="278"/>
    </row>
    <row r="218" spans="1:28" s="305" customFormat="1" hidden="1" outlineLevel="1" x14ac:dyDescent="0.25">
      <c r="A218" s="278"/>
      <c r="B218" s="279" t="str">
        <f t="shared" si="100"/>
        <v>full height end paneldesigner 2 packprestige</v>
      </c>
      <c r="C218" s="278" t="s">
        <v>1006</v>
      </c>
      <c r="D218" s="278"/>
      <c r="E218" s="278" t="s">
        <v>992</v>
      </c>
      <c r="F218" s="278" t="s">
        <v>545</v>
      </c>
      <c r="G218" s="278" t="s">
        <v>5</v>
      </c>
      <c r="H218" s="290">
        <v>0.4</v>
      </c>
      <c r="I218" s="280">
        <f t="shared" ref="I218" si="103">$I$2*H218</f>
        <v>32.248000000000005</v>
      </c>
      <c r="J218" s="281">
        <f t="shared" si="101"/>
        <v>36.572000000000003</v>
      </c>
      <c r="K218" s="282">
        <f>IF(Notes!$B$9="Domestic",I218, IF(Notes!$B$9="Commercial",J218))*$K$170</f>
        <v>36.572000000000003</v>
      </c>
      <c r="L218" s="283">
        <f>(SUM(O218:Q218)+(K218+SUM(M218:Q218))*(INDEX($U$170:$AB$170,MATCH(Notes!$C$16,$U$3:$AB$3,0))-100%))*$L$170</f>
        <v>1224.2901000000002</v>
      </c>
      <c r="M218" s="286"/>
      <c r="N218" s="286"/>
      <c r="O218" s="311">
        <f t="shared" si="102"/>
        <v>1224.2901000000002</v>
      </c>
      <c r="P218" s="285"/>
      <c r="Q218" s="285"/>
      <c r="R218" s="278"/>
      <c r="S218" s="278"/>
      <c r="T218" s="278"/>
    </row>
    <row r="219" spans="1:28" ht="21" hidden="1" outlineLevel="1" x14ac:dyDescent="0.25">
      <c r="A219" s="299" t="s">
        <v>219</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row>
    <row r="220" spans="1:28" ht="15.75" hidden="1" outlineLevel="1" x14ac:dyDescent="0.25">
      <c r="A220" s="291"/>
      <c r="B220" s="291"/>
      <c r="C220" s="291"/>
      <c r="D220" s="291"/>
      <c r="E220" s="291"/>
      <c r="F220" s="291"/>
      <c r="G220" s="291"/>
      <c r="H220" s="291"/>
      <c r="I220" s="291"/>
      <c r="J220" s="291"/>
      <c r="K220" s="291">
        <f>K$2</f>
        <v>1</v>
      </c>
      <c r="L220" s="291">
        <f>L$2</f>
        <v>1</v>
      </c>
      <c r="M220" s="291"/>
      <c r="N220" s="291"/>
      <c r="O220" s="303"/>
      <c r="P220" s="303"/>
      <c r="Q220" s="303"/>
      <c r="R220" s="291"/>
      <c r="S220" s="291"/>
      <c r="T220" s="291"/>
      <c r="U220" s="291">
        <f>U$2</f>
        <v>1</v>
      </c>
      <c r="V220" s="291">
        <f>V$2</f>
        <v>1</v>
      </c>
      <c r="W220" s="291">
        <f t="shared" ref="W220:AB220" si="104">W$2</f>
        <v>1.009090909090909</v>
      </c>
      <c r="X220" s="291">
        <f t="shared" si="104"/>
        <v>1.0909090909090908</v>
      </c>
      <c r="Y220" s="291">
        <f t="shared" si="104"/>
        <v>1.1454545454545455</v>
      </c>
      <c r="Z220" s="291">
        <f t="shared" si="104"/>
        <v>1</v>
      </c>
      <c r="AA220" s="291">
        <f t="shared" si="104"/>
        <v>1</v>
      </c>
      <c r="AB220" s="291">
        <f t="shared" si="104"/>
        <v>1</v>
      </c>
    </row>
    <row r="221" spans="1:28" s="305" customFormat="1" ht="14.45" hidden="1" customHeight="1" outlineLevel="1" x14ac:dyDescent="0.25">
      <c r="A221" s="278"/>
      <c r="B221" s="279" t="str">
        <f>C221&amp;D221&amp;E221&amp;F221</f>
        <v>kickboardstandard laminatedaverage</v>
      </c>
      <c r="C221" s="278" t="s">
        <v>1007</v>
      </c>
      <c r="D221" s="278"/>
      <c r="E221" s="278" t="s">
        <v>989</v>
      </c>
      <c r="F221" s="278" t="s">
        <v>543</v>
      </c>
      <c r="G221" s="278" t="s">
        <v>15</v>
      </c>
      <c r="H221" s="290">
        <v>0.2</v>
      </c>
      <c r="I221" s="280">
        <f>$I$2*H221</f>
        <v>16.124000000000002</v>
      </c>
      <c r="J221" s="281">
        <f>$J$2*H221</f>
        <v>18.286000000000001</v>
      </c>
      <c r="K221" s="282">
        <f>IF(Notes!$B$9="Domestic",I221, IF(Notes!$B$9="Commercial",J221))*$K$220</f>
        <v>18.286000000000001</v>
      </c>
      <c r="L221" s="283">
        <f>(SUM(O221:Q221)+(K221+SUM(M221:Q221))*(INDEX($U$220:$AB$220,MATCH(Notes!$C$16,$U$3:$AB$3,0))-100%))*$L$220</f>
        <v>18.937500000000004</v>
      </c>
      <c r="M221" s="286"/>
      <c r="N221" s="286"/>
      <c r="O221" s="285">
        <f>45.45/2.4</f>
        <v>18.937500000000004</v>
      </c>
      <c r="P221" s="285"/>
      <c r="Q221" s="285"/>
      <c r="R221" s="278"/>
      <c r="S221" s="278"/>
      <c r="T221" s="278"/>
      <c r="U221" s="304"/>
    </row>
    <row r="222" spans="1:28" s="305" customFormat="1" ht="14.45" hidden="1" customHeight="1" outlineLevel="1" x14ac:dyDescent="0.25">
      <c r="A222" s="278"/>
      <c r="B222" s="279" t="str">
        <f t="shared" ref="B222:B232" si="105">C222&amp;D222&amp;E222&amp;F222</f>
        <v>kickboardstandard laminatedquality</v>
      </c>
      <c r="C222" s="278" t="s">
        <v>1007</v>
      </c>
      <c r="D222" s="278"/>
      <c r="E222" s="278" t="s">
        <v>989</v>
      </c>
      <c r="F222" s="278" t="s">
        <v>544</v>
      </c>
      <c r="G222" s="278" t="s">
        <v>15</v>
      </c>
      <c r="H222" s="290">
        <v>0.2</v>
      </c>
      <c r="I222" s="280">
        <f t="shared" ref="I222:I232" si="106">$I$2*H222</f>
        <v>16.124000000000002</v>
      </c>
      <c r="J222" s="281">
        <f t="shared" ref="J222:J232" si="107">$J$2*H222</f>
        <v>18.286000000000001</v>
      </c>
      <c r="K222" s="282">
        <f>IF(Notes!$B$9="Domestic",I222, IF(Notes!$B$9="Commercial",J222))*$K$220</f>
        <v>18.286000000000001</v>
      </c>
      <c r="L222" s="283">
        <f>(SUM(O222:Q222)+(K222+SUM(M222:Q222))*(INDEX($U$220:$AB$220,MATCH(Notes!$C$16,$U$3:$AB$3,0))-100%))*$L$220</f>
        <v>20.831250000000004</v>
      </c>
      <c r="M222" s="286"/>
      <c r="N222" s="286"/>
      <c r="O222" s="311">
        <f>O221*1.1</f>
        <v>20.831250000000004</v>
      </c>
      <c r="P222" s="285"/>
      <c r="Q222" s="285"/>
      <c r="R222" s="278"/>
      <c r="S222" s="278"/>
      <c r="T222" s="278"/>
      <c r="U222" s="304"/>
    </row>
    <row r="223" spans="1:28" s="305" customFormat="1" ht="14.45" hidden="1" customHeight="1" outlineLevel="1" x14ac:dyDescent="0.25">
      <c r="A223" s="278"/>
      <c r="B223" s="279" t="str">
        <f t="shared" ref="B223:B228" si="108">C223&amp;D223&amp;E223&amp;F223</f>
        <v>kickboardstandard laminatedprestige</v>
      </c>
      <c r="C223" s="278" t="s">
        <v>1007</v>
      </c>
      <c r="D223" s="278"/>
      <c r="E223" s="278" t="s">
        <v>989</v>
      </c>
      <c r="F223" s="278" t="s">
        <v>545</v>
      </c>
      <c r="G223" s="278" t="s">
        <v>15</v>
      </c>
      <c r="H223" s="290">
        <v>0.2</v>
      </c>
      <c r="I223" s="280">
        <f t="shared" ref="I223:I228" si="109">$I$2*H223</f>
        <v>16.124000000000002</v>
      </c>
      <c r="J223" s="281">
        <f t="shared" ref="J223:J228" si="110">$J$2*H223</f>
        <v>18.286000000000001</v>
      </c>
      <c r="K223" s="282">
        <f>IF(Notes!$B$9="Domestic",I223, IF(Notes!$B$9="Commercial",J223))*$K$220</f>
        <v>18.286000000000001</v>
      </c>
      <c r="L223" s="283">
        <f>(SUM(O223:Q223)+(K223+SUM(M223:Q223))*(INDEX($U$220:$AB$220,MATCH(Notes!$C$16,$U$3:$AB$3,0))-100%))*$L$220</f>
        <v>22.914375000000007</v>
      </c>
      <c r="M223" s="286"/>
      <c r="N223" s="286"/>
      <c r="O223" s="311">
        <f>O222*1.1</f>
        <v>22.914375000000007</v>
      </c>
      <c r="P223" s="285"/>
      <c r="Q223" s="285"/>
      <c r="R223" s="278"/>
      <c r="S223" s="278"/>
      <c r="T223" s="278"/>
      <c r="U223" s="304"/>
    </row>
    <row r="224" spans="1:28" s="305" customFormat="1" ht="14.45" hidden="1" customHeight="1" outlineLevel="1" x14ac:dyDescent="0.25">
      <c r="A224" s="278"/>
      <c r="B224" s="279" t="str">
        <f t="shared" si="108"/>
        <v>kickboarddesigner laminatedaverage</v>
      </c>
      <c r="C224" s="278" t="s">
        <v>1007</v>
      </c>
      <c r="D224" s="278"/>
      <c r="E224" s="278" t="s">
        <v>990</v>
      </c>
      <c r="F224" s="278" t="s">
        <v>543</v>
      </c>
      <c r="G224" s="278" t="s">
        <v>15</v>
      </c>
      <c r="H224" s="290">
        <v>0.2</v>
      </c>
      <c r="I224" s="280">
        <f t="shared" si="109"/>
        <v>16.124000000000002</v>
      </c>
      <c r="J224" s="281">
        <f t="shared" si="110"/>
        <v>18.286000000000001</v>
      </c>
      <c r="K224" s="282">
        <f>IF(Notes!$B$9="Domestic",I224, IF(Notes!$B$9="Commercial",J224))*$K$220</f>
        <v>18.286000000000001</v>
      </c>
      <c r="L224" s="283">
        <f>(SUM(O224:Q224)+(K224+SUM(M224:Q224))*(INDEX($U$220:$AB$220,MATCH(Notes!$C$16,$U$3:$AB$3,0))-100%))*$L$220</f>
        <v>22.729166666666668</v>
      </c>
      <c r="M224" s="286"/>
      <c r="N224" s="286"/>
      <c r="O224" s="285">
        <f>54.55/2.4</f>
        <v>22.729166666666668</v>
      </c>
      <c r="P224" s="285"/>
      <c r="Q224" s="285"/>
      <c r="R224" s="278"/>
      <c r="S224" s="278"/>
      <c r="T224" s="278"/>
      <c r="U224" s="304"/>
    </row>
    <row r="225" spans="1:28" s="305" customFormat="1" ht="14.45" hidden="1" customHeight="1" outlineLevel="1" x14ac:dyDescent="0.25">
      <c r="A225" s="278"/>
      <c r="B225" s="279" t="str">
        <f t="shared" si="108"/>
        <v>kickboarddesigner laminatedquality</v>
      </c>
      <c r="C225" s="278" t="s">
        <v>1007</v>
      </c>
      <c r="D225" s="278"/>
      <c r="E225" s="278" t="s">
        <v>990</v>
      </c>
      <c r="F225" s="278" t="s">
        <v>544</v>
      </c>
      <c r="G225" s="278" t="s">
        <v>15</v>
      </c>
      <c r="H225" s="290">
        <v>0.2</v>
      </c>
      <c r="I225" s="280">
        <f t="shared" si="109"/>
        <v>16.124000000000002</v>
      </c>
      <c r="J225" s="281">
        <f t="shared" si="110"/>
        <v>18.286000000000001</v>
      </c>
      <c r="K225" s="282">
        <f>IF(Notes!$B$9="Domestic",I225, IF(Notes!$B$9="Commercial",J225))*$K$220</f>
        <v>18.286000000000001</v>
      </c>
      <c r="L225" s="283">
        <f>(SUM(O225:Q225)+(K225+SUM(M225:Q225))*(INDEX($U$220:$AB$220,MATCH(Notes!$C$16,$U$3:$AB$3,0))-100%))*$L$220</f>
        <v>25.002083333333335</v>
      </c>
      <c r="M225" s="286"/>
      <c r="N225" s="286"/>
      <c r="O225" s="311">
        <f>O224*1.1</f>
        <v>25.002083333333335</v>
      </c>
      <c r="P225" s="285"/>
      <c r="Q225" s="285"/>
      <c r="R225" s="278"/>
      <c r="S225" s="278"/>
      <c r="T225" s="278"/>
      <c r="U225" s="304"/>
    </row>
    <row r="226" spans="1:28" s="305" customFormat="1" ht="14.45" hidden="1" customHeight="1" outlineLevel="1" x14ac:dyDescent="0.25">
      <c r="A226" s="278"/>
      <c r="B226" s="279" t="str">
        <f t="shared" si="108"/>
        <v>kickboarddesigner laminatedprestige</v>
      </c>
      <c r="C226" s="278" t="s">
        <v>1007</v>
      </c>
      <c r="D226" s="278"/>
      <c r="E226" s="278" t="s">
        <v>990</v>
      </c>
      <c r="F226" s="278" t="s">
        <v>545</v>
      </c>
      <c r="G226" s="278" t="s">
        <v>15</v>
      </c>
      <c r="H226" s="290">
        <v>0.2</v>
      </c>
      <c r="I226" s="280">
        <f t="shared" si="109"/>
        <v>16.124000000000002</v>
      </c>
      <c r="J226" s="281">
        <f t="shared" si="110"/>
        <v>18.286000000000001</v>
      </c>
      <c r="K226" s="282">
        <f>IF(Notes!$B$9="Domestic",I226, IF(Notes!$B$9="Commercial",J226))*$K$220</f>
        <v>18.286000000000001</v>
      </c>
      <c r="L226" s="283">
        <f>(SUM(O226:Q226)+(K226+SUM(M226:Q226))*(INDEX($U$220:$AB$220,MATCH(Notes!$C$16,$U$3:$AB$3,0))-100%))*$L$220</f>
        <v>27.502291666666672</v>
      </c>
      <c r="M226" s="286"/>
      <c r="N226" s="286"/>
      <c r="O226" s="311">
        <f>O225*1.1</f>
        <v>27.502291666666672</v>
      </c>
      <c r="P226" s="285"/>
      <c r="Q226" s="285"/>
      <c r="R226" s="278"/>
      <c r="S226" s="278"/>
      <c r="T226" s="278"/>
      <c r="U226" s="304"/>
    </row>
    <row r="227" spans="1:28" s="305" customFormat="1" ht="14.45" hidden="1" customHeight="1" outlineLevel="1" x14ac:dyDescent="0.25">
      <c r="A227" s="278"/>
      <c r="B227" s="279" t="str">
        <f t="shared" si="108"/>
        <v>kickboardstandard 2 packaverage</v>
      </c>
      <c r="C227" s="278" t="s">
        <v>1007</v>
      </c>
      <c r="D227" s="278"/>
      <c r="E227" s="278" t="s">
        <v>991</v>
      </c>
      <c r="F227" s="278" t="s">
        <v>543</v>
      </c>
      <c r="G227" s="278" t="s">
        <v>15</v>
      </c>
      <c r="H227" s="290">
        <v>0.2</v>
      </c>
      <c r="I227" s="280">
        <f t="shared" si="109"/>
        <v>16.124000000000002</v>
      </c>
      <c r="J227" s="281">
        <f t="shared" si="110"/>
        <v>18.286000000000001</v>
      </c>
      <c r="K227" s="282">
        <f>IF(Notes!$B$9="Domestic",I227, IF(Notes!$B$9="Commercial",J227))*$K$220</f>
        <v>18.286000000000001</v>
      </c>
      <c r="L227" s="283">
        <f>(SUM(O227:Q227)+(K227+SUM(M227:Q227))*(INDEX($U$220:$AB$220,MATCH(Notes!$C$16,$U$3:$AB$3,0))-100%))*$L$220</f>
        <v>30.304166666666671</v>
      </c>
      <c r="M227" s="286"/>
      <c r="N227" s="286"/>
      <c r="O227" s="285">
        <f>72.73/2.4</f>
        <v>30.304166666666671</v>
      </c>
      <c r="P227" s="285"/>
      <c r="Q227" s="285"/>
      <c r="R227" s="278"/>
      <c r="S227" s="278"/>
      <c r="T227" s="278"/>
      <c r="U227" s="304"/>
    </row>
    <row r="228" spans="1:28" s="305" customFormat="1" ht="14.45" hidden="1" customHeight="1" outlineLevel="1" x14ac:dyDescent="0.25">
      <c r="A228" s="278"/>
      <c r="B228" s="279" t="str">
        <f t="shared" si="108"/>
        <v>kickboardstandard 2 packquality</v>
      </c>
      <c r="C228" s="278" t="s">
        <v>1007</v>
      </c>
      <c r="D228" s="278"/>
      <c r="E228" s="278" t="s">
        <v>991</v>
      </c>
      <c r="F228" s="278" t="s">
        <v>544</v>
      </c>
      <c r="G228" s="278" t="s">
        <v>15</v>
      </c>
      <c r="H228" s="290">
        <v>0.2</v>
      </c>
      <c r="I228" s="280">
        <f t="shared" si="109"/>
        <v>16.124000000000002</v>
      </c>
      <c r="J228" s="281">
        <f t="shared" si="110"/>
        <v>18.286000000000001</v>
      </c>
      <c r="K228" s="282">
        <f>IF(Notes!$B$9="Domestic",I228, IF(Notes!$B$9="Commercial",J228))*$K$220</f>
        <v>18.286000000000001</v>
      </c>
      <c r="L228" s="283">
        <f>(SUM(O228:Q228)+(K228+SUM(M228:Q228))*(INDEX($U$220:$AB$220,MATCH(Notes!$C$16,$U$3:$AB$3,0))-100%))*$L$220</f>
        <v>33.334583333333342</v>
      </c>
      <c r="M228" s="286"/>
      <c r="N228" s="286"/>
      <c r="O228" s="311">
        <f>O227*1.1</f>
        <v>33.334583333333342</v>
      </c>
      <c r="P228" s="285"/>
      <c r="Q228" s="285"/>
      <c r="R228" s="278"/>
      <c r="S228" s="278"/>
      <c r="T228" s="278"/>
      <c r="U228" s="304"/>
    </row>
    <row r="229" spans="1:28" s="305" customFormat="1" ht="14.45" hidden="1" customHeight="1" outlineLevel="1" x14ac:dyDescent="0.25">
      <c r="A229" s="278"/>
      <c r="B229" s="279" t="str">
        <f t="shared" si="105"/>
        <v>kickboardstandard 2 packprestige</v>
      </c>
      <c r="C229" s="278" t="s">
        <v>1007</v>
      </c>
      <c r="D229" s="278"/>
      <c r="E229" s="278" t="s">
        <v>991</v>
      </c>
      <c r="F229" s="278" t="s">
        <v>545</v>
      </c>
      <c r="G229" s="278" t="s">
        <v>15</v>
      </c>
      <c r="H229" s="290">
        <v>0.2</v>
      </c>
      <c r="I229" s="280">
        <f t="shared" si="106"/>
        <v>16.124000000000002</v>
      </c>
      <c r="J229" s="281">
        <f t="shared" si="107"/>
        <v>18.286000000000001</v>
      </c>
      <c r="K229" s="282">
        <f>IF(Notes!$B$9="Domestic",I229, IF(Notes!$B$9="Commercial",J229))*$K$220</f>
        <v>18.286000000000001</v>
      </c>
      <c r="L229" s="283">
        <f>(SUM(O229:Q229)+(K229+SUM(M229:Q229))*(INDEX($U$220:$AB$220,MATCH(Notes!$C$16,$U$3:$AB$3,0))-100%))*$L$220</f>
        <v>36.668041666666682</v>
      </c>
      <c r="M229" s="286"/>
      <c r="N229" s="286"/>
      <c r="O229" s="311">
        <f>O228*1.1</f>
        <v>36.668041666666682</v>
      </c>
      <c r="P229" s="285"/>
      <c r="Q229" s="285"/>
      <c r="R229" s="278"/>
      <c r="S229" s="278"/>
      <c r="T229" s="278"/>
      <c r="U229" s="304"/>
    </row>
    <row r="230" spans="1:28" s="305" customFormat="1" ht="14.45" hidden="1" customHeight="1" outlineLevel="1" x14ac:dyDescent="0.25">
      <c r="A230" s="278"/>
      <c r="B230" s="279" t="str">
        <f t="shared" si="105"/>
        <v>kickboarddesigner 2 packaverage</v>
      </c>
      <c r="C230" s="278" t="s">
        <v>1007</v>
      </c>
      <c r="D230" s="278"/>
      <c r="E230" s="278" t="s">
        <v>992</v>
      </c>
      <c r="F230" s="278" t="s">
        <v>543</v>
      </c>
      <c r="G230" s="278" t="s">
        <v>15</v>
      </c>
      <c r="H230" s="290">
        <v>0.2</v>
      </c>
      <c r="I230" s="280">
        <f t="shared" si="106"/>
        <v>16.124000000000002</v>
      </c>
      <c r="J230" s="281">
        <f t="shared" si="107"/>
        <v>18.286000000000001</v>
      </c>
      <c r="K230" s="282">
        <f>IF(Notes!$B$9="Domestic",I230, IF(Notes!$B$9="Commercial",J230))*$K$220</f>
        <v>18.286000000000001</v>
      </c>
      <c r="L230" s="283">
        <f>(SUM(O230:Q230)+(K230+SUM(M230:Q230))*(INDEX($U$220:$AB$220,MATCH(Notes!$C$16,$U$3:$AB$3,0))-100%))*$L$220</f>
        <v>45.456250000000004</v>
      </c>
      <c r="M230" s="286"/>
      <c r="N230" s="286"/>
      <c r="O230" s="311">
        <f>O227*1.5</f>
        <v>45.456250000000004</v>
      </c>
      <c r="P230" s="285"/>
      <c r="Q230" s="285"/>
      <c r="R230" s="278"/>
      <c r="S230" s="278"/>
      <c r="T230" s="278"/>
    </row>
    <row r="231" spans="1:28" s="305" customFormat="1" ht="14.45" hidden="1" customHeight="1" outlineLevel="1" x14ac:dyDescent="0.25">
      <c r="A231" s="278"/>
      <c r="B231" s="279" t="str">
        <f t="shared" si="105"/>
        <v>kickboarddesigner 2 packquality</v>
      </c>
      <c r="C231" s="278" t="s">
        <v>1007</v>
      </c>
      <c r="D231" s="278"/>
      <c r="E231" s="278" t="s">
        <v>992</v>
      </c>
      <c r="F231" s="278" t="s">
        <v>544</v>
      </c>
      <c r="G231" s="278" t="s">
        <v>15</v>
      </c>
      <c r="H231" s="290">
        <v>0.2</v>
      </c>
      <c r="I231" s="280">
        <f>$I$2*H231</f>
        <v>16.124000000000002</v>
      </c>
      <c r="J231" s="281">
        <f t="shared" si="107"/>
        <v>18.286000000000001</v>
      </c>
      <c r="K231" s="282">
        <f>IF(Notes!$B$9="Domestic",I231, IF(Notes!$B$9="Commercial",J231))*$K$220</f>
        <v>18.286000000000001</v>
      </c>
      <c r="L231" s="283">
        <f>(SUM(O231:Q231)+(K231+SUM(M231:Q231))*(INDEX($U$220:$AB$220,MATCH(Notes!$C$16,$U$3:$AB$3,0))-100%))*$L$220</f>
        <v>50.001875000000005</v>
      </c>
      <c r="M231" s="286"/>
      <c r="N231" s="286"/>
      <c r="O231" s="311">
        <f>O230*1.1</f>
        <v>50.001875000000005</v>
      </c>
      <c r="P231" s="285"/>
      <c r="Q231" s="285"/>
      <c r="R231" s="278"/>
      <c r="S231" s="278"/>
      <c r="T231" s="278"/>
    </row>
    <row r="232" spans="1:28" s="305" customFormat="1" ht="14.45" hidden="1" customHeight="1" outlineLevel="1" x14ac:dyDescent="0.25">
      <c r="A232" s="278"/>
      <c r="B232" s="279" t="str">
        <f t="shared" si="105"/>
        <v>kickboarddesigner 2 packprestige</v>
      </c>
      <c r="C232" s="278" t="s">
        <v>1007</v>
      </c>
      <c r="D232" s="278"/>
      <c r="E232" s="278" t="s">
        <v>992</v>
      </c>
      <c r="F232" s="278" t="s">
        <v>545</v>
      </c>
      <c r="G232" s="278" t="s">
        <v>15</v>
      </c>
      <c r="H232" s="290">
        <v>0.2</v>
      </c>
      <c r="I232" s="280">
        <f t="shared" si="106"/>
        <v>16.124000000000002</v>
      </c>
      <c r="J232" s="281">
        <f t="shared" si="107"/>
        <v>18.286000000000001</v>
      </c>
      <c r="K232" s="282">
        <f>IF(Notes!$B$9="Domestic",I232, IF(Notes!$B$9="Commercial",J232))*$K$220</f>
        <v>18.286000000000001</v>
      </c>
      <c r="L232" s="283">
        <f>(SUM(O232:Q232)+(K232+SUM(M232:Q232))*(INDEX($U$220:$AB$220,MATCH(Notes!$C$16,$U$3:$AB$3,0))-100%))*$L$220</f>
        <v>55.002062500000008</v>
      </c>
      <c r="M232" s="286"/>
      <c r="N232" s="286"/>
      <c r="O232" s="311">
        <f>O231*1.1</f>
        <v>55.002062500000008</v>
      </c>
      <c r="P232" s="285"/>
      <c r="Q232" s="285"/>
      <c r="R232" s="278"/>
      <c r="S232" s="278"/>
      <c r="T232" s="278"/>
    </row>
    <row r="233" spans="1:28" s="305" customFormat="1" ht="14.45" hidden="1" customHeight="1" outlineLevel="1" x14ac:dyDescent="0.25">
      <c r="A233" s="278"/>
      <c r="B233" s="279" t="str">
        <f t="shared" ref="B233:B235" si="111">C233&amp;D233&amp;E233&amp;F233</f>
        <v>kickboardaluminiumaverage</v>
      </c>
      <c r="C233" s="278" t="s">
        <v>1007</v>
      </c>
      <c r="D233" s="278"/>
      <c r="E233" s="278" t="s">
        <v>1008</v>
      </c>
      <c r="F233" s="278" t="s">
        <v>543</v>
      </c>
      <c r="G233" s="278" t="s">
        <v>15</v>
      </c>
      <c r="H233" s="290">
        <v>0.2</v>
      </c>
      <c r="I233" s="280">
        <f t="shared" ref="I233" si="112">$I$2*H233</f>
        <v>16.124000000000002</v>
      </c>
      <c r="J233" s="281">
        <f t="shared" ref="J233:J235" si="113">$J$2*H233</f>
        <v>18.286000000000001</v>
      </c>
      <c r="K233" s="282">
        <f>IF(Notes!$B$9="Domestic",I233, IF(Notes!$B$9="Commercial",J233))*$K$220</f>
        <v>18.286000000000001</v>
      </c>
      <c r="L233" s="283">
        <f>(SUM(O233:Q233)+(K233+SUM(M233:Q233))*(INDEX($U$220:$AB$220,MATCH(Notes!$C$16,$U$3:$AB$3,0))-100%))*$L$220</f>
        <v>18.333333333333336</v>
      </c>
      <c r="M233" s="286"/>
      <c r="N233" s="286"/>
      <c r="O233" s="285">
        <f>44/2.4</f>
        <v>18.333333333333336</v>
      </c>
      <c r="P233" s="285"/>
      <c r="Q233" s="285"/>
      <c r="R233" s="278"/>
      <c r="S233" s="278"/>
      <c r="T233" s="278"/>
    </row>
    <row r="234" spans="1:28" s="305" customFormat="1" ht="14.45" hidden="1" customHeight="1" outlineLevel="1" x14ac:dyDescent="0.25">
      <c r="A234" s="278"/>
      <c r="B234" s="279" t="str">
        <f t="shared" si="111"/>
        <v>kickboardaluminiumquality</v>
      </c>
      <c r="C234" s="278" t="s">
        <v>1007</v>
      </c>
      <c r="D234" s="278"/>
      <c r="E234" s="278" t="s">
        <v>1008</v>
      </c>
      <c r="F234" s="278" t="s">
        <v>544</v>
      </c>
      <c r="G234" s="278" t="s">
        <v>15</v>
      </c>
      <c r="H234" s="290">
        <v>0.2</v>
      </c>
      <c r="I234" s="280">
        <f>$I$2*H234</f>
        <v>16.124000000000002</v>
      </c>
      <c r="J234" s="281">
        <f t="shared" si="113"/>
        <v>18.286000000000001</v>
      </c>
      <c r="K234" s="282">
        <f>IF(Notes!$B$9="Domestic",I234, IF(Notes!$B$9="Commercial",J234))*$K$220</f>
        <v>18.286000000000001</v>
      </c>
      <c r="L234" s="283">
        <f>(SUM(O234:Q234)+(K234+SUM(M234:Q234))*(INDEX($U$220:$AB$220,MATCH(Notes!$C$16,$U$3:$AB$3,0))-100%))*$L$220</f>
        <v>20.166666666666671</v>
      </c>
      <c r="M234" s="286"/>
      <c r="N234" s="286"/>
      <c r="O234" s="311">
        <f>O233*1.1</f>
        <v>20.166666666666671</v>
      </c>
      <c r="P234" s="285"/>
      <c r="Q234" s="285"/>
      <c r="R234" s="278"/>
      <c r="S234" s="278"/>
      <c r="T234" s="278"/>
    </row>
    <row r="235" spans="1:28" s="305" customFormat="1" ht="14.45" hidden="1" customHeight="1" outlineLevel="1" x14ac:dyDescent="0.25">
      <c r="A235" s="278"/>
      <c r="B235" s="279" t="str">
        <f t="shared" si="111"/>
        <v>kickboardaluminiumprestige</v>
      </c>
      <c r="C235" s="278" t="s">
        <v>1007</v>
      </c>
      <c r="D235" s="278"/>
      <c r="E235" s="278" t="s">
        <v>1008</v>
      </c>
      <c r="F235" s="278" t="s">
        <v>545</v>
      </c>
      <c r="G235" s="278" t="s">
        <v>15</v>
      </c>
      <c r="H235" s="290">
        <v>0.2</v>
      </c>
      <c r="I235" s="280">
        <f t="shared" ref="I235" si="114">$I$2*H235</f>
        <v>16.124000000000002</v>
      </c>
      <c r="J235" s="281">
        <f t="shared" si="113"/>
        <v>18.286000000000001</v>
      </c>
      <c r="K235" s="282">
        <f>IF(Notes!$B$9="Domestic",I235, IF(Notes!$B$9="Commercial",J235))*$K$220</f>
        <v>18.286000000000001</v>
      </c>
      <c r="L235" s="283">
        <f>(SUM(O235:Q235)+(K235+SUM(M235:Q235))*(INDEX($U$220:$AB$220,MATCH(Notes!$C$16,$U$3:$AB$3,0))-100%))*$L$220</f>
        <v>22.183333333333341</v>
      </c>
      <c r="M235" s="286"/>
      <c r="N235" s="286"/>
      <c r="O235" s="311">
        <f>O234*1.1</f>
        <v>22.183333333333341</v>
      </c>
      <c r="P235" s="285"/>
      <c r="Q235" s="285"/>
      <c r="R235" s="278"/>
      <c r="S235" s="278"/>
      <c r="T235" s="278"/>
    </row>
    <row r="236" spans="1:28" ht="21" hidden="1" outlineLevel="1" x14ac:dyDescent="0.25">
      <c r="A236" s="299" t="s">
        <v>224</v>
      </c>
      <c r="B236" s="299"/>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row>
    <row r="237" spans="1:28" ht="15.75" hidden="1" outlineLevel="1" x14ac:dyDescent="0.25">
      <c r="A237" s="291"/>
      <c r="B237" s="291"/>
      <c r="C237" s="291"/>
      <c r="D237" s="291"/>
      <c r="E237" s="291"/>
      <c r="F237" s="291"/>
      <c r="G237" s="291"/>
      <c r="H237" s="291"/>
      <c r="I237" s="291"/>
      <c r="J237" s="291"/>
      <c r="K237" s="291">
        <f>K$2</f>
        <v>1</v>
      </c>
      <c r="L237" s="291">
        <f>L$2</f>
        <v>1</v>
      </c>
      <c r="M237" s="291"/>
      <c r="N237" s="291"/>
      <c r="O237" s="303"/>
      <c r="P237" s="303"/>
      <c r="Q237" s="303"/>
      <c r="R237" s="291"/>
      <c r="S237" s="291"/>
      <c r="T237" s="291"/>
      <c r="U237" s="291">
        <f>U$2</f>
        <v>1</v>
      </c>
      <c r="V237" s="291">
        <f>V$2</f>
        <v>1</v>
      </c>
      <c r="W237" s="291">
        <f t="shared" ref="W237:AB237" si="115">W$2</f>
        <v>1.009090909090909</v>
      </c>
      <c r="X237" s="291">
        <f t="shared" si="115"/>
        <v>1.0909090909090908</v>
      </c>
      <c r="Y237" s="291">
        <f t="shared" si="115"/>
        <v>1.1454545454545455</v>
      </c>
      <c r="Z237" s="291">
        <f t="shared" si="115"/>
        <v>1</v>
      </c>
      <c r="AA237" s="291">
        <f t="shared" si="115"/>
        <v>1</v>
      </c>
      <c r="AB237" s="291">
        <f t="shared" si="115"/>
        <v>1</v>
      </c>
    </row>
    <row r="238" spans="1:28" s="305" customFormat="1" hidden="1" outlineLevel="1" x14ac:dyDescent="0.25">
      <c r="A238" s="278"/>
      <c r="B238" s="279" t="str">
        <f>C238&amp;D238&amp;E238&amp;F238</f>
        <v>vanityup to 600mmaverage</v>
      </c>
      <c r="C238" s="278" t="s">
        <v>1013</v>
      </c>
      <c r="D238" s="278" t="s">
        <v>546</v>
      </c>
      <c r="E238" s="278"/>
      <c r="F238" s="278" t="s">
        <v>543</v>
      </c>
      <c r="G238" s="278" t="s">
        <v>5</v>
      </c>
      <c r="H238" s="290">
        <v>1.06</v>
      </c>
      <c r="I238" s="280">
        <f>$I$2*H238</f>
        <v>85.457200000000014</v>
      </c>
      <c r="J238" s="281">
        <f>$J$2*H238</f>
        <v>96.915800000000019</v>
      </c>
      <c r="K238" s="282">
        <f>IF(Notes!$B$9="Domestic",I238, IF(Notes!$B$9="Commercial",J238))*$K$237</f>
        <v>96.915800000000019</v>
      </c>
      <c r="L238" s="283">
        <f>(SUM(O238:Q238)+(K238+SUM(M238:Q238))*(INDEX($U$237:$AB$237,MATCH(Notes!$C$16,$U$3:$AB$3,0))-100%))*$L$237</f>
        <v>669.16</v>
      </c>
      <c r="M238" s="286"/>
      <c r="N238" s="286"/>
      <c r="O238" s="285">
        <v>669.16</v>
      </c>
      <c r="P238" s="285"/>
      <c r="Q238" s="285"/>
      <c r="R238" s="278"/>
      <c r="S238" s="278" t="s">
        <v>546</v>
      </c>
      <c r="T238" s="278"/>
    </row>
    <row r="239" spans="1:28" s="305" customFormat="1" hidden="1" outlineLevel="1" x14ac:dyDescent="0.25">
      <c r="A239" s="278"/>
      <c r="B239" s="279" t="str">
        <f t="shared" ref="B239:B264" si="116">C239&amp;D239&amp;E239&amp;F239</f>
        <v>vanityup to 600mmquality</v>
      </c>
      <c r="C239" s="278" t="s">
        <v>1013</v>
      </c>
      <c r="D239" s="278" t="s">
        <v>546</v>
      </c>
      <c r="E239" s="278"/>
      <c r="F239" s="278" t="s">
        <v>544</v>
      </c>
      <c r="G239" s="278" t="s">
        <v>5</v>
      </c>
      <c r="H239" s="290">
        <v>1.06</v>
      </c>
      <c r="I239" s="280">
        <f t="shared" ref="I239:I264" si="117">$I$2*H239</f>
        <v>85.457200000000014</v>
      </c>
      <c r="J239" s="281">
        <f t="shared" ref="J239:J264" si="118">$J$2*H239</f>
        <v>96.915800000000019</v>
      </c>
      <c r="K239" s="282">
        <f>IF(Notes!$B$9="Domestic",I239, IF(Notes!$B$9="Commercial",J239))*$K$237</f>
        <v>96.915800000000019</v>
      </c>
      <c r="L239" s="283">
        <f>(SUM(O239:Q239)+(K239+SUM(M239:Q239))*(INDEX($U$237:$AB$237,MATCH(Notes!$C$16,$U$3:$AB$3,0))-100%))*$L$237</f>
        <v>1359.16</v>
      </c>
      <c r="M239" s="286"/>
      <c r="N239" s="286"/>
      <c r="O239" s="285">
        <v>1359.16</v>
      </c>
      <c r="P239" s="285"/>
      <c r="Q239" s="285"/>
      <c r="R239" s="278"/>
      <c r="S239" s="278" t="s">
        <v>998</v>
      </c>
      <c r="T239" s="278"/>
    </row>
    <row r="240" spans="1:28" s="305" customFormat="1" hidden="1" outlineLevel="1" x14ac:dyDescent="0.25">
      <c r="A240" s="278"/>
      <c r="B240" s="279" t="str">
        <f t="shared" si="116"/>
        <v>vanityup to 600mmprestige</v>
      </c>
      <c r="C240" s="278" t="s">
        <v>1013</v>
      </c>
      <c r="D240" s="278" t="s">
        <v>546</v>
      </c>
      <c r="E240" s="278"/>
      <c r="F240" s="278" t="s">
        <v>545</v>
      </c>
      <c r="G240" s="278" t="s">
        <v>5</v>
      </c>
      <c r="H240" s="290">
        <v>1.06</v>
      </c>
      <c r="I240" s="280">
        <f t="shared" si="117"/>
        <v>85.457200000000014</v>
      </c>
      <c r="J240" s="281">
        <f t="shared" si="118"/>
        <v>96.915800000000019</v>
      </c>
      <c r="K240" s="282">
        <f>IF(Notes!$B$9="Domestic",I240, IF(Notes!$B$9="Commercial",J240))*$K$237</f>
        <v>96.915800000000019</v>
      </c>
      <c r="L240" s="283">
        <f>(SUM(O240:Q240)+(K240+SUM(M240:Q240))*(INDEX($U$237:$AB$237,MATCH(Notes!$C$16,$U$3:$AB$3,0))-100%))*$L$237</f>
        <v>2243.71</v>
      </c>
      <c r="M240" s="286"/>
      <c r="N240" s="286"/>
      <c r="O240" s="285">
        <v>2243.71</v>
      </c>
      <c r="P240" s="285"/>
      <c r="Q240" s="285"/>
      <c r="R240" s="278"/>
      <c r="S240" s="278" t="s">
        <v>537</v>
      </c>
      <c r="T240" s="278"/>
    </row>
    <row r="241" spans="1:20" s="305" customFormat="1" hidden="1" outlineLevel="1" x14ac:dyDescent="0.25">
      <c r="A241" s="278"/>
      <c r="B241" s="279" t="str">
        <f t="shared" ref="B241:B255" si="119">C241&amp;D241&amp;E241&amp;F241</f>
        <v>vanity601mm to 900mmaverage</v>
      </c>
      <c r="C241" s="278" t="s">
        <v>1013</v>
      </c>
      <c r="D241" s="278" t="s">
        <v>998</v>
      </c>
      <c r="E241" s="278"/>
      <c r="F241" s="278" t="s">
        <v>543</v>
      </c>
      <c r="G241" s="278" t="s">
        <v>5</v>
      </c>
      <c r="H241" s="290">
        <v>1.17</v>
      </c>
      <c r="I241" s="280">
        <f t="shared" ref="I241:I255" si="120">$I$2*H241</f>
        <v>94.325400000000002</v>
      </c>
      <c r="J241" s="281">
        <f t="shared" ref="J241:J255" si="121">$J$2*H241</f>
        <v>106.9731</v>
      </c>
      <c r="K241" s="282">
        <f>IF(Notes!$B$9="Domestic",I241, IF(Notes!$B$9="Commercial",J241))*$K$237</f>
        <v>106.9731</v>
      </c>
      <c r="L241" s="283">
        <f>(SUM(O241:Q241)+(K241+SUM(M241:Q241))*(INDEX($U$237:$AB$237,MATCH(Notes!$C$16,$U$3:$AB$3,0))-100%))*$L$237</f>
        <v>1426.43</v>
      </c>
      <c r="M241" s="286"/>
      <c r="N241" s="286"/>
      <c r="O241" s="285">
        <v>1426.43</v>
      </c>
      <c r="P241" s="285"/>
      <c r="Q241" s="285"/>
      <c r="R241" s="278"/>
      <c r="S241" s="278" t="s">
        <v>549</v>
      </c>
      <c r="T241" s="278"/>
    </row>
    <row r="242" spans="1:20" s="305" customFormat="1" hidden="1" outlineLevel="1" x14ac:dyDescent="0.25">
      <c r="A242" s="278"/>
      <c r="B242" s="279" t="str">
        <f t="shared" si="119"/>
        <v>vanity601mm to 900mmquality</v>
      </c>
      <c r="C242" s="278" t="s">
        <v>1013</v>
      </c>
      <c r="D242" s="278" t="s">
        <v>998</v>
      </c>
      <c r="E242" s="278"/>
      <c r="F242" s="278" t="s">
        <v>544</v>
      </c>
      <c r="G242" s="278" t="s">
        <v>5</v>
      </c>
      <c r="H242" s="290">
        <v>1.17</v>
      </c>
      <c r="I242" s="280">
        <f t="shared" si="120"/>
        <v>94.325400000000002</v>
      </c>
      <c r="J242" s="281">
        <f t="shared" si="121"/>
        <v>106.9731</v>
      </c>
      <c r="K242" s="282">
        <f>IF(Notes!$B$9="Domestic",I242, IF(Notes!$B$9="Commercial",J242))*$K$237</f>
        <v>106.9731</v>
      </c>
      <c r="L242" s="283">
        <f>(SUM(O242:Q242)+(K242+SUM(M242:Q242))*(INDEX($U$237:$AB$237,MATCH(Notes!$C$16,$U$3:$AB$3,0))-100%))*$L$237</f>
        <v>1995.52</v>
      </c>
      <c r="M242" s="286"/>
      <c r="N242" s="286"/>
      <c r="O242" s="285">
        <v>1995.52</v>
      </c>
      <c r="P242" s="285"/>
      <c r="Q242" s="285"/>
      <c r="R242" s="278"/>
      <c r="S242" s="278" t="s">
        <v>550</v>
      </c>
      <c r="T242" s="278"/>
    </row>
    <row r="243" spans="1:20" s="305" customFormat="1" hidden="1" outlineLevel="1" x14ac:dyDescent="0.25">
      <c r="A243" s="278"/>
      <c r="B243" s="279" t="str">
        <f t="shared" si="119"/>
        <v>vanity601mm to 900mmprestige</v>
      </c>
      <c r="C243" s="278" t="s">
        <v>1013</v>
      </c>
      <c r="D243" s="278" t="s">
        <v>998</v>
      </c>
      <c r="E243" s="278"/>
      <c r="F243" s="278" t="s">
        <v>545</v>
      </c>
      <c r="G243" s="278" t="s">
        <v>5</v>
      </c>
      <c r="H243" s="290">
        <v>1.17</v>
      </c>
      <c r="I243" s="280">
        <f t="shared" si="120"/>
        <v>94.325400000000002</v>
      </c>
      <c r="J243" s="281">
        <f t="shared" si="121"/>
        <v>106.9731</v>
      </c>
      <c r="K243" s="282">
        <f>IF(Notes!$B$9="Domestic",I243, IF(Notes!$B$9="Commercial",J243))*$K$237</f>
        <v>106.9731</v>
      </c>
      <c r="L243" s="283">
        <f>(SUM(O243:Q243)+(K243+SUM(M243:Q243))*(INDEX($U$237:$AB$237,MATCH(Notes!$C$16,$U$3:$AB$3,0))-100%))*$L$237</f>
        <v>2671.89</v>
      </c>
      <c r="M243" s="286"/>
      <c r="N243" s="286"/>
      <c r="O243" s="285">
        <v>2671.89</v>
      </c>
      <c r="P243" s="285"/>
      <c r="Q243" s="285"/>
      <c r="R243" s="278"/>
      <c r="S243" s="278" t="s">
        <v>551</v>
      </c>
      <c r="T243" s="278"/>
    </row>
    <row r="244" spans="1:20" s="305" customFormat="1" hidden="1" outlineLevel="1" x14ac:dyDescent="0.25">
      <c r="A244" s="278"/>
      <c r="B244" s="279" t="str">
        <f t="shared" si="119"/>
        <v>vanity901mm to 1200mmaverage</v>
      </c>
      <c r="C244" s="278" t="s">
        <v>1013</v>
      </c>
      <c r="D244" s="278" t="s">
        <v>537</v>
      </c>
      <c r="E244" s="278"/>
      <c r="F244" s="278" t="s">
        <v>543</v>
      </c>
      <c r="G244" s="278" t="s">
        <v>5</v>
      </c>
      <c r="H244" s="290">
        <v>1.27</v>
      </c>
      <c r="I244" s="280">
        <f t="shared" si="120"/>
        <v>102.38740000000001</v>
      </c>
      <c r="J244" s="281">
        <f t="shared" si="121"/>
        <v>116.11610000000002</v>
      </c>
      <c r="K244" s="282">
        <f>IF(Notes!$B$9="Domestic",I244, IF(Notes!$B$9="Commercial",J244))*$K$237</f>
        <v>116.11610000000002</v>
      </c>
      <c r="L244" s="283">
        <f>(SUM(O244:Q244)+(K244+SUM(M244:Q244))*(INDEX($U$237:$AB$237,MATCH(Notes!$C$16,$U$3:$AB$3,0))-100%))*$L$237</f>
        <v>2006.43</v>
      </c>
      <c r="M244" s="286"/>
      <c r="N244" s="286"/>
      <c r="O244" s="285">
        <v>2006.43</v>
      </c>
      <c r="P244" s="285"/>
      <c r="Q244" s="285"/>
      <c r="R244" s="278"/>
      <c r="S244" s="278" t="s">
        <v>552</v>
      </c>
      <c r="T244" s="278"/>
    </row>
    <row r="245" spans="1:20" s="305" customFormat="1" hidden="1" outlineLevel="1" x14ac:dyDescent="0.25">
      <c r="A245" s="278"/>
      <c r="B245" s="279" t="str">
        <f t="shared" si="119"/>
        <v>vanity901mm to 1200mmquality</v>
      </c>
      <c r="C245" s="278" t="s">
        <v>1013</v>
      </c>
      <c r="D245" s="278" t="s">
        <v>537</v>
      </c>
      <c r="E245" s="278"/>
      <c r="F245" s="278" t="s">
        <v>544</v>
      </c>
      <c r="G245" s="278" t="s">
        <v>5</v>
      </c>
      <c r="H245" s="290">
        <v>1.27</v>
      </c>
      <c r="I245" s="280">
        <f t="shared" si="120"/>
        <v>102.38740000000001</v>
      </c>
      <c r="J245" s="281">
        <f t="shared" si="121"/>
        <v>116.11610000000002</v>
      </c>
      <c r="K245" s="282">
        <f>IF(Notes!$B$9="Domestic",I245, IF(Notes!$B$9="Commercial",J245))*$K$237</f>
        <v>116.11610000000002</v>
      </c>
      <c r="L245" s="283">
        <f>(SUM(O245:Q245)+(K245+SUM(M245:Q245))*(INDEX($U$237:$AB$237,MATCH(Notes!$C$16,$U$3:$AB$3,0))-100%))*$L$237</f>
        <v>2290.98</v>
      </c>
      <c r="M245" s="286"/>
      <c r="N245" s="286"/>
      <c r="O245" s="285">
        <v>2290.98</v>
      </c>
      <c r="P245" s="285"/>
      <c r="Q245" s="285"/>
      <c r="R245" s="278"/>
      <c r="S245" s="278" t="s">
        <v>553</v>
      </c>
      <c r="T245" s="278"/>
    </row>
    <row r="246" spans="1:20" s="305" customFormat="1" hidden="1" outlineLevel="1" x14ac:dyDescent="0.25">
      <c r="A246" s="278"/>
      <c r="B246" s="279" t="str">
        <f t="shared" si="119"/>
        <v>vanity901mm to 1200mmprestige</v>
      </c>
      <c r="C246" s="278" t="s">
        <v>1013</v>
      </c>
      <c r="D246" s="278" t="s">
        <v>537</v>
      </c>
      <c r="E246" s="278"/>
      <c r="F246" s="278" t="s">
        <v>545</v>
      </c>
      <c r="G246" s="278" t="s">
        <v>5</v>
      </c>
      <c r="H246" s="290">
        <v>1.27</v>
      </c>
      <c r="I246" s="280">
        <f t="shared" si="120"/>
        <v>102.38740000000001</v>
      </c>
      <c r="J246" s="281">
        <f t="shared" si="121"/>
        <v>116.11610000000002</v>
      </c>
      <c r="K246" s="282">
        <f>IF(Notes!$B$9="Domestic",I246, IF(Notes!$B$9="Commercial",J246))*$K$237</f>
        <v>116.11610000000002</v>
      </c>
      <c r="L246" s="283">
        <f>(SUM(O246:Q246)+(K246+SUM(M246:Q246))*(INDEX($U$237:$AB$237,MATCH(Notes!$C$16,$U$3:$AB$3,0))-100%))*$L$237</f>
        <v>3718.25</v>
      </c>
      <c r="M246" s="286"/>
      <c r="N246" s="286"/>
      <c r="O246" s="285">
        <v>3718.25</v>
      </c>
      <c r="P246" s="285"/>
      <c r="Q246" s="285"/>
      <c r="R246" s="278"/>
      <c r="S246" s="278" t="s">
        <v>554</v>
      </c>
      <c r="T246" s="278"/>
    </row>
    <row r="247" spans="1:20" s="305" customFormat="1" hidden="1" outlineLevel="1" x14ac:dyDescent="0.25">
      <c r="A247" s="278"/>
      <c r="B247" s="279" t="str">
        <f t="shared" si="119"/>
        <v>vanity1201mm to 1500mmaverage</v>
      </c>
      <c r="C247" s="278" t="s">
        <v>1013</v>
      </c>
      <c r="D247" s="278" t="s">
        <v>549</v>
      </c>
      <c r="E247" s="278"/>
      <c r="F247" s="278" t="s">
        <v>543</v>
      </c>
      <c r="G247" s="278" t="s">
        <v>5</v>
      </c>
      <c r="H247" s="290">
        <v>1.38</v>
      </c>
      <c r="I247" s="280">
        <f t="shared" si="120"/>
        <v>111.2556</v>
      </c>
      <c r="J247" s="281">
        <f t="shared" si="121"/>
        <v>126.1734</v>
      </c>
      <c r="K247" s="282">
        <f>IF(Notes!$B$9="Domestic",I247, IF(Notes!$B$9="Commercial",J247))*$K$237</f>
        <v>126.1734</v>
      </c>
      <c r="L247" s="283">
        <f>(SUM(O247:Q247)+(K247+SUM(M247:Q247))*(INDEX($U$237:$AB$237,MATCH(Notes!$C$16,$U$3:$AB$3,0))-100%))*$L$237</f>
        <v>2518.41</v>
      </c>
      <c r="M247" s="286"/>
      <c r="N247" s="286"/>
      <c r="O247" s="285">
        <v>2518.41</v>
      </c>
      <c r="P247" s="285"/>
      <c r="Q247" s="285"/>
      <c r="R247" s="278"/>
      <c r="S247" s="278"/>
      <c r="T247" s="278"/>
    </row>
    <row r="248" spans="1:20" s="305" customFormat="1" hidden="1" outlineLevel="1" x14ac:dyDescent="0.25">
      <c r="A248" s="278"/>
      <c r="B248" s="279" t="str">
        <f t="shared" si="119"/>
        <v>vanity1201mm to 1500mmquality</v>
      </c>
      <c r="C248" s="278" t="s">
        <v>1013</v>
      </c>
      <c r="D248" s="278" t="s">
        <v>549</v>
      </c>
      <c r="E248" s="278"/>
      <c r="F248" s="278" t="s">
        <v>544</v>
      </c>
      <c r="G248" s="278" t="s">
        <v>5</v>
      </c>
      <c r="H248" s="290">
        <v>1.38</v>
      </c>
      <c r="I248" s="280">
        <f t="shared" si="120"/>
        <v>111.2556</v>
      </c>
      <c r="J248" s="281">
        <f t="shared" si="121"/>
        <v>126.1734</v>
      </c>
      <c r="K248" s="282">
        <f>IF(Notes!$B$9="Domestic",I248, IF(Notes!$B$9="Commercial",J248))*$K$237</f>
        <v>126.1734</v>
      </c>
      <c r="L248" s="283">
        <f>(SUM(O248:Q248)+(K248+SUM(M248:Q248))*(INDEX($U$237:$AB$237,MATCH(Notes!$C$16,$U$3:$AB$3,0))-100%))*$L$237</f>
        <v>2858.41</v>
      </c>
      <c r="M248" s="286"/>
      <c r="N248" s="286"/>
      <c r="O248" s="285">
        <v>2858.41</v>
      </c>
      <c r="P248" s="285"/>
      <c r="Q248" s="285"/>
      <c r="R248" s="278"/>
      <c r="S248" s="278"/>
      <c r="T248" s="278"/>
    </row>
    <row r="249" spans="1:20" s="305" customFormat="1" hidden="1" outlineLevel="1" x14ac:dyDescent="0.25">
      <c r="A249" s="278"/>
      <c r="B249" s="279" t="str">
        <f t="shared" si="119"/>
        <v>vanity1201mm to 1500mmprestige</v>
      </c>
      <c r="C249" s="278" t="s">
        <v>1013</v>
      </c>
      <c r="D249" s="278" t="s">
        <v>549</v>
      </c>
      <c r="E249" s="278"/>
      <c r="F249" s="278" t="s">
        <v>545</v>
      </c>
      <c r="G249" s="278" t="s">
        <v>5</v>
      </c>
      <c r="H249" s="290">
        <v>1.38</v>
      </c>
      <c r="I249" s="280">
        <f t="shared" si="120"/>
        <v>111.2556</v>
      </c>
      <c r="J249" s="281">
        <f t="shared" si="121"/>
        <v>126.1734</v>
      </c>
      <c r="K249" s="282">
        <f>IF(Notes!$B$9="Domestic",I249, IF(Notes!$B$9="Commercial",J249))*$K$237</f>
        <v>126.1734</v>
      </c>
      <c r="L249" s="283">
        <f>(SUM(O249:Q249)+(K249+SUM(M249:Q249))*(INDEX($U$237:$AB$237,MATCH(Notes!$C$16,$U$3:$AB$3,0))-100%))*$L$237</f>
        <v>4009.32</v>
      </c>
      <c r="M249" s="286"/>
      <c r="N249" s="286"/>
      <c r="O249" s="285">
        <v>4009.32</v>
      </c>
      <c r="P249" s="285"/>
      <c r="Q249" s="285"/>
      <c r="R249" s="278"/>
      <c r="S249" s="278"/>
      <c r="T249" s="278"/>
    </row>
    <row r="250" spans="1:20" s="305" customFormat="1" hidden="1" outlineLevel="1" x14ac:dyDescent="0.25">
      <c r="A250" s="278"/>
      <c r="B250" s="279" t="str">
        <f t="shared" si="119"/>
        <v>vanity1501mm to 1800mmaverage</v>
      </c>
      <c r="C250" s="278" t="s">
        <v>1013</v>
      </c>
      <c r="D250" s="278" t="s">
        <v>550</v>
      </c>
      <c r="E250" s="278"/>
      <c r="F250" s="278" t="s">
        <v>543</v>
      </c>
      <c r="G250" s="278" t="s">
        <v>5</v>
      </c>
      <c r="H250" s="290">
        <v>1.49</v>
      </c>
      <c r="I250" s="280">
        <f t="shared" si="120"/>
        <v>120.1238</v>
      </c>
      <c r="J250" s="281">
        <f t="shared" si="121"/>
        <v>136.23070000000001</v>
      </c>
      <c r="K250" s="282">
        <f>IF(Notes!$B$9="Domestic",I250, IF(Notes!$B$9="Commercial",J250))*$K$237</f>
        <v>136.23070000000001</v>
      </c>
      <c r="L250" s="283">
        <f>(SUM(O250:Q250)+(K250+SUM(M250:Q250))*(INDEX($U$237:$AB$237,MATCH(Notes!$C$16,$U$3:$AB$3,0))-100%))*$L$237</f>
        <v>2902.05</v>
      </c>
      <c r="M250" s="286"/>
      <c r="N250" s="286"/>
      <c r="O250" s="285">
        <v>2902.05</v>
      </c>
      <c r="P250" s="285"/>
      <c r="Q250" s="285"/>
      <c r="R250" s="278"/>
      <c r="S250" s="278"/>
      <c r="T250" s="278"/>
    </row>
    <row r="251" spans="1:20" s="305" customFormat="1" hidden="1" outlineLevel="1" x14ac:dyDescent="0.25">
      <c r="A251" s="278"/>
      <c r="B251" s="279" t="str">
        <f t="shared" si="119"/>
        <v>vanity1501mm to 1800mmquality</v>
      </c>
      <c r="C251" s="278" t="s">
        <v>1013</v>
      </c>
      <c r="D251" s="278" t="s">
        <v>550</v>
      </c>
      <c r="E251" s="278"/>
      <c r="F251" s="278" t="s">
        <v>544</v>
      </c>
      <c r="G251" s="278" t="s">
        <v>5</v>
      </c>
      <c r="H251" s="290">
        <v>1.49</v>
      </c>
      <c r="I251" s="280">
        <f t="shared" si="120"/>
        <v>120.1238</v>
      </c>
      <c r="J251" s="281">
        <f t="shared" si="121"/>
        <v>136.23070000000001</v>
      </c>
      <c r="K251" s="282">
        <f>IF(Notes!$B$9="Domestic",I251, IF(Notes!$B$9="Commercial",J251))*$K$237</f>
        <v>136.23070000000001</v>
      </c>
      <c r="L251" s="283">
        <f>(SUM(O251:Q251)+(K251+SUM(M251:Q251))*(INDEX($U$237:$AB$237,MATCH(Notes!$C$16,$U$3:$AB$3,0))-100%))*$L$237</f>
        <v>3302.96</v>
      </c>
      <c r="M251" s="286"/>
      <c r="N251" s="286"/>
      <c r="O251" s="285">
        <v>3302.96</v>
      </c>
      <c r="P251" s="285"/>
      <c r="Q251" s="285"/>
      <c r="R251" s="278"/>
      <c r="S251" s="278"/>
      <c r="T251" s="278"/>
    </row>
    <row r="252" spans="1:20" s="305" customFormat="1" hidden="1" outlineLevel="1" x14ac:dyDescent="0.25">
      <c r="A252" s="278"/>
      <c r="B252" s="279" t="str">
        <f t="shared" si="119"/>
        <v>vanity1501mm to 1800mmprestige</v>
      </c>
      <c r="C252" s="278" t="s">
        <v>1013</v>
      </c>
      <c r="D252" s="278" t="s">
        <v>550</v>
      </c>
      <c r="E252" s="278"/>
      <c r="F252" s="278" t="s">
        <v>545</v>
      </c>
      <c r="G252" s="278" t="s">
        <v>5</v>
      </c>
      <c r="H252" s="290">
        <v>1.49</v>
      </c>
      <c r="I252" s="280">
        <f t="shared" si="120"/>
        <v>120.1238</v>
      </c>
      <c r="J252" s="281">
        <f t="shared" si="121"/>
        <v>136.23070000000001</v>
      </c>
      <c r="K252" s="282">
        <f>IF(Notes!$B$9="Domestic",I252, IF(Notes!$B$9="Commercial",J252))*$K$237</f>
        <v>136.23070000000001</v>
      </c>
      <c r="L252" s="283">
        <f>(SUM(O252:Q252)+(K252+SUM(M252:Q252))*(INDEX($U$237:$AB$237,MATCH(Notes!$C$16,$U$3:$AB$3,0))-100%))*$L$237</f>
        <v>4545.68</v>
      </c>
      <c r="M252" s="286"/>
      <c r="N252" s="286"/>
      <c r="O252" s="285">
        <v>4545.68</v>
      </c>
      <c r="P252" s="285"/>
      <c r="Q252" s="285"/>
      <c r="R252" s="278"/>
      <c r="S252" s="278"/>
      <c r="T252" s="278"/>
    </row>
    <row r="253" spans="1:20" s="305" customFormat="1" hidden="1" outlineLevel="1" x14ac:dyDescent="0.25">
      <c r="A253" s="278"/>
      <c r="B253" s="279" t="str">
        <f t="shared" si="119"/>
        <v>vanity1801mm to 2100mmaverage</v>
      </c>
      <c r="C253" s="278" t="s">
        <v>1013</v>
      </c>
      <c r="D253" s="278" t="s">
        <v>551</v>
      </c>
      <c r="E253" s="278"/>
      <c r="F253" s="278" t="s">
        <v>543</v>
      </c>
      <c r="G253" s="278" t="s">
        <v>5</v>
      </c>
      <c r="H253" s="309">
        <f>H250*1.1</f>
        <v>1.639</v>
      </c>
      <c r="I253" s="280">
        <f t="shared" si="120"/>
        <v>132.13618</v>
      </c>
      <c r="J253" s="281">
        <f t="shared" si="121"/>
        <v>149.85377000000003</v>
      </c>
      <c r="K253" s="282">
        <f>IF(Notes!$B$9="Domestic",I253, IF(Notes!$B$9="Commercial",J253))*$K$237</f>
        <v>149.85377000000003</v>
      </c>
      <c r="L253" s="283">
        <f>(SUM(O253:Q253)+(K253+SUM(M253:Q253))*(INDEX($U$237:$AB$237,MATCH(Notes!$C$16,$U$3:$AB$3,0))-100%))*$L$237</f>
        <v>3337.3575000000001</v>
      </c>
      <c r="M253" s="286"/>
      <c r="N253" s="286"/>
      <c r="O253" s="311">
        <f>O250*1.15</f>
        <v>3337.3575000000001</v>
      </c>
      <c r="P253" s="285"/>
      <c r="Q253" s="285"/>
      <c r="R253" s="278"/>
      <c r="S253" s="278"/>
      <c r="T253" s="278"/>
    </row>
    <row r="254" spans="1:20" s="305" customFormat="1" hidden="1" outlineLevel="1" x14ac:dyDescent="0.25">
      <c r="A254" s="278"/>
      <c r="B254" s="279" t="str">
        <f t="shared" si="119"/>
        <v>vanity1801mm to 2100mmquality</v>
      </c>
      <c r="C254" s="278" t="s">
        <v>1013</v>
      </c>
      <c r="D254" s="278" t="s">
        <v>551</v>
      </c>
      <c r="E254" s="278"/>
      <c r="F254" s="278" t="s">
        <v>544</v>
      </c>
      <c r="G254" s="278" t="s">
        <v>5</v>
      </c>
      <c r="H254" s="309">
        <f t="shared" ref="H254:H264" si="122">H251*1.1</f>
        <v>1.639</v>
      </c>
      <c r="I254" s="280">
        <f t="shared" si="120"/>
        <v>132.13618</v>
      </c>
      <c r="J254" s="281">
        <f t="shared" si="121"/>
        <v>149.85377000000003</v>
      </c>
      <c r="K254" s="282">
        <f>IF(Notes!$B$9="Domestic",I254, IF(Notes!$B$9="Commercial",J254))*$K$237</f>
        <v>149.85377000000003</v>
      </c>
      <c r="L254" s="283">
        <f>(SUM(O254:Q254)+(K254+SUM(M254:Q254))*(INDEX($U$237:$AB$237,MATCH(Notes!$C$16,$U$3:$AB$3,0))-100%))*$L$237</f>
        <v>3798.4039999999995</v>
      </c>
      <c r="M254" s="286"/>
      <c r="N254" s="286"/>
      <c r="O254" s="311">
        <f t="shared" ref="O254:O264" si="123">O251*1.15</f>
        <v>3798.4039999999995</v>
      </c>
      <c r="P254" s="285"/>
      <c r="Q254" s="285"/>
      <c r="R254" s="278"/>
      <c r="S254" s="278"/>
      <c r="T254" s="278"/>
    </row>
    <row r="255" spans="1:20" s="305" customFormat="1" hidden="1" outlineLevel="1" x14ac:dyDescent="0.25">
      <c r="A255" s="278"/>
      <c r="B255" s="279" t="str">
        <f t="shared" si="119"/>
        <v>vanity1801mm to 2100mmprestige</v>
      </c>
      <c r="C255" s="278" t="s">
        <v>1013</v>
      </c>
      <c r="D255" s="278" t="s">
        <v>551</v>
      </c>
      <c r="E255" s="278"/>
      <c r="F255" s="278" t="s">
        <v>545</v>
      </c>
      <c r="G255" s="278" t="s">
        <v>5</v>
      </c>
      <c r="H255" s="309">
        <f t="shared" si="122"/>
        <v>1.639</v>
      </c>
      <c r="I255" s="280">
        <f t="shared" si="120"/>
        <v>132.13618</v>
      </c>
      <c r="J255" s="281">
        <f t="shared" si="121"/>
        <v>149.85377000000003</v>
      </c>
      <c r="K255" s="282">
        <f>IF(Notes!$B$9="Domestic",I255, IF(Notes!$B$9="Commercial",J255))*$K$237</f>
        <v>149.85377000000003</v>
      </c>
      <c r="L255" s="283">
        <f>(SUM(O255:Q255)+(K255+SUM(M255:Q255))*(INDEX($U$237:$AB$237,MATCH(Notes!$C$16,$U$3:$AB$3,0))-100%))*$L$237</f>
        <v>5227.5320000000002</v>
      </c>
      <c r="M255" s="286"/>
      <c r="N255" s="286"/>
      <c r="O255" s="311">
        <f t="shared" si="123"/>
        <v>5227.5320000000002</v>
      </c>
      <c r="P255" s="285"/>
      <c r="Q255" s="285"/>
      <c r="R255" s="278"/>
      <c r="S255" s="278"/>
      <c r="T255" s="278"/>
    </row>
    <row r="256" spans="1:20" s="305" customFormat="1" hidden="1" outlineLevel="1" x14ac:dyDescent="0.25">
      <c r="A256" s="278"/>
      <c r="B256" s="279" t="str">
        <f t="shared" si="116"/>
        <v>vanity2101mm to 2400mmaverage</v>
      </c>
      <c r="C256" s="278" t="s">
        <v>1013</v>
      </c>
      <c r="D256" s="278" t="s">
        <v>552</v>
      </c>
      <c r="E256" s="278"/>
      <c r="F256" s="278" t="s">
        <v>543</v>
      </c>
      <c r="G256" s="278" t="s">
        <v>5</v>
      </c>
      <c r="H256" s="309">
        <f t="shared" si="122"/>
        <v>1.8029000000000002</v>
      </c>
      <c r="I256" s="280">
        <f t="shared" si="117"/>
        <v>145.34979800000002</v>
      </c>
      <c r="J256" s="281">
        <f t="shared" si="118"/>
        <v>164.83914700000003</v>
      </c>
      <c r="K256" s="282">
        <f>IF(Notes!$B$9="Domestic",I256, IF(Notes!$B$9="Commercial",J256))*$K$237</f>
        <v>164.83914700000003</v>
      </c>
      <c r="L256" s="283">
        <f>(SUM(O256:Q256)+(K256+SUM(M256:Q256))*(INDEX($U$237:$AB$237,MATCH(Notes!$C$16,$U$3:$AB$3,0))-100%))*$L$237</f>
        <v>3837.9611249999998</v>
      </c>
      <c r="M256" s="286"/>
      <c r="N256" s="286"/>
      <c r="O256" s="311">
        <f t="shared" si="123"/>
        <v>3837.9611249999998</v>
      </c>
      <c r="P256" s="285"/>
      <c r="Q256" s="285"/>
      <c r="R256" s="278"/>
      <c r="S256" s="278"/>
      <c r="T256" s="278"/>
    </row>
    <row r="257" spans="1:28" s="305" customFormat="1" hidden="1" outlineLevel="1" x14ac:dyDescent="0.25">
      <c r="A257" s="278"/>
      <c r="B257" s="279" t="str">
        <f t="shared" si="116"/>
        <v>vanity2101mm to 2400mmquality</v>
      </c>
      <c r="C257" s="278" t="s">
        <v>1013</v>
      </c>
      <c r="D257" s="278" t="s">
        <v>552</v>
      </c>
      <c r="E257" s="278"/>
      <c r="F257" s="278" t="s">
        <v>544</v>
      </c>
      <c r="G257" s="278" t="s">
        <v>5</v>
      </c>
      <c r="H257" s="309">
        <f t="shared" si="122"/>
        <v>1.8029000000000002</v>
      </c>
      <c r="I257" s="280">
        <f>$I$2*H257</f>
        <v>145.34979800000002</v>
      </c>
      <c r="J257" s="281">
        <f t="shared" si="118"/>
        <v>164.83914700000003</v>
      </c>
      <c r="K257" s="282">
        <f>IF(Notes!$B$9="Domestic",I257, IF(Notes!$B$9="Commercial",J257))*$K$237</f>
        <v>164.83914700000003</v>
      </c>
      <c r="L257" s="283">
        <f>(SUM(O257:Q257)+(K257+SUM(M257:Q257))*(INDEX($U$237:$AB$237,MATCH(Notes!$C$16,$U$3:$AB$3,0))-100%))*$L$237</f>
        <v>4368.1645999999992</v>
      </c>
      <c r="M257" s="286"/>
      <c r="N257" s="286"/>
      <c r="O257" s="311">
        <f t="shared" si="123"/>
        <v>4368.1645999999992</v>
      </c>
      <c r="P257" s="285"/>
      <c r="Q257" s="285"/>
      <c r="R257" s="278"/>
      <c r="S257" s="278"/>
      <c r="T257" s="278"/>
    </row>
    <row r="258" spans="1:28" s="305" customFormat="1" hidden="1" outlineLevel="1" x14ac:dyDescent="0.25">
      <c r="A258" s="278"/>
      <c r="B258" s="279" t="str">
        <f t="shared" si="116"/>
        <v>vanity2101mm to 2400mmprestige</v>
      </c>
      <c r="C258" s="278" t="s">
        <v>1013</v>
      </c>
      <c r="D258" s="278" t="s">
        <v>552</v>
      </c>
      <c r="E258" s="278"/>
      <c r="F258" s="278" t="s">
        <v>545</v>
      </c>
      <c r="G258" s="278" t="s">
        <v>5</v>
      </c>
      <c r="H258" s="309">
        <f t="shared" si="122"/>
        <v>1.8029000000000002</v>
      </c>
      <c r="I258" s="280">
        <f t="shared" si="117"/>
        <v>145.34979800000002</v>
      </c>
      <c r="J258" s="281">
        <f t="shared" si="118"/>
        <v>164.83914700000003</v>
      </c>
      <c r="K258" s="282">
        <f>IF(Notes!$B$9="Domestic",I258, IF(Notes!$B$9="Commercial",J258))*$K$237</f>
        <v>164.83914700000003</v>
      </c>
      <c r="L258" s="283">
        <f>(SUM(O258:Q258)+(K258+SUM(M258:Q258))*(INDEX($U$237:$AB$237,MATCH(Notes!$C$16,$U$3:$AB$3,0))-100%))*$L$237</f>
        <v>6011.6617999999999</v>
      </c>
      <c r="M258" s="286"/>
      <c r="N258" s="286"/>
      <c r="O258" s="311">
        <f t="shared" si="123"/>
        <v>6011.6617999999999</v>
      </c>
      <c r="P258" s="285"/>
      <c r="Q258" s="285"/>
      <c r="R258" s="278"/>
      <c r="S258" s="278"/>
      <c r="T258" s="278"/>
    </row>
    <row r="259" spans="1:28" s="305" customFormat="1" hidden="1" outlineLevel="1" x14ac:dyDescent="0.25">
      <c r="A259" s="278"/>
      <c r="B259" s="279" t="str">
        <f t="shared" si="116"/>
        <v>vanity2401mm to 2700mmaverage</v>
      </c>
      <c r="C259" s="278" t="s">
        <v>1013</v>
      </c>
      <c r="D259" s="278" t="s">
        <v>553</v>
      </c>
      <c r="E259" s="278"/>
      <c r="F259" s="278" t="s">
        <v>543</v>
      </c>
      <c r="G259" s="278" t="s">
        <v>5</v>
      </c>
      <c r="H259" s="309">
        <f t="shared" si="122"/>
        <v>1.9831900000000005</v>
      </c>
      <c r="I259" s="280">
        <f t="shared" si="117"/>
        <v>159.88477780000005</v>
      </c>
      <c r="J259" s="281">
        <f t="shared" si="118"/>
        <v>181.32306170000007</v>
      </c>
      <c r="K259" s="282">
        <f>IF(Notes!$B$9="Domestic",I259, IF(Notes!$B$9="Commercial",J259))*$K$237</f>
        <v>181.32306170000007</v>
      </c>
      <c r="L259" s="283">
        <f>(SUM(O259:Q259)+(K259+SUM(M259:Q259))*(INDEX($U$237:$AB$237,MATCH(Notes!$C$16,$U$3:$AB$3,0))-100%))*$L$237</f>
        <v>4413.6552937499991</v>
      </c>
      <c r="M259" s="286"/>
      <c r="N259" s="286"/>
      <c r="O259" s="311">
        <f t="shared" si="123"/>
        <v>4413.6552937499991</v>
      </c>
      <c r="P259" s="285"/>
      <c r="Q259" s="285"/>
      <c r="R259" s="278"/>
      <c r="S259" s="278"/>
      <c r="T259" s="278"/>
    </row>
    <row r="260" spans="1:28" s="305" customFormat="1" hidden="1" outlineLevel="1" x14ac:dyDescent="0.25">
      <c r="A260" s="278"/>
      <c r="B260" s="279" t="str">
        <f t="shared" ref="B260:B262" si="124">C260&amp;D260&amp;E260&amp;F260</f>
        <v>vanity2401mm to 2700mmquality</v>
      </c>
      <c r="C260" s="278" t="s">
        <v>1013</v>
      </c>
      <c r="D260" s="278" t="s">
        <v>553</v>
      </c>
      <c r="E260" s="278"/>
      <c r="F260" s="278" t="s">
        <v>544</v>
      </c>
      <c r="G260" s="278" t="s">
        <v>5</v>
      </c>
      <c r="H260" s="309">
        <f t="shared" si="122"/>
        <v>1.9831900000000005</v>
      </c>
      <c r="I260" s="280">
        <f t="shared" ref="I260:I262" si="125">$I$2*H260</f>
        <v>159.88477780000005</v>
      </c>
      <c r="J260" s="281">
        <f t="shared" ref="J260:J262" si="126">$J$2*H260</f>
        <v>181.32306170000007</v>
      </c>
      <c r="K260" s="282">
        <f>IF(Notes!$B$9="Domestic",I260, IF(Notes!$B$9="Commercial",J260))*$K$237</f>
        <v>181.32306170000007</v>
      </c>
      <c r="L260" s="283">
        <f>(SUM(O260:Q260)+(K260+SUM(M260:Q260))*(INDEX($U$237:$AB$237,MATCH(Notes!$C$16,$U$3:$AB$3,0))-100%))*$L$237</f>
        <v>5023.3892899999983</v>
      </c>
      <c r="M260" s="286"/>
      <c r="N260" s="286"/>
      <c r="O260" s="311">
        <f t="shared" si="123"/>
        <v>5023.3892899999983</v>
      </c>
      <c r="P260" s="285"/>
      <c r="Q260" s="285"/>
      <c r="R260" s="278"/>
      <c r="S260" s="278"/>
      <c r="T260" s="278"/>
    </row>
    <row r="261" spans="1:28" s="305" customFormat="1" hidden="1" outlineLevel="1" x14ac:dyDescent="0.25">
      <c r="A261" s="278"/>
      <c r="B261" s="279" t="str">
        <f t="shared" si="124"/>
        <v>vanity2401mm to 2700mmprestige</v>
      </c>
      <c r="C261" s="278" t="s">
        <v>1013</v>
      </c>
      <c r="D261" s="278" t="s">
        <v>553</v>
      </c>
      <c r="E261" s="278"/>
      <c r="F261" s="278" t="s">
        <v>545</v>
      </c>
      <c r="G261" s="278" t="s">
        <v>5</v>
      </c>
      <c r="H261" s="309">
        <f t="shared" si="122"/>
        <v>1.9831900000000005</v>
      </c>
      <c r="I261" s="280">
        <f t="shared" si="125"/>
        <v>159.88477780000005</v>
      </c>
      <c r="J261" s="281">
        <f t="shared" si="126"/>
        <v>181.32306170000007</v>
      </c>
      <c r="K261" s="282">
        <f>IF(Notes!$B$9="Domestic",I261, IF(Notes!$B$9="Commercial",J261))*$K$237</f>
        <v>181.32306170000007</v>
      </c>
      <c r="L261" s="283">
        <f>(SUM(O261:Q261)+(K261+SUM(M261:Q261))*(INDEX($U$237:$AB$237,MATCH(Notes!$C$16,$U$3:$AB$3,0))-100%))*$L$237</f>
        <v>6913.4110699999992</v>
      </c>
      <c r="M261" s="286"/>
      <c r="N261" s="286"/>
      <c r="O261" s="311">
        <f t="shared" si="123"/>
        <v>6913.4110699999992</v>
      </c>
      <c r="P261" s="285"/>
      <c r="Q261" s="285"/>
      <c r="R261" s="278"/>
      <c r="S261" s="278"/>
      <c r="T261" s="278"/>
    </row>
    <row r="262" spans="1:28" s="305" customFormat="1" hidden="1" outlineLevel="1" x14ac:dyDescent="0.25">
      <c r="A262" s="278"/>
      <c r="B262" s="279" t="str">
        <f t="shared" si="124"/>
        <v>vanity2701mm to 3000mmaverage</v>
      </c>
      <c r="C262" s="278" t="s">
        <v>1013</v>
      </c>
      <c r="D262" s="278" t="s">
        <v>554</v>
      </c>
      <c r="E262" s="278"/>
      <c r="F262" s="278" t="s">
        <v>543</v>
      </c>
      <c r="G262" s="278" t="s">
        <v>5</v>
      </c>
      <c r="H262" s="309">
        <f t="shared" si="122"/>
        <v>2.1815090000000006</v>
      </c>
      <c r="I262" s="280">
        <f t="shared" si="125"/>
        <v>175.87325558000006</v>
      </c>
      <c r="J262" s="281">
        <f t="shared" si="126"/>
        <v>199.45536787000006</v>
      </c>
      <c r="K262" s="282">
        <f>IF(Notes!$B$9="Domestic",I262, IF(Notes!$B$9="Commercial",J262))*$K$237</f>
        <v>199.45536787000006</v>
      </c>
      <c r="L262" s="283">
        <f>(SUM(O262:Q262)+(K262+SUM(M262:Q262))*(INDEX($U$237:$AB$237,MATCH(Notes!$C$16,$U$3:$AB$3,0))-100%))*$L$237</f>
        <v>5075.7035878124989</v>
      </c>
      <c r="M262" s="286"/>
      <c r="N262" s="286"/>
      <c r="O262" s="311">
        <f t="shared" si="123"/>
        <v>5075.7035878124989</v>
      </c>
      <c r="P262" s="285"/>
      <c r="Q262" s="285"/>
      <c r="R262" s="278"/>
      <c r="S262" s="278"/>
      <c r="T262" s="278"/>
    </row>
    <row r="263" spans="1:28" s="305" customFormat="1" hidden="1" outlineLevel="1" x14ac:dyDescent="0.25">
      <c r="A263" s="278"/>
      <c r="B263" s="279" t="str">
        <f t="shared" si="116"/>
        <v>vanity2701mm to 3000mmquality</v>
      </c>
      <c r="C263" s="278" t="s">
        <v>1013</v>
      </c>
      <c r="D263" s="278" t="s">
        <v>554</v>
      </c>
      <c r="E263" s="278"/>
      <c r="F263" s="278" t="s">
        <v>544</v>
      </c>
      <c r="G263" s="278" t="s">
        <v>5</v>
      </c>
      <c r="H263" s="309">
        <f t="shared" si="122"/>
        <v>2.1815090000000006</v>
      </c>
      <c r="I263" s="280">
        <f t="shared" si="117"/>
        <v>175.87325558000006</v>
      </c>
      <c r="J263" s="281">
        <f t="shared" si="118"/>
        <v>199.45536787000006</v>
      </c>
      <c r="K263" s="282">
        <f>IF(Notes!$B$9="Domestic",I263, IF(Notes!$B$9="Commercial",J263))*$K$237</f>
        <v>199.45536787000006</v>
      </c>
      <c r="L263" s="283">
        <f>(SUM(O263:Q263)+(K263+SUM(M263:Q263))*(INDEX($U$237:$AB$237,MATCH(Notes!$C$16,$U$3:$AB$3,0))-100%))*$L$237</f>
        <v>5776.8976834999976</v>
      </c>
      <c r="M263" s="286"/>
      <c r="N263" s="286"/>
      <c r="O263" s="311">
        <f t="shared" si="123"/>
        <v>5776.8976834999976</v>
      </c>
      <c r="P263" s="285"/>
      <c r="Q263" s="285"/>
      <c r="R263" s="278"/>
      <c r="S263" s="278"/>
      <c r="T263" s="278"/>
    </row>
    <row r="264" spans="1:28" s="305" customFormat="1" hidden="1" outlineLevel="1" x14ac:dyDescent="0.25">
      <c r="A264" s="278"/>
      <c r="B264" s="279" t="str">
        <f t="shared" si="116"/>
        <v>vanity2701mm to 3000mmprestige</v>
      </c>
      <c r="C264" s="278" t="s">
        <v>1013</v>
      </c>
      <c r="D264" s="278" t="s">
        <v>554</v>
      </c>
      <c r="E264" s="278"/>
      <c r="F264" s="278" t="s">
        <v>545</v>
      </c>
      <c r="G264" s="278" t="s">
        <v>5</v>
      </c>
      <c r="H264" s="309">
        <f t="shared" si="122"/>
        <v>2.1815090000000006</v>
      </c>
      <c r="I264" s="280">
        <f t="shared" si="117"/>
        <v>175.87325558000006</v>
      </c>
      <c r="J264" s="281">
        <f t="shared" si="118"/>
        <v>199.45536787000006</v>
      </c>
      <c r="K264" s="282">
        <f>IF(Notes!$B$9="Domestic",I264, IF(Notes!$B$9="Commercial",J264))*$K$237</f>
        <v>199.45536787000006</v>
      </c>
      <c r="L264" s="283">
        <f>(SUM(O264:Q264)+(K264+SUM(M264:Q264))*(INDEX($U$237:$AB$237,MATCH(Notes!$C$16,$U$3:$AB$3,0))-100%))*$L$237</f>
        <v>7950.4227304999986</v>
      </c>
      <c r="M264" s="286"/>
      <c r="N264" s="286"/>
      <c r="O264" s="311">
        <f t="shared" si="123"/>
        <v>7950.4227304999986</v>
      </c>
      <c r="P264" s="285"/>
      <c r="Q264" s="285"/>
      <c r="R264" s="278"/>
      <c r="S264" s="278"/>
      <c r="T264" s="278"/>
    </row>
    <row r="265" spans="1:28" ht="21" hidden="1" outlineLevel="1" x14ac:dyDescent="0.25">
      <c r="A265" s="299" t="s">
        <v>222</v>
      </c>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row>
    <row r="266" spans="1:28" ht="15.75" hidden="1" outlineLevel="1" x14ac:dyDescent="0.25">
      <c r="A266" s="291"/>
      <c r="B266" s="291"/>
      <c r="C266" s="291"/>
      <c r="D266" s="291"/>
      <c r="E266" s="291"/>
      <c r="F266" s="291"/>
      <c r="G266" s="291"/>
      <c r="H266" s="291"/>
      <c r="I266" s="291"/>
      <c r="J266" s="291"/>
      <c r="K266" s="291">
        <f>K$2</f>
        <v>1</v>
      </c>
      <c r="L266" s="291">
        <f>L$2</f>
        <v>1</v>
      </c>
      <c r="M266" s="291"/>
      <c r="N266" s="291"/>
      <c r="O266" s="303"/>
      <c r="P266" s="303"/>
      <c r="Q266" s="303"/>
      <c r="R266" s="291"/>
      <c r="S266" s="291"/>
      <c r="T266" s="291"/>
      <c r="U266" s="291">
        <f>U$2</f>
        <v>1</v>
      </c>
      <c r="V266" s="291">
        <f>V$2</f>
        <v>1</v>
      </c>
      <c r="W266" s="291">
        <f t="shared" ref="W266:AB266" si="127">W$2</f>
        <v>1.009090909090909</v>
      </c>
      <c r="X266" s="291">
        <f t="shared" si="127"/>
        <v>1.0909090909090908</v>
      </c>
      <c r="Y266" s="291">
        <f t="shared" si="127"/>
        <v>1.1454545454545455</v>
      </c>
      <c r="Z266" s="291">
        <f t="shared" si="127"/>
        <v>1</v>
      </c>
      <c r="AA266" s="291">
        <f t="shared" si="127"/>
        <v>1</v>
      </c>
      <c r="AB266" s="291">
        <f t="shared" si="127"/>
        <v>1</v>
      </c>
    </row>
    <row r="267" spans="1:28" s="305" customFormat="1" hidden="1" outlineLevel="1" x14ac:dyDescent="0.25">
      <c r="A267" s="278"/>
      <c r="B267" s="279" t="str">
        <f t="shared" ref="B267:B302" si="128">C267&amp;D267&amp;E267&amp;F267</f>
        <v>shelvingup to 300mmstandard laminatedaverage</v>
      </c>
      <c r="C267" s="278" t="s">
        <v>1014</v>
      </c>
      <c r="D267" s="278" t="s">
        <v>1015</v>
      </c>
      <c r="E267" s="278" t="s">
        <v>989</v>
      </c>
      <c r="F267" s="278" t="s">
        <v>543</v>
      </c>
      <c r="G267" s="278" t="s">
        <v>15</v>
      </c>
      <c r="H267" s="290">
        <v>0.42</v>
      </c>
      <c r="I267" s="280">
        <f t="shared" ref="I267:I302" si="129">$I$2*H267</f>
        <v>33.860399999999998</v>
      </c>
      <c r="J267" s="281">
        <f t="shared" ref="J267:J302" si="130">$J$2*H267</f>
        <v>38.400600000000004</v>
      </c>
      <c r="K267" s="282">
        <f>IF(Notes!$B$9="Domestic",I267, IF(Notes!$B$9="Commercial",J267))*$K$266</f>
        <v>38.400600000000004</v>
      </c>
      <c r="L267" s="283">
        <f>(SUM(O267:Q267)+(K267+SUM(M267:Q267))*(INDEX($U$266:$AB$266,MATCH(Notes!$C$16,$U$3:$AB$3,0))-100%))*$L$266</f>
        <v>12.71</v>
      </c>
      <c r="M267" s="286"/>
      <c r="N267" s="286"/>
      <c r="O267" s="285">
        <v>12.71</v>
      </c>
      <c r="P267" s="285"/>
      <c r="Q267" s="285"/>
      <c r="R267" s="278"/>
      <c r="S267" s="278" t="s">
        <v>1015</v>
      </c>
      <c r="T267" s="278"/>
    </row>
    <row r="268" spans="1:28" s="305" customFormat="1" hidden="1" outlineLevel="1" x14ac:dyDescent="0.25">
      <c r="A268" s="278"/>
      <c r="B268" s="279" t="str">
        <f t="shared" ref="B268:B269" si="131">C268&amp;D268&amp;E268&amp;F268</f>
        <v>shelvingup to 300mmstandard laminatedquality</v>
      </c>
      <c r="C268" s="278" t="s">
        <v>1014</v>
      </c>
      <c r="D268" s="278" t="s">
        <v>1015</v>
      </c>
      <c r="E268" s="278" t="s">
        <v>989</v>
      </c>
      <c r="F268" s="278" t="s">
        <v>544</v>
      </c>
      <c r="G268" s="278" t="s">
        <v>15</v>
      </c>
      <c r="H268" s="290">
        <v>0.42</v>
      </c>
      <c r="I268" s="280">
        <f t="shared" ref="I268:I269" si="132">$I$2*H268</f>
        <v>33.860399999999998</v>
      </c>
      <c r="J268" s="281">
        <f t="shared" ref="J268:J269" si="133">$J$2*H268</f>
        <v>38.400600000000004</v>
      </c>
      <c r="K268" s="282">
        <f>IF(Notes!$B$9="Domestic",I268, IF(Notes!$B$9="Commercial",J268))*$K$266</f>
        <v>38.400600000000004</v>
      </c>
      <c r="L268" s="283">
        <f>(SUM(O268:Q268)+(K268+SUM(M268:Q268))*(INDEX($U$266:$AB$266,MATCH(Notes!$C$16,$U$3:$AB$3,0))-100%))*$L$266</f>
        <v>13.981000000000002</v>
      </c>
      <c r="M268" s="286"/>
      <c r="N268" s="286"/>
      <c r="O268" s="285">
        <f>O267*1.1</f>
        <v>13.981000000000002</v>
      </c>
      <c r="P268" s="285"/>
      <c r="Q268" s="285"/>
      <c r="R268" s="278"/>
      <c r="S268" s="278" t="s">
        <v>555</v>
      </c>
      <c r="T268" s="278"/>
    </row>
    <row r="269" spans="1:28" s="305" customFormat="1" hidden="1" outlineLevel="1" x14ac:dyDescent="0.25">
      <c r="A269" s="278"/>
      <c r="B269" s="279" t="str">
        <f t="shared" si="131"/>
        <v>shelvingup to 300mmstandard laminatedprestige</v>
      </c>
      <c r="C269" s="278" t="s">
        <v>1014</v>
      </c>
      <c r="D269" s="278" t="s">
        <v>1015</v>
      </c>
      <c r="E269" s="278" t="s">
        <v>989</v>
      </c>
      <c r="F269" s="278" t="s">
        <v>545</v>
      </c>
      <c r="G269" s="278" t="s">
        <v>15</v>
      </c>
      <c r="H269" s="290">
        <v>0.42</v>
      </c>
      <c r="I269" s="280">
        <f t="shared" si="132"/>
        <v>33.860399999999998</v>
      </c>
      <c r="J269" s="281">
        <f t="shared" si="133"/>
        <v>38.400600000000004</v>
      </c>
      <c r="K269" s="282">
        <f>IF(Notes!$B$9="Domestic",I269, IF(Notes!$B$9="Commercial",J269))*$K$266</f>
        <v>38.400600000000004</v>
      </c>
      <c r="L269" s="283">
        <f>(SUM(O269:Q269)+(K269+SUM(M269:Q269))*(INDEX($U$266:$AB$266,MATCH(Notes!$C$16,$U$3:$AB$3,0))-100%))*$L$266</f>
        <v>15.379100000000003</v>
      </c>
      <c r="M269" s="286"/>
      <c r="N269" s="286"/>
      <c r="O269" s="285">
        <f>O268*1.1</f>
        <v>15.379100000000003</v>
      </c>
      <c r="P269" s="285"/>
      <c r="Q269" s="285"/>
      <c r="R269" s="278"/>
      <c r="S269" s="278" t="s">
        <v>556</v>
      </c>
      <c r="T269" s="278"/>
    </row>
    <row r="270" spans="1:28" s="305" customFormat="1" hidden="1" outlineLevel="1" x14ac:dyDescent="0.25">
      <c r="A270" s="278"/>
      <c r="B270" s="279" t="str">
        <f t="shared" si="128"/>
        <v>shelving301mm to 450mmstandard laminatedaverage</v>
      </c>
      <c r="C270" s="278" t="s">
        <v>1014</v>
      </c>
      <c r="D270" s="278" t="s">
        <v>555</v>
      </c>
      <c r="E270" s="278" t="s">
        <v>989</v>
      </c>
      <c r="F270" s="278" t="s">
        <v>543</v>
      </c>
      <c r="G270" s="278" t="s">
        <v>15</v>
      </c>
      <c r="H270" s="290">
        <v>0.44</v>
      </c>
      <c r="I270" s="280">
        <f>$I$2*H270</f>
        <v>35.472799999999999</v>
      </c>
      <c r="J270" s="281">
        <f t="shared" si="130"/>
        <v>40.229200000000006</v>
      </c>
      <c r="K270" s="282">
        <f>IF(Notes!$B$9="Domestic",I270, IF(Notes!$B$9="Commercial",J270))*$K$266</f>
        <v>40.229200000000006</v>
      </c>
      <c r="L270" s="283">
        <f>(SUM(O270:Q270)+(K270+SUM(M270:Q270))*(INDEX($U$266:$AB$266,MATCH(Notes!$C$16,$U$3:$AB$3,0))-100%))*$L$266</f>
        <v>17.309999999999999</v>
      </c>
      <c r="M270" s="286"/>
      <c r="N270" s="286"/>
      <c r="O270" s="285">
        <v>17.309999999999999</v>
      </c>
      <c r="P270" s="285"/>
      <c r="Q270" s="285"/>
      <c r="R270" s="278"/>
      <c r="S270" s="278"/>
      <c r="T270" s="278"/>
    </row>
    <row r="271" spans="1:28" s="305" customFormat="1" hidden="1" outlineLevel="1" x14ac:dyDescent="0.25">
      <c r="A271" s="278"/>
      <c r="B271" s="279" t="str">
        <f t="shared" ref="B271:B272" si="134">C271&amp;D271&amp;E271&amp;F271</f>
        <v>shelving301mm to 450mmstandard laminatedquality</v>
      </c>
      <c r="C271" s="278" t="s">
        <v>1014</v>
      </c>
      <c r="D271" s="278" t="s">
        <v>555</v>
      </c>
      <c r="E271" s="278" t="s">
        <v>989</v>
      </c>
      <c r="F271" s="278" t="s">
        <v>544</v>
      </c>
      <c r="G271" s="278" t="s">
        <v>15</v>
      </c>
      <c r="H271" s="290">
        <v>0.44</v>
      </c>
      <c r="I271" s="280">
        <f t="shared" ref="I271:I272" si="135">$I$2*H271</f>
        <v>35.472799999999999</v>
      </c>
      <c r="J271" s="281">
        <f t="shared" ref="J271:J272" si="136">$J$2*H271</f>
        <v>40.229200000000006</v>
      </c>
      <c r="K271" s="282">
        <f>IF(Notes!$B$9="Domestic",I271, IF(Notes!$B$9="Commercial",J271))*$K$266</f>
        <v>40.229200000000006</v>
      </c>
      <c r="L271" s="283">
        <f>(SUM(O271:Q271)+(K271+SUM(M271:Q271))*(INDEX($U$266:$AB$266,MATCH(Notes!$C$16,$U$3:$AB$3,0))-100%))*$L$266</f>
        <v>19.041</v>
      </c>
      <c r="M271" s="286"/>
      <c r="N271" s="286"/>
      <c r="O271" s="285">
        <f>O270*1.1</f>
        <v>19.041</v>
      </c>
      <c r="P271" s="285"/>
      <c r="Q271" s="285"/>
      <c r="R271" s="278"/>
      <c r="S271" s="278"/>
      <c r="T271" s="278"/>
    </row>
    <row r="272" spans="1:28" s="305" customFormat="1" hidden="1" outlineLevel="1" x14ac:dyDescent="0.25">
      <c r="A272" s="278"/>
      <c r="B272" s="279" t="str">
        <f t="shared" si="134"/>
        <v>shelving301mm to 450mmstandard laminatedprestige</v>
      </c>
      <c r="C272" s="278" t="s">
        <v>1014</v>
      </c>
      <c r="D272" s="278" t="s">
        <v>555</v>
      </c>
      <c r="E272" s="278" t="s">
        <v>989</v>
      </c>
      <c r="F272" s="278" t="s">
        <v>545</v>
      </c>
      <c r="G272" s="278" t="s">
        <v>15</v>
      </c>
      <c r="H272" s="290">
        <v>0.44</v>
      </c>
      <c r="I272" s="280">
        <f t="shared" si="135"/>
        <v>35.472799999999999</v>
      </c>
      <c r="J272" s="281">
        <f t="shared" si="136"/>
        <v>40.229200000000006</v>
      </c>
      <c r="K272" s="282">
        <f>IF(Notes!$B$9="Domestic",I272, IF(Notes!$B$9="Commercial",J272))*$K$266</f>
        <v>40.229200000000006</v>
      </c>
      <c r="L272" s="283">
        <f>(SUM(O272:Q272)+(K272+SUM(M272:Q272))*(INDEX($U$266:$AB$266,MATCH(Notes!$C$16,$U$3:$AB$3,0))-100%))*$L$266</f>
        <v>20.945100000000004</v>
      </c>
      <c r="M272" s="286"/>
      <c r="N272" s="286"/>
      <c r="O272" s="285">
        <f>O271*1.1</f>
        <v>20.945100000000004</v>
      </c>
      <c r="P272" s="285"/>
      <c r="Q272" s="285"/>
      <c r="R272" s="278"/>
      <c r="S272" s="278"/>
      <c r="T272" s="278"/>
    </row>
    <row r="273" spans="1:20" s="305" customFormat="1" hidden="1" outlineLevel="1" x14ac:dyDescent="0.25">
      <c r="A273" s="278"/>
      <c r="B273" s="279" t="str">
        <f t="shared" si="128"/>
        <v>shelving451mm to 600mmstandard laminatedaverage</v>
      </c>
      <c r="C273" s="278" t="s">
        <v>1014</v>
      </c>
      <c r="D273" s="278" t="s">
        <v>556</v>
      </c>
      <c r="E273" s="278" t="s">
        <v>989</v>
      </c>
      <c r="F273" s="278" t="s">
        <v>543</v>
      </c>
      <c r="G273" s="278" t="s">
        <v>15</v>
      </c>
      <c r="H273" s="290">
        <v>0.45</v>
      </c>
      <c r="I273" s="280">
        <f t="shared" si="129"/>
        <v>36.279000000000003</v>
      </c>
      <c r="J273" s="281">
        <f t="shared" si="130"/>
        <v>41.143500000000003</v>
      </c>
      <c r="K273" s="282">
        <f>IF(Notes!$B$9="Domestic",I273, IF(Notes!$B$9="Commercial",J273))*$K$266</f>
        <v>41.143500000000003</v>
      </c>
      <c r="L273" s="283">
        <f>(SUM(O273:Q273)+(K273+SUM(M273:Q273))*(INDEX($U$266:$AB$266,MATCH(Notes!$C$16,$U$3:$AB$3,0))-100%))*$L$266</f>
        <v>21.79</v>
      </c>
      <c r="M273" s="286"/>
      <c r="N273" s="286"/>
      <c r="O273" s="285">
        <v>21.79</v>
      </c>
      <c r="P273" s="285"/>
      <c r="Q273" s="285"/>
      <c r="R273" s="278"/>
      <c r="S273" s="278"/>
      <c r="T273" s="278"/>
    </row>
    <row r="274" spans="1:20" s="305" customFormat="1" hidden="1" outlineLevel="1" x14ac:dyDescent="0.25">
      <c r="A274" s="278"/>
      <c r="B274" s="279" t="str">
        <f t="shared" ref="B274:B275" si="137">C274&amp;D274&amp;E274&amp;F274</f>
        <v>shelving451mm to 600mmstandard laminatedquality</v>
      </c>
      <c r="C274" s="278" t="s">
        <v>1014</v>
      </c>
      <c r="D274" s="278" t="s">
        <v>556</v>
      </c>
      <c r="E274" s="278" t="s">
        <v>989</v>
      </c>
      <c r="F274" s="278" t="s">
        <v>544</v>
      </c>
      <c r="G274" s="278" t="s">
        <v>15</v>
      </c>
      <c r="H274" s="290">
        <v>0.45</v>
      </c>
      <c r="I274" s="280">
        <f t="shared" ref="I274:I275" si="138">$I$2*H274</f>
        <v>36.279000000000003</v>
      </c>
      <c r="J274" s="281">
        <f t="shared" ref="J274:J275" si="139">$J$2*H274</f>
        <v>41.143500000000003</v>
      </c>
      <c r="K274" s="282">
        <f>IF(Notes!$B$9="Domestic",I274, IF(Notes!$B$9="Commercial",J274))*$K$266</f>
        <v>41.143500000000003</v>
      </c>
      <c r="L274" s="283">
        <f>(SUM(O274:Q274)+(K274+SUM(M274:Q274))*(INDEX($U$266:$AB$266,MATCH(Notes!$C$16,$U$3:$AB$3,0))-100%))*$L$266</f>
        <v>23.969000000000001</v>
      </c>
      <c r="M274" s="286"/>
      <c r="N274" s="286"/>
      <c r="O274" s="285">
        <f>O273*1.1</f>
        <v>23.969000000000001</v>
      </c>
      <c r="P274" s="285"/>
      <c r="Q274" s="285"/>
      <c r="R274" s="278"/>
      <c r="S274" s="278"/>
      <c r="T274" s="278"/>
    </row>
    <row r="275" spans="1:20" s="305" customFormat="1" hidden="1" outlineLevel="1" x14ac:dyDescent="0.25">
      <c r="A275" s="278"/>
      <c r="B275" s="279" t="str">
        <f t="shared" si="137"/>
        <v>shelving451mm to 600mmstandard laminatedprestige</v>
      </c>
      <c r="C275" s="278" t="s">
        <v>1014</v>
      </c>
      <c r="D275" s="278" t="s">
        <v>556</v>
      </c>
      <c r="E275" s="278" t="s">
        <v>989</v>
      </c>
      <c r="F275" s="278" t="s">
        <v>545</v>
      </c>
      <c r="G275" s="278" t="s">
        <v>15</v>
      </c>
      <c r="H275" s="290">
        <v>0.45</v>
      </c>
      <c r="I275" s="280">
        <f t="shared" si="138"/>
        <v>36.279000000000003</v>
      </c>
      <c r="J275" s="281">
        <f t="shared" si="139"/>
        <v>41.143500000000003</v>
      </c>
      <c r="K275" s="282">
        <f>IF(Notes!$B$9="Domestic",I275, IF(Notes!$B$9="Commercial",J275))*$K$266</f>
        <v>41.143500000000003</v>
      </c>
      <c r="L275" s="283">
        <f>(SUM(O275:Q275)+(K275+SUM(M275:Q275))*(INDEX($U$266:$AB$266,MATCH(Notes!$C$16,$U$3:$AB$3,0))-100%))*$L$266</f>
        <v>26.365900000000003</v>
      </c>
      <c r="M275" s="286"/>
      <c r="N275" s="286"/>
      <c r="O275" s="285">
        <f>O274*1.1</f>
        <v>26.365900000000003</v>
      </c>
      <c r="P275" s="285"/>
      <c r="Q275" s="285"/>
      <c r="R275" s="278"/>
      <c r="S275" s="278"/>
      <c r="T275" s="278"/>
    </row>
    <row r="276" spans="1:20" s="305" customFormat="1" hidden="1" outlineLevel="1" x14ac:dyDescent="0.25">
      <c r="A276" s="278"/>
      <c r="B276" s="279" t="str">
        <f t="shared" ref="B276:B282" si="140">C276&amp;D276&amp;E276&amp;F276</f>
        <v>shelvingup to 300mmdesigner laminatedaverage</v>
      </c>
      <c r="C276" s="278" t="s">
        <v>1014</v>
      </c>
      <c r="D276" s="278" t="s">
        <v>1015</v>
      </c>
      <c r="E276" s="278" t="s">
        <v>990</v>
      </c>
      <c r="F276" s="278" t="s">
        <v>543</v>
      </c>
      <c r="G276" s="278" t="s">
        <v>15</v>
      </c>
      <c r="H276" s="290">
        <v>0.42</v>
      </c>
      <c r="I276" s="280">
        <f t="shared" ref="I276" si="141">$I$2*H276</f>
        <v>33.860399999999998</v>
      </c>
      <c r="J276" s="281">
        <f t="shared" ref="J276:J282" si="142">$J$2*H276</f>
        <v>38.400600000000004</v>
      </c>
      <c r="K276" s="282">
        <f>IF(Notes!$B$9="Domestic",I276, IF(Notes!$B$9="Commercial",J276))*$K$266</f>
        <v>38.400600000000004</v>
      </c>
      <c r="L276" s="283">
        <f>(SUM(O276:Q276)+(K276+SUM(M276:Q276))*(INDEX($U$266:$AB$266,MATCH(Notes!$C$16,$U$3:$AB$3,0))-100%))*$L$266</f>
        <v>19.065000000000001</v>
      </c>
      <c r="M276" s="286"/>
      <c r="N276" s="286"/>
      <c r="O276" s="311">
        <f t="shared" ref="O276:O284" si="143">O267*1.5</f>
        <v>19.065000000000001</v>
      </c>
      <c r="P276" s="285"/>
      <c r="Q276" s="285"/>
      <c r="R276" s="278"/>
      <c r="S276" s="278"/>
      <c r="T276" s="278"/>
    </row>
    <row r="277" spans="1:20" s="305" customFormat="1" hidden="1" outlineLevel="1" x14ac:dyDescent="0.25">
      <c r="A277" s="278"/>
      <c r="B277" s="279" t="str">
        <f t="shared" ref="B277:B278" si="144">C277&amp;D277&amp;E277&amp;F277</f>
        <v>shelvingup to 300mmdesigner laminatedquality</v>
      </c>
      <c r="C277" s="278" t="s">
        <v>1014</v>
      </c>
      <c r="D277" s="278" t="s">
        <v>1015</v>
      </c>
      <c r="E277" s="278" t="s">
        <v>990</v>
      </c>
      <c r="F277" s="278" t="s">
        <v>544</v>
      </c>
      <c r="G277" s="278" t="s">
        <v>15</v>
      </c>
      <c r="H277" s="290">
        <v>0.42</v>
      </c>
      <c r="I277" s="280">
        <f t="shared" ref="I277:I278" si="145">$I$2*H277</f>
        <v>33.860399999999998</v>
      </c>
      <c r="J277" s="281">
        <f t="shared" ref="J277:J278" si="146">$J$2*H277</f>
        <v>38.400600000000004</v>
      </c>
      <c r="K277" s="282">
        <f>IF(Notes!$B$9="Domestic",I277, IF(Notes!$B$9="Commercial",J277))*$K$266</f>
        <v>38.400600000000004</v>
      </c>
      <c r="L277" s="283">
        <f>(SUM(O277:Q277)+(K277+SUM(M277:Q277))*(INDEX($U$266:$AB$266,MATCH(Notes!$C$16,$U$3:$AB$3,0))-100%))*$L$266</f>
        <v>20.971500000000002</v>
      </c>
      <c r="M277" s="286"/>
      <c r="N277" s="286"/>
      <c r="O277" s="311">
        <f t="shared" si="143"/>
        <v>20.971500000000002</v>
      </c>
      <c r="P277" s="285"/>
      <c r="Q277" s="285"/>
      <c r="R277" s="278"/>
      <c r="S277" s="278"/>
      <c r="T277" s="278"/>
    </row>
    <row r="278" spans="1:20" s="305" customFormat="1" hidden="1" outlineLevel="1" x14ac:dyDescent="0.25">
      <c r="A278" s="278"/>
      <c r="B278" s="279" t="str">
        <f t="shared" si="144"/>
        <v>shelvingup to 300mmdesigner laminatedprestige</v>
      </c>
      <c r="C278" s="278" t="s">
        <v>1014</v>
      </c>
      <c r="D278" s="278" t="s">
        <v>1015</v>
      </c>
      <c r="E278" s="278" t="s">
        <v>990</v>
      </c>
      <c r="F278" s="278" t="s">
        <v>545</v>
      </c>
      <c r="G278" s="278" t="s">
        <v>15</v>
      </c>
      <c r="H278" s="290">
        <v>0.42</v>
      </c>
      <c r="I278" s="280">
        <f t="shared" si="145"/>
        <v>33.860399999999998</v>
      </c>
      <c r="J278" s="281">
        <f t="shared" si="146"/>
        <v>38.400600000000004</v>
      </c>
      <c r="K278" s="282">
        <f>IF(Notes!$B$9="Domestic",I278, IF(Notes!$B$9="Commercial",J278))*$K$266</f>
        <v>38.400600000000004</v>
      </c>
      <c r="L278" s="283">
        <f>(SUM(O278:Q278)+(K278+SUM(M278:Q278))*(INDEX($U$266:$AB$266,MATCH(Notes!$C$16,$U$3:$AB$3,0))-100%))*$L$266</f>
        <v>23.068650000000005</v>
      </c>
      <c r="M278" s="286"/>
      <c r="N278" s="286"/>
      <c r="O278" s="311">
        <f t="shared" si="143"/>
        <v>23.068650000000005</v>
      </c>
      <c r="P278" s="285"/>
      <c r="Q278" s="285"/>
      <c r="R278" s="278"/>
      <c r="S278" s="278"/>
      <c r="T278" s="278"/>
    </row>
    <row r="279" spans="1:20" s="305" customFormat="1" hidden="1" outlineLevel="1" x14ac:dyDescent="0.25">
      <c r="A279" s="278"/>
      <c r="B279" s="279" t="str">
        <f t="shared" si="140"/>
        <v>shelving301mm to 450mmdesigner laminatedaverage</v>
      </c>
      <c r="C279" s="278" t="s">
        <v>1014</v>
      </c>
      <c r="D279" s="278" t="s">
        <v>555</v>
      </c>
      <c r="E279" s="278" t="s">
        <v>990</v>
      </c>
      <c r="F279" s="278" t="s">
        <v>543</v>
      </c>
      <c r="G279" s="278" t="s">
        <v>15</v>
      </c>
      <c r="H279" s="290">
        <v>0.44</v>
      </c>
      <c r="I279" s="280">
        <f>$I$2*H279</f>
        <v>35.472799999999999</v>
      </c>
      <c r="J279" s="281">
        <f t="shared" si="142"/>
        <v>40.229200000000006</v>
      </c>
      <c r="K279" s="282">
        <f>IF(Notes!$B$9="Domestic",I279, IF(Notes!$B$9="Commercial",J279))*$K$266</f>
        <v>40.229200000000006</v>
      </c>
      <c r="L279" s="283">
        <f>(SUM(O279:Q279)+(K279+SUM(M279:Q279))*(INDEX($U$266:$AB$266,MATCH(Notes!$C$16,$U$3:$AB$3,0))-100%))*$L$266</f>
        <v>25.964999999999996</v>
      </c>
      <c r="M279" s="286"/>
      <c r="N279" s="286"/>
      <c r="O279" s="311">
        <f t="shared" si="143"/>
        <v>25.964999999999996</v>
      </c>
      <c r="P279" s="285"/>
      <c r="Q279" s="285"/>
      <c r="R279" s="278"/>
      <c r="S279" s="278"/>
      <c r="T279" s="278"/>
    </row>
    <row r="280" spans="1:20" s="305" customFormat="1" hidden="1" outlineLevel="1" x14ac:dyDescent="0.25">
      <c r="A280" s="278"/>
      <c r="B280" s="279" t="str">
        <f t="shared" ref="B280:B281" si="147">C280&amp;D280&amp;E280&amp;F280</f>
        <v>shelving301mm to 450mmdesigner laminatedquality</v>
      </c>
      <c r="C280" s="278" t="s">
        <v>1014</v>
      </c>
      <c r="D280" s="278" t="s">
        <v>555</v>
      </c>
      <c r="E280" s="278" t="s">
        <v>990</v>
      </c>
      <c r="F280" s="278" t="s">
        <v>544</v>
      </c>
      <c r="G280" s="278" t="s">
        <v>15</v>
      </c>
      <c r="H280" s="290">
        <v>0.44</v>
      </c>
      <c r="I280" s="280">
        <f t="shared" ref="I280:I281" si="148">$I$2*H280</f>
        <v>35.472799999999999</v>
      </c>
      <c r="J280" s="281">
        <f t="shared" ref="J280:J281" si="149">$J$2*H280</f>
        <v>40.229200000000006</v>
      </c>
      <c r="K280" s="282">
        <f>IF(Notes!$B$9="Domestic",I280, IF(Notes!$B$9="Commercial",J280))*$K$266</f>
        <v>40.229200000000006</v>
      </c>
      <c r="L280" s="283">
        <f>(SUM(O280:Q280)+(K280+SUM(M280:Q280))*(INDEX($U$266:$AB$266,MATCH(Notes!$C$16,$U$3:$AB$3,0))-100%))*$L$266</f>
        <v>28.561500000000002</v>
      </c>
      <c r="M280" s="286"/>
      <c r="N280" s="286"/>
      <c r="O280" s="311">
        <f t="shared" si="143"/>
        <v>28.561500000000002</v>
      </c>
      <c r="P280" s="285"/>
      <c r="Q280" s="285"/>
      <c r="R280" s="278"/>
      <c r="S280" s="278"/>
      <c r="T280" s="278"/>
    </row>
    <row r="281" spans="1:20" s="305" customFormat="1" hidden="1" outlineLevel="1" x14ac:dyDescent="0.25">
      <c r="A281" s="278"/>
      <c r="B281" s="279" t="str">
        <f t="shared" si="147"/>
        <v>shelving301mm to 450mmdesigner laminatedprestige</v>
      </c>
      <c r="C281" s="278" t="s">
        <v>1014</v>
      </c>
      <c r="D281" s="278" t="s">
        <v>555</v>
      </c>
      <c r="E281" s="278" t="s">
        <v>990</v>
      </c>
      <c r="F281" s="278" t="s">
        <v>545</v>
      </c>
      <c r="G281" s="278" t="s">
        <v>15</v>
      </c>
      <c r="H281" s="290">
        <v>0.44</v>
      </c>
      <c r="I281" s="280">
        <f t="shared" si="148"/>
        <v>35.472799999999999</v>
      </c>
      <c r="J281" s="281">
        <f t="shared" si="149"/>
        <v>40.229200000000006</v>
      </c>
      <c r="K281" s="282">
        <f>IF(Notes!$B$9="Domestic",I281, IF(Notes!$B$9="Commercial",J281))*$K$266</f>
        <v>40.229200000000006</v>
      </c>
      <c r="L281" s="283">
        <f>(SUM(O281:Q281)+(K281+SUM(M281:Q281))*(INDEX($U$266:$AB$266,MATCH(Notes!$C$16,$U$3:$AB$3,0))-100%))*$L$266</f>
        <v>31.417650000000005</v>
      </c>
      <c r="M281" s="286"/>
      <c r="N281" s="286"/>
      <c r="O281" s="311">
        <f t="shared" si="143"/>
        <v>31.417650000000005</v>
      </c>
      <c r="P281" s="285"/>
      <c r="Q281" s="285"/>
      <c r="R281" s="278"/>
      <c r="S281" s="278"/>
      <c r="T281" s="278"/>
    </row>
    <row r="282" spans="1:20" s="305" customFormat="1" hidden="1" outlineLevel="1" x14ac:dyDescent="0.25">
      <c r="A282" s="278"/>
      <c r="B282" s="279" t="str">
        <f t="shared" si="140"/>
        <v>shelving451mm to 600mmdesigner laminatedaverage</v>
      </c>
      <c r="C282" s="278" t="s">
        <v>1014</v>
      </c>
      <c r="D282" s="278" t="s">
        <v>556</v>
      </c>
      <c r="E282" s="278" t="s">
        <v>990</v>
      </c>
      <c r="F282" s="278" t="s">
        <v>543</v>
      </c>
      <c r="G282" s="278" t="s">
        <v>15</v>
      </c>
      <c r="H282" s="290">
        <v>0.45</v>
      </c>
      <c r="I282" s="280">
        <f t="shared" ref="I282" si="150">$I$2*H282</f>
        <v>36.279000000000003</v>
      </c>
      <c r="J282" s="281">
        <f t="shared" si="142"/>
        <v>41.143500000000003</v>
      </c>
      <c r="K282" s="282">
        <f>IF(Notes!$B$9="Domestic",I282, IF(Notes!$B$9="Commercial",J282))*$K$266</f>
        <v>41.143500000000003</v>
      </c>
      <c r="L282" s="283">
        <f>(SUM(O282:Q282)+(K282+SUM(M282:Q282))*(INDEX($U$266:$AB$266,MATCH(Notes!$C$16,$U$3:$AB$3,0))-100%))*$L$266</f>
        <v>32.685000000000002</v>
      </c>
      <c r="M282" s="286"/>
      <c r="N282" s="286"/>
      <c r="O282" s="311">
        <f t="shared" si="143"/>
        <v>32.685000000000002</v>
      </c>
      <c r="P282" s="285"/>
      <c r="Q282" s="285"/>
      <c r="R282" s="278"/>
      <c r="S282" s="278"/>
      <c r="T282" s="278"/>
    </row>
    <row r="283" spans="1:20" s="305" customFormat="1" hidden="1" outlineLevel="1" x14ac:dyDescent="0.25">
      <c r="A283" s="278"/>
      <c r="B283" s="279" t="str">
        <f t="shared" ref="B283:B284" si="151">C283&amp;D283&amp;E283&amp;F283</f>
        <v>shelving451mm to 600mmdesigner laminatedquality</v>
      </c>
      <c r="C283" s="278" t="s">
        <v>1014</v>
      </c>
      <c r="D283" s="278" t="s">
        <v>556</v>
      </c>
      <c r="E283" s="278" t="s">
        <v>990</v>
      </c>
      <c r="F283" s="278" t="s">
        <v>544</v>
      </c>
      <c r="G283" s="278" t="s">
        <v>15</v>
      </c>
      <c r="H283" s="290">
        <v>0.45</v>
      </c>
      <c r="I283" s="280">
        <f t="shared" ref="I283:I284" si="152">$I$2*H283</f>
        <v>36.279000000000003</v>
      </c>
      <c r="J283" s="281">
        <f t="shared" ref="J283:J284" si="153">$J$2*H283</f>
        <v>41.143500000000003</v>
      </c>
      <c r="K283" s="282">
        <f>IF(Notes!$B$9="Domestic",I283, IF(Notes!$B$9="Commercial",J283))*$K$266</f>
        <v>41.143500000000003</v>
      </c>
      <c r="L283" s="283">
        <f>(SUM(O283:Q283)+(K283+SUM(M283:Q283))*(INDEX($U$266:$AB$266,MATCH(Notes!$C$16,$U$3:$AB$3,0))-100%))*$L$266</f>
        <v>35.953500000000005</v>
      </c>
      <c r="M283" s="286"/>
      <c r="N283" s="286"/>
      <c r="O283" s="311">
        <f t="shared" si="143"/>
        <v>35.953500000000005</v>
      </c>
      <c r="P283" s="285"/>
      <c r="Q283" s="285"/>
      <c r="R283" s="278"/>
      <c r="S283" s="278"/>
      <c r="T283" s="278"/>
    </row>
    <row r="284" spans="1:20" s="305" customFormat="1" hidden="1" outlineLevel="1" x14ac:dyDescent="0.25">
      <c r="A284" s="278"/>
      <c r="B284" s="279" t="str">
        <f t="shared" si="151"/>
        <v>shelving451mm to 600mmdesigner laminatedprestige</v>
      </c>
      <c r="C284" s="278" t="s">
        <v>1014</v>
      </c>
      <c r="D284" s="278" t="s">
        <v>556</v>
      </c>
      <c r="E284" s="278" t="s">
        <v>990</v>
      </c>
      <c r="F284" s="278" t="s">
        <v>545</v>
      </c>
      <c r="G284" s="278" t="s">
        <v>15</v>
      </c>
      <c r="H284" s="290">
        <v>0.45</v>
      </c>
      <c r="I284" s="280">
        <f t="shared" si="152"/>
        <v>36.279000000000003</v>
      </c>
      <c r="J284" s="281">
        <f t="shared" si="153"/>
        <v>41.143500000000003</v>
      </c>
      <c r="K284" s="282">
        <f>IF(Notes!$B$9="Domestic",I284, IF(Notes!$B$9="Commercial",J284))*$K$266</f>
        <v>41.143500000000003</v>
      </c>
      <c r="L284" s="283">
        <f>(SUM(O284:Q284)+(K284+SUM(M284:Q284))*(INDEX($U$266:$AB$266,MATCH(Notes!$C$16,$U$3:$AB$3,0))-100%))*$L$266</f>
        <v>39.548850000000002</v>
      </c>
      <c r="M284" s="286"/>
      <c r="N284" s="286"/>
      <c r="O284" s="311">
        <f t="shared" si="143"/>
        <v>39.548850000000002</v>
      </c>
      <c r="P284" s="285"/>
      <c r="Q284" s="285"/>
      <c r="R284" s="278"/>
      <c r="S284" s="278"/>
      <c r="T284" s="278"/>
    </row>
    <row r="285" spans="1:20" s="305" customFormat="1" hidden="1" outlineLevel="1" x14ac:dyDescent="0.25">
      <c r="A285" s="278"/>
      <c r="B285" s="279" t="str">
        <f t="shared" si="128"/>
        <v>shelvingup to 300mmstandard 2 packaverage</v>
      </c>
      <c r="C285" s="278" t="s">
        <v>1014</v>
      </c>
      <c r="D285" s="278" t="s">
        <v>1015</v>
      </c>
      <c r="E285" s="278" t="s">
        <v>991</v>
      </c>
      <c r="F285" s="278" t="s">
        <v>543</v>
      </c>
      <c r="G285" s="278" t="s">
        <v>15</v>
      </c>
      <c r="H285" s="290">
        <v>0.42</v>
      </c>
      <c r="I285" s="280">
        <f t="shared" si="129"/>
        <v>33.860399999999998</v>
      </c>
      <c r="J285" s="281">
        <f t="shared" si="130"/>
        <v>38.400600000000004</v>
      </c>
      <c r="K285" s="282">
        <f>IF(Notes!$B$9="Domestic",I285, IF(Notes!$B$9="Commercial",J285))*$K$266</f>
        <v>38.400600000000004</v>
      </c>
      <c r="L285" s="283">
        <f>(SUM(O285:Q285)+(K285+SUM(M285:Q285))*(INDEX($U$266:$AB$266,MATCH(Notes!$C$16,$U$3:$AB$3,0))-100%))*$L$266</f>
        <v>25.42</v>
      </c>
      <c r="M285" s="286"/>
      <c r="N285" s="286"/>
      <c r="O285" s="311">
        <f>O267*2</f>
        <v>25.42</v>
      </c>
      <c r="P285" s="285"/>
      <c r="Q285" s="285"/>
      <c r="R285" s="278"/>
      <c r="S285" s="278"/>
      <c r="T285" s="278"/>
    </row>
    <row r="286" spans="1:20" s="305" customFormat="1" hidden="1" outlineLevel="1" x14ac:dyDescent="0.25">
      <c r="A286" s="278"/>
      <c r="B286" s="279" t="str">
        <f t="shared" ref="B286:B287" si="154">C286&amp;D286&amp;E286&amp;F286</f>
        <v>shelvingup to 300mmstandard 2 packquality</v>
      </c>
      <c r="C286" s="278" t="s">
        <v>1014</v>
      </c>
      <c r="D286" s="278" t="s">
        <v>1015</v>
      </c>
      <c r="E286" s="278" t="s">
        <v>991</v>
      </c>
      <c r="F286" s="278" t="s">
        <v>544</v>
      </c>
      <c r="G286" s="278" t="s">
        <v>15</v>
      </c>
      <c r="H286" s="290">
        <v>0.42</v>
      </c>
      <c r="I286" s="280">
        <f t="shared" ref="I286:I287" si="155">$I$2*H286</f>
        <v>33.860399999999998</v>
      </c>
      <c r="J286" s="281">
        <f t="shared" ref="J286:J287" si="156">$J$2*H286</f>
        <v>38.400600000000004</v>
      </c>
      <c r="K286" s="282">
        <f>IF(Notes!$B$9="Domestic",I286, IF(Notes!$B$9="Commercial",J286))*$K$266</f>
        <v>38.400600000000004</v>
      </c>
      <c r="L286" s="283">
        <f>(SUM(O286:Q286)+(K286+SUM(M286:Q286))*(INDEX($U$266:$AB$266,MATCH(Notes!$C$16,$U$3:$AB$3,0))-100%))*$L$266</f>
        <v>27.962000000000003</v>
      </c>
      <c r="M286" s="286"/>
      <c r="N286" s="286"/>
      <c r="O286" s="311">
        <f t="shared" ref="O286:O287" si="157">O268*2</f>
        <v>27.962000000000003</v>
      </c>
      <c r="P286" s="285"/>
      <c r="Q286" s="285"/>
      <c r="R286" s="278"/>
      <c r="S286" s="278"/>
      <c r="T286" s="278"/>
    </row>
    <row r="287" spans="1:20" s="305" customFormat="1" hidden="1" outlineLevel="1" x14ac:dyDescent="0.25">
      <c r="A287" s="278"/>
      <c r="B287" s="279" t="str">
        <f t="shared" si="154"/>
        <v>shelvingup to 300mmstandard 2 packprestige</v>
      </c>
      <c r="C287" s="278" t="s">
        <v>1014</v>
      </c>
      <c r="D287" s="278" t="s">
        <v>1015</v>
      </c>
      <c r="E287" s="278" t="s">
        <v>991</v>
      </c>
      <c r="F287" s="278" t="s">
        <v>545</v>
      </c>
      <c r="G287" s="278" t="s">
        <v>15</v>
      </c>
      <c r="H287" s="290">
        <v>0.42</v>
      </c>
      <c r="I287" s="280">
        <f t="shared" si="155"/>
        <v>33.860399999999998</v>
      </c>
      <c r="J287" s="281">
        <f t="shared" si="156"/>
        <v>38.400600000000004</v>
      </c>
      <c r="K287" s="282">
        <f>IF(Notes!$B$9="Domestic",I287, IF(Notes!$B$9="Commercial",J287))*$K$266</f>
        <v>38.400600000000004</v>
      </c>
      <c r="L287" s="283">
        <f>(SUM(O287:Q287)+(K287+SUM(M287:Q287))*(INDEX($U$266:$AB$266,MATCH(Notes!$C$16,$U$3:$AB$3,0))-100%))*$L$266</f>
        <v>30.758200000000006</v>
      </c>
      <c r="M287" s="286"/>
      <c r="N287" s="286"/>
      <c r="O287" s="311">
        <f t="shared" si="157"/>
        <v>30.758200000000006</v>
      </c>
      <c r="P287" s="285"/>
      <c r="Q287" s="285"/>
      <c r="R287" s="278"/>
      <c r="S287" s="278"/>
      <c r="T287" s="278"/>
    </row>
    <row r="288" spans="1:20" s="305" customFormat="1" hidden="1" outlineLevel="1" x14ac:dyDescent="0.25">
      <c r="A288" s="278"/>
      <c r="B288" s="279" t="str">
        <f t="shared" si="128"/>
        <v>shelving301mm to 450mmstandard 2 packaverage</v>
      </c>
      <c r="C288" s="278" t="s">
        <v>1014</v>
      </c>
      <c r="D288" s="278" t="s">
        <v>555</v>
      </c>
      <c r="E288" s="278" t="s">
        <v>991</v>
      </c>
      <c r="F288" s="278" t="s">
        <v>543</v>
      </c>
      <c r="G288" s="278" t="s">
        <v>15</v>
      </c>
      <c r="H288" s="290">
        <v>0.44</v>
      </c>
      <c r="I288" s="280">
        <f t="shared" si="129"/>
        <v>35.472799999999999</v>
      </c>
      <c r="J288" s="281">
        <f t="shared" si="130"/>
        <v>40.229200000000006</v>
      </c>
      <c r="K288" s="282">
        <f>IF(Notes!$B$9="Domestic",I288, IF(Notes!$B$9="Commercial",J288))*$K$266</f>
        <v>40.229200000000006</v>
      </c>
      <c r="L288" s="283">
        <f>(SUM(O288:Q288)+(K288+SUM(M288:Q288))*(INDEX($U$266:$AB$266,MATCH(Notes!$C$16,$U$3:$AB$3,0))-100%))*$L$266</f>
        <v>34.619999999999997</v>
      </c>
      <c r="M288" s="286"/>
      <c r="N288" s="286"/>
      <c r="O288" s="311">
        <f>O270*2</f>
        <v>34.619999999999997</v>
      </c>
      <c r="P288" s="285"/>
      <c r="Q288" s="285"/>
      <c r="R288" s="278"/>
      <c r="S288" s="278"/>
      <c r="T288" s="278"/>
    </row>
    <row r="289" spans="1:28" s="305" customFormat="1" hidden="1" outlineLevel="1" x14ac:dyDescent="0.25">
      <c r="A289" s="278"/>
      <c r="B289" s="279" t="str">
        <f t="shared" ref="B289:B290" si="158">C289&amp;D289&amp;E289&amp;F289</f>
        <v>shelving301mm to 450mmstandard 2 packquality</v>
      </c>
      <c r="C289" s="278" t="s">
        <v>1014</v>
      </c>
      <c r="D289" s="278" t="s">
        <v>555</v>
      </c>
      <c r="E289" s="278" t="s">
        <v>991</v>
      </c>
      <c r="F289" s="278" t="s">
        <v>544</v>
      </c>
      <c r="G289" s="278" t="s">
        <v>15</v>
      </c>
      <c r="H289" s="290">
        <v>0.44</v>
      </c>
      <c r="I289" s="280">
        <f t="shared" ref="I289:I290" si="159">$I$2*H289</f>
        <v>35.472799999999999</v>
      </c>
      <c r="J289" s="281">
        <f t="shared" ref="J289:J290" si="160">$J$2*H289</f>
        <v>40.229200000000006</v>
      </c>
      <c r="K289" s="282">
        <f>IF(Notes!$B$9="Domestic",I289, IF(Notes!$B$9="Commercial",J289))*$K$266</f>
        <v>40.229200000000006</v>
      </c>
      <c r="L289" s="283">
        <f>(SUM(O289:Q289)+(K289+SUM(M289:Q289))*(INDEX($U$266:$AB$266,MATCH(Notes!$C$16,$U$3:$AB$3,0))-100%))*$L$266</f>
        <v>38.082000000000001</v>
      </c>
      <c r="M289" s="286"/>
      <c r="N289" s="286"/>
      <c r="O289" s="311">
        <f t="shared" ref="O289:O290" si="161">O271*2</f>
        <v>38.082000000000001</v>
      </c>
      <c r="P289" s="285"/>
      <c r="Q289" s="285"/>
      <c r="R289" s="278"/>
      <c r="S289" s="278"/>
      <c r="T289" s="278"/>
    </row>
    <row r="290" spans="1:28" s="305" customFormat="1" hidden="1" outlineLevel="1" x14ac:dyDescent="0.25">
      <c r="A290" s="278"/>
      <c r="B290" s="279" t="str">
        <f t="shared" si="158"/>
        <v>shelving301mm to 450mmstandard 2 packprestige</v>
      </c>
      <c r="C290" s="278" t="s">
        <v>1014</v>
      </c>
      <c r="D290" s="278" t="s">
        <v>555</v>
      </c>
      <c r="E290" s="278" t="s">
        <v>991</v>
      </c>
      <c r="F290" s="278" t="s">
        <v>545</v>
      </c>
      <c r="G290" s="278" t="s">
        <v>15</v>
      </c>
      <c r="H290" s="290">
        <v>0.44</v>
      </c>
      <c r="I290" s="280">
        <f t="shared" si="159"/>
        <v>35.472799999999999</v>
      </c>
      <c r="J290" s="281">
        <f t="shared" si="160"/>
        <v>40.229200000000006</v>
      </c>
      <c r="K290" s="282">
        <f>IF(Notes!$B$9="Domestic",I290, IF(Notes!$B$9="Commercial",J290))*$K$266</f>
        <v>40.229200000000006</v>
      </c>
      <c r="L290" s="283">
        <f>(SUM(O290:Q290)+(K290+SUM(M290:Q290))*(INDEX($U$266:$AB$266,MATCH(Notes!$C$16,$U$3:$AB$3,0))-100%))*$L$266</f>
        <v>41.890200000000007</v>
      </c>
      <c r="M290" s="286"/>
      <c r="N290" s="286"/>
      <c r="O290" s="311">
        <f t="shared" si="161"/>
        <v>41.890200000000007</v>
      </c>
      <c r="P290" s="285"/>
      <c r="Q290" s="285"/>
      <c r="R290" s="278"/>
      <c r="S290" s="278"/>
      <c r="T290" s="278"/>
    </row>
    <row r="291" spans="1:28" s="305" customFormat="1" hidden="1" outlineLevel="1" x14ac:dyDescent="0.25">
      <c r="A291" s="278"/>
      <c r="B291" s="279" t="str">
        <f t="shared" si="128"/>
        <v>shelving451mm to 600mmstandard 2 packaverage</v>
      </c>
      <c r="C291" s="278" t="s">
        <v>1014</v>
      </c>
      <c r="D291" s="278" t="s">
        <v>556</v>
      </c>
      <c r="E291" s="278" t="s">
        <v>991</v>
      </c>
      <c r="F291" s="278" t="s">
        <v>543</v>
      </c>
      <c r="G291" s="278" t="s">
        <v>15</v>
      </c>
      <c r="H291" s="290">
        <v>0.45</v>
      </c>
      <c r="I291" s="280">
        <f t="shared" si="129"/>
        <v>36.279000000000003</v>
      </c>
      <c r="J291" s="281">
        <f t="shared" si="130"/>
        <v>41.143500000000003</v>
      </c>
      <c r="K291" s="282">
        <f>IF(Notes!$B$9="Domestic",I291, IF(Notes!$B$9="Commercial",J291))*$K$266</f>
        <v>41.143500000000003</v>
      </c>
      <c r="L291" s="283">
        <f>(SUM(O291:Q291)+(K291+SUM(M291:Q291))*(INDEX($U$266:$AB$266,MATCH(Notes!$C$16,$U$3:$AB$3,0))-100%))*$L$266</f>
        <v>43.58</v>
      </c>
      <c r="M291" s="286"/>
      <c r="N291" s="286"/>
      <c r="O291" s="311">
        <f t="shared" ref="O291:O293" si="162">O273*2</f>
        <v>43.58</v>
      </c>
      <c r="P291" s="285"/>
      <c r="Q291" s="285"/>
      <c r="R291" s="278"/>
      <c r="S291" s="278"/>
      <c r="T291" s="278"/>
    </row>
    <row r="292" spans="1:28" s="305" customFormat="1" hidden="1" outlineLevel="1" x14ac:dyDescent="0.25">
      <c r="A292" s="278"/>
      <c r="B292" s="279" t="str">
        <f t="shared" ref="B292:B293" si="163">C292&amp;D292&amp;E292&amp;F292</f>
        <v>shelving451mm to 600mmstandard 2 packquality</v>
      </c>
      <c r="C292" s="278" t="s">
        <v>1014</v>
      </c>
      <c r="D292" s="278" t="s">
        <v>556</v>
      </c>
      <c r="E292" s="278" t="s">
        <v>991</v>
      </c>
      <c r="F292" s="278" t="s">
        <v>544</v>
      </c>
      <c r="G292" s="278" t="s">
        <v>15</v>
      </c>
      <c r="H292" s="290">
        <v>0.45</v>
      </c>
      <c r="I292" s="280">
        <f t="shared" ref="I292:I293" si="164">$I$2*H292</f>
        <v>36.279000000000003</v>
      </c>
      <c r="J292" s="281">
        <f t="shared" ref="J292:J293" si="165">$J$2*H292</f>
        <v>41.143500000000003</v>
      </c>
      <c r="K292" s="282">
        <f>IF(Notes!$B$9="Domestic",I292, IF(Notes!$B$9="Commercial",J292))*$K$266</f>
        <v>41.143500000000003</v>
      </c>
      <c r="L292" s="283">
        <f>(SUM(O292:Q292)+(K292+SUM(M292:Q292))*(INDEX($U$266:$AB$266,MATCH(Notes!$C$16,$U$3:$AB$3,0))-100%))*$L$266</f>
        <v>47.938000000000002</v>
      </c>
      <c r="M292" s="286"/>
      <c r="N292" s="286"/>
      <c r="O292" s="311">
        <f t="shared" si="162"/>
        <v>47.938000000000002</v>
      </c>
      <c r="P292" s="285"/>
      <c r="Q292" s="285"/>
      <c r="R292" s="278"/>
      <c r="S292" s="278"/>
      <c r="T292" s="278"/>
    </row>
    <row r="293" spans="1:28" s="305" customFormat="1" hidden="1" outlineLevel="1" x14ac:dyDescent="0.25">
      <c r="A293" s="278"/>
      <c r="B293" s="279" t="str">
        <f t="shared" si="163"/>
        <v>shelving451mm to 600mmstandard 2 packprestige</v>
      </c>
      <c r="C293" s="278" t="s">
        <v>1014</v>
      </c>
      <c r="D293" s="278" t="s">
        <v>556</v>
      </c>
      <c r="E293" s="278" t="s">
        <v>991</v>
      </c>
      <c r="F293" s="278" t="s">
        <v>545</v>
      </c>
      <c r="G293" s="278" t="s">
        <v>15</v>
      </c>
      <c r="H293" s="290">
        <v>0.45</v>
      </c>
      <c r="I293" s="280">
        <f t="shared" si="164"/>
        <v>36.279000000000003</v>
      </c>
      <c r="J293" s="281">
        <f t="shared" si="165"/>
        <v>41.143500000000003</v>
      </c>
      <c r="K293" s="282">
        <f>IF(Notes!$B$9="Domestic",I293, IF(Notes!$B$9="Commercial",J293))*$K$266</f>
        <v>41.143500000000003</v>
      </c>
      <c r="L293" s="283">
        <f>(SUM(O293:Q293)+(K293+SUM(M293:Q293))*(INDEX($U$266:$AB$266,MATCH(Notes!$C$16,$U$3:$AB$3,0))-100%))*$L$266</f>
        <v>52.731800000000007</v>
      </c>
      <c r="M293" s="286"/>
      <c r="N293" s="286"/>
      <c r="O293" s="311">
        <f t="shared" si="162"/>
        <v>52.731800000000007</v>
      </c>
      <c r="P293" s="285"/>
      <c r="Q293" s="285"/>
      <c r="R293" s="278"/>
      <c r="S293" s="278"/>
      <c r="T293" s="278"/>
    </row>
    <row r="294" spans="1:28" s="305" customFormat="1" hidden="1" outlineLevel="1" x14ac:dyDescent="0.25">
      <c r="A294" s="278"/>
      <c r="B294" s="279" t="str">
        <f t="shared" ref="B294:B297" si="166">C294&amp;D294&amp;E294&amp;F294</f>
        <v>shelvingup to 300mmdesigner 2 packaverage</v>
      </c>
      <c r="C294" s="278" t="s">
        <v>1014</v>
      </c>
      <c r="D294" s="278" t="s">
        <v>1015</v>
      </c>
      <c r="E294" s="278" t="s">
        <v>992</v>
      </c>
      <c r="F294" s="278" t="s">
        <v>543</v>
      </c>
      <c r="G294" s="278" t="s">
        <v>15</v>
      </c>
      <c r="H294" s="290">
        <v>0.42</v>
      </c>
      <c r="I294" s="280">
        <f t="shared" ref="I294:I297" si="167">$I$2*H294</f>
        <v>33.860399999999998</v>
      </c>
      <c r="J294" s="281">
        <f t="shared" ref="J294:J297" si="168">$J$2*H294</f>
        <v>38.400600000000004</v>
      </c>
      <c r="K294" s="282">
        <f>IF(Notes!$B$9="Domestic",I294, IF(Notes!$B$9="Commercial",J294))*$K$266</f>
        <v>38.400600000000004</v>
      </c>
      <c r="L294" s="283">
        <f>(SUM(O294:Q294)+(K294+SUM(M294:Q294))*(INDEX($U$266:$AB$266,MATCH(Notes!$C$16,$U$3:$AB$3,0))-100%))*$L$266</f>
        <v>50.84</v>
      </c>
      <c r="M294" s="286"/>
      <c r="N294" s="286"/>
      <c r="O294" s="311">
        <f>O285*2</f>
        <v>50.84</v>
      </c>
      <c r="P294" s="285"/>
      <c r="Q294" s="285"/>
      <c r="R294" s="278"/>
      <c r="S294" s="278"/>
      <c r="T294" s="278"/>
    </row>
    <row r="295" spans="1:28" s="305" customFormat="1" hidden="1" outlineLevel="1" x14ac:dyDescent="0.25">
      <c r="A295" s="278"/>
      <c r="B295" s="279" t="str">
        <f t="shared" ref="B295:B296" si="169">C295&amp;D295&amp;E295&amp;F295</f>
        <v>shelvingup to 300mmdesigner 2 packquality</v>
      </c>
      <c r="C295" s="278" t="s">
        <v>1014</v>
      </c>
      <c r="D295" s="278" t="s">
        <v>1015</v>
      </c>
      <c r="E295" s="278" t="s">
        <v>992</v>
      </c>
      <c r="F295" s="278" t="s">
        <v>544</v>
      </c>
      <c r="G295" s="278" t="s">
        <v>15</v>
      </c>
      <c r="H295" s="290">
        <v>0.42</v>
      </c>
      <c r="I295" s="280">
        <f t="shared" ref="I295:I296" si="170">$I$2*H295</f>
        <v>33.860399999999998</v>
      </c>
      <c r="J295" s="281">
        <f t="shared" ref="J295:J296" si="171">$J$2*H295</f>
        <v>38.400600000000004</v>
      </c>
      <c r="K295" s="282">
        <f>IF(Notes!$B$9="Domestic",I295, IF(Notes!$B$9="Commercial",J295))*$K$266</f>
        <v>38.400600000000004</v>
      </c>
      <c r="L295" s="283">
        <f>(SUM(O295:Q295)+(K295+SUM(M295:Q295))*(INDEX($U$266:$AB$266,MATCH(Notes!$C$16,$U$3:$AB$3,0))-100%))*$L$266</f>
        <v>55.924000000000007</v>
      </c>
      <c r="M295" s="286"/>
      <c r="N295" s="286"/>
      <c r="O295" s="311">
        <f t="shared" ref="O295:O296" si="172">O286*2</f>
        <v>55.924000000000007</v>
      </c>
      <c r="P295" s="285"/>
      <c r="Q295" s="285"/>
      <c r="R295" s="278"/>
      <c r="S295" s="278"/>
      <c r="T295" s="278"/>
    </row>
    <row r="296" spans="1:28" s="305" customFormat="1" hidden="1" outlineLevel="1" x14ac:dyDescent="0.25">
      <c r="A296" s="278"/>
      <c r="B296" s="279" t="str">
        <f t="shared" si="169"/>
        <v>shelvingup to 300mmdesigner 2 packprestige</v>
      </c>
      <c r="C296" s="278" t="s">
        <v>1014</v>
      </c>
      <c r="D296" s="278" t="s">
        <v>1015</v>
      </c>
      <c r="E296" s="278" t="s">
        <v>992</v>
      </c>
      <c r="F296" s="278" t="s">
        <v>545</v>
      </c>
      <c r="G296" s="278" t="s">
        <v>15</v>
      </c>
      <c r="H296" s="290">
        <v>0.42</v>
      </c>
      <c r="I296" s="280">
        <f t="shared" si="170"/>
        <v>33.860399999999998</v>
      </c>
      <c r="J296" s="281">
        <f t="shared" si="171"/>
        <v>38.400600000000004</v>
      </c>
      <c r="K296" s="282">
        <f>IF(Notes!$B$9="Domestic",I296, IF(Notes!$B$9="Commercial",J296))*$K$266</f>
        <v>38.400600000000004</v>
      </c>
      <c r="L296" s="283">
        <f>(SUM(O296:Q296)+(K296+SUM(M296:Q296))*(INDEX($U$266:$AB$266,MATCH(Notes!$C$16,$U$3:$AB$3,0))-100%))*$L$266</f>
        <v>61.516400000000012</v>
      </c>
      <c r="M296" s="286"/>
      <c r="N296" s="286"/>
      <c r="O296" s="311">
        <f t="shared" si="172"/>
        <v>61.516400000000012</v>
      </c>
      <c r="P296" s="285"/>
      <c r="Q296" s="285"/>
      <c r="R296" s="278"/>
      <c r="S296" s="278"/>
      <c r="T296" s="278"/>
    </row>
    <row r="297" spans="1:28" s="305" customFormat="1" hidden="1" outlineLevel="1" x14ac:dyDescent="0.25">
      <c r="A297" s="278"/>
      <c r="B297" s="279" t="str">
        <f t="shared" si="166"/>
        <v>shelving301mm to 450mmdesigner 2 packaverage</v>
      </c>
      <c r="C297" s="278" t="s">
        <v>1014</v>
      </c>
      <c r="D297" s="278" t="s">
        <v>555</v>
      </c>
      <c r="E297" s="278" t="s">
        <v>992</v>
      </c>
      <c r="F297" s="278" t="s">
        <v>543</v>
      </c>
      <c r="G297" s="278" t="s">
        <v>15</v>
      </c>
      <c r="H297" s="290">
        <v>0.44</v>
      </c>
      <c r="I297" s="280">
        <f t="shared" si="167"/>
        <v>35.472799999999999</v>
      </c>
      <c r="J297" s="281">
        <f t="shared" si="168"/>
        <v>40.229200000000006</v>
      </c>
      <c r="K297" s="282">
        <f>IF(Notes!$B$9="Domestic",I297, IF(Notes!$B$9="Commercial",J297))*$K$266</f>
        <v>40.229200000000006</v>
      </c>
      <c r="L297" s="283">
        <f>(SUM(O297:Q297)+(K297+SUM(M297:Q297))*(INDEX($U$266:$AB$266,MATCH(Notes!$C$16,$U$3:$AB$3,0))-100%))*$L$266</f>
        <v>69.239999999999995</v>
      </c>
      <c r="M297" s="286"/>
      <c r="N297" s="286"/>
      <c r="O297" s="311">
        <f>O288*2</f>
        <v>69.239999999999995</v>
      </c>
      <c r="P297" s="285"/>
      <c r="Q297" s="285"/>
      <c r="R297" s="278"/>
      <c r="S297" s="278"/>
      <c r="T297" s="278"/>
    </row>
    <row r="298" spans="1:28" s="305" customFormat="1" hidden="1" outlineLevel="1" x14ac:dyDescent="0.25">
      <c r="A298" s="278"/>
      <c r="B298" s="279" t="str">
        <f t="shared" ref="B298:B301" si="173">C298&amp;D298&amp;E298&amp;F298</f>
        <v>shelving301mm to 450mmdesigner 2 packquality</v>
      </c>
      <c r="C298" s="278" t="s">
        <v>1014</v>
      </c>
      <c r="D298" s="278" t="s">
        <v>555</v>
      </c>
      <c r="E298" s="278" t="s">
        <v>992</v>
      </c>
      <c r="F298" s="278" t="s">
        <v>544</v>
      </c>
      <c r="G298" s="278" t="s">
        <v>15</v>
      </c>
      <c r="H298" s="290">
        <v>0.44</v>
      </c>
      <c r="I298" s="280">
        <f t="shared" ref="I298:I301" si="174">$I$2*H298</f>
        <v>35.472799999999999</v>
      </c>
      <c r="J298" s="281">
        <f t="shared" ref="J298:J301" si="175">$J$2*H298</f>
        <v>40.229200000000006</v>
      </c>
      <c r="K298" s="282">
        <f>IF(Notes!$B$9="Domestic",I298, IF(Notes!$B$9="Commercial",J298))*$K$266</f>
        <v>40.229200000000006</v>
      </c>
      <c r="L298" s="283">
        <f>(SUM(O298:Q298)+(K298+SUM(M298:Q298))*(INDEX($U$266:$AB$266,MATCH(Notes!$C$16,$U$3:$AB$3,0))-100%))*$L$266</f>
        <v>76.164000000000001</v>
      </c>
      <c r="M298" s="286"/>
      <c r="N298" s="286"/>
      <c r="O298" s="311">
        <f t="shared" ref="O298:O299" si="176">O289*2</f>
        <v>76.164000000000001</v>
      </c>
      <c r="P298" s="285"/>
      <c r="Q298" s="285"/>
      <c r="R298" s="278"/>
      <c r="S298" s="278"/>
      <c r="T298" s="278"/>
    </row>
    <row r="299" spans="1:28" s="305" customFormat="1" hidden="1" outlineLevel="1" x14ac:dyDescent="0.25">
      <c r="A299" s="278"/>
      <c r="B299" s="279" t="str">
        <f t="shared" si="173"/>
        <v>shelving301mm to 450mmdesigner 2 packprestige</v>
      </c>
      <c r="C299" s="278" t="s">
        <v>1014</v>
      </c>
      <c r="D299" s="278" t="s">
        <v>555</v>
      </c>
      <c r="E299" s="278" t="s">
        <v>992</v>
      </c>
      <c r="F299" s="278" t="s">
        <v>545</v>
      </c>
      <c r="G299" s="278" t="s">
        <v>15</v>
      </c>
      <c r="H299" s="290">
        <v>0.44</v>
      </c>
      <c r="I299" s="280">
        <f t="shared" si="174"/>
        <v>35.472799999999999</v>
      </c>
      <c r="J299" s="281">
        <f t="shared" si="175"/>
        <v>40.229200000000006</v>
      </c>
      <c r="K299" s="282">
        <f>IF(Notes!$B$9="Domestic",I299, IF(Notes!$B$9="Commercial",J299))*$K$266</f>
        <v>40.229200000000006</v>
      </c>
      <c r="L299" s="283">
        <f>(SUM(O299:Q299)+(K299+SUM(M299:Q299))*(INDEX($U$266:$AB$266,MATCH(Notes!$C$16,$U$3:$AB$3,0))-100%))*$L$266</f>
        <v>83.780400000000014</v>
      </c>
      <c r="M299" s="286"/>
      <c r="N299" s="286"/>
      <c r="O299" s="311">
        <f t="shared" si="176"/>
        <v>83.780400000000014</v>
      </c>
      <c r="P299" s="285"/>
      <c r="Q299" s="285"/>
      <c r="R299" s="278"/>
      <c r="S299" s="278"/>
      <c r="T299" s="278"/>
    </row>
    <row r="300" spans="1:28" s="305" customFormat="1" hidden="1" outlineLevel="1" x14ac:dyDescent="0.25">
      <c r="A300" s="278"/>
      <c r="B300" s="279" t="str">
        <f t="shared" si="173"/>
        <v>shelving451mm to 600mmdesigner 2 packaverage</v>
      </c>
      <c r="C300" s="278" t="s">
        <v>1014</v>
      </c>
      <c r="D300" s="278" t="s">
        <v>556</v>
      </c>
      <c r="E300" s="278" t="s">
        <v>992</v>
      </c>
      <c r="F300" s="278" t="s">
        <v>543</v>
      </c>
      <c r="G300" s="278" t="s">
        <v>15</v>
      </c>
      <c r="H300" s="290">
        <v>0.45</v>
      </c>
      <c r="I300" s="280">
        <f t="shared" si="174"/>
        <v>36.279000000000003</v>
      </c>
      <c r="J300" s="281">
        <f t="shared" si="175"/>
        <v>41.143500000000003</v>
      </c>
      <c r="K300" s="282">
        <f>IF(Notes!$B$9="Domestic",I300, IF(Notes!$B$9="Commercial",J300))*$K$266</f>
        <v>41.143500000000003</v>
      </c>
      <c r="L300" s="283">
        <f>(SUM(O300:Q300)+(K300+SUM(M300:Q300))*(INDEX($U$266:$AB$266,MATCH(Notes!$C$16,$U$3:$AB$3,0))-100%))*$L$266</f>
        <v>76.164000000000001</v>
      </c>
      <c r="M300" s="286"/>
      <c r="N300" s="286"/>
      <c r="O300" s="311">
        <f t="shared" ref="O300:O301" si="177">O289*2</f>
        <v>76.164000000000001</v>
      </c>
      <c r="P300" s="285"/>
      <c r="Q300" s="285"/>
      <c r="R300" s="278"/>
      <c r="S300" s="278"/>
      <c r="T300" s="278"/>
    </row>
    <row r="301" spans="1:28" s="305" customFormat="1" hidden="1" outlineLevel="1" x14ac:dyDescent="0.25">
      <c r="A301" s="278"/>
      <c r="B301" s="279" t="str">
        <f t="shared" si="173"/>
        <v>shelving451mm to 600mmdesigner 2 packquality</v>
      </c>
      <c r="C301" s="278" t="s">
        <v>1014</v>
      </c>
      <c r="D301" s="278" t="s">
        <v>556</v>
      </c>
      <c r="E301" s="278" t="s">
        <v>992</v>
      </c>
      <c r="F301" s="278" t="s">
        <v>544</v>
      </c>
      <c r="G301" s="278" t="s">
        <v>15</v>
      </c>
      <c r="H301" s="290">
        <v>0.45</v>
      </c>
      <c r="I301" s="280">
        <f t="shared" si="174"/>
        <v>36.279000000000003</v>
      </c>
      <c r="J301" s="281">
        <f t="shared" si="175"/>
        <v>41.143500000000003</v>
      </c>
      <c r="K301" s="282">
        <f>IF(Notes!$B$9="Domestic",I301, IF(Notes!$B$9="Commercial",J301))*$K$266</f>
        <v>41.143500000000003</v>
      </c>
      <c r="L301" s="283">
        <f>(SUM(O301:Q301)+(K301+SUM(M301:Q301))*(INDEX($U$266:$AB$266,MATCH(Notes!$C$16,$U$3:$AB$3,0))-100%))*$L$266</f>
        <v>83.780400000000014</v>
      </c>
      <c r="M301" s="286"/>
      <c r="N301" s="286"/>
      <c r="O301" s="311">
        <f t="shared" si="177"/>
        <v>83.780400000000014</v>
      </c>
      <c r="P301" s="285"/>
      <c r="Q301" s="285"/>
      <c r="R301" s="278"/>
      <c r="S301" s="278"/>
      <c r="T301" s="278"/>
    </row>
    <row r="302" spans="1:28" s="305" customFormat="1" hidden="1" outlineLevel="1" x14ac:dyDescent="0.25">
      <c r="A302" s="278"/>
      <c r="B302" s="279" t="str">
        <f t="shared" si="128"/>
        <v>shelving451mm to 600mmdesigner 2 packprestige</v>
      </c>
      <c r="C302" s="278" t="s">
        <v>1014</v>
      </c>
      <c r="D302" s="278" t="s">
        <v>556</v>
      </c>
      <c r="E302" s="278" t="s">
        <v>992</v>
      </c>
      <c r="F302" s="278" t="s">
        <v>545</v>
      </c>
      <c r="G302" s="278" t="s">
        <v>15</v>
      </c>
      <c r="H302" s="290">
        <v>0.45</v>
      </c>
      <c r="I302" s="280">
        <f t="shared" si="129"/>
        <v>36.279000000000003</v>
      </c>
      <c r="J302" s="281">
        <f t="shared" si="130"/>
        <v>41.143500000000003</v>
      </c>
      <c r="K302" s="282">
        <f>IF(Notes!$B$9="Domestic",I302, IF(Notes!$B$9="Commercial",J302))*$K$266</f>
        <v>41.143500000000003</v>
      </c>
      <c r="L302" s="283">
        <f>(SUM(O302:Q302)+(K302+SUM(M302:Q302))*(INDEX($U$266:$AB$266,MATCH(Notes!$C$16,$U$3:$AB$3,0))-100%))*$L$266</f>
        <v>87.16</v>
      </c>
      <c r="M302" s="286"/>
      <c r="N302" s="286"/>
      <c r="O302" s="311">
        <f>O291*2</f>
        <v>87.16</v>
      </c>
      <c r="P302" s="285"/>
      <c r="Q302" s="285"/>
      <c r="R302" s="278"/>
      <c r="S302" s="278"/>
      <c r="T302" s="278"/>
    </row>
    <row r="303" spans="1:28" ht="21" hidden="1" outlineLevel="1" x14ac:dyDescent="0.25">
      <c r="A303" s="299" t="s">
        <v>1028</v>
      </c>
      <c r="B303" s="299"/>
      <c r="C303" s="299"/>
      <c r="D303" s="299"/>
      <c r="E303" s="299"/>
      <c r="F303" s="299"/>
      <c r="G303" s="299"/>
      <c r="H303" s="299"/>
      <c r="I303" s="299"/>
      <c r="J303" s="299"/>
      <c r="K303" s="299"/>
      <c r="L303" s="299"/>
      <c r="M303" s="299"/>
      <c r="N303" s="299"/>
      <c r="O303" s="299"/>
      <c r="P303" s="299"/>
      <c r="Q303" s="299"/>
      <c r="R303" s="299"/>
      <c r="S303" s="299"/>
      <c r="T303" s="299"/>
      <c r="U303" s="299"/>
      <c r="V303" s="299"/>
      <c r="W303" s="299"/>
      <c r="X303" s="299"/>
      <c r="Y303" s="299"/>
      <c r="Z303" s="299"/>
      <c r="AA303" s="299"/>
      <c r="AB303" s="299"/>
    </row>
    <row r="304" spans="1:28" ht="15.75" hidden="1" outlineLevel="1" x14ac:dyDescent="0.25">
      <c r="A304" s="291"/>
      <c r="B304" s="291"/>
      <c r="C304" s="291"/>
      <c r="D304" s="291"/>
      <c r="E304" s="291"/>
      <c r="F304" s="291"/>
      <c r="G304" s="291"/>
      <c r="H304" s="291"/>
      <c r="I304" s="291"/>
      <c r="J304" s="291"/>
      <c r="K304" s="291">
        <f>K$2</f>
        <v>1</v>
      </c>
      <c r="L304" s="291">
        <f>L$2</f>
        <v>1</v>
      </c>
      <c r="M304" s="291"/>
      <c r="N304" s="291"/>
      <c r="O304" s="303"/>
      <c r="P304" s="303"/>
      <c r="Q304" s="303"/>
      <c r="R304" s="291"/>
      <c r="S304" s="291"/>
      <c r="T304" s="291"/>
      <c r="U304" s="291">
        <f>U$2</f>
        <v>1</v>
      </c>
      <c r="V304" s="291">
        <f>V$2</f>
        <v>1</v>
      </c>
      <c r="W304" s="291">
        <f t="shared" ref="W304:AB304" si="178">W$2</f>
        <v>1.009090909090909</v>
      </c>
      <c r="X304" s="291">
        <f t="shared" si="178"/>
        <v>1.0909090909090908</v>
      </c>
      <c r="Y304" s="291">
        <f t="shared" si="178"/>
        <v>1.1454545454545455</v>
      </c>
      <c r="Z304" s="291">
        <f t="shared" si="178"/>
        <v>1</v>
      </c>
      <c r="AA304" s="291">
        <f t="shared" si="178"/>
        <v>1</v>
      </c>
      <c r="AB304" s="291">
        <f t="shared" si="178"/>
        <v>1</v>
      </c>
    </row>
    <row r="305" spans="1:20" s="305" customFormat="1" hidden="1" outlineLevel="1" x14ac:dyDescent="0.25">
      <c r="A305" s="278"/>
      <c r="B305" s="279" t="str">
        <f t="shared" ref="B305:B328" si="179">C305&amp;D305&amp;E305&amp;F305</f>
        <v>2 drawerup to 450mmstandard laminatedaverage</v>
      </c>
      <c r="C305" s="278" t="s">
        <v>1029</v>
      </c>
      <c r="D305" s="278" t="s">
        <v>1032</v>
      </c>
      <c r="E305" s="278" t="s">
        <v>989</v>
      </c>
      <c r="F305" s="278" t="s">
        <v>543</v>
      </c>
      <c r="G305" s="278" t="s">
        <v>5</v>
      </c>
      <c r="H305" s="290">
        <v>1.55</v>
      </c>
      <c r="I305" s="280">
        <f t="shared" ref="I305:I307" si="180">$I$2*H305</f>
        <v>124.96100000000001</v>
      </c>
      <c r="J305" s="281">
        <f t="shared" ref="J305:J328" si="181">$J$2*H305</f>
        <v>141.71650000000002</v>
      </c>
      <c r="K305" s="282">
        <f>IF(Notes!$B$9="Domestic",I305, IF(Notes!$B$9="Commercial",J305))*$K$304</f>
        <v>141.71650000000002</v>
      </c>
      <c r="L305" s="283">
        <f>(SUM(O305:Q305)+(K305+SUM(M305:Q305))*(INDEX($U$304:$AB$304,MATCH(Notes!$C$16,$U$3:$AB$3,0))-100%))*$L$304</f>
        <v>294.64</v>
      </c>
      <c r="M305" s="286"/>
      <c r="N305" s="286"/>
      <c r="O305" s="285">
        <v>294.64</v>
      </c>
      <c r="P305" s="285"/>
      <c r="Q305" s="285"/>
      <c r="R305" s="278"/>
      <c r="S305" s="278" t="s">
        <v>1032</v>
      </c>
      <c r="T305" s="278"/>
    </row>
    <row r="306" spans="1:20" s="305" customFormat="1" hidden="1" outlineLevel="1" x14ac:dyDescent="0.25">
      <c r="A306" s="278"/>
      <c r="B306" s="279" t="str">
        <f t="shared" si="179"/>
        <v>2 drawerup to 450mmstandard laminatedquality</v>
      </c>
      <c r="C306" s="278" t="s">
        <v>1029</v>
      </c>
      <c r="D306" s="278" t="s">
        <v>1032</v>
      </c>
      <c r="E306" s="278" t="s">
        <v>989</v>
      </c>
      <c r="F306" s="278" t="s">
        <v>544</v>
      </c>
      <c r="G306" s="278" t="s">
        <v>5</v>
      </c>
      <c r="H306" s="290">
        <v>1.55</v>
      </c>
      <c r="I306" s="280">
        <f t="shared" si="180"/>
        <v>124.96100000000001</v>
      </c>
      <c r="J306" s="281">
        <f t="shared" si="181"/>
        <v>141.71650000000002</v>
      </c>
      <c r="K306" s="282">
        <f>IF(Notes!$B$9="Domestic",I306, IF(Notes!$B$9="Commercial",J306))*$K$304</f>
        <v>141.71650000000002</v>
      </c>
      <c r="L306" s="283">
        <f>(SUM(O306:Q306)+(K306+SUM(M306:Q306))*(INDEX($U$304:$AB$304,MATCH(Notes!$C$16,$U$3:$AB$3,0))-100%))*$L$304</f>
        <v>324.10399999999998</v>
      </c>
      <c r="M306" s="286"/>
      <c r="N306" s="286"/>
      <c r="O306" s="311">
        <f>O305*1.1</f>
        <v>324.10399999999998</v>
      </c>
      <c r="P306" s="285"/>
      <c r="Q306" s="285"/>
      <c r="R306" s="278"/>
      <c r="S306" s="278" t="s">
        <v>556</v>
      </c>
      <c r="T306" s="278"/>
    </row>
    <row r="307" spans="1:20" s="305" customFormat="1" hidden="1" outlineLevel="1" x14ac:dyDescent="0.25">
      <c r="A307" s="278"/>
      <c r="B307" s="279" t="str">
        <f t="shared" si="179"/>
        <v>2 drawerup to 450mmstandard laminatedprestige</v>
      </c>
      <c r="C307" s="278" t="s">
        <v>1029</v>
      </c>
      <c r="D307" s="278" t="s">
        <v>1032</v>
      </c>
      <c r="E307" s="278" t="s">
        <v>989</v>
      </c>
      <c r="F307" s="278" t="s">
        <v>545</v>
      </c>
      <c r="G307" s="278" t="s">
        <v>5</v>
      </c>
      <c r="H307" s="290">
        <v>1.55</v>
      </c>
      <c r="I307" s="280">
        <f t="shared" si="180"/>
        <v>124.96100000000001</v>
      </c>
      <c r="J307" s="281">
        <f t="shared" si="181"/>
        <v>141.71650000000002</v>
      </c>
      <c r="K307" s="282">
        <f>IF(Notes!$B$9="Domestic",I307, IF(Notes!$B$9="Commercial",J307))*$K$304</f>
        <v>141.71650000000002</v>
      </c>
      <c r="L307" s="283">
        <f>(SUM(O307:Q307)+(K307+SUM(M307:Q307))*(INDEX($U$304:$AB$304,MATCH(Notes!$C$16,$U$3:$AB$3,0))-100%))*$L$304</f>
        <v>356.51440000000002</v>
      </c>
      <c r="M307" s="286"/>
      <c r="N307" s="286"/>
      <c r="O307" s="311">
        <f>O306*1.1</f>
        <v>356.51440000000002</v>
      </c>
      <c r="P307" s="285"/>
      <c r="Q307" s="285"/>
      <c r="R307" s="278"/>
      <c r="S307" s="278" t="s">
        <v>547</v>
      </c>
      <c r="T307" s="278"/>
    </row>
    <row r="308" spans="1:20" s="305" customFormat="1" hidden="1" outlineLevel="1" x14ac:dyDescent="0.25">
      <c r="A308" s="278"/>
      <c r="B308" s="279" t="str">
        <f t="shared" si="179"/>
        <v>2 drawer451mm to 600mmstandard laminatedaverage</v>
      </c>
      <c r="C308" s="278" t="s">
        <v>1029</v>
      </c>
      <c r="D308" s="278" t="s">
        <v>556</v>
      </c>
      <c r="E308" s="278" t="s">
        <v>989</v>
      </c>
      <c r="F308" s="278" t="s">
        <v>543</v>
      </c>
      <c r="G308" s="278" t="s">
        <v>5</v>
      </c>
      <c r="H308" s="290">
        <v>1.65</v>
      </c>
      <c r="I308" s="280">
        <f>$I$2*H308</f>
        <v>133.023</v>
      </c>
      <c r="J308" s="281">
        <f t="shared" si="181"/>
        <v>150.8595</v>
      </c>
      <c r="K308" s="282">
        <f>IF(Notes!$B$9="Domestic",I308, IF(Notes!$B$9="Commercial",J308))*$K$304</f>
        <v>150.8595</v>
      </c>
      <c r="L308" s="283">
        <f>(SUM(O308:Q308)+(K308+SUM(M308:Q308))*(INDEX($U$304:$AB$304,MATCH(Notes!$C$16,$U$3:$AB$3,0))-100%))*$L$304</f>
        <v>340.09</v>
      </c>
      <c r="M308" s="286"/>
      <c r="N308" s="286"/>
      <c r="O308" s="285">
        <v>340.09</v>
      </c>
      <c r="P308" s="285"/>
      <c r="Q308" s="285"/>
      <c r="R308" s="278"/>
      <c r="S308" s="278" t="s">
        <v>548</v>
      </c>
      <c r="T308" s="278"/>
    </row>
    <row r="309" spans="1:20" s="305" customFormat="1" hidden="1" outlineLevel="1" x14ac:dyDescent="0.25">
      <c r="A309" s="278"/>
      <c r="B309" s="279" t="str">
        <f t="shared" si="179"/>
        <v>2 drawer451mm to 600mmstandard laminatedquality</v>
      </c>
      <c r="C309" s="278" t="s">
        <v>1029</v>
      </c>
      <c r="D309" s="278" t="s">
        <v>556</v>
      </c>
      <c r="E309" s="278" t="s">
        <v>989</v>
      </c>
      <c r="F309" s="278" t="s">
        <v>544</v>
      </c>
      <c r="G309" s="278" t="s">
        <v>5</v>
      </c>
      <c r="H309" s="290">
        <v>1.65</v>
      </c>
      <c r="I309" s="280">
        <f t="shared" ref="I309:I316" si="182">$I$2*H309</f>
        <v>133.023</v>
      </c>
      <c r="J309" s="281">
        <f t="shared" si="181"/>
        <v>150.8595</v>
      </c>
      <c r="K309" s="282">
        <f>IF(Notes!$B$9="Domestic",I309, IF(Notes!$B$9="Commercial",J309))*$K$304</f>
        <v>150.8595</v>
      </c>
      <c r="L309" s="283">
        <f>(SUM(O309:Q309)+(K309+SUM(M309:Q309))*(INDEX($U$304:$AB$304,MATCH(Notes!$C$16,$U$3:$AB$3,0))-100%))*$L$304</f>
        <v>374.09899999999999</v>
      </c>
      <c r="M309" s="286"/>
      <c r="N309" s="286"/>
      <c r="O309" s="311">
        <f>O308*1.1</f>
        <v>374.09899999999999</v>
      </c>
      <c r="P309" s="285"/>
      <c r="Q309" s="285"/>
      <c r="R309" s="278"/>
      <c r="S309" s="278"/>
      <c r="T309" s="278"/>
    </row>
    <row r="310" spans="1:20" s="305" customFormat="1" hidden="1" outlineLevel="1" x14ac:dyDescent="0.25">
      <c r="A310" s="278"/>
      <c r="B310" s="279" t="str">
        <f t="shared" si="179"/>
        <v>2 drawer451mm to 600mmstandard laminatedprestige</v>
      </c>
      <c r="C310" s="278" t="s">
        <v>1029</v>
      </c>
      <c r="D310" s="278" t="s">
        <v>556</v>
      </c>
      <c r="E310" s="278" t="s">
        <v>989</v>
      </c>
      <c r="F310" s="278" t="s">
        <v>545</v>
      </c>
      <c r="G310" s="278" t="s">
        <v>5</v>
      </c>
      <c r="H310" s="290">
        <v>1.65</v>
      </c>
      <c r="I310" s="280">
        <f t="shared" si="182"/>
        <v>133.023</v>
      </c>
      <c r="J310" s="281">
        <f t="shared" si="181"/>
        <v>150.8595</v>
      </c>
      <c r="K310" s="282">
        <f>IF(Notes!$B$9="Domestic",I310, IF(Notes!$B$9="Commercial",J310))*$K$304</f>
        <v>150.8595</v>
      </c>
      <c r="L310" s="283">
        <f>(SUM(O310:Q310)+(K310+SUM(M310:Q310))*(INDEX($U$304:$AB$304,MATCH(Notes!$C$16,$U$3:$AB$3,0))-100%))*$L$304</f>
        <v>411.50890000000004</v>
      </c>
      <c r="M310" s="286"/>
      <c r="N310" s="286"/>
      <c r="O310" s="311">
        <f>O309*1.1</f>
        <v>411.50890000000004</v>
      </c>
      <c r="P310" s="285"/>
      <c r="Q310" s="285"/>
      <c r="R310" s="278"/>
      <c r="S310" s="278"/>
      <c r="T310" s="278"/>
    </row>
    <row r="311" spans="1:20" s="305" customFormat="1" hidden="1" outlineLevel="1" x14ac:dyDescent="0.25">
      <c r="A311" s="278"/>
      <c r="B311" s="279" t="str">
        <f t="shared" si="179"/>
        <v>2 drawer601mm to 750mmstandard laminatedaverage</v>
      </c>
      <c r="C311" s="278" t="s">
        <v>1029</v>
      </c>
      <c r="D311" s="278" t="s">
        <v>547</v>
      </c>
      <c r="E311" s="278" t="s">
        <v>989</v>
      </c>
      <c r="F311" s="278" t="s">
        <v>543</v>
      </c>
      <c r="G311" s="278" t="s">
        <v>5</v>
      </c>
      <c r="H311" s="290">
        <v>1.65</v>
      </c>
      <c r="I311" s="280">
        <f t="shared" si="182"/>
        <v>133.023</v>
      </c>
      <c r="J311" s="281">
        <f t="shared" si="181"/>
        <v>150.8595</v>
      </c>
      <c r="K311" s="282">
        <f>IF(Notes!$B$9="Domestic",I311, IF(Notes!$B$9="Commercial",J311))*$K$304</f>
        <v>150.8595</v>
      </c>
      <c r="L311" s="283">
        <f>(SUM(O311:Q311)+(K311+SUM(M311:Q311))*(INDEX($U$304:$AB$304,MATCH(Notes!$C$16,$U$3:$AB$3,0))-100%))*$L$304</f>
        <v>384.64</v>
      </c>
      <c r="M311" s="286"/>
      <c r="N311" s="286"/>
      <c r="O311" s="285">
        <v>384.64</v>
      </c>
      <c r="P311" s="285"/>
      <c r="Q311" s="285"/>
      <c r="R311" s="278"/>
      <c r="S311" s="278"/>
      <c r="T311" s="278"/>
    </row>
    <row r="312" spans="1:20" s="305" customFormat="1" hidden="1" outlineLevel="1" x14ac:dyDescent="0.25">
      <c r="A312" s="278"/>
      <c r="B312" s="279" t="str">
        <f t="shared" si="179"/>
        <v>2 drawer601mm to 750mmstandard laminatedquality</v>
      </c>
      <c r="C312" s="278" t="s">
        <v>1029</v>
      </c>
      <c r="D312" s="278" t="s">
        <v>547</v>
      </c>
      <c r="E312" s="278" t="s">
        <v>989</v>
      </c>
      <c r="F312" s="278" t="s">
        <v>544</v>
      </c>
      <c r="G312" s="278" t="s">
        <v>5</v>
      </c>
      <c r="H312" s="290">
        <v>1.65</v>
      </c>
      <c r="I312" s="280">
        <f t="shared" si="182"/>
        <v>133.023</v>
      </c>
      <c r="J312" s="281">
        <f t="shared" si="181"/>
        <v>150.8595</v>
      </c>
      <c r="K312" s="282">
        <f>IF(Notes!$B$9="Domestic",I312, IF(Notes!$B$9="Commercial",J312))*$K$304</f>
        <v>150.8595</v>
      </c>
      <c r="L312" s="283">
        <f>(SUM(O312:Q312)+(K312+SUM(M312:Q312))*(INDEX($U$304:$AB$304,MATCH(Notes!$C$16,$U$3:$AB$3,0))-100%))*$L$304</f>
        <v>423.10400000000004</v>
      </c>
      <c r="M312" s="286"/>
      <c r="N312" s="286"/>
      <c r="O312" s="311">
        <f>O311*1.1</f>
        <v>423.10400000000004</v>
      </c>
      <c r="P312" s="285"/>
      <c r="Q312" s="285"/>
      <c r="R312" s="278"/>
      <c r="S312" s="278"/>
      <c r="T312" s="278"/>
    </row>
    <row r="313" spans="1:20" s="305" customFormat="1" hidden="1" outlineLevel="1" x14ac:dyDescent="0.25">
      <c r="A313" s="278"/>
      <c r="B313" s="279" t="str">
        <f t="shared" si="179"/>
        <v>2 drawer601mm to 750mmstandard laminatedprestige</v>
      </c>
      <c r="C313" s="278" t="s">
        <v>1029</v>
      </c>
      <c r="D313" s="278" t="s">
        <v>547</v>
      </c>
      <c r="E313" s="278" t="s">
        <v>989</v>
      </c>
      <c r="F313" s="278" t="s">
        <v>545</v>
      </c>
      <c r="G313" s="278" t="s">
        <v>5</v>
      </c>
      <c r="H313" s="290">
        <v>1.65</v>
      </c>
      <c r="I313" s="280">
        <f t="shared" si="182"/>
        <v>133.023</v>
      </c>
      <c r="J313" s="281">
        <f t="shared" si="181"/>
        <v>150.8595</v>
      </c>
      <c r="K313" s="282">
        <f>IF(Notes!$B$9="Domestic",I313, IF(Notes!$B$9="Commercial",J313))*$K$304</f>
        <v>150.8595</v>
      </c>
      <c r="L313" s="283">
        <f>(SUM(O313:Q313)+(K313+SUM(M313:Q313))*(INDEX($U$304:$AB$304,MATCH(Notes!$C$16,$U$3:$AB$3,0))-100%))*$L$304</f>
        <v>465.41440000000006</v>
      </c>
      <c r="M313" s="286"/>
      <c r="N313" s="286"/>
      <c r="O313" s="311">
        <f>O312*1.1</f>
        <v>465.41440000000006</v>
      </c>
      <c r="P313" s="285"/>
      <c r="Q313" s="285"/>
      <c r="R313" s="278"/>
      <c r="S313" s="278"/>
      <c r="T313" s="278"/>
    </row>
    <row r="314" spans="1:20" s="305" customFormat="1" hidden="1" outlineLevel="1" x14ac:dyDescent="0.25">
      <c r="A314" s="278"/>
      <c r="B314" s="279" t="str">
        <f t="shared" si="179"/>
        <v>2 drawer751mm to 900mmstandard laminatedaverage</v>
      </c>
      <c r="C314" s="278" t="s">
        <v>1029</v>
      </c>
      <c r="D314" s="278" t="s">
        <v>548</v>
      </c>
      <c r="E314" s="278" t="s">
        <v>989</v>
      </c>
      <c r="F314" s="278" t="s">
        <v>543</v>
      </c>
      <c r="G314" s="278" t="s">
        <v>5</v>
      </c>
      <c r="H314" s="290">
        <v>1.65</v>
      </c>
      <c r="I314" s="280">
        <f t="shared" si="182"/>
        <v>133.023</v>
      </c>
      <c r="J314" s="281">
        <f t="shared" si="181"/>
        <v>150.8595</v>
      </c>
      <c r="K314" s="282">
        <f>IF(Notes!$B$9="Domestic",I314, IF(Notes!$B$9="Commercial",J314))*$K$304</f>
        <v>150.8595</v>
      </c>
      <c r="L314" s="283">
        <f>(SUM(O314:Q314)+(K314+SUM(M314:Q314))*(INDEX($U$304:$AB$304,MATCH(Notes!$C$16,$U$3:$AB$3,0))-100%))*$L$304</f>
        <v>430.09</v>
      </c>
      <c r="M314" s="286"/>
      <c r="N314" s="286"/>
      <c r="O314" s="285">
        <v>430.09</v>
      </c>
      <c r="P314" s="285"/>
      <c r="Q314" s="285"/>
      <c r="R314" s="278"/>
      <c r="S314" s="278"/>
      <c r="T314" s="278"/>
    </row>
    <row r="315" spans="1:20" s="305" customFormat="1" hidden="1" outlineLevel="1" x14ac:dyDescent="0.25">
      <c r="A315" s="278"/>
      <c r="B315" s="279" t="str">
        <f t="shared" si="179"/>
        <v>2 drawer751mm to 900mmstandard laminatedquality</v>
      </c>
      <c r="C315" s="278" t="s">
        <v>1029</v>
      </c>
      <c r="D315" s="278" t="s">
        <v>548</v>
      </c>
      <c r="E315" s="278" t="s">
        <v>989</v>
      </c>
      <c r="F315" s="278" t="s">
        <v>544</v>
      </c>
      <c r="G315" s="278" t="s">
        <v>5</v>
      </c>
      <c r="H315" s="290">
        <v>1.65</v>
      </c>
      <c r="I315" s="280">
        <f t="shared" si="182"/>
        <v>133.023</v>
      </c>
      <c r="J315" s="281">
        <f t="shared" si="181"/>
        <v>150.8595</v>
      </c>
      <c r="K315" s="282">
        <f>IF(Notes!$B$9="Domestic",I315, IF(Notes!$B$9="Commercial",J315))*$K$304</f>
        <v>150.8595</v>
      </c>
      <c r="L315" s="283">
        <f>(SUM(O315:Q315)+(K315+SUM(M315:Q315))*(INDEX($U$304:$AB$304,MATCH(Notes!$C$16,$U$3:$AB$3,0))-100%))*$L$304</f>
        <v>473.09899999999999</v>
      </c>
      <c r="M315" s="286"/>
      <c r="N315" s="286"/>
      <c r="O315" s="311">
        <f>O314*1.1</f>
        <v>473.09899999999999</v>
      </c>
      <c r="P315" s="285"/>
      <c r="Q315" s="285"/>
      <c r="R315" s="278"/>
      <c r="S315" s="278"/>
      <c r="T315" s="278"/>
    </row>
    <row r="316" spans="1:20" s="305" customFormat="1" hidden="1" outlineLevel="1" x14ac:dyDescent="0.25">
      <c r="A316" s="278"/>
      <c r="B316" s="279" t="str">
        <f t="shared" si="179"/>
        <v>2 drawer751mm to 900mmstandard laminatedprestige</v>
      </c>
      <c r="C316" s="278" t="s">
        <v>1029</v>
      </c>
      <c r="D316" s="278" t="s">
        <v>548</v>
      </c>
      <c r="E316" s="278" t="s">
        <v>989</v>
      </c>
      <c r="F316" s="278" t="s">
        <v>545</v>
      </c>
      <c r="G316" s="278" t="s">
        <v>5</v>
      </c>
      <c r="H316" s="290">
        <v>1.65</v>
      </c>
      <c r="I316" s="280">
        <f t="shared" si="182"/>
        <v>133.023</v>
      </c>
      <c r="J316" s="281">
        <f t="shared" si="181"/>
        <v>150.8595</v>
      </c>
      <c r="K316" s="282">
        <f>IF(Notes!$B$9="Domestic",I316, IF(Notes!$B$9="Commercial",J316))*$K$304</f>
        <v>150.8595</v>
      </c>
      <c r="L316" s="283">
        <f>(SUM(O316:Q316)+(K316+SUM(M316:Q316))*(INDEX($U$304:$AB$304,MATCH(Notes!$C$16,$U$3:$AB$3,0))-100%))*$L$304</f>
        <v>520.40890000000002</v>
      </c>
      <c r="M316" s="286"/>
      <c r="N316" s="286"/>
      <c r="O316" s="311">
        <f>O315*1.1</f>
        <v>520.40890000000002</v>
      </c>
      <c r="P316" s="285"/>
      <c r="Q316" s="285"/>
      <c r="R316" s="278"/>
      <c r="S316" s="278"/>
      <c r="T316" s="278"/>
    </row>
    <row r="317" spans="1:20" s="305" customFormat="1" hidden="1" outlineLevel="1" x14ac:dyDescent="0.25">
      <c r="A317" s="278"/>
      <c r="B317" s="279" t="str">
        <f t="shared" si="179"/>
        <v>2 drawerup to 450mmdesigner laminatedaverage</v>
      </c>
      <c r="C317" s="278" t="s">
        <v>1029</v>
      </c>
      <c r="D317" s="278" t="s">
        <v>1032</v>
      </c>
      <c r="E317" s="278" t="s">
        <v>990</v>
      </c>
      <c r="F317" s="278" t="s">
        <v>543</v>
      </c>
      <c r="G317" s="278" t="s">
        <v>5</v>
      </c>
      <c r="H317" s="290">
        <v>1.55</v>
      </c>
      <c r="I317" s="280">
        <f>$I$2*H317</f>
        <v>124.96100000000001</v>
      </c>
      <c r="J317" s="281">
        <f t="shared" si="181"/>
        <v>141.71650000000002</v>
      </c>
      <c r="K317" s="282">
        <f>IF(Notes!$B$9="Domestic",I317, IF(Notes!$B$9="Commercial",J317))*$K$304</f>
        <v>141.71650000000002</v>
      </c>
      <c r="L317" s="283">
        <f>(SUM(O317:Q317)+(K317+SUM(M317:Q317))*(INDEX($U$304:$AB$304,MATCH(Notes!$C$16,$U$3:$AB$3,0))-100%))*$L$304</f>
        <v>342.82</v>
      </c>
      <c r="M317" s="286"/>
      <c r="N317" s="286"/>
      <c r="O317" s="285">
        <v>342.82</v>
      </c>
      <c r="P317" s="285"/>
      <c r="Q317" s="285"/>
      <c r="R317" s="278"/>
      <c r="S317" s="278"/>
      <c r="T317" s="278"/>
    </row>
    <row r="318" spans="1:20" s="305" customFormat="1" hidden="1" outlineLevel="1" x14ac:dyDescent="0.25">
      <c r="A318" s="278"/>
      <c r="B318" s="279" t="str">
        <f t="shared" si="179"/>
        <v>2 drawerup to 450mmdesigner laminatedquality</v>
      </c>
      <c r="C318" s="278" t="s">
        <v>1029</v>
      </c>
      <c r="D318" s="278" t="s">
        <v>1032</v>
      </c>
      <c r="E318" s="278" t="s">
        <v>990</v>
      </c>
      <c r="F318" s="278" t="s">
        <v>544</v>
      </c>
      <c r="G318" s="278" t="s">
        <v>5</v>
      </c>
      <c r="H318" s="290">
        <v>1.55</v>
      </c>
      <c r="I318" s="280">
        <f t="shared" ref="I318:I448" si="183">$I$2*H318</f>
        <v>124.96100000000001</v>
      </c>
      <c r="J318" s="281">
        <f t="shared" si="181"/>
        <v>141.71650000000002</v>
      </c>
      <c r="K318" s="282">
        <f>IF(Notes!$B$9="Domestic",I318, IF(Notes!$B$9="Commercial",J318))*$K$304</f>
        <v>141.71650000000002</v>
      </c>
      <c r="L318" s="283">
        <f>(SUM(O318:Q318)+(K318+SUM(M318:Q318))*(INDEX($U$304:$AB$304,MATCH(Notes!$C$16,$U$3:$AB$3,0))-100%))*$L$304</f>
        <v>377.10200000000003</v>
      </c>
      <c r="M318" s="286"/>
      <c r="N318" s="286"/>
      <c r="O318" s="311">
        <f>O317*1.1</f>
        <v>377.10200000000003</v>
      </c>
      <c r="P318" s="285"/>
      <c r="Q318" s="285"/>
      <c r="R318" s="278"/>
      <c r="S318" s="278"/>
      <c r="T318" s="278"/>
    </row>
    <row r="319" spans="1:20" s="305" customFormat="1" hidden="1" outlineLevel="1" x14ac:dyDescent="0.25">
      <c r="A319" s="278"/>
      <c r="B319" s="279" t="str">
        <f t="shared" si="179"/>
        <v>2 drawerup to 450mmdesigner laminatedprestige</v>
      </c>
      <c r="C319" s="278" t="s">
        <v>1029</v>
      </c>
      <c r="D319" s="278" t="s">
        <v>1032</v>
      </c>
      <c r="E319" s="278" t="s">
        <v>990</v>
      </c>
      <c r="F319" s="278" t="s">
        <v>545</v>
      </c>
      <c r="G319" s="278" t="s">
        <v>5</v>
      </c>
      <c r="H319" s="290">
        <v>1.55</v>
      </c>
      <c r="I319" s="280">
        <f t="shared" si="183"/>
        <v>124.96100000000001</v>
      </c>
      <c r="J319" s="281">
        <f t="shared" si="181"/>
        <v>141.71650000000002</v>
      </c>
      <c r="K319" s="282">
        <f>IF(Notes!$B$9="Domestic",I319, IF(Notes!$B$9="Commercial",J319))*$K$304</f>
        <v>141.71650000000002</v>
      </c>
      <c r="L319" s="283">
        <f>(SUM(O319:Q319)+(K319+SUM(M319:Q319))*(INDEX($U$304:$AB$304,MATCH(Notes!$C$16,$U$3:$AB$3,0))-100%))*$L$304</f>
        <v>414.81220000000008</v>
      </c>
      <c r="M319" s="286"/>
      <c r="N319" s="286"/>
      <c r="O319" s="311">
        <f>O318*1.1</f>
        <v>414.81220000000008</v>
      </c>
      <c r="P319" s="285"/>
      <c r="Q319" s="285"/>
      <c r="R319" s="278"/>
      <c r="S319" s="278"/>
      <c r="T319" s="278"/>
    </row>
    <row r="320" spans="1:20" s="305" customFormat="1" hidden="1" outlineLevel="1" x14ac:dyDescent="0.25">
      <c r="A320" s="278"/>
      <c r="B320" s="279" t="str">
        <f t="shared" si="179"/>
        <v>2 drawer451mm to 600mmdesigner laminatedaverage</v>
      </c>
      <c r="C320" s="278" t="s">
        <v>1029</v>
      </c>
      <c r="D320" s="278" t="s">
        <v>556</v>
      </c>
      <c r="E320" s="278" t="s">
        <v>990</v>
      </c>
      <c r="F320" s="278" t="s">
        <v>543</v>
      </c>
      <c r="G320" s="278" t="s">
        <v>5</v>
      </c>
      <c r="H320" s="290">
        <v>1.65</v>
      </c>
      <c r="I320" s="280">
        <f t="shared" si="183"/>
        <v>133.023</v>
      </c>
      <c r="J320" s="281">
        <f t="shared" si="181"/>
        <v>150.8595</v>
      </c>
      <c r="K320" s="282">
        <f>IF(Notes!$B$9="Domestic",I320, IF(Notes!$B$9="Commercial",J320))*$K$304</f>
        <v>150.8595</v>
      </c>
      <c r="L320" s="283">
        <f>(SUM(O320:Q320)+(K320+SUM(M320:Q320))*(INDEX($U$304:$AB$304,MATCH(Notes!$C$16,$U$3:$AB$3,0))-100%))*$L$304</f>
        <v>403.73</v>
      </c>
      <c r="M320" s="286"/>
      <c r="N320" s="286"/>
      <c r="O320" s="285">
        <v>403.73</v>
      </c>
      <c r="P320" s="285"/>
      <c r="Q320" s="285"/>
      <c r="R320" s="278"/>
      <c r="S320" s="278"/>
      <c r="T320" s="278"/>
    </row>
    <row r="321" spans="1:20" s="305" customFormat="1" hidden="1" outlineLevel="1" x14ac:dyDescent="0.25">
      <c r="A321" s="278"/>
      <c r="B321" s="279" t="str">
        <f t="shared" si="179"/>
        <v>2 drawer451mm to 600mmdesigner laminatedquality</v>
      </c>
      <c r="C321" s="278" t="s">
        <v>1029</v>
      </c>
      <c r="D321" s="278" t="s">
        <v>556</v>
      </c>
      <c r="E321" s="278" t="s">
        <v>990</v>
      </c>
      <c r="F321" s="278" t="s">
        <v>544</v>
      </c>
      <c r="G321" s="278" t="s">
        <v>5</v>
      </c>
      <c r="H321" s="290">
        <v>1.65</v>
      </c>
      <c r="I321" s="280">
        <f t="shared" si="183"/>
        <v>133.023</v>
      </c>
      <c r="J321" s="281">
        <f t="shared" si="181"/>
        <v>150.8595</v>
      </c>
      <c r="K321" s="282">
        <f>IF(Notes!$B$9="Domestic",I321, IF(Notes!$B$9="Commercial",J321))*$K$304</f>
        <v>150.8595</v>
      </c>
      <c r="L321" s="283">
        <f>(SUM(O321:Q321)+(K321+SUM(M321:Q321))*(INDEX($U$304:$AB$304,MATCH(Notes!$C$16,$U$3:$AB$3,0))-100%))*$L$304</f>
        <v>444.10300000000007</v>
      </c>
      <c r="M321" s="286"/>
      <c r="N321" s="286"/>
      <c r="O321" s="311">
        <f>O320*1.1</f>
        <v>444.10300000000007</v>
      </c>
      <c r="P321" s="285"/>
      <c r="Q321" s="285"/>
      <c r="R321" s="278"/>
      <c r="S321" s="278"/>
      <c r="T321" s="278"/>
    </row>
    <row r="322" spans="1:20" s="305" customFormat="1" hidden="1" outlineLevel="1" x14ac:dyDescent="0.25">
      <c r="A322" s="278"/>
      <c r="B322" s="279" t="str">
        <f t="shared" si="179"/>
        <v>2 drawer451mm to 600mmdesigner laminatedprestige</v>
      </c>
      <c r="C322" s="278" t="s">
        <v>1029</v>
      </c>
      <c r="D322" s="278" t="s">
        <v>556</v>
      </c>
      <c r="E322" s="278" t="s">
        <v>990</v>
      </c>
      <c r="F322" s="278" t="s">
        <v>545</v>
      </c>
      <c r="G322" s="278" t="s">
        <v>5</v>
      </c>
      <c r="H322" s="290">
        <v>1.65</v>
      </c>
      <c r="I322" s="280">
        <f t="shared" si="183"/>
        <v>133.023</v>
      </c>
      <c r="J322" s="281">
        <f t="shared" si="181"/>
        <v>150.8595</v>
      </c>
      <c r="K322" s="282">
        <f>IF(Notes!$B$9="Domestic",I322, IF(Notes!$B$9="Commercial",J322))*$K$304</f>
        <v>150.8595</v>
      </c>
      <c r="L322" s="283">
        <f>(SUM(O322:Q322)+(K322+SUM(M322:Q322))*(INDEX($U$304:$AB$304,MATCH(Notes!$C$16,$U$3:$AB$3,0))-100%))*$L$304</f>
        <v>488.51330000000013</v>
      </c>
      <c r="M322" s="286"/>
      <c r="N322" s="286"/>
      <c r="O322" s="311">
        <f>O321*1.1</f>
        <v>488.51330000000013</v>
      </c>
      <c r="P322" s="285"/>
      <c r="Q322" s="285"/>
      <c r="R322" s="278"/>
      <c r="S322" s="278"/>
      <c r="T322" s="278"/>
    </row>
    <row r="323" spans="1:20" s="305" customFormat="1" hidden="1" outlineLevel="1" x14ac:dyDescent="0.25">
      <c r="A323" s="278"/>
      <c r="B323" s="279" t="str">
        <f t="shared" si="179"/>
        <v>2 drawer601mm to 750mmdesigner laminatedaverage</v>
      </c>
      <c r="C323" s="278" t="s">
        <v>1029</v>
      </c>
      <c r="D323" s="278" t="s">
        <v>547</v>
      </c>
      <c r="E323" s="278" t="s">
        <v>990</v>
      </c>
      <c r="F323" s="278" t="s">
        <v>543</v>
      </c>
      <c r="G323" s="278" t="s">
        <v>5</v>
      </c>
      <c r="H323" s="290">
        <v>1.65</v>
      </c>
      <c r="I323" s="280">
        <f t="shared" si="183"/>
        <v>133.023</v>
      </c>
      <c r="J323" s="281">
        <f t="shared" si="181"/>
        <v>150.8595</v>
      </c>
      <c r="K323" s="282">
        <f>IF(Notes!$B$9="Domestic",I323, IF(Notes!$B$9="Commercial",J323))*$K$304</f>
        <v>150.8595</v>
      </c>
      <c r="L323" s="283">
        <f>(SUM(O323:Q323)+(K323+SUM(M323:Q323))*(INDEX($U$304:$AB$304,MATCH(Notes!$C$16,$U$3:$AB$3,0))-100%))*$L$304</f>
        <v>464.64</v>
      </c>
      <c r="M323" s="286"/>
      <c r="N323" s="286"/>
      <c r="O323" s="285">
        <v>464.64</v>
      </c>
      <c r="P323" s="285"/>
      <c r="Q323" s="285"/>
      <c r="R323" s="278"/>
      <c r="S323" s="278"/>
      <c r="T323" s="278"/>
    </row>
    <row r="324" spans="1:20" s="305" customFormat="1" hidden="1" outlineLevel="1" x14ac:dyDescent="0.25">
      <c r="A324" s="278"/>
      <c r="B324" s="279" t="str">
        <f t="shared" si="179"/>
        <v>2 drawer601mm to 750mmdesigner laminatedquality</v>
      </c>
      <c r="C324" s="278" t="s">
        <v>1029</v>
      </c>
      <c r="D324" s="278" t="s">
        <v>547</v>
      </c>
      <c r="E324" s="278" t="s">
        <v>990</v>
      </c>
      <c r="F324" s="278" t="s">
        <v>544</v>
      </c>
      <c r="G324" s="278" t="s">
        <v>5</v>
      </c>
      <c r="H324" s="290">
        <v>1.65</v>
      </c>
      <c r="I324" s="280">
        <f t="shared" si="183"/>
        <v>133.023</v>
      </c>
      <c r="J324" s="281">
        <f t="shared" si="181"/>
        <v>150.8595</v>
      </c>
      <c r="K324" s="282">
        <f>IF(Notes!$B$9="Domestic",I324, IF(Notes!$B$9="Commercial",J324))*$K$304</f>
        <v>150.8595</v>
      </c>
      <c r="L324" s="283">
        <f>(SUM(O324:Q324)+(K324+SUM(M324:Q324))*(INDEX($U$304:$AB$304,MATCH(Notes!$C$16,$U$3:$AB$3,0))-100%))*$L$304</f>
        <v>511.10400000000004</v>
      </c>
      <c r="M324" s="286"/>
      <c r="N324" s="286"/>
      <c r="O324" s="311">
        <f>O323*1.1</f>
        <v>511.10400000000004</v>
      </c>
      <c r="P324" s="285"/>
      <c r="Q324" s="285"/>
      <c r="R324" s="278"/>
      <c r="S324" s="278"/>
      <c r="T324" s="278"/>
    </row>
    <row r="325" spans="1:20" s="305" customFormat="1" hidden="1" outlineLevel="1" x14ac:dyDescent="0.25">
      <c r="A325" s="278"/>
      <c r="B325" s="279" t="str">
        <f t="shared" si="179"/>
        <v>2 drawer601mm to 750mmdesigner laminatedprestige</v>
      </c>
      <c r="C325" s="278" t="s">
        <v>1029</v>
      </c>
      <c r="D325" s="278" t="s">
        <v>547</v>
      </c>
      <c r="E325" s="278" t="s">
        <v>990</v>
      </c>
      <c r="F325" s="278" t="s">
        <v>545</v>
      </c>
      <c r="G325" s="278" t="s">
        <v>5</v>
      </c>
      <c r="H325" s="290">
        <v>1.65</v>
      </c>
      <c r="I325" s="280">
        <f t="shared" si="183"/>
        <v>133.023</v>
      </c>
      <c r="J325" s="281">
        <f t="shared" si="181"/>
        <v>150.8595</v>
      </c>
      <c r="K325" s="282">
        <f>IF(Notes!$B$9="Domestic",I325, IF(Notes!$B$9="Commercial",J325))*$K$304</f>
        <v>150.8595</v>
      </c>
      <c r="L325" s="283">
        <f>(SUM(O325:Q325)+(K325+SUM(M325:Q325))*(INDEX($U$304:$AB$304,MATCH(Notes!$C$16,$U$3:$AB$3,0))-100%))*$L$304</f>
        <v>562.21440000000007</v>
      </c>
      <c r="M325" s="286"/>
      <c r="N325" s="286"/>
      <c r="O325" s="311">
        <f>O324*1.1</f>
        <v>562.21440000000007</v>
      </c>
      <c r="P325" s="285"/>
      <c r="Q325" s="285"/>
      <c r="R325" s="278"/>
      <c r="S325" s="278"/>
      <c r="T325" s="278"/>
    </row>
    <row r="326" spans="1:20" s="305" customFormat="1" hidden="1" outlineLevel="1" x14ac:dyDescent="0.25">
      <c r="A326" s="278"/>
      <c r="B326" s="279" t="str">
        <f t="shared" si="179"/>
        <v>2 drawer751mm to 900mmdesigner laminatedaverage</v>
      </c>
      <c r="C326" s="278" t="s">
        <v>1029</v>
      </c>
      <c r="D326" s="278" t="s">
        <v>548</v>
      </c>
      <c r="E326" s="278" t="s">
        <v>990</v>
      </c>
      <c r="F326" s="278" t="s">
        <v>543</v>
      </c>
      <c r="G326" s="278" t="s">
        <v>5</v>
      </c>
      <c r="H326" s="290">
        <v>1.65</v>
      </c>
      <c r="I326" s="280">
        <f t="shared" si="183"/>
        <v>133.023</v>
      </c>
      <c r="J326" s="281">
        <f t="shared" si="181"/>
        <v>150.8595</v>
      </c>
      <c r="K326" s="282">
        <f>IF(Notes!$B$9="Domestic",I326, IF(Notes!$B$9="Commercial",J326))*$K$304</f>
        <v>150.8595</v>
      </c>
      <c r="L326" s="283">
        <f>(SUM(O326:Q326)+(K326+SUM(M326:Q326))*(INDEX($U$304:$AB$304,MATCH(Notes!$C$16,$U$3:$AB$3,0))-100%))*$L$304</f>
        <v>525.54999999999995</v>
      </c>
      <c r="M326" s="286"/>
      <c r="N326" s="286"/>
      <c r="O326" s="285">
        <v>525.54999999999995</v>
      </c>
      <c r="P326" s="285"/>
      <c r="Q326" s="285"/>
      <c r="R326" s="278"/>
      <c r="S326" s="278"/>
      <c r="T326" s="278"/>
    </row>
    <row r="327" spans="1:20" s="305" customFormat="1" hidden="1" outlineLevel="1" x14ac:dyDescent="0.25">
      <c r="A327" s="278"/>
      <c r="B327" s="279" t="str">
        <f t="shared" si="179"/>
        <v>2 drawer751mm to 900mmdesigner laminatedquality</v>
      </c>
      <c r="C327" s="278" t="s">
        <v>1029</v>
      </c>
      <c r="D327" s="278" t="s">
        <v>548</v>
      </c>
      <c r="E327" s="278" t="s">
        <v>990</v>
      </c>
      <c r="F327" s="278" t="s">
        <v>544</v>
      </c>
      <c r="G327" s="278" t="s">
        <v>5</v>
      </c>
      <c r="H327" s="290">
        <v>1.65</v>
      </c>
      <c r="I327" s="280">
        <f t="shared" si="183"/>
        <v>133.023</v>
      </c>
      <c r="J327" s="281">
        <f t="shared" si="181"/>
        <v>150.8595</v>
      </c>
      <c r="K327" s="282">
        <f>IF(Notes!$B$9="Domestic",I327, IF(Notes!$B$9="Commercial",J327))*$K$304</f>
        <v>150.8595</v>
      </c>
      <c r="L327" s="283">
        <f>(SUM(O327:Q327)+(K327+SUM(M327:Q327))*(INDEX($U$304:$AB$304,MATCH(Notes!$C$16,$U$3:$AB$3,0))-100%))*$L$304</f>
        <v>578.10500000000002</v>
      </c>
      <c r="M327" s="286"/>
      <c r="N327" s="286"/>
      <c r="O327" s="311">
        <f>O326*1.1</f>
        <v>578.10500000000002</v>
      </c>
      <c r="P327" s="285"/>
      <c r="Q327" s="285"/>
      <c r="R327" s="278"/>
      <c r="S327" s="278"/>
      <c r="T327" s="278"/>
    </row>
    <row r="328" spans="1:20" s="305" customFormat="1" hidden="1" outlineLevel="1" x14ac:dyDescent="0.25">
      <c r="A328" s="278"/>
      <c r="B328" s="279" t="str">
        <f t="shared" si="179"/>
        <v>2 drawer751mm to 900mmdesigner laminatedprestige</v>
      </c>
      <c r="C328" s="278" t="s">
        <v>1029</v>
      </c>
      <c r="D328" s="278" t="s">
        <v>548</v>
      </c>
      <c r="E328" s="278" t="s">
        <v>990</v>
      </c>
      <c r="F328" s="278" t="s">
        <v>545</v>
      </c>
      <c r="G328" s="278" t="s">
        <v>5</v>
      </c>
      <c r="H328" s="290">
        <v>1.65</v>
      </c>
      <c r="I328" s="280">
        <f t="shared" si="183"/>
        <v>133.023</v>
      </c>
      <c r="J328" s="281">
        <f t="shared" si="181"/>
        <v>150.8595</v>
      </c>
      <c r="K328" s="282">
        <f>IF(Notes!$B$9="Domestic",I328, IF(Notes!$B$9="Commercial",J328))*$K$304</f>
        <v>150.8595</v>
      </c>
      <c r="L328" s="283">
        <f>(SUM(O328:Q328)+(K328+SUM(M328:Q328))*(INDEX($U$304:$AB$304,MATCH(Notes!$C$16,$U$3:$AB$3,0))-100%))*$L$304</f>
        <v>635.91550000000007</v>
      </c>
      <c r="M328" s="286"/>
      <c r="N328" s="286"/>
      <c r="O328" s="311">
        <f>O327*1.1</f>
        <v>635.91550000000007</v>
      </c>
      <c r="P328" s="285"/>
      <c r="Q328" s="285"/>
      <c r="R328" s="278"/>
      <c r="S328" s="278"/>
      <c r="T328" s="278"/>
    </row>
    <row r="329" spans="1:20" s="305" customFormat="1" hidden="1" outlineLevel="1" x14ac:dyDescent="0.25">
      <c r="A329" s="278"/>
      <c r="B329" s="279" t="str">
        <f t="shared" ref="B329:B376" si="184">C329&amp;D329&amp;E329&amp;F329</f>
        <v>2 drawerup to 450mmstandard 2 packaverage</v>
      </c>
      <c r="C329" s="278" t="s">
        <v>1029</v>
      </c>
      <c r="D329" s="278" t="s">
        <v>1032</v>
      </c>
      <c r="E329" s="278" t="s">
        <v>991</v>
      </c>
      <c r="F329" s="278" t="s">
        <v>543</v>
      </c>
      <c r="G329" s="278" t="s">
        <v>5</v>
      </c>
      <c r="H329" s="290">
        <v>1.55</v>
      </c>
      <c r="I329" s="280">
        <f t="shared" si="183"/>
        <v>124.96100000000001</v>
      </c>
      <c r="J329" s="281">
        <f t="shared" ref="J329:J376" si="185">$J$2*H329</f>
        <v>141.71650000000002</v>
      </c>
      <c r="K329" s="282">
        <f>IF(Notes!$B$9="Domestic",I329, IF(Notes!$B$9="Commercial",J329))*$K$304</f>
        <v>141.71650000000002</v>
      </c>
      <c r="L329" s="283">
        <f>(SUM(O329:Q329)+(K329+SUM(M329:Q329))*(INDEX($U$304:$AB$304,MATCH(Notes!$C$16,$U$3:$AB$3,0))-100%))*$L$304</f>
        <v>367.36</v>
      </c>
      <c r="M329" s="286"/>
      <c r="N329" s="286"/>
      <c r="O329" s="285">
        <v>367.36</v>
      </c>
      <c r="P329" s="285"/>
      <c r="Q329" s="285"/>
      <c r="R329" s="278"/>
      <c r="S329" s="278"/>
      <c r="T329" s="278"/>
    </row>
    <row r="330" spans="1:20" s="305" customFormat="1" hidden="1" outlineLevel="1" x14ac:dyDescent="0.25">
      <c r="A330" s="278"/>
      <c r="B330" s="279" t="str">
        <f t="shared" si="184"/>
        <v>2 drawerup to 450mmstandard 2 packquality</v>
      </c>
      <c r="C330" s="278" t="s">
        <v>1029</v>
      </c>
      <c r="D330" s="278" t="s">
        <v>1032</v>
      </c>
      <c r="E330" s="278" t="s">
        <v>991</v>
      </c>
      <c r="F330" s="278" t="s">
        <v>544</v>
      </c>
      <c r="G330" s="278" t="s">
        <v>5</v>
      </c>
      <c r="H330" s="290">
        <v>1.55</v>
      </c>
      <c r="I330" s="280">
        <f t="shared" si="183"/>
        <v>124.96100000000001</v>
      </c>
      <c r="J330" s="281">
        <f t="shared" si="185"/>
        <v>141.71650000000002</v>
      </c>
      <c r="K330" s="282">
        <f>IF(Notes!$B$9="Domestic",I330, IF(Notes!$B$9="Commercial",J330))*$K$304</f>
        <v>141.71650000000002</v>
      </c>
      <c r="L330" s="283">
        <f>(SUM(O330:Q330)+(K330+SUM(M330:Q330))*(INDEX($U$304:$AB$304,MATCH(Notes!$C$16,$U$3:$AB$3,0))-100%))*$L$304</f>
        <v>404.09600000000006</v>
      </c>
      <c r="M330" s="286"/>
      <c r="N330" s="286"/>
      <c r="O330" s="311">
        <f>O329*1.1</f>
        <v>404.09600000000006</v>
      </c>
      <c r="P330" s="285"/>
      <c r="Q330" s="285"/>
      <c r="R330" s="278"/>
      <c r="S330" s="278"/>
      <c r="T330" s="278"/>
    </row>
    <row r="331" spans="1:20" s="305" customFormat="1" hidden="1" outlineLevel="1" x14ac:dyDescent="0.25">
      <c r="A331" s="278"/>
      <c r="B331" s="279" t="str">
        <f t="shared" si="184"/>
        <v>2 drawerup to 450mmstandard 2 packprestige</v>
      </c>
      <c r="C331" s="278" t="s">
        <v>1029</v>
      </c>
      <c r="D331" s="278" t="s">
        <v>1032</v>
      </c>
      <c r="E331" s="278" t="s">
        <v>991</v>
      </c>
      <c r="F331" s="278" t="s">
        <v>545</v>
      </c>
      <c r="G331" s="278" t="s">
        <v>5</v>
      </c>
      <c r="H331" s="290">
        <v>1.55</v>
      </c>
      <c r="I331" s="280">
        <f t="shared" si="183"/>
        <v>124.96100000000001</v>
      </c>
      <c r="J331" s="281">
        <f t="shared" si="185"/>
        <v>141.71650000000002</v>
      </c>
      <c r="K331" s="282">
        <f>IF(Notes!$B$9="Domestic",I331, IF(Notes!$B$9="Commercial",J331))*$K$304</f>
        <v>141.71650000000002</v>
      </c>
      <c r="L331" s="283">
        <f>(SUM(O331:Q331)+(K331+SUM(M331:Q331))*(INDEX($U$304:$AB$304,MATCH(Notes!$C$16,$U$3:$AB$3,0))-100%))*$L$304</f>
        <v>444.50560000000013</v>
      </c>
      <c r="M331" s="286"/>
      <c r="N331" s="286"/>
      <c r="O331" s="311">
        <f>O330*1.1</f>
        <v>444.50560000000013</v>
      </c>
      <c r="P331" s="285"/>
      <c r="Q331" s="285"/>
      <c r="R331" s="278"/>
      <c r="S331" s="278"/>
      <c r="T331" s="278"/>
    </row>
    <row r="332" spans="1:20" s="305" customFormat="1" hidden="1" outlineLevel="1" x14ac:dyDescent="0.25">
      <c r="A332" s="278"/>
      <c r="B332" s="279" t="str">
        <f t="shared" si="184"/>
        <v>2 drawer451mm to 600mmstandard 2 packaverage</v>
      </c>
      <c r="C332" s="278" t="s">
        <v>1029</v>
      </c>
      <c r="D332" s="278" t="s">
        <v>556</v>
      </c>
      <c r="E332" s="278" t="s">
        <v>991</v>
      </c>
      <c r="F332" s="278" t="s">
        <v>543</v>
      </c>
      <c r="G332" s="278" t="s">
        <v>5</v>
      </c>
      <c r="H332" s="290">
        <v>1.65</v>
      </c>
      <c r="I332" s="280">
        <f>$I$2*H332</f>
        <v>133.023</v>
      </c>
      <c r="J332" s="281">
        <f t="shared" si="185"/>
        <v>150.8595</v>
      </c>
      <c r="K332" s="282">
        <f>IF(Notes!$B$9="Domestic",I332, IF(Notes!$B$9="Commercial",J332))*$K$304</f>
        <v>150.8595</v>
      </c>
      <c r="L332" s="283">
        <f>(SUM(O332:Q332)+(K332+SUM(M332:Q332))*(INDEX($U$304:$AB$304,MATCH(Notes!$C$16,$U$3:$AB$3,0))-100%))*$L$304</f>
        <v>428.27</v>
      </c>
      <c r="M332" s="286"/>
      <c r="N332" s="286"/>
      <c r="O332" s="285">
        <v>428.27</v>
      </c>
      <c r="P332" s="285"/>
      <c r="Q332" s="285"/>
      <c r="R332" s="278"/>
      <c r="S332" s="278"/>
      <c r="T332" s="278"/>
    </row>
    <row r="333" spans="1:20" s="305" customFormat="1" hidden="1" outlineLevel="1" x14ac:dyDescent="0.25">
      <c r="A333" s="278"/>
      <c r="B333" s="279" t="str">
        <f t="shared" si="184"/>
        <v>2 drawer451mm to 600mmstandard 2 packquality</v>
      </c>
      <c r="C333" s="278" t="s">
        <v>1029</v>
      </c>
      <c r="D333" s="278" t="s">
        <v>556</v>
      </c>
      <c r="E333" s="278" t="s">
        <v>991</v>
      </c>
      <c r="F333" s="278" t="s">
        <v>544</v>
      </c>
      <c r="G333" s="278" t="s">
        <v>5</v>
      </c>
      <c r="H333" s="290">
        <v>1.65</v>
      </c>
      <c r="I333" s="280">
        <f t="shared" ref="I333:I340" si="186">$I$2*H333</f>
        <v>133.023</v>
      </c>
      <c r="J333" s="281">
        <f t="shared" si="185"/>
        <v>150.8595</v>
      </c>
      <c r="K333" s="282">
        <f>IF(Notes!$B$9="Domestic",I333, IF(Notes!$B$9="Commercial",J333))*$K$304</f>
        <v>150.8595</v>
      </c>
      <c r="L333" s="283">
        <f>(SUM(O333:Q333)+(K333+SUM(M333:Q333))*(INDEX($U$304:$AB$304,MATCH(Notes!$C$16,$U$3:$AB$3,0))-100%))*$L$304</f>
        <v>471.09700000000004</v>
      </c>
      <c r="M333" s="286"/>
      <c r="N333" s="286"/>
      <c r="O333" s="311">
        <f>O332*1.1</f>
        <v>471.09700000000004</v>
      </c>
      <c r="P333" s="285"/>
      <c r="Q333" s="285"/>
      <c r="R333" s="278"/>
      <c r="S333" s="278"/>
      <c r="T333" s="278"/>
    </row>
    <row r="334" spans="1:20" s="305" customFormat="1" hidden="1" outlineLevel="1" x14ac:dyDescent="0.25">
      <c r="A334" s="278"/>
      <c r="B334" s="279" t="str">
        <f t="shared" si="184"/>
        <v>2 drawer451mm to 600mmstandard 2 packprestige</v>
      </c>
      <c r="C334" s="278" t="s">
        <v>1029</v>
      </c>
      <c r="D334" s="278" t="s">
        <v>556</v>
      </c>
      <c r="E334" s="278" t="s">
        <v>991</v>
      </c>
      <c r="F334" s="278" t="s">
        <v>545</v>
      </c>
      <c r="G334" s="278" t="s">
        <v>5</v>
      </c>
      <c r="H334" s="290">
        <v>1.65</v>
      </c>
      <c r="I334" s="280">
        <f t="shared" si="186"/>
        <v>133.023</v>
      </c>
      <c r="J334" s="281">
        <f t="shared" si="185"/>
        <v>150.8595</v>
      </c>
      <c r="K334" s="282">
        <f>IF(Notes!$B$9="Domestic",I334, IF(Notes!$B$9="Commercial",J334))*$K$304</f>
        <v>150.8595</v>
      </c>
      <c r="L334" s="283">
        <f>(SUM(O334:Q334)+(K334+SUM(M334:Q334))*(INDEX($U$304:$AB$304,MATCH(Notes!$C$16,$U$3:$AB$3,0))-100%))*$L$304</f>
        <v>518.20670000000007</v>
      </c>
      <c r="M334" s="286"/>
      <c r="N334" s="286"/>
      <c r="O334" s="311">
        <f>O333*1.1</f>
        <v>518.20670000000007</v>
      </c>
      <c r="P334" s="285"/>
      <c r="Q334" s="285"/>
      <c r="R334" s="278"/>
      <c r="S334" s="278"/>
      <c r="T334" s="278"/>
    </row>
    <row r="335" spans="1:20" s="305" customFormat="1" hidden="1" outlineLevel="1" x14ac:dyDescent="0.25">
      <c r="A335" s="278"/>
      <c r="B335" s="279" t="str">
        <f t="shared" si="184"/>
        <v>2 drawer601mm to 750mmstandard 2 packaverage</v>
      </c>
      <c r="C335" s="278" t="s">
        <v>1029</v>
      </c>
      <c r="D335" s="278" t="s">
        <v>547</v>
      </c>
      <c r="E335" s="278" t="s">
        <v>991</v>
      </c>
      <c r="F335" s="278" t="s">
        <v>543</v>
      </c>
      <c r="G335" s="278" t="s">
        <v>5</v>
      </c>
      <c r="H335" s="290">
        <v>1.65</v>
      </c>
      <c r="I335" s="280">
        <f t="shared" si="186"/>
        <v>133.023</v>
      </c>
      <c r="J335" s="281">
        <f t="shared" si="185"/>
        <v>150.8595</v>
      </c>
      <c r="K335" s="282">
        <f>IF(Notes!$B$9="Domestic",I335, IF(Notes!$B$9="Commercial",J335))*$K$304</f>
        <v>150.8595</v>
      </c>
      <c r="L335" s="283">
        <f>(SUM(O335:Q335)+(K335+SUM(M335:Q335))*(INDEX($U$304:$AB$304,MATCH(Notes!$C$16,$U$3:$AB$3,0))-100%))*$L$304</f>
        <v>489.18</v>
      </c>
      <c r="M335" s="286"/>
      <c r="N335" s="286"/>
      <c r="O335" s="285">
        <v>489.18</v>
      </c>
      <c r="P335" s="285"/>
      <c r="Q335" s="285"/>
      <c r="R335" s="278"/>
      <c r="S335" s="278"/>
      <c r="T335" s="278"/>
    </row>
    <row r="336" spans="1:20" s="305" customFormat="1" hidden="1" outlineLevel="1" x14ac:dyDescent="0.25">
      <c r="A336" s="278"/>
      <c r="B336" s="279" t="str">
        <f t="shared" si="184"/>
        <v>2 drawer601mm to 750mmstandard 2 packquality</v>
      </c>
      <c r="C336" s="278" t="s">
        <v>1029</v>
      </c>
      <c r="D336" s="278" t="s">
        <v>547</v>
      </c>
      <c r="E336" s="278" t="s">
        <v>991</v>
      </c>
      <c r="F336" s="278" t="s">
        <v>544</v>
      </c>
      <c r="G336" s="278" t="s">
        <v>5</v>
      </c>
      <c r="H336" s="290">
        <v>1.65</v>
      </c>
      <c r="I336" s="280">
        <f t="shared" si="186"/>
        <v>133.023</v>
      </c>
      <c r="J336" s="281">
        <f t="shared" si="185"/>
        <v>150.8595</v>
      </c>
      <c r="K336" s="282">
        <f>IF(Notes!$B$9="Domestic",I336, IF(Notes!$B$9="Commercial",J336))*$K$304</f>
        <v>150.8595</v>
      </c>
      <c r="L336" s="283">
        <f>(SUM(O336:Q336)+(K336+SUM(M336:Q336))*(INDEX($U$304:$AB$304,MATCH(Notes!$C$16,$U$3:$AB$3,0))-100%))*$L$304</f>
        <v>538.09800000000007</v>
      </c>
      <c r="M336" s="286"/>
      <c r="N336" s="286"/>
      <c r="O336" s="311">
        <f>O335*1.1</f>
        <v>538.09800000000007</v>
      </c>
      <c r="P336" s="285"/>
      <c r="Q336" s="285"/>
      <c r="R336" s="278"/>
      <c r="S336" s="278"/>
      <c r="T336" s="278"/>
    </row>
    <row r="337" spans="1:20" s="305" customFormat="1" hidden="1" outlineLevel="1" x14ac:dyDescent="0.25">
      <c r="A337" s="278"/>
      <c r="B337" s="279" t="str">
        <f t="shared" si="184"/>
        <v>2 drawer601mm to 750mmstandard 2 packprestige</v>
      </c>
      <c r="C337" s="278" t="s">
        <v>1029</v>
      </c>
      <c r="D337" s="278" t="s">
        <v>547</v>
      </c>
      <c r="E337" s="278" t="s">
        <v>991</v>
      </c>
      <c r="F337" s="278" t="s">
        <v>545</v>
      </c>
      <c r="G337" s="278" t="s">
        <v>5</v>
      </c>
      <c r="H337" s="290">
        <v>1.65</v>
      </c>
      <c r="I337" s="280">
        <f t="shared" si="186"/>
        <v>133.023</v>
      </c>
      <c r="J337" s="281">
        <f t="shared" si="185"/>
        <v>150.8595</v>
      </c>
      <c r="K337" s="282">
        <f>IF(Notes!$B$9="Domestic",I337, IF(Notes!$B$9="Commercial",J337))*$K$304</f>
        <v>150.8595</v>
      </c>
      <c r="L337" s="283">
        <f>(SUM(O337:Q337)+(K337+SUM(M337:Q337))*(INDEX($U$304:$AB$304,MATCH(Notes!$C$16,$U$3:$AB$3,0))-100%))*$L$304</f>
        <v>591.90780000000018</v>
      </c>
      <c r="M337" s="286"/>
      <c r="N337" s="286"/>
      <c r="O337" s="311">
        <f>O336*1.1</f>
        <v>591.90780000000018</v>
      </c>
      <c r="P337" s="285"/>
      <c r="Q337" s="285"/>
      <c r="R337" s="278"/>
      <c r="S337" s="278"/>
      <c r="T337" s="278"/>
    </row>
    <row r="338" spans="1:20" s="305" customFormat="1" hidden="1" outlineLevel="1" x14ac:dyDescent="0.25">
      <c r="A338" s="278"/>
      <c r="B338" s="279" t="str">
        <f t="shared" si="184"/>
        <v>2 drawer751mm to 900mmstandard 2 packaverage</v>
      </c>
      <c r="C338" s="278" t="s">
        <v>1029</v>
      </c>
      <c r="D338" s="278" t="s">
        <v>548</v>
      </c>
      <c r="E338" s="278" t="s">
        <v>991</v>
      </c>
      <c r="F338" s="278" t="s">
        <v>543</v>
      </c>
      <c r="G338" s="278" t="s">
        <v>5</v>
      </c>
      <c r="H338" s="290">
        <v>1.65</v>
      </c>
      <c r="I338" s="280">
        <f t="shared" si="186"/>
        <v>133.023</v>
      </c>
      <c r="J338" s="281">
        <f t="shared" si="185"/>
        <v>150.8595</v>
      </c>
      <c r="K338" s="282">
        <f>IF(Notes!$B$9="Domestic",I338, IF(Notes!$B$9="Commercial",J338))*$K$304</f>
        <v>150.8595</v>
      </c>
      <c r="L338" s="283">
        <f>(SUM(O338:Q338)+(K338+SUM(M338:Q338))*(INDEX($U$304:$AB$304,MATCH(Notes!$C$16,$U$3:$AB$3,0))-100%))*$L$304</f>
        <v>550.09</v>
      </c>
      <c r="M338" s="286"/>
      <c r="N338" s="286"/>
      <c r="O338" s="285">
        <v>550.09</v>
      </c>
      <c r="P338" s="285"/>
      <c r="Q338" s="285"/>
      <c r="R338" s="278"/>
      <c r="S338" s="278"/>
      <c r="T338" s="278"/>
    </row>
    <row r="339" spans="1:20" s="305" customFormat="1" hidden="1" outlineLevel="1" x14ac:dyDescent="0.25">
      <c r="A339" s="278"/>
      <c r="B339" s="279" t="str">
        <f t="shared" si="184"/>
        <v>2 drawer751mm to 900mmstandard 2 packquality</v>
      </c>
      <c r="C339" s="278" t="s">
        <v>1029</v>
      </c>
      <c r="D339" s="278" t="s">
        <v>548</v>
      </c>
      <c r="E339" s="278" t="s">
        <v>991</v>
      </c>
      <c r="F339" s="278" t="s">
        <v>544</v>
      </c>
      <c r="G339" s="278" t="s">
        <v>5</v>
      </c>
      <c r="H339" s="290">
        <v>1.65</v>
      </c>
      <c r="I339" s="280">
        <f t="shared" si="186"/>
        <v>133.023</v>
      </c>
      <c r="J339" s="281">
        <f t="shared" si="185"/>
        <v>150.8595</v>
      </c>
      <c r="K339" s="282">
        <f>IF(Notes!$B$9="Domestic",I339, IF(Notes!$B$9="Commercial",J339))*$K$304</f>
        <v>150.8595</v>
      </c>
      <c r="L339" s="283">
        <f>(SUM(O339:Q339)+(K339+SUM(M339:Q339))*(INDEX($U$304:$AB$304,MATCH(Notes!$C$16,$U$3:$AB$3,0))-100%))*$L$304</f>
        <v>605.09900000000005</v>
      </c>
      <c r="M339" s="286"/>
      <c r="N339" s="286"/>
      <c r="O339" s="311">
        <f>O338*1.1</f>
        <v>605.09900000000005</v>
      </c>
      <c r="P339" s="285"/>
      <c r="Q339" s="285"/>
      <c r="R339" s="278"/>
      <c r="S339" s="278"/>
      <c r="T339" s="278"/>
    </row>
    <row r="340" spans="1:20" s="305" customFormat="1" hidden="1" outlineLevel="1" x14ac:dyDescent="0.25">
      <c r="A340" s="278"/>
      <c r="B340" s="279" t="str">
        <f t="shared" si="184"/>
        <v>2 drawer751mm to 900mmstandard 2 packprestige</v>
      </c>
      <c r="C340" s="278" t="s">
        <v>1029</v>
      </c>
      <c r="D340" s="278" t="s">
        <v>548</v>
      </c>
      <c r="E340" s="278" t="s">
        <v>991</v>
      </c>
      <c r="F340" s="278" t="s">
        <v>545</v>
      </c>
      <c r="G340" s="278" t="s">
        <v>5</v>
      </c>
      <c r="H340" s="290">
        <v>1.65</v>
      </c>
      <c r="I340" s="280">
        <f t="shared" si="186"/>
        <v>133.023</v>
      </c>
      <c r="J340" s="281">
        <f t="shared" si="185"/>
        <v>150.8595</v>
      </c>
      <c r="K340" s="282">
        <f>IF(Notes!$B$9="Domestic",I340, IF(Notes!$B$9="Commercial",J340))*$K$304</f>
        <v>150.8595</v>
      </c>
      <c r="L340" s="283">
        <f>(SUM(O340:Q340)+(K340+SUM(M340:Q340))*(INDEX($U$304:$AB$304,MATCH(Notes!$C$16,$U$3:$AB$3,0))-100%))*$L$304</f>
        <v>665.60890000000006</v>
      </c>
      <c r="M340" s="286"/>
      <c r="N340" s="286"/>
      <c r="O340" s="311">
        <f>O339*1.1</f>
        <v>665.60890000000006</v>
      </c>
      <c r="P340" s="285"/>
      <c r="Q340" s="285"/>
      <c r="R340" s="278"/>
      <c r="S340" s="278"/>
      <c r="T340" s="278"/>
    </row>
    <row r="341" spans="1:20" s="305" customFormat="1" hidden="1" outlineLevel="1" x14ac:dyDescent="0.25">
      <c r="A341" s="278"/>
      <c r="B341" s="279" t="str">
        <f t="shared" si="184"/>
        <v>2 drawerup to 450mmdesigner 2 packaverage</v>
      </c>
      <c r="C341" s="278" t="s">
        <v>1029</v>
      </c>
      <c r="D341" s="278" t="s">
        <v>1032</v>
      </c>
      <c r="E341" s="278" t="s">
        <v>992</v>
      </c>
      <c r="F341" s="278" t="s">
        <v>543</v>
      </c>
      <c r="G341" s="278" t="s">
        <v>5</v>
      </c>
      <c r="H341" s="290">
        <v>1.55</v>
      </c>
      <c r="I341" s="280">
        <f>$I$2*H341</f>
        <v>124.96100000000001</v>
      </c>
      <c r="J341" s="281">
        <f t="shared" si="185"/>
        <v>141.71650000000002</v>
      </c>
      <c r="K341" s="282">
        <f>IF(Notes!$B$9="Domestic",I341, IF(Notes!$B$9="Commercial",J341))*$K$304</f>
        <v>141.71650000000002</v>
      </c>
      <c r="L341" s="283">
        <f>(SUM(O341:Q341)+(K341+SUM(M341:Q341))*(INDEX($U$304:$AB$304,MATCH(Notes!$C$16,$U$3:$AB$3,0))-100%))*$L$304</f>
        <v>648.80999999999995</v>
      </c>
      <c r="M341" s="286"/>
      <c r="N341" s="286"/>
      <c r="O341" s="285">
        <v>648.80999999999995</v>
      </c>
      <c r="P341" s="285"/>
      <c r="Q341" s="285"/>
      <c r="R341" s="278"/>
      <c r="S341" s="278"/>
      <c r="T341" s="278"/>
    </row>
    <row r="342" spans="1:20" s="305" customFormat="1" hidden="1" outlineLevel="1" x14ac:dyDescent="0.25">
      <c r="A342" s="278"/>
      <c r="B342" s="279" t="str">
        <f t="shared" si="184"/>
        <v>2 drawerup to 450mmdesigner 2 packquality</v>
      </c>
      <c r="C342" s="278" t="s">
        <v>1029</v>
      </c>
      <c r="D342" s="278" t="s">
        <v>1032</v>
      </c>
      <c r="E342" s="278" t="s">
        <v>992</v>
      </c>
      <c r="F342" s="278" t="s">
        <v>544</v>
      </c>
      <c r="G342" s="278" t="s">
        <v>5</v>
      </c>
      <c r="H342" s="290">
        <v>1.55</v>
      </c>
      <c r="I342" s="280">
        <f t="shared" si="183"/>
        <v>124.96100000000001</v>
      </c>
      <c r="J342" s="281">
        <f t="shared" si="185"/>
        <v>141.71650000000002</v>
      </c>
      <c r="K342" s="282">
        <f>IF(Notes!$B$9="Domestic",I342, IF(Notes!$B$9="Commercial",J342))*$K$304</f>
        <v>141.71650000000002</v>
      </c>
      <c r="L342" s="283">
        <f>(SUM(O342:Q342)+(K342+SUM(M342:Q342))*(INDEX($U$304:$AB$304,MATCH(Notes!$C$16,$U$3:$AB$3,0))-100%))*$L$304</f>
        <v>713.69100000000003</v>
      </c>
      <c r="M342" s="286"/>
      <c r="N342" s="286"/>
      <c r="O342" s="311">
        <f>O341*1.1</f>
        <v>713.69100000000003</v>
      </c>
      <c r="P342" s="285"/>
      <c r="Q342" s="285"/>
      <c r="R342" s="278"/>
      <c r="S342" s="278"/>
      <c r="T342" s="278"/>
    </row>
    <row r="343" spans="1:20" s="305" customFormat="1" hidden="1" outlineLevel="1" x14ac:dyDescent="0.25">
      <c r="A343" s="278"/>
      <c r="B343" s="279" t="str">
        <f t="shared" si="184"/>
        <v>2 drawerup to 450mmdesigner 2 packprestige</v>
      </c>
      <c r="C343" s="278" t="s">
        <v>1029</v>
      </c>
      <c r="D343" s="278" t="s">
        <v>1032</v>
      </c>
      <c r="E343" s="278" t="s">
        <v>992</v>
      </c>
      <c r="F343" s="278" t="s">
        <v>545</v>
      </c>
      <c r="G343" s="278" t="s">
        <v>5</v>
      </c>
      <c r="H343" s="290">
        <v>1.55</v>
      </c>
      <c r="I343" s="280">
        <f t="shared" si="183"/>
        <v>124.96100000000001</v>
      </c>
      <c r="J343" s="281">
        <f t="shared" si="185"/>
        <v>141.71650000000002</v>
      </c>
      <c r="K343" s="282">
        <f>IF(Notes!$B$9="Domestic",I343, IF(Notes!$B$9="Commercial",J343))*$K$304</f>
        <v>141.71650000000002</v>
      </c>
      <c r="L343" s="283">
        <f>(SUM(O343:Q343)+(K343+SUM(M343:Q343))*(INDEX($U$304:$AB$304,MATCH(Notes!$C$16,$U$3:$AB$3,0))-100%))*$L$304</f>
        <v>785.06010000000015</v>
      </c>
      <c r="M343" s="286"/>
      <c r="N343" s="286"/>
      <c r="O343" s="311">
        <f>O342*1.1</f>
        <v>785.06010000000015</v>
      </c>
      <c r="P343" s="285"/>
      <c r="Q343" s="285"/>
      <c r="R343" s="278"/>
      <c r="S343" s="278"/>
      <c r="T343" s="278"/>
    </row>
    <row r="344" spans="1:20" s="305" customFormat="1" hidden="1" outlineLevel="1" x14ac:dyDescent="0.25">
      <c r="A344" s="278"/>
      <c r="B344" s="279" t="str">
        <f t="shared" si="184"/>
        <v>2 drawer451mm to 600mmdesigner 2 packaverage</v>
      </c>
      <c r="C344" s="278" t="s">
        <v>1029</v>
      </c>
      <c r="D344" s="278" t="s">
        <v>556</v>
      </c>
      <c r="E344" s="278" t="s">
        <v>992</v>
      </c>
      <c r="F344" s="278" t="s">
        <v>543</v>
      </c>
      <c r="G344" s="278" t="s">
        <v>5</v>
      </c>
      <c r="H344" s="290">
        <v>1.65</v>
      </c>
      <c r="I344" s="280">
        <f t="shared" si="183"/>
        <v>133.023</v>
      </c>
      <c r="J344" s="281">
        <f t="shared" si="185"/>
        <v>150.8595</v>
      </c>
      <c r="K344" s="282">
        <f>IF(Notes!$B$9="Domestic",I344, IF(Notes!$B$9="Commercial",J344))*$K$304</f>
        <v>150.8595</v>
      </c>
      <c r="L344" s="283">
        <f>(SUM(O344:Q344)+(K344+SUM(M344:Q344))*(INDEX($U$304:$AB$304,MATCH(Notes!$C$16,$U$3:$AB$3,0))-100%))*$L$304</f>
        <v>762.45</v>
      </c>
      <c r="M344" s="286"/>
      <c r="N344" s="286"/>
      <c r="O344" s="285">
        <v>762.45</v>
      </c>
      <c r="P344" s="285"/>
      <c r="Q344" s="285"/>
      <c r="R344" s="278"/>
      <c r="S344" s="278"/>
      <c r="T344" s="278"/>
    </row>
    <row r="345" spans="1:20" s="305" customFormat="1" hidden="1" outlineLevel="1" x14ac:dyDescent="0.25">
      <c r="A345" s="278"/>
      <c r="B345" s="279" t="str">
        <f t="shared" si="184"/>
        <v>2 drawer451mm to 600mmdesigner 2 packquality</v>
      </c>
      <c r="C345" s="278" t="s">
        <v>1029</v>
      </c>
      <c r="D345" s="278" t="s">
        <v>556</v>
      </c>
      <c r="E345" s="278" t="s">
        <v>992</v>
      </c>
      <c r="F345" s="278" t="s">
        <v>544</v>
      </c>
      <c r="G345" s="278" t="s">
        <v>5</v>
      </c>
      <c r="H345" s="290">
        <v>1.65</v>
      </c>
      <c r="I345" s="280">
        <f t="shared" si="183"/>
        <v>133.023</v>
      </c>
      <c r="J345" s="281">
        <f t="shared" si="185"/>
        <v>150.8595</v>
      </c>
      <c r="K345" s="282">
        <f>IF(Notes!$B$9="Domestic",I345, IF(Notes!$B$9="Commercial",J345))*$K$304</f>
        <v>150.8595</v>
      </c>
      <c r="L345" s="283">
        <f>(SUM(O345:Q345)+(K345+SUM(M345:Q345))*(INDEX($U$304:$AB$304,MATCH(Notes!$C$16,$U$3:$AB$3,0))-100%))*$L$304</f>
        <v>838.69500000000016</v>
      </c>
      <c r="M345" s="286"/>
      <c r="N345" s="286"/>
      <c r="O345" s="311">
        <f>O344*1.1</f>
        <v>838.69500000000016</v>
      </c>
      <c r="P345" s="285"/>
      <c r="Q345" s="285"/>
      <c r="R345" s="278"/>
      <c r="S345" s="278"/>
      <c r="T345" s="278"/>
    </row>
    <row r="346" spans="1:20" s="305" customFormat="1" hidden="1" outlineLevel="1" x14ac:dyDescent="0.25">
      <c r="A346" s="278"/>
      <c r="B346" s="279" t="str">
        <f t="shared" si="184"/>
        <v>2 drawer451mm to 600mmdesigner 2 packprestige</v>
      </c>
      <c r="C346" s="278" t="s">
        <v>1029</v>
      </c>
      <c r="D346" s="278" t="s">
        <v>556</v>
      </c>
      <c r="E346" s="278" t="s">
        <v>992</v>
      </c>
      <c r="F346" s="278" t="s">
        <v>545</v>
      </c>
      <c r="G346" s="278" t="s">
        <v>5</v>
      </c>
      <c r="H346" s="290">
        <v>1.65</v>
      </c>
      <c r="I346" s="280">
        <f t="shared" si="183"/>
        <v>133.023</v>
      </c>
      <c r="J346" s="281">
        <f t="shared" si="185"/>
        <v>150.8595</v>
      </c>
      <c r="K346" s="282">
        <f>IF(Notes!$B$9="Domestic",I346, IF(Notes!$B$9="Commercial",J346))*$K$304</f>
        <v>150.8595</v>
      </c>
      <c r="L346" s="283">
        <f>(SUM(O346:Q346)+(K346+SUM(M346:Q346))*(INDEX($U$304:$AB$304,MATCH(Notes!$C$16,$U$3:$AB$3,0))-100%))*$L$304</f>
        <v>922.56450000000029</v>
      </c>
      <c r="M346" s="286"/>
      <c r="N346" s="286"/>
      <c r="O346" s="311">
        <f>O345*1.1</f>
        <v>922.56450000000029</v>
      </c>
      <c r="P346" s="285"/>
      <c r="Q346" s="285"/>
      <c r="R346" s="278"/>
      <c r="S346" s="278"/>
      <c r="T346" s="278"/>
    </row>
    <row r="347" spans="1:20" s="305" customFormat="1" hidden="1" outlineLevel="1" x14ac:dyDescent="0.25">
      <c r="A347" s="278"/>
      <c r="B347" s="279" t="str">
        <f t="shared" si="184"/>
        <v>2 drawer601mm to 750mmdesigner 2 packaverage</v>
      </c>
      <c r="C347" s="278" t="s">
        <v>1029</v>
      </c>
      <c r="D347" s="278" t="s">
        <v>547</v>
      </c>
      <c r="E347" s="278" t="s">
        <v>992</v>
      </c>
      <c r="F347" s="278" t="s">
        <v>543</v>
      </c>
      <c r="G347" s="278" t="s">
        <v>5</v>
      </c>
      <c r="H347" s="290">
        <v>1.65</v>
      </c>
      <c r="I347" s="280">
        <f t="shared" si="183"/>
        <v>133.023</v>
      </c>
      <c r="J347" s="281">
        <f t="shared" si="185"/>
        <v>150.8595</v>
      </c>
      <c r="K347" s="282">
        <f>IF(Notes!$B$9="Domestic",I347, IF(Notes!$B$9="Commercial",J347))*$K$304</f>
        <v>150.8595</v>
      </c>
      <c r="L347" s="283">
        <f>(SUM(O347:Q347)+(K347+SUM(M347:Q347))*(INDEX($U$304:$AB$304,MATCH(Notes!$C$16,$U$3:$AB$3,0))-100%))*$L$304</f>
        <v>876.08</v>
      </c>
      <c r="M347" s="286"/>
      <c r="N347" s="286"/>
      <c r="O347" s="285">
        <v>876.08</v>
      </c>
      <c r="P347" s="285"/>
      <c r="Q347" s="285"/>
      <c r="R347" s="278"/>
      <c r="S347" s="278"/>
      <c r="T347" s="278"/>
    </row>
    <row r="348" spans="1:20" s="305" customFormat="1" hidden="1" outlineLevel="1" x14ac:dyDescent="0.25">
      <c r="A348" s="278"/>
      <c r="B348" s="279" t="str">
        <f t="shared" si="184"/>
        <v>2 drawer601mm to 750mmdesigner 2 packquality</v>
      </c>
      <c r="C348" s="278" t="s">
        <v>1029</v>
      </c>
      <c r="D348" s="278" t="s">
        <v>547</v>
      </c>
      <c r="E348" s="278" t="s">
        <v>992</v>
      </c>
      <c r="F348" s="278" t="s">
        <v>544</v>
      </c>
      <c r="G348" s="278" t="s">
        <v>5</v>
      </c>
      <c r="H348" s="290">
        <v>1.65</v>
      </c>
      <c r="I348" s="280">
        <f t="shared" si="183"/>
        <v>133.023</v>
      </c>
      <c r="J348" s="281">
        <f t="shared" si="185"/>
        <v>150.8595</v>
      </c>
      <c r="K348" s="282">
        <f>IF(Notes!$B$9="Domestic",I348, IF(Notes!$B$9="Commercial",J348))*$K$304</f>
        <v>150.8595</v>
      </c>
      <c r="L348" s="283">
        <f>(SUM(O348:Q348)+(K348+SUM(M348:Q348))*(INDEX($U$304:$AB$304,MATCH(Notes!$C$16,$U$3:$AB$3,0))-100%))*$L$304</f>
        <v>963.6880000000001</v>
      </c>
      <c r="M348" s="286"/>
      <c r="N348" s="286"/>
      <c r="O348" s="311">
        <f>O347*1.1</f>
        <v>963.6880000000001</v>
      </c>
      <c r="P348" s="285"/>
      <c r="Q348" s="285"/>
      <c r="R348" s="278"/>
      <c r="S348" s="278"/>
      <c r="T348" s="278"/>
    </row>
    <row r="349" spans="1:20" s="305" customFormat="1" hidden="1" outlineLevel="1" x14ac:dyDescent="0.25">
      <c r="A349" s="278"/>
      <c r="B349" s="279" t="str">
        <f t="shared" si="184"/>
        <v>2 drawer601mm to 750mmdesigner 2 packprestige</v>
      </c>
      <c r="C349" s="278" t="s">
        <v>1029</v>
      </c>
      <c r="D349" s="278" t="s">
        <v>547</v>
      </c>
      <c r="E349" s="278" t="s">
        <v>992</v>
      </c>
      <c r="F349" s="278" t="s">
        <v>545</v>
      </c>
      <c r="G349" s="278" t="s">
        <v>5</v>
      </c>
      <c r="H349" s="290">
        <v>1.65</v>
      </c>
      <c r="I349" s="280">
        <f t="shared" si="183"/>
        <v>133.023</v>
      </c>
      <c r="J349" s="281">
        <f t="shared" si="185"/>
        <v>150.8595</v>
      </c>
      <c r="K349" s="282">
        <f>IF(Notes!$B$9="Domestic",I349, IF(Notes!$B$9="Commercial",J349))*$K$304</f>
        <v>150.8595</v>
      </c>
      <c r="L349" s="283">
        <f>(SUM(O349:Q349)+(K349+SUM(M349:Q349))*(INDEX($U$304:$AB$304,MATCH(Notes!$C$16,$U$3:$AB$3,0))-100%))*$L$304</f>
        <v>1060.0568000000003</v>
      </c>
      <c r="M349" s="286"/>
      <c r="N349" s="286"/>
      <c r="O349" s="311">
        <f>O348*1.1</f>
        <v>1060.0568000000003</v>
      </c>
      <c r="P349" s="285"/>
      <c r="Q349" s="285"/>
      <c r="R349" s="278"/>
      <c r="S349" s="278"/>
      <c r="T349" s="278"/>
    </row>
    <row r="350" spans="1:20" s="305" customFormat="1" hidden="1" outlineLevel="1" x14ac:dyDescent="0.25">
      <c r="A350" s="278"/>
      <c r="B350" s="279" t="str">
        <f t="shared" si="184"/>
        <v>2 drawer751mm to 900mmdesigner 2 packaverage</v>
      </c>
      <c r="C350" s="278" t="s">
        <v>1029</v>
      </c>
      <c r="D350" s="278" t="s">
        <v>548</v>
      </c>
      <c r="E350" s="278" t="s">
        <v>992</v>
      </c>
      <c r="F350" s="278" t="s">
        <v>543</v>
      </c>
      <c r="G350" s="278" t="s">
        <v>5</v>
      </c>
      <c r="H350" s="290">
        <v>1.65</v>
      </c>
      <c r="I350" s="280">
        <f t="shared" si="183"/>
        <v>133.023</v>
      </c>
      <c r="J350" s="281">
        <f t="shared" si="185"/>
        <v>150.8595</v>
      </c>
      <c r="K350" s="282">
        <f>IF(Notes!$B$9="Domestic",I350, IF(Notes!$B$9="Commercial",J350))*$K$304</f>
        <v>150.8595</v>
      </c>
      <c r="L350" s="283">
        <f>(SUM(O350:Q350)+(K350+SUM(M350:Q350))*(INDEX($U$304:$AB$304,MATCH(Notes!$C$16,$U$3:$AB$3,0))-100%))*$L$304</f>
        <v>990.63</v>
      </c>
      <c r="M350" s="286"/>
      <c r="N350" s="286"/>
      <c r="O350" s="285">
        <v>990.63</v>
      </c>
      <c r="P350" s="285"/>
      <c r="Q350" s="285"/>
      <c r="R350" s="278"/>
      <c r="S350" s="278"/>
      <c r="T350" s="278"/>
    </row>
    <row r="351" spans="1:20" s="305" customFormat="1" hidden="1" outlineLevel="1" x14ac:dyDescent="0.25">
      <c r="A351" s="278"/>
      <c r="B351" s="279" t="str">
        <f t="shared" si="184"/>
        <v>2 drawer751mm to 900mmdesigner 2 packquality</v>
      </c>
      <c r="C351" s="278" t="s">
        <v>1029</v>
      </c>
      <c r="D351" s="278" t="s">
        <v>548</v>
      </c>
      <c r="E351" s="278" t="s">
        <v>992</v>
      </c>
      <c r="F351" s="278" t="s">
        <v>544</v>
      </c>
      <c r="G351" s="278" t="s">
        <v>5</v>
      </c>
      <c r="H351" s="290">
        <v>1.65</v>
      </c>
      <c r="I351" s="280">
        <f t="shared" si="183"/>
        <v>133.023</v>
      </c>
      <c r="J351" s="281">
        <f t="shared" si="185"/>
        <v>150.8595</v>
      </c>
      <c r="K351" s="282">
        <f>IF(Notes!$B$9="Domestic",I351, IF(Notes!$B$9="Commercial",J351))*$K$304</f>
        <v>150.8595</v>
      </c>
      <c r="L351" s="283">
        <f>(SUM(O351:Q351)+(K351+SUM(M351:Q351))*(INDEX($U$304:$AB$304,MATCH(Notes!$C$16,$U$3:$AB$3,0))-100%))*$L$304</f>
        <v>1089.693</v>
      </c>
      <c r="M351" s="286"/>
      <c r="N351" s="286"/>
      <c r="O351" s="311">
        <f>O350*1.1</f>
        <v>1089.693</v>
      </c>
      <c r="P351" s="285"/>
      <c r="Q351" s="285"/>
      <c r="R351" s="278"/>
      <c r="S351" s="278"/>
      <c r="T351" s="278"/>
    </row>
    <row r="352" spans="1:20" s="305" customFormat="1" hidden="1" outlineLevel="1" x14ac:dyDescent="0.25">
      <c r="A352" s="278"/>
      <c r="B352" s="279" t="str">
        <f t="shared" si="184"/>
        <v>2 drawer751mm to 900mmdesigner 2 packprestige</v>
      </c>
      <c r="C352" s="278" t="s">
        <v>1029</v>
      </c>
      <c r="D352" s="278" t="s">
        <v>548</v>
      </c>
      <c r="E352" s="278" t="s">
        <v>992</v>
      </c>
      <c r="F352" s="278" t="s">
        <v>545</v>
      </c>
      <c r="G352" s="278" t="s">
        <v>5</v>
      </c>
      <c r="H352" s="290">
        <v>1.65</v>
      </c>
      <c r="I352" s="280">
        <f t="shared" si="183"/>
        <v>133.023</v>
      </c>
      <c r="J352" s="281">
        <f t="shared" si="185"/>
        <v>150.8595</v>
      </c>
      <c r="K352" s="282">
        <f>IF(Notes!$B$9="Domestic",I352, IF(Notes!$B$9="Commercial",J352))*$K$304</f>
        <v>150.8595</v>
      </c>
      <c r="L352" s="283">
        <f>(SUM(O352:Q352)+(K352+SUM(M352:Q352))*(INDEX($U$304:$AB$304,MATCH(Notes!$C$16,$U$3:$AB$3,0))-100%))*$L$304</f>
        <v>1198.6623000000002</v>
      </c>
      <c r="M352" s="286"/>
      <c r="N352" s="286"/>
      <c r="O352" s="311">
        <f>O351*1.1</f>
        <v>1198.6623000000002</v>
      </c>
      <c r="P352" s="285"/>
      <c r="Q352" s="285"/>
      <c r="R352" s="278"/>
      <c r="S352" s="278"/>
      <c r="T352" s="278"/>
    </row>
    <row r="353" spans="1:20" s="305" customFormat="1" hidden="1" outlineLevel="1" x14ac:dyDescent="0.25">
      <c r="A353" s="278"/>
      <c r="B353" s="279" t="str">
        <f t="shared" si="184"/>
        <v>3 drawerup to 450mmstandard laminatedaverage</v>
      </c>
      <c r="C353" s="278" t="s">
        <v>1031</v>
      </c>
      <c r="D353" s="278" t="s">
        <v>1032</v>
      </c>
      <c r="E353" s="278" t="s">
        <v>989</v>
      </c>
      <c r="F353" s="278" t="s">
        <v>543</v>
      </c>
      <c r="G353" s="278" t="s">
        <v>5</v>
      </c>
      <c r="H353" s="290">
        <v>2.2000000000000002</v>
      </c>
      <c r="I353" s="280">
        <f t="shared" si="183"/>
        <v>177.36400000000003</v>
      </c>
      <c r="J353" s="281">
        <f t="shared" si="185"/>
        <v>201.14600000000004</v>
      </c>
      <c r="K353" s="282">
        <f>IF(Notes!$B$9="Domestic",I353, IF(Notes!$B$9="Commercial",J353))*$K$304</f>
        <v>201.14600000000004</v>
      </c>
      <c r="L353" s="283">
        <f>(SUM(O353:Q353)+(K353+SUM(M353:Q353))*(INDEX($U$304:$AB$304,MATCH(Notes!$C$16,$U$3:$AB$3,0))-100%))*$L$304</f>
        <v>361.91</v>
      </c>
      <c r="M353" s="286"/>
      <c r="N353" s="286"/>
      <c r="O353" s="285">
        <v>361.91</v>
      </c>
      <c r="P353" s="285"/>
      <c r="Q353" s="285"/>
      <c r="R353" s="278"/>
      <c r="S353" s="278"/>
      <c r="T353" s="278"/>
    </row>
    <row r="354" spans="1:20" s="305" customFormat="1" hidden="1" outlineLevel="1" x14ac:dyDescent="0.25">
      <c r="A354" s="278"/>
      <c r="B354" s="279" t="str">
        <f t="shared" si="184"/>
        <v>3 drawerup to 450mmstandard laminatedquality</v>
      </c>
      <c r="C354" s="278" t="s">
        <v>1031</v>
      </c>
      <c r="D354" s="278" t="s">
        <v>1032</v>
      </c>
      <c r="E354" s="278" t="s">
        <v>989</v>
      </c>
      <c r="F354" s="278" t="s">
        <v>544</v>
      </c>
      <c r="G354" s="278" t="s">
        <v>5</v>
      </c>
      <c r="H354" s="290">
        <v>2.2000000000000002</v>
      </c>
      <c r="I354" s="280">
        <f t="shared" si="183"/>
        <v>177.36400000000003</v>
      </c>
      <c r="J354" s="281">
        <f t="shared" si="185"/>
        <v>201.14600000000004</v>
      </c>
      <c r="K354" s="282">
        <f>IF(Notes!$B$9="Domestic",I354, IF(Notes!$B$9="Commercial",J354))*$K$304</f>
        <v>201.14600000000004</v>
      </c>
      <c r="L354" s="283">
        <f>(SUM(O354:Q354)+(K354+SUM(M354:Q354))*(INDEX($U$304:$AB$304,MATCH(Notes!$C$16,$U$3:$AB$3,0))-100%))*$L$304</f>
        <v>398.10100000000006</v>
      </c>
      <c r="M354" s="286"/>
      <c r="N354" s="286"/>
      <c r="O354" s="311">
        <f>O353*1.1</f>
        <v>398.10100000000006</v>
      </c>
      <c r="P354" s="285"/>
      <c r="Q354" s="285"/>
      <c r="R354" s="278"/>
      <c r="S354" s="278"/>
      <c r="T354" s="278"/>
    </row>
    <row r="355" spans="1:20" s="305" customFormat="1" hidden="1" outlineLevel="1" x14ac:dyDescent="0.25">
      <c r="A355" s="278"/>
      <c r="B355" s="279" t="str">
        <f t="shared" si="184"/>
        <v>3 drawerup to 450mmstandard laminatedprestige</v>
      </c>
      <c r="C355" s="278" t="s">
        <v>1031</v>
      </c>
      <c r="D355" s="278" t="s">
        <v>1032</v>
      </c>
      <c r="E355" s="278" t="s">
        <v>989</v>
      </c>
      <c r="F355" s="278" t="s">
        <v>545</v>
      </c>
      <c r="G355" s="278" t="s">
        <v>5</v>
      </c>
      <c r="H355" s="290">
        <v>2.2000000000000002</v>
      </c>
      <c r="I355" s="280">
        <f t="shared" si="183"/>
        <v>177.36400000000003</v>
      </c>
      <c r="J355" s="281">
        <f t="shared" si="185"/>
        <v>201.14600000000004</v>
      </c>
      <c r="K355" s="282">
        <f>IF(Notes!$B$9="Domestic",I355, IF(Notes!$B$9="Commercial",J355))*$K$304</f>
        <v>201.14600000000004</v>
      </c>
      <c r="L355" s="283">
        <f>(SUM(O355:Q355)+(K355+SUM(M355:Q355))*(INDEX($U$304:$AB$304,MATCH(Notes!$C$16,$U$3:$AB$3,0))-100%))*$L$304</f>
        <v>437.91110000000009</v>
      </c>
      <c r="M355" s="286"/>
      <c r="N355" s="286"/>
      <c r="O355" s="311">
        <f>O354*1.1</f>
        <v>437.91110000000009</v>
      </c>
      <c r="P355" s="285"/>
      <c r="Q355" s="285"/>
      <c r="R355" s="278"/>
      <c r="S355" s="278"/>
      <c r="T355" s="278"/>
    </row>
    <row r="356" spans="1:20" s="305" customFormat="1" hidden="1" outlineLevel="1" x14ac:dyDescent="0.25">
      <c r="A356" s="278"/>
      <c r="B356" s="279" t="str">
        <f t="shared" si="184"/>
        <v>3 drawer451mm to 600mmstandard laminatedaverage</v>
      </c>
      <c r="C356" s="278" t="s">
        <v>1031</v>
      </c>
      <c r="D356" s="278" t="s">
        <v>556</v>
      </c>
      <c r="E356" s="278" t="s">
        <v>989</v>
      </c>
      <c r="F356" s="278" t="s">
        <v>543</v>
      </c>
      <c r="G356" s="278" t="s">
        <v>5</v>
      </c>
      <c r="H356" s="290">
        <v>2.2999999999999998</v>
      </c>
      <c r="I356" s="280">
        <f>$I$2*H356</f>
        <v>185.42599999999999</v>
      </c>
      <c r="J356" s="281">
        <f t="shared" si="185"/>
        <v>210.28899999999999</v>
      </c>
      <c r="K356" s="282">
        <f>IF(Notes!$B$9="Domestic",I356, IF(Notes!$B$9="Commercial",J356))*$K$304</f>
        <v>210.28899999999999</v>
      </c>
      <c r="L356" s="283">
        <f>(SUM(O356:Q356)+(K356+SUM(M356:Q356))*(INDEX($U$304:$AB$304,MATCH(Notes!$C$16,$U$3:$AB$3,0))-100%))*$L$304</f>
        <v>413.73</v>
      </c>
      <c r="M356" s="286"/>
      <c r="N356" s="286"/>
      <c r="O356" s="285">
        <v>413.73</v>
      </c>
      <c r="P356" s="285"/>
      <c r="Q356" s="285"/>
      <c r="R356" s="278"/>
      <c r="S356" s="278"/>
      <c r="T356" s="278"/>
    </row>
    <row r="357" spans="1:20" s="305" customFormat="1" hidden="1" outlineLevel="1" x14ac:dyDescent="0.25">
      <c r="A357" s="278"/>
      <c r="B357" s="279" t="str">
        <f t="shared" si="184"/>
        <v>3 drawer451mm to 600mmstandard laminatedquality</v>
      </c>
      <c r="C357" s="278" t="s">
        <v>1031</v>
      </c>
      <c r="D357" s="278" t="s">
        <v>556</v>
      </c>
      <c r="E357" s="278" t="s">
        <v>989</v>
      </c>
      <c r="F357" s="278" t="s">
        <v>544</v>
      </c>
      <c r="G357" s="278" t="s">
        <v>5</v>
      </c>
      <c r="H357" s="290">
        <v>2.2999999999999998</v>
      </c>
      <c r="I357" s="280">
        <f t="shared" ref="I357:I364" si="187">$I$2*H357</f>
        <v>185.42599999999999</v>
      </c>
      <c r="J357" s="281">
        <f t="shared" si="185"/>
        <v>210.28899999999999</v>
      </c>
      <c r="K357" s="282">
        <f>IF(Notes!$B$9="Domestic",I357, IF(Notes!$B$9="Commercial",J357))*$K$304</f>
        <v>210.28899999999999</v>
      </c>
      <c r="L357" s="283">
        <f>(SUM(O357:Q357)+(K357+SUM(M357:Q357))*(INDEX($U$304:$AB$304,MATCH(Notes!$C$16,$U$3:$AB$3,0))-100%))*$L$304</f>
        <v>455.10300000000007</v>
      </c>
      <c r="M357" s="286"/>
      <c r="N357" s="286"/>
      <c r="O357" s="311">
        <f>O356*1.1</f>
        <v>455.10300000000007</v>
      </c>
      <c r="P357" s="285"/>
      <c r="Q357" s="285"/>
      <c r="R357" s="278"/>
      <c r="S357" s="278"/>
      <c r="T357" s="278"/>
    </row>
    <row r="358" spans="1:20" s="305" customFormat="1" hidden="1" outlineLevel="1" x14ac:dyDescent="0.25">
      <c r="A358" s="278"/>
      <c r="B358" s="279" t="str">
        <f t="shared" si="184"/>
        <v>3 drawer451mm to 600mmstandard laminatedprestige</v>
      </c>
      <c r="C358" s="278" t="s">
        <v>1031</v>
      </c>
      <c r="D358" s="278" t="s">
        <v>556</v>
      </c>
      <c r="E358" s="278" t="s">
        <v>989</v>
      </c>
      <c r="F358" s="278" t="s">
        <v>545</v>
      </c>
      <c r="G358" s="278" t="s">
        <v>5</v>
      </c>
      <c r="H358" s="290">
        <v>2.2999999999999998</v>
      </c>
      <c r="I358" s="280">
        <f t="shared" si="187"/>
        <v>185.42599999999999</v>
      </c>
      <c r="J358" s="281">
        <f t="shared" si="185"/>
        <v>210.28899999999999</v>
      </c>
      <c r="K358" s="282">
        <f>IF(Notes!$B$9="Domestic",I358, IF(Notes!$B$9="Commercial",J358))*$K$304</f>
        <v>210.28899999999999</v>
      </c>
      <c r="L358" s="283">
        <f>(SUM(O358:Q358)+(K358+SUM(M358:Q358))*(INDEX($U$304:$AB$304,MATCH(Notes!$C$16,$U$3:$AB$3,0))-100%))*$L$304</f>
        <v>500.61330000000009</v>
      </c>
      <c r="M358" s="286"/>
      <c r="N358" s="286"/>
      <c r="O358" s="311">
        <f>O357*1.1</f>
        <v>500.61330000000009</v>
      </c>
      <c r="P358" s="285"/>
      <c r="Q358" s="285"/>
      <c r="R358" s="278"/>
      <c r="S358" s="278"/>
      <c r="T358" s="278"/>
    </row>
    <row r="359" spans="1:20" s="305" customFormat="1" hidden="1" outlineLevel="1" x14ac:dyDescent="0.25">
      <c r="A359" s="278"/>
      <c r="B359" s="279" t="str">
        <f t="shared" si="184"/>
        <v>3 drawer601mm to 750mmstandard laminatedaverage</v>
      </c>
      <c r="C359" s="278" t="s">
        <v>1031</v>
      </c>
      <c r="D359" s="278" t="s">
        <v>547</v>
      </c>
      <c r="E359" s="278" t="s">
        <v>989</v>
      </c>
      <c r="F359" s="278" t="s">
        <v>543</v>
      </c>
      <c r="G359" s="278" t="s">
        <v>5</v>
      </c>
      <c r="H359" s="290">
        <v>2.2999999999999998</v>
      </c>
      <c r="I359" s="280">
        <f t="shared" si="187"/>
        <v>185.42599999999999</v>
      </c>
      <c r="J359" s="281">
        <f t="shared" si="185"/>
        <v>210.28899999999999</v>
      </c>
      <c r="K359" s="282">
        <f>IF(Notes!$B$9="Domestic",I359, IF(Notes!$B$9="Commercial",J359))*$K$304</f>
        <v>210.28899999999999</v>
      </c>
      <c r="L359" s="283">
        <f>(SUM(O359:Q359)+(K359+SUM(M359:Q359))*(INDEX($U$304:$AB$304,MATCH(Notes!$C$16,$U$3:$AB$3,0))-100%))*$L$304</f>
        <v>465.55</v>
      </c>
      <c r="M359" s="286"/>
      <c r="N359" s="286"/>
      <c r="O359" s="285">
        <v>465.55</v>
      </c>
      <c r="P359" s="285"/>
      <c r="Q359" s="285"/>
      <c r="R359" s="278"/>
      <c r="S359" s="278"/>
      <c r="T359" s="278"/>
    </row>
    <row r="360" spans="1:20" s="305" customFormat="1" hidden="1" outlineLevel="1" x14ac:dyDescent="0.25">
      <c r="A360" s="278"/>
      <c r="B360" s="279" t="str">
        <f t="shared" si="184"/>
        <v>3 drawer601mm to 750mmstandard laminatedquality</v>
      </c>
      <c r="C360" s="278" t="s">
        <v>1031</v>
      </c>
      <c r="D360" s="278" t="s">
        <v>547</v>
      </c>
      <c r="E360" s="278" t="s">
        <v>989</v>
      </c>
      <c r="F360" s="278" t="s">
        <v>544</v>
      </c>
      <c r="G360" s="278" t="s">
        <v>5</v>
      </c>
      <c r="H360" s="290">
        <v>2.2999999999999998</v>
      </c>
      <c r="I360" s="280">
        <f t="shared" si="187"/>
        <v>185.42599999999999</v>
      </c>
      <c r="J360" s="281">
        <f t="shared" si="185"/>
        <v>210.28899999999999</v>
      </c>
      <c r="K360" s="282">
        <f>IF(Notes!$B$9="Domestic",I360, IF(Notes!$B$9="Commercial",J360))*$K$304</f>
        <v>210.28899999999999</v>
      </c>
      <c r="L360" s="283">
        <f>(SUM(O360:Q360)+(K360+SUM(M360:Q360))*(INDEX($U$304:$AB$304,MATCH(Notes!$C$16,$U$3:$AB$3,0))-100%))*$L$304</f>
        <v>512.10500000000002</v>
      </c>
      <c r="M360" s="286"/>
      <c r="N360" s="286"/>
      <c r="O360" s="311">
        <f>O359*1.1</f>
        <v>512.10500000000002</v>
      </c>
      <c r="P360" s="285"/>
      <c r="Q360" s="285"/>
      <c r="R360" s="278"/>
      <c r="S360" s="278"/>
      <c r="T360" s="278"/>
    </row>
    <row r="361" spans="1:20" s="305" customFormat="1" hidden="1" outlineLevel="1" x14ac:dyDescent="0.25">
      <c r="A361" s="278"/>
      <c r="B361" s="279" t="str">
        <f t="shared" si="184"/>
        <v>3 drawer601mm to 750mmstandard laminatedprestige</v>
      </c>
      <c r="C361" s="278" t="s">
        <v>1031</v>
      </c>
      <c r="D361" s="278" t="s">
        <v>547</v>
      </c>
      <c r="E361" s="278" t="s">
        <v>989</v>
      </c>
      <c r="F361" s="278" t="s">
        <v>545</v>
      </c>
      <c r="G361" s="278" t="s">
        <v>5</v>
      </c>
      <c r="H361" s="290">
        <v>2.2999999999999998</v>
      </c>
      <c r="I361" s="280">
        <f t="shared" si="187"/>
        <v>185.42599999999999</v>
      </c>
      <c r="J361" s="281">
        <f t="shared" si="185"/>
        <v>210.28899999999999</v>
      </c>
      <c r="K361" s="282">
        <f>IF(Notes!$B$9="Domestic",I361, IF(Notes!$B$9="Commercial",J361))*$K$304</f>
        <v>210.28899999999999</v>
      </c>
      <c r="L361" s="283">
        <f>(SUM(O361:Q361)+(K361+SUM(M361:Q361))*(INDEX($U$304:$AB$304,MATCH(Notes!$C$16,$U$3:$AB$3,0))-100%))*$L$304</f>
        <v>563.31550000000004</v>
      </c>
      <c r="M361" s="286"/>
      <c r="N361" s="286"/>
      <c r="O361" s="311">
        <f>O360*1.1</f>
        <v>563.31550000000004</v>
      </c>
      <c r="P361" s="285"/>
      <c r="Q361" s="285"/>
      <c r="R361" s="278"/>
      <c r="S361" s="278"/>
      <c r="T361" s="278"/>
    </row>
    <row r="362" spans="1:20" s="305" customFormat="1" hidden="1" outlineLevel="1" x14ac:dyDescent="0.25">
      <c r="A362" s="278"/>
      <c r="B362" s="279" t="str">
        <f t="shared" si="184"/>
        <v>3 drawer751mm to 900mmstandard laminatedaverage</v>
      </c>
      <c r="C362" s="278" t="s">
        <v>1031</v>
      </c>
      <c r="D362" s="278" t="s">
        <v>548</v>
      </c>
      <c r="E362" s="278" t="s">
        <v>989</v>
      </c>
      <c r="F362" s="278" t="s">
        <v>543</v>
      </c>
      <c r="G362" s="278" t="s">
        <v>5</v>
      </c>
      <c r="H362" s="290">
        <v>2.2999999999999998</v>
      </c>
      <c r="I362" s="280">
        <f t="shared" si="187"/>
        <v>185.42599999999999</v>
      </c>
      <c r="J362" s="281">
        <f t="shared" si="185"/>
        <v>210.28899999999999</v>
      </c>
      <c r="K362" s="282">
        <f>IF(Notes!$B$9="Domestic",I362, IF(Notes!$B$9="Commercial",J362))*$K$304</f>
        <v>210.28899999999999</v>
      </c>
      <c r="L362" s="283">
        <f>(SUM(O362:Q362)+(K362+SUM(M362:Q362))*(INDEX($U$304:$AB$304,MATCH(Notes!$C$16,$U$3:$AB$3,0))-100%))*$L$304</f>
        <v>517.36</v>
      </c>
      <c r="M362" s="286"/>
      <c r="N362" s="286"/>
      <c r="O362" s="285">
        <v>517.36</v>
      </c>
      <c r="P362" s="285"/>
      <c r="Q362" s="285"/>
      <c r="R362" s="278"/>
      <c r="S362" s="278"/>
      <c r="T362" s="278"/>
    </row>
    <row r="363" spans="1:20" s="305" customFormat="1" hidden="1" outlineLevel="1" x14ac:dyDescent="0.25">
      <c r="A363" s="278"/>
      <c r="B363" s="279" t="str">
        <f t="shared" si="184"/>
        <v>3 drawer751mm to 900mmstandard laminatedquality</v>
      </c>
      <c r="C363" s="278" t="s">
        <v>1031</v>
      </c>
      <c r="D363" s="278" t="s">
        <v>548</v>
      </c>
      <c r="E363" s="278" t="s">
        <v>989</v>
      </c>
      <c r="F363" s="278" t="s">
        <v>544</v>
      </c>
      <c r="G363" s="278" t="s">
        <v>5</v>
      </c>
      <c r="H363" s="290">
        <v>2.2999999999999998</v>
      </c>
      <c r="I363" s="280">
        <f t="shared" si="187"/>
        <v>185.42599999999999</v>
      </c>
      <c r="J363" s="281">
        <f t="shared" si="185"/>
        <v>210.28899999999999</v>
      </c>
      <c r="K363" s="282">
        <f>IF(Notes!$B$9="Domestic",I363, IF(Notes!$B$9="Commercial",J363))*$K$304</f>
        <v>210.28899999999999</v>
      </c>
      <c r="L363" s="283">
        <f>(SUM(O363:Q363)+(K363+SUM(M363:Q363))*(INDEX($U$304:$AB$304,MATCH(Notes!$C$16,$U$3:$AB$3,0))-100%))*$L$304</f>
        <v>569.09600000000012</v>
      </c>
      <c r="M363" s="286"/>
      <c r="N363" s="286"/>
      <c r="O363" s="311">
        <f>O362*1.1</f>
        <v>569.09600000000012</v>
      </c>
      <c r="P363" s="285"/>
      <c r="Q363" s="285"/>
      <c r="R363" s="278"/>
      <c r="S363" s="278"/>
      <c r="T363" s="278"/>
    </row>
    <row r="364" spans="1:20" s="305" customFormat="1" hidden="1" outlineLevel="1" x14ac:dyDescent="0.25">
      <c r="A364" s="278"/>
      <c r="B364" s="279" t="str">
        <f t="shared" si="184"/>
        <v>3 drawer751mm to 900mmstandard laminatedprestige</v>
      </c>
      <c r="C364" s="278" t="s">
        <v>1031</v>
      </c>
      <c r="D364" s="278" t="s">
        <v>548</v>
      </c>
      <c r="E364" s="278" t="s">
        <v>989</v>
      </c>
      <c r="F364" s="278" t="s">
        <v>545</v>
      </c>
      <c r="G364" s="278" t="s">
        <v>5</v>
      </c>
      <c r="H364" s="290">
        <v>2.2999999999999998</v>
      </c>
      <c r="I364" s="280">
        <f t="shared" si="187"/>
        <v>185.42599999999999</v>
      </c>
      <c r="J364" s="281">
        <f t="shared" si="185"/>
        <v>210.28899999999999</v>
      </c>
      <c r="K364" s="282">
        <f>IF(Notes!$B$9="Domestic",I364, IF(Notes!$B$9="Commercial",J364))*$K$304</f>
        <v>210.28899999999999</v>
      </c>
      <c r="L364" s="283">
        <f>(SUM(O364:Q364)+(K364+SUM(M364:Q364))*(INDEX($U$304:$AB$304,MATCH(Notes!$C$16,$U$3:$AB$3,0))-100%))*$L$304</f>
        <v>626.00560000000019</v>
      </c>
      <c r="M364" s="286"/>
      <c r="N364" s="286"/>
      <c r="O364" s="311">
        <f>O363*1.1</f>
        <v>626.00560000000019</v>
      </c>
      <c r="P364" s="285"/>
      <c r="Q364" s="285"/>
      <c r="R364" s="278"/>
      <c r="S364" s="278"/>
      <c r="T364" s="278"/>
    </row>
    <row r="365" spans="1:20" s="305" customFormat="1" hidden="1" outlineLevel="1" x14ac:dyDescent="0.25">
      <c r="A365" s="278"/>
      <c r="B365" s="279" t="str">
        <f t="shared" si="184"/>
        <v>3 drawerup to 450mmdesigner laminatedaverage</v>
      </c>
      <c r="C365" s="278" t="s">
        <v>1031</v>
      </c>
      <c r="D365" s="278" t="s">
        <v>1032</v>
      </c>
      <c r="E365" s="278" t="s">
        <v>990</v>
      </c>
      <c r="F365" s="278" t="s">
        <v>543</v>
      </c>
      <c r="G365" s="278" t="s">
        <v>5</v>
      </c>
      <c r="H365" s="290">
        <v>2.2000000000000002</v>
      </c>
      <c r="I365" s="280">
        <f>$I$2*H365</f>
        <v>177.36400000000003</v>
      </c>
      <c r="J365" s="281">
        <f t="shared" si="185"/>
        <v>201.14600000000004</v>
      </c>
      <c r="K365" s="282">
        <f>IF(Notes!$B$9="Domestic",I365, IF(Notes!$B$9="Commercial",J365))*$K$304</f>
        <v>201.14600000000004</v>
      </c>
      <c r="L365" s="283">
        <f>(SUM(O365:Q365)+(K365+SUM(M365:Q365))*(INDEX($U$304:$AB$304,MATCH(Notes!$C$16,$U$3:$AB$3,0))-100%))*$L$304</f>
        <v>409.18</v>
      </c>
      <c r="M365" s="286"/>
      <c r="N365" s="286"/>
      <c r="O365" s="285">
        <v>409.18</v>
      </c>
      <c r="P365" s="285"/>
      <c r="Q365" s="285"/>
      <c r="R365" s="278"/>
      <c r="S365" s="278"/>
      <c r="T365" s="278"/>
    </row>
    <row r="366" spans="1:20" s="305" customFormat="1" hidden="1" outlineLevel="1" x14ac:dyDescent="0.25">
      <c r="A366" s="278"/>
      <c r="B366" s="279" t="str">
        <f t="shared" si="184"/>
        <v>3 drawerup to 450mmdesigner laminatedquality</v>
      </c>
      <c r="C366" s="278" t="s">
        <v>1031</v>
      </c>
      <c r="D366" s="278" t="s">
        <v>1032</v>
      </c>
      <c r="E366" s="278" t="s">
        <v>990</v>
      </c>
      <c r="F366" s="278" t="s">
        <v>544</v>
      </c>
      <c r="G366" s="278" t="s">
        <v>5</v>
      </c>
      <c r="H366" s="290">
        <v>2.2000000000000002</v>
      </c>
      <c r="I366" s="280">
        <f t="shared" si="183"/>
        <v>177.36400000000003</v>
      </c>
      <c r="J366" s="281">
        <f t="shared" si="185"/>
        <v>201.14600000000004</v>
      </c>
      <c r="K366" s="282">
        <f>IF(Notes!$B$9="Domestic",I366, IF(Notes!$B$9="Commercial",J366))*$K$304</f>
        <v>201.14600000000004</v>
      </c>
      <c r="L366" s="283">
        <f>(SUM(O366:Q366)+(K366+SUM(M366:Q366))*(INDEX($U$304:$AB$304,MATCH(Notes!$C$16,$U$3:$AB$3,0))-100%))*$L$304</f>
        <v>450.09800000000007</v>
      </c>
      <c r="M366" s="286"/>
      <c r="N366" s="286"/>
      <c r="O366" s="311">
        <f>O365*1.1</f>
        <v>450.09800000000007</v>
      </c>
      <c r="P366" s="285"/>
      <c r="Q366" s="285"/>
      <c r="R366" s="278"/>
      <c r="S366" s="278"/>
      <c r="T366" s="278"/>
    </row>
    <row r="367" spans="1:20" s="305" customFormat="1" hidden="1" outlineLevel="1" x14ac:dyDescent="0.25">
      <c r="A367" s="278"/>
      <c r="B367" s="279" t="str">
        <f t="shared" si="184"/>
        <v>3 drawerup to 450mmdesigner laminatedprestige</v>
      </c>
      <c r="C367" s="278" t="s">
        <v>1031</v>
      </c>
      <c r="D367" s="278" t="s">
        <v>1032</v>
      </c>
      <c r="E367" s="278" t="s">
        <v>990</v>
      </c>
      <c r="F367" s="278" t="s">
        <v>545</v>
      </c>
      <c r="G367" s="278" t="s">
        <v>5</v>
      </c>
      <c r="H367" s="290">
        <v>2.2000000000000002</v>
      </c>
      <c r="I367" s="280">
        <f t="shared" si="183"/>
        <v>177.36400000000003</v>
      </c>
      <c r="J367" s="281">
        <f t="shared" si="185"/>
        <v>201.14600000000004</v>
      </c>
      <c r="K367" s="282">
        <f>IF(Notes!$B$9="Domestic",I367, IF(Notes!$B$9="Commercial",J367))*$K$304</f>
        <v>201.14600000000004</v>
      </c>
      <c r="L367" s="283">
        <f>(SUM(O367:Q367)+(K367+SUM(M367:Q367))*(INDEX($U$304:$AB$304,MATCH(Notes!$C$16,$U$3:$AB$3,0))-100%))*$L$304</f>
        <v>495.10780000000011</v>
      </c>
      <c r="M367" s="286"/>
      <c r="N367" s="286"/>
      <c r="O367" s="311">
        <f>O366*1.1</f>
        <v>495.10780000000011</v>
      </c>
      <c r="P367" s="285"/>
      <c r="Q367" s="285"/>
      <c r="R367" s="278"/>
      <c r="S367" s="278"/>
      <c r="T367" s="278"/>
    </row>
    <row r="368" spans="1:20" s="305" customFormat="1" hidden="1" outlineLevel="1" x14ac:dyDescent="0.25">
      <c r="A368" s="278"/>
      <c r="B368" s="279" t="str">
        <f t="shared" si="184"/>
        <v>3 drawer451mm to 600mmdesigner laminatedaverage</v>
      </c>
      <c r="C368" s="278" t="s">
        <v>1031</v>
      </c>
      <c r="D368" s="278" t="s">
        <v>556</v>
      </c>
      <c r="E368" s="278" t="s">
        <v>990</v>
      </c>
      <c r="F368" s="278" t="s">
        <v>543</v>
      </c>
      <c r="G368" s="278" t="s">
        <v>5</v>
      </c>
      <c r="H368" s="290">
        <v>2.2999999999999998</v>
      </c>
      <c r="I368" s="280">
        <f t="shared" si="183"/>
        <v>185.42599999999999</v>
      </c>
      <c r="J368" s="281">
        <f t="shared" si="185"/>
        <v>210.28899999999999</v>
      </c>
      <c r="K368" s="282">
        <f>IF(Notes!$B$9="Domestic",I368, IF(Notes!$B$9="Commercial",J368))*$K$304</f>
        <v>210.28899999999999</v>
      </c>
      <c r="L368" s="283">
        <f>(SUM(O368:Q368)+(K368+SUM(M368:Q368))*(INDEX($U$304:$AB$304,MATCH(Notes!$C$16,$U$3:$AB$3,0))-100%))*$L$304</f>
        <v>477.36</v>
      </c>
      <c r="M368" s="286"/>
      <c r="N368" s="286"/>
      <c r="O368" s="285">
        <v>477.36</v>
      </c>
      <c r="P368" s="285"/>
      <c r="Q368" s="285"/>
      <c r="R368" s="278"/>
      <c r="S368" s="278"/>
      <c r="T368" s="278"/>
    </row>
    <row r="369" spans="1:20" s="305" customFormat="1" hidden="1" outlineLevel="1" x14ac:dyDescent="0.25">
      <c r="A369" s="278"/>
      <c r="B369" s="279" t="str">
        <f t="shared" si="184"/>
        <v>3 drawer451mm to 600mmdesigner laminatedquality</v>
      </c>
      <c r="C369" s="278" t="s">
        <v>1031</v>
      </c>
      <c r="D369" s="278" t="s">
        <v>556</v>
      </c>
      <c r="E369" s="278" t="s">
        <v>990</v>
      </c>
      <c r="F369" s="278" t="s">
        <v>544</v>
      </c>
      <c r="G369" s="278" t="s">
        <v>5</v>
      </c>
      <c r="H369" s="290">
        <v>2.2999999999999998</v>
      </c>
      <c r="I369" s="280">
        <f t="shared" si="183"/>
        <v>185.42599999999999</v>
      </c>
      <c r="J369" s="281">
        <f t="shared" si="185"/>
        <v>210.28899999999999</v>
      </c>
      <c r="K369" s="282">
        <f>IF(Notes!$B$9="Domestic",I369, IF(Notes!$B$9="Commercial",J369))*$K$304</f>
        <v>210.28899999999999</v>
      </c>
      <c r="L369" s="283">
        <f>(SUM(O369:Q369)+(K369+SUM(M369:Q369))*(INDEX($U$304:$AB$304,MATCH(Notes!$C$16,$U$3:$AB$3,0))-100%))*$L$304</f>
        <v>525.096</v>
      </c>
      <c r="M369" s="286"/>
      <c r="N369" s="286"/>
      <c r="O369" s="311">
        <f>O368*1.1</f>
        <v>525.096</v>
      </c>
      <c r="P369" s="285"/>
      <c r="Q369" s="285"/>
      <c r="R369" s="278"/>
      <c r="S369" s="278"/>
      <c r="T369" s="278"/>
    </row>
    <row r="370" spans="1:20" s="305" customFormat="1" hidden="1" outlineLevel="1" x14ac:dyDescent="0.25">
      <c r="A370" s="278"/>
      <c r="B370" s="279" t="str">
        <f t="shared" si="184"/>
        <v>3 drawer451mm to 600mmdesigner laminatedprestige</v>
      </c>
      <c r="C370" s="278" t="s">
        <v>1031</v>
      </c>
      <c r="D370" s="278" t="s">
        <v>556</v>
      </c>
      <c r="E370" s="278" t="s">
        <v>990</v>
      </c>
      <c r="F370" s="278" t="s">
        <v>545</v>
      </c>
      <c r="G370" s="278" t="s">
        <v>5</v>
      </c>
      <c r="H370" s="290">
        <v>2.2999999999999998</v>
      </c>
      <c r="I370" s="280">
        <f t="shared" si="183"/>
        <v>185.42599999999999</v>
      </c>
      <c r="J370" s="281">
        <f t="shared" si="185"/>
        <v>210.28899999999999</v>
      </c>
      <c r="K370" s="282">
        <f>IF(Notes!$B$9="Domestic",I370, IF(Notes!$B$9="Commercial",J370))*$K$304</f>
        <v>210.28899999999999</v>
      </c>
      <c r="L370" s="283">
        <f>(SUM(O370:Q370)+(K370+SUM(M370:Q370))*(INDEX($U$304:$AB$304,MATCH(Notes!$C$16,$U$3:$AB$3,0))-100%))*$L$304</f>
        <v>577.60560000000009</v>
      </c>
      <c r="M370" s="286"/>
      <c r="N370" s="286"/>
      <c r="O370" s="311">
        <f>O369*1.1</f>
        <v>577.60560000000009</v>
      </c>
      <c r="P370" s="285"/>
      <c r="Q370" s="285"/>
      <c r="R370" s="278"/>
      <c r="S370" s="278"/>
      <c r="T370" s="278"/>
    </row>
    <row r="371" spans="1:20" s="305" customFormat="1" hidden="1" outlineLevel="1" x14ac:dyDescent="0.25">
      <c r="A371" s="278"/>
      <c r="B371" s="279" t="str">
        <f t="shared" si="184"/>
        <v>3 drawer601mm to 750mmdesigner laminatedaverage</v>
      </c>
      <c r="C371" s="278" t="s">
        <v>1031</v>
      </c>
      <c r="D371" s="278" t="s">
        <v>547</v>
      </c>
      <c r="E371" s="278" t="s">
        <v>990</v>
      </c>
      <c r="F371" s="278" t="s">
        <v>543</v>
      </c>
      <c r="G371" s="278" t="s">
        <v>5</v>
      </c>
      <c r="H371" s="290">
        <v>2.2999999999999998</v>
      </c>
      <c r="I371" s="280">
        <f t="shared" si="183"/>
        <v>185.42599999999999</v>
      </c>
      <c r="J371" s="281">
        <f t="shared" si="185"/>
        <v>210.28899999999999</v>
      </c>
      <c r="K371" s="282">
        <f>IF(Notes!$B$9="Domestic",I371, IF(Notes!$B$9="Commercial",J371))*$K$304</f>
        <v>210.28899999999999</v>
      </c>
      <c r="L371" s="283">
        <f>(SUM(O371:Q371)+(K371+SUM(M371:Q371))*(INDEX($U$304:$AB$304,MATCH(Notes!$C$16,$U$3:$AB$3,0))-100%))*$L$304</f>
        <v>545.54999999999995</v>
      </c>
      <c r="M371" s="286"/>
      <c r="N371" s="286"/>
      <c r="O371" s="285">
        <v>545.54999999999995</v>
      </c>
      <c r="P371" s="285"/>
      <c r="Q371" s="285"/>
      <c r="R371" s="278"/>
      <c r="S371" s="278"/>
      <c r="T371" s="278"/>
    </row>
    <row r="372" spans="1:20" s="305" customFormat="1" hidden="1" outlineLevel="1" x14ac:dyDescent="0.25">
      <c r="A372" s="278"/>
      <c r="B372" s="279" t="str">
        <f t="shared" si="184"/>
        <v>3 drawer601mm to 750mmdesigner laminatedquality</v>
      </c>
      <c r="C372" s="278" t="s">
        <v>1031</v>
      </c>
      <c r="D372" s="278" t="s">
        <v>547</v>
      </c>
      <c r="E372" s="278" t="s">
        <v>990</v>
      </c>
      <c r="F372" s="278" t="s">
        <v>544</v>
      </c>
      <c r="G372" s="278" t="s">
        <v>5</v>
      </c>
      <c r="H372" s="290">
        <v>2.2999999999999998</v>
      </c>
      <c r="I372" s="280">
        <f t="shared" si="183"/>
        <v>185.42599999999999</v>
      </c>
      <c r="J372" s="281">
        <f t="shared" si="185"/>
        <v>210.28899999999999</v>
      </c>
      <c r="K372" s="282">
        <f>IF(Notes!$B$9="Domestic",I372, IF(Notes!$B$9="Commercial",J372))*$K$304</f>
        <v>210.28899999999999</v>
      </c>
      <c r="L372" s="283">
        <f>(SUM(O372:Q372)+(K372+SUM(M372:Q372))*(INDEX($U$304:$AB$304,MATCH(Notes!$C$16,$U$3:$AB$3,0))-100%))*$L$304</f>
        <v>600.10500000000002</v>
      </c>
      <c r="M372" s="286"/>
      <c r="N372" s="286"/>
      <c r="O372" s="311">
        <f>O371*1.1</f>
        <v>600.10500000000002</v>
      </c>
      <c r="P372" s="285"/>
      <c r="Q372" s="285"/>
      <c r="R372" s="278"/>
      <c r="S372" s="278"/>
      <c r="T372" s="278"/>
    </row>
    <row r="373" spans="1:20" s="305" customFormat="1" hidden="1" outlineLevel="1" x14ac:dyDescent="0.25">
      <c r="A373" s="278"/>
      <c r="B373" s="279" t="str">
        <f t="shared" si="184"/>
        <v>3 drawer601mm to 750mmdesigner laminatedprestige</v>
      </c>
      <c r="C373" s="278" t="s">
        <v>1031</v>
      </c>
      <c r="D373" s="278" t="s">
        <v>547</v>
      </c>
      <c r="E373" s="278" t="s">
        <v>990</v>
      </c>
      <c r="F373" s="278" t="s">
        <v>545</v>
      </c>
      <c r="G373" s="278" t="s">
        <v>5</v>
      </c>
      <c r="H373" s="290">
        <v>2.2999999999999998</v>
      </c>
      <c r="I373" s="280">
        <f t="shared" si="183"/>
        <v>185.42599999999999</v>
      </c>
      <c r="J373" s="281">
        <f t="shared" si="185"/>
        <v>210.28899999999999</v>
      </c>
      <c r="K373" s="282">
        <f>IF(Notes!$B$9="Domestic",I373, IF(Notes!$B$9="Commercial",J373))*$K$304</f>
        <v>210.28899999999999</v>
      </c>
      <c r="L373" s="283">
        <f>(SUM(O373:Q373)+(K373+SUM(M373:Q373))*(INDEX($U$304:$AB$304,MATCH(Notes!$C$16,$U$3:$AB$3,0))-100%))*$L$304</f>
        <v>660.11550000000011</v>
      </c>
      <c r="M373" s="286"/>
      <c r="N373" s="286"/>
      <c r="O373" s="311">
        <f>O372*1.1</f>
        <v>660.11550000000011</v>
      </c>
      <c r="P373" s="285"/>
      <c r="Q373" s="285"/>
      <c r="R373" s="278"/>
      <c r="S373" s="278"/>
      <c r="T373" s="278"/>
    </row>
    <row r="374" spans="1:20" s="305" customFormat="1" hidden="1" outlineLevel="1" x14ac:dyDescent="0.25">
      <c r="A374" s="278"/>
      <c r="B374" s="279" t="str">
        <f t="shared" si="184"/>
        <v>3 drawer751mm to 900mmdesigner laminatedaverage</v>
      </c>
      <c r="C374" s="278" t="s">
        <v>1031</v>
      </c>
      <c r="D374" s="278" t="s">
        <v>548</v>
      </c>
      <c r="E374" s="278" t="s">
        <v>990</v>
      </c>
      <c r="F374" s="278" t="s">
        <v>543</v>
      </c>
      <c r="G374" s="278" t="s">
        <v>5</v>
      </c>
      <c r="H374" s="290">
        <v>2.2999999999999998</v>
      </c>
      <c r="I374" s="280">
        <f t="shared" si="183"/>
        <v>185.42599999999999</v>
      </c>
      <c r="J374" s="281">
        <f t="shared" si="185"/>
        <v>210.28899999999999</v>
      </c>
      <c r="K374" s="282">
        <f>IF(Notes!$B$9="Domestic",I374, IF(Notes!$B$9="Commercial",J374))*$K$304</f>
        <v>210.28899999999999</v>
      </c>
      <c r="L374" s="283">
        <f>(SUM(O374:Q374)+(K374+SUM(M374:Q374))*(INDEX($U$304:$AB$304,MATCH(Notes!$C$16,$U$3:$AB$3,0))-100%))*$L$304</f>
        <v>612.82000000000005</v>
      </c>
      <c r="M374" s="286"/>
      <c r="N374" s="286"/>
      <c r="O374" s="285">
        <v>612.82000000000005</v>
      </c>
      <c r="P374" s="285"/>
      <c r="Q374" s="285"/>
      <c r="R374" s="278"/>
      <c r="S374" s="278"/>
      <c r="T374" s="278"/>
    </row>
    <row r="375" spans="1:20" s="305" customFormat="1" hidden="1" outlineLevel="1" x14ac:dyDescent="0.25">
      <c r="A375" s="278"/>
      <c r="B375" s="279" t="str">
        <f t="shared" si="184"/>
        <v>3 drawer751mm to 900mmdesigner laminatedquality</v>
      </c>
      <c r="C375" s="278" t="s">
        <v>1031</v>
      </c>
      <c r="D375" s="278" t="s">
        <v>548</v>
      </c>
      <c r="E375" s="278" t="s">
        <v>990</v>
      </c>
      <c r="F375" s="278" t="s">
        <v>544</v>
      </c>
      <c r="G375" s="278" t="s">
        <v>5</v>
      </c>
      <c r="H375" s="290">
        <v>2.2999999999999998</v>
      </c>
      <c r="I375" s="280">
        <f t="shared" si="183"/>
        <v>185.42599999999999</v>
      </c>
      <c r="J375" s="281">
        <f t="shared" si="185"/>
        <v>210.28899999999999</v>
      </c>
      <c r="K375" s="282">
        <f>IF(Notes!$B$9="Domestic",I375, IF(Notes!$B$9="Commercial",J375))*$K$304</f>
        <v>210.28899999999999</v>
      </c>
      <c r="L375" s="283">
        <f>(SUM(O375:Q375)+(K375+SUM(M375:Q375))*(INDEX($U$304:$AB$304,MATCH(Notes!$C$16,$U$3:$AB$3,0))-100%))*$L$304</f>
        <v>674.10200000000009</v>
      </c>
      <c r="M375" s="286"/>
      <c r="N375" s="286"/>
      <c r="O375" s="311">
        <f>O374*1.1</f>
        <v>674.10200000000009</v>
      </c>
      <c r="P375" s="285"/>
      <c r="Q375" s="285"/>
      <c r="R375" s="278"/>
      <c r="S375" s="278"/>
      <c r="T375" s="278"/>
    </row>
    <row r="376" spans="1:20" s="305" customFormat="1" hidden="1" outlineLevel="1" x14ac:dyDescent="0.25">
      <c r="A376" s="278"/>
      <c r="B376" s="279" t="str">
        <f t="shared" si="184"/>
        <v>3 drawer751mm to 900mmdesigner laminatedprestige</v>
      </c>
      <c r="C376" s="278" t="s">
        <v>1031</v>
      </c>
      <c r="D376" s="278" t="s">
        <v>548</v>
      </c>
      <c r="E376" s="278" t="s">
        <v>990</v>
      </c>
      <c r="F376" s="278" t="s">
        <v>545</v>
      </c>
      <c r="G376" s="278" t="s">
        <v>5</v>
      </c>
      <c r="H376" s="290">
        <v>2.2999999999999998</v>
      </c>
      <c r="I376" s="280">
        <f t="shared" si="183"/>
        <v>185.42599999999999</v>
      </c>
      <c r="J376" s="281">
        <f t="shared" si="185"/>
        <v>210.28899999999999</v>
      </c>
      <c r="K376" s="282">
        <f>IF(Notes!$B$9="Domestic",I376, IF(Notes!$B$9="Commercial",J376))*$K$304</f>
        <v>210.28899999999999</v>
      </c>
      <c r="L376" s="283">
        <f>(SUM(O376:Q376)+(K376+SUM(M376:Q376))*(INDEX($U$304:$AB$304,MATCH(Notes!$C$16,$U$3:$AB$3,0))-100%))*$L$304</f>
        <v>741.51220000000012</v>
      </c>
      <c r="M376" s="286"/>
      <c r="N376" s="286"/>
      <c r="O376" s="311">
        <f>O375*1.1</f>
        <v>741.51220000000012</v>
      </c>
      <c r="P376" s="285"/>
      <c r="Q376" s="285"/>
      <c r="R376" s="278"/>
      <c r="S376" s="278"/>
      <c r="T376" s="278"/>
    </row>
    <row r="377" spans="1:20" s="305" customFormat="1" hidden="1" outlineLevel="1" x14ac:dyDescent="0.25">
      <c r="A377" s="278"/>
      <c r="B377" s="279" t="str">
        <f t="shared" ref="B377:B440" si="188">C377&amp;D377&amp;E377&amp;F377</f>
        <v>3 drawerup to 450mmstandard 2 packaverage</v>
      </c>
      <c r="C377" s="278" t="s">
        <v>1031</v>
      </c>
      <c r="D377" s="278" t="s">
        <v>1032</v>
      </c>
      <c r="E377" s="278" t="s">
        <v>991</v>
      </c>
      <c r="F377" s="278" t="s">
        <v>543</v>
      </c>
      <c r="G377" s="278" t="s">
        <v>5</v>
      </c>
      <c r="H377" s="290">
        <v>2.2000000000000002</v>
      </c>
      <c r="I377" s="280">
        <f t="shared" si="183"/>
        <v>177.36400000000003</v>
      </c>
      <c r="J377" s="281">
        <f t="shared" ref="J377:J440" si="189">$J$2*H377</f>
        <v>201.14600000000004</v>
      </c>
      <c r="K377" s="282">
        <f>IF(Notes!$B$9="Domestic",I377, IF(Notes!$B$9="Commercial",J377))*$K$304</f>
        <v>201.14600000000004</v>
      </c>
      <c r="L377" s="283">
        <f>(SUM(O377:Q377)+(K377+SUM(M377:Q377))*(INDEX($U$304:$AB$304,MATCH(Notes!$C$16,$U$3:$AB$3,0))-100%))*$L$304</f>
        <v>421.91</v>
      </c>
      <c r="M377" s="286"/>
      <c r="N377" s="286"/>
      <c r="O377" s="285">
        <v>421.91</v>
      </c>
      <c r="P377" s="285"/>
      <c r="Q377" s="285"/>
      <c r="R377" s="278"/>
      <c r="S377" s="278"/>
      <c r="T377" s="278"/>
    </row>
    <row r="378" spans="1:20" s="305" customFormat="1" hidden="1" outlineLevel="1" x14ac:dyDescent="0.25">
      <c r="A378" s="278"/>
      <c r="B378" s="279" t="str">
        <f t="shared" si="188"/>
        <v>3 drawerup to 450mmstandard 2 packquality</v>
      </c>
      <c r="C378" s="278" t="s">
        <v>1031</v>
      </c>
      <c r="D378" s="278" t="s">
        <v>1032</v>
      </c>
      <c r="E378" s="278" t="s">
        <v>991</v>
      </c>
      <c r="F378" s="278" t="s">
        <v>544</v>
      </c>
      <c r="G378" s="278" t="s">
        <v>5</v>
      </c>
      <c r="H378" s="290">
        <v>2.2000000000000002</v>
      </c>
      <c r="I378" s="280">
        <f t="shared" si="183"/>
        <v>177.36400000000003</v>
      </c>
      <c r="J378" s="281">
        <f t="shared" si="189"/>
        <v>201.14600000000004</v>
      </c>
      <c r="K378" s="282">
        <f>IF(Notes!$B$9="Domestic",I378, IF(Notes!$B$9="Commercial",J378))*$K$304</f>
        <v>201.14600000000004</v>
      </c>
      <c r="L378" s="283">
        <f>(SUM(O378:Q378)+(K378+SUM(M378:Q378))*(INDEX($U$304:$AB$304,MATCH(Notes!$C$16,$U$3:$AB$3,0))-100%))*$L$304</f>
        <v>464.10100000000006</v>
      </c>
      <c r="M378" s="286"/>
      <c r="N378" s="286"/>
      <c r="O378" s="311">
        <f>O377*1.1</f>
        <v>464.10100000000006</v>
      </c>
      <c r="P378" s="285"/>
      <c r="Q378" s="285"/>
      <c r="R378" s="278"/>
      <c r="S378" s="278"/>
      <c r="T378" s="278"/>
    </row>
    <row r="379" spans="1:20" s="305" customFormat="1" hidden="1" outlineLevel="1" x14ac:dyDescent="0.25">
      <c r="A379" s="278"/>
      <c r="B379" s="279" t="str">
        <f t="shared" si="188"/>
        <v>3 drawerup to 450mmstandard 2 packprestige</v>
      </c>
      <c r="C379" s="278" t="s">
        <v>1031</v>
      </c>
      <c r="D379" s="278" t="s">
        <v>1032</v>
      </c>
      <c r="E379" s="278" t="s">
        <v>991</v>
      </c>
      <c r="F379" s="278" t="s">
        <v>545</v>
      </c>
      <c r="G379" s="278" t="s">
        <v>5</v>
      </c>
      <c r="H379" s="290">
        <v>2.2000000000000002</v>
      </c>
      <c r="I379" s="280">
        <f t="shared" si="183"/>
        <v>177.36400000000003</v>
      </c>
      <c r="J379" s="281">
        <f t="shared" si="189"/>
        <v>201.14600000000004</v>
      </c>
      <c r="K379" s="282">
        <f>IF(Notes!$B$9="Domestic",I379, IF(Notes!$B$9="Commercial",J379))*$K$304</f>
        <v>201.14600000000004</v>
      </c>
      <c r="L379" s="283">
        <f>(SUM(O379:Q379)+(K379+SUM(M379:Q379))*(INDEX($U$304:$AB$304,MATCH(Notes!$C$16,$U$3:$AB$3,0))-100%))*$L$304</f>
        <v>510.51110000000011</v>
      </c>
      <c r="M379" s="286"/>
      <c r="N379" s="286"/>
      <c r="O379" s="311">
        <f>O378*1.1</f>
        <v>510.51110000000011</v>
      </c>
      <c r="P379" s="285"/>
      <c r="Q379" s="285"/>
      <c r="R379" s="278"/>
      <c r="S379" s="278"/>
      <c r="T379" s="278"/>
    </row>
    <row r="380" spans="1:20" s="305" customFormat="1" hidden="1" outlineLevel="1" x14ac:dyDescent="0.25">
      <c r="A380" s="278"/>
      <c r="B380" s="279" t="str">
        <f t="shared" si="188"/>
        <v>3 drawer451mm to 600mmstandard 2 packaverage</v>
      </c>
      <c r="C380" s="278" t="s">
        <v>1031</v>
      </c>
      <c r="D380" s="278" t="s">
        <v>556</v>
      </c>
      <c r="E380" s="278" t="s">
        <v>991</v>
      </c>
      <c r="F380" s="278" t="s">
        <v>543</v>
      </c>
      <c r="G380" s="278" t="s">
        <v>5</v>
      </c>
      <c r="H380" s="290">
        <v>2.2999999999999998</v>
      </c>
      <c r="I380" s="280">
        <f>$I$2*H380</f>
        <v>185.42599999999999</v>
      </c>
      <c r="J380" s="281">
        <f t="shared" si="189"/>
        <v>210.28899999999999</v>
      </c>
      <c r="K380" s="282">
        <f>IF(Notes!$B$9="Domestic",I380, IF(Notes!$B$9="Commercial",J380))*$K$304</f>
        <v>210.28899999999999</v>
      </c>
      <c r="L380" s="283">
        <f>(SUM(O380:Q380)+(K380+SUM(M380:Q380))*(INDEX($U$304:$AB$304,MATCH(Notes!$C$16,$U$3:$AB$3,0))-100%))*$L$304</f>
        <v>489.18</v>
      </c>
      <c r="M380" s="286"/>
      <c r="N380" s="286"/>
      <c r="O380" s="285">
        <v>489.18</v>
      </c>
      <c r="P380" s="285"/>
      <c r="Q380" s="285"/>
      <c r="R380" s="278"/>
      <c r="S380" s="278"/>
      <c r="T380" s="278"/>
    </row>
    <row r="381" spans="1:20" s="305" customFormat="1" hidden="1" outlineLevel="1" x14ac:dyDescent="0.25">
      <c r="A381" s="278"/>
      <c r="B381" s="279" t="str">
        <f t="shared" si="188"/>
        <v>3 drawer451mm to 600mmstandard 2 packquality</v>
      </c>
      <c r="C381" s="278" t="s">
        <v>1031</v>
      </c>
      <c r="D381" s="278" t="s">
        <v>556</v>
      </c>
      <c r="E381" s="278" t="s">
        <v>991</v>
      </c>
      <c r="F381" s="278" t="s">
        <v>544</v>
      </c>
      <c r="G381" s="278" t="s">
        <v>5</v>
      </c>
      <c r="H381" s="290">
        <v>2.2999999999999998</v>
      </c>
      <c r="I381" s="280">
        <f t="shared" ref="I381:I388" si="190">$I$2*H381</f>
        <v>185.42599999999999</v>
      </c>
      <c r="J381" s="281">
        <f t="shared" si="189"/>
        <v>210.28899999999999</v>
      </c>
      <c r="K381" s="282">
        <f>IF(Notes!$B$9="Domestic",I381, IF(Notes!$B$9="Commercial",J381))*$K$304</f>
        <v>210.28899999999999</v>
      </c>
      <c r="L381" s="283">
        <f>(SUM(O381:Q381)+(K381+SUM(M381:Q381))*(INDEX($U$304:$AB$304,MATCH(Notes!$C$16,$U$3:$AB$3,0))-100%))*$L$304</f>
        <v>538.09800000000007</v>
      </c>
      <c r="M381" s="286"/>
      <c r="N381" s="286"/>
      <c r="O381" s="311">
        <f>O380*1.1</f>
        <v>538.09800000000007</v>
      </c>
      <c r="P381" s="285"/>
      <c r="Q381" s="285"/>
      <c r="R381" s="278"/>
      <c r="S381" s="278"/>
      <c r="T381" s="278"/>
    </row>
    <row r="382" spans="1:20" s="305" customFormat="1" hidden="1" outlineLevel="1" x14ac:dyDescent="0.25">
      <c r="A382" s="278"/>
      <c r="B382" s="279" t="str">
        <f t="shared" si="188"/>
        <v>3 drawer451mm to 600mmstandard 2 packprestige</v>
      </c>
      <c r="C382" s="278" t="s">
        <v>1031</v>
      </c>
      <c r="D382" s="278" t="s">
        <v>556</v>
      </c>
      <c r="E382" s="278" t="s">
        <v>991</v>
      </c>
      <c r="F382" s="278" t="s">
        <v>545</v>
      </c>
      <c r="G382" s="278" t="s">
        <v>5</v>
      </c>
      <c r="H382" s="290">
        <v>2.2999999999999998</v>
      </c>
      <c r="I382" s="280">
        <f t="shared" si="190"/>
        <v>185.42599999999999</v>
      </c>
      <c r="J382" s="281">
        <f t="shared" si="189"/>
        <v>210.28899999999999</v>
      </c>
      <c r="K382" s="282">
        <f>IF(Notes!$B$9="Domestic",I382, IF(Notes!$B$9="Commercial",J382))*$K$304</f>
        <v>210.28899999999999</v>
      </c>
      <c r="L382" s="283">
        <f>(SUM(O382:Q382)+(K382+SUM(M382:Q382))*(INDEX($U$304:$AB$304,MATCH(Notes!$C$16,$U$3:$AB$3,0))-100%))*$L$304</f>
        <v>591.90780000000018</v>
      </c>
      <c r="M382" s="286"/>
      <c r="N382" s="286"/>
      <c r="O382" s="311">
        <f>O381*1.1</f>
        <v>591.90780000000018</v>
      </c>
      <c r="P382" s="285"/>
      <c r="Q382" s="285"/>
      <c r="R382" s="278"/>
      <c r="S382" s="278"/>
      <c r="T382" s="278"/>
    </row>
    <row r="383" spans="1:20" s="305" customFormat="1" hidden="1" outlineLevel="1" x14ac:dyDescent="0.25">
      <c r="A383" s="278"/>
      <c r="B383" s="279" t="str">
        <f t="shared" si="188"/>
        <v>3 drawer601mm to 750mmstandard 2 packaverage</v>
      </c>
      <c r="C383" s="278" t="s">
        <v>1031</v>
      </c>
      <c r="D383" s="278" t="s">
        <v>547</v>
      </c>
      <c r="E383" s="278" t="s">
        <v>991</v>
      </c>
      <c r="F383" s="278" t="s">
        <v>543</v>
      </c>
      <c r="G383" s="278" t="s">
        <v>5</v>
      </c>
      <c r="H383" s="290">
        <v>2.2999999999999998</v>
      </c>
      <c r="I383" s="280">
        <f t="shared" si="190"/>
        <v>185.42599999999999</v>
      </c>
      <c r="J383" s="281">
        <f t="shared" si="189"/>
        <v>210.28899999999999</v>
      </c>
      <c r="K383" s="282">
        <f>IF(Notes!$B$9="Domestic",I383, IF(Notes!$B$9="Commercial",J383))*$K$304</f>
        <v>210.28899999999999</v>
      </c>
      <c r="L383" s="283">
        <f>(SUM(O383:Q383)+(K383+SUM(M383:Q383))*(INDEX($U$304:$AB$304,MATCH(Notes!$C$16,$U$3:$AB$3,0))-100%))*$L$304</f>
        <v>557.36</v>
      </c>
      <c r="M383" s="286"/>
      <c r="N383" s="286"/>
      <c r="O383" s="285">
        <v>557.36</v>
      </c>
      <c r="P383" s="285"/>
      <c r="Q383" s="285"/>
      <c r="R383" s="278"/>
      <c r="S383" s="278"/>
      <c r="T383" s="278"/>
    </row>
    <row r="384" spans="1:20" s="305" customFormat="1" hidden="1" outlineLevel="1" x14ac:dyDescent="0.25">
      <c r="A384" s="278"/>
      <c r="B384" s="279" t="str">
        <f t="shared" si="188"/>
        <v>3 drawer601mm to 750mmstandard 2 packquality</v>
      </c>
      <c r="C384" s="278" t="s">
        <v>1031</v>
      </c>
      <c r="D384" s="278" t="s">
        <v>547</v>
      </c>
      <c r="E384" s="278" t="s">
        <v>991</v>
      </c>
      <c r="F384" s="278" t="s">
        <v>544</v>
      </c>
      <c r="G384" s="278" t="s">
        <v>5</v>
      </c>
      <c r="H384" s="290">
        <v>2.2999999999999998</v>
      </c>
      <c r="I384" s="280">
        <f t="shared" si="190"/>
        <v>185.42599999999999</v>
      </c>
      <c r="J384" s="281">
        <f t="shared" si="189"/>
        <v>210.28899999999999</v>
      </c>
      <c r="K384" s="282">
        <f>IF(Notes!$B$9="Domestic",I384, IF(Notes!$B$9="Commercial",J384))*$K$304</f>
        <v>210.28899999999999</v>
      </c>
      <c r="L384" s="283">
        <f>(SUM(O384:Q384)+(K384+SUM(M384:Q384))*(INDEX($U$304:$AB$304,MATCH(Notes!$C$16,$U$3:$AB$3,0))-100%))*$L$304</f>
        <v>613.09600000000012</v>
      </c>
      <c r="M384" s="286"/>
      <c r="N384" s="286"/>
      <c r="O384" s="311">
        <f>O383*1.1</f>
        <v>613.09600000000012</v>
      </c>
      <c r="P384" s="285"/>
      <c r="Q384" s="285"/>
      <c r="R384" s="278"/>
      <c r="S384" s="278"/>
      <c r="T384" s="278"/>
    </row>
    <row r="385" spans="1:20" s="305" customFormat="1" hidden="1" outlineLevel="1" x14ac:dyDescent="0.25">
      <c r="A385" s="278"/>
      <c r="B385" s="279" t="str">
        <f t="shared" si="188"/>
        <v>3 drawer601mm to 750mmstandard 2 packprestige</v>
      </c>
      <c r="C385" s="278" t="s">
        <v>1031</v>
      </c>
      <c r="D385" s="278" t="s">
        <v>547</v>
      </c>
      <c r="E385" s="278" t="s">
        <v>991</v>
      </c>
      <c r="F385" s="278" t="s">
        <v>545</v>
      </c>
      <c r="G385" s="278" t="s">
        <v>5</v>
      </c>
      <c r="H385" s="290">
        <v>2.2999999999999998</v>
      </c>
      <c r="I385" s="280">
        <f t="shared" si="190"/>
        <v>185.42599999999999</v>
      </c>
      <c r="J385" s="281">
        <f t="shared" si="189"/>
        <v>210.28899999999999</v>
      </c>
      <c r="K385" s="282">
        <f>IF(Notes!$B$9="Domestic",I385, IF(Notes!$B$9="Commercial",J385))*$K$304</f>
        <v>210.28899999999999</v>
      </c>
      <c r="L385" s="283">
        <f>(SUM(O385:Q385)+(K385+SUM(M385:Q385))*(INDEX($U$304:$AB$304,MATCH(Notes!$C$16,$U$3:$AB$3,0))-100%))*$L$304</f>
        <v>674.40560000000016</v>
      </c>
      <c r="M385" s="286"/>
      <c r="N385" s="286"/>
      <c r="O385" s="311">
        <f>O384*1.1</f>
        <v>674.40560000000016</v>
      </c>
      <c r="P385" s="285"/>
      <c r="Q385" s="285"/>
      <c r="R385" s="278"/>
      <c r="S385" s="278"/>
      <c r="T385" s="278"/>
    </row>
    <row r="386" spans="1:20" s="305" customFormat="1" hidden="1" outlineLevel="1" x14ac:dyDescent="0.25">
      <c r="A386" s="278"/>
      <c r="B386" s="279" t="str">
        <f t="shared" si="188"/>
        <v>3 drawer751mm to 900mmstandard 2 packaverage</v>
      </c>
      <c r="C386" s="278" t="s">
        <v>1031</v>
      </c>
      <c r="D386" s="278" t="s">
        <v>548</v>
      </c>
      <c r="E386" s="278" t="s">
        <v>991</v>
      </c>
      <c r="F386" s="278" t="s">
        <v>543</v>
      </c>
      <c r="G386" s="278" t="s">
        <v>5</v>
      </c>
      <c r="H386" s="290">
        <v>2.2999999999999998</v>
      </c>
      <c r="I386" s="280">
        <f t="shared" si="190"/>
        <v>185.42599999999999</v>
      </c>
      <c r="J386" s="281">
        <f t="shared" si="189"/>
        <v>210.28899999999999</v>
      </c>
      <c r="K386" s="282">
        <f>IF(Notes!$B$9="Domestic",I386, IF(Notes!$B$9="Commercial",J386))*$K$304</f>
        <v>210.28899999999999</v>
      </c>
      <c r="L386" s="283">
        <f>(SUM(O386:Q386)+(K386+SUM(M386:Q386))*(INDEX($U$304:$AB$304,MATCH(Notes!$C$16,$U$3:$AB$3,0))-100%))*$L$304</f>
        <v>625.54999999999995</v>
      </c>
      <c r="M386" s="286"/>
      <c r="N386" s="286"/>
      <c r="O386" s="285">
        <v>625.54999999999995</v>
      </c>
      <c r="P386" s="285"/>
      <c r="Q386" s="285"/>
      <c r="R386" s="278"/>
      <c r="S386" s="278"/>
      <c r="T386" s="278"/>
    </row>
    <row r="387" spans="1:20" s="305" customFormat="1" hidden="1" outlineLevel="1" x14ac:dyDescent="0.25">
      <c r="A387" s="278"/>
      <c r="B387" s="279" t="str">
        <f t="shared" si="188"/>
        <v>3 drawer751mm to 900mmstandard 2 packquality</v>
      </c>
      <c r="C387" s="278" t="s">
        <v>1031</v>
      </c>
      <c r="D387" s="278" t="s">
        <v>548</v>
      </c>
      <c r="E387" s="278" t="s">
        <v>991</v>
      </c>
      <c r="F387" s="278" t="s">
        <v>544</v>
      </c>
      <c r="G387" s="278" t="s">
        <v>5</v>
      </c>
      <c r="H387" s="290">
        <v>2.2999999999999998</v>
      </c>
      <c r="I387" s="280">
        <f t="shared" si="190"/>
        <v>185.42599999999999</v>
      </c>
      <c r="J387" s="281">
        <f t="shared" si="189"/>
        <v>210.28899999999999</v>
      </c>
      <c r="K387" s="282">
        <f>IF(Notes!$B$9="Domestic",I387, IF(Notes!$B$9="Commercial",J387))*$K$304</f>
        <v>210.28899999999999</v>
      </c>
      <c r="L387" s="283">
        <f>(SUM(O387:Q387)+(K387+SUM(M387:Q387))*(INDEX($U$304:$AB$304,MATCH(Notes!$C$16,$U$3:$AB$3,0))-100%))*$L$304</f>
        <v>688.10500000000002</v>
      </c>
      <c r="M387" s="286"/>
      <c r="N387" s="286"/>
      <c r="O387" s="311">
        <f>O386*1.1</f>
        <v>688.10500000000002</v>
      </c>
      <c r="P387" s="285"/>
      <c r="Q387" s="285"/>
      <c r="R387" s="278"/>
      <c r="S387" s="278"/>
      <c r="T387" s="278"/>
    </row>
    <row r="388" spans="1:20" s="305" customFormat="1" hidden="1" outlineLevel="1" x14ac:dyDescent="0.25">
      <c r="A388" s="278"/>
      <c r="B388" s="279" t="str">
        <f t="shared" si="188"/>
        <v>3 drawer751mm to 900mmstandard 2 packprestige</v>
      </c>
      <c r="C388" s="278" t="s">
        <v>1031</v>
      </c>
      <c r="D388" s="278" t="s">
        <v>548</v>
      </c>
      <c r="E388" s="278" t="s">
        <v>991</v>
      </c>
      <c r="F388" s="278" t="s">
        <v>545</v>
      </c>
      <c r="G388" s="278" t="s">
        <v>5</v>
      </c>
      <c r="H388" s="290">
        <v>2.2999999999999998</v>
      </c>
      <c r="I388" s="280">
        <f t="shared" si="190"/>
        <v>185.42599999999999</v>
      </c>
      <c r="J388" s="281">
        <f t="shared" si="189"/>
        <v>210.28899999999999</v>
      </c>
      <c r="K388" s="282">
        <f>IF(Notes!$B$9="Domestic",I388, IF(Notes!$B$9="Commercial",J388))*$K$304</f>
        <v>210.28899999999999</v>
      </c>
      <c r="L388" s="283">
        <f>(SUM(O388:Q388)+(K388+SUM(M388:Q388))*(INDEX($U$304:$AB$304,MATCH(Notes!$C$16,$U$3:$AB$3,0))-100%))*$L$304</f>
        <v>756.91550000000007</v>
      </c>
      <c r="M388" s="286"/>
      <c r="N388" s="286"/>
      <c r="O388" s="311">
        <f>O387*1.1</f>
        <v>756.91550000000007</v>
      </c>
      <c r="P388" s="285"/>
      <c r="Q388" s="285"/>
      <c r="R388" s="278"/>
      <c r="S388" s="278"/>
      <c r="T388" s="278"/>
    </row>
    <row r="389" spans="1:20" s="305" customFormat="1" hidden="1" outlineLevel="1" x14ac:dyDescent="0.25">
      <c r="A389" s="278"/>
      <c r="B389" s="279" t="str">
        <f t="shared" si="188"/>
        <v>3 drawerup to 450mmdesigner 2 packaverage</v>
      </c>
      <c r="C389" s="278" t="s">
        <v>1031</v>
      </c>
      <c r="D389" s="278" t="s">
        <v>1032</v>
      </c>
      <c r="E389" s="278" t="s">
        <v>992</v>
      </c>
      <c r="F389" s="278" t="s">
        <v>543</v>
      </c>
      <c r="G389" s="278" t="s">
        <v>5</v>
      </c>
      <c r="H389" s="290">
        <v>2.2000000000000002</v>
      </c>
      <c r="I389" s="280">
        <f>$I$2*H389</f>
        <v>177.36400000000003</v>
      </c>
      <c r="J389" s="281">
        <f t="shared" si="189"/>
        <v>201.14600000000004</v>
      </c>
      <c r="K389" s="282">
        <f>IF(Notes!$B$9="Domestic",I389, IF(Notes!$B$9="Commercial",J389))*$K$304</f>
        <v>201.14600000000004</v>
      </c>
      <c r="L389" s="283">
        <f>(SUM(O389:Q389)+(K389+SUM(M389:Q389))*(INDEX($U$304:$AB$304,MATCH(Notes!$C$16,$U$3:$AB$3,0))-100%))*$L$304</f>
        <v>641.54</v>
      </c>
      <c r="M389" s="286"/>
      <c r="N389" s="286"/>
      <c r="O389" s="285">
        <v>641.54</v>
      </c>
      <c r="P389" s="285"/>
      <c r="Q389" s="285"/>
      <c r="R389" s="278"/>
      <c r="S389" s="278"/>
      <c r="T389" s="278"/>
    </row>
    <row r="390" spans="1:20" s="305" customFormat="1" hidden="1" outlineLevel="1" x14ac:dyDescent="0.25">
      <c r="A390" s="278"/>
      <c r="B390" s="279" t="str">
        <f t="shared" si="188"/>
        <v>3 drawerup to 450mmdesigner 2 packquality</v>
      </c>
      <c r="C390" s="278" t="s">
        <v>1031</v>
      </c>
      <c r="D390" s="278" t="s">
        <v>1032</v>
      </c>
      <c r="E390" s="278" t="s">
        <v>992</v>
      </c>
      <c r="F390" s="278" t="s">
        <v>544</v>
      </c>
      <c r="G390" s="278" t="s">
        <v>5</v>
      </c>
      <c r="H390" s="290">
        <v>2.2000000000000002</v>
      </c>
      <c r="I390" s="280">
        <f t="shared" si="183"/>
        <v>177.36400000000003</v>
      </c>
      <c r="J390" s="281">
        <f t="shared" si="189"/>
        <v>201.14600000000004</v>
      </c>
      <c r="K390" s="282">
        <f>IF(Notes!$B$9="Domestic",I390, IF(Notes!$B$9="Commercial",J390))*$K$304</f>
        <v>201.14600000000004</v>
      </c>
      <c r="L390" s="283">
        <f>(SUM(O390:Q390)+(K390+SUM(M390:Q390))*(INDEX($U$304:$AB$304,MATCH(Notes!$C$16,$U$3:$AB$3,0))-100%))*$L$304</f>
        <v>705.69400000000007</v>
      </c>
      <c r="M390" s="286"/>
      <c r="N390" s="286"/>
      <c r="O390" s="311">
        <f>O389*1.1</f>
        <v>705.69400000000007</v>
      </c>
      <c r="P390" s="285"/>
      <c r="Q390" s="285"/>
      <c r="R390" s="278"/>
      <c r="S390" s="278"/>
      <c r="T390" s="278"/>
    </row>
    <row r="391" spans="1:20" s="305" customFormat="1" hidden="1" outlineLevel="1" x14ac:dyDescent="0.25">
      <c r="A391" s="278"/>
      <c r="B391" s="279" t="str">
        <f t="shared" si="188"/>
        <v>3 drawerup to 450mmdesigner 2 packprestige</v>
      </c>
      <c r="C391" s="278" t="s">
        <v>1031</v>
      </c>
      <c r="D391" s="278" t="s">
        <v>1032</v>
      </c>
      <c r="E391" s="278" t="s">
        <v>992</v>
      </c>
      <c r="F391" s="278" t="s">
        <v>545</v>
      </c>
      <c r="G391" s="278" t="s">
        <v>5</v>
      </c>
      <c r="H391" s="290">
        <v>2.2000000000000002</v>
      </c>
      <c r="I391" s="280">
        <f t="shared" si="183"/>
        <v>177.36400000000003</v>
      </c>
      <c r="J391" s="281">
        <f t="shared" si="189"/>
        <v>201.14600000000004</v>
      </c>
      <c r="K391" s="282">
        <f>IF(Notes!$B$9="Domestic",I391, IF(Notes!$B$9="Commercial",J391))*$K$304</f>
        <v>201.14600000000004</v>
      </c>
      <c r="L391" s="283">
        <f>(SUM(O391:Q391)+(K391+SUM(M391:Q391))*(INDEX($U$304:$AB$304,MATCH(Notes!$C$16,$U$3:$AB$3,0))-100%))*$L$304</f>
        <v>776.26340000000016</v>
      </c>
      <c r="M391" s="286"/>
      <c r="N391" s="286"/>
      <c r="O391" s="311">
        <f>O390*1.1</f>
        <v>776.26340000000016</v>
      </c>
      <c r="P391" s="285"/>
      <c r="Q391" s="285"/>
      <c r="R391" s="278"/>
      <c r="S391" s="278"/>
      <c r="T391" s="278"/>
    </row>
    <row r="392" spans="1:20" s="305" customFormat="1" hidden="1" outlineLevel="1" x14ac:dyDescent="0.25">
      <c r="A392" s="278"/>
      <c r="B392" s="279" t="str">
        <f t="shared" si="188"/>
        <v>3 drawer451mm to 600mmdesigner 2 packaverage</v>
      </c>
      <c r="C392" s="278" t="s">
        <v>1031</v>
      </c>
      <c r="D392" s="278" t="s">
        <v>556</v>
      </c>
      <c r="E392" s="278" t="s">
        <v>992</v>
      </c>
      <c r="F392" s="278" t="s">
        <v>543</v>
      </c>
      <c r="G392" s="278" t="s">
        <v>5</v>
      </c>
      <c r="H392" s="290">
        <v>2.2999999999999998</v>
      </c>
      <c r="I392" s="280">
        <f t="shared" si="183"/>
        <v>185.42599999999999</v>
      </c>
      <c r="J392" s="281">
        <f t="shared" si="189"/>
        <v>210.28899999999999</v>
      </c>
      <c r="K392" s="282">
        <f>IF(Notes!$B$9="Domestic",I392, IF(Notes!$B$9="Commercial",J392))*$K$304</f>
        <v>210.28899999999999</v>
      </c>
      <c r="L392" s="283">
        <f>(SUM(O392:Q392)+(K392+SUM(M392:Q392))*(INDEX($U$304:$AB$304,MATCH(Notes!$C$16,$U$3:$AB$3,0))-100%))*$L$304</f>
        <v>762.45</v>
      </c>
      <c r="M392" s="286"/>
      <c r="N392" s="286"/>
      <c r="O392" s="285">
        <v>762.45</v>
      </c>
      <c r="P392" s="285"/>
      <c r="Q392" s="285"/>
      <c r="R392" s="278"/>
      <c r="S392" s="278"/>
      <c r="T392" s="278"/>
    </row>
    <row r="393" spans="1:20" s="305" customFormat="1" hidden="1" outlineLevel="1" x14ac:dyDescent="0.25">
      <c r="A393" s="278"/>
      <c r="B393" s="279" t="str">
        <f t="shared" si="188"/>
        <v>3 drawer451mm to 600mmdesigner 2 packquality</v>
      </c>
      <c r="C393" s="278" t="s">
        <v>1031</v>
      </c>
      <c r="D393" s="278" t="s">
        <v>556</v>
      </c>
      <c r="E393" s="278" t="s">
        <v>992</v>
      </c>
      <c r="F393" s="278" t="s">
        <v>544</v>
      </c>
      <c r="G393" s="278" t="s">
        <v>5</v>
      </c>
      <c r="H393" s="290">
        <v>2.2999999999999998</v>
      </c>
      <c r="I393" s="280">
        <f t="shared" si="183"/>
        <v>185.42599999999999</v>
      </c>
      <c r="J393" s="281">
        <f t="shared" si="189"/>
        <v>210.28899999999999</v>
      </c>
      <c r="K393" s="282">
        <f>IF(Notes!$B$9="Domestic",I393, IF(Notes!$B$9="Commercial",J393))*$K$304</f>
        <v>210.28899999999999</v>
      </c>
      <c r="L393" s="283">
        <f>(SUM(O393:Q393)+(K393+SUM(M393:Q393))*(INDEX($U$304:$AB$304,MATCH(Notes!$C$16,$U$3:$AB$3,0))-100%))*$L$304</f>
        <v>838.69500000000016</v>
      </c>
      <c r="M393" s="286"/>
      <c r="N393" s="286"/>
      <c r="O393" s="311">
        <f>O392*1.1</f>
        <v>838.69500000000016</v>
      </c>
      <c r="P393" s="285"/>
      <c r="Q393" s="285"/>
      <c r="R393" s="278"/>
      <c r="S393" s="278"/>
      <c r="T393" s="278"/>
    </row>
    <row r="394" spans="1:20" s="305" customFormat="1" hidden="1" outlineLevel="1" x14ac:dyDescent="0.25">
      <c r="A394" s="278"/>
      <c r="B394" s="279" t="str">
        <f t="shared" si="188"/>
        <v>3 drawer451mm to 600mmdesigner 2 packprestige</v>
      </c>
      <c r="C394" s="278" t="s">
        <v>1031</v>
      </c>
      <c r="D394" s="278" t="s">
        <v>556</v>
      </c>
      <c r="E394" s="278" t="s">
        <v>992</v>
      </c>
      <c r="F394" s="278" t="s">
        <v>545</v>
      </c>
      <c r="G394" s="278" t="s">
        <v>5</v>
      </c>
      <c r="H394" s="290">
        <v>2.2999999999999998</v>
      </c>
      <c r="I394" s="280">
        <f t="shared" si="183"/>
        <v>185.42599999999999</v>
      </c>
      <c r="J394" s="281">
        <f t="shared" si="189"/>
        <v>210.28899999999999</v>
      </c>
      <c r="K394" s="282">
        <f>IF(Notes!$B$9="Domestic",I394, IF(Notes!$B$9="Commercial",J394))*$K$304</f>
        <v>210.28899999999999</v>
      </c>
      <c r="L394" s="283">
        <f>(SUM(O394:Q394)+(K394+SUM(M394:Q394))*(INDEX($U$304:$AB$304,MATCH(Notes!$C$16,$U$3:$AB$3,0))-100%))*$L$304</f>
        <v>922.56450000000029</v>
      </c>
      <c r="M394" s="286"/>
      <c r="N394" s="286"/>
      <c r="O394" s="311">
        <f>O393*1.1</f>
        <v>922.56450000000029</v>
      </c>
      <c r="P394" s="285"/>
      <c r="Q394" s="285"/>
      <c r="R394" s="278"/>
      <c r="S394" s="278"/>
      <c r="T394" s="278"/>
    </row>
    <row r="395" spans="1:20" s="305" customFormat="1" hidden="1" outlineLevel="1" x14ac:dyDescent="0.25">
      <c r="A395" s="278"/>
      <c r="B395" s="279" t="str">
        <f t="shared" si="188"/>
        <v>3 drawer601mm to 750mmdesigner 2 packaverage</v>
      </c>
      <c r="C395" s="278" t="s">
        <v>1031</v>
      </c>
      <c r="D395" s="278" t="s">
        <v>547</v>
      </c>
      <c r="E395" s="278" t="s">
        <v>992</v>
      </c>
      <c r="F395" s="278" t="s">
        <v>543</v>
      </c>
      <c r="G395" s="278" t="s">
        <v>5</v>
      </c>
      <c r="H395" s="290">
        <v>2.2999999999999998</v>
      </c>
      <c r="I395" s="280">
        <f t="shared" si="183"/>
        <v>185.42599999999999</v>
      </c>
      <c r="J395" s="281">
        <f t="shared" si="189"/>
        <v>210.28899999999999</v>
      </c>
      <c r="K395" s="282">
        <f>IF(Notes!$B$9="Domestic",I395, IF(Notes!$B$9="Commercial",J395))*$K$304</f>
        <v>210.28899999999999</v>
      </c>
      <c r="L395" s="283">
        <f>(SUM(O395:Q395)+(K395+SUM(M395:Q395))*(INDEX($U$304:$AB$304,MATCH(Notes!$C$16,$U$3:$AB$3,0))-100%))*$L$304</f>
        <v>883.36</v>
      </c>
      <c r="M395" s="286"/>
      <c r="N395" s="286"/>
      <c r="O395" s="285">
        <v>883.36</v>
      </c>
      <c r="P395" s="285"/>
      <c r="Q395" s="285"/>
      <c r="R395" s="278"/>
      <c r="S395" s="278"/>
      <c r="T395" s="278"/>
    </row>
    <row r="396" spans="1:20" s="305" customFormat="1" hidden="1" outlineLevel="1" x14ac:dyDescent="0.25">
      <c r="A396" s="278"/>
      <c r="B396" s="279" t="str">
        <f t="shared" si="188"/>
        <v>3 drawer601mm to 750mmdesigner 2 packquality</v>
      </c>
      <c r="C396" s="278" t="s">
        <v>1031</v>
      </c>
      <c r="D396" s="278" t="s">
        <v>547</v>
      </c>
      <c r="E396" s="278" t="s">
        <v>992</v>
      </c>
      <c r="F396" s="278" t="s">
        <v>544</v>
      </c>
      <c r="G396" s="278" t="s">
        <v>5</v>
      </c>
      <c r="H396" s="290">
        <v>2.2999999999999998</v>
      </c>
      <c r="I396" s="280">
        <f t="shared" si="183"/>
        <v>185.42599999999999</v>
      </c>
      <c r="J396" s="281">
        <f t="shared" si="189"/>
        <v>210.28899999999999</v>
      </c>
      <c r="K396" s="282">
        <f>IF(Notes!$B$9="Domestic",I396, IF(Notes!$B$9="Commercial",J396))*$K$304</f>
        <v>210.28899999999999</v>
      </c>
      <c r="L396" s="283">
        <f>(SUM(O396:Q396)+(K396+SUM(M396:Q396))*(INDEX($U$304:$AB$304,MATCH(Notes!$C$16,$U$3:$AB$3,0))-100%))*$L$304</f>
        <v>971.69600000000014</v>
      </c>
      <c r="M396" s="286"/>
      <c r="N396" s="286"/>
      <c r="O396" s="311">
        <f>O395*1.1</f>
        <v>971.69600000000014</v>
      </c>
      <c r="P396" s="285"/>
      <c r="Q396" s="285"/>
      <c r="R396" s="278"/>
      <c r="S396" s="278"/>
      <c r="T396" s="278"/>
    </row>
    <row r="397" spans="1:20" s="305" customFormat="1" hidden="1" outlineLevel="1" x14ac:dyDescent="0.25">
      <c r="A397" s="278"/>
      <c r="B397" s="279" t="str">
        <f t="shared" si="188"/>
        <v>3 drawer601mm to 750mmdesigner 2 packprestige</v>
      </c>
      <c r="C397" s="278" t="s">
        <v>1031</v>
      </c>
      <c r="D397" s="278" t="s">
        <v>547</v>
      </c>
      <c r="E397" s="278" t="s">
        <v>992</v>
      </c>
      <c r="F397" s="278" t="s">
        <v>545</v>
      </c>
      <c r="G397" s="278" t="s">
        <v>5</v>
      </c>
      <c r="H397" s="290">
        <v>2.2999999999999998</v>
      </c>
      <c r="I397" s="280">
        <f t="shared" si="183"/>
        <v>185.42599999999999</v>
      </c>
      <c r="J397" s="281">
        <f t="shared" si="189"/>
        <v>210.28899999999999</v>
      </c>
      <c r="K397" s="282">
        <f>IF(Notes!$B$9="Domestic",I397, IF(Notes!$B$9="Commercial",J397))*$K$304</f>
        <v>210.28899999999999</v>
      </c>
      <c r="L397" s="283">
        <f>(SUM(O397:Q397)+(K397+SUM(M397:Q397))*(INDEX($U$304:$AB$304,MATCH(Notes!$C$16,$U$3:$AB$3,0))-100%))*$L$304</f>
        <v>1068.8656000000003</v>
      </c>
      <c r="M397" s="286"/>
      <c r="N397" s="286"/>
      <c r="O397" s="311">
        <f>O396*1.1</f>
        <v>1068.8656000000003</v>
      </c>
      <c r="P397" s="285"/>
      <c r="Q397" s="285"/>
      <c r="R397" s="278"/>
      <c r="S397" s="278"/>
      <c r="T397" s="278"/>
    </row>
    <row r="398" spans="1:20" s="305" customFormat="1" hidden="1" outlineLevel="1" x14ac:dyDescent="0.25">
      <c r="A398" s="278"/>
      <c r="B398" s="279" t="str">
        <f t="shared" si="188"/>
        <v>3 drawer751mm to 900mmdesigner 2 packaverage</v>
      </c>
      <c r="C398" s="278" t="s">
        <v>1031</v>
      </c>
      <c r="D398" s="278" t="s">
        <v>548</v>
      </c>
      <c r="E398" s="278" t="s">
        <v>992</v>
      </c>
      <c r="F398" s="278" t="s">
        <v>543</v>
      </c>
      <c r="G398" s="278" t="s">
        <v>5</v>
      </c>
      <c r="H398" s="290">
        <v>2.2999999999999998</v>
      </c>
      <c r="I398" s="280">
        <f t="shared" si="183"/>
        <v>185.42599999999999</v>
      </c>
      <c r="J398" s="281">
        <f t="shared" si="189"/>
        <v>210.28899999999999</v>
      </c>
      <c r="K398" s="282">
        <f>IF(Notes!$B$9="Domestic",I398, IF(Notes!$B$9="Commercial",J398))*$K$304</f>
        <v>210.28899999999999</v>
      </c>
      <c r="L398" s="283">
        <f>(SUM(O398:Q398)+(K398+SUM(M398:Q398))*(INDEX($U$304:$AB$304,MATCH(Notes!$C$16,$U$3:$AB$3,0))-100%))*$L$304</f>
        <v>1044.28</v>
      </c>
      <c r="M398" s="286"/>
      <c r="N398" s="286"/>
      <c r="O398" s="285">
        <v>1044.28</v>
      </c>
      <c r="P398" s="285"/>
      <c r="Q398" s="285"/>
      <c r="R398" s="278"/>
      <c r="S398" s="278"/>
      <c r="T398" s="278"/>
    </row>
    <row r="399" spans="1:20" s="305" customFormat="1" hidden="1" outlineLevel="1" x14ac:dyDescent="0.25">
      <c r="A399" s="278"/>
      <c r="B399" s="279" t="str">
        <f t="shared" si="188"/>
        <v>3 drawer751mm to 900mmdesigner 2 packquality</v>
      </c>
      <c r="C399" s="278" t="s">
        <v>1031</v>
      </c>
      <c r="D399" s="278" t="s">
        <v>548</v>
      </c>
      <c r="E399" s="278" t="s">
        <v>992</v>
      </c>
      <c r="F399" s="278" t="s">
        <v>544</v>
      </c>
      <c r="G399" s="278" t="s">
        <v>5</v>
      </c>
      <c r="H399" s="290">
        <v>2.2999999999999998</v>
      </c>
      <c r="I399" s="280">
        <f t="shared" si="183"/>
        <v>185.42599999999999</v>
      </c>
      <c r="J399" s="281">
        <f t="shared" si="189"/>
        <v>210.28899999999999</v>
      </c>
      <c r="K399" s="282">
        <f>IF(Notes!$B$9="Domestic",I399, IF(Notes!$B$9="Commercial",J399))*$K$304</f>
        <v>210.28899999999999</v>
      </c>
      <c r="L399" s="283">
        <f>(SUM(O399:Q399)+(K399+SUM(M399:Q399))*(INDEX($U$304:$AB$304,MATCH(Notes!$C$16,$U$3:$AB$3,0))-100%))*$L$304</f>
        <v>1148.7080000000001</v>
      </c>
      <c r="M399" s="286"/>
      <c r="N399" s="286"/>
      <c r="O399" s="311">
        <f>O398*1.1</f>
        <v>1148.7080000000001</v>
      </c>
      <c r="P399" s="285"/>
      <c r="Q399" s="285"/>
      <c r="R399" s="278"/>
      <c r="S399" s="278"/>
      <c r="T399" s="278"/>
    </row>
    <row r="400" spans="1:20" s="305" customFormat="1" hidden="1" outlineLevel="1" x14ac:dyDescent="0.25">
      <c r="A400" s="278"/>
      <c r="B400" s="279" t="str">
        <f t="shared" si="188"/>
        <v>3 drawer751mm to 900mmdesigner 2 packprestige</v>
      </c>
      <c r="C400" s="278" t="s">
        <v>1031</v>
      </c>
      <c r="D400" s="278" t="s">
        <v>548</v>
      </c>
      <c r="E400" s="278" t="s">
        <v>992</v>
      </c>
      <c r="F400" s="278" t="s">
        <v>545</v>
      </c>
      <c r="G400" s="278" t="s">
        <v>5</v>
      </c>
      <c r="H400" s="290">
        <v>2.2999999999999998</v>
      </c>
      <c r="I400" s="280">
        <f t="shared" si="183"/>
        <v>185.42599999999999</v>
      </c>
      <c r="J400" s="281">
        <f t="shared" si="189"/>
        <v>210.28899999999999</v>
      </c>
      <c r="K400" s="282">
        <f>IF(Notes!$B$9="Domestic",I400, IF(Notes!$B$9="Commercial",J400))*$K$304</f>
        <v>210.28899999999999</v>
      </c>
      <c r="L400" s="283">
        <f>(SUM(O400:Q400)+(K400+SUM(M400:Q400))*(INDEX($U$304:$AB$304,MATCH(Notes!$C$16,$U$3:$AB$3,0))-100%))*$L$304</f>
        <v>1263.5788000000002</v>
      </c>
      <c r="M400" s="286"/>
      <c r="N400" s="286"/>
      <c r="O400" s="311">
        <f>O399*1.1</f>
        <v>1263.5788000000002</v>
      </c>
      <c r="P400" s="285"/>
      <c r="Q400" s="285"/>
      <c r="R400" s="278"/>
      <c r="S400" s="278"/>
      <c r="T400" s="278"/>
    </row>
    <row r="401" spans="1:20" s="305" customFormat="1" hidden="1" outlineLevel="1" x14ac:dyDescent="0.25">
      <c r="A401" s="278"/>
      <c r="B401" s="279" t="str">
        <f t="shared" si="188"/>
        <v>4 drawerup to 450mmstandard laminatedaverage</v>
      </c>
      <c r="C401" s="278" t="s">
        <v>1030</v>
      </c>
      <c r="D401" s="278" t="s">
        <v>1032</v>
      </c>
      <c r="E401" s="278" t="s">
        <v>989</v>
      </c>
      <c r="F401" s="278" t="s">
        <v>543</v>
      </c>
      <c r="G401" s="278" t="s">
        <v>5</v>
      </c>
      <c r="H401" s="290">
        <v>2.4</v>
      </c>
      <c r="I401" s="280">
        <f t="shared" si="183"/>
        <v>193.488</v>
      </c>
      <c r="J401" s="281">
        <f t="shared" si="189"/>
        <v>219.43200000000002</v>
      </c>
      <c r="K401" s="282">
        <f>IF(Notes!$B$9="Domestic",I401, IF(Notes!$B$9="Commercial",J401))*$K$304</f>
        <v>219.43200000000002</v>
      </c>
      <c r="L401" s="283">
        <f>(SUM(O401:Q401)+(K401+SUM(M401:Q401))*(INDEX($U$304:$AB$304,MATCH(Notes!$C$16,$U$3:$AB$3,0))-100%))*$L$304</f>
        <v>365.09</v>
      </c>
      <c r="M401" s="286"/>
      <c r="N401" s="286"/>
      <c r="O401" s="285">
        <v>365.09</v>
      </c>
      <c r="P401" s="285"/>
      <c r="Q401" s="285"/>
      <c r="R401" s="278"/>
      <c r="S401" s="278"/>
      <c r="T401" s="278"/>
    </row>
    <row r="402" spans="1:20" s="305" customFormat="1" hidden="1" outlineLevel="1" x14ac:dyDescent="0.25">
      <c r="A402" s="278"/>
      <c r="B402" s="279" t="str">
        <f t="shared" si="188"/>
        <v>4 drawerup to 450mmstandard laminatedquality</v>
      </c>
      <c r="C402" s="278" t="s">
        <v>1030</v>
      </c>
      <c r="D402" s="278" t="s">
        <v>1032</v>
      </c>
      <c r="E402" s="278" t="s">
        <v>989</v>
      </c>
      <c r="F402" s="278" t="s">
        <v>544</v>
      </c>
      <c r="G402" s="278" t="s">
        <v>5</v>
      </c>
      <c r="H402" s="290">
        <v>2.4</v>
      </c>
      <c r="I402" s="280">
        <f t="shared" si="183"/>
        <v>193.488</v>
      </c>
      <c r="J402" s="281">
        <f t="shared" si="189"/>
        <v>219.43200000000002</v>
      </c>
      <c r="K402" s="282">
        <f>IF(Notes!$B$9="Domestic",I402, IF(Notes!$B$9="Commercial",J402))*$K$304</f>
        <v>219.43200000000002</v>
      </c>
      <c r="L402" s="283">
        <f>(SUM(O402:Q402)+(K402+SUM(M402:Q402))*(INDEX($U$304:$AB$304,MATCH(Notes!$C$16,$U$3:$AB$3,0))-100%))*$L$304</f>
        <v>401.59899999999999</v>
      </c>
      <c r="M402" s="286"/>
      <c r="N402" s="286"/>
      <c r="O402" s="311">
        <f>O401*1.1</f>
        <v>401.59899999999999</v>
      </c>
      <c r="P402" s="285"/>
      <c r="Q402" s="285"/>
      <c r="R402" s="278"/>
      <c r="S402" s="278"/>
      <c r="T402" s="278"/>
    </row>
    <row r="403" spans="1:20" s="305" customFormat="1" hidden="1" outlineLevel="1" x14ac:dyDescent="0.25">
      <c r="A403" s="278"/>
      <c r="B403" s="279" t="str">
        <f t="shared" si="188"/>
        <v>4 drawerup to 450mmstandard laminatedprestige</v>
      </c>
      <c r="C403" s="278" t="s">
        <v>1030</v>
      </c>
      <c r="D403" s="278" t="s">
        <v>1032</v>
      </c>
      <c r="E403" s="278" t="s">
        <v>989</v>
      </c>
      <c r="F403" s="278" t="s">
        <v>545</v>
      </c>
      <c r="G403" s="278" t="s">
        <v>5</v>
      </c>
      <c r="H403" s="290">
        <v>2.4</v>
      </c>
      <c r="I403" s="280">
        <f t="shared" si="183"/>
        <v>193.488</v>
      </c>
      <c r="J403" s="281">
        <f t="shared" si="189"/>
        <v>219.43200000000002</v>
      </c>
      <c r="K403" s="282">
        <f>IF(Notes!$B$9="Domestic",I403, IF(Notes!$B$9="Commercial",J403))*$K$304</f>
        <v>219.43200000000002</v>
      </c>
      <c r="L403" s="283">
        <f>(SUM(O403:Q403)+(K403+SUM(M403:Q403))*(INDEX($U$304:$AB$304,MATCH(Notes!$C$16,$U$3:$AB$3,0))-100%))*$L$304</f>
        <v>441.75890000000004</v>
      </c>
      <c r="M403" s="286"/>
      <c r="N403" s="286"/>
      <c r="O403" s="311">
        <f>O402*1.1</f>
        <v>441.75890000000004</v>
      </c>
      <c r="P403" s="285"/>
      <c r="Q403" s="285"/>
      <c r="R403" s="278"/>
      <c r="S403" s="278"/>
      <c r="T403" s="278"/>
    </row>
    <row r="404" spans="1:20" s="305" customFormat="1" hidden="1" outlineLevel="1" x14ac:dyDescent="0.25">
      <c r="A404" s="278"/>
      <c r="B404" s="279" t="str">
        <f t="shared" si="188"/>
        <v>4 drawer451mm to 600mmstandard laminatedaverage</v>
      </c>
      <c r="C404" s="278" t="s">
        <v>1030</v>
      </c>
      <c r="D404" s="278" t="s">
        <v>556</v>
      </c>
      <c r="E404" s="278" t="s">
        <v>989</v>
      </c>
      <c r="F404" s="278" t="s">
        <v>543</v>
      </c>
      <c r="G404" s="278" t="s">
        <v>5</v>
      </c>
      <c r="H404" s="290">
        <v>2.5</v>
      </c>
      <c r="I404" s="280">
        <f>$I$2*H404</f>
        <v>201.55</v>
      </c>
      <c r="J404" s="281">
        <f t="shared" si="189"/>
        <v>228.57500000000002</v>
      </c>
      <c r="K404" s="282">
        <f>IF(Notes!$B$9="Domestic",I404, IF(Notes!$B$9="Commercial",J404))*$K$304</f>
        <v>228.57500000000002</v>
      </c>
      <c r="L404" s="283">
        <f>(SUM(O404:Q404)+(K404+SUM(M404:Q404))*(INDEX($U$304:$AB$304,MATCH(Notes!$C$16,$U$3:$AB$3,0))-100%))*$L$304</f>
        <v>419.18</v>
      </c>
      <c r="M404" s="286"/>
      <c r="N404" s="286"/>
      <c r="O404" s="285">
        <v>419.18</v>
      </c>
      <c r="P404" s="285"/>
      <c r="Q404" s="285"/>
      <c r="R404" s="278"/>
      <c r="S404" s="278"/>
      <c r="T404" s="278"/>
    </row>
    <row r="405" spans="1:20" s="305" customFormat="1" hidden="1" outlineLevel="1" x14ac:dyDescent="0.25">
      <c r="A405" s="278"/>
      <c r="B405" s="279" t="str">
        <f t="shared" si="188"/>
        <v>4 drawer451mm to 600mmstandard laminatedquality</v>
      </c>
      <c r="C405" s="278" t="s">
        <v>1030</v>
      </c>
      <c r="D405" s="278" t="s">
        <v>556</v>
      </c>
      <c r="E405" s="278" t="s">
        <v>989</v>
      </c>
      <c r="F405" s="278" t="s">
        <v>544</v>
      </c>
      <c r="G405" s="278" t="s">
        <v>5</v>
      </c>
      <c r="H405" s="290">
        <v>2.5</v>
      </c>
      <c r="I405" s="280">
        <f t="shared" ref="I405:I412" si="191">$I$2*H405</f>
        <v>201.55</v>
      </c>
      <c r="J405" s="281">
        <f t="shared" si="189"/>
        <v>228.57500000000002</v>
      </c>
      <c r="K405" s="282">
        <f>IF(Notes!$B$9="Domestic",I405, IF(Notes!$B$9="Commercial",J405))*$K$304</f>
        <v>228.57500000000002</v>
      </c>
      <c r="L405" s="283">
        <f>(SUM(O405:Q405)+(K405+SUM(M405:Q405))*(INDEX($U$304:$AB$304,MATCH(Notes!$C$16,$U$3:$AB$3,0))-100%))*$L$304</f>
        <v>461.09800000000007</v>
      </c>
      <c r="M405" s="286"/>
      <c r="N405" s="286"/>
      <c r="O405" s="311">
        <f>O404*1.1</f>
        <v>461.09800000000007</v>
      </c>
      <c r="P405" s="285"/>
      <c r="Q405" s="285"/>
      <c r="R405" s="278"/>
      <c r="S405" s="278"/>
      <c r="T405" s="278"/>
    </row>
    <row r="406" spans="1:20" s="305" customFormat="1" hidden="1" outlineLevel="1" x14ac:dyDescent="0.25">
      <c r="A406" s="278"/>
      <c r="B406" s="279" t="str">
        <f t="shared" si="188"/>
        <v>4 drawer451mm to 600mmstandard laminatedprestige</v>
      </c>
      <c r="C406" s="278" t="s">
        <v>1030</v>
      </c>
      <c r="D406" s="278" t="s">
        <v>556</v>
      </c>
      <c r="E406" s="278" t="s">
        <v>989</v>
      </c>
      <c r="F406" s="278" t="s">
        <v>545</v>
      </c>
      <c r="G406" s="278" t="s">
        <v>5</v>
      </c>
      <c r="H406" s="290">
        <v>2.5</v>
      </c>
      <c r="I406" s="280">
        <f t="shared" si="191"/>
        <v>201.55</v>
      </c>
      <c r="J406" s="281">
        <f t="shared" si="189"/>
        <v>228.57500000000002</v>
      </c>
      <c r="K406" s="282">
        <f>IF(Notes!$B$9="Domestic",I406, IF(Notes!$B$9="Commercial",J406))*$K$304</f>
        <v>228.57500000000002</v>
      </c>
      <c r="L406" s="283">
        <f>(SUM(O406:Q406)+(K406+SUM(M406:Q406))*(INDEX($U$304:$AB$304,MATCH(Notes!$C$16,$U$3:$AB$3,0))-100%))*$L$304</f>
        <v>507.20780000000013</v>
      </c>
      <c r="M406" s="286"/>
      <c r="N406" s="286"/>
      <c r="O406" s="311">
        <f>O405*1.1</f>
        <v>507.20780000000013</v>
      </c>
      <c r="P406" s="285"/>
      <c r="Q406" s="285"/>
      <c r="R406" s="278"/>
      <c r="S406" s="278"/>
      <c r="T406" s="278"/>
    </row>
    <row r="407" spans="1:20" s="305" customFormat="1" hidden="1" outlineLevel="1" x14ac:dyDescent="0.25">
      <c r="A407" s="278"/>
      <c r="B407" s="279" t="str">
        <f t="shared" si="188"/>
        <v>4 drawer601mm to 750mmstandard laminatedaverage</v>
      </c>
      <c r="C407" s="278" t="s">
        <v>1030</v>
      </c>
      <c r="D407" s="278" t="s">
        <v>547</v>
      </c>
      <c r="E407" s="278" t="s">
        <v>989</v>
      </c>
      <c r="F407" s="278" t="s">
        <v>543</v>
      </c>
      <c r="G407" s="278" t="s">
        <v>5</v>
      </c>
      <c r="H407" s="290">
        <v>2.5</v>
      </c>
      <c r="I407" s="280">
        <f t="shared" si="191"/>
        <v>201.55</v>
      </c>
      <c r="J407" s="281">
        <f t="shared" si="189"/>
        <v>228.57500000000002</v>
      </c>
      <c r="K407" s="282">
        <f>IF(Notes!$B$9="Domestic",I407, IF(Notes!$B$9="Commercial",J407))*$K$304</f>
        <v>228.57500000000002</v>
      </c>
      <c r="L407" s="283">
        <f>(SUM(O407:Q407)+(K407+SUM(M407:Q407))*(INDEX($U$304:$AB$304,MATCH(Notes!$C$16,$U$3:$AB$3,0))-100%))*$L$304</f>
        <v>477.36</v>
      </c>
      <c r="M407" s="286"/>
      <c r="N407" s="286"/>
      <c r="O407" s="285">
        <v>477.36</v>
      </c>
      <c r="P407" s="285"/>
      <c r="Q407" s="285"/>
      <c r="R407" s="278"/>
      <c r="S407" s="278"/>
      <c r="T407" s="278"/>
    </row>
    <row r="408" spans="1:20" s="305" customFormat="1" hidden="1" outlineLevel="1" x14ac:dyDescent="0.25">
      <c r="A408" s="278"/>
      <c r="B408" s="279" t="str">
        <f t="shared" si="188"/>
        <v>4 drawer601mm to 750mmstandard laminatedquality</v>
      </c>
      <c r="C408" s="278" t="s">
        <v>1030</v>
      </c>
      <c r="D408" s="278" t="s">
        <v>547</v>
      </c>
      <c r="E408" s="278" t="s">
        <v>989</v>
      </c>
      <c r="F408" s="278" t="s">
        <v>544</v>
      </c>
      <c r="G408" s="278" t="s">
        <v>5</v>
      </c>
      <c r="H408" s="290">
        <v>2.5</v>
      </c>
      <c r="I408" s="280">
        <f t="shared" si="191"/>
        <v>201.55</v>
      </c>
      <c r="J408" s="281">
        <f t="shared" si="189"/>
        <v>228.57500000000002</v>
      </c>
      <c r="K408" s="282">
        <f>IF(Notes!$B$9="Domestic",I408, IF(Notes!$B$9="Commercial",J408))*$K$304</f>
        <v>228.57500000000002</v>
      </c>
      <c r="L408" s="283">
        <f>(SUM(O408:Q408)+(K408+SUM(M408:Q408))*(INDEX($U$304:$AB$304,MATCH(Notes!$C$16,$U$3:$AB$3,0))-100%))*$L$304</f>
        <v>525.096</v>
      </c>
      <c r="M408" s="286"/>
      <c r="N408" s="286"/>
      <c r="O408" s="311">
        <f>O407*1.1</f>
        <v>525.096</v>
      </c>
      <c r="P408" s="285"/>
      <c r="Q408" s="285"/>
      <c r="R408" s="278"/>
      <c r="S408" s="278"/>
      <c r="T408" s="278"/>
    </row>
    <row r="409" spans="1:20" s="305" customFormat="1" hidden="1" outlineLevel="1" x14ac:dyDescent="0.25">
      <c r="A409" s="278"/>
      <c r="B409" s="279" t="str">
        <f t="shared" si="188"/>
        <v>4 drawer601mm to 750mmstandard laminatedprestige</v>
      </c>
      <c r="C409" s="278" t="s">
        <v>1030</v>
      </c>
      <c r="D409" s="278" t="s">
        <v>547</v>
      </c>
      <c r="E409" s="278" t="s">
        <v>989</v>
      </c>
      <c r="F409" s="278" t="s">
        <v>545</v>
      </c>
      <c r="G409" s="278" t="s">
        <v>5</v>
      </c>
      <c r="H409" s="290">
        <v>2.5</v>
      </c>
      <c r="I409" s="280">
        <f t="shared" si="191"/>
        <v>201.55</v>
      </c>
      <c r="J409" s="281">
        <f t="shared" si="189"/>
        <v>228.57500000000002</v>
      </c>
      <c r="K409" s="282">
        <f>IF(Notes!$B$9="Domestic",I409, IF(Notes!$B$9="Commercial",J409))*$K$304</f>
        <v>228.57500000000002</v>
      </c>
      <c r="L409" s="283">
        <f>(SUM(O409:Q409)+(K409+SUM(M409:Q409))*(INDEX($U$304:$AB$304,MATCH(Notes!$C$16,$U$3:$AB$3,0))-100%))*$L$304</f>
        <v>577.60560000000009</v>
      </c>
      <c r="M409" s="286"/>
      <c r="N409" s="286"/>
      <c r="O409" s="311">
        <f>O408*1.1</f>
        <v>577.60560000000009</v>
      </c>
      <c r="P409" s="285"/>
      <c r="Q409" s="285"/>
      <c r="R409" s="278"/>
      <c r="S409" s="278"/>
      <c r="T409" s="278"/>
    </row>
    <row r="410" spans="1:20" s="305" customFormat="1" hidden="1" outlineLevel="1" x14ac:dyDescent="0.25">
      <c r="A410" s="278"/>
      <c r="B410" s="279" t="str">
        <f t="shared" si="188"/>
        <v>4 drawer751mm to 900mmstandard laminatedaverage</v>
      </c>
      <c r="C410" s="278" t="s">
        <v>1030</v>
      </c>
      <c r="D410" s="278" t="s">
        <v>548</v>
      </c>
      <c r="E410" s="278" t="s">
        <v>989</v>
      </c>
      <c r="F410" s="278" t="s">
        <v>543</v>
      </c>
      <c r="G410" s="278" t="s">
        <v>5</v>
      </c>
      <c r="H410" s="290">
        <v>2.5</v>
      </c>
      <c r="I410" s="280">
        <f t="shared" si="191"/>
        <v>201.55</v>
      </c>
      <c r="J410" s="281">
        <f t="shared" si="189"/>
        <v>228.57500000000002</v>
      </c>
      <c r="K410" s="282">
        <f>IF(Notes!$B$9="Domestic",I410, IF(Notes!$B$9="Commercial",J410))*$K$304</f>
        <v>228.57500000000002</v>
      </c>
      <c r="L410" s="283">
        <f>(SUM(O410:Q410)+(K410+SUM(M410:Q410))*(INDEX($U$304:$AB$304,MATCH(Notes!$C$16,$U$3:$AB$3,0))-100%))*$L$304</f>
        <v>536.45000000000005</v>
      </c>
      <c r="M410" s="286"/>
      <c r="N410" s="286"/>
      <c r="O410" s="285">
        <v>536.45000000000005</v>
      </c>
      <c r="P410" s="285"/>
      <c r="Q410" s="285"/>
      <c r="R410" s="278"/>
      <c r="S410" s="278"/>
      <c r="T410" s="278"/>
    </row>
    <row r="411" spans="1:20" s="305" customFormat="1" hidden="1" outlineLevel="1" x14ac:dyDescent="0.25">
      <c r="A411" s="278"/>
      <c r="B411" s="279" t="str">
        <f t="shared" si="188"/>
        <v>4 drawer751mm to 900mmstandard laminatedquality</v>
      </c>
      <c r="C411" s="278" t="s">
        <v>1030</v>
      </c>
      <c r="D411" s="278" t="s">
        <v>548</v>
      </c>
      <c r="E411" s="278" t="s">
        <v>989</v>
      </c>
      <c r="F411" s="278" t="s">
        <v>544</v>
      </c>
      <c r="G411" s="278" t="s">
        <v>5</v>
      </c>
      <c r="H411" s="290">
        <v>2.5</v>
      </c>
      <c r="I411" s="280">
        <f t="shared" si="191"/>
        <v>201.55</v>
      </c>
      <c r="J411" s="281">
        <f t="shared" si="189"/>
        <v>228.57500000000002</v>
      </c>
      <c r="K411" s="282">
        <f>IF(Notes!$B$9="Domestic",I411, IF(Notes!$B$9="Commercial",J411))*$K$304</f>
        <v>228.57500000000002</v>
      </c>
      <c r="L411" s="283">
        <f>(SUM(O411:Q411)+(K411+SUM(M411:Q411))*(INDEX($U$304:$AB$304,MATCH(Notes!$C$16,$U$3:$AB$3,0))-100%))*$L$304</f>
        <v>590.09500000000014</v>
      </c>
      <c r="M411" s="286"/>
      <c r="N411" s="286"/>
      <c r="O411" s="311">
        <f>O410*1.1</f>
        <v>590.09500000000014</v>
      </c>
      <c r="P411" s="285"/>
      <c r="Q411" s="285"/>
      <c r="R411" s="278"/>
      <c r="S411" s="278"/>
      <c r="T411" s="278"/>
    </row>
    <row r="412" spans="1:20" s="305" customFormat="1" hidden="1" outlineLevel="1" x14ac:dyDescent="0.25">
      <c r="A412" s="278"/>
      <c r="B412" s="279" t="str">
        <f t="shared" si="188"/>
        <v>4 drawer751mm to 900mmstandard laminatedprestige</v>
      </c>
      <c r="C412" s="278" t="s">
        <v>1030</v>
      </c>
      <c r="D412" s="278" t="s">
        <v>548</v>
      </c>
      <c r="E412" s="278" t="s">
        <v>989</v>
      </c>
      <c r="F412" s="278" t="s">
        <v>545</v>
      </c>
      <c r="G412" s="278" t="s">
        <v>5</v>
      </c>
      <c r="H412" s="290">
        <v>2.5</v>
      </c>
      <c r="I412" s="280">
        <f t="shared" si="191"/>
        <v>201.55</v>
      </c>
      <c r="J412" s="281">
        <f t="shared" si="189"/>
        <v>228.57500000000002</v>
      </c>
      <c r="K412" s="282">
        <f>IF(Notes!$B$9="Domestic",I412, IF(Notes!$B$9="Commercial",J412))*$K$304</f>
        <v>228.57500000000002</v>
      </c>
      <c r="L412" s="283">
        <f>(SUM(O412:Q412)+(K412+SUM(M412:Q412))*(INDEX($U$304:$AB$304,MATCH(Notes!$C$16,$U$3:$AB$3,0))-100%))*$L$304</f>
        <v>649.10450000000026</v>
      </c>
      <c r="M412" s="286"/>
      <c r="N412" s="286"/>
      <c r="O412" s="311">
        <f>O411*1.1</f>
        <v>649.10450000000026</v>
      </c>
      <c r="P412" s="285"/>
      <c r="Q412" s="285"/>
      <c r="R412" s="278"/>
      <c r="S412" s="278"/>
      <c r="T412" s="278"/>
    </row>
    <row r="413" spans="1:20" s="305" customFormat="1" hidden="1" outlineLevel="1" x14ac:dyDescent="0.25">
      <c r="A413" s="278"/>
      <c r="B413" s="279" t="str">
        <f t="shared" si="188"/>
        <v>4 drawerup to 450mmdesigner laminatedaverage</v>
      </c>
      <c r="C413" s="278" t="s">
        <v>1030</v>
      </c>
      <c r="D413" s="278" t="s">
        <v>1032</v>
      </c>
      <c r="E413" s="278" t="s">
        <v>990</v>
      </c>
      <c r="F413" s="278" t="s">
        <v>543</v>
      </c>
      <c r="G413" s="278" t="s">
        <v>5</v>
      </c>
      <c r="H413" s="290">
        <v>2.4</v>
      </c>
      <c r="I413" s="280">
        <f>$I$2*H413</f>
        <v>193.488</v>
      </c>
      <c r="J413" s="281">
        <f t="shared" si="189"/>
        <v>219.43200000000002</v>
      </c>
      <c r="K413" s="282">
        <f>IF(Notes!$B$9="Domestic",I413, IF(Notes!$B$9="Commercial",J413))*$K$304</f>
        <v>219.43200000000002</v>
      </c>
      <c r="L413" s="283">
        <f>(SUM(O413:Q413)+(K413+SUM(M413:Q413))*(INDEX($U$304:$AB$304,MATCH(Notes!$C$16,$U$3:$AB$3,0))-100%))*$L$304</f>
        <v>413.27</v>
      </c>
      <c r="M413" s="286"/>
      <c r="N413" s="286"/>
      <c r="O413" s="285">
        <v>413.27</v>
      </c>
      <c r="P413" s="285"/>
      <c r="Q413" s="285"/>
      <c r="R413" s="278"/>
      <c r="S413" s="278"/>
      <c r="T413" s="278"/>
    </row>
    <row r="414" spans="1:20" s="305" customFormat="1" hidden="1" outlineLevel="1" x14ac:dyDescent="0.25">
      <c r="A414" s="278"/>
      <c r="B414" s="279" t="str">
        <f t="shared" si="188"/>
        <v>4 drawerup to 450mmdesigner laminatedquality</v>
      </c>
      <c r="C414" s="278" t="s">
        <v>1030</v>
      </c>
      <c r="D414" s="278" t="s">
        <v>1032</v>
      </c>
      <c r="E414" s="278" t="s">
        <v>990</v>
      </c>
      <c r="F414" s="278" t="s">
        <v>544</v>
      </c>
      <c r="G414" s="278" t="s">
        <v>5</v>
      </c>
      <c r="H414" s="290">
        <v>2.4</v>
      </c>
      <c r="I414" s="280">
        <f t="shared" si="183"/>
        <v>193.488</v>
      </c>
      <c r="J414" s="281">
        <f t="shared" si="189"/>
        <v>219.43200000000002</v>
      </c>
      <c r="K414" s="282">
        <f>IF(Notes!$B$9="Domestic",I414, IF(Notes!$B$9="Commercial",J414))*$K$304</f>
        <v>219.43200000000002</v>
      </c>
      <c r="L414" s="283">
        <f>(SUM(O414:Q414)+(K414+SUM(M414:Q414))*(INDEX($U$304:$AB$304,MATCH(Notes!$C$16,$U$3:$AB$3,0))-100%))*$L$304</f>
        <v>454.59700000000004</v>
      </c>
      <c r="M414" s="286"/>
      <c r="N414" s="286"/>
      <c r="O414" s="311">
        <f>O413*1.1</f>
        <v>454.59700000000004</v>
      </c>
      <c r="P414" s="285"/>
      <c r="Q414" s="285"/>
      <c r="R414" s="278"/>
      <c r="S414" s="278"/>
      <c r="T414" s="278"/>
    </row>
    <row r="415" spans="1:20" s="305" customFormat="1" hidden="1" outlineLevel="1" x14ac:dyDescent="0.25">
      <c r="A415" s="278"/>
      <c r="B415" s="279" t="str">
        <f t="shared" si="188"/>
        <v>4 drawerup to 450mmdesigner laminatedprestige</v>
      </c>
      <c r="C415" s="278" t="s">
        <v>1030</v>
      </c>
      <c r="D415" s="278" t="s">
        <v>1032</v>
      </c>
      <c r="E415" s="278" t="s">
        <v>990</v>
      </c>
      <c r="F415" s="278" t="s">
        <v>545</v>
      </c>
      <c r="G415" s="278" t="s">
        <v>5</v>
      </c>
      <c r="H415" s="290">
        <v>2.4</v>
      </c>
      <c r="I415" s="280">
        <f t="shared" si="183"/>
        <v>193.488</v>
      </c>
      <c r="J415" s="281">
        <f t="shared" si="189"/>
        <v>219.43200000000002</v>
      </c>
      <c r="K415" s="282">
        <f>IF(Notes!$B$9="Domestic",I415, IF(Notes!$B$9="Commercial",J415))*$K$304</f>
        <v>219.43200000000002</v>
      </c>
      <c r="L415" s="283">
        <f>(SUM(O415:Q415)+(K415+SUM(M415:Q415))*(INDEX($U$304:$AB$304,MATCH(Notes!$C$16,$U$3:$AB$3,0))-100%))*$L$304</f>
        <v>500.05670000000009</v>
      </c>
      <c r="M415" s="286"/>
      <c r="N415" s="286"/>
      <c r="O415" s="311">
        <f>O414*1.1</f>
        <v>500.05670000000009</v>
      </c>
      <c r="P415" s="285"/>
      <c r="Q415" s="285"/>
      <c r="R415" s="278"/>
      <c r="S415" s="278"/>
      <c r="T415" s="278"/>
    </row>
    <row r="416" spans="1:20" s="305" customFormat="1" hidden="1" outlineLevel="1" x14ac:dyDescent="0.25">
      <c r="A416" s="278"/>
      <c r="B416" s="279" t="str">
        <f t="shared" si="188"/>
        <v>4 drawer451mm to 600mmdesigner laminatedaverage</v>
      </c>
      <c r="C416" s="278" t="s">
        <v>1030</v>
      </c>
      <c r="D416" s="278" t="s">
        <v>556</v>
      </c>
      <c r="E416" s="278" t="s">
        <v>990</v>
      </c>
      <c r="F416" s="278" t="s">
        <v>543</v>
      </c>
      <c r="G416" s="278" t="s">
        <v>5</v>
      </c>
      <c r="H416" s="290">
        <v>2.5</v>
      </c>
      <c r="I416" s="280">
        <f t="shared" si="183"/>
        <v>201.55</v>
      </c>
      <c r="J416" s="281">
        <f t="shared" si="189"/>
        <v>228.57500000000002</v>
      </c>
      <c r="K416" s="282">
        <f>IF(Notes!$B$9="Domestic",I416, IF(Notes!$B$9="Commercial",J416))*$K$304</f>
        <v>228.57500000000002</v>
      </c>
      <c r="L416" s="283">
        <f>(SUM(O416:Q416)+(K416+SUM(M416:Q416))*(INDEX($U$304:$AB$304,MATCH(Notes!$C$16,$U$3:$AB$3,0))-100%))*$L$304</f>
        <v>482.82</v>
      </c>
      <c r="M416" s="286"/>
      <c r="N416" s="286"/>
      <c r="O416" s="285">
        <v>482.82</v>
      </c>
      <c r="P416" s="285"/>
      <c r="Q416" s="285"/>
      <c r="R416" s="278"/>
      <c r="S416" s="278"/>
      <c r="T416" s="278"/>
    </row>
    <row r="417" spans="1:20" s="305" customFormat="1" hidden="1" outlineLevel="1" x14ac:dyDescent="0.25">
      <c r="A417" s="278"/>
      <c r="B417" s="279" t="str">
        <f t="shared" si="188"/>
        <v>4 drawer451mm to 600mmdesigner laminatedquality</v>
      </c>
      <c r="C417" s="278" t="s">
        <v>1030</v>
      </c>
      <c r="D417" s="278" t="s">
        <v>556</v>
      </c>
      <c r="E417" s="278" t="s">
        <v>990</v>
      </c>
      <c r="F417" s="278" t="s">
        <v>544</v>
      </c>
      <c r="G417" s="278" t="s">
        <v>5</v>
      </c>
      <c r="H417" s="290">
        <v>2.5</v>
      </c>
      <c r="I417" s="280">
        <f t="shared" si="183"/>
        <v>201.55</v>
      </c>
      <c r="J417" s="281">
        <f t="shared" si="189"/>
        <v>228.57500000000002</v>
      </c>
      <c r="K417" s="282">
        <f>IF(Notes!$B$9="Domestic",I417, IF(Notes!$B$9="Commercial",J417))*$K$304</f>
        <v>228.57500000000002</v>
      </c>
      <c r="L417" s="283">
        <f>(SUM(O417:Q417)+(K417+SUM(M417:Q417))*(INDEX($U$304:$AB$304,MATCH(Notes!$C$16,$U$3:$AB$3,0))-100%))*$L$304</f>
        <v>531.10200000000009</v>
      </c>
      <c r="M417" s="286"/>
      <c r="N417" s="286"/>
      <c r="O417" s="311">
        <f>O416*1.1</f>
        <v>531.10200000000009</v>
      </c>
      <c r="P417" s="285"/>
      <c r="Q417" s="285"/>
      <c r="R417" s="278"/>
      <c r="S417" s="278"/>
      <c r="T417" s="278"/>
    </row>
    <row r="418" spans="1:20" s="305" customFormat="1" hidden="1" outlineLevel="1" x14ac:dyDescent="0.25">
      <c r="A418" s="278"/>
      <c r="B418" s="279" t="str">
        <f t="shared" si="188"/>
        <v>4 drawer451mm to 600mmdesigner laminatedprestige</v>
      </c>
      <c r="C418" s="278" t="s">
        <v>1030</v>
      </c>
      <c r="D418" s="278" t="s">
        <v>556</v>
      </c>
      <c r="E418" s="278" t="s">
        <v>990</v>
      </c>
      <c r="F418" s="278" t="s">
        <v>545</v>
      </c>
      <c r="G418" s="278" t="s">
        <v>5</v>
      </c>
      <c r="H418" s="290">
        <v>2.5</v>
      </c>
      <c r="I418" s="280">
        <f t="shared" si="183"/>
        <v>201.55</v>
      </c>
      <c r="J418" s="281">
        <f t="shared" si="189"/>
        <v>228.57500000000002</v>
      </c>
      <c r="K418" s="282">
        <f>IF(Notes!$B$9="Domestic",I418, IF(Notes!$B$9="Commercial",J418))*$K$304</f>
        <v>228.57500000000002</v>
      </c>
      <c r="L418" s="283">
        <f>(SUM(O418:Q418)+(K418+SUM(M418:Q418))*(INDEX($U$304:$AB$304,MATCH(Notes!$C$16,$U$3:$AB$3,0))-100%))*$L$304</f>
        <v>584.21220000000017</v>
      </c>
      <c r="M418" s="286"/>
      <c r="N418" s="286"/>
      <c r="O418" s="311">
        <f>O417*1.1</f>
        <v>584.21220000000017</v>
      </c>
      <c r="P418" s="285"/>
      <c r="Q418" s="285"/>
      <c r="R418" s="278"/>
      <c r="S418" s="278"/>
      <c r="T418" s="278"/>
    </row>
    <row r="419" spans="1:20" s="305" customFormat="1" hidden="1" outlineLevel="1" x14ac:dyDescent="0.25">
      <c r="A419" s="278"/>
      <c r="B419" s="279" t="str">
        <f t="shared" si="188"/>
        <v>4 drawer601mm to 750mmdesigner laminatedaverage</v>
      </c>
      <c r="C419" s="278" t="s">
        <v>1030</v>
      </c>
      <c r="D419" s="278" t="s">
        <v>547</v>
      </c>
      <c r="E419" s="278" t="s">
        <v>990</v>
      </c>
      <c r="F419" s="278" t="s">
        <v>543</v>
      </c>
      <c r="G419" s="278" t="s">
        <v>5</v>
      </c>
      <c r="H419" s="290">
        <v>2.5</v>
      </c>
      <c r="I419" s="280">
        <f t="shared" si="183"/>
        <v>201.55</v>
      </c>
      <c r="J419" s="281">
        <f t="shared" si="189"/>
        <v>228.57500000000002</v>
      </c>
      <c r="K419" s="282">
        <f>IF(Notes!$B$9="Domestic",I419, IF(Notes!$B$9="Commercial",J419))*$K$304</f>
        <v>228.57500000000002</v>
      </c>
      <c r="L419" s="283">
        <f>(SUM(O419:Q419)+(K419+SUM(M419:Q419))*(INDEX($U$304:$AB$304,MATCH(Notes!$C$16,$U$3:$AB$3,0))-100%))*$L$304</f>
        <v>557.91</v>
      </c>
      <c r="M419" s="286"/>
      <c r="N419" s="286"/>
      <c r="O419" s="285">
        <v>557.91</v>
      </c>
      <c r="P419" s="285"/>
      <c r="Q419" s="285"/>
      <c r="R419" s="278"/>
      <c r="S419" s="278"/>
      <c r="T419" s="278"/>
    </row>
    <row r="420" spans="1:20" s="305" customFormat="1" hidden="1" outlineLevel="1" x14ac:dyDescent="0.25">
      <c r="A420" s="278"/>
      <c r="B420" s="279" t="str">
        <f t="shared" si="188"/>
        <v>4 drawer601mm to 750mmdesigner laminatedquality</v>
      </c>
      <c r="C420" s="278" t="s">
        <v>1030</v>
      </c>
      <c r="D420" s="278" t="s">
        <v>547</v>
      </c>
      <c r="E420" s="278" t="s">
        <v>990</v>
      </c>
      <c r="F420" s="278" t="s">
        <v>544</v>
      </c>
      <c r="G420" s="278" t="s">
        <v>5</v>
      </c>
      <c r="H420" s="290">
        <v>2.5</v>
      </c>
      <c r="I420" s="280">
        <f t="shared" si="183"/>
        <v>201.55</v>
      </c>
      <c r="J420" s="281">
        <f t="shared" si="189"/>
        <v>228.57500000000002</v>
      </c>
      <c r="K420" s="282">
        <f>IF(Notes!$B$9="Domestic",I420, IF(Notes!$B$9="Commercial",J420))*$K$304</f>
        <v>228.57500000000002</v>
      </c>
      <c r="L420" s="283">
        <f>(SUM(O420:Q420)+(K420+SUM(M420:Q420))*(INDEX($U$304:$AB$304,MATCH(Notes!$C$16,$U$3:$AB$3,0))-100%))*$L$304</f>
        <v>613.70100000000002</v>
      </c>
      <c r="M420" s="286"/>
      <c r="N420" s="286"/>
      <c r="O420" s="311">
        <f>O419*1.1</f>
        <v>613.70100000000002</v>
      </c>
      <c r="P420" s="285"/>
      <c r="Q420" s="285"/>
      <c r="R420" s="278"/>
      <c r="S420" s="278"/>
      <c r="T420" s="278"/>
    </row>
    <row r="421" spans="1:20" s="305" customFormat="1" hidden="1" outlineLevel="1" x14ac:dyDescent="0.25">
      <c r="A421" s="278"/>
      <c r="B421" s="279" t="str">
        <f t="shared" si="188"/>
        <v>4 drawer601mm to 750mmdesigner laminatedprestige</v>
      </c>
      <c r="C421" s="278" t="s">
        <v>1030</v>
      </c>
      <c r="D421" s="278" t="s">
        <v>547</v>
      </c>
      <c r="E421" s="278" t="s">
        <v>990</v>
      </c>
      <c r="F421" s="278" t="s">
        <v>545</v>
      </c>
      <c r="G421" s="278" t="s">
        <v>5</v>
      </c>
      <c r="H421" s="290">
        <v>2.5</v>
      </c>
      <c r="I421" s="280">
        <f t="shared" si="183"/>
        <v>201.55</v>
      </c>
      <c r="J421" s="281">
        <f t="shared" si="189"/>
        <v>228.57500000000002</v>
      </c>
      <c r="K421" s="282">
        <f>IF(Notes!$B$9="Domestic",I421, IF(Notes!$B$9="Commercial",J421))*$K$304</f>
        <v>228.57500000000002</v>
      </c>
      <c r="L421" s="283">
        <f>(SUM(O421:Q421)+(K421+SUM(M421:Q421))*(INDEX($U$304:$AB$304,MATCH(Notes!$C$16,$U$3:$AB$3,0))-100%))*$L$304</f>
        <v>675.07110000000011</v>
      </c>
      <c r="M421" s="286"/>
      <c r="N421" s="286"/>
      <c r="O421" s="311">
        <f>O420*1.1</f>
        <v>675.07110000000011</v>
      </c>
      <c r="P421" s="285"/>
      <c r="Q421" s="285"/>
      <c r="R421" s="278"/>
      <c r="S421" s="278"/>
      <c r="T421" s="278"/>
    </row>
    <row r="422" spans="1:20" s="305" customFormat="1" hidden="1" outlineLevel="1" x14ac:dyDescent="0.25">
      <c r="A422" s="278"/>
      <c r="B422" s="279" t="str">
        <f t="shared" si="188"/>
        <v>4 drawer751mm to 900mmdesigner laminatedaverage</v>
      </c>
      <c r="C422" s="278" t="s">
        <v>1030</v>
      </c>
      <c r="D422" s="278" t="s">
        <v>548</v>
      </c>
      <c r="E422" s="278" t="s">
        <v>990</v>
      </c>
      <c r="F422" s="278" t="s">
        <v>543</v>
      </c>
      <c r="G422" s="278" t="s">
        <v>5</v>
      </c>
      <c r="H422" s="290">
        <v>2.5</v>
      </c>
      <c r="I422" s="280">
        <f t="shared" si="183"/>
        <v>201.55</v>
      </c>
      <c r="J422" s="281">
        <f t="shared" si="189"/>
        <v>228.57500000000002</v>
      </c>
      <c r="K422" s="282">
        <f>IF(Notes!$B$9="Domestic",I422, IF(Notes!$B$9="Commercial",J422))*$K$304</f>
        <v>228.57500000000002</v>
      </c>
      <c r="L422" s="283">
        <f>(SUM(O422:Q422)+(K422+SUM(M422:Q422))*(INDEX($U$304:$AB$304,MATCH(Notes!$C$16,$U$3:$AB$3,0))-100%))*$L$304</f>
        <v>631.91</v>
      </c>
      <c r="M422" s="286"/>
      <c r="N422" s="286"/>
      <c r="O422" s="285">
        <v>631.91</v>
      </c>
      <c r="P422" s="285"/>
      <c r="Q422" s="285"/>
      <c r="R422" s="278"/>
      <c r="S422" s="278"/>
      <c r="T422" s="278"/>
    </row>
    <row r="423" spans="1:20" s="305" customFormat="1" hidden="1" outlineLevel="1" x14ac:dyDescent="0.25">
      <c r="A423" s="278"/>
      <c r="B423" s="279" t="str">
        <f t="shared" si="188"/>
        <v>4 drawer751mm to 900mmdesigner laminatedquality</v>
      </c>
      <c r="C423" s="278" t="s">
        <v>1030</v>
      </c>
      <c r="D423" s="278" t="s">
        <v>548</v>
      </c>
      <c r="E423" s="278" t="s">
        <v>990</v>
      </c>
      <c r="F423" s="278" t="s">
        <v>544</v>
      </c>
      <c r="G423" s="278" t="s">
        <v>5</v>
      </c>
      <c r="H423" s="290">
        <v>2.5</v>
      </c>
      <c r="I423" s="280">
        <f t="shared" si="183"/>
        <v>201.55</v>
      </c>
      <c r="J423" s="281">
        <f t="shared" si="189"/>
        <v>228.57500000000002</v>
      </c>
      <c r="K423" s="282">
        <f>IF(Notes!$B$9="Domestic",I423, IF(Notes!$B$9="Commercial",J423))*$K$304</f>
        <v>228.57500000000002</v>
      </c>
      <c r="L423" s="283">
        <f>(SUM(O423:Q423)+(K423+SUM(M423:Q423))*(INDEX($U$304:$AB$304,MATCH(Notes!$C$16,$U$3:$AB$3,0))-100%))*$L$304</f>
        <v>695.101</v>
      </c>
      <c r="M423" s="286"/>
      <c r="N423" s="286"/>
      <c r="O423" s="311">
        <f>O422*1.1</f>
        <v>695.101</v>
      </c>
      <c r="P423" s="285"/>
      <c r="Q423" s="285"/>
      <c r="R423" s="278"/>
      <c r="S423" s="278"/>
      <c r="T423" s="278"/>
    </row>
    <row r="424" spans="1:20" s="305" customFormat="1" hidden="1" outlineLevel="1" x14ac:dyDescent="0.25">
      <c r="A424" s="278"/>
      <c r="B424" s="279" t="str">
        <f t="shared" si="188"/>
        <v>4 drawer751mm to 900mmdesigner laminatedprestige</v>
      </c>
      <c r="C424" s="278" t="s">
        <v>1030</v>
      </c>
      <c r="D424" s="278" t="s">
        <v>548</v>
      </c>
      <c r="E424" s="278" t="s">
        <v>990</v>
      </c>
      <c r="F424" s="278" t="s">
        <v>545</v>
      </c>
      <c r="G424" s="278" t="s">
        <v>5</v>
      </c>
      <c r="H424" s="290">
        <v>2.5</v>
      </c>
      <c r="I424" s="280">
        <f t="shared" si="183"/>
        <v>201.55</v>
      </c>
      <c r="J424" s="281">
        <f t="shared" si="189"/>
        <v>228.57500000000002</v>
      </c>
      <c r="K424" s="282">
        <f>IF(Notes!$B$9="Domestic",I424, IF(Notes!$B$9="Commercial",J424))*$K$304</f>
        <v>228.57500000000002</v>
      </c>
      <c r="L424" s="283">
        <f>(SUM(O424:Q424)+(K424+SUM(M424:Q424))*(INDEX($U$304:$AB$304,MATCH(Notes!$C$16,$U$3:$AB$3,0))-100%))*$L$304</f>
        <v>764.61110000000008</v>
      </c>
      <c r="M424" s="286"/>
      <c r="N424" s="286"/>
      <c r="O424" s="311">
        <f>O423*1.1</f>
        <v>764.61110000000008</v>
      </c>
      <c r="P424" s="285"/>
      <c r="Q424" s="285"/>
      <c r="R424" s="278"/>
      <c r="S424" s="278"/>
      <c r="T424" s="278"/>
    </row>
    <row r="425" spans="1:20" s="305" customFormat="1" hidden="1" outlineLevel="1" x14ac:dyDescent="0.25">
      <c r="A425" s="278"/>
      <c r="B425" s="279" t="str">
        <f t="shared" si="188"/>
        <v>4 drawerup to 450mmstandard 2 packaverage</v>
      </c>
      <c r="C425" s="278" t="s">
        <v>1030</v>
      </c>
      <c r="D425" s="278" t="s">
        <v>1032</v>
      </c>
      <c r="E425" s="278" t="s">
        <v>991</v>
      </c>
      <c r="F425" s="278" t="s">
        <v>543</v>
      </c>
      <c r="G425" s="278" t="s">
        <v>5</v>
      </c>
      <c r="H425" s="290">
        <v>2.4</v>
      </c>
      <c r="I425" s="280">
        <f t="shared" si="183"/>
        <v>193.488</v>
      </c>
      <c r="J425" s="281">
        <f t="shared" si="189"/>
        <v>219.43200000000002</v>
      </c>
      <c r="K425" s="282">
        <f>IF(Notes!$B$9="Domestic",I425, IF(Notes!$B$9="Commercial",J425))*$K$304</f>
        <v>219.43200000000002</v>
      </c>
      <c r="L425" s="283">
        <f>(SUM(O425:Q425)+(K425+SUM(M425:Q425))*(INDEX($U$304:$AB$304,MATCH(Notes!$C$16,$U$3:$AB$3,0))-100%))*$L$304</f>
        <v>457.36</v>
      </c>
      <c r="M425" s="286"/>
      <c r="N425" s="286"/>
      <c r="O425" s="285">
        <v>457.36</v>
      </c>
      <c r="P425" s="285"/>
      <c r="Q425" s="285"/>
      <c r="R425" s="278"/>
      <c r="S425" s="278"/>
      <c r="T425" s="278"/>
    </row>
    <row r="426" spans="1:20" s="305" customFormat="1" hidden="1" outlineLevel="1" x14ac:dyDescent="0.25">
      <c r="A426" s="278"/>
      <c r="B426" s="279" t="str">
        <f t="shared" si="188"/>
        <v>4 drawerup to 450mmstandard 2 packquality</v>
      </c>
      <c r="C426" s="278" t="s">
        <v>1030</v>
      </c>
      <c r="D426" s="278" t="s">
        <v>1032</v>
      </c>
      <c r="E426" s="278" t="s">
        <v>991</v>
      </c>
      <c r="F426" s="278" t="s">
        <v>544</v>
      </c>
      <c r="G426" s="278" t="s">
        <v>5</v>
      </c>
      <c r="H426" s="290">
        <v>2.4</v>
      </c>
      <c r="I426" s="280">
        <f t="shared" si="183"/>
        <v>193.488</v>
      </c>
      <c r="J426" s="281">
        <f t="shared" si="189"/>
        <v>219.43200000000002</v>
      </c>
      <c r="K426" s="282">
        <f>IF(Notes!$B$9="Domestic",I426, IF(Notes!$B$9="Commercial",J426))*$K$304</f>
        <v>219.43200000000002</v>
      </c>
      <c r="L426" s="283">
        <f>(SUM(O426:Q426)+(K426+SUM(M426:Q426))*(INDEX($U$304:$AB$304,MATCH(Notes!$C$16,$U$3:$AB$3,0))-100%))*$L$304</f>
        <v>503.09600000000006</v>
      </c>
      <c r="M426" s="286"/>
      <c r="N426" s="286"/>
      <c r="O426" s="311">
        <f>O425*1.1</f>
        <v>503.09600000000006</v>
      </c>
      <c r="P426" s="285"/>
      <c r="Q426" s="285"/>
      <c r="R426" s="278"/>
      <c r="S426" s="278"/>
      <c r="T426" s="278"/>
    </row>
    <row r="427" spans="1:20" s="305" customFormat="1" hidden="1" outlineLevel="1" x14ac:dyDescent="0.25">
      <c r="A427" s="278"/>
      <c r="B427" s="279" t="str">
        <f t="shared" si="188"/>
        <v>4 drawerup to 450mmstandard 2 packprestige</v>
      </c>
      <c r="C427" s="278" t="s">
        <v>1030</v>
      </c>
      <c r="D427" s="278" t="s">
        <v>1032</v>
      </c>
      <c r="E427" s="278" t="s">
        <v>991</v>
      </c>
      <c r="F427" s="278" t="s">
        <v>545</v>
      </c>
      <c r="G427" s="278" t="s">
        <v>5</v>
      </c>
      <c r="H427" s="290">
        <v>2.4</v>
      </c>
      <c r="I427" s="280">
        <f t="shared" si="183"/>
        <v>193.488</v>
      </c>
      <c r="J427" s="281">
        <f t="shared" si="189"/>
        <v>219.43200000000002</v>
      </c>
      <c r="K427" s="282">
        <f>IF(Notes!$B$9="Domestic",I427, IF(Notes!$B$9="Commercial",J427))*$K$304</f>
        <v>219.43200000000002</v>
      </c>
      <c r="L427" s="283">
        <f>(SUM(O427:Q427)+(K427+SUM(M427:Q427))*(INDEX($U$304:$AB$304,MATCH(Notes!$C$16,$U$3:$AB$3,0))-100%))*$L$304</f>
        <v>553.40560000000016</v>
      </c>
      <c r="M427" s="286"/>
      <c r="N427" s="286"/>
      <c r="O427" s="311">
        <f>O426*1.1</f>
        <v>553.40560000000016</v>
      </c>
      <c r="P427" s="285"/>
      <c r="Q427" s="285"/>
      <c r="R427" s="278"/>
      <c r="S427" s="278"/>
      <c r="T427" s="278"/>
    </row>
    <row r="428" spans="1:20" s="305" customFormat="1" hidden="1" outlineLevel="1" x14ac:dyDescent="0.25">
      <c r="A428" s="278"/>
      <c r="B428" s="279" t="str">
        <f t="shared" si="188"/>
        <v>4 drawer451mm to 600mmstandard 2 packaverage</v>
      </c>
      <c r="C428" s="278" t="s">
        <v>1030</v>
      </c>
      <c r="D428" s="278" t="s">
        <v>556</v>
      </c>
      <c r="E428" s="278" t="s">
        <v>991</v>
      </c>
      <c r="F428" s="278" t="s">
        <v>543</v>
      </c>
      <c r="G428" s="278" t="s">
        <v>5</v>
      </c>
      <c r="H428" s="290">
        <v>2.5</v>
      </c>
      <c r="I428" s="280">
        <f>$I$2*H428</f>
        <v>201.55</v>
      </c>
      <c r="J428" s="281">
        <f t="shared" si="189"/>
        <v>228.57500000000002</v>
      </c>
      <c r="K428" s="282">
        <f>IF(Notes!$B$9="Domestic",I428, IF(Notes!$B$9="Commercial",J428))*$K$304</f>
        <v>228.57500000000002</v>
      </c>
      <c r="L428" s="283">
        <f>(SUM(O428:Q428)+(K428+SUM(M428:Q428))*(INDEX($U$304:$AB$304,MATCH(Notes!$C$16,$U$3:$AB$3,0))-100%))*$L$304</f>
        <v>531.91</v>
      </c>
      <c r="M428" s="286"/>
      <c r="N428" s="286"/>
      <c r="O428" s="285">
        <v>531.91</v>
      </c>
      <c r="P428" s="285"/>
      <c r="Q428" s="285"/>
      <c r="R428" s="278"/>
      <c r="S428" s="278"/>
      <c r="T428" s="278"/>
    </row>
    <row r="429" spans="1:20" s="305" customFormat="1" hidden="1" outlineLevel="1" x14ac:dyDescent="0.25">
      <c r="A429" s="278"/>
      <c r="B429" s="279" t="str">
        <f t="shared" si="188"/>
        <v>4 drawer451mm to 600mmstandard 2 packquality</v>
      </c>
      <c r="C429" s="278" t="s">
        <v>1030</v>
      </c>
      <c r="D429" s="278" t="s">
        <v>556</v>
      </c>
      <c r="E429" s="278" t="s">
        <v>991</v>
      </c>
      <c r="F429" s="278" t="s">
        <v>544</v>
      </c>
      <c r="G429" s="278" t="s">
        <v>5</v>
      </c>
      <c r="H429" s="290">
        <v>2.5</v>
      </c>
      <c r="I429" s="280">
        <f t="shared" ref="I429:I436" si="192">$I$2*H429</f>
        <v>201.55</v>
      </c>
      <c r="J429" s="281">
        <f t="shared" si="189"/>
        <v>228.57500000000002</v>
      </c>
      <c r="K429" s="282">
        <f>IF(Notes!$B$9="Domestic",I429, IF(Notes!$B$9="Commercial",J429))*$K$304</f>
        <v>228.57500000000002</v>
      </c>
      <c r="L429" s="283">
        <f>(SUM(O429:Q429)+(K429+SUM(M429:Q429))*(INDEX($U$304:$AB$304,MATCH(Notes!$C$16,$U$3:$AB$3,0))-100%))*$L$304</f>
        <v>585.101</v>
      </c>
      <c r="M429" s="286"/>
      <c r="N429" s="286"/>
      <c r="O429" s="311">
        <f>O428*1.1</f>
        <v>585.101</v>
      </c>
      <c r="P429" s="285"/>
      <c r="Q429" s="285"/>
      <c r="R429" s="278"/>
      <c r="S429" s="278"/>
      <c r="T429" s="278"/>
    </row>
    <row r="430" spans="1:20" s="305" customFormat="1" hidden="1" outlineLevel="1" x14ac:dyDescent="0.25">
      <c r="A430" s="278"/>
      <c r="B430" s="279" t="str">
        <f t="shared" si="188"/>
        <v>4 drawer451mm to 600mmstandard 2 packprestige</v>
      </c>
      <c r="C430" s="278" t="s">
        <v>1030</v>
      </c>
      <c r="D430" s="278" t="s">
        <v>556</v>
      </c>
      <c r="E430" s="278" t="s">
        <v>991</v>
      </c>
      <c r="F430" s="278" t="s">
        <v>545</v>
      </c>
      <c r="G430" s="278" t="s">
        <v>5</v>
      </c>
      <c r="H430" s="290">
        <v>2.5</v>
      </c>
      <c r="I430" s="280">
        <f t="shared" si="192"/>
        <v>201.55</v>
      </c>
      <c r="J430" s="281">
        <f t="shared" si="189"/>
        <v>228.57500000000002</v>
      </c>
      <c r="K430" s="282">
        <f>IF(Notes!$B$9="Domestic",I430, IF(Notes!$B$9="Commercial",J430))*$K$304</f>
        <v>228.57500000000002</v>
      </c>
      <c r="L430" s="283">
        <f>(SUM(O430:Q430)+(K430+SUM(M430:Q430))*(INDEX($U$304:$AB$304,MATCH(Notes!$C$16,$U$3:$AB$3,0))-100%))*$L$304</f>
        <v>643.61110000000008</v>
      </c>
      <c r="M430" s="286"/>
      <c r="N430" s="286"/>
      <c r="O430" s="311">
        <f>O429*1.1</f>
        <v>643.61110000000008</v>
      </c>
      <c r="P430" s="285"/>
      <c r="Q430" s="285"/>
      <c r="R430" s="278"/>
      <c r="S430" s="278"/>
      <c r="T430" s="278"/>
    </row>
    <row r="431" spans="1:20" s="305" customFormat="1" hidden="1" outlineLevel="1" x14ac:dyDescent="0.25">
      <c r="A431" s="278"/>
      <c r="B431" s="279" t="str">
        <f t="shared" si="188"/>
        <v>4 drawer601mm to 750mmstandard 2 packaverage</v>
      </c>
      <c r="C431" s="278" t="s">
        <v>1030</v>
      </c>
      <c r="D431" s="278" t="s">
        <v>547</v>
      </c>
      <c r="E431" s="278" t="s">
        <v>991</v>
      </c>
      <c r="F431" s="278" t="s">
        <v>543</v>
      </c>
      <c r="G431" s="278" t="s">
        <v>5</v>
      </c>
      <c r="H431" s="290">
        <v>2.5</v>
      </c>
      <c r="I431" s="280">
        <f t="shared" si="192"/>
        <v>201.55</v>
      </c>
      <c r="J431" s="281">
        <f t="shared" si="189"/>
        <v>228.57500000000002</v>
      </c>
      <c r="K431" s="282">
        <f>IF(Notes!$B$9="Domestic",I431, IF(Notes!$B$9="Commercial",J431))*$K$304</f>
        <v>228.57500000000002</v>
      </c>
      <c r="L431" s="283">
        <f>(SUM(O431:Q431)+(K431+SUM(M431:Q431))*(INDEX($U$304:$AB$304,MATCH(Notes!$C$16,$U$3:$AB$3,0))-100%))*$L$304</f>
        <v>606.45000000000005</v>
      </c>
      <c r="M431" s="286"/>
      <c r="N431" s="286"/>
      <c r="O431" s="285">
        <v>606.45000000000005</v>
      </c>
      <c r="P431" s="285"/>
      <c r="Q431" s="285"/>
      <c r="R431" s="278"/>
      <c r="S431" s="278"/>
      <c r="T431" s="278"/>
    </row>
    <row r="432" spans="1:20" s="305" customFormat="1" hidden="1" outlineLevel="1" x14ac:dyDescent="0.25">
      <c r="A432" s="278"/>
      <c r="B432" s="279" t="str">
        <f t="shared" si="188"/>
        <v>4 drawer601mm to 750mmstandard 2 packquality</v>
      </c>
      <c r="C432" s="278" t="s">
        <v>1030</v>
      </c>
      <c r="D432" s="278" t="s">
        <v>547</v>
      </c>
      <c r="E432" s="278" t="s">
        <v>991</v>
      </c>
      <c r="F432" s="278" t="s">
        <v>544</v>
      </c>
      <c r="G432" s="278" t="s">
        <v>5</v>
      </c>
      <c r="H432" s="290">
        <v>2.5</v>
      </c>
      <c r="I432" s="280">
        <f t="shared" si="192"/>
        <v>201.55</v>
      </c>
      <c r="J432" s="281">
        <f t="shared" si="189"/>
        <v>228.57500000000002</v>
      </c>
      <c r="K432" s="282">
        <f>IF(Notes!$B$9="Domestic",I432, IF(Notes!$B$9="Commercial",J432))*$K$304</f>
        <v>228.57500000000002</v>
      </c>
      <c r="L432" s="283">
        <f>(SUM(O432:Q432)+(K432+SUM(M432:Q432))*(INDEX($U$304:$AB$304,MATCH(Notes!$C$16,$U$3:$AB$3,0))-100%))*$L$304</f>
        <v>667.09500000000014</v>
      </c>
      <c r="M432" s="286"/>
      <c r="N432" s="286"/>
      <c r="O432" s="311">
        <f>O431*1.1</f>
        <v>667.09500000000014</v>
      </c>
      <c r="P432" s="285"/>
      <c r="Q432" s="285"/>
      <c r="R432" s="278"/>
      <c r="S432" s="278"/>
      <c r="T432" s="278"/>
    </row>
    <row r="433" spans="1:20" s="305" customFormat="1" hidden="1" outlineLevel="1" x14ac:dyDescent="0.25">
      <c r="A433" s="278"/>
      <c r="B433" s="279" t="str">
        <f t="shared" si="188"/>
        <v>4 drawer601mm to 750mmstandard 2 packprestige</v>
      </c>
      <c r="C433" s="278" t="s">
        <v>1030</v>
      </c>
      <c r="D433" s="278" t="s">
        <v>547</v>
      </c>
      <c r="E433" s="278" t="s">
        <v>991</v>
      </c>
      <c r="F433" s="278" t="s">
        <v>545</v>
      </c>
      <c r="G433" s="278" t="s">
        <v>5</v>
      </c>
      <c r="H433" s="290">
        <v>2.5</v>
      </c>
      <c r="I433" s="280">
        <f t="shared" si="192"/>
        <v>201.55</v>
      </c>
      <c r="J433" s="281">
        <f t="shared" si="189"/>
        <v>228.57500000000002</v>
      </c>
      <c r="K433" s="282">
        <f>IF(Notes!$B$9="Domestic",I433, IF(Notes!$B$9="Commercial",J433))*$K$304</f>
        <v>228.57500000000002</v>
      </c>
      <c r="L433" s="283">
        <f>(SUM(O433:Q433)+(K433+SUM(M433:Q433))*(INDEX($U$304:$AB$304,MATCH(Notes!$C$16,$U$3:$AB$3,0))-100%))*$L$304</f>
        <v>733.80450000000019</v>
      </c>
      <c r="M433" s="286"/>
      <c r="N433" s="286"/>
      <c r="O433" s="311">
        <f>O432*1.1</f>
        <v>733.80450000000019</v>
      </c>
      <c r="P433" s="285"/>
      <c r="Q433" s="285"/>
      <c r="R433" s="278"/>
      <c r="S433" s="278"/>
      <c r="T433" s="278"/>
    </row>
    <row r="434" spans="1:20" s="305" customFormat="1" hidden="1" outlineLevel="1" x14ac:dyDescent="0.25">
      <c r="A434" s="278"/>
      <c r="B434" s="279" t="str">
        <f t="shared" si="188"/>
        <v>4 drawer751mm to 900mmstandard 2 packaverage</v>
      </c>
      <c r="C434" s="278" t="s">
        <v>1030</v>
      </c>
      <c r="D434" s="278" t="s">
        <v>548</v>
      </c>
      <c r="E434" s="278" t="s">
        <v>991</v>
      </c>
      <c r="F434" s="278" t="s">
        <v>543</v>
      </c>
      <c r="G434" s="278" t="s">
        <v>5</v>
      </c>
      <c r="H434" s="290">
        <v>2.5</v>
      </c>
      <c r="I434" s="280">
        <f t="shared" si="192"/>
        <v>201.55</v>
      </c>
      <c r="J434" s="281">
        <f t="shared" si="189"/>
        <v>228.57500000000002</v>
      </c>
      <c r="K434" s="282">
        <f>IF(Notes!$B$9="Domestic",I434, IF(Notes!$B$9="Commercial",J434))*$K$304</f>
        <v>228.57500000000002</v>
      </c>
      <c r="L434" s="283">
        <f>(SUM(O434:Q434)+(K434+SUM(M434:Q434))*(INDEX($U$304:$AB$304,MATCH(Notes!$C$16,$U$3:$AB$3,0))-100%))*$L$304</f>
        <v>681</v>
      </c>
      <c r="M434" s="286"/>
      <c r="N434" s="286"/>
      <c r="O434" s="285">
        <v>681</v>
      </c>
      <c r="P434" s="285"/>
      <c r="Q434" s="285"/>
      <c r="R434" s="278"/>
      <c r="S434" s="278"/>
      <c r="T434" s="278"/>
    </row>
    <row r="435" spans="1:20" s="305" customFormat="1" hidden="1" outlineLevel="1" x14ac:dyDescent="0.25">
      <c r="A435" s="278"/>
      <c r="B435" s="279" t="str">
        <f t="shared" si="188"/>
        <v>4 drawer751mm to 900mmstandard 2 packquality</v>
      </c>
      <c r="C435" s="278" t="s">
        <v>1030</v>
      </c>
      <c r="D435" s="278" t="s">
        <v>548</v>
      </c>
      <c r="E435" s="278" t="s">
        <v>991</v>
      </c>
      <c r="F435" s="278" t="s">
        <v>544</v>
      </c>
      <c r="G435" s="278" t="s">
        <v>5</v>
      </c>
      <c r="H435" s="290">
        <v>2.5</v>
      </c>
      <c r="I435" s="280">
        <f t="shared" si="192"/>
        <v>201.55</v>
      </c>
      <c r="J435" s="281">
        <f t="shared" si="189"/>
        <v>228.57500000000002</v>
      </c>
      <c r="K435" s="282">
        <f>IF(Notes!$B$9="Domestic",I435, IF(Notes!$B$9="Commercial",J435))*$K$304</f>
        <v>228.57500000000002</v>
      </c>
      <c r="L435" s="283">
        <f>(SUM(O435:Q435)+(K435+SUM(M435:Q435))*(INDEX($U$304:$AB$304,MATCH(Notes!$C$16,$U$3:$AB$3,0))-100%))*$L$304</f>
        <v>749.1</v>
      </c>
      <c r="M435" s="286"/>
      <c r="N435" s="286"/>
      <c r="O435" s="311">
        <f>O434*1.1</f>
        <v>749.1</v>
      </c>
      <c r="P435" s="285"/>
      <c r="Q435" s="285"/>
      <c r="R435" s="278"/>
      <c r="S435" s="278"/>
      <c r="T435" s="278"/>
    </row>
    <row r="436" spans="1:20" s="305" customFormat="1" hidden="1" outlineLevel="1" x14ac:dyDescent="0.25">
      <c r="A436" s="278"/>
      <c r="B436" s="279" t="str">
        <f t="shared" si="188"/>
        <v>4 drawer751mm to 900mmstandard 2 packprestige</v>
      </c>
      <c r="C436" s="278" t="s">
        <v>1030</v>
      </c>
      <c r="D436" s="278" t="s">
        <v>548</v>
      </c>
      <c r="E436" s="278" t="s">
        <v>991</v>
      </c>
      <c r="F436" s="278" t="s">
        <v>545</v>
      </c>
      <c r="G436" s="278" t="s">
        <v>5</v>
      </c>
      <c r="H436" s="290">
        <v>2.5</v>
      </c>
      <c r="I436" s="280">
        <f t="shared" si="192"/>
        <v>201.55</v>
      </c>
      <c r="J436" s="281">
        <f t="shared" si="189"/>
        <v>228.57500000000002</v>
      </c>
      <c r="K436" s="282">
        <f>IF(Notes!$B$9="Domestic",I436, IF(Notes!$B$9="Commercial",J436))*$K$304</f>
        <v>228.57500000000002</v>
      </c>
      <c r="L436" s="283">
        <f>(SUM(O436:Q436)+(K436+SUM(M436:Q436))*(INDEX($U$304:$AB$304,MATCH(Notes!$C$16,$U$3:$AB$3,0))-100%))*$L$304</f>
        <v>824.0100000000001</v>
      </c>
      <c r="M436" s="286"/>
      <c r="N436" s="286"/>
      <c r="O436" s="311">
        <f>O435*1.1</f>
        <v>824.0100000000001</v>
      </c>
      <c r="P436" s="285"/>
      <c r="Q436" s="285"/>
      <c r="R436" s="278"/>
      <c r="S436" s="278"/>
      <c r="T436" s="278"/>
    </row>
    <row r="437" spans="1:20" s="305" customFormat="1" hidden="1" outlineLevel="1" x14ac:dyDescent="0.25">
      <c r="A437" s="278"/>
      <c r="B437" s="279" t="str">
        <f t="shared" si="188"/>
        <v>4 drawerup to 450mmdesigner 2 packaverage</v>
      </c>
      <c r="C437" s="278" t="s">
        <v>1030</v>
      </c>
      <c r="D437" s="278" t="s">
        <v>1032</v>
      </c>
      <c r="E437" s="278" t="s">
        <v>992</v>
      </c>
      <c r="F437" s="278" t="s">
        <v>543</v>
      </c>
      <c r="G437" s="278" t="s">
        <v>5</v>
      </c>
      <c r="H437" s="290">
        <v>2.4</v>
      </c>
      <c r="I437" s="280">
        <f>$I$2*H437</f>
        <v>193.488</v>
      </c>
      <c r="J437" s="281">
        <f t="shared" si="189"/>
        <v>219.43200000000002</v>
      </c>
      <c r="K437" s="282">
        <f>IF(Notes!$B$9="Domestic",I437, IF(Notes!$B$9="Commercial",J437))*$K$304</f>
        <v>219.43200000000002</v>
      </c>
      <c r="L437" s="283">
        <f>(SUM(O437:Q437)+(K437+SUM(M437:Q437))*(INDEX($U$304:$AB$304,MATCH(Notes!$C$16,$U$3:$AB$3,0))-100%))*$L$304</f>
        <v>861.54</v>
      </c>
      <c r="M437" s="286"/>
      <c r="N437" s="286"/>
      <c r="O437" s="285">
        <v>861.54</v>
      </c>
      <c r="P437" s="285"/>
      <c r="Q437" s="285"/>
      <c r="R437" s="278"/>
      <c r="S437" s="278"/>
      <c r="T437" s="278"/>
    </row>
    <row r="438" spans="1:20" s="305" customFormat="1" hidden="1" outlineLevel="1" x14ac:dyDescent="0.25">
      <c r="A438" s="278"/>
      <c r="B438" s="279" t="str">
        <f t="shared" si="188"/>
        <v>4 drawerup to 450mmdesigner 2 packquality</v>
      </c>
      <c r="C438" s="278" t="s">
        <v>1030</v>
      </c>
      <c r="D438" s="278" t="s">
        <v>1032</v>
      </c>
      <c r="E438" s="278" t="s">
        <v>992</v>
      </c>
      <c r="F438" s="278" t="s">
        <v>544</v>
      </c>
      <c r="G438" s="278" t="s">
        <v>5</v>
      </c>
      <c r="H438" s="290">
        <v>2.4</v>
      </c>
      <c r="I438" s="280">
        <f t="shared" si="183"/>
        <v>193.488</v>
      </c>
      <c r="J438" s="281">
        <f t="shared" si="189"/>
        <v>219.43200000000002</v>
      </c>
      <c r="K438" s="282">
        <f>IF(Notes!$B$9="Domestic",I438, IF(Notes!$B$9="Commercial",J438))*$K$304</f>
        <v>219.43200000000002</v>
      </c>
      <c r="L438" s="283">
        <f>(SUM(O438:Q438)+(K438+SUM(M438:Q438))*(INDEX($U$304:$AB$304,MATCH(Notes!$C$16,$U$3:$AB$3,0))-100%))*$L$304</f>
        <v>947.69400000000007</v>
      </c>
      <c r="M438" s="286"/>
      <c r="N438" s="286"/>
      <c r="O438" s="311">
        <f>O437*1.1</f>
        <v>947.69400000000007</v>
      </c>
      <c r="P438" s="285"/>
      <c r="Q438" s="285"/>
      <c r="R438" s="278"/>
      <c r="S438" s="278"/>
      <c r="T438" s="278"/>
    </row>
    <row r="439" spans="1:20" s="305" customFormat="1" hidden="1" outlineLevel="1" x14ac:dyDescent="0.25">
      <c r="A439" s="278"/>
      <c r="B439" s="279" t="str">
        <f t="shared" si="188"/>
        <v>4 drawerup to 450mmdesigner 2 packprestige</v>
      </c>
      <c r="C439" s="278" t="s">
        <v>1030</v>
      </c>
      <c r="D439" s="278" t="s">
        <v>1032</v>
      </c>
      <c r="E439" s="278" t="s">
        <v>992</v>
      </c>
      <c r="F439" s="278" t="s">
        <v>545</v>
      </c>
      <c r="G439" s="278" t="s">
        <v>5</v>
      </c>
      <c r="H439" s="290">
        <v>2.4</v>
      </c>
      <c r="I439" s="280">
        <f t="shared" si="183"/>
        <v>193.488</v>
      </c>
      <c r="J439" s="281">
        <f t="shared" si="189"/>
        <v>219.43200000000002</v>
      </c>
      <c r="K439" s="282">
        <f>IF(Notes!$B$9="Domestic",I439, IF(Notes!$B$9="Commercial",J439))*$K$304</f>
        <v>219.43200000000002</v>
      </c>
      <c r="L439" s="283">
        <f>(SUM(O439:Q439)+(K439+SUM(M439:Q439))*(INDEX($U$304:$AB$304,MATCH(Notes!$C$16,$U$3:$AB$3,0))-100%))*$L$304</f>
        <v>1042.4634000000001</v>
      </c>
      <c r="M439" s="286"/>
      <c r="N439" s="286"/>
      <c r="O439" s="311">
        <f>O438*1.1</f>
        <v>1042.4634000000001</v>
      </c>
      <c r="P439" s="285"/>
      <c r="Q439" s="285"/>
      <c r="R439" s="278"/>
      <c r="S439" s="278"/>
      <c r="T439" s="278"/>
    </row>
    <row r="440" spans="1:20" s="305" customFormat="1" hidden="1" outlineLevel="1" x14ac:dyDescent="0.25">
      <c r="A440" s="278"/>
      <c r="B440" s="279" t="str">
        <f t="shared" si="188"/>
        <v>4 drawer451mm to 600mmdesigner 2 packaverage</v>
      </c>
      <c r="C440" s="278" t="s">
        <v>1030</v>
      </c>
      <c r="D440" s="278" t="s">
        <v>556</v>
      </c>
      <c r="E440" s="278" t="s">
        <v>992</v>
      </c>
      <c r="F440" s="278" t="s">
        <v>543</v>
      </c>
      <c r="G440" s="278" t="s">
        <v>5</v>
      </c>
      <c r="H440" s="290">
        <v>2.5</v>
      </c>
      <c r="I440" s="280">
        <f t="shared" si="183"/>
        <v>201.55</v>
      </c>
      <c r="J440" s="281">
        <f t="shared" si="189"/>
        <v>228.57500000000002</v>
      </c>
      <c r="K440" s="282">
        <f>IF(Notes!$B$9="Domestic",I440, IF(Notes!$B$9="Commercial",J440))*$K$304</f>
        <v>228.57500000000002</v>
      </c>
      <c r="L440" s="283">
        <f>(SUM(O440:Q440)+(K440+SUM(M440:Q440))*(INDEX($U$304:$AB$304,MATCH(Notes!$C$16,$U$3:$AB$3,0))-100%))*$L$304</f>
        <v>988.81</v>
      </c>
      <c r="M440" s="286"/>
      <c r="N440" s="286"/>
      <c r="O440" s="285">
        <v>988.81</v>
      </c>
      <c r="P440" s="285"/>
      <c r="Q440" s="285"/>
      <c r="R440" s="278"/>
      <c r="S440" s="278"/>
      <c r="T440" s="278"/>
    </row>
    <row r="441" spans="1:20" s="305" customFormat="1" hidden="1" outlineLevel="1" x14ac:dyDescent="0.25">
      <c r="A441" s="278"/>
      <c r="B441" s="279" t="str">
        <f t="shared" ref="B441:B448" si="193">C441&amp;D441&amp;E441&amp;F441</f>
        <v>4 drawer451mm to 600mmdesigner 2 packquality</v>
      </c>
      <c r="C441" s="278" t="s">
        <v>1030</v>
      </c>
      <c r="D441" s="278" t="s">
        <v>556</v>
      </c>
      <c r="E441" s="278" t="s">
        <v>992</v>
      </c>
      <c r="F441" s="278" t="s">
        <v>544</v>
      </c>
      <c r="G441" s="278" t="s">
        <v>5</v>
      </c>
      <c r="H441" s="290">
        <v>2.5</v>
      </c>
      <c r="I441" s="280">
        <f t="shared" si="183"/>
        <v>201.55</v>
      </c>
      <c r="J441" s="281">
        <f t="shared" ref="J441:J448" si="194">$J$2*H441</f>
        <v>228.57500000000002</v>
      </c>
      <c r="K441" s="282">
        <f>IF(Notes!$B$9="Domestic",I441, IF(Notes!$B$9="Commercial",J441))*$K$304</f>
        <v>228.57500000000002</v>
      </c>
      <c r="L441" s="283">
        <f>(SUM(O441:Q441)+(K441+SUM(M441:Q441))*(INDEX($U$304:$AB$304,MATCH(Notes!$C$16,$U$3:$AB$3,0))-100%))*$L$304</f>
        <v>1087.691</v>
      </c>
      <c r="M441" s="286"/>
      <c r="N441" s="286"/>
      <c r="O441" s="311">
        <f>O440*1.1</f>
        <v>1087.691</v>
      </c>
      <c r="P441" s="285"/>
      <c r="Q441" s="285"/>
      <c r="R441" s="278"/>
      <c r="S441" s="278"/>
      <c r="T441" s="278"/>
    </row>
    <row r="442" spans="1:20" s="305" customFormat="1" hidden="1" outlineLevel="1" x14ac:dyDescent="0.25">
      <c r="A442" s="278"/>
      <c r="B442" s="279" t="str">
        <f t="shared" si="193"/>
        <v>4 drawer451mm to 600mmdesigner 2 packprestige</v>
      </c>
      <c r="C442" s="278" t="s">
        <v>1030</v>
      </c>
      <c r="D442" s="278" t="s">
        <v>556</v>
      </c>
      <c r="E442" s="278" t="s">
        <v>992</v>
      </c>
      <c r="F442" s="278" t="s">
        <v>545</v>
      </c>
      <c r="G442" s="278" t="s">
        <v>5</v>
      </c>
      <c r="H442" s="290">
        <v>2.5</v>
      </c>
      <c r="I442" s="280">
        <f t="shared" si="183"/>
        <v>201.55</v>
      </c>
      <c r="J442" s="281">
        <f t="shared" si="194"/>
        <v>228.57500000000002</v>
      </c>
      <c r="K442" s="282">
        <f>IF(Notes!$B$9="Domestic",I442, IF(Notes!$B$9="Commercial",J442))*$K$304</f>
        <v>228.57500000000002</v>
      </c>
      <c r="L442" s="283">
        <f>(SUM(O442:Q442)+(K442+SUM(M442:Q442))*(INDEX($U$304:$AB$304,MATCH(Notes!$C$16,$U$3:$AB$3,0))-100%))*$L$304</f>
        <v>1196.4601000000002</v>
      </c>
      <c r="M442" s="286"/>
      <c r="N442" s="286"/>
      <c r="O442" s="311">
        <f>O441*1.1</f>
        <v>1196.4601000000002</v>
      </c>
      <c r="P442" s="285"/>
      <c r="Q442" s="285"/>
      <c r="R442" s="278"/>
      <c r="S442" s="278"/>
      <c r="T442" s="278"/>
    </row>
    <row r="443" spans="1:20" s="305" customFormat="1" hidden="1" outlineLevel="1" x14ac:dyDescent="0.25">
      <c r="A443" s="278"/>
      <c r="B443" s="279" t="str">
        <f t="shared" si="193"/>
        <v>4 drawer601mm to 750mmdesigner 2 packaverage</v>
      </c>
      <c r="C443" s="278" t="s">
        <v>1030</v>
      </c>
      <c r="D443" s="278" t="s">
        <v>547</v>
      </c>
      <c r="E443" s="278" t="s">
        <v>992</v>
      </c>
      <c r="F443" s="278" t="s">
        <v>543</v>
      </c>
      <c r="G443" s="278" t="s">
        <v>5</v>
      </c>
      <c r="H443" s="290">
        <v>2.5</v>
      </c>
      <c r="I443" s="280">
        <f t="shared" si="183"/>
        <v>201.55</v>
      </c>
      <c r="J443" s="281">
        <f t="shared" si="194"/>
        <v>228.57500000000002</v>
      </c>
      <c r="K443" s="282">
        <f>IF(Notes!$B$9="Domestic",I443, IF(Notes!$B$9="Commercial",J443))*$K$304</f>
        <v>228.57500000000002</v>
      </c>
      <c r="L443" s="283">
        <f>(SUM(O443:Q443)+(K443+SUM(M443:Q443))*(INDEX($U$304:$AB$304,MATCH(Notes!$C$16,$U$3:$AB$3,0))-100%))*$L$304</f>
        <v>1116.08</v>
      </c>
      <c r="M443" s="286"/>
      <c r="N443" s="286"/>
      <c r="O443" s="285">
        <v>1116.08</v>
      </c>
      <c r="P443" s="285"/>
      <c r="Q443" s="285"/>
      <c r="R443" s="278"/>
      <c r="S443" s="278"/>
      <c r="T443" s="278"/>
    </row>
    <row r="444" spans="1:20" s="305" customFormat="1" hidden="1" outlineLevel="1" x14ac:dyDescent="0.25">
      <c r="A444" s="278"/>
      <c r="B444" s="279" t="str">
        <f t="shared" si="193"/>
        <v>4 drawer601mm to 750mmdesigner 2 packquality</v>
      </c>
      <c r="C444" s="278" t="s">
        <v>1030</v>
      </c>
      <c r="D444" s="278" t="s">
        <v>547</v>
      </c>
      <c r="E444" s="278" t="s">
        <v>992</v>
      </c>
      <c r="F444" s="278" t="s">
        <v>544</v>
      </c>
      <c r="G444" s="278" t="s">
        <v>5</v>
      </c>
      <c r="H444" s="290">
        <v>2.5</v>
      </c>
      <c r="I444" s="280">
        <f t="shared" si="183"/>
        <v>201.55</v>
      </c>
      <c r="J444" s="281">
        <f t="shared" si="194"/>
        <v>228.57500000000002</v>
      </c>
      <c r="K444" s="282">
        <f>IF(Notes!$B$9="Domestic",I444, IF(Notes!$B$9="Commercial",J444))*$K$304</f>
        <v>228.57500000000002</v>
      </c>
      <c r="L444" s="283">
        <f>(SUM(O444:Q444)+(K444+SUM(M444:Q444))*(INDEX($U$304:$AB$304,MATCH(Notes!$C$16,$U$3:$AB$3,0))-100%))*$L$304</f>
        <v>1227.6880000000001</v>
      </c>
      <c r="M444" s="286"/>
      <c r="N444" s="286"/>
      <c r="O444" s="311">
        <f>O443*1.1</f>
        <v>1227.6880000000001</v>
      </c>
      <c r="P444" s="285"/>
      <c r="Q444" s="285"/>
      <c r="R444" s="278"/>
      <c r="S444" s="278"/>
      <c r="T444" s="278"/>
    </row>
    <row r="445" spans="1:20" s="305" customFormat="1" hidden="1" outlineLevel="1" x14ac:dyDescent="0.25">
      <c r="A445" s="278"/>
      <c r="B445" s="279" t="str">
        <f t="shared" si="193"/>
        <v>4 drawer601mm to 750mmdesigner 2 packprestige</v>
      </c>
      <c r="C445" s="278" t="s">
        <v>1030</v>
      </c>
      <c r="D445" s="278" t="s">
        <v>547</v>
      </c>
      <c r="E445" s="278" t="s">
        <v>992</v>
      </c>
      <c r="F445" s="278" t="s">
        <v>545</v>
      </c>
      <c r="G445" s="278" t="s">
        <v>5</v>
      </c>
      <c r="H445" s="290">
        <v>2.5</v>
      </c>
      <c r="I445" s="280">
        <f t="shared" si="183"/>
        <v>201.55</v>
      </c>
      <c r="J445" s="281">
        <f t="shared" si="194"/>
        <v>228.57500000000002</v>
      </c>
      <c r="K445" s="282">
        <f>IF(Notes!$B$9="Domestic",I445, IF(Notes!$B$9="Commercial",J445))*$K$304</f>
        <v>228.57500000000002</v>
      </c>
      <c r="L445" s="283">
        <f>(SUM(O445:Q445)+(K445+SUM(M445:Q445))*(INDEX($U$304:$AB$304,MATCH(Notes!$C$16,$U$3:$AB$3,0))-100%))*$L$304</f>
        <v>1350.4568000000002</v>
      </c>
      <c r="M445" s="286"/>
      <c r="N445" s="286"/>
      <c r="O445" s="311">
        <f>O444*1.1</f>
        <v>1350.4568000000002</v>
      </c>
      <c r="P445" s="285"/>
      <c r="Q445" s="285"/>
      <c r="R445" s="278"/>
      <c r="S445" s="278"/>
      <c r="T445" s="278"/>
    </row>
    <row r="446" spans="1:20" s="305" customFormat="1" hidden="1" outlineLevel="1" x14ac:dyDescent="0.25">
      <c r="A446" s="278"/>
      <c r="B446" s="279" t="str">
        <f t="shared" si="193"/>
        <v>4 drawer751mm to 900mmdesigner 2 packaverage</v>
      </c>
      <c r="C446" s="278" t="s">
        <v>1030</v>
      </c>
      <c r="D446" s="278" t="s">
        <v>548</v>
      </c>
      <c r="E446" s="278" t="s">
        <v>992</v>
      </c>
      <c r="F446" s="278" t="s">
        <v>543</v>
      </c>
      <c r="G446" s="278" t="s">
        <v>5</v>
      </c>
      <c r="H446" s="290">
        <v>2.5</v>
      </c>
      <c r="I446" s="280">
        <f t="shared" si="183"/>
        <v>201.55</v>
      </c>
      <c r="J446" s="281">
        <f t="shared" si="194"/>
        <v>228.57500000000002</v>
      </c>
      <c r="K446" s="282">
        <f>IF(Notes!$B$9="Domestic",I446, IF(Notes!$B$9="Commercial",J446))*$K$304</f>
        <v>228.57500000000002</v>
      </c>
      <c r="L446" s="283">
        <f>(SUM(O446:Q446)+(K446+SUM(M446:Q446))*(INDEX($U$304:$AB$304,MATCH(Notes!$C$16,$U$3:$AB$3,0))-100%))*$L$304</f>
        <v>1244.27</v>
      </c>
      <c r="M446" s="286"/>
      <c r="N446" s="286"/>
      <c r="O446" s="285">
        <v>1244.27</v>
      </c>
      <c r="P446" s="285"/>
      <c r="Q446" s="285"/>
      <c r="R446" s="278"/>
      <c r="S446" s="278"/>
      <c r="T446" s="278"/>
    </row>
    <row r="447" spans="1:20" s="305" customFormat="1" hidden="1" outlineLevel="1" x14ac:dyDescent="0.25">
      <c r="A447" s="278"/>
      <c r="B447" s="279" t="str">
        <f t="shared" si="193"/>
        <v>4 drawer751mm to 900mmdesigner 2 packquality</v>
      </c>
      <c r="C447" s="278" t="s">
        <v>1030</v>
      </c>
      <c r="D447" s="278" t="s">
        <v>548</v>
      </c>
      <c r="E447" s="278" t="s">
        <v>992</v>
      </c>
      <c r="F447" s="278" t="s">
        <v>544</v>
      </c>
      <c r="G447" s="278" t="s">
        <v>5</v>
      </c>
      <c r="H447" s="290">
        <v>2.5</v>
      </c>
      <c r="I447" s="280">
        <f t="shared" si="183"/>
        <v>201.55</v>
      </c>
      <c r="J447" s="281">
        <f t="shared" si="194"/>
        <v>228.57500000000002</v>
      </c>
      <c r="K447" s="282">
        <f>IF(Notes!$B$9="Domestic",I447, IF(Notes!$B$9="Commercial",J447))*$K$304</f>
        <v>228.57500000000002</v>
      </c>
      <c r="L447" s="283">
        <f>(SUM(O447:Q447)+(K447+SUM(M447:Q447))*(INDEX($U$304:$AB$304,MATCH(Notes!$C$16,$U$3:$AB$3,0))-100%))*$L$304</f>
        <v>1368.6970000000001</v>
      </c>
      <c r="M447" s="286"/>
      <c r="N447" s="286"/>
      <c r="O447" s="311">
        <f>O446*1.1</f>
        <v>1368.6970000000001</v>
      </c>
      <c r="P447" s="285"/>
      <c r="Q447" s="285"/>
      <c r="R447" s="278"/>
      <c r="S447" s="278"/>
      <c r="T447" s="278"/>
    </row>
    <row r="448" spans="1:20" s="305" customFormat="1" hidden="1" outlineLevel="1" x14ac:dyDescent="0.25">
      <c r="A448" s="278"/>
      <c r="B448" s="279" t="str">
        <f t="shared" si="193"/>
        <v>4 drawer751mm to 900mmdesigner 2 packprestige</v>
      </c>
      <c r="C448" s="278" t="s">
        <v>1030</v>
      </c>
      <c r="D448" s="278" t="s">
        <v>548</v>
      </c>
      <c r="E448" s="278" t="s">
        <v>992</v>
      </c>
      <c r="F448" s="278" t="s">
        <v>545</v>
      </c>
      <c r="G448" s="278" t="s">
        <v>5</v>
      </c>
      <c r="H448" s="290">
        <v>2.5</v>
      </c>
      <c r="I448" s="280">
        <f t="shared" si="183"/>
        <v>201.55</v>
      </c>
      <c r="J448" s="281">
        <f t="shared" si="194"/>
        <v>228.57500000000002</v>
      </c>
      <c r="K448" s="282">
        <f>IF(Notes!$B$9="Domestic",I448, IF(Notes!$B$9="Commercial",J448))*$K$304</f>
        <v>228.57500000000002</v>
      </c>
      <c r="L448" s="283">
        <f>(SUM(O448:Q448)+(K448+SUM(M448:Q448))*(INDEX($U$304:$AB$304,MATCH(Notes!$C$16,$U$3:$AB$3,0))-100%))*$L$304</f>
        <v>1505.5667000000003</v>
      </c>
      <c r="M448" s="286"/>
      <c r="N448" s="286"/>
      <c r="O448" s="311">
        <f>O447*1.1</f>
        <v>1505.5667000000003</v>
      </c>
      <c r="P448" s="285"/>
      <c r="Q448" s="285"/>
      <c r="R448" s="278"/>
      <c r="S448" s="278"/>
      <c r="T448" s="278"/>
    </row>
    <row r="449" spans="1:28" ht="21" hidden="1" outlineLevel="1" x14ac:dyDescent="0.25">
      <c r="A449" s="299" t="s">
        <v>223</v>
      </c>
      <c r="B449" s="299"/>
      <c r="C449" s="299"/>
      <c r="D449" s="299"/>
      <c r="E449" s="299"/>
      <c r="F449" s="299"/>
      <c r="G449" s="299"/>
      <c r="H449" s="299"/>
      <c r="I449" s="299"/>
      <c r="J449" s="299"/>
      <c r="K449" s="299"/>
      <c r="L449" s="299"/>
      <c r="M449" s="299"/>
      <c r="N449" s="299"/>
      <c r="O449" s="299"/>
      <c r="P449" s="299"/>
      <c r="Q449" s="299"/>
      <c r="R449" s="299"/>
      <c r="S449" s="299"/>
      <c r="T449" s="299"/>
      <c r="U449" s="299"/>
      <c r="V449" s="299"/>
      <c r="W449" s="299"/>
      <c r="X449" s="299"/>
      <c r="Y449" s="299"/>
      <c r="Z449" s="299"/>
      <c r="AA449" s="299"/>
      <c r="AB449" s="299"/>
    </row>
    <row r="450" spans="1:28" ht="15.75" hidden="1" outlineLevel="1" x14ac:dyDescent="0.25">
      <c r="A450" s="291"/>
      <c r="B450" s="291"/>
      <c r="C450" s="291"/>
      <c r="D450" s="291"/>
      <c r="E450" s="291"/>
      <c r="F450" s="291"/>
      <c r="G450" s="291"/>
      <c r="H450" s="291"/>
      <c r="I450" s="291"/>
      <c r="J450" s="291"/>
      <c r="K450" s="291">
        <f>K$2</f>
        <v>1</v>
      </c>
      <c r="L450" s="291">
        <f>L$2</f>
        <v>1</v>
      </c>
      <c r="M450" s="291"/>
      <c r="N450" s="291"/>
      <c r="O450" s="303"/>
      <c r="P450" s="303"/>
      <c r="Q450" s="303"/>
      <c r="R450" s="291"/>
      <c r="S450" s="291"/>
      <c r="T450" s="291"/>
      <c r="U450" s="291">
        <f>U$2</f>
        <v>1</v>
      </c>
      <c r="V450" s="291">
        <f>V$2</f>
        <v>1</v>
      </c>
      <c r="W450" s="291">
        <f t="shared" ref="W450:AB450" si="195">W$2</f>
        <v>1.009090909090909</v>
      </c>
      <c r="X450" s="291">
        <f t="shared" si="195"/>
        <v>1.0909090909090908</v>
      </c>
      <c r="Y450" s="291">
        <f t="shared" si="195"/>
        <v>1.1454545454545455</v>
      </c>
      <c r="Z450" s="291">
        <f t="shared" si="195"/>
        <v>1</v>
      </c>
      <c r="AA450" s="291">
        <f t="shared" si="195"/>
        <v>1</v>
      </c>
      <c r="AB450" s="291">
        <f t="shared" si="195"/>
        <v>1</v>
      </c>
    </row>
    <row r="451" spans="1:28" s="305" customFormat="1" hidden="1" outlineLevel="1" x14ac:dyDescent="0.25">
      <c r="A451" s="278"/>
      <c r="B451" s="279" t="str">
        <f>C451&amp;D451&amp;E451&amp;F451</f>
        <v>hanging railaverage</v>
      </c>
      <c r="C451" s="278" t="s">
        <v>1027</v>
      </c>
      <c r="D451" s="278"/>
      <c r="E451" s="278"/>
      <c r="F451" s="278" t="s">
        <v>543</v>
      </c>
      <c r="G451" s="278" t="s">
        <v>15</v>
      </c>
      <c r="H451" s="290">
        <v>0.11</v>
      </c>
      <c r="I451" s="280">
        <f>$I$2*H451</f>
        <v>8.8681999999999999</v>
      </c>
      <c r="J451" s="281">
        <f>$J$2*H451</f>
        <v>10.057300000000001</v>
      </c>
      <c r="K451" s="282">
        <f>IF(Notes!$B$9="Domestic",I451, IF(Notes!$B$9="Commercial",J451))*$K$450</f>
        <v>10.057300000000001</v>
      </c>
      <c r="L451" s="283">
        <f>(SUM(O451:Q451)+(K451+SUM(M451:Q451))*(INDEX($U$450:$AB$450,MATCH(Notes!$C$16,$U$3:$AB$3,0))-100%))*$L$450</f>
        <v>7.46</v>
      </c>
      <c r="M451" s="286"/>
      <c r="N451" s="286"/>
      <c r="O451" s="285">
        <v>7.46</v>
      </c>
      <c r="P451" s="285"/>
      <c r="Q451" s="285"/>
      <c r="R451" s="278"/>
      <c r="S451" s="278"/>
      <c r="T451" s="278"/>
    </row>
    <row r="452" spans="1:28" s="305" customFormat="1" hidden="1" outlineLevel="1" x14ac:dyDescent="0.25">
      <c r="A452" s="278"/>
      <c r="B452" s="279" t="str">
        <f t="shared" ref="B452:B453" si="196">C452&amp;D452&amp;E452&amp;F452</f>
        <v>hanging railquality</v>
      </c>
      <c r="C452" s="278" t="s">
        <v>1027</v>
      </c>
      <c r="D452" s="278"/>
      <c r="E452" s="278"/>
      <c r="F452" s="278" t="s">
        <v>544</v>
      </c>
      <c r="G452" s="278" t="s">
        <v>15</v>
      </c>
      <c r="H452" s="290">
        <v>0.11</v>
      </c>
      <c r="I452" s="280">
        <f t="shared" ref="I452:I453" si="197">$I$2*H452</f>
        <v>8.8681999999999999</v>
      </c>
      <c r="J452" s="281">
        <f t="shared" ref="J452:J453" si="198">$J$2*H452</f>
        <v>10.057300000000001</v>
      </c>
      <c r="K452" s="282">
        <f>IF(Notes!$B$9="Domestic",I452, IF(Notes!$B$9="Commercial",J452))*$K$450</f>
        <v>10.057300000000001</v>
      </c>
      <c r="L452" s="283">
        <f>(SUM(O452:Q452)+(K452+SUM(M452:Q452))*(INDEX($U$450:$AB$450,MATCH(Notes!$C$16,$U$3:$AB$3,0))-100%))*$L$450</f>
        <v>11.19</v>
      </c>
      <c r="M452" s="286"/>
      <c r="N452" s="286"/>
      <c r="O452" s="311">
        <f>O451*1.5</f>
        <v>11.19</v>
      </c>
      <c r="P452" s="285"/>
      <c r="Q452" s="285"/>
      <c r="R452" s="278"/>
      <c r="S452" s="278"/>
      <c r="T452" s="278"/>
    </row>
    <row r="453" spans="1:28" s="305" customFormat="1" hidden="1" outlineLevel="1" x14ac:dyDescent="0.25">
      <c r="A453" s="278"/>
      <c r="B453" s="279" t="str">
        <f t="shared" si="196"/>
        <v>hanging railprestige</v>
      </c>
      <c r="C453" s="278" t="s">
        <v>1027</v>
      </c>
      <c r="D453" s="278"/>
      <c r="E453" s="278"/>
      <c r="F453" s="278" t="s">
        <v>545</v>
      </c>
      <c r="G453" s="278" t="s">
        <v>15</v>
      </c>
      <c r="H453" s="290">
        <v>0.11</v>
      </c>
      <c r="I453" s="280">
        <f t="shared" si="197"/>
        <v>8.8681999999999999</v>
      </c>
      <c r="J453" s="281">
        <f t="shared" si="198"/>
        <v>10.057300000000001</v>
      </c>
      <c r="K453" s="282">
        <f>IF(Notes!$B$9="Domestic",I453, IF(Notes!$B$9="Commercial",J453))*$K$450</f>
        <v>10.057300000000001</v>
      </c>
      <c r="L453" s="283">
        <f>(SUM(O453:Q453)+(K453+SUM(M453:Q453))*(INDEX($U$450:$AB$450,MATCH(Notes!$C$16,$U$3:$AB$3,0))-100%))*$L$450</f>
        <v>22.38</v>
      </c>
      <c r="M453" s="286"/>
      <c r="N453" s="286"/>
      <c r="O453" s="311">
        <f>O452*2</f>
        <v>22.38</v>
      </c>
      <c r="P453" s="285"/>
      <c r="Q453" s="285"/>
      <c r="R453" s="278"/>
      <c r="S453" s="278"/>
      <c r="T453" s="278"/>
    </row>
    <row r="454" spans="1:28" ht="21" hidden="1" outlineLevel="1" x14ac:dyDescent="0.25">
      <c r="A454" s="299" t="s">
        <v>1016</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row>
    <row r="455" spans="1:28" ht="15.75" hidden="1" outlineLevel="1" x14ac:dyDescent="0.25">
      <c r="A455" s="291"/>
      <c r="B455" s="291"/>
      <c r="C455" s="291"/>
      <c r="D455" s="291"/>
      <c r="E455" s="291"/>
      <c r="F455" s="291"/>
      <c r="G455" s="291"/>
      <c r="H455" s="291"/>
      <c r="I455" s="291"/>
      <c r="J455" s="291"/>
      <c r="K455" s="291">
        <f>K$2</f>
        <v>1</v>
      </c>
      <c r="L455" s="291">
        <f>L$2</f>
        <v>1</v>
      </c>
      <c r="M455" s="291"/>
      <c r="N455" s="291"/>
      <c r="O455" s="303"/>
      <c r="P455" s="303" t="s">
        <v>1004</v>
      </c>
      <c r="Q455" s="303"/>
      <c r="R455" s="291"/>
      <c r="S455" s="291"/>
      <c r="T455" s="291"/>
      <c r="U455" s="291">
        <f>U$2</f>
        <v>1</v>
      </c>
      <c r="V455" s="291">
        <f>V$2</f>
        <v>1</v>
      </c>
      <c r="W455" s="291">
        <f t="shared" ref="W455:AB455" si="199">W$2</f>
        <v>1.009090909090909</v>
      </c>
      <c r="X455" s="291">
        <f t="shared" si="199"/>
        <v>1.0909090909090908</v>
      </c>
      <c r="Y455" s="291">
        <f t="shared" si="199"/>
        <v>1.1454545454545455</v>
      </c>
      <c r="Z455" s="291">
        <f t="shared" si="199"/>
        <v>1</v>
      </c>
      <c r="AA455" s="291">
        <f t="shared" si="199"/>
        <v>1</v>
      </c>
      <c r="AB455" s="291">
        <f t="shared" si="199"/>
        <v>1</v>
      </c>
    </row>
    <row r="456" spans="1:28" s="305" customFormat="1" hidden="1" outlineLevel="1" x14ac:dyDescent="0.25">
      <c r="A456" s="278"/>
      <c r="B456" s="279" t="str">
        <f>C456&amp;D456&amp;E456&amp;F456</f>
        <v>sliding mirror2100mmup to 1500mmaverage</v>
      </c>
      <c r="C456" s="278" t="s">
        <v>1017</v>
      </c>
      <c r="D456" s="278" t="s">
        <v>557</v>
      </c>
      <c r="E456" s="278" t="s">
        <v>1018</v>
      </c>
      <c r="F456" s="278" t="s">
        <v>543</v>
      </c>
      <c r="G456" s="278" t="s">
        <v>5</v>
      </c>
      <c r="H456" s="290">
        <v>1.47</v>
      </c>
      <c r="I456" s="280">
        <f>$I$2*H456</f>
        <v>118.51140000000001</v>
      </c>
      <c r="J456" s="281">
        <f>$J$2*H456</f>
        <v>134.40210000000002</v>
      </c>
      <c r="K456" s="282">
        <f>IF(Notes!$B$9="Domestic",I456, IF(Notes!$B$9="Commercial",J456))*$K$455</f>
        <v>134.40210000000002</v>
      </c>
      <c r="L456" s="283">
        <f>(SUM(O456:Q456)+(K456+SUM(M456:Q456))*(INDEX($U$455:$AB$455,MATCH(Notes!$C$16,$U$3:$AB$3,0))-100%))*$L$455</f>
        <v>511.6</v>
      </c>
      <c r="M456" s="286"/>
      <c r="N456" s="286"/>
      <c r="O456" s="285">
        <v>445.45</v>
      </c>
      <c r="P456" s="285">
        <v>66.150000000000034</v>
      </c>
      <c r="Q456" s="285"/>
      <c r="R456" s="278"/>
      <c r="S456" s="278" t="s">
        <v>557</v>
      </c>
      <c r="T456" s="278" t="s">
        <v>1018</v>
      </c>
    </row>
    <row r="457" spans="1:28" s="305" customFormat="1" hidden="1" outlineLevel="1" x14ac:dyDescent="0.25">
      <c r="A457" s="278"/>
      <c r="B457" s="279" t="str">
        <f t="shared" ref="B457:B458" si="200">C457&amp;D457&amp;E457&amp;F457</f>
        <v>sliding mirror2100mmup to 1500mmquality</v>
      </c>
      <c r="C457" s="278" t="s">
        <v>1017</v>
      </c>
      <c r="D457" s="278" t="s">
        <v>557</v>
      </c>
      <c r="E457" s="278" t="s">
        <v>1018</v>
      </c>
      <c r="F457" s="278" t="s">
        <v>544</v>
      </c>
      <c r="G457" s="278" t="s">
        <v>5</v>
      </c>
      <c r="H457" s="290">
        <v>1.47</v>
      </c>
      <c r="I457" s="280">
        <f t="shared" ref="I457:I458" si="201">$I$2*H457</f>
        <v>118.51140000000001</v>
      </c>
      <c r="J457" s="281">
        <f t="shared" ref="J457:J458" si="202">$J$2*H457</f>
        <v>134.40210000000002</v>
      </c>
      <c r="K457" s="282">
        <f>IF(Notes!$B$9="Domestic",I457, IF(Notes!$B$9="Commercial",J457))*$K$455</f>
        <v>134.40210000000002</v>
      </c>
      <c r="L457" s="283">
        <f>(SUM(O457:Q457)+(K457+SUM(M457:Q457))*(INDEX($U$455:$AB$455,MATCH(Notes!$C$16,$U$3:$AB$3,0))-100%))*$L$455</f>
        <v>562.76</v>
      </c>
      <c r="M457" s="286"/>
      <c r="N457" s="286"/>
      <c r="O457" s="311">
        <f>O456*1.1</f>
        <v>489.995</v>
      </c>
      <c r="P457" s="311">
        <f>P456*1.1</f>
        <v>72.765000000000043</v>
      </c>
      <c r="Q457" s="285"/>
      <c r="R457" s="278"/>
      <c r="S457" s="278" t="s">
        <v>558</v>
      </c>
      <c r="T457" s="278" t="s">
        <v>550</v>
      </c>
    </row>
    <row r="458" spans="1:28" s="305" customFormat="1" hidden="1" outlineLevel="1" x14ac:dyDescent="0.25">
      <c r="A458" s="278"/>
      <c r="B458" s="279" t="str">
        <f t="shared" si="200"/>
        <v>sliding mirror2100mmup to 1500mmprestige</v>
      </c>
      <c r="C458" s="278" t="s">
        <v>1017</v>
      </c>
      <c r="D458" s="278" t="s">
        <v>557</v>
      </c>
      <c r="E458" s="278" t="s">
        <v>1018</v>
      </c>
      <c r="F458" s="278" t="s">
        <v>545</v>
      </c>
      <c r="G458" s="278" t="s">
        <v>5</v>
      </c>
      <c r="H458" s="290">
        <v>1.47</v>
      </c>
      <c r="I458" s="280">
        <f t="shared" si="201"/>
        <v>118.51140000000001</v>
      </c>
      <c r="J458" s="281">
        <f t="shared" si="202"/>
        <v>134.40210000000002</v>
      </c>
      <c r="K458" s="282">
        <f>IF(Notes!$B$9="Domestic",I458, IF(Notes!$B$9="Commercial",J458))*$K$455</f>
        <v>134.40210000000002</v>
      </c>
      <c r="L458" s="283">
        <f>(SUM(O458:Q458)+(K458+SUM(M458:Q458))*(INDEX($U$455:$AB$455,MATCH(Notes!$C$16,$U$3:$AB$3,0))-100%))*$L$455</f>
        <v>675.31200000000013</v>
      </c>
      <c r="M458" s="286"/>
      <c r="N458" s="286"/>
      <c r="O458" s="311">
        <f>O457*1.2</f>
        <v>587.99400000000003</v>
      </c>
      <c r="P458" s="311">
        <f>P457*1.2</f>
        <v>87.318000000000055</v>
      </c>
      <c r="Q458" s="285"/>
      <c r="R458" s="278"/>
      <c r="S458" s="278" t="s">
        <v>779</v>
      </c>
      <c r="T458" s="278" t="s">
        <v>551</v>
      </c>
    </row>
    <row r="459" spans="1:28" s="305" customFormat="1" hidden="1" outlineLevel="1" x14ac:dyDescent="0.25">
      <c r="A459" s="278"/>
      <c r="B459" s="279" t="str">
        <f t="shared" ref="B459:B494" si="203">C459&amp;D459&amp;E459&amp;F459</f>
        <v>sliding mirror2100mm1501mm to 1800mmaverage</v>
      </c>
      <c r="C459" s="278" t="s">
        <v>1017</v>
      </c>
      <c r="D459" s="278" t="s">
        <v>557</v>
      </c>
      <c r="E459" s="278" t="s">
        <v>550</v>
      </c>
      <c r="F459" s="278" t="s">
        <v>543</v>
      </c>
      <c r="G459" s="278" t="s">
        <v>5</v>
      </c>
      <c r="H459" s="290">
        <v>1.67</v>
      </c>
      <c r="I459" s="280">
        <f t="shared" ref="I459:I465" si="204">$I$2*H459</f>
        <v>134.6354</v>
      </c>
      <c r="J459" s="281">
        <f t="shared" ref="J459:J494" si="205">$J$2*H459</f>
        <v>152.68809999999999</v>
      </c>
      <c r="K459" s="282">
        <f>IF(Notes!$B$9="Domestic",I459, IF(Notes!$B$9="Commercial",J459))*$K$455</f>
        <v>152.68809999999999</v>
      </c>
      <c r="L459" s="283">
        <f>(SUM(O459:Q459)+(K459+SUM(M459:Q459))*(INDEX($U$455:$AB$455,MATCH(Notes!$C$16,$U$3:$AB$3,0))-100%))*$L$455</f>
        <v>566.78</v>
      </c>
      <c r="M459" s="286"/>
      <c r="N459" s="286"/>
      <c r="O459" s="285">
        <v>490.91</v>
      </c>
      <c r="P459" s="285">
        <v>75.869999999999948</v>
      </c>
      <c r="Q459" s="285"/>
      <c r="R459" s="278"/>
      <c r="S459" s="278"/>
      <c r="T459" s="278" t="s">
        <v>552</v>
      </c>
    </row>
    <row r="460" spans="1:28" s="305" customFormat="1" hidden="1" outlineLevel="1" x14ac:dyDescent="0.25">
      <c r="A460" s="278"/>
      <c r="B460" s="279" t="str">
        <f t="shared" ref="B460:B461" si="206">C460&amp;D460&amp;E460&amp;F460</f>
        <v>sliding mirror2100mm1501mm to 1800mmquality</v>
      </c>
      <c r="C460" s="278" t="s">
        <v>1017</v>
      </c>
      <c r="D460" s="278" t="s">
        <v>557</v>
      </c>
      <c r="E460" s="278" t="s">
        <v>550</v>
      </c>
      <c r="F460" s="278" t="s">
        <v>544</v>
      </c>
      <c r="G460" s="278" t="s">
        <v>5</v>
      </c>
      <c r="H460" s="290">
        <v>1.67</v>
      </c>
      <c r="I460" s="280">
        <f t="shared" ref="I460:I461" si="207">$I$2*H460</f>
        <v>134.6354</v>
      </c>
      <c r="J460" s="281">
        <f t="shared" ref="J460:J461" si="208">$J$2*H460</f>
        <v>152.68809999999999</v>
      </c>
      <c r="K460" s="282">
        <f>IF(Notes!$B$9="Domestic",I460, IF(Notes!$B$9="Commercial",J460))*$K$455</f>
        <v>152.68809999999999</v>
      </c>
      <c r="L460" s="283">
        <f>(SUM(O460:Q460)+(K460+SUM(M460:Q460))*(INDEX($U$455:$AB$455,MATCH(Notes!$C$16,$U$3:$AB$3,0))-100%))*$L$455</f>
        <v>623.45800000000008</v>
      </c>
      <c r="M460" s="286"/>
      <c r="N460" s="286"/>
      <c r="O460" s="311">
        <f>O459*1.1</f>
        <v>540.00100000000009</v>
      </c>
      <c r="P460" s="311">
        <f>P459*1.1</f>
        <v>83.456999999999951</v>
      </c>
      <c r="Q460" s="285"/>
      <c r="R460" s="278"/>
      <c r="S460" s="278"/>
      <c r="T460" s="278" t="s">
        <v>553</v>
      </c>
    </row>
    <row r="461" spans="1:28" s="305" customFormat="1" hidden="1" outlineLevel="1" x14ac:dyDescent="0.25">
      <c r="A461" s="278"/>
      <c r="B461" s="279" t="str">
        <f t="shared" si="206"/>
        <v>sliding mirror2100mm1501mm to 1800mmprestige</v>
      </c>
      <c r="C461" s="278" t="s">
        <v>1017</v>
      </c>
      <c r="D461" s="278" t="s">
        <v>557</v>
      </c>
      <c r="E461" s="278" t="s">
        <v>550</v>
      </c>
      <c r="F461" s="278" t="s">
        <v>545</v>
      </c>
      <c r="G461" s="278" t="s">
        <v>5</v>
      </c>
      <c r="H461" s="290">
        <v>1.67</v>
      </c>
      <c r="I461" s="280">
        <f t="shared" si="207"/>
        <v>134.6354</v>
      </c>
      <c r="J461" s="281">
        <f t="shared" si="208"/>
        <v>152.68809999999999</v>
      </c>
      <c r="K461" s="282">
        <f>IF(Notes!$B$9="Domestic",I461, IF(Notes!$B$9="Commercial",J461))*$K$455</f>
        <v>152.68809999999999</v>
      </c>
      <c r="L461" s="283">
        <f>(SUM(O461:Q461)+(K461+SUM(M461:Q461))*(INDEX($U$455:$AB$455,MATCH(Notes!$C$16,$U$3:$AB$3,0))-100%))*$L$455</f>
        <v>748.14959999999996</v>
      </c>
      <c r="M461" s="286"/>
      <c r="N461" s="286"/>
      <c r="O461" s="311">
        <f>O460*1.2</f>
        <v>648.00120000000004</v>
      </c>
      <c r="P461" s="311">
        <f>P460*1.2</f>
        <v>100.14839999999994</v>
      </c>
      <c r="Q461" s="285"/>
      <c r="R461" s="278"/>
      <c r="S461" s="278"/>
      <c r="T461" s="278" t="s">
        <v>554</v>
      </c>
    </row>
    <row r="462" spans="1:28" s="305" customFormat="1" hidden="1" outlineLevel="1" x14ac:dyDescent="0.25">
      <c r="A462" s="278"/>
      <c r="B462" s="279" t="str">
        <f t="shared" si="203"/>
        <v>sliding mirror2100mm1801mm to 2100mmaverage</v>
      </c>
      <c r="C462" s="278" t="s">
        <v>1017</v>
      </c>
      <c r="D462" s="278" t="s">
        <v>557</v>
      </c>
      <c r="E462" s="278" t="s">
        <v>551</v>
      </c>
      <c r="F462" s="278" t="s">
        <v>543</v>
      </c>
      <c r="G462" s="278" t="s">
        <v>5</v>
      </c>
      <c r="H462" s="290">
        <v>1.78</v>
      </c>
      <c r="I462" s="280">
        <f t="shared" si="204"/>
        <v>143.50360000000001</v>
      </c>
      <c r="J462" s="281">
        <f t="shared" si="205"/>
        <v>162.74540000000002</v>
      </c>
      <c r="K462" s="282">
        <f>IF(Notes!$B$9="Domestic",I462, IF(Notes!$B$9="Commercial",J462))*$K$455</f>
        <v>162.74540000000002</v>
      </c>
      <c r="L462" s="283">
        <f>(SUM(O462:Q462)+(K462+SUM(M462:Q462))*(INDEX($U$455:$AB$455,MATCH(Notes!$C$16,$U$3:$AB$3,0))-100%))*$L$455</f>
        <v>617.09</v>
      </c>
      <c r="M462" s="286"/>
      <c r="N462" s="286"/>
      <c r="O462" s="285">
        <v>536.36</v>
      </c>
      <c r="P462" s="285">
        <v>80.730000000000018</v>
      </c>
      <c r="Q462" s="285"/>
      <c r="R462" s="278"/>
      <c r="S462" s="278"/>
      <c r="T462" s="278" t="s">
        <v>1019</v>
      </c>
    </row>
    <row r="463" spans="1:28" s="305" customFormat="1" hidden="1" outlineLevel="1" x14ac:dyDescent="0.25">
      <c r="A463" s="278"/>
      <c r="B463" s="279" t="str">
        <f t="shared" ref="B463:B464" si="209">C463&amp;D463&amp;E463&amp;F463</f>
        <v>sliding mirror2100mm1801mm to 2100mmquality</v>
      </c>
      <c r="C463" s="278" t="s">
        <v>1017</v>
      </c>
      <c r="D463" s="278" t="s">
        <v>557</v>
      </c>
      <c r="E463" s="278" t="s">
        <v>551</v>
      </c>
      <c r="F463" s="278" t="s">
        <v>544</v>
      </c>
      <c r="G463" s="278" t="s">
        <v>5</v>
      </c>
      <c r="H463" s="290">
        <v>1.78</v>
      </c>
      <c r="I463" s="280">
        <f t="shared" ref="I463:I464" si="210">$I$2*H463</f>
        <v>143.50360000000001</v>
      </c>
      <c r="J463" s="281">
        <f t="shared" ref="J463:J464" si="211">$J$2*H463</f>
        <v>162.74540000000002</v>
      </c>
      <c r="K463" s="282">
        <f>IF(Notes!$B$9="Domestic",I463, IF(Notes!$B$9="Commercial",J463))*$K$455</f>
        <v>162.74540000000002</v>
      </c>
      <c r="L463" s="283">
        <f>(SUM(O463:Q463)+(K463+SUM(M463:Q463))*(INDEX($U$455:$AB$455,MATCH(Notes!$C$16,$U$3:$AB$3,0))-100%))*$L$455</f>
        <v>678.79900000000009</v>
      </c>
      <c r="M463" s="286"/>
      <c r="N463" s="286"/>
      <c r="O463" s="311">
        <f>O462*1.1</f>
        <v>589.99600000000009</v>
      </c>
      <c r="P463" s="311">
        <f>P462*1.1</f>
        <v>88.803000000000026</v>
      </c>
      <c r="Q463" s="285"/>
      <c r="R463" s="278"/>
      <c r="S463" s="278"/>
      <c r="T463" s="278" t="s">
        <v>1020</v>
      </c>
    </row>
    <row r="464" spans="1:28" s="305" customFormat="1" hidden="1" outlineLevel="1" x14ac:dyDescent="0.25">
      <c r="A464" s="278"/>
      <c r="B464" s="279" t="str">
        <f t="shared" si="209"/>
        <v>sliding mirror2100mm1801mm to 2100mmprestige</v>
      </c>
      <c r="C464" s="278" t="s">
        <v>1017</v>
      </c>
      <c r="D464" s="278" t="s">
        <v>557</v>
      </c>
      <c r="E464" s="278" t="s">
        <v>551</v>
      </c>
      <c r="F464" s="278" t="s">
        <v>545</v>
      </c>
      <c r="G464" s="278" t="s">
        <v>5</v>
      </c>
      <c r="H464" s="290">
        <v>1.78</v>
      </c>
      <c r="I464" s="280">
        <f t="shared" si="210"/>
        <v>143.50360000000001</v>
      </c>
      <c r="J464" s="281">
        <f t="shared" si="211"/>
        <v>162.74540000000002</v>
      </c>
      <c r="K464" s="282">
        <f>IF(Notes!$B$9="Domestic",I464, IF(Notes!$B$9="Commercial",J464))*$K$455</f>
        <v>162.74540000000002</v>
      </c>
      <c r="L464" s="283">
        <f>(SUM(O464:Q464)+(K464+SUM(M464:Q464))*(INDEX($U$455:$AB$455,MATCH(Notes!$C$16,$U$3:$AB$3,0))-100%))*$L$455</f>
        <v>814.55880000000013</v>
      </c>
      <c r="M464" s="286"/>
      <c r="N464" s="286"/>
      <c r="O464" s="311">
        <f>O463*1.2</f>
        <v>707.99520000000007</v>
      </c>
      <c r="P464" s="311">
        <f>P463*1.2</f>
        <v>106.56360000000002</v>
      </c>
      <c r="Q464" s="285"/>
      <c r="R464" s="278"/>
      <c r="S464" s="278"/>
      <c r="T464" s="278"/>
    </row>
    <row r="465" spans="1:20" s="305" customFormat="1" hidden="1" outlineLevel="1" x14ac:dyDescent="0.25">
      <c r="A465" s="278"/>
      <c r="B465" s="279" t="str">
        <f t="shared" si="203"/>
        <v>sliding mirror2100mm2101mm to 2400mmaverage</v>
      </c>
      <c r="C465" s="278" t="s">
        <v>1017</v>
      </c>
      <c r="D465" s="278" t="s">
        <v>557</v>
      </c>
      <c r="E465" s="278" t="s">
        <v>552</v>
      </c>
      <c r="F465" s="278" t="s">
        <v>543</v>
      </c>
      <c r="G465" s="278" t="s">
        <v>5</v>
      </c>
      <c r="H465" s="290">
        <v>1.88</v>
      </c>
      <c r="I465" s="280">
        <f t="shared" si="204"/>
        <v>151.56559999999999</v>
      </c>
      <c r="J465" s="281">
        <f t="shared" si="205"/>
        <v>171.88839999999999</v>
      </c>
      <c r="K465" s="282">
        <f>IF(Notes!$B$9="Domestic",I465, IF(Notes!$B$9="Commercial",J465))*$K$455</f>
        <v>171.88839999999999</v>
      </c>
      <c r="L465" s="283">
        <f>(SUM(O465:Q465)+(K465+SUM(M465:Q465))*(INDEX($U$455:$AB$455,MATCH(Notes!$C$16,$U$3:$AB$3,0))-100%))*$L$455</f>
        <v>676.5</v>
      </c>
      <c r="M465" s="286"/>
      <c r="N465" s="286"/>
      <c r="O465" s="285">
        <v>590.91</v>
      </c>
      <c r="P465" s="285">
        <v>85.590000000000032</v>
      </c>
      <c r="Q465" s="285"/>
      <c r="R465" s="278"/>
      <c r="S465" s="278"/>
      <c r="T465" s="278"/>
    </row>
    <row r="466" spans="1:20" s="305" customFormat="1" hidden="1" outlineLevel="1" x14ac:dyDescent="0.25">
      <c r="A466" s="278"/>
      <c r="B466" s="279" t="str">
        <f t="shared" ref="B466:B467" si="212">C466&amp;D466&amp;E466&amp;F466</f>
        <v>sliding mirror2100mm2101mm to 2400mmquality</v>
      </c>
      <c r="C466" s="278" t="s">
        <v>1017</v>
      </c>
      <c r="D466" s="278" t="s">
        <v>557</v>
      </c>
      <c r="E466" s="278" t="s">
        <v>552</v>
      </c>
      <c r="F466" s="278" t="s">
        <v>544</v>
      </c>
      <c r="G466" s="278" t="s">
        <v>5</v>
      </c>
      <c r="H466" s="290">
        <v>1.88</v>
      </c>
      <c r="I466" s="280">
        <f t="shared" ref="I466:I467" si="213">$I$2*H466</f>
        <v>151.56559999999999</v>
      </c>
      <c r="J466" s="281">
        <f t="shared" ref="J466:J467" si="214">$J$2*H466</f>
        <v>171.88839999999999</v>
      </c>
      <c r="K466" s="282">
        <f>IF(Notes!$B$9="Domestic",I466, IF(Notes!$B$9="Commercial",J466))*$K$455</f>
        <v>171.88839999999999</v>
      </c>
      <c r="L466" s="283">
        <f>(SUM(O466:Q466)+(K466+SUM(M466:Q466))*(INDEX($U$455:$AB$455,MATCH(Notes!$C$16,$U$3:$AB$3,0))-100%))*$L$455</f>
        <v>744.15</v>
      </c>
      <c r="M466" s="286"/>
      <c r="N466" s="286"/>
      <c r="O466" s="311">
        <f>O465*1.1</f>
        <v>650.00099999999998</v>
      </c>
      <c r="P466" s="311">
        <f>P465*1.1</f>
        <v>94.149000000000044</v>
      </c>
      <c r="Q466" s="285"/>
      <c r="R466" s="278"/>
      <c r="S466" s="278"/>
      <c r="T466" s="278"/>
    </row>
    <row r="467" spans="1:20" s="305" customFormat="1" hidden="1" outlineLevel="1" x14ac:dyDescent="0.25">
      <c r="A467" s="278"/>
      <c r="B467" s="279" t="str">
        <f t="shared" si="212"/>
        <v>sliding mirror2100mm2101mm to 2400mmprestige</v>
      </c>
      <c r="C467" s="278" t="s">
        <v>1017</v>
      </c>
      <c r="D467" s="278" t="s">
        <v>557</v>
      </c>
      <c r="E467" s="278" t="s">
        <v>552</v>
      </c>
      <c r="F467" s="278" t="s">
        <v>545</v>
      </c>
      <c r="G467" s="278" t="s">
        <v>5</v>
      </c>
      <c r="H467" s="290">
        <v>1.88</v>
      </c>
      <c r="I467" s="280">
        <f t="shared" si="213"/>
        <v>151.56559999999999</v>
      </c>
      <c r="J467" s="281">
        <f t="shared" si="214"/>
        <v>171.88839999999999</v>
      </c>
      <c r="K467" s="282">
        <f>IF(Notes!$B$9="Domestic",I467, IF(Notes!$B$9="Commercial",J467))*$K$455</f>
        <v>171.88839999999999</v>
      </c>
      <c r="L467" s="283">
        <f>(SUM(O467:Q467)+(K467+SUM(M467:Q467))*(INDEX($U$455:$AB$455,MATCH(Notes!$C$16,$U$3:$AB$3,0))-100%))*$L$455</f>
        <v>892.98</v>
      </c>
      <c r="M467" s="286"/>
      <c r="N467" s="286"/>
      <c r="O467" s="311">
        <f>O466*1.2</f>
        <v>780.00119999999993</v>
      </c>
      <c r="P467" s="311">
        <f>P466*1.2</f>
        <v>112.97880000000005</v>
      </c>
      <c r="Q467" s="285"/>
      <c r="R467" s="278"/>
      <c r="S467" s="278"/>
      <c r="T467" s="278"/>
    </row>
    <row r="468" spans="1:20" s="305" customFormat="1" hidden="1" outlineLevel="1" x14ac:dyDescent="0.25">
      <c r="A468" s="278"/>
      <c r="B468" s="279" t="str">
        <f t="shared" si="203"/>
        <v>sliding mirror2100mm2401mm to 2700mmaverage</v>
      </c>
      <c r="C468" s="278" t="s">
        <v>1017</v>
      </c>
      <c r="D468" s="278" t="s">
        <v>557</v>
      </c>
      <c r="E468" s="278" t="s">
        <v>553</v>
      </c>
      <c r="F468" s="278" t="s">
        <v>543</v>
      </c>
      <c r="G468" s="278" t="s">
        <v>5</v>
      </c>
      <c r="H468" s="290">
        <v>1.98</v>
      </c>
      <c r="I468" s="280">
        <f>$I$2*H468</f>
        <v>159.6276</v>
      </c>
      <c r="J468" s="281">
        <f t="shared" si="205"/>
        <v>181.03140000000002</v>
      </c>
      <c r="K468" s="282">
        <f>IF(Notes!$B$9="Domestic",I468, IF(Notes!$B$9="Commercial",J468))*$K$455</f>
        <v>181.03140000000002</v>
      </c>
      <c r="L468" s="283">
        <f>(SUM(O468:Q468)+(K468+SUM(M468:Q468))*(INDEX($U$455:$AB$455,MATCH(Notes!$C$16,$U$3:$AB$3,0))-100%))*$L$455</f>
        <v>826.81</v>
      </c>
      <c r="M468" s="286"/>
      <c r="N468" s="286"/>
      <c r="O468" s="285">
        <v>736.36</v>
      </c>
      <c r="P468" s="285">
        <v>90.449999999999932</v>
      </c>
      <c r="Q468" s="285"/>
      <c r="R468" s="278"/>
      <c r="S468" s="278"/>
      <c r="T468" s="278"/>
    </row>
    <row r="469" spans="1:20" s="305" customFormat="1" hidden="1" outlineLevel="1" x14ac:dyDescent="0.25">
      <c r="A469" s="278"/>
      <c r="B469" s="279" t="str">
        <f t="shared" ref="B469:B470" si="215">C469&amp;D469&amp;E469&amp;F469</f>
        <v>sliding mirror2100mm2401mm to 2700mmquality</v>
      </c>
      <c r="C469" s="278" t="s">
        <v>1017</v>
      </c>
      <c r="D469" s="278" t="s">
        <v>557</v>
      </c>
      <c r="E469" s="278" t="s">
        <v>553</v>
      </c>
      <c r="F469" s="278" t="s">
        <v>544</v>
      </c>
      <c r="G469" s="278" t="s">
        <v>5</v>
      </c>
      <c r="H469" s="290">
        <v>1.98</v>
      </c>
      <c r="I469" s="280">
        <f t="shared" ref="I469:I470" si="216">$I$2*H469</f>
        <v>159.6276</v>
      </c>
      <c r="J469" s="281">
        <f t="shared" ref="J469:J470" si="217">$J$2*H469</f>
        <v>181.03140000000002</v>
      </c>
      <c r="K469" s="282">
        <f>IF(Notes!$B$9="Domestic",I469, IF(Notes!$B$9="Commercial",J469))*$K$455</f>
        <v>181.03140000000002</v>
      </c>
      <c r="L469" s="283">
        <f>(SUM(O469:Q469)+(K469+SUM(M469:Q469))*(INDEX($U$455:$AB$455,MATCH(Notes!$C$16,$U$3:$AB$3,0))-100%))*$L$455</f>
        <v>909.49099999999999</v>
      </c>
      <c r="M469" s="286"/>
      <c r="N469" s="286"/>
      <c r="O469" s="311">
        <f>O468*1.1</f>
        <v>809.99600000000009</v>
      </c>
      <c r="P469" s="311">
        <f>P468*1.1</f>
        <v>99.494999999999933</v>
      </c>
      <c r="Q469" s="285"/>
      <c r="R469" s="278"/>
      <c r="S469" s="278"/>
      <c r="T469" s="278"/>
    </row>
    <row r="470" spans="1:20" s="305" customFormat="1" hidden="1" outlineLevel="1" x14ac:dyDescent="0.25">
      <c r="A470" s="278"/>
      <c r="B470" s="279" t="str">
        <f t="shared" si="215"/>
        <v>sliding mirror2100mm2401mm to 2700mmprestige</v>
      </c>
      <c r="C470" s="278" t="s">
        <v>1017</v>
      </c>
      <c r="D470" s="278" t="s">
        <v>557</v>
      </c>
      <c r="E470" s="278" t="s">
        <v>553</v>
      </c>
      <c r="F470" s="278" t="s">
        <v>545</v>
      </c>
      <c r="G470" s="278" t="s">
        <v>5</v>
      </c>
      <c r="H470" s="290">
        <v>1.98</v>
      </c>
      <c r="I470" s="280">
        <f t="shared" si="216"/>
        <v>159.6276</v>
      </c>
      <c r="J470" s="281">
        <f t="shared" si="217"/>
        <v>181.03140000000002</v>
      </c>
      <c r="K470" s="282">
        <f>IF(Notes!$B$9="Domestic",I470, IF(Notes!$B$9="Commercial",J470))*$K$455</f>
        <v>181.03140000000002</v>
      </c>
      <c r="L470" s="283">
        <f>(SUM(O470:Q470)+(K470+SUM(M470:Q470))*(INDEX($U$455:$AB$455,MATCH(Notes!$C$16,$U$3:$AB$3,0))-100%))*$L$455</f>
        <v>1091.3892000000001</v>
      </c>
      <c r="M470" s="286"/>
      <c r="N470" s="286"/>
      <c r="O470" s="311">
        <f>O469*1.2</f>
        <v>971.99520000000007</v>
      </c>
      <c r="P470" s="311">
        <f>P469*1.2</f>
        <v>119.39399999999992</v>
      </c>
      <c r="Q470" s="285"/>
      <c r="R470" s="278"/>
      <c r="S470" s="278"/>
      <c r="T470" s="278"/>
    </row>
    <row r="471" spans="1:20" s="305" customFormat="1" hidden="1" outlineLevel="1" x14ac:dyDescent="0.25">
      <c r="A471" s="278"/>
      <c r="B471" s="279" t="str">
        <f t="shared" si="203"/>
        <v>sliding mirror2100mm2701mm to 3000mmaverage</v>
      </c>
      <c r="C471" s="278" t="s">
        <v>1017</v>
      </c>
      <c r="D471" s="278" t="s">
        <v>557</v>
      </c>
      <c r="E471" s="278" t="s">
        <v>554</v>
      </c>
      <c r="F471" s="278" t="s">
        <v>543</v>
      </c>
      <c r="G471" s="278" t="s">
        <v>5</v>
      </c>
      <c r="H471" s="290">
        <v>2.08</v>
      </c>
      <c r="I471" s="280">
        <f t="shared" ref="I471:I494" si="218">$I$2*H471</f>
        <v>167.68960000000001</v>
      </c>
      <c r="J471" s="281">
        <f t="shared" si="205"/>
        <v>190.17440000000002</v>
      </c>
      <c r="K471" s="282">
        <f>IF(Notes!$B$9="Domestic",I471, IF(Notes!$B$9="Commercial",J471))*$K$455</f>
        <v>190.17440000000002</v>
      </c>
      <c r="L471" s="283">
        <f>(SUM(O471:Q471)+(K471+SUM(M471:Q471))*(INDEX($U$455:$AB$455,MATCH(Notes!$C$16,$U$3:$AB$3,0))-100%))*$L$455</f>
        <v>895.31</v>
      </c>
      <c r="M471" s="286"/>
      <c r="N471" s="286"/>
      <c r="O471" s="285">
        <v>800</v>
      </c>
      <c r="P471" s="285">
        <v>95.309999999999945</v>
      </c>
      <c r="Q471" s="285"/>
      <c r="R471" s="278"/>
      <c r="S471" s="278"/>
      <c r="T471" s="278"/>
    </row>
    <row r="472" spans="1:20" s="305" customFormat="1" hidden="1" outlineLevel="1" x14ac:dyDescent="0.25">
      <c r="A472" s="278"/>
      <c r="B472" s="279" t="str">
        <f t="shared" ref="B472:B474" si="219">C472&amp;D472&amp;E472&amp;F472</f>
        <v>sliding mirror2100mm2701mm to 3000mmquality</v>
      </c>
      <c r="C472" s="278" t="s">
        <v>1017</v>
      </c>
      <c r="D472" s="278" t="s">
        <v>557</v>
      </c>
      <c r="E472" s="278" t="s">
        <v>554</v>
      </c>
      <c r="F472" s="278" t="s">
        <v>544</v>
      </c>
      <c r="G472" s="278" t="s">
        <v>5</v>
      </c>
      <c r="H472" s="290">
        <v>2.08</v>
      </c>
      <c r="I472" s="280">
        <f t="shared" ref="I472:I474" si="220">$I$2*H472</f>
        <v>167.68960000000001</v>
      </c>
      <c r="J472" s="281">
        <f t="shared" ref="J472:J474" si="221">$J$2*H472</f>
        <v>190.17440000000002</v>
      </c>
      <c r="K472" s="282">
        <f>IF(Notes!$B$9="Domestic",I472, IF(Notes!$B$9="Commercial",J472))*$K$455</f>
        <v>190.17440000000002</v>
      </c>
      <c r="L472" s="283">
        <f>(SUM(O472:Q472)+(K472+SUM(M472:Q472))*(INDEX($U$455:$AB$455,MATCH(Notes!$C$16,$U$3:$AB$3,0))-100%))*$L$455</f>
        <v>984.84100000000012</v>
      </c>
      <c r="M472" s="286"/>
      <c r="N472" s="286"/>
      <c r="O472" s="311">
        <f>O471*1.1</f>
        <v>880.00000000000011</v>
      </c>
      <c r="P472" s="311">
        <f>P471*1.1</f>
        <v>104.84099999999995</v>
      </c>
      <c r="Q472" s="285"/>
      <c r="R472" s="278"/>
      <c r="S472" s="278"/>
      <c r="T472" s="278"/>
    </row>
    <row r="473" spans="1:20" s="305" customFormat="1" hidden="1" outlineLevel="1" x14ac:dyDescent="0.25">
      <c r="A473" s="278"/>
      <c r="B473" s="279" t="str">
        <f t="shared" si="219"/>
        <v>sliding mirror2100mm2701mm to 3000mmprestige</v>
      </c>
      <c r="C473" s="278" t="s">
        <v>1017</v>
      </c>
      <c r="D473" s="278" t="s">
        <v>557</v>
      </c>
      <c r="E473" s="278" t="s">
        <v>554</v>
      </c>
      <c r="F473" s="278" t="s">
        <v>545</v>
      </c>
      <c r="G473" s="278" t="s">
        <v>5</v>
      </c>
      <c r="H473" s="290">
        <v>2.08</v>
      </c>
      <c r="I473" s="280">
        <f t="shared" si="220"/>
        <v>167.68960000000001</v>
      </c>
      <c r="J473" s="281">
        <f t="shared" si="221"/>
        <v>190.17440000000002</v>
      </c>
      <c r="K473" s="282">
        <f>IF(Notes!$B$9="Domestic",I473, IF(Notes!$B$9="Commercial",J473))*$K$455</f>
        <v>190.17440000000002</v>
      </c>
      <c r="L473" s="283">
        <f>(SUM(O473:Q473)+(K473+SUM(M473:Q473))*(INDEX($U$455:$AB$455,MATCH(Notes!$C$16,$U$3:$AB$3,0))-100%))*$L$455</f>
        <v>1181.8091999999999</v>
      </c>
      <c r="M473" s="286"/>
      <c r="N473" s="286"/>
      <c r="O473" s="311">
        <f>O472*1.2</f>
        <v>1056</v>
      </c>
      <c r="P473" s="311">
        <f>P472*1.2</f>
        <v>125.80919999999993</v>
      </c>
      <c r="Q473" s="285"/>
      <c r="R473" s="278"/>
      <c r="S473" s="278"/>
      <c r="T473" s="278"/>
    </row>
    <row r="474" spans="1:20" s="305" customFormat="1" hidden="1" outlineLevel="1" x14ac:dyDescent="0.25">
      <c r="A474" s="278"/>
      <c r="B474" s="279" t="str">
        <f t="shared" si="219"/>
        <v>sliding mirror2100mm3001mm to 3300mmaverage</v>
      </c>
      <c r="C474" s="278" t="s">
        <v>1017</v>
      </c>
      <c r="D474" s="278" t="s">
        <v>557</v>
      </c>
      <c r="E474" s="278" t="s">
        <v>1019</v>
      </c>
      <c r="F474" s="278" t="s">
        <v>543</v>
      </c>
      <c r="G474" s="278" t="s">
        <v>5</v>
      </c>
      <c r="H474" s="290">
        <v>2.1800000000000002</v>
      </c>
      <c r="I474" s="280">
        <f t="shared" si="220"/>
        <v>175.75160000000002</v>
      </c>
      <c r="J474" s="281">
        <f t="shared" si="221"/>
        <v>199.31740000000002</v>
      </c>
      <c r="K474" s="282">
        <f>IF(Notes!$B$9="Domestic",I474, IF(Notes!$B$9="Commercial",J474))*$K$455</f>
        <v>199.31740000000002</v>
      </c>
      <c r="L474" s="283">
        <f>(SUM(O474:Q474)+(K474+SUM(M474:Q474))*(INDEX($U$455:$AB$455,MATCH(Notes!$C$16,$U$3:$AB$3,0))-100%))*$L$455</f>
        <v>945.62000000000012</v>
      </c>
      <c r="M474" s="286"/>
      <c r="N474" s="286"/>
      <c r="O474" s="285">
        <v>845.45</v>
      </c>
      <c r="P474" s="311">
        <f>(P471+P477)/2</f>
        <v>100.17000000000002</v>
      </c>
      <c r="Q474" s="285"/>
      <c r="R474" s="278"/>
      <c r="S474" s="278"/>
      <c r="T474" s="278"/>
    </row>
    <row r="475" spans="1:20" s="305" customFormat="1" hidden="1" outlineLevel="1" x14ac:dyDescent="0.25">
      <c r="A475" s="278"/>
      <c r="B475" s="279" t="str">
        <f t="shared" ref="B475:B476" si="222">C475&amp;D475&amp;E475&amp;F475</f>
        <v>sliding mirror2100mm3001mm to 3300mmquality</v>
      </c>
      <c r="C475" s="278" t="s">
        <v>1017</v>
      </c>
      <c r="D475" s="278" t="s">
        <v>557</v>
      </c>
      <c r="E475" s="278" t="s">
        <v>1019</v>
      </c>
      <c r="F475" s="278" t="s">
        <v>544</v>
      </c>
      <c r="G475" s="278" t="s">
        <v>5</v>
      </c>
      <c r="H475" s="290">
        <v>2.1800000000000002</v>
      </c>
      <c r="I475" s="280">
        <f t="shared" ref="I475:I476" si="223">$I$2*H475</f>
        <v>175.75160000000002</v>
      </c>
      <c r="J475" s="281">
        <f t="shared" ref="J475:J476" si="224">$J$2*H475</f>
        <v>199.31740000000002</v>
      </c>
      <c r="K475" s="282">
        <f>IF(Notes!$B$9="Domestic",I475, IF(Notes!$B$9="Commercial",J475))*$K$455</f>
        <v>199.31740000000002</v>
      </c>
      <c r="L475" s="283">
        <f>(SUM(O475:Q475)+(K475+SUM(M475:Q475))*(INDEX($U$455:$AB$455,MATCH(Notes!$C$16,$U$3:$AB$3,0))-100%))*$L$455</f>
        <v>1040.1820000000002</v>
      </c>
      <c r="M475" s="286"/>
      <c r="N475" s="286"/>
      <c r="O475" s="311">
        <f>O474*1.1</f>
        <v>929.99500000000012</v>
      </c>
      <c r="P475" s="311">
        <f>P474*1.1</f>
        <v>110.18700000000003</v>
      </c>
      <c r="Q475" s="285"/>
      <c r="R475" s="278"/>
      <c r="S475" s="278"/>
      <c r="T475" s="278"/>
    </row>
    <row r="476" spans="1:20" s="305" customFormat="1" hidden="1" outlineLevel="1" x14ac:dyDescent="0.25">
      <c r="A476" s="278"/>
      <c r="B476" s="279" t="str">
        <f t="shared" si="222"/>
        <v>sliding mirror2100mm3001mm to 3300mmprestige</v>
      </c>
      <c r="C476" s="278" t="s">
        <v>1017</v>
      </c>
      <c r="D476" s="278" t="s">
        <v>557</v>
      </c>
      <c r="E476" s="278" t="s">
        <v>1019</v>
      </c>
      <c r="F476" s="278" t="s">
        <v>545</v>
      </c>
      <c r="G476" s="278" t="s">
        <v>5</v>
      </c>
      <c r="H476" s="290">
        <v>2.1800000000000002</v>
      </c>
      <c r="I476" s="280">
        <f t="shared" si="223"/>
        <v>175.75160000000002</v>
      </c>
      <c r="J476" s="281">
        <f t="shared" si="224"/>
        <v>199.31740000000002</v>
      </c>
      <c r="K476" s="282">
        <f>IF(Notes!$B$9="Domestic",I476, IF(Notes!$B$9="Commercial",J476))*$K$455</f>
        <v>199.31740000000002</v>
      </c>
      <c r="L476" s="283">
        <f>(SUM(O476:Q476)+(K476+SUM(M476:Q476))*(INDEX($U$455:$AB$455,MATCH(Notes!$C$16,$U$3:$AB$3,0))-100%))*$L$455</f>
        <v>1248.2184000000002</v>
      </c>
      <c r="M476" s="286"/>
      <c r="N476" s="286"/>
      <c r="O476" s="311">
        <f>O475*1.2</f>
        <v>1115.9940000000001</v>
      </c>
      <c r="P476" s="311">
        <f>P475*1.2</f>
        <v>132.22440000000003</v>
      </c>
      <c r="Q476" s="285"/>
      <c r="R476" s="278"/>
      <c r="S476" s="278"/>
      <c r="T476" s="278"/>
    </row>
    <row r="477" spans="1:20" s="305" customFormat="1" hidden="1" outlineLevel="1" x14ac:dyDescent="0.25">
      <c r="A477" s="278"/>
      <c r="B477" s="279" t="str">
        <f t="shared" si="203"/>
        <v>sliding mirror2100mm3301mm to 3600mmaverage</v>
      </c>
      <c r="C477" s="278" t="s">
        <v>1017</v>
      </c>
      <c r="D477" s="278" t="s">
        <v>557</v>
      </c>
      <c r="E477" s="278" t="s">
        <v>1020</v>
      </c>
      <c r="F477" s="278" t="s">
        <v>543</v>
      </c>
      <c r="G477" s="278" t="s">
        <v>5</v>
      </c>
      <c r="H477" s="290">
        <v>2.2799999999999998</v>
      </c>
      <c r="I477" s="280">
        <f t="shared" si="218"/>
        <v>183.81360000000001</v>
      </c>
      <c r="J477" s="281">
        <f t="shared" si="205"/>
        <v>208.46039999999999</v>
      </c>
      <c r="K477" s="282">
        <f>IF(Notes!$B$9="Domestic",I477, IF(Notes!$B$9="Commercial",J477))*$K$455</f>
        <v>208.46039999999999</v>
      </c>
      <c r="L477" s="283">
        <f>(SUM(O477:Q477)+(K477+SUM(M477:Q477))*(INDEX($U$455:$AB$455,MATCH(Notes!$C$16,$U$3:$AB$3,0))-100%))*$L$455</f>
        <v>995.94</v>
      </c>
      <c r="M477" s="286"/>
      <c r="N477" s="286"/>
      <c r="O477" s="285">
        <v>890.91</v>
      </c>
      <c r="P477" s="285">
        <v>105.03000000000009</v>
      </c>
      <c r="Q477" s="285"/>
      <c r="R477" s="278"/>
      <c r="S477" s="278"/>
      <c r="T477" s="278"/>
    </row>
    <row r="478" spans="1:20" s="305" customFormat="1" hidden="1" outlineLevel="1" x14ac:dyDescent="0.25">
      <c r="A478" s="278"/>
      <c r="B478" s="279" t="str">
        <f t="shared" ref="B478:B479" si="225">C478&amp;D478&amp;E478&amp;F478</f>
        <v>sliding mirror2100mm3301mm to 3600mmquality</v>
      </c>
      <c r="C478" s="278" t="s">
        <v>1017</v>
      </c>
      <c r="D478" s="278" t="s">
        <v>557</v>
      </c>
      <c r="E478" s="278" t="s">
        <v>1020</v>
      </c>
      <c r="F478" s="278" t="s">
        <v>544</v>
      </c>
      <c r="G478" s="278" t="s">
        <v>5</v>
      </c>
      <c r="H478" s="290">
        <v>2.2799999999999998</v>
      </c>
      <c r="I478" s="280">
        <f t="shared" ref="I478:I479" si="226">$I$2*H478</f>
        <v>183.81360000000001</v>
      </c>
      <c r="J478" s="281">
        <f t="shared" ref="J478:J479" si="227">$J$2*H478</f>
        <v>208.46039999999999</v>
      </c>
      <c r="K478" s="282">
        <f>IF(Notes!$B$9="Domestic",I478, IF(Notes!$B$9="Commercial",J478))*$K$455</f>
        <v>208.46039999999999</v>
      </c>
      <c r="L478" s="283">
        <f>(SUM(O478:Q478)+(K478+SUM(M478:Q478))*(INDEX($U$455:$AB$455,MATCH(Notes!$C$16,$U$3:$AB$3,0))-100%))*$L$455</f>
        <v>1095.5340000000001</v>
      </c>
      <c r="M478" s="286"/>
      <c r="N478" s="286"/>
      <c r="O478" s="311">
        <f>O477*1.1</f>
        <v>980.00100000000009</v>
      </c>
      <c r="P478" s="311">
        <f>P477*1.1</f>
        <v>115.5330000000001</v>
      </c>
      <c r="Q478" s="285"/>
      <c r="R478" s="278"/>
      <c r="S478" s="278"/>
      <c r="T478" s="278"/>
    </row>
    <row r="479" spans="1:20" s="305" customFormat="1" hidden="1" outlineLevel="1" x14ac:dyDescent="0.25">
      <c r="A479" s="278"/>
      <c r="B479" s="279" t="str">
        <f t="shared" si="225"/>
        <v>sliding mirror2100mm3301mm to 3600mmprestige</v>
      </c>
      <c r="C479" s="278" t="s">
        <v>1017</v>
      </c>
      <c r="D479" s="278" t="s">
        <v>557</v>
      </c>
      <c r="E479" s="278" t="s">
        <v>1020</v>
      </c>
      <c r="F479" s="278" t="s">
        <v>545</v>
      </c>
      <c r="G479" s="278" t="s">
        <v>5</v>
      </c>
      <c r="H479" s="290">
        <v>2.2799999999999998</v>
      </c>
      <c r="I479" s="280">
        <f t="shared" si="226"/>
        <v>183.81360000000001</v>
      </c>
      <c r="J479" s="281">
        <f t="shared" si="227"/>
        <v>208.46039999999999</v>
      </c>
      <c r="K479" s="282">
        <f>IF(Notes!$B$9="Domestic",I479, IF(Notes!$B$9="Commercial",J479))*$K$455</f>
        <v>208.46039999999999</v>
      </c>
      <c r="L479" s="283">
        <f>(SUM(O479:Q479)+(K479+SUM(M479:Q479))*(INDEX($U$455:$AB$455,MATCH(Notes!$C$16,$U$3:$AB$3,0))-100%))*$L$455</f>
        <v>1314.6408000000004</v>
      </c>
      <c r="M479" s="286"/>
      <c r="N479" s="286"/>
      <c r="O479" s="311">
        <f>O478*1.2</f>
        <v>1176.0012000000002</v>
      </c>
      <c r="P479" s="311">
        <f>P478*1.2</f>
        <v>138.63960000000012</v>
      </c>
      <c r="Q479" s="285"/>
      <c r="R479" s="278"/>
      <c r="S479" s="278"/>
      <c r="T479" s="278"/>
    </row>
    <row r="480" spans="1:20" s="305" customFormat="1" hidden="1" outlineLevel="1" x14ac:dyDescent="0.25">
      <c r="A480" s="278"/>
      <c r="B480" s="279" t="str">
        <f>C480&amp;D480&amp;E480&amp;F480</f>
        <v>sliding mirror2400mmup to 1500mmaverage</v>
      </c>
      <c r="C480" s="278" t="s">
        <v>1017</v>
      </c>
      <c r="D480" s="278" t="s">
        <v>558</v>
      </c>
      <c r="E480" s="278" t="s">
        <v>1018</v>
      </c>
      <c r="F480" s="278" t="s">
        <v>543</v>
      </c>
      <c r="G480" s="278" t="s">
        <v>5</v>
      </c>
      <c r="H480" s="290">
        <v>1.62</v>
      </c>
      <c r="I480" s="280">
        <f>$I$2*H480</f>
        <v>130.60440000000003</v>
      </c>
      <c r="J480" s="281">
        <f>$J$2*H480</f>
        <v>148.11660000000003</v>
      </c>
      <c r="K480" s="282">
        <f>IF(Notes!$B$9="Domestic",I480, IF(Notes!$B$9="Commercial",J480))*$K$455</f>
        <v>148.11660000000003</v>
      </c>
      <c r="L480" s="283">
        <f>(SUM(O480:Q480)+(K480+SUM(M480:Q480))*(INDEX($U$455:$AB$455,MATCH(Notes!$C$16,$U$3:$AB$3,0))-100%))*$L$455</f>
        <v>572.89</v>
      </c>
      <c r="M480" s="286"/>
      <c r="N480" s="286"/>
      <c r="O480" s="285">
        <v>500</v>
      </c>
      <c r="P480" s="285">
        <v>72.889999999999986</v>
      </c>
      <c r="Q480" s="285"/>
      <c r="R480" s="278"/>
      <c r="S480" s="278"/>
      <c r="T480" s="278"/>
    </row>
    <row r="481" spans="1:20" s="305" customFormat="1" hidden="1" outlineLevel="1" x14ac:dyDescent="0.25">
      <c r="A481" s="278"/>
      <c r="B481" s="279" t="str">
        <f t="shared" ref="B481:B486" si="228">C481&amp;D481&amp;E481&amp;F481</f>
        <v>sliding mirror2400mmup to 1500mmquality</v>
      </c>
      <c r="C481" s="278" t="s">
        <v>1017</v>
      </c>
      <c r="D481" s="278" t="s">
        <v>558</v>
      </c>
      <c r="E481" s="278" t="s">
        <v>1018</v>
      </c>
      <c r="F481" s="278" t="s">
        <v>544</v>
      </c>
      <c r="G481" s="278" t="s">
        <v>5</v>
      </c>
      <c r="H481" s="290">
        <v>1.62</v>
      </c>
      <c r="I481" s="280">
        <f t="shared" ref="I481:I483" si="229">$I$2*H481</f>
        <v>130.60440000000003</v>
      </c>
      <c r="J481" s="281">
        <f t="shared" ref="J481:J486" si="230">$J$2*H481</f>
        <v>148.11660000000003</v>
      </c>
      <c r="K481" s="282">
        <f>IF(Notes!$B$9="Domestic",I481, IF(Notes!$B$9="Commercial",J481))*$K$455</f>
        <v>148.11660000000003</v>
      </c>
      <c r="L481" s="283">
        <f>(SUM(O481:Q481)+(K481+SUM(M481:Q481))*(INDEX($U$455:$AB$455,MATCH(Notes!$C$16,$U$3:$AB$3,0))-100%))*$L$455</f>
        <v>630.17899999999997</v>
      </c>
      <c r="M481" s="286"/>
      <c r="N481" s="286"/>
      <c r="O481" s="311">
        <f>O480*1.1</f>
        <v>550</v>
      </c>
      <c r="P481" s="311">
        <f>P480*1.1</f>
        <v>80.178999999999988</v>
      </c>
      <c r="Q481" s="285"/>
      <c r="R481" s="278"/>
      <c r="S481" s="278"/>
      <c r="T481" s="278"/>
    </row>
    <row r="482" spans="1:20" s="305" customFormat="1" hidden="1" outlineLevel="1" x14ac:dyDescent="0.25">
      <c r="A482" s="278"/>
      <c r="B482" s="279" t="str">
        <f t="shared" si="228"/>
        <v>sliding mirror2400mmup to 1500mmprestige</v>
      </c>
      <c r="C482" s="278" t="s">
        <v>1017</v>
      </c>
      <c r="D482" s="278" t="s">
        <v>558</v>
      </c>
      <c r="E482" s="278" t="s">
        <v>1018</v>
      </c>
      <c r="F482" s="278" t="s">
        <v>545</v>
      </c>
      <c r="G482" s="278" t="s">
        <v>5</v>
      </c>
      <c r="H482" s="290">
        <v>1.62</v>
      </c>
      <c r="I482" s="280">
        <f t="shared" si="229"/>
        <v>130.60440000000003</v>
      </c>
      <c r="J482" s="281">
        <f t="shared" si="230"/>
        <v>148.11660000000003</v>
      </c>
      <c r="K482" s="282">
        <f>IF(Notes!$B$9="Domestic",I482, IF(Notes!$B$9="Commercial",J482))*$K$455</f>
        <v>148.11660000000003</v>
      </c>
      <c r="L482" s="283">
        <f>(SUM(O482:Q482)+(K482+SUM(M482:Q482))*(INDEX($U$455:$AB$455,MATCH(Notes!$C$16,$U$3:$AB$3,0))-100%))*$L$455</f>
        <v>756.21479999999997</v>
      </c>
      <c r="M482" s="286"/>
      <c r="N482" s="286"/>
      <c r="O482" s="311">
        <f>O481*1.2</f>
        <v>660</v>
      </c>
      <c r="P482" s="311">
        <f>P481*1.2</f>
        <v>96.214799999999983</v>
      </c>
      <c r="Q482" s="285"/>
      <c r="R482" s="278"/>
      <c r="S482" s="278"/>
      <c r="T482" s="278"/>
    </row>
    <row r="483" spans="1:20" s="305" customFormat="1" hidden="1" outlineLevel="1" x14ac:dyDescent="0.25">
      <c r="A483" s="278"/>
      <c r="B483" s="279" t="str">
        <f t="shared" si="228"/>
        <v>sliding mirror2400mm1501mm to 1800mmaverage</v>
      </c>
      <c r="C483" s="278" t="s">
        <v>1017</v>
      </c>
      <c r="D483" s="278" t="s">
        <v>558</v>
      </c>
      <c r="E483" s="278" t="s">
        <v>550</v>
      </c>
      <c r="F483" s="278" t="s">
        <v>543</v>
      </c>
      <c r="G483" s="278" t="s">
        <v>5</v>
      </c>
      <c r="H483" s="290">
        <v>1.83</v>
      </c>
      <c r="I483" s="280">
        <f t="shared" si="229"/>
        <v>147.53460000000001</v>
      </c>
      <c r="J483" s="281">
        <f t="shared" si="230"/>
        <v>167.31690000000003</v>
      </c>
      <c r="K483" s="282">
        <f>IF(Notes!$B$9="Domestic",I483, IF(Notes!$B$9="Commercial",J483))*$K$455</f>
        <v>167.31690000000003</v>
      </c>
      <c r="L483" s="283">
        <f>(SUM(O483:Q483)+(K483+SUM(M483:Q483))*(INDEX($U$455:$AB$455,MATCH(Notes!$C$16,$U$3:$AB$3,0))-100%))*$L$455</f>
        <v>618.97</v>
      </c>
      <c r="M483" s="286"/>
      <c r="N483" s="286"/>
      <c r="O483" s="285">
        <v>536.36</v>
      </c>
      <c r="P483" s="285">
        <v>82.610000000000014</v>
      </c>
      <c r="Q483" s="285"/>
      <c r="R483" s="278"/>
      <c r="S483" s="278"/>
      <c r="T483" s="278"/>
    </row>
    <row r="484" spans="1:20" s="305" customFormat="1" hidden="1" outlineLevel="1" x14ac:dyDescent="0.25">
      <c r="A484" s="278"/>
      <c r="B484" s="279" t="str">
        <f t="shared" si="228"/>
        <v>sliding mirror2400mm1501mm to 1800mmquality</v>
      </c>
      <c r="C484" s="278" t="s">
        <v>1017</v>
      </c>
      <c r="D484" s="278" t="s">
        <v>558</v>
      </c>
      <c r="E484" s="278" t="s">
        <v>550</v>
      </c>
      <c r="F484" s="278" t="s">
        <v>544</v>
      </c>
      <c r="G484" s="278" t="s">
        <v>5</v>
      </c>
      <c r="H484" s="290">
        <v>1.83</v>
      </c>
      <c r="I484" s="280">
        <f>$I$2*H484</f>
        <v>147.53460000000001</v>
      </c>
      <c r="J484" s="281">
        <f t="shared" si="230"/>
        <v>167.31690000000003</v>
      </c>
      <c r="K484" s="282">
        <f>IF(Notes!$B$9="Domestic",I484, IF(Notes!$B$9="Commercial",J484))*$K$455</f>
        <v>167.31690000000003</v>
      </c>
      <c r="L484" s="283">
        <f>(SUM(O484:Q484)+(K484+SUM(M484:Q484))*(INDEX($U$455:$AB$455,MATCH(Notes!$C$16,$U$3:$AB$3,0))-100%))*$L$455</f>
        <v>680.86700000000008</v>
      </c>
      <c r="M484" s="286"/>
      <c r="N484" s="286"/>
      <c r="O484" s="311">
        <f>O483*1.1</f>
        <v>589.99600000000009</v>
      </c>
      <c r="P484" s="311">
        <f>P483*1.1</f>
        <v>90.871000000000024</v>
      </c>
      <c r="Q484" s="285"/>
      <c r="R484" s="278"/>
      <c r="S484" s="278"/>
      <c r="T484" s="278"/>
    </row>
    <row r="485" spans="1:20" s="305" customFormat="1" hidden="1" outlineLevel="1" x14ac:dyDescent="0.25">
      <c r="A485" s="278"/>
      <c r="B485" s="279" t="str">
        <f t="shared" si="228"/>
        <v>sliding mirror2400mm1501mm to 1800mmprestige</v>
      </c>
      <c r="C485" s="278" t="s">
        <v>1017</v>
      </c>
      <c r="D485" s="278" t="s">
        <v>558</v>
      </c>
      <c r="E485" s="278" t="s">
        <v>550</v>
      </c>
      <c r="F485" s="278" t="s">
        <v>545</v>
      </c>
      <c r="G485" s="278" t="s">
        <v>5</v>
      </c>
      <c r="H485" s="290">
        <v>1.83</v>
      </c>
      <c r="I485" s="280">
        <f t="shared" ref="I485:I486" si="231">$I$2*H485</f>
        <v>147.53460000000001</v>
      </c>
      <c r="J485" s="281">
        <f t="shared" si="230"/>
        <v>167.31690000000003</v>
      </c>
      <c r="K485" s="282">
        <f>IF(Notes!$B$9="Domestic",I485, IF(Notes!$B$9="Commercial",J485))*$K$455</f>
        <v>167.31690000000003</v>
      </c>
      <c r="L485" s="283">
        <f>(SUM(O485:Q485)+(K485+SUM(M485:Q485))*(INDEX($U$455:$AB$455,MATCH(Notes!$C$16,$U$3:$AB$3,0))-100%))*$L$455</f>
        <v>817.04040000000009</v>
      </c>
      <c r="M485" s="286"/>
      <c r="N485" s="286"/>
      <c r="O485" s="311">
        <f>O484*1.2</f>
        <v>707.99520000000007</v>
      </c>
      <c r="P485" s="311">
        <f>P484*1.2</f>
        <v>109.04520000000002</v>
      </c>
      <c r="Q485" s="285"/>
      <c r="R485" s="278"/>
      <c r="S485" s="278"/>
      <c r="T485" s="278"/>
    </row>
    <row r="486" spans="1:20" s="305" customFormat="1" hidden="1" outlineLevel="1" x14ac:dyDescent="0.25">
      <c r="A486" s="278"/>
      <c r="B486" s="279" t="str">
        <f t="shared" si="228"/>
        <v>sliding mirror2400mm1801mm to 2100mmaverage</v>
      </c>
      <c r="C486" s="278" t="s">
        <v>1017</v>
      </c>
      <c r="D486" s="278" t="s">
        <v>558</v>
      </c>
      <c r="E486" s="278" t="s">
        <v>551</v>
      </c>
      <c r="F486" s="278" t="s">
        <v>543</v>
      </c>
      <c r="G486" s="278" t="s">
        <v>5</v>
      </c>
      <c r="H486" s="290">
        <v>1.93</v>
      </c>
      <c r="I486" s="280">
        <f t="shared" si="231"/>
        <v>155.5966</v>
      </c>
      <c r="J486" s="281">
        <f t="shared" si="230"/>
        <v>176.4599</v>
      </c>
      <c r="K486" s="282">
        <f>IF(Notes!$B$9="Domestic",I486, IF(Notes!$B$9="Commercial",J486))*$K$455</f>
        <v>176.4599</v>
      </c>
      <c r="L486" s="283">
        <f>(SUM(O486:Q486)+(K486+SUM(M486:Q486))*(INDEX($U$455:$AB$455,MATCH(Notes!$C$16,$U$3:$AB$3,0))-100%))*$L$455</f>
        <v>678.38</v>
      </c>
      <c r="M486" s="286"/>
      <c r="N486" s="286"/>
      <c r="O486" s="285">
        <v>590.91</v>
      </c>
      <c r="P486" s="285">
        <v>87.470000000000027</v>
      </c>
      <c r="Q486" s="285"/>
      <c r="R486" s="278"/>
      <c r="S486" s="278"/>
      <c r="T486" s="278"/>
    </row>
    <row r="487" spans="1:20" s="305" customFormat="1" hidden="1" outlineLevel="1" x14ac:dyDescent="0.25">
      <c r="A487" s="278"/>
      <c r="B487" s="279" t="str">
        <f>C487&amp;D487&amp;E487&amp;F487</f>
        <v>sliding mirror2400mm1801mm to 2100mmquality</v>
      </c>
      <c r="C487" s="278" t="s">
        <v>1017</v>
      </c>
      <c r="D487" s="278" t="s">
        <v>558</v>
      </c>
      <c r="E487" s="278" t="s">
        <v>551</v>
      </c>
      <c r="F487" s="278" t="s">
        <v>544</v>
      </c>
      <c r="G487" s="278" t="s">
        <v>5</v>
      </c>
      <c r="H487" s="290">
        <v>1.93</v>
      </c>
      <c r="I487" s="280">
        <f>$I$2*H487</f>
        <v>155.5966</v>
      </c>
      <c r="J487" s="281">
        <f>$J$2*H487</f>
        <v>176.4599</v>
      </c>
      <c r="K487" s="282">
        <f>IF(Notes!$B$9="Domestic",I487, IF(Notes!$B$9="Commercial",J487))*$K$455</f>
        <v>176.4599</v>
      </c>
      <c r="L487" s="283">
        <f>(SUM(O487:Q487)+(K487+SUM(M487:Q487))*(INDEX($U$455:$AB$455,MATCH(Notes!$C$16,$U$3:$AB$3,0))-100%))*$L$455</f>
        <v>746.21800000000007</v>
      </c>
      <c r="M487" s="286"/>
      <c r="N487" s="286"/>
      <c r="O487" s="311">
        <f>O486*1.1</f>
        <v>650.00099999999998</v>
      </c>
      <c r="P487" s="311">
        <f>P486*1.1</f>
        <v>96.217000000000041</v>
      </c>
      <c r="Q487" s="285"/>
      <c r="R487" s="278"/>
      <c r="S487" s="278"/>
      <c r="T487" s="278"/>
    </row>
    <row r="488" spans="1:20" s="305" customFormat="1" hidden="1" outlineLevel="1" x14ac:dyDescent="0.25">
      <c r="A488" s="278"/>
      <c r="B488" s="279" t="str">
        <f t="shared" ref="B488:B493" si="232">C488&amp;D488&amp;E488&amp;F488</f>
        <v>sliding mirror2400mm1801mm to 2100mmprestige</v>
      </c>
      <c r="C488" s="278" t="s">
        <v>1017</v>
      </c>
      <c r="D488" s="278" t="s">
        <v>558</v>
      </c>
      <c r="E488" s="278" t="s">
        <v>551</v>
      </c>
      <c r="F488" s="278" t="s">
        <v>545</v>
      </c>
      <c r="G488" s="278" t="s">
        <v>5</v>
      </c>
      <c r="H488" s="290">
        <v>1.93</v>
      </c>
      <c r="I488" s="280">
        <f t="shared" ref="I488:I490" si="233">$I$2*H488</f>
        <v>155.5966</v>
      </c>
      <c r="J488" s="281">
        <f t="shared" ref="J488:J493" si="234">$J$2*H488</f>
        <v>176.4599</v>
      </c>
      <c r="K488" s="282">
        <f>IF(Notes!$B$9="Domestic",I488, IF(Notes!$B$9="Commercial",J488))*$K$455</f>
        <v>176.4599</v>
      </c>
      <c r="L488" s="283">
        <f>(SUM(O488:Q488)+(K488+SUM(M488:Q488))*(INDEX($U$455:$AB$455,MATCH(Notes!$C$16,$U$3:$AB$3,0))-100%))*$L$455</f>
        <v>895.46159999999998</v>
      </c>
      <c r="M488" s="286"/>
      <c r="N488" s="286"/>
      <c r="O488" s="311">
        <f>O487*1.2</f>
        <v>780.00119999999993</v>
      </c>
      <c r="P488" s="311">
        <f>P487*1.2</f>
        <v>115.46040000000005</v>
      </c>
      <c r="Q488" s="285"/>
      <c r="R488" s="278"/>
      <c r="S488" s="278"/>
      <c r="T488" s="278"/>
    </row>
    <row r="489" spans="1:20" s="305" customFormat="1" hidden="1" outlineLevel="1" x14ac:dyDescent="0.25">
      <c r="A489" s="278"/>
      <c r="B489" s="279" t="str">
        <f t="shared" si="232"/>
        <v>sliding mirror2400mm2101mm to 2400mmaverage</v>
      </c>
      <c r="C489" s="278" t="s">
        <v>1017</v>
      </c>
      <c r="D489" s="278" t="s">
        <v>558</v>
      </c>
      <c r="E489" s="278" t="s">
        <v>552</v>
      </c>
      <c r="F489" s="278" t="s">
        <v>543</v>
      </c>
      <c r="G489" s="278" t="s">
        <v>5</v>
      </c>
      <c r="H489" s="290">
        <v>2.0299999999999998</v>
      </c>
      <c r="I489" s="280">
        <f t="shared" si="233"/>
        <v>163.65860000000001</v>
      </c>
      <c r="J489" s="281">
        <f t="shared" si="234"/>
        <v>185.60290000000001</v>
      </c>
      <c r="K489" s="282">
        <f>IF(Notes!$B$9="Domestic",I489, IF(Notes!$B$9="Commercial",J489))*$K$455</f>
        <v>185.60290000000001</v>
      </c>
      <c r="L489" s="283">
        <f>(SUM(O489:Q489)+(K489+SUM(M489:Q489))*(INDEX($U$455:$AB$455,MATCH(Notes!$C$16,$U$3:$AB$3,0))-100%))*$L$455</f>
        <v>728.69</v>
      </c>
      <c r="M489" s="286"/>
      <c r="N489" s="286"/>
      <c r="O489" s="285">
        <v>636.36</v>
      </c>
      <c r="P489" s="285">
        <v>92.330000000000041</v>
      </c>
      <c r="Q489" s="285"/>
      <c r="R489" s="278"/>
      <c r="S489" s="278"/>
      <c r="T489" s="278"/>
    </row>
    <row r="490" spans="1:20" s="305" customFormat="1" hidden="1" outlineLevel="1" x14ac:dyDescent="0.25">
      <c r="A490" s="278"/>
      <c r="B490" s="279" t="str">
        <f t="shared" si="232"/>
        <v>sliding mirror2400mm2101mm to 2400mmquality</v>
      </c>
      <c r="C490" s="278" t="s">
        <v>1017</v>
      </c>
      <c r="D490" s="278" t="s">
        <v>558</v>
      </c>
      <c r="E490" s="278" t="s">
        <v>552</v>
      </c>
      <c r="F490" s="278" t="s">
        <v>544</v>
      </c>
      <c r="G490" s="278" t="s">
        <v>5</v>
      </c>
      <c r="H490" s="290">
        <v>2.0299999999999998</v>
      </c>
      <c r="I490" s="280">
        <f t="shared" si="233"/>
        <v>163.65860000000001</v>
      </c>
      <c r="J490" s="281">
        <f t="shared" si="234"/>
        <v>185.60290000000001</v>
      </c>
      <c r="K490" s="282">
        <f>IF(Notes!$B$9="Domestic",I490, IF(Notes!$B$9="Commercial",J490))*$K$455</f>
        <v>185.60290000000001</v>
      </c>
      <c r="L490" s="283">
        <f>(SUM(O490:Q490)+(K490+SUM(M490:Q490))*(INDEX($U$455:$AB$455,MATCH(Notes!$C$16,$U$3:$AB$3,0))-100%))*$L$455</f>
        <v>801.5590000000002</v>
      </c>
      <c r="M490" s="286"/>
      <c r="N490" s="286"/>
      <c r="O490" s="311">
        <f>O489*1.1</f>
        <v>699.99600000000009</v>
      </c>
      <c r="P490" s="311">
        <f>P489*1.1</f>
        <v>101.56300000000006</v>
      </c>
      <c r="Q490" s="285"/>
      <c r="R490" s="278"/>
      <c r="S490" s="278"/>
      <c r="T490" s="278"/>
    </row>
    <row r="491" spans="1:20" s="305" customFormat="1" hidden="1" outlineLevel="1" x14ac:dyDescent="0.25">
      <c r="A491" s="278"/>
      <c r="B491" s="279" t="str">
        <f t="shared" si="232"/>
        <v>sliding mirror2400mm2101mm to 2400mmprestige</v>
      </c>
      <c r="C491" s="278" t="s">
        <v>1017</v>
      </c>
      <c r="D491" s="278" t="s">
        <v>558</v>
      </c>
      <c r="E491" s="278" t="s">
        <v>552</v>
      </c>
      <c r="F491" s="278" t="s">
        <v>545</v>
      </c>
      <c r="G491" s="278" t="s">
        <v>5</v>
      </c>
      <c r="H491" s="290">
        <v>2.0299999999999998</v>
      </c>
      <c r="I491" s="280">
        <f>$I$2*H491</f>
        <v>163.65860000000001</v>
      </c>
      <c r="J491" s="281">
        <f t="shared" si="234"/>
        <v>185.60290000000001</v>
      </c>
      <c r="K491" s="282">
        <f>IF(Notes!$B$9="Domestic",I491, IF(Notes!$B$9="Commercial",J491))*$K$455</f>
        <v>185.60290000000001</v>
      </c>
      <c r="L491" s="283">
        <f>(SUM(O491:Q491)+(K491+SUM(M491:Q491))*(INDEX($U$455:$AB$455,MATCH(Notes!$C$16,$U$3:$AB$3,0))-100%))*$L$455</f>
        <v>961.87080000000014</v>
      </c>
      <c r="M491" s="286"/>
      <c r="N491" s="286"/>
      <c r="O491" s="311">
        <f>O490*1.2</f>
        <v>839.99520000000007</v>
      </c>
      <c r="P491" s="311">
        <f>P490*1.2</f>
        <v>121.87560000000006</v>
      </c>
      <c r="Q491" s="285"/>
      <c r="R491" s="278"/>
      <c r="S491" s="278"/>
      <c r="T491" s="278"/>
    </row>
    <row r="492" spans="1:20" s="305" customFormat="1" hidden="1" outlineLevel="1" x14ac:dyDescent="0.25">
      <c r="A492" s="278"/>
      <c r="B492" s="279" t="str">
        <f t="shared" si="232"/>
        <v>sliding mirror2400mm2401mm to 2700mmaverage</v>
      </c>
      <c r="C492" s="278" t="s">
        <v>1017</v>
      </c>
      <c r="D492" s="278" t="s">
        <v>558</v>
      </c>
      <c r="E492" s="278" t="s">
        <v>553</v>
      </c>
      <c r="F492" s="278" t="s">
        <v>543</v>
      </c>
      <c r="G492" s="278" t="s">
        <v>5</v>
      </c>
      <c r="H492" s="290">
        <v>2.13</v>
      </c>
      <c r="I492" s="280">
        <f t="shared" ref="I492:I493" si="235">$I$2*H492</f>
        <v>171.72059999999999</v>
      </c>
      <c r="J492" s="281">
        <f t="shared" si="234"/>
        <v>194.74590000000001</v>
      </c>
      <c r="K492" s="282">
        <f>IF(Notes!$B$9="Domestic",I492, IF(Notes!$B$9="Commercial",J492))*$K$455</f>
        <v>194.74590000000001</v>
      </c>
      <c r="L492" s="283">
        <f>(SUM(O492:Q492)+(K492+SUM(M492:Q492))*(INDEX($U$455:$AB$455,MATCH(Notes!$C$16,$U$3:$AB$3,0))-100%))*$L$455</f>
        <v>915.37</v>
      </c>
      <c r="M492" s="286"/>
      <c r="N492" s="286"/>
      <c r="O492" s="285">
        <v>818.18</v>
      </c>
      <c r="P492" s="285">
        <v>97.190000000000055</v>
      </c>
      <c r="Q492" s="285"/>
      <c r="R492" s="278"/>
      <c r="S492" s="278"/>
      <c r="T492" s="278"/>
    </row>
    <row r="493" spans="1:20" s="305" customFormat="1" hidden="1" outlineLevel="1" x14ac:dyDescent="0.25">
      <c r="A493" s="278"/>
      <c r="B493" s="279" t="str">
        <f t="shared" si="232"/>
        <v>sliding mirror2400mm2401mm to 2700mmquality</v>
      </c>
      <c r="C493" s="278" t="s">
        <v>1017</v>
      </c>
      <c r="D493" s="278" t="s">
        <v>558</v>
      </c>
      <c r="E493" s="278" t="s">
        <v>553</v>
      </c>
      <c r="F493" s="278" t="s">
        <v>544</v>
      </c>
      <c r="G493" s="278" t="s">
        <v>5</v>
      </c>
      <c r="H493" s="290">
        <v>2.13</v>
      </c>
      <c r="I493" s="280">
        <f t="shared" si="235"/>
        <v>171.72059999999999</v>
      </c>
      <c r="J493" s="281">
        <f t="shared" si="234"/>
        <v>194.74590000000001</v>
      </c>
      <c r="K493" s="282">
        <f>IF(Notes!$B$9="Domestic",I493, IF(Notes!$B$9="Commercial",J493))*$K$455</f>
        <v>194.74590000000001</v>
      </c>
      <c r="L493" s="283">
        <f>(SUM(O493:Q493)+(K493+SUM(M493:Q493))*(INDEX($U$455:$AB$455,MATCH(Notes!$C$16,$U$3:$AB$3,0))-100%))*$L$455</f>
        <v>1006.9070000000002</v>
      </c>
      <c r="M493" s="286"/>
      <c r="N493" s="286"/>
      <c r="O493" s="311">
        <f>O492*1.1</f>
        <v>899.99800000000005</v>
      </c>
      <c r="P493" s="311">
        <f>P492*1.1</f>
        <v>106.90900000000006</v>
      </c>
      <c r="Q493" s="285"/>
      <c r="R493" s="278"/>
      <c r="S493" s="278"/>
      <c r="T493" s="278"/>
    </row>
    <row r="494" spans="1:20" s="305" customFormat="1" hidden="1" outlineLevel="1" x14ac:dyDescent="0.25">
      <c r="A494" s="278"/>
      <c r="B494" s="279" t="str">
        <f t="shared" si="203"/>
        <v>sliding mirror2400mm2401mm to 2700mmprestige</v>
      </c>
      <c r="C494" s="278" t="s">
        <v>1017</v>
      </c>
      <c r="D494" s="278" t="s">
        <v>558</v>
      </c>
      <c r="E494" s="278" t="s">
        <v>553</v>
      </c>
      <c r="F494" s="278" t="s">
        <v>545</v>
      </c>
      <c r="G494" s="278" t="s">
        <v>5</v>
      </c>
      <c r="H494" s="290">
        <v>2.13</v>
      </c>
      <c r="I494" s="280">
        <f t="shared" si="218"/>
        <v>171.72059999999999</v>
      </c>
      <c r="J494" s="281">
        <f t="shared" si="205"/>
        <v>194.74590000000001</v>
      </c>
      <c r="K494" s="282">
        <f>IF(Notes!$B$9="Domestic",I494, IF(Notes!$B$9="Commercial",J494))*$K$455</f>
        <v>194.74590000000001</v>
      </c>
      <c r="L494" s="283">
        <f>(SUM(O494:Q494)+(K494+SUM(M494:Q494))*(INDEX($U$455:$AB$455,MATCH(Notes!$C$16,$U$3:$AB$3,0))-100%))*$L$455</f>
        <v>1208.2883999999999</v>
      </c>
      <c r="M494" s="286"/>
      <c r="N494" s="286"/>
      <c r="O494" s="311">
        <f>O493*1.2</f>
        <v>1079.9975999999999</v>
      </c>
      <c r="P494" s="311">
        <f>P493*1.2</f>
        <v>128.29080000000008</v>
      </c>
      <c r="Q494" s="285"/>
      <c r="R494" s="278"/>
      <c r="S494" s="278"/>
      <c r="T494" s="278"/>
    </row>
    <row r="495" spans="1:20" s="305" customFormat="1" hidden="1" outlineLevel="1" x14ac:dyDescent="0.25">
      <c r="A495" s="278"/>
      <c r="B495" s="279" t="str">
        <f t="shared" ref="B495:B527" si="236">C495&amp;D495&amp;E495&amp;F495</f>
        <v>sliding mirror2400mm2701mm to 3000mmaverage</v>
      </c>
      <c r="C495" s="278" t="s">
        <v>1017</v>
      </c>
      <c r="D495" s="278" t="s">
        <v>558</v>
      </c>
      <c r="E495" s="278" t="s">
        <v>554</v>
      </c>
      <c r="F495" s="278" t="s">
        <v>543</v>
      </c>
      <c r="G495" s="278" t="s">
        <v>5</v>
      </c>
      <c r="H495" s="290">
        <v>2.23</v>
      </c>
      <c r="I495" s="280">
        <f t="shared" ref="I495:I527" si="237">$I$2*H495</f>
        <v>179.7826</v>
      </c>
      <c r="J495" s="281">
        <f t="shared" ref="J495:J527" si="238">$J$2*H495</f>
        <v>203.88890000000001</v>
      </c>
      <c r="K495" s="282">
        <f>IF(Notes!$B$9="Domestic",I495, IF(Notes!$B$9="Commercial",J495))*$K$455</f>
        <v>203.88890000000001</v>
      </c>
      <c r="L495" s="283">
        <f>(SUM(O495:Q495)+(K495+SUM(M495:Q495))*(INDEX($U$455:$AB$455,MATCH(Notes!$C$16,$U$3:$AB$3,0))-100%))*$L$455</f>
        <v>992.96</v>
      </c>
      <c r="M495" s="286"/>
      <c r="N495" s="286"/>
      <c r="O495" s="285">
        <v>890.91</v>
      </c>
      <c r="P495" s="285">
        <v>102.05000000000007</v>
      </c>
      <c r="Q495" s="285"/>
      <c r="R495" s="278"/>
      <c r="S495" s="278"/>
      <c r="T495" s="278"/>
    </row>
    <row r="496" spans="1:20" s="305" customFormat="1" hidden="1" outlineLevel="1" x14ac:dyDescent="0.25">
      <c r="A496" s="278"/>
      <c r="B496" s="279" t="str">
        <f t="shared" si="236"/>
        <v>sliding mirror2400mm2701mm to 3000mmquality</v>
      </c>
      <c r="C496" s="278" t="s">
        <v>1017</v>
      </c>
      <c r="D496" s="278" t="s">
        <v>558</v>
      </c>
      <c r="E496" s="278" t="s">
        <v>554</v>
      </c>
      <c r="F496" s="278" t="s">
        <v>544</v>
      </c>
      <c r="G496" s="278" t="s">
        <v>5</v>
      </c>
      <c r="H496" s="290">
        <v>2.23</v>
      </c>
      <c r="I496" s="280">
        <f t="shared" si="237"/>
        <v>179.7826</v>
      </c>
      <c r="J496" s="281">
        <f t="shared" si="238"/>
        <v>203.88890000000001</v>
      </c>
      <c r="K496" s="282">
        <f>IF(Notes!$B$9="Domestic",I496, IF(Notes!$B$9="Commercial",J496))*$K$455</f>
        <v>203.88890000000001</v>
      </c>
      <c r="L496" s="283">
        <f>(SUM(O496:Q496)+(K496+SUM(M496:Q496))*(INDEX($U$455:$AB$455,MATCH(Notes!$C$16,$U$3:$AB$3,0))-100%))*$L$455</f>
        <v>1092.2560000000001</v>
      </c>
      <c r="M496" s="286"/>
      <c r="N496" s="286"/>
      <c r="O496" s="311">
        <f>O495*1.1</f>
        <v>980.00100000000009</v>
      </c>
      <c r="P496" s="311">
        <f>P495*1.1</f>
        <v>112.25500000000008</v>
      </c>
      <c r="Q496" s="285"/>
      <c r="R496" s="278"/>
      <c r="S496" s="278"/>
      <c r="T496" s="278"/>
    </row>
    <row r="497" spans="1:20" s="305" customFormat="1" hidden="1" outlineLevel="1" x14ac:dyDescent="0.25">
      <c r="A497" s="278"/>
      <c r="B497" s="279" t="str">
        <f t="shared" si="236"/>
        <v>sliding mirror2400mm2701mm to 3000mmprestige</v>
      </c>
      <c r="C497" s="278" t="s">
        <v>1017</v>
      </c>
      <c r="D497" s="278" t="s">
        <v>558</v>
      </c>
      <c r="E497" s="278" t="s">
        <v>554</v>
      </c>
      <c r="F497" s="278" t="s">
        <v>545</v>
      </c>
      <c r="G497" s="278" t="s">
        <v>5</v>
      </c>
      <c r="H497" s="290">
        <v>2.23</v>
      </c>
      <c r="I497" s="280">
        <f t="shared" si="237"/>
        <v>179.7826</v>
      </c>
      <c r="J497" s="281">
        <f t="shared" si="238"/>
        <v>203.88890000000001</v>
      </c>
      <c r="K497" s="282">
        <f>IF(Notes!$B$9="Domestic",I497, IF(Notes!$B$9="Commercial",J497))*$K$455</f>
        <v>203.88890000000001</v>
      </c>
      <c r="L497" s="283">
        <f>(SUM(O497:Q497)+(K497+SUM(M497:Q497))*(INDEX($U$455:$AB$455,MATCH(Notes!$C$16,$U$3:$AB$3,0))-100%))*$L$455</f>
        <v>1310.7072000000003</v>
      </c>
      <c r="M497" s="286"/>
      <c r="N497" s="286"/>
      <c r="O497" s="311">
        <f>O496*1.2</f>
        <v>1176.0012000000002</v>
      </c>
      <c r="P497" s="311">
        <f>P496*1.2</f>
        <v>134.7060000000001</v>
      </c>
      <c r="Q497" s="285"/>
      <c r="R497" s="278"/>
      <c r="S497" s="278"/>
      <c r="T497" s="278"/>
    </row>
    <row r="498" spans="1:20" s="305" customFormat="1" hidden="1" outlineLevel="1" x14ac:dyDescent="0.25">
      <c r="A498" s="278"/>
      <c r="B498" s="279" t="str">
        <f t="shared" ref="B498:B500" si="239">C498&amp;D498&amp;E498&amp;F498</f>
        <v>sliding mirror2400mm3001mm to 3300mmaverage</v>
      </c>
      <c r="C498" s="278" t="s">
        <v>1017</v>
      </c>
      <c r="D498" s="278" t="s">
        <v>558</v>
      </c>
      <c r="E498" s="278" t="s">
        <v>1019</v>
      </c>
      <c r="F498" s="278" t="s">
        <v>543</v>
      </c>
      <c r="G498" s="278" t="s">
        <v>5</v>
      </c>
      <c r="H498" s="290">
        <v>2.33</v>
      </c>
      <c r="I498" s="280">
        <f t="shared" ref="I498:I500" si="240">$I$2*H498</f>
        <v>187.84460000000001</v>
      </c>
      <c r="J498" s="281">
        <f t="shared" ref="J498:J500" si="241">$J$2*H498</f>
        <v>213.03190000000004</v>
      </c>
      <c r="K498" s="282">
        <f>IF(Notes!$B$9="Domestic",I498, IF(Notes!$B$9="Commercial",J498))*$K$455</f>
        <v>213.03190000000004</v>
      </c>
      <c r="L498" s="283">
        <f>(SUM(O498:Q498)+(K498+SUM(M498:Q498))*(INDEX($U$455:$AB$455,MATCH(Notes!$C$16,$U$3:$AB$3,0))-100%))*$L$455</f>
        <v>1034.18</v>
      </c>
      <c r="M498" s="286"/>
      <c r="N498" s="286"/>
      <c r="O498" s="285">
        <v>927.27</v>
      </c>
      <c r="P498" s="311">
        <f>(P495+P501)/2</f>
        <v>106.91000000000003</v>
      </c>
      <c r="Q498" s="285"/>
      <c r="R498" s="278"/>
      <c r="S498" s="278"/>
      <c r="T498" s="278"/>
    </row>
    <row r="499" spans="1:20" s="305" customFormat="1" hidden="1" outlineLevel="1" x14ac:dyDescent="0.25">
      <c r="A499" s="278"/>
      <c r="B499" s="279" t="str">
        <f t="shared" si="239"/>
        <v>sliding mirror2400mm3001mm to 3300mmquality</v>
      </c>
      <c r="C499" s="278" t="s">
        <v>1017</v>
      </c>
      <c r="D499" s="278" t="s">
        <v>558</v>
      </c>
      <c r="E499" s="278" t="s">
        <v>1019</v>
      </c>
      <c r="F499" s="278" t="s">
        <v>544</v>
      </c>
      <c r="G499" s="278" t="s">
        <v>5</v>
      </c>
      <c r="H499" s="290">
        <v>2.33</v>
      </c>
      <c r="I499" s="280">
        <f t="shared" si="240"/>
        <v>187.84460000000001</v>
      </c>
      <c r="J499" s="281">
        <f t="shared" si="241"/>
        <v>213.03190000000004</v>
      </c>
      <c r="K499" s="282">
        <f>IF(Notes!$B$9="Domestic",I499, IF(Notes!$B$9="Commercial",J499))*$K$455</f>
        <v>213.03190000000004</v>
      </c>
      <c r="L499" s="283">
        <f>(SUM(O499:Q499)+(K499+SUM(M499:Q499))*(INDEX($U$455:$AB$455,MATCH(Notes!$C$16,$U$3:$AB$3,0))-100%))*$L$455</f>
        <v>1137.5980000000002</v>
      </c>
      <c r="M499" s="286"/>
      <c r="N499" s="286"/>
      <c r="O499" s="311">
        <f>O498*1.1</f>
        <v>1019.9970000000001</v>
      </c>
      <c r="P499" s="311">
        <f>P498*1.1</f>
        <v>117.60100000000004</v>
      </c>
      <c r="Q499" s="285"/>
      <c r="R499" s="278"/>
      <c r="S499" s="278"/>
      <c r="T499" s="278"/>
    </row>
    <row r="500" spans="1:20" s="305" customFormat="1" hidden="1" outlineLevel="1" x14ac:dyDescent="0.25">
      <c r="A500" s="278"/>
      <c r="B500" s="279" t="str">
        <f t="shared" si="239"/>
        <v>sliding mirror2400mm3001mm to 3300mmprestige</v>
      </c>
      <c r="C500" s="278" t="s">
        <v>1017</v>
      </c>
      <c r="D500" s="278" t="s">
        <v>558</v>
      </c>
      <c r="E500" s="278" t="s">
        <v>1019</v>
      </c>
      <c r="F500" s="278" t="s">
        <v>545</v>
      </c>
      <c r="G500" s="278" t="s">
        <v>5</v>
      </c>
      <c r="H500" s="290">
        <v>2.33</v>
      </c>
      <c r="I500" s="280">
        <f t="shared" si="240"/>
        <v>187.84460000000001</v>
      </c>
      <c r="J500" s="281">
        <f t="shared" si="241"/>
        <v>213.03190000000004</v>
      </c>
      <c r="K500" s="282">
        <f>IF(Notes!$B$9="Domestic",I500, IF(Notes!$B$9="Commercial",J500))*$K$455</f>
        <v>213.03190000000004</v>
      </c>
      <c r="L500" s="283">
        <f>(SUM(O500:Q500)+(K500+SUM(M500:Q500))*(INDEX($U$455:$AB$455,MATCH(Notes!$C$16,$U$3:$AB$3,0))-100%))*$L$455</f>
        <v>1365.1176</v>
      </c>
      <c r="M500" s="286"/>
      <c r="N500" s="286"/>
      <c r="O500" s="311">
        <f>O499*1.2</f>
        <v>1223.9964</v>
      </c>
      <c r="P500" s="311">
        <f>P499*1.2</f>
        <v>141.12120000000004</v>
      </c>
      <c r="Q500" s="285"/>
      <c r="R500" s="278"/>
      <c r="S500" s="278"/>
      <c r="T500" s="278"/>
    </row>
    <row r="501" spans="1:20" s="305" customFormat="1" hidden="1" outlineLevel="1" x14ac:dyDescent="0.25">
      <c r="A501" s="278"/>
      <c r="B501" s="279" t="str">
        <f t="shared" si="236"/>
        <v>sliding mirror2400mm3301mm to 3600mmaverage</v>
      </c>
      <c r="C501" s="278" t="s">
        <v>1017</v>
      </c>
      <c r="D501" s="278" t="s">
        <v>558</v>
      </c>
      <c r="E501" s="278" t="s">
        <v>1020</v>
      </c>
      <c r="F501" s="278" t="s">
        <v>543</v>
      </c>
      <c r="G501" s="278" t="s">
        <v>5</v>
      </c>
      <c r="H501" s="290">
        <v>2.44</v>
      </c>
      <c r="I501" s="280">
        <f t="shared" si="237"/>
        <v>196.71280000000002</v>
      </c>
      <c r="J501" s="281">
        <f t="shared" si="238"/>
        <v>223.08920000000001</v>
      </c>
      <c r="K501" s="282">
        <f>IF(Notes!$B$9="Domestic",I501, IF(Notes!$B$9="Commercial",J501))*$K$455</f>
        <v>223.08920000000001</v>
      </c>
      <c r="L501" s="283">
        <f>(SUM(O501:Q501)+(K501+SUM(M501:Q501))*(INDEX($U$455:$AB$455,MATCH(Notes!$C$16,$U$3:$AB$3,0))-100%))*$L$455</f>
        <v>1084.5</v>
      </c>
      <c r="M501" s="286"/>
      <c r="N501" s="286"/>
      <c r="O501" s="285">
        <v>972.73</v>
      </c>
      <c r="P501" s="285">
        <v>111.76999999999998</v>
      </c>
      <c r="Q501" s="285"/>
      <c r="R501" s="278"/>
      <c r="S501" s="278"/>
      <c r="T501" s="278"/>
    </row>
    <row r="502" spans="1:20" s="305" customFormat="1" hidden="1" outlineLevel="1" x14ac:dyDescent="0.25">
      <c r="A502" s="278"/>
      <c r="B502" s="279" t="str">
        <f t="shared" si="236"/>
        <v>sliding mirror2400mm3301mm to 3600mmquality</v>
      </c>
      <c r="C502" s="278" t="s">
        <v>1017</v>
      </c>
      <c r="D502" s="278" t="s">
        <v>558</v>
      </c>
      <c r="E502" s="278" t="s">
        <v>1020</v>
      </c>
      <c r="F502" s="278" t="s">
        <v>544</v>
      </c>
      <c r="G502" s="278" t="s">
        <v>5</v>
      </c>
      <c r="H502" s="290">
        <v>2.44</v>
      </c>
      <c r="I502" s="280">
        <f t="shared" si="237"/>
        <v>196.71280000000002</v>
      </c>
      <c r="J502" s="281">
        <f t="shared" si="238"/>
        <v>223.08920000000001</v>
      </c>
      <c r="K502" s="282">
        <f>IF(Notes!$B$9="Domestic",I502, IF(Notes!$B$9="Commercial",J502))*$K$455</f>
        <v>223.08920000000001</v>
      </c>
      <c r="L502" s="283">
        <f>(SUM(O502:Q502)+(K502+SUM(M502:Q502))*(INDEX($U$455:$AB$455,MATCH(Notes!$C$16,$U$3:$AB$3,0))-100%))*$L$455</f>
        <v>1192.95</v>
      </c>
      <c r="M502" s="286"/>
      <c r="N502" s="286"/>
      <c r="O502" s="311">
        <f>O501*1.1</f>
        <v>1070.0030000000002</v>
      </c>
      <c r="P502" s="311">
        <f>P501*1.1</f>
        <v>122.94699999999999</v>
      </c>
      <c r="Q502" s="285"/>
      <c r="R502" s="278"/>
      <c r="S502" s="278"/>
      <c r="T502" s="278"/>
    </row>
    <row r="503" spans="1:20" s="305" customFormat="1" hidden="1" outlineLevel="1" x14ac:dyDescent="0.25">
      <c r="A503" s="278"/>
      <c r="B503" s="279" t="str">
        <f t="shared" si="236"/>
        <v>sliding mirror2400mm3301mm to 3600mmprestige</v>
      </c>
      <c r="C503" s="278" t="s">
        <v>1017</v>
      </c>
      <c r="D503" s="278" t="s">
        <v>558</v>
      </c>
      <c r="E503" s="278" t="s">
        <v>1020</v>
      </c>
      <c r="F503" s="278" t="s">
        <v>545</v>
      </c>
      <c r="G503" s="278" t="s">
        <v>5</v>
      </c>
      <c r="H503" s="290">
        <v>2.44</v>
      </c>
      <c r="I503" s="280">
        <f t="shared" si="237"/>
        <v>196.71280000000002</v>
      </c>
      <c r="J503" s="281">
        <f t="shared" si="238"/>
        <v>223.08920000000001</v>
      </c>
      <c r="K503" s="282">
        <f>IF(Notes!$B$9="Domestic",I503, IF(Notes!$B$9="Commercial",J503))*$K$455</f>
        <v>223.08920000000001</v>
      </c>
      <c r="L503" s="283">
        <f>(SUM(O503:Q503)+(K503+SUM(M503:Q503))*(INDEX($U$455:$AB$455,MATCH(Notes!$C$16,$U$3:$AB$3,0))-100%))*$L$455</f>
        <v>1431.5400000000002</v>
      </c>
      <c r="M503" s="286"/>
      <c r="N503" s="286"/>
      <c r="O503" s="311">
        <f>O502*1.2</f>
        <v>1284.0036000000002</v>
      </c>
      <c r="P503" s="311">
        <f>P502*1.2</f>
        <v>147.53639999999999</v>
      </c>
      <c r="Q503" s="285"/>
      <c r="R503" s="278"/>
      <c r="S503" s="278"/>
      <c r="T503" s="278"/>
    </row>
    <row r="504" spans="1:20" s="305" customFormat="1" hidden="1" outlineLevel="1" x14ac:dyDescent="0.25">
      <c r="A504" s="278"/>
      <c r="B504" s="279" t="str">
        <f t="shared" si="236"/>
        <v>sliding mirror2700mmup to 1500mmaverage</v>
      </c>
      <c r="C504" s="278" t="s">
        <v>1017</v>
      </c>
      <c r="D504" s="278" t="s">
        <v>779</v>
      </c>
      <c r="E504" s="278" t="s">
        <v>1018</v>
      </c>
      <c r="F504" s="278" t="s">
        <v>543</v>
      </c>
      <c r="G504" s="278" t="s">
        <v>5</v>
      </c>
      <c r="H504" s="308">
        <f t="shared" ref="H504:H527" si="242">H480+H480-H456</f>
        <v>1.7700000000000002</v>
      </c>
      <c r="I504" s="280">
        <f t="shared" si="237"/>
        <v>142.69740000000002</v>
      </c>
      <c r="J504" s="281">
        <f t="shared" si="238"/>
        <v>161.83110000000002</v>
      </c>
      <c r="K504" s="282">
        <f>IF(Notes!$B$9="Domestic",I504, IF(Notes!$B$9="Commercial",J504))*$K$455</f>
        <v>161.83110000000002</v>
      </c>
      <c r="L504" s="283">
        <f>(SUM(O504:Q504)+(K504+SUM(M504:Q504))*(INDEX($U$455:$AB$455,MATCH(Notes!$C$16,$U$3:$AB$3,0))-100%))*$L$455</f>
        <v>641.54695284045692</v>
      </c>
      <c r="M504" s="286"/>
      <c r="N504" s="286"/>
      <c r="O504" s="311">
        <f>O480*O480/O456</f>
        <v>561.23021663486361</v>
      </c>
      <c r="P504" s="311">
        <f>P480*P480/P456</f>
        <v>80.316736205593273</v>
      </c>
      <c r="Q504" s="285"/>
      <c r="R504" s="278"/>
      <c r="S504" s="278"/>
      <c r="T504" s="278"/>
    </row>
    <row r="505" spans="1:20" s="305" customFormat="1" hidden="1" outlineLevel="1" x14ac:dyDescent="0.25">
      <c r="A505" s="278"/>
      <c r="B505" s="279" t="str">
        <f t="shared" si="236"/>
        <v>sliding mirror2700mmup to 1500mmquality</v>
      </c>
      <c r="C505" s="278" t="s">
        <v>1017</v>
      </c>
      <c r="D505" s="278" t="s">
        <v>779</v>
      </c>
      <c r="E505" s="278" t="s">
        <v>1018</v>
      </c>
      <c r="F505" s="278" t="s">
        <v>544</v>
      </c>
      <c r="G505" s="278" t="s">
        <v>5</v>
      </c>
      <c r="H505" s="308">
        <f t="shared" si="242"/>
        <v>1.7700000000000002</v>
      </c>
      <c r="I505" s="280">
        <f t="shared" si="237"/>
        <v>142.69740000000002</v>
      </c>
      <c r="J505" s="281">
        <f t="shared" si="238"/>
        <v>161.83110000000002</v>
      </c>
      <c r="K505" s="282">
        <f>IF(Notes!$B$9="Domestic",I505, IF(Notes!$B$9="Commercial",J505))*$K$455</f>
        <v>161.83110000000002</v>
      </c>
      <c r="L505" s="283">
        <f>(SUM(O505:Q505)+(K505+SUM(M505:Q505))*(INDEX($U$455:$AB$455,MATCH(Notes!$C$16,$U$3:$AB$3,0))-100%))*$L$455</f>
        <v>705.70164812450264</v>
      </c>
      <c r="M505" s="286"/>
      <c r="N505" s="286"/>
      <c r="O505" s="311">
        <f>O504*1.1</f>
        <v>617.35323829834999</v>
      </c>
      <c r="P505" s="311">
        <f>P504*1.1</f>
        <v>88.348409826152604</v>
      </c>
      <c r="Q505" s="285"/>
      <c r="R505" s="278"/>
      <c r="S505" s="278"/>
      <c r="T505" s="278"/>
    </row>
    <row r="506" spans="1:20" s="305" customFormat="1" hidden="1" outlineLevel="1" x14ac:dyDescent="0.25">
      <c r="A506" s="278"/>
      <c r="B506" s="279" t="str">
        <f t="shared" si="236"/>
        <v>sliding mirror2700mmup to 1500mmprestige</v>
      </c>
      <c r="C506" s="278" t="s">
        <v>1017</v>
      </c>
      <c r="D506" s="278" t="s">
        <v>779</v>
      </c>
      <c r="E506" s="278" t="s">
        <v>1018</v>
      </c>
      <c r="F506" s="278" t="s">
        <v>545</v>
      </c>
      <c r="G506" s="278" t="s">
        <v>5</v>
      </c>
      <c r="H506" s="308">
        <f t="shared" si="242"/>
        <v>1.7700000000000002</v>
      </c>
      <c r="I506" s="280">
        <f t="shared" si="237"/>
        <v>142.69740000000002</v>
      </c>
      <c r="J506" s="281">
        <f t="shared" si="238"/>
        <v>161.83110000000002</v>
      </c>
      <c r="K506" s="282">
        <f>IF(Notes!$B$9="Domestic",I506, IF(Notes!$B$9="Commercial",J506))*$K$455</f>
        <v>161.83110000000002</v>
      </c>
      <c r="L506" s="283">
        <f>(SUM(O506:Q506)+(K506+SUM(M506:Q506))*(INDEX($U$455:$AB$455,MATCH(Notes!$C$16,$U$3:$AB$3,0))-100%))*$L$455</f>
        <v>846.8419777494031</v>
      </c>
      <c r="M506" s="286"/>
      <c r="N506" s="286"/>
      <c r="O506" s="311">
        <f>O505*1.2</f>
        <v>740.82388595802001</v>
      </c>
      <c r="P506" s="311">
        <f>P505*1.2</f>
        <v>106.01809179138313</v>
      </c>
      <c r="Q506" s="285"/>
      <c r="R506" s="278"/>
      <c r="S506" s="278"/>
      <c r="T506" s="278"/>
    </row>
    <row r="507" spans="1:20" s="305" customFormat="1" hidden="1" outlineLevel="1" x14ac:dyDescent="0.25">
      <c r="A507" s="278"/>
      <c r="B507" s="279" t="str">
        <f t="shared" si="236"/>
        <v>sliding mirror2700mm1501mm to 1800mmaverage</v>
      </c>
      <c r="C507" s="278" t="s">
        <v>1017</v>
      </c>
      <c r="D507" s="278" t="s">
        <v>779</v>
      </c>
      <c r="E507" s="278" t="s">
        <v>550</v>
      </c>
      <c r="F507" s="278" t="s">
        <v>543</v>
      </c>
      <c r="G507" s="278" t="s">
        <v>5</v>
      </c>
      <c r="H507" s="308">
        <f t="shared" si="242"/>
        <v>1.9900000000000002</v>
      </c>
      <c r="I507" s="280">
        <f t="shared" si="237"/>
        <v>160.43380000000002</v>
      </c>
      <c r="J507" s="281">
        <f t="shared" si="238"/>
        <v>181.94570000000004</v>
      </c>
      <c r="K507" s="282">
        <f>IF(Notes!$B$9="Domestic",I507, IF(Notes!$B$9="Commercial",J507))*$K$455</f>
        <v>181.94570000000004</v>
      </c>
      <c r="L507" s="283">
        <f>(SUM(O507:Q507)+(K507+SUM(M507:Q507))*(INDEX($U$455:$AB$455,MATCH(Notes!$C$16,$U$3:$AB$3,0))-100%))*$L$455</f>
        <v>675.96666047402653</v>
      </c>
      <c r="M507" s="286"/>
      <c r="N507" s="286"/>
      <c r="O507" s="311">
        <f>O483*O483/O459</f>
        <v>586.01790470758385</v>
      </c>
      <c r="P507" s="311">
        <f>P483*P483/P459</f>
        <v>89.948755766442687</v>
      </c>
      <c r="Q507" s="285"/>
      <c r="R507" s="278"/>
      <c r="S507" s="278"/>
      <c r="T507" s="278"/>
    </row>
    <row r="508" spans="1:20" s="305" customFormat="1" hidden="1" outlineLevel="1" x14ac:dyDescent="0.25">
      <c r="A508" s="278"/>
      <c r="B508" s="279" t="str">
        <f t="shared" si="236"/>
        <v>sliding mirror2700mm1501mm to 1800mmquality</v>
      </c>
      <c r="C508" s="278" t="s">
        <v>1017</v>
      </c>
      <c r="D508" s="278" t="s">
        <v>779</v>
      </c>
      <c r="E508" s="278" t="s">
        <v>550</v>
      </c>
      <c r="F508" s="278" t="s">
        <v>544</v>
      </c>
      <c r="G508" s="278" t="s">
        <v>5</v>
      </c>
      <c r="H508" s="308">
        <f t="shared" si="242"/>
        <v>1.9900000000000002</v>
      </c>
      <c r="I508" s="280">
        <f t="shared" si="237"/>
        <v>160.43380000000002</v>
      </c>
      <c r="J508" s="281">
        <f t="shared" si="238"/>
        <v>181.94570000000004</v>
      </c>
      <c r="K508" s="282">
        <f>IF(Notes!$B$9="Domestic",I508, IF(Notes!$B$9="Commercial",J508))*$K$455</f>
        <v>181.94570000000004</v>
      </c>
      <c r="L508" s="283">
        <f>(SUM(O508:Q508)+(K508+SUM(M508:Q508))*(INDEX($U$455:$AB$455,MATCH(Notes!$C$16,$U$3:$AB$3,0))-100%))*$L$455</f>
        <v>743.5633265214293</v>
      </c>
      <c r="M508" s="286"/>
      <c r="N508" s="286"/>
      <c r="O508" s="311">
        <f>O507*1.1</f>
        <v>644.61969517834234</v>
      </c>
      <c r="P508" s="311">
        <f>P507*1.1</f>
        <v>98.943631343086963</v>
      </c>
      <c r="Q508" s="285"/>
      <c r="R508" s="278"/>
      <c r="S508" s="278"/>
      <c r="T508" s="278"/>
    </row>
    <row r="509" spans="1:20" s="305" customFormat="1" hidden="1" outlineLevel="1" x14ac:dyDescent="0.25">
      <c r="A509" s="278"/>
      <c r="B509" s="279" t="str">
        <f t="shared" si="236"/>
        <v>sliding mirror2700mm1501mm to 1800mmprestige</v>
      </c>
      <c r="C509" s="278" t="s">
        <v>1017</v>
      </c>
      <c r="D509" s="278" t="s">
        <v>779</v>
      </c>
      <c r="E509" s="278" t="s">
        <v>550</v>
      </c>
      <c r="F509" s="278" t="s">
        <v>545</v>
      </c>
      <c r="G509" s="278" t="s">
        <v>5</v>
      </c>
      <c r="H509" s="308">
        <f t="shared" si="242"/>
        <v>1.9900000000000002</v>
      </c>
      <c r="I509" s="280">
        <f t="shared" si="237"/>
        <v>160.43380000000002</v>
      </c>
      <c r="J509" s="281">
        <f t="shared" si="238"/>
        <v>181.94570000000004</v>
      </c>
      <c r="K509" s="282">
        <f>IF(Notes!$B$9="Domestic",I509, IF(Notes!$B$9="Commercial",J509))*$K$455</f>
        <v>181.94570000000004</v>
      </c>
      <c r="L509" s="283">
        <f>(SUM(O509:Q509)+(K509+SUM(M509:Q509))*(INDEX($U$455:$AB$455,MATCH(Notes!$C$16,$U$3:$AB$3,0))-100%))*$L$455</f>
        <v>892.27599182571521</v>
      </c>
      <c r="M509" s="286"/>
      <c r="N509" s="286"/>
      <c r="O509" s="311">
        <f>O508*1.2</f>
        <v>773.54363421401081</v>
      </c>
      <c r="P509" s="311">
        <f>P508*1.2</f>
        <v>118.73235761170434</v>
      </c>
      <c r="Q509" s="285"/>
      <c r="R509" s="278"/>
      <c r="S509" s="278"/>
      <c r="T509" s="278"/>
    </row>
    <row r="510" spans="1:20" s="305" customFormat="1" hidden="1" outlineLevel="1" x14ac:dyDescent="0.25">
      <c r="A510" s="278"/>
      <c r="B510" s="279" t="str">
        <f t="shared" si="236"/>
        <v>sliding mirror2700mm1801mm to 2100mmaverage</v>
      </c>
      <c r="C510" s="278" t="s">
        <v>1017</v>
      </c>
      <c r="D510" s="278" t="s">
        <v>779</v>
      </c>
      <c r="E510" s="278" t="s">
        <v>551</v>
      </c>
      <c r="F510" s="278" t="s">
        <v>543</v>
      </c>
      <c r="G510" s="278" t="s">
        <v>5</v>
      </c>
      <c r="H510" s="308">
        <f t="shared" si="242"/>
        <v>2.08</v>
      </c>
      <c r="I510" s="280">
        <f t="shared" si="237"/>
        <v>167.68960000000001</v>
      </c>
      <c r="J510" s="281">
        <f t="shared" si="238"/>
        <v>190.17440000000002</v>
      </c>
      <c r="K510" s="282">
        <f>IF(Notes!$B$9="Domestic",I510, IF(Notes!$B$9="Commercial",J510))*$K$455</f>
        <v>190.17440000000002</v>
      </c>
      <c r="L510" s="283">
        <f>(SUM(O510:Q510)+(K510+SUM(M510:Q510))*(INDEX($U$455:$AB$455,MATCH(Notes!$C$16,$U$3:$AB$3,0))-100%))*$L$455</f>
        <v>745.78066779732285</v>
      </c>
      <c r="M510" s="286"/>
      <c r="N510" s="286"/>
      <c r="O510" s="311">
        <f>O486*O486/O462</f>
        <v>651.00795752852559</v>
      </c>
      <c r="P510" s="311">
        <f>P486*P486/P462</f>
        <v>94.772710268797255</v>
      </c>
      <c r="Q510" s="285"/>
      <c r="R510" s="278"/>
      <c r="S510" s="278"/>
      <c r="T510" s="278"/>
    </row>
    <row r="511" spans="1:20" s="305" customFormat="1" hidden="1" outlineLevel="1" x14ac:dyDescent="0.25">
      <c r="A511" s="278"/>
      <c r="B511" s="279" t="str">
        <f t="shared" si="236"/>
        <v>sliding mirror2700mm1801mm to 2100mmquality</v>
      </c>
      <c r="C511" s="278" t="s">
        <v>1017</v>
      </c>
      <c r="D511" s="278" t="s">
        <v>779</v>
      </c>
      <c r="E511" s="278" t="s">
        <v>551</v>
      </c>
      <c r="F511" s="278" t="s">
        <v>544</v>
      </c>
      <c r="G511" s="278" t="s">
        <v>5</v>
      </c>
      <c r="H511" s="308">
        <f t="shared" si="242"/>
        <v>2.08</v>
      </c>
      <c r="I511" s="280">
        <f t="shared" si="237"/>
        <v>167.68960000000001</v>
      </c>
      <c r="J511" s="281">
        <f t="shared" si="238"/>
        <v>190.17440000000002</v>
      </c>
      <c r="K511" s="282">
        <f>IF(Notes!$B$9="Domestic",I511, IF(Notes!$B$9="Commercial",J511))*$K$455</f>
        <v>190.17440000000002</v>
      </c>
      <c r="L511" s="283">
        <f>(SUM(O511:Q511)+(K511+SUM(M511:Q511))*(INDEX($U$455:$AB$455,MATCH(Notes!$C$16,$U$3:$AB$3,0))-100%))*$L$455</f>
        <v>820.3587345770552</v>
      </c>
      <c r="M511" s="286"/>
      <c r="N511" s="286"/>
      <c r="O511" s="311">
        <f>O510*1.1</f>
        <v>716.1087532813782</v>
      </c>
      <c r="P511" s="311">
        <f>P510*1.1</f>
        <v>104.24998129567699</v>
      </c>
      <c r="Q511" s="285"/>
      <c r="R511" s="278"/>
      <c r="S511" s="278"/>
      <c r="T511" s="278"/>
    </row>
    <row r="512" spans="1:20" s="305" customFormat="1" hidden="1" outlineLevel="1" x14ac:dyDescent="0.25">
      <c r="A512" s="278"/>
      <c r="B512" s="279" t="str">
        <f t="shared" si="236"/>
        <v>sliding mirror2700mm1801mm to 2100mmprestige</v>
      </c>
      <c r="C512" s="278" t="s">
        <v>1017</v>
      </c>
      <c r="D512" s="278" t="s">
        <v>779</v>
      </c>
      <c r="E512" s="278" t="s">
        <v>551</v>
      </c>
      <c r="F512" s="278" t="s">
        <v>545</v>
      </c>
      <c r="G512" s="278" t="s">
        <v>5</v>
      </c>
      <c r="H512" s="308">
        <f t="shared" si="242"/>
        <v>2.08</v>
      </c>
      <c r="I512" s="280">
        <f t="shared" si="237"/>
        <v>167.68960000000001</v>
      </c>
      <c r="J512" s="281">
        <f t="shared" si="238"/>
        <v>190.17440000000002</v>
      </c>
      <c r="K512" s="282">
        <f>IF(Notes!$B$9="Domestic",I512, IF(Notes!$B$9="Commercial",J512))*$K$455</f>
        <v>190.17440000000002</v>
      </c>
      <c r="L512" s="283">
        <f>(SUM(O512:Q512)+(K512+SUM(M512:Q512))*(INDEX($U$455:$AB$455,MATCH(Notes!$C$16,$U$3:$AB$3,0))-100%))*$L$455</f>
        <v>984.43048149246624</v>
      </c>
      <c r="M512" s="286"/>
      <c r="N512" s="286"/>
      <c r="O512" s="311">
        <f>O511*1.2</f>
        <v>859.33050393765382</v>
      </c>
      <c r="P512" s="311">
        <f>P511*1.2</f>
        <v>125.09997755481238</v>
      </c>
      <c r="Q512" s="285"/>
      <c r="R512" s="278"/>
      <c r="S512" s="278"/>
      <c r="T512" s="278"/>
    </row>
    <row r="513" spans="1:28" s="305" customFormat="1" hidden="1" outlineLevel="1" x14ac:dyDescent="0.25">
      <c r="A513" s="278"/>
      <c r="B513" s="279" t="str">
        <f t="shared" si="236"/>
        <v>sliding mirror2700mm2101mm to 2400mmaverage</v>
      </c>
      <c r="C513" s="278" t="s">
        <v>1017</v>
      </c>
      <c r="D513" s="278" t="s">
        <v>779</v>
      </c>
      <c r="E513" s="278" t="s">
        <v>552</v>
      </c>
      <c r="F513" s="278" t="s">
        <v>543</v>
      </c>
      <c r="G513" s="278" t="s">
        <v>5</v>
      </c>
      <c r="H513" s="308">
        <f t="shared" si="242"/>
        <v>2.1799999999999997</v>
      </c>
      <c r="I513" s="280">
        <f t="shared" si="237"/>
        <v>175.7516</v>
      </c>
      <c r="J513" s="281">
        <f t="shared" si="238"/>
        <v>199.31739999999999</v>
      </c>
      <c r="K513" s="282">
        <f>IF(Notes!$B$9="Domestic",I513, IF(Notes!$B$9="Commercial",J513))*$K$455</f>
        <v>199.31739999999999</v>
      </c>
      <c r="L513" s="283">
        <f>(SUM(O513:Q513)+(K513+SUM(M513:Q513))*(INDEX($U$455:$AB$455,MATCH(Notes!$C$16,$U$3:$AB$3,0))-100%))*$L$455</f>
        <v>784.90655711876991</v>
      </c>
      <c r="M513" s="286"/>
      <c r="N513" s="286"/>
      <c r="O513" s="311">
        <f>O489*O489/O465</f>
        <v>685.30579885261727</v>
      </c>
      <c r="P513" s="311">
        <f>P489*P489/P465</f>
        <v>99.600758266152638</v>
      </c>
      <c r="Q513" s="285"/>
      <c r="R513" s="278"/>
      <c r="S513" s="278"/>
      <c r="T513" s="278"/>
    </row>
    <row r="514" spans="1:28" s="305" customFormat="1" hidden="1" outlineLevel="1" x14ac:dyDescent="0.25">
      <c r="A514" s="278"/>
      <c r="B514" s="279" t="str">
        <f t="shared" si="236"/>
        <v>sliding mirror2700mm2101mm to 2400mmquality</v>
      </c>
      <c r="C514" s="278" t="s">
        <v>1017</v>
      </c>
      <c r="D514" s="278" t="s">
        <v>779</v>
      </c>
      <c r="E514" s="278" t="s">
        <v>552</v>
      </c>
      <c r="F514" s="278" t="s">
        <v>544</v>
      </c>
      <c r="G514" s="278" t="s">
        <v>5</v>
      </c>
      <c r="H514" s="308">
        <f t="shared" si="242"/>
        <v>2.1799999999999997</v>
      </c>
      <c r="I514" s="280">
        <f t="shared" si="237"/>
        <v>175.7516</v>
      </c>
      <c r="J514" s="281">
        <f t="shared" si="238"/>
        <v>199.31739999999999</v>
      </c>
      <c r="K514" s="282">
        <f>IF(Notes!$B$9="Domestic",I514, IF(Notes!$B$9="Commercial",J514))*$K$455</f>
        <v>199.31739999999999</v>
      </c>
      <c r="L514" s="283">
        <f>(SUM(O514:Q514)+(K514+SUM(M514:Q514))*(INDEX($U$455:$AB$455,MATCH(Notes!$C$16,$U$3:$AB$3,0))-100%))*$L$455</f>
        <v>863.39721283064694</v>
      </c>
      <c r="M514" s="286"/>
      <c r="N514" s="286"/>
      <c r="O514" s="311">
        <f>O513*1.1</f>
        <v>753.83637873787904</v>
      </c>
      <c r="P514" s="311">
        <f>P513*1.1</f>
        <v>109.56083409276791</v>
      </c>
      <c r="Q514" s="285"/>
      <c r="R514" s="278"/>
      <c r="S514" s="278"/>
      <c r="T514" s="278"/>
    </row>
    <row r="515" spans="1:28" s="305" customFormat="1" hidden="1" outlineLevel="1" x14ac:dyDescent="0.25">
      <c r="A515" s="278"/>
      <c r="B515" s="279" t="str">
        <f t="shared" si="236"/>
        <v>sliding mirror2700mm2101mm to 2400mmprestige</v>
      </c>
      <c r="C515" s="278" t="s">
        <v>1017</v>
      </c>
      <c r="D515" s="278" t="s">
        <v>779</v>
      </c>
      <c r="E515" s="278" t="s">
        <v>552</v>
      </c>
      <c r="F515" s="278" t="s">
        <v>545</v>
      </c>
      <c r="G515" s="278" t="s">
        <v>5</v>
      </c>
      <c r="H515" s="308">
        <f t="shared" si="242"/>
        <v>2.1799999999999997</v>
      </c>
      <c r="I515" s="280">
        <f t="shared" si="237"/>
        <v>175.7516</v>
      </c>
      <c r="J515" s="281">
        <f t="shared" si="238"/>
        <v>199.31739999999999</v>
      </c>
      <c r="K515" s="282">
        <f>IF(Notes!$B$9="Domestic",I515, IF(Notes!$B$9="Commercial",J515))*$K$455</f>
        <v>199.31739999999999</v>
      </c>
      <c r="L515" s="283">
        <f>(SUM(O515:Q515)+(K515+SUM(M515:Q515))*(INDEX($U$455:$AB$455,MATCH(Notes!$C$16,$U$3:$AB$3,0))-100%))*$L$455</f>
        <v>1036.0766553967765</v>
      </c>
      <c r="M515" s="286"/>
      <c r="N515" s="286"/>
      <c r="O515" s="311">
        <f>O514*1.2</f>
        <v>904.60365448545485</v>
      </c>
      <c r="P515" s="311">
        <f>P514*1.2</f>
        <v>131.47300091132149</v>
      </c>
      <c r="Q515" s="285"/>
      <c r="R515" s="278"/>
      <c r="S515" s="278"/>
      <c r="T515" s="278"/>
    </row>
    <row r="516" spans="1:28" s="305" customFormat="1" hidden="1" outlineLevel="1" x14ac:dyDescent="0.25">
      <c r="A516" s="278"/>
      <c r="B516" s="279" t="str">
        <f t="shared" si="236"/>
        <v>sliding mirror2700mm2401mm to 2700mmaverage</v>
      </c>
      <c r="C516" s="278" t="s">
        <v>1017</v>
      </c>
      <c r="D516" s="278" t="s">
        <v>779</v>
      </c>
      <c r="E516" s="278" t="s">
        <v>553</v>
      </c>
      <c r="F516" s="278" t="s">
        <v>543</v>
      </c>
      <c r="G516" s="278" t="s">
        <v>5</v>
      </c>
      <c r="H516" s="308">
        <f t="shared" si="242"/>
        <v>2.2799999999999998</v>
      </c>
      <c r="I516" s="280">
        <f t="shared" si="237"/>
        <v>183.81360000000001</v>
      </c>
      <c r="J516" s="281">
        <f t="shared" si="238"/>
        <v>208.46039999999999</v>
      </c>
      <c r="K516" s="282">
        <f>IF(Notes!$B$9="Domestic",I516, IF(Notes!$B$9="Commercial",J516))*$K$455</f>
        <v>208.46039999999999</v>
      </c>
      <c r="L516" s="283">
        <f>(SUM(O516:Q516)+(K516+SUM(M516:Q516))*(INDEX($U$455:$AB$455,MATCH(Notes!$C$16,$U$3:$AB$3,0))-100%))*$L$455</f>
        <v>1013.523597942951</v>
      </c>
      <c r="M516" s="286"/>
      <c r="N516" s="286"/>
      <c r="O516" s="311">
        <f>O492*O492/O468</f>
        <v>909.09135803139748</v>
      </c>
      <c r="P516" s="311">
        <f>P492*P492/P468</f>
        <v>104.43223991155354</v>
      </c>
      <c r="Q516" s="285"/>
      <c r="R516" s="278"/>
      <c r="S516" s="278"/>
      <c r="T516" s="278"/>
    </row>
    <row r="517" spans="1:28" s="305" customFormat="1" hidden="1" outlineLevel="1" x14ac:dyDescent="0.25">
      <c r="A517" s="278"/>
      <c r="B517" s="279" t="str">
        <f t="shared" si="236"/>
        <v>sliding mirror2700mm2401mm to 2700mmquality</v>
      </c>
      <c r="C517" s="278" t="s">
        <v>1017</v>
      </c>
      <c r="D517" s="278" t="s">
        <v>779</v>
      </c>
      <c r="E517" s="278" t="s">
        <v>553</v>
      </c>
      <c r="F517" s="278" t="s">
        <v>544</v>
      </c>
      <c r="G517" s="278" t="s">
        <v>5</v>
      </c>
      <c r="H517" s="308">
        <f t="shared" si="242"/>
        <v>2.2799999999999998</v>
      </c>
      <c r="I517" s="280">
        <f t="shared" si="237"/>
        <v>183.81360000000001</v>
      </c>
      <c r="J517" s="281">
        <f t="shared" si="238"/>
        <v>208.46039999999999</v>
      </c>
      <c r="K517" s="282">
        <f>IF(Notes!$B$9="Domestic",I517, IF(Notes!$B$9="Commercial",J517))*$K$455</f>
        <v>208.46039999999999</v>
      </c>
      <c r="L517" s="283">
        <f>(SUM(O517:Q517)+(K517+SUM(M517:Q517))*(INDEX($U$455:$AB$455,MATCH(Notes!$C$16,$U$3:$AB$3,0))-100%))*$L$455</f>
        <v>1114.8759577372462</v>
      </c>
      <c r="M517" s="286"/>
      <c r="N517" s="286"/>
      <c r="O517" s="311">
        <f>O516*1.1</f>
        <v>1000.0004938345373</v>
      </c>
      <c r="P517" s="311">
        <f>P516*1.1</f>
        <v>114.8754639027089</v>
      </c>
      <c r="Q517" s="285"/>
      <c r="R517" s="278"/>
      <c r="S517" s="278"/>
      <c r="T517" s="278"/>
    </row>
    <row r="518" spans="1:28" s="305" customFormat="1" hidden="1" outlineLevel="1" x14ac:dyDescent="0.25">
      <c r="A518" s="278"/>
      <c r="B518" s="279" t="str">
        <f t="shared" si="236"/>
        <v>sliding mirror2700mm2401mm to 2700mmprestige</v>
      </c>
      <c r="C518" s="278" t="s">
        <v>1017</v>
      </c>
      <c r="D518" s="278" t="s">
        <v>779</v>
      </c>
      <c r="E518" s="278" t="s">
        <v>553</v>
      </c>
      <c r="F518" s="278" t="s">
        <v>545</v>
      </c>
      <c r="G518" s="278" t="s">
        <v>5</v>
      </c>
      <c r="H518" s="308">
        <f t="shared" si="242"/>
        <v>2.2799999999999998</v>
      </c>
      <c r="I518" s="280">
        <f t="shared" si="237"/>
        <v>183.81360000000001</v>
      </c>
      <c r="J518" s="281">
        <f t="shared" si="238"/>
        <v>208.46039999999999</v>
      </c>
      <c r="K518" s="282">
        <f>IF(Notes!$B$9="Domestic",I518, IF(Notes!$B$9="Commercial",J518))*$K$455</f>
        <v>208.46039999999999</v>
      </c>
      <c r="L518" s="283">
        <f>(SUM(O518:Q518)+(K518+SUM(M518:Q518))*(INDEX($U$455:$AB$455,MATCH(Notes!$C$16,$U$3:$AB$3,0))-100%))*$L$455</f>
        <v>1337.8511492846956</v>
      </c>
      <c r="M518" s="286"/>
      <c r="N518" s="286"/>
      <c r="O518" s="311">
        <f>O517*1.2</f>
        <v>1200.0005926014449</v>
      </c>
      <c r="P518" s="311">
        <f>P517*1.2</f>
        <v>137.85055668325069</v>
      </c>
      <c r="Q518" s="285"/>
      <c r="R518" s="278"/>
      <c r="S518" s="278"/>
      <c r="T518" s="278"/>
    </row>
    <row r="519" spans="1:28" s="305" customFormat="1" hidden="1" outlineLevel="1" x14ac:dyDescent="0.25">
      <c r="A519" s="278"/>
      <c r="B519" s="279" t="str">
        <f t="shared" si="236"/>
        <v>sliding mirror2700mm2701mm to 3000mmaverage</v>
      </c>
      <c r="C519" s="278" t="s">
        <v>1017</v>
      </c>
      <c r="D519" s="278" t="s">
        <v>779</v>
      </c>
      <c r="E519" s="278" t="s">
        <v>554</v>
      </c>
      <c r="F519" s="278" t="s">
        <v>543</v>
      </c>
      <c r="G519" s="278" t="s">
        <v>5</v>
      </c>
      <c r="H519" s="308">
        <f t="shared" si="242"/>
        <v>2.38</v>
      </c>
      <c r="I519" s="280">
        <f t="shared" si="237"/>
        <v>191.87559999999999</v>
      </c>
      <c r="J519" s="281">
        <f t="shared" si="238"/>
        <v>217.60339999999999</v>
      </c>
      <c r="K519" s="282">
        <f>IF(Notes!$B$9="Domestic",I519, IF(Notes!$B$9="Commercial",J519))*$K$455</f>
        <v>217.60339999999999</v>
      </c>
      <c r="L519" s="283">
        <f>(SUM(O519:Q519)+(K519+SUM(M519:Q519))*(INDEX($U$455:$AB$455,MATCH(Notes!$C$16,$U$3:$AB$3,0))-100%))*$L$455</f>
        <v>1101.4174150693921</v>
      </c>
      <c r="M519" s="286"/>
      <c r="N519" s="286"/>
      <c r="O519" s="311">
        <f>O495*O495/O471</f>
        <v>992.15078512499997</v>
      </c>
      <c r="P519" s="311">
        <f>P495*P495/P471</f>
        <v>109.26662994439219</v>
      </c>
      <c r="Q519" s="285"/>
      <c r="R519" s="278"/>
      <c r="S519" s="278"/>
      <c r="T519" s="278"/>
    </row>
    <row r="520" spans="1:28" s="305" customFormat="1" hidden="1" outlineLevel="1" x14ac:dyDescent="0.25">
      <c r="A520" s="278"/>
      <c r="B520" s="279" t="str">
        <f t="shared" si="236"/>
        <v>sliding mirror2700mm2701mm to 3000mmquality</v>
      </c>
      <c r="C520" s="278" t="s">
        <v>1017</v>
      </c>
      <c r="D520" s="278" t="s">
        <v>779</v>
      </c>
      <c r="E520" s="278" t="s">
        <v>554</v>
      </c>
      <c r="F520" s="278" t="s">
        <v>544</v>
      </c>
      <c r="G520" s="278" t="s">
        <v>5</v>
      </c>
      <c r="H520" s="308">
        <f t="shared" si="242"/>
        <v>2.38</v>
      </c>
      <c r="I520" s="280">
        <f t="shared" si="237"/>
        <v>191.87559999999999</v>
      </c>
      <c r="J520" s="281">
        <f t="shared" si="238"/>
        <v>217.60339999999999</v>
      </c>
      <c r="K520" s="282">
        <f>IF(Notes!$B$9="Domestic",I520, IF(Notes!$B$9="Commercial",J520))*$K$455</f>
        <v>217.60339999999999</v>
      </c>
      <c r="L520" s="283">
        <f>(SUM(O520:Q520)+(K520+SUM(M520:Q520))*(INDEX($U$455:$AB$455,MATCH(Notes!$C$16,$U$3:$AB$3,0))-100%))*$L$455</f>
        <v>1211.5591565763316</v>
      </c>
      <c r="M520" s="286"/>
      <c r="N520" s="286"/>
      <c r="O520" s="311">
        <f>O519*1.1</f>
        <v>1091.3658636375001</v>
      </c>
      <c r="P520" s="311">
        <f>P519*1.1</f>
        <v>120.19329293883142</v>
      </c>
      <c r="Q520" s="285"/>
      <c r="R520" s="278"/>
      <c r="S520" s="278"/>
      <c r="T520" s="278"/>
    </row>
    <row r="521" spans="1:28" s="305" customFormat="1" hidden="1" outlineLevel="1" x14ac:dyDescent="0.25">
      <c r="A521" s="278"/>
      <c r="B521" s="279" t="str">
        <f t="shared" si="236"/>
        <v>sliding mirror2700mm2701mm to 3000mmprestige</v>
      </c>
      <c r="C521" s="278" t="s">
        <v>1017</v>
      </c>
      <c r="D521" s="278" t="s">
        <v>779</v>
      </c>
      <c r="E521" s="278" t="s">
        <v>554</v>
      </c>
      <c r="F521" s="278" t="s">
        <v>545</v>
      </c>
      <c r="G521" s="278" t="s">
        <v>5</v>
      </c>
      <c r="H521" s="308">
        <f t="shared" si="242"/>
        <v>2.38</v>
      </c>
      <c r="I521" s="280">
        <f t="shared" si="237"/>
        <v>191.87559999999999</v>
      </c>
      <c r="J521" s="281">
        <f t="shared" si="238"/>
        <v>217.60339999999999</v>
      </c>
      <c r="K521" s="282">
        <f>IF(Notes!$B$9="Domestic",I521, IF(Notes!$B$9="Commercial",J521))*$K$455</f>
        <v>217.60339999999999</v>
      </c>
      <c r="L521" s="283">
        <f>(SUM(O521:Q521)+(K521+SUM(M521:Q521))*(INDEX($U$455:$AB$455,MATCH(Notes!$C$16,$U$3:$AB$3,0))-100%))*$L$455</f>
        <v>1453.8709878915977</v>
      </c>
      <c r="M521" s="286"/>
      <c r="N521" s="286"/>
      <c r="O521" s="311">
        <f>O520*1.2</f>
        <v>1309.639036365</v>
      </c>
      <c r="P521" s="311">
        <f>P520*1.2</f>
        <v>144.2319515265977</v>
      </c>
      <c r="Q521" s="285"/>
      <c r="R521" s="278"/>
      <c r="S521" s="278"/>
      <c r="T521" s="278"/>
    </row>
    <row r="522" spans="1:28" s="305" customFormat="1" hidden="1" outlineLevel="1" x14ac:dyDescent="0.25">
      <c r="A522" s="278"/>
      <c r="B522" s="279" t="str">
        <f t="shared" ref="B522:B524" si="243">C522&amp;D522&amp;E522&amp;F522</f>
        <v>sliding mirror2700mm3001mm to 3300mmaverage</v>
      </c>
      <c r="C522" s="278" t="s">
        <v>1017</v>
      </c>
      <c r="D522" s="278" t="s">
        <v>779</v>
      </c>
      <c r="E522" s="278" t="s">
        <v>1019</v>
      </c>
      <c r="F522" s="278" t="s">
        <v>543</v>
      </c>
      <c r="G522" s="278" t="s">
        <v>5</v>
      </c>
      <c r="H522" s="308">
        <f t="shared" si="242"/>
        <v>2.48</v>
      </c>
      <c r="I522" s="280">
        <f t="shared" ref="I522:I524" si="244">$I$2*H522</f>
        <v>199.9376</v>
      </c>
      <c r="J522" s="281">
        <f t="shared" ref="J522:J524" si="245">$J$2*H522</f>
        <v>226.74640000000002</v>
      </c>
      <c r="K522" s="282">
        <f>IF(Notes!$B$9="Domestic",I522, IF(Notes!$B$9="Commercial",J522))*$K$455</f>
        <v>226.74640000000002</v>
      </c>
      <c r="L522" s="283">
        <f>(SUM(O522:Q522)+(K522+SUM(M522:Q522))*(INDEX($U$455:$AB$455,MATCH(Notes!$C$16,$U$3:$AB$3,0))-100%))*$L$455</f>
        <v>1131.111788085962</v>
      </c>
      <c r="M522" s="286"/>
      <c r="N522" s="286"/>
      <c r="O522" s="311">
        <f>O498*O498/O474</f>
        <v>1017.0082830445324</v>
      </c>
      <c r="P522" s="311">
        <f>P498*P498/P474</f>
        <v>114.10350504142961</v>
      </c>
      <c r="Q522" s="285"/>
      <c r="R522" s="278"/>
      <c r="S522" s="278"/>
      <c r="T522" s="278"/>
    </row>
    <row r="523" spans="1:28" s="305" customFormat="1" hidden="1" outlineLevel="1" x14ac:dyDescent="0.25">
      <c r="A523" s="278"/>
      <c r="B523" s="279" t="str">
        <f t="shared" si="243"/>
        <v>sliding mirror2700mm3001mm to 3300mmquality</v>
      </c>
      <c r="C523" s="278" t="s">
        <v>1017</v>
      </c>
      <c r="D523" s="278" t="s">
        <v>779</v>
      </c>
      <c r="E523" s="278" t="s">
        <v>1019</v>
      </c>
      <c r="F523" s="278" t="s">
        <v>544</v>
      </c>
      <c r="G523" s="278" t="s">
        <v>5</v>
      </c>
      <c r="H523" s="308">
        <f t="shared" si="242"/>
        <v>2.48</v>
      </c>
      <c r="I523" s="280">
        <f t="shared" si="244"/>
        <v>199.9376</v>
      </c>
      <c r="J523" s="281">
        <f t="shared" si="245"/>
        <v>226.74640000000002</v>
      </c>
      <c r="K523" s="282">
        <f>IF(Notes!$B$9="Domestic",I523, IF(Notes!$B$9="Commercial",J523))*$K$455</f>
        <v>226.74640000000002</v>
      </c>
      <c r="L523" s="283">
        <f>(SUM(O523:Q523)+(K523+SUM(M523:Q523))*(INDEX($U$455:$AB$455,MATCH(Notes!$C$16,$U$3:$AB$3,0))-100%))*$L$455</f>
        <v>1244.2229668945583</v>
      </c>
      <c r="M523" s="286"/>
      <c r="N523" s="286"/>
      <c r="O523" s="311">
        <f>O522*1.1</f>
        <v>1118.7091113489857</v>
      </c>
      <c r="P523" s="311">
        <f>P522*1.1</f>
        <v>125.51385554557258</v>
      </c>
      <c r="Q523" s="285"/>
      <c r="R523" s="278"/>
      <c r="S523" s="278"/>
      <c r="T523" s="278"/>
    </row>
    <row r="524" spans="1:28" s="305" customFormat="1" hidden="1" outlineLevel="1" x14ac:dyDescent="0.25">
      <c r="A524" s="278"/>
      <c r="B524" s="279" t="str">
        <f t="shared" si="243"/>
        <v>sliding mirror2700mm3001mm to 3300mmprestige</v>
      </c>
      <c r="C524" s="278" t="s">
        <v>1017</v>
      </c>
      <c r="D524" s="278" t="s">
        <v>779</v>
      </c>
      <c r="E524" s="278" t="s">
        <v>1019</v>
      </c>
      <c r="F524" s="278" t="s">
        <v>545</v>
      </c>
      <c r="G524" s="278" t="s">
        <v>5</v>
      </c>
      <c r="H524" s="308">
        <f t="shared" si="242"/>
        <v>2.48</v>
      </c>
      <c r="I524" s="280">
        <f t="shared" si="244"/>
        <v>199.9376</v>
      </c>
      <c r="J524" s="281">
        <f t="shared" si="245"/>
        <v>226.74640000000002</v>
      </c>
      <c r="K524" s="282">
        <f>IF(Notes!$B$9="Domestic",I524, IF(Notes!$B$9="Commercial",J524))*$K$455</f>
        <v>226.74640000000002</v>
      </c>
      <c r="L524" s="283">
        <f>(SUM(O524:Q524)+(K524+SUM(M524:Q524))*(INDEX($U$455:$AB$455,MATCH(Notes!$C$16,$U$3:$AB$3,0))-100%))*$L$455</f>
        <v>1493.0675602734698</v>
      </c>
      <c r="M524" s="286"/>
      <c r="N524" s="286"/>
      <c r="O524" s="311">
        <f>O523*1.2</f>
        <v>1342.4509336187828</v>
      </c>
      <c r="P524" s="311">
        <f>P523*1.2</f>
        <v>150.61662665468708</v>
      </c>
      <c r="Q524" s="285"/>
      <c r="R524" s="278"/>
      <c r="S524" s="278"/>
      <c r="T524" s="278"/>
    </row>
    <row r="525" spans="1:28" s="305" customFormat="1" hidden="1" outlineLevel="1" x14ac:dyDescent="0.25">
      <c r="A525" s="278"/>
      <c r="B525" s="279" t="str">
        <f t="shared" si="236"/>
        <v>sliding mirror2700mm3301mm to 3600mmaverage</v>
      </c>
      <c r="C525" s="278" t="s">
        <v>1017</v>
      </c>
      <c r="D525" s="278" t="s">
        <v>779</v>
      </c>
      <c r="E525" s="278" t="s">
        <v>1020</v>
      </c>
      <c r="F525" s="278" t="s">
        <v>543</v>
      </c>
      <c r="G525" s="278" t="s">
        <v>5</v>
      </c>
      <c r="H525" s="308">
        <f t="shared" si="242"/>
        <v>2.6</v>
      </c>
      <c r="I525" s="280">
        <f t="shared" si="237"/>
        <v>209.61200000000002</v>
      </c>
      <c r="J525" s="281">
        <f t="shared" si="238"/>
        <v>237.71800000000002</v>
      </c>
      <c r="K525" s="282">
        <f>IF(Notes!$B$9="Domestic",I525, IF(Notes!$B$9="Commercial",J525))*$K$455</f>
        <v>237.71800000000002</v>
      </c>
      <c r="L525" s="283">
        <f>(SUM(O525:Q525)+(K525+SUM(M525:Q525))*(INDEX($U$455:$AB$455,MATCH(Notes!$C$16,$U$3:$AB$3,0))-100%))*$L$455</f>
        <v>1181.0067611769664</v>
      </c>
      <c r="M525" s="286"/>
      <c r="N525" s="286"/>
      <c r="O525" s="311">
        <f>O501*O501/O477</f>
        <v>1062.0642409446521</v>
      </c>
      <c r="P525" s="311">
        <f>P501*P501/P477</f>
        <v>118.94252023231445</v>
      </c>
      <c r="Q525" s="285"/>
      <c r="R525" s="278"/>
      <c r="S525" s="278"/>
      <c r="T525" s="278"/>
    </row>
    <row r="526" spans="1:28" s="305" customFormat="1" hidden="1" outlineLevel="1" x14ac:dyDescent="0.25">
      <c r="A526" s="278"/>
      <c r="B526" s="279" t="str">
        <f t="shared" si="236"/>
        <v>sliding mirror2700mm3301mm to 3600mmquality</v>
      </c>
      <c r="C526" s="278" t="s">
        <v>1017</v>
      </c>
      <c r="D526" s="278" t="s">
        <v>779</v>
      </c>
      <c r="E526" s="278" t="s">
        <v>1020</v>
      </c>
      <c r="F526" s="278" t="s">
        <v>544</v>
      </c>
      <c r="G526" s="278" t="s">
        <v>5</v>
      </c>
      <c r="H526" s="308">
        <f t="shared" si="242"/>
        <v>2.6</v>
      </c>
      <c r="I526" s="280">
        <f t="shared" si="237"/>
        <v>209.61200000000002</v>
      </c>
      <c r="J526" s="281">
        <f t="shared" si="238"/>
        <v>237.71800000000002</v>
      </c>
      <c r="K526" s="282">
        <f>IF(Notes!$B$9="Domestic",I526, IF(Notes!$B$9="Commercial",J526))*$K$455</f>
        <v>237.71800000000002</v>
      </c>
      <c r="L526" s="283">
        <f>(SUM(O526:Q526)+(K526+SUM(M526:Q526))*(INDEX($U$455:$AB$455,MATCH(Notes!$C$16,$U$3:$AB$3,0))-100%))*$L$455</f>
        <v>1299.1074372946632</v>
      </c>
      <c r="M526" s="286"/>
      <c r="N526" s="286"/>
      <c r="O526" s="311">
        <f>O525*1.1</f>
        <v>1168.2706650391174</v>
      </c>
      <c r="P526" s="311">
        <f>P525*1.1</f>
        <v>130.8367722555459</v>
      </c>
      <c r="Q526" s="285"/>
      <c r="R526" s="278"/>
      <c r="S526" s="278"/>
      <c r="T526" s="278"/>
    </row>
    <row r="527" spans="1:28" s="305" customFormat="1" hidden="1" outlineLevel="1" x14ac:dyDescent="0.25">
      <c r="A527" s="278"/>
      <c r="B527" s="279" t="str">
        <f t="shared" si="236"/>
        <v>sliding mirror2700mm3301mm to 3600mmprestige</v>
      </c>
      <c r="C527" s="278" t="s">
        <v>1017</v>
      </c>
      <c r="D527" s="278" t="s">
        <v>779</v>
      </c>
      <c r="E527" s="278" t="s">
        <v>1020</v>
      </c>
      <c r="F527" s="278" t="s">
        <v>545</v>
      </c>
      <c r="G527" s="278" t="s">
        <v>5</v>
      </c>
      <c r="H527" s="308">
        <f t="shared" si="242"/>
        <v>2.6</v>
      </c>
      <c r="I527" s="280">
        <f t="shared" si="237"/>
        <v>209.61200000000002</v>
      </c>
      <c r="J527" s="281">
        <f t="shared" si="238"/>
        <v>237.71800000000002</v>
      </c>
      <c r="K527" s="282">
        <f>IF(Notes!$B$9="Domestic",I527, IF(Notes!$B$9="Commercial",J527))*$K$455</f>
        <v>237.71800000000002</v>
      </c>
      <c r="L527" s="283">
        <f>(SUM(O527:Q527)+(K527+SUM(M527:Q527))*(INDEX($U$455:$AB$455,MATCH(Notes!$C$16,$U$3:$AB$3,0))-100%))*$L$455</f>
        <v>1558.928924753596</v>
      </c>
      <c r="M527" s="286"/>
      <c r="N527" s="286"/>
      <c r="O527" s="311">
        <f>O526*1.2</f>
        <v>1401.9247980469409</v>
      </c>
      <c r="P527" s="311">
        <f>P526*1.2</f>
        <v>157.00412670665506</v>
      </c>
      <c r="Q527" s="285"/>
      <c r="R527" s="278"/>
      <c r="S527" s="278"/>
      <c r="T527" s="278"/>
    </row>
    <row r="528" spans="1:28" ht="21" hidden="1" outlineLevel="1" x14ac:dyDescent="0.25">
      <c r="A528" s="299" t="s">
        <v>1021</v>
      </c>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c r="AA528" s="299"/>
      <c r="AB528" s="299"/>
    </row>
    <row r="529" spans="1:28" ht="15.75" hidden="1" outlineLevel="1" x14ac:dyDescent="0.25">
      <c r="A529" s="291"/>
      <c r="B529" s="291"/>
      <c r="C529" s="291"/>
      <c r="D529" s="291"/>
      <c r="E529" s="291"/>
      <c r="F529" s="291"/>
      <c r="G529" s="291"/>
      <c r="H529" s="291"/>
      <c r="I529" s="291"/>
      <c r="J529" s="291"/>
      <c r="K529" s="291">
        <f>K$2</f>
        <v>1</v>
      </c>
      <c r="L529" s="291">
        <f>L$2</f>
        <v>1</v>
      </c>
      <c r="M529" s="291"/>
      <c r="N529" s="291"/>
      <c r="O529" s="303"/>
      <c r="P529" s="303"/>
      <c r="Q529" s="303"/>
      <c r="R529" s="291"/>
      <c r="S529" s="291"/>
      <c r="T529" s="291"/>
      <c r="U529" s="291">
        <f>U$2</f>
        <v>1</v>
      </c>
      <c r="V529" s="291">
        <f>V$2</f>
        <v>1</v>
      </c>
      <c r="W529" s="291">
        <f t="shared" ref="W529:AB529" si="246">W$2</f>
        <v>1.009090909090909</v>
      </c>
      <c r="X529" s="291">
        <f t="shared" si="246"/>
        <v>1.0909090909090908</v>
      </c>
      <c r="Y529" s="291">
        <f t="shared" si="246"/>
        <v>1.1454545454545455</v>
      </c>
      <c r="Z529" s="291">
        <f t="shared" si="246"/>
        <v>1</v>
      </c>
      <c r="AA529" s="291">
        <f t="shared" si="246"/>
        <v>1</v>
      </c>
      <c r="AB529" s="291">
        <f t="shared" si="246"/>
        <v>1</v>
      </c>
    </row>
    <row r="530" spans="1:28" s="305" customFormat="1" hidden="1" outlineLevel="1" x14ac:dyDescent="0.25">
      <c r="A530" s="278"/>
      <c r="B530" s="279" t="str">
        <f>C530&amp;D530&amp;E530&amp;F530</f>
        <v>sliding vinyl2100mmup to 1500mmaverage</v>
      </c>
      <c r="C530" s="278" t="s">
        <v>1022</v>
      </c>
      <c r="D530" s="278" t="s">
        <v>557</v>
      </c>
      <c r="E530" s="278" t="s">
        <v>1018</v>
      </c>
      <c r="F530" s="278" t="s">
        <v>543</v>
      </c>
      <c r="G530" s="278" t="s">
        <v>5</v>
      </c>
      <c r="H530" s="290">
        <v>1.47</v>
      </c>
      <c r="I530" s="280">
        <f>$I$2*H530</f>
        <v>118.51140000000001</v>
      </c>
      <c r="J530" s="281">
        <f>$J$2*H530</f>
        <v>134.40210000000002</v>
      </c>
      <c r="K530" s="282">
        <f>IF(Notes!$B$9="Domestic",I530, IF(Notes!$B$9="Commercial",J530))*$K$529</f>
        <v>134.40210000000002</v>
      </c>
      <c r="L530" s="283">
        <f>(SUM(O530:Q530)+(K530+SUM(M530:Q530))*(INDEX($U$529:$AB$529,MATCH(Notes!$C$16,$U$3:$AB$3,0))-100%))*$L$529</f>
        <v>438.88000000000005</v>
      </c>
      <c r="M530" s="286"/>
      <c r="N530" s="286"/>
      <c r="O530" s="285">
        <v>372.73</v>
      </c>
      <c r="P530" s="311">
        <f>P456</f>
        <v>66.150000000000034</v>
      </c>
      <c r="Q530" s="285"/>
      <c r="R530" s="278"/>
      <c r="S530" s="278"/>
      <c r="T530" s="278"/>
    </row>
    <row r="531" spans="1:28" s="305" customFormat="1" hidden="1" outlineLevel="1" x14ac:dyDescent="0.25">
      <c r="A531" s="278"/>
      <c r="B531" s="279" t="str">
        <f t="shared" ref="B531" si="247">C531&amp;D531&amp;E531&amp;F531</f>
        <v>sliding vinyl2100mmup to 1500mmquality</v>
      </c>
      <c r="C531" s="278" t="s">
        <v>1022</v>
      </c>
      <c r="D531" s="278" t="s">
        <v>557</v>
      </c>
      <c r="E531" s="278" t="s">
        <v>1018</v>
      </c>
      <c r="F531" s="278" t="s">
        <v>544</v>
      </c>
      <c r="G531" s="278" t="s">
        <v>5</v>
      </c>
      <c r="H531" s="290">
        <v>1.47</v>
      </c>
      <c r="I531" s="280">
        <f t="shared" ref="I531" si="248">$I$2*H531</f>
        <v>118.51140000000001</v>
      </c>
      <c r="J531" s="281">
        <f t="shared" ref="J531" si="249">$J$2*H531</f>
        <v>134.40210000000002</v>
      </c>
      <c r="K531" s="282">
        <f>IF(Notes!$B$9="Domestic",I531, IF(Notes!$B$9="Commercial",J531))*$K$690</f>
        <v>134.40210000000002</v>
      </c>
      <c r="L531" s="283">
        <f>(SUM(O531:Q531)+(K531+SUM(M531:Q531))*(INDEX($U$690:$AB$690,MATCH(Notes!$C$16,$U$3:$AB$3,0))-100%))*$L$690</f>
        <v>482.76800000000009</v>
      </c>
      <c r="M531" s="286"/>
      <c r="N531" s="286"/>
      <c r="O531" s="311">
        <f>O530*1.1</f>
        <v>410.00300000000004</v>
      </c>
      <c r="P531" s="311">
        <f t="shared" ref="P531:P594" si="250">P457</f>
        <v>72.765000000000043</v>
      </c>
      <c r="Q531" s="285"/>
      <c r="R531" s="278"/>
      <c r="S531" s="278"/>
      <c r="T531" s="278"/>
    </row>
    <row r="532" spans="1:28" s="305" customFormat="1" hidden="1" outlineLevel="1" x14ac:dyDescent="0.25">
      <c r="A532" s="278"/>
      <c r="B532" s="279" t="str">
        <f t="shared" ref="B532:B601" si="251">C532&amp;D532&amp;E532&amp;F532</f>
        <v>sliding vinyl2100mmup to 1500mmprestige</v>
      </c>
      <c r="C532" s="278" t="s">
        <v>1022</v>
      </c>
      <c r="D532" s="278" t="s">
        <v>557</v>
      </c>
      <c r="E532" s="278" t="s">
        <v>1018</v>
      </c>
      <c r="F532" s="278" t="s">
        <v>545</v>
      </c>
      <c r="G532" s="278" t="s">
        <v>5</v>
      </c>
      <c r="H532" s="290">
        <v>1.47</v>
      </c>
      <c r="I532" s="280">
        <f t="shared" ref="I532:I601" si="252">$I$2*H532</f>
        <v>118.51140000000001</v>
      </c>
      <c r="J532" s="281">
        <f t="shared" ref="J532:J601" si="253">$J$2*H532</f>
        <v>134.40210000000002</v>
      </c>
      <c r="K532" s="282">
        <f>IF(Notes!$B$9="Domestic",I532, IF(Notes!$B$9="Commercial",J532))*$K$690</f>
        <v>134.40210000000002</v>
      </c>
      <c r="L532" s="283">
        <f>(SUM(O532:Q532)+(K532+SUM(M532:Q532))*(INDEX($U$690:$AB$690,MATCH(Notes!$C$16,$U$3:$AB$3,0))-100%))*$L$690</f>
        <v>579.3216000000001</v>
      </c>
      <c r="M532" s="286"/>
      <c r="N532" s="286"/>
      <c r="O532" s="311">
        <f>O531*1.2</f>
        <v>492.00360000000001</v>
      </c>
      <c r="P532" s="311">
        <f t="shared" si="250"/>
        <v>87.318000000000055</v>
      </c>
      <c r="Q532" s="285"/>
      <c r="R532" s="278"/>
      <c r="S532" s="278"/>
      <c r="T532" s="278"/>
    </row>
    <row r="533" spans="1:28" s="305" customFormat="1" hidden="1" outlineLevel="1" x14ac:dyDescent="0.25">
      <c r="A533" s="278"/>
      <c r="B533" s="279" t="str">
        <f t="shared" si="251"/>
        <v>sliding vinyl2100mm1501mm to 1800mmaverage</v>
      </c>
      <c r="C533" s="278" t="s">
        <v>1022</v>
      </c>
      <c r="D533" s="278" t="s">
        <v>557</v>
      </c>
      <c r="E533" s="278" t="s">
        <v>550</v>
      </c>
      <c r="F533" s="278" t="s">
        <v>543</v>
      </c>
      <c r="G533" s="278" t="s">
        <v>5</v>
      </c>
      <c r="H533" s="290">
        <v>1.67</v>
      </c>
      <c r="I533" s="280">
        <f t="shared" si="252"/>
        <v>134.6354</v>
      </c>
      <c r="J533" s="281">
        <f t="shared" si="253"/>
        <v>152.68809999999999</v>
      </c>
      <c r="K533" s="282">
        <f>IF(Notes!$B$9="Domestic",I533, IF(Notes!$B$9="Commercial",J533))*$K$690</f>
        <v>152.68809999999999</v>
      </c>
      <c r="L533" s="283">
        <f>(SUM(O533:Q533)+(K533+SUM(M533:Q533))*(INDEX($U$690:$AB$690,MATCH(Notes!$C$16,$U$3:$AB$3,0))-100%))*$L$690</f>
        <v>466.78</v>
      </c>
      <c r="M533" s="286"/>
      <c r="N533" s="286"/>
      <c r="O533" s="285">
        <v>390.91</v>
      </c>
      <c r="P533" s="311">
        <f t="shared" si="250"/>
        <v>75.869999999999948</v>
      </c>
      <c r="Q533" s="285"/>
      <c r="R533" s="278"/>
      <c r="S533" s="278"/>
      <c r="T533" s="278"/>
    </row>
    <row r="534" spans="1:28" s="305" customFormat="1" hidden="1" outlineLevel="1" x14ac:dyDescent="0.25">
      <c r="A534" s="278"/>
      <c r="B534" s="279" t="str">
        <f t="shared" si="251"/>
        <v>sliding vinyl2100mm1501mm to 1800mmquality</v>
      </c>
      <c r="C534" s="278" t="s">
        <v>1022</v>
      </c>
      <c r="D534" s="278" t="s">
        <v>557</v>
      </c>
      <c r="E534" s="278" t="s">
        <v>550</v>
      </c>
      <c r="F534" s="278" t="s">
        <v>544</v>
      </c>
      <c r="G534" s="278" t="s">
        <v>5</v>
      </c>
      <c r="H534" s="290">
        <v>1.67</v>
      </c>
      <c r="I534" s="280">
        <f t="shared" si="252"/>
        <v>134.6354</v>
      </c>
      <c r="J534" s="281">
        <f t="shared" si="253"/>
        <v>152.68809999999999</v>
      </c>
      <c r="K534" s="282">
        <f>IF(Notes!$B$9="Domestic",I534, IF(Notes!$B$9="Commercial",J534))*$K$690</f>
        <v>152.68809999999999</v>
      </c>
      <c r="L534" s="283">
        <f>(SUM(O534:Q534)+(K534+SUM(M534:Q534))*(INDEX($U$690:$AB$690,MATCH(Notes!$C$16,$U$3:$AB$3,0))-100%))*$L$690</f>
        <v>513.45800000000008</v>
      </c>
      <c r="M534" s="286"/>
      <c r="N534" s="286"/>
      <c r="O534" s="311">
        <f>O533*1.1</f>
        <v>430.00100000000009</v>
      </c>
      <c r="P534" s="311">
        <f t="shared" si="250"/>
        <v>83.456999999999951</v>
      </c>
      <c r="Q534" s="285"/>
      <c r="R534" s="278"/>
      <c r="S534" s="278"/>
      <c r="T534" s="278"/>
    </row>
    <row r="535" spans="1:28" s="305" customFormat="1" hidden="1" outlineLevel="1" x14ac:dyDescent="0.25">
      <c r="A535" s="278"/>
      <c r="B535" s="279" t="str">
        <f t="shared" si="251"/>
        <v>sliding vinyl2100mm1501mm to 1800mmprestige</v>
      </c>
      <c r="C535" s="278" t="s">
        <v>1022</v>
      </c>
      <c r="D535" s="278" t="s">
        <v>557</v>
      </c>
      <c r="E535" s="278" t="s">
        <v>550</v>
      </c>
      <c r="F535" s="278" t="s">
        <v>545</v>
      </c>
      <c r="G535" s="278" t="s">
        <v>5</v>
      </c>
      <c r="H535" s="290">
        <v>1.67</v>
      </c>
      <c r="I535" s="280">
        <f t="shared" si="252"/>
        <v>134.6354</v>
      </c>
      <c r="J535" s="281">
        <f t="shared" si="253"/>
        <v>152.68809999999999</v>
      </c>
      <c r="K535" s="282">
        <f>IF(Notes!$B$9="Domestic",I535, IF(Notes!$B$9="Commercial",J535))*$K$690</f>
        <v>152.68809999999999</v>
      </c>
      <c r="L535" s="283">
        <f>(SUM(O535:Q535)+(K535+SUM(M535:Q535))*(INDEX($U$690:$AB$690,MATCH(Notes!$C$16,$U$3:$AB$3,0))-100%))*$L$690</f>
        <v>616.14959999999996</v>
      </c>
      <c r="M535" s="286"/>
      <c r="N535" s="286"/>
      <c r="O535" s="311">
        <f>O534*1.2</f>
        <v>516.00120000000004</v>
      </c>
      <c r="P535" s="311">
        <f t="shared" si="250"/>
        <v>100.14839999999994</v>
      </c>
      <c r="Q535" s="285"/>
      <c r="R535" s="278"/>
      <c r="S535" s="278"/>
      <c r="T535" s="278"/>
    </row>
    <row r="536" spans="1:28" s="305" customFormat="1" hidden="1" outlineLevel="1" x14ac:dyDescent="0.25">
      <c r="A536" s="278"/>
      <c r="B536" s="279" t="str">
        <f t="shared" si="251"/>
        <v>sliding vinyl2100mm1801mm to 2100mmaverage</v>
      </c>
      <c r="C536" s="278" t="s">
        <v>1022</v>
      </c>
      <c r="D536" s="278" t="s">
        <v>557</v>
      </c>
      <c r="E536" s="278" t="s">
        <v>551</v>
      </c>
      <c r="F536" s="278" t="s">
        <v>543</v>
      </c>
      <c r="G536" s="278" t="s">
        <v>5</v>
      </c>
      <c r="H536" s="290">
        <v>1.78</v>
      </c>
      <c r="I536" s="280">
        <f t="shared" si="252"/>
        <v>143.50360000000001</v>
      </c>
      <c r="J536" s="281">
        <f t="shared" si="253"/>
        <v>162.74540000000002</v>
      </c>
      <c r="K536" s="282">
        <f>IF(Notes!$B$9="Domestic",I536, IF(Notes!$B$9="Commercial",J536))*$K$690</f>
        <v>162.74540000000002</v>
      </c>
      <c r="L536" s="283">
        <f>(SUM(O536:Q536)+(K536+SUM(M536:Q536))*(INDEX($U$690:$AB$690,MATCH(Notes!$C$16,$U$3:$AB$3,0))-100%))*$L$690</f>
        <v>480.73</v>
      </c>
      <c r="M536" s="286"/>
      <c r="N536" s="286"/>
      <c r="O536" s="285">
        <v>400</v>
      </c>
      <c r="P536" s="311">
        <f t="shared" si="250"/>
        <v>80.730000000000018</v>
      </c>
      <c r="Q536" s="285"/>
      <c r="R536" s="278"/>
      <c r="S536" s="278"/>
      <c r="T536" s="278"/>
    </row>
    <row r="537" spans="1:28" s="305" customFormat="1" hidden="1" outlineLevel="1" x14ac:dyDescent="0.25">
      <c r="A537" s="278"/>
      <c r="B537" s="279" t="str">
        <f t="shared" si="251"/>
        <v>sliding vinyl2100mm1801mm to 2100mmquality</v>
      </c>
      <c r="C537" s="278" t="s">
        <v>1022</v>
      </c>
      <c r="D537" s="278" t="s">
        <v>557</v>
      </c>
      <c r="E537" s="278" t="s">
        <v>551</v>
      </c>
      <c r="F537" s="278" t="s">
        <v>544</v>
      </c>
      <c r="G537" s="278" t="s">
        <v>5</v>
      </c>
      <c r="H537" s="290">
        <v>1.78</v>
      </c>
      <c r="I537" s="280">
        <f t="shared" si="252"/>
        <v>143.50360000000001</v>
      </c>
      <c r="J537" s="281">
        <f t="shared" si="253"/>
        <v>162.74540000000002</v>
      </c>
      <c r="K537" s="282">
        <f>IF(Notes!$B$9="Domestic",I537, IF(Notes!$B$9="Commercial",J537))*$K$690</f>
        <v>162.74540000000002</v>
      </c>
      <c r="L537" s="283">
        <f>(SUM(O537:Q537)+(K537+SUM(M537:Q537))*(INDEX($U$690:$AB$690,MATCH(Notes!$C$16,$U$3:$AB$3,0))-100%))*$L$690</f>
        <v>528.80300000000011</v>
      </c>
      <c r="M537" s="286"/>
      <c r="N537" s="286"/>
      <c r="O537" s="311">
        <f>O536*1.1</f>
        <v>440.00000000000006</v>
      </c>
      <c r="P537" s="311">
        <f t="shared" si="250"/>
        <v>88.803000000000026</v>
      </c>
      <c r="Q537" s="285"/>
      <c r="R537" s="278"/>
      <c r="S537" s="278"/>
      <c r="T537" s="278"/>
    </row>
    <row r="538" spans="1:28" s="305" customFormat="1" hidden="1" outlineLevel="1" x14ac:dyDescent="0.25">
      <c r="A538" s="278"/>
      <c r="B538" s="279" t="str">
        <f t="shared" si="251"/>
        <v>sliding vinyl2100mm1801mm to 2100mmprestige</v>
      </c>
      <c r="C538" s="278" t="s">
        <v>1022</v>
      </c>
      <c r="D538" s="278" t="s">
        <v>557</v>
      </c>
      <c r="E538" s="278" t="s">
        <v>551</v>
      </c>
      <c r="F538" s="278" t="s">
        <v>545</v>
      </c>
      <c r="G538" s="278" t="s">
        <v>5</v>
      </c>
      <c r="H538" s="290">
        <v>1.78</v>
      </c>
      <c r="I538" s="280">
        <f t="shared" si="252"/>
        <v>143.50360000000001</v>
      </c>
      <c r="J538" s="281">
        <f t="shared" si="253"/>
        <v>162.74540000000002</v>
      </c>
      <c r="K538" s="282">
        <f>IF(Notes!$B$9="Domestic",I538, IF(Notes!$B$9="Commercial",J538))*$K$690</f>
        <v>162.74540000000002</v>
      </c>
      <c r="L538" s="283">
        <f>(SUM(O538:Q538)+(K538+SUM(M538:Q538))*(INDEX($U$690:$AB$690,MATCH(Notes!$C$16,$U$3:$AB$3,0))-100%))*$L$690</f>
        <v>634.56360000000006</v>
      </c>
      <c r="M538" s="286"/>
      <c r="N538" s="286"/>
      <c r="O538" s="311">
        <f>O537*1.2</f>
        <v>528</v>
      </c>
      <c r="P538" s="311">
        <f t="shared" si="250"/>
        <v>106.56360000000002</v>
      </c>
      <c r="Q538" s="285"/>
      <c r="R538" s="278"/>
      <c r="S538" s="278"/>
      <c r="T538" s="278"/>
    </row>
    <row r="539" spans="1:28" s="305" customFormat="1" hidden="1" outlineLevel="1" x14ac:dyDescent="0.25">
      <c r="A539" s="278"/>
      <c r="B539" s="279" t="str">
        <f t="shared" si="251"/>
        <v>sliding vinyl2100mm2101mm to 2400mmaverage</v>
      </c>
      <c r="C539" s="278" t="s">
        <v>1022</v>
      </c>
      <c r="D539" s="278" t="s">
        <v>557</v>
      </c>
      <c r="E539" s="278" t="s">
        <v>552</v>
      </c>
      <c r="F539" s="278" t="s">
        <v>543</v>
      </c>
      <c r="G539" s="278" t="s">
        <v>5</v>
      </c>
      <c r="H539" s="290">
        <v>1.88</v>
      </c>
      <c r="I539" s="280">
        <f t="shared" si="252"/>
        <v>151.56559999999999</v>
      </c>
      <c r="J539" s="281">
        <f t="shared" si="253"/>
        <v>171.88839999999999</v>
      </c>
      <c r="K539" s="282">
        <f>IF(Notes!$B$9="Domestic",I539, IF(Notes!$B$9="Commercial",J539))*$K$690</f>
        <v>171.88839999999999</v>
      </c>
      <c r="L539" s="283">
        <f>(SUM(O539:Q539)+(K539+SUM(M539:Q539))*(INDEX($U$690:$AB$690,MATCH(Notes!$C$16,$U$3:$AB$3,0))-100%))*$L$690</f>
        <v>503.77000000000004</v>
      </c>
      <c r="M539" s="286"/>
      <c r="N539" s="286"/>
      <c r="O539" s="285">
        <v>418.18</v>
      </c>
      <c r="P539" s="311">
        <f t="shared" si="250"/>
        <v>85.590000000000032</v>
      </c>
      <c r="Q539" s="285"/>
      <c r="R539" s="278"/>
      <c r="S539" s="278"/>
      <c r="T539" s="278"/>
    </row>
    <row r="540" spans="1:28" s="305" customFormat="1" hidden="1" outlineLevel="1" x14ac:dyDescent="0.25">
      <c r="A540" s="278"/>
      <c r="B540" s="279" t="str">
        <f t="shared" si="251"/>
        <v>sliding vinyl2100mm2101mm to 2400mmquality</v>
      </c>
      <c r="C540" s="278" t="s">
        <v>1022</v>
      </c>
      <c r="D540" s="278" t="s">
        <v>557</v>
      </c>
      <c r="E540" s="278" t="s">
        <v>552</v>
      </c>
      <c r="F540" s="278" t="s">
        <v>544</v>
      </c>
      <c r="G540" s="278" t="s">
        <v>5</v>
      </c>
      <c r="H540" s="290">
        <v>1.88</v>
      </c>
      <c r="I540" s="280">
        <f t="shared" si="252"/>
        <v>151.56559999999999</v>
      </c>
      <c r="J540" s="281">
        <f t="shared" si="253"/>
        <v>171.88839999999999</v>
      </c>
      <c r="K540" s="282">
        <f>IF(Notes!$B$9="Domestic",I540, IF(Notes!$B$9="Commercial",J540))*$K$690</f>
        <v>171.88839999999999</v>
      </c>
      <c r="L540" s="283">
        <f>(SUM(O540:Q540)+(K540+SUM(M540:Q540))*(INDEX($U$690:$AB$690,MATCH(Notes!$C$16,$U$3:$AB$3,0))-100%))*$L$690</f>
        <v>554.14700000000005</v>
      </c>
      <c r="M540" s="286"/>
      <c r="N540" s="286"/>
      <c r="O540" s="311">
        <f>O539*1.1</f>
        <v>459.99800000000005</v>
      </c>
      <c r="P540" s="311">
        <f t="shared" si="250"/>
        <v>94.149000000000044</v>
      </c>
      <c r="Q540" s="285"/>
      <c r="R540" s="278"/>
      <c r="S540" s="278"/>
      <c r="T540" s="278"/>
    </row>
    <row r="541" spans="1:28" s="305" customFormat="1" hidden="1" outlineLevel="1" x14ac:dyDescent="0.25">
      <c r="A541" s="278"/>
      <c r="B541" s="279" t="str">
        <f t="shared" si="251"/>
        <v>sliding vinyl2100mm2101mm to 2400mmprestige</v>
      </c>
      <c r="C541" s="278" t="s">
        <v>1022</v>
      </c>
      <c r="D541" s="278" t="s">
        <v>557</v>
      </c>
      <c r="E541" s="278" t="s">
        <v>552</v>
      </c>
      <c r="F541" s="278" t="s">
        <v>545</v>
      </c>
      <c r="G541" s="278" t="s">
        <v>5</v>
      </c>
      <c r="H541" s="290">
        <v>1.88</v>
      </c>
      <c r="I541" s="280">
        <f t="shared" si="252"/>
        <v>151.56559999999999</v>
      </c>
      <c r="J541" s="281">
        <f t="shared" si="253"/>
        <v>171.88839999999999</v>
      </c>
      <c r="K541" s="282">
        <f>IF(Notes!$B$9="Domestic",I541, IF(Notes!$B$9="Commercial",J541))*$K$690</f>
        <v>171.88839999999999</v>
      </c>
      <c r="L541" s="283">
        <f>(SUM(O541:Q541)+(K541+SUM(M541:Q541))*(INDEX($U$690:$AB$690,MATCH(Notes!$C$16,$U$3:$AB$3,0))-100%))*$L$690</f>
        <v>664.97640000000013</v>
      </c>
      <c r="M541" s="286"/>
      <c r="N541" s="286"/>
      <c r="O541" s="311">
        <f>O540*1.2</f>
        <v>551.99760000000003</v>
      </c>
      <c r="P541" s="311">
        <f t="shared" si="250"/>
        <v>112.97880000000005</v>
      </c>
      <c r="Q541" s="285"/>
      <c r="R541" s="278"/>
      <c r="S541" s="278"/>
      <c r="T541" s="278"/>
    </row>
    <row r="542" spans="1:28" s="305" customFormat="1" hidden="1" outlineLevel="1" x14ac:dyDescent="0.25">
      <c r="A542" s="278"/>
      <c r="B542" s="279" t="str">
        <f t="shared" si="251"/>
        <v>sliding vinyl2100mm2401mm to 2700mmaverage</v>
      </c>
      <c r="C542" s="278" t="s">
        <v>1022</v>
      </c>
      <c r="D542" s="278" t="s">
        <v>557</v>
      </c>
      <c r="E542" s="278" t="s">
        <v>553</v>
      </c>
      <c r="F542" s="278" t="s">
        <v>543</v>
      </c>
      <c r="G542" s="278" t="s">
        <v>5</v>
      </c>
      <c r="H542" s="290">
        <v>1.98</v>
      </c>
      <c r="I542" s="280">
        <f t="shared" si="252"/>
        <v>159.6276</v>
      </c>
      <c r="J542" s="281">
        <f t="shared" si="253"/>
        <v>181.03140000000002</v>
      </c>
      <c r="K542" s="282">
        <f>IF(Notes!$B$9="Domestic",I542, IF(Notes!$B$9="Commercial",J542))*$K$690</f>
        <v>181.03140000000002</v>
      </c>
      <c r="L542" s="283">
        <f>(SUM(O542:Q542)+(K542+SUM(M542:Q542))*(INDEX($U$690:$AB$690,MATCH(Notes!$C$16,$U$3:$AB$3,0))-100%))*$L$690</f>
        <v>654.08999999999992</v>
      </c>
      <c r="M542" s="286"/>
      <c r="N542" s="286"/>
      <c r="O542" s="285">
        <v>563.64</v>
      </c>
      <c r="P542" s="311">
        <f t="shared" si="250"/>
        <v>90.449999999999932</v>
      </c>
      <c r="Q542" s="285"/>
      <c r="R542" s="278"/>
      <c r="S542" s="278"/>
      <c r="T542" s="278"/>
    </row>
    <row r="543" spans="1:28" s="305" customFormat="1" hidden="1" outlineLevel="1" x14ac:dyDescent="0.25">
      <c r="A543" s="278"/>
      <c r="B543" s="279" t="str">
        <f t="shared" si="251"/>
        <v>sliding vinyl2100mm2401mm to 2700mmquality</v>
      </c>
      <c r="C543" s="278" t="s">
        <v>1022</v>
      </c>
      <c r="D543" s="278" t="s">
        <v>557</v>
      </c>
      <c r="E543" s="278" t="s">
        <v>553</v>
      </c>
      <c r="F543" s="278" t="s">
        <v>544</v>
      </c>
      <c r="G543" s="278" t="s">
        <v>5</v>
      </c>
      <c r="H543" s="290">
        <v>1.98</v>
      </c>
      <c r="I543" s="280">
        <f t="shared" si="252"/>
        <v>159.6276</v>
      </c>
      <c r="J543" s="281">
        <f t="shared" si="253"/>
        <v>181.03140000000002</v>
      </c>
      <c r="K543" s="282">
        <f>IF(Notes!$B$9="Domestic",I543, IF(Notes!$B$9="Commercial",J543))*$K$690</f>
        <v>181.03140000000002</v>
      </c>
      <c r="L543" s="283">
        <f>(SUM(O543:Q543)+(K543+SUM(M543:Q543))*(INDEX($U$690:$AB$690,MATCH(Notes!$C$16,$U$3:$AB$3,0))-100%))*$L$690</f>
        <v>719.49899999999991</v>
      </c>
      <c r="M543" s="286"/>
      <c r="N543" s="286"/>
      <c r="O543" s="311">
        <f>O542*1.1</f>
        <v>620.00400000000002</v>
      </c>
      <c r="P543" s="311">
        <f t="shared" si="250"/>
        <v>99.494999999999933</v>
      </c>
      <c r="Q543" s="285"/>
      <c r="R543" s="278"/>
      <c r="S543" s="278"/>
      <c r="T543" s="278"/>
    </row>
    <row r="544" spans="1:28" s="305" customFormat="1" hidden="1" outlineLevel="1" x14ac:dyDescent="0.25">
      <c r="A544" s="278"/>
      <c r="B544" s="279" t="str">
        <f t="shared" si="251"/>
        <v>sliding vinyl2100mm2401mm to 2700mmprestige</v>
      </c>
      <c r="C544" s="278" t="s">
        <v>1022</v>
      </c>
      <c r="D544" s="278" t="s">
        <v>557</v>
      </c>
      <c r="E544" s="278" t="s">
        <v>553</v>
      </c>
      <c r="F544" s="278" t="s">
        <v>545</v>
      </c>
      <c r="G544" s="278" t="s">
        <v>5</v>
      </c>
      <c r="H544" s="290">
        <v>1.98</v>
      </c>
      <c r="I544" s="280">
        <f t="shared" si="252"/>
        <v>159.6276</v>
      </c>
      <c r="J544" s="281">
        <f t="shared" si="253"/>
        <v>181.03140000000002</v>
      </c>
      <c r="K544" s="282">
        <f>IF(Notes!$B$9="Domestic",I544, IF(Notes!$B$9="Commercial",J544))*$K$690</f>
        <v>181.03140000000002</v>
      </c>
      <c r="L544" s="283">
        <f>(SUM(O544:Q544)+(K544+SUM(M544:Q544))*(INDEX($U$690:$AB$690,MATCH(Notes!$C$16,$U$3:$AB$3,0))-100%))*$L$690</f>
        <v>863.39879999999994</v>
      </c>
      <c r="M544" s="286"/>
      <c r="N544" s="286"/>
      <c r="O544" s="311">
        <f>O543*1.2</f>
        <v>744.00480000000005</v>
      </c>
      <c r="P544" s="311">
        <f t="shared" si="250"/>
        <v>119.39399999999992</v>
      </c>
      <c r="Q544" s="285"/>
      <c r="R544" s="278"/>
      <c r="S544" s="278"/>
      <c r="T544" s="278"/>
    </row>
    <row r="545" spans="1:20" s="305" customFormat="1" hidden="1" outlineLevel="1" x14ac:dyDescent="0.25">
      <c r="A545" s="278"/>
      <c r="B545" s="279" t="str">
        <f t="shared" si="251"/>
        <v>sliding vinyl2100mm2701mm to 3000mmaverage</v>
      </c>
      <c r="C545" s="278" t="s">
        <v>1022</v>
      </c>
      <c r="D545" s="278" t="s">
        <v>557</v>
      </c>
      <c r="E545" s="278" t="s">
        <v>554</v>
      </c>
      <c r="F545" s="278" t="s">
        <v>543</v>
      </c>
      <c r="G545" s="278" t="s">
        <v>5</v>
      </c>
      <c r="H545" s="290">
        <v>2.08</v>
      </c>
      <c r="I545" s="280">
        <f t="shared" si="252"/>
        <v>167.68960000000001</v>
      </c>
      <c r="J545" s="281">
        <f t="shared" si="253"/>
        <v>190.17440000000002</v>
      </c>
      <c r="K545" s="282">
        <f>IF(Notes!$B$9="Domestic",I545, IF(Notes!$B$9="Commercial",J545))*$K$690</f>
        <v>190.17440000000002</v>
      </c>
      <c r="L545" s="283">
        <f>(SUM(O545:Q545)+(K545+SUM(M545:Q545))*(INDEX($U$690:$AB$690,MATCH(Notes!$C$16,$U$3:$AB$3,0))-100%))*$L$690</f>
        <v>677.13</v>
      </c>
      <c r="M545" s="286"/>
      <c r="N545" s="286"/>
      <c r="O545" s="285">
        <v>581.82000000000005</v>
      </c>
      <c r="P545" s="311">
        <f t="shared" si="250"/>
        <v>95.309999999999945</v>
      </c>
      <c r="Q545" s="285"/>
      <c r="R545" s="278"/>
      <c r="S545" s="278"/>
      <c r="T545" s="278"/>
    </row>
    <row r="546" spans="1:20" s="305" customFormat="1" hidden="1" outlineLevel="1" x14ac:dyDescent="0.25">
      <c r="A546" s="278"/>
      <c r="B546" s="279" t="str">
        <f t="shared" si="251"/>
        <v>sliding vinyl2100mm2701mm to 3000mmquality</v>
      </c>
      <c r="C546" s="278" t="s">
        <v>1022</v>
      </c>
      <c r="D546" s="278" t="s">
        <v>557</v>
      </c>
      <c r="E546" s="278" t="s">
        <v>554</v>
      </c>
      <c r="F546" s="278" t="s">
        <v>544</v>
      </c>
      <c r="G546" s="278" t="s">
        <v>5</v>
      </c>
      <c r="H546" s="290">
        <v>2.08</v>
      </c>
      <c r="I546" s="280">
        <f t="shared" si="252"/>
        <v>167.68960000000001</v>
      </c>
      <c r="J546" s="281">
        <f t="shared" si="253"/>
        <v>190.17440000000002</v>
      </c>
      <c r="K546" s="282">
        <f>IF(Notes!$B$9="Domestic",I546, IF(Notes!$B$9="Commercial",J546))*$K$690</f>
        <v>190.17440000000002</v>
      </c>
      <c r="L546" s="283">
        <f>(SUM(O546:Q546)+(K546+SUM(M546:Q546))*(INDEX($U$690:$AB$690,MATCH(Notes!$C$16,$U$3:$AB$3,0))-100%))*$L$690</f>
        <v>744.84300000000007</v>
      </c>
      <c r="M546" s="286"/>
      <c r="N546" s="286"/>
      <c r="O546" s="311">
        <f>O545*1.1</f>
        <v>640.00200000000007</v>
      </c>
      <c r="P546" s="311">
        <f t="shared" si="250"/>
        <v>104.84099999999995</v>
      </c>
      <c r="Q546" s="285"/>
      <c r="R546" s="278"/>
      <c r="S546" s="278"/>
      <c r="T546" s="278"/>
    </row>
    <row r="547" spans="1:20" s="305" customFormat="1" hidden="1" outlineLevel="1" x14ac:dyDescent="0.25">
      <c r="A547" s="278"/>
      <c r="B547" s="279" t="str">
        <f t="shared" si="251"/>
        <v>sliding vinyl2100mm2701mm to 3000mmprestige</v>
      </c>
      <c r="C547" s="278" t="s">
        <v>1022</v>
      </c>
      <c r="D547" s="278" t="s">
        <v>557</v>
      </c>
      <c r="E547" s="278" t="s">
        <v>554</v>
      </c>
      <c r="F547" s="278" t="s">
        <v>545</v>
      </c>
      <c r="G547" s="278" t="s">
        <v>5</v>
      </c>
      <c r="H547" s="290">
        <v>2.08</v>
      </c>
      <c r="I547" s="280">
        <f t="shared" si="252"/>
        <v>167.68960000000001</v>
      </c>
      <c r="J547" s="281">
        <f t="shared" si="253"/>
        <v>190.17440000000002</v>
      </c>
      <c r="K547" s="282">
        <f>IF(Notes!$B$9="Domestic",I547, IF(Notes!$B$9="Commercial",J547))*$K$690</f>
        <v>190.17440000000002</v>
      </c>
      <c r="L547" s="283">
        <f>(SUM(O547:Q547)+(K547+SUM(M547:Q547))*(INDEX($U$690:$AB$690,MATCH(Notes!$C$16,$U$3:$AB$3,0))-100%))*$L$690</f>
        <v>893.8116</v>
      </c>
      <c r="M547" s="286"/>
      <c r="N547" s="286"/>
      <c r="O547" s="311">
        <f>O546*1.2</f>
        <v>768.00240000000008</v>
      </c>
      <c r="P547" s="311">
        <f t="shared" si="250"/>
        <v>125.80919999999993</v>
      </c>
      <c r="Q547" s="285"/>
      <c r="R547" s="278"/>
      <c r="S547" s="278"/>
      <c r="T547" s="278"/>
    </row>
    <row r="548" spans="1:20" s="305" customFormat="1" hidden="1" outlineLevel="1" x14ac:dyDescent="0.25">
      <c r="A548" s="278"/>
      <c r="B548" s="279" t="str">
        <f t="shared" si="251"/>
        <v>sliding vinyl2100mm3001mm to 3300mmaverage</v>
      </c>
      <c r="C548" s="278" t="s">
        <v>1022</v>
      </c>
      <c r="D548" s="278" t="s">
        <v>557</v>
      </c>
      <c r="E548" s="278" t="s">
        <v>1019</v>
      </c>
      <c r="F548" s="278" t="s">
        <v>543</v>
      </c>
      <c r="G548" s="278" t="s">
        <v>5</v>
      </c>
      <c r="H548" s="290">
        <v>2.1800000000000002</v>
      </c>
      <c r="I548" s="280">
        <f t="shared" si="252"/>
        <v>175.75160000000002</v>
      </c>
      <c r="J548" s="281">
        <f t="shared" si="253"/>
        <v>199.31740000000002</v>
      </c>
      <c r="K548" s="282">
        <f>IF(Notes!$B$9="Domestic",I548, IF(Notes!$B$9="Commercial",J548))*$K$690</f>
        <v>199.31740000000002</v>
      </c>
      <c r="L548" s="283">
        <f>(SUM(O548:Q548)+(K548+SUM(M548:Q548))*(INDEX($U$690:$AB$690,MATCH(Notes!$C$16,$U$3:$AB$3,0))-100%))*$L$690</f>
        <v>700.17000000000007</v>
      </c>
      <c r="M548" s="286"/>
      <c r="N548" s="286"/>
      <c r="O548" s="285">
        <v>600</v>
      </c>
      <c r="P548" s="311">
        <f t="shared" si="250"/>
        <v>100.17000000000002</v>
      </c>
      <c r="Q548" s="285"/>
      <c r="R548" s="278"/>
      <c r="S548" s="278"/>
      <c r="T548" s="278"/>
    </row>
    <row r="549" spans="1:20" s="305" customFormat="1" hidden="1" outlineLevel="1" x14ac:dyDescent="0.25">
      <c r="A549" s="278"/>
      <c r="B549" s="279" t="str">
        <f t="shared" si="251"/>
        <v>sliding vinyl2100mm3001mm to 3300mmquality</v>
      </c>
      <c r="C549" s="278" t="s">
        <v>1022</v>
      </c>
      <c r="D549" s="278" t="s">
        <v>557</v>
      </c>
      <c r="E549" s="278" t="s">
        <v>1019</v>
      </c>
      <c r="F549" s="278" t="s">
        <v>544</v>
      </c>
      <c r="G549" s="278" t="s">
        <v>5</v>
      </c>
      <c r="H549" s="290">
        <v>2.1800000000000002</v>
      </c>
      <c r="I549" s="280">
        <f t="shared" si="252"/>
        <v>175.75160000000002</v>
      </c>
      <c r="J549" s="281">
        <f t="shared" si="253"/>
        <v>199.31740000000002</v>
      </c>
      <c r="K549" s="282">
        <f>IF(Notes!$B$9="Domestic",I549, IF(Notes!$B$9="Commercial",J549))*$K$690</f>
        <v>199.31740000000002</v>
      </c>
      <c r="L549" s="283">
        <f>(SUM(O549:Q549)+(K549+SUM(M549:Q549))*(INDEX($U$690:$AB$690,MATCH(Notes!$C$16,$U$3:$AB$3,0))-100%))*$L$690</f>
        <v>770.18700000000001</v>
      </c>
      <c r="M549" s="286"/>
      <c r="N549" s="286"/>
      <c r="O549" s="311">
        <f>O548*1.1</f>
        <v>660</v>
      </c>
      <c r="P549" s="311">
        <f t="shared" si="250"/>
        <v>110.18700000000003</v>
      </c>
      <c r="Q549" s="285"/>
      <c r="R549" s="278"/>
      <c r="S549" s="278"/>
      <c r="T549" s="278"/>
    </row>
    <row r="550" spans="1:20" s="305" customFormat="1" hidden="1" outlineLevel="1" x14ac:dyDescent="0.25">
      <c r="A550" s="278"/>
      <c r="B550" s="279" t="str">
        <f t="shared" si="251"/>
        <v>sliding vinyl2100mm3001mm to 3300mmprestige</v>
      </c>
      <c r="C550" s="278" t="s">
        <v>1022</v>
      </c>
      <c r="D550" s="278" t="s">
        <v>557</v>
      </c>
      <c r="E550" s="278" t="s">
        <v>1019</v>
      </c>
      <c r="F550" s="278" t="s">
        <v>545</v>
      </c>
      <c r="G550" s="278" t="s">
        <v>5</v>
      </c>
      <c r="H550" s="290">
        <v>2.1800000000000002</v>
      </c>
      <c r="I550" s="280">
        <f t="shared" si="252"/>
        <v>175.75160000000002</v>
      </c>
      <c r="J550" s="281">
        <f t="shared" si="253"/>
        <v>199.31740000000002</v>
      </c>
      <c r="K550" s="282">
        <f>IF(Notes!$B$9="Domestic",I550, IF(Notes!$B$9="Commercial",J550))*$K$690</f>
        <v>199.31740000000002</v>
      </c>
      <c r="L550" s="283">
        <f>(SUM(O550:Q550)+(K550+SUM(M550:Q550))*(INDEX($U$690:$AB$690,MATCH(Notes!$C$16,$U$3:$AB$3,0))-100%))*$L$690</f>
        <v>924.22440000000006</v>
      </c>
      <c r="M550" s="286"/>
      <c r="N550" s="286"/>
      <c r="O550" s="311">
        <f>O549*1.2</f>
        <v>792</v>
      </c>
      <c r="P550" s="311">
        <f t="shared" si="250"/>
        <v>132.22440000000003</v>
      </c>
      <c r="Q550" s="285"/>
      <c r="R550" s="278"/>
      <c r="S550" s="278"/>
      <c r="T550" s="278"/>
    </row>
    <row r="551" spans="1:20" s="305" customFormat="1" hidden="1" outlineLevel="1" x14ac:dyDescent="0.25">
      <c r="A551" s="278"/>
      <c r="B551" s="279" t="str">
        <f t="shared" si="251"/>
        <v>sliding vinyl2100mm3301mm to 3600mmaverage</v>
      </c>
      <c r="C551" s="278" t="s">
        <v>1022</v>
      </c>
      <c r="D551" s="278" t="s">
        <v>557</v>
      </c>
      <c r="E551" s="278" t="s">
        <v>1020</v>
      </c>
      <c r="F551" s="278" t="s">
        <v>543</v>
      </c>
      <c r="G551" s="278" t="s">
        <v>5</v>
      </c>
      <c r="H551" s="290">
        <v>2.2799999999999998</v>
      </c>
      <c r="I551" s="280">
        <f t="shared" si="252"/>
        <v>183.81360000000001</v>
      </c>
      <c r="J551" s="281">
        <f t="shared" si="253"/>
        <v>208.46039999999999</v>
      </c>
      <c r="K551" s="282">
        <f>IF(Notes!$B$9="Domestic",I551, IF(Notes!$B$9="Commercial",J551))*$K$690</f>
        <v>208.46039999999999</v>
      </c>
      <c r="L551" s="283">
        <f>(SUM(O551:Q551)+(K551+SUM(M551:Q551))*(INDEX($U$690:$AB$690,MATCH(Notes!$C$16,$U$3:$AB$3,0))-100%))*$L$690</f>
        <v>732.30000000000007</v>
      </c>
      <c r="M551" s="286"/>
      <c r="N551" s="286"/>
      <c r="O551" s="285">
        <v>627.27</v>
      </c>
      <c r="P551" s="311">
        <f t="shared" si="250"/>
        <v>105.03000000000009</v>
      </c>
      <c r="Q551" s="285"/>
      <c r="R551" s="278"/>
      <c r="S551" s="278"/>
      <c r="T551" s="278"/>
    </row>
    <row r="552" spans="1:20" s="305" customFormat="1" hidden="1" outlineLevel="1" x14ac:dyDescent="0.25">
      <c r="A552" s="278"/>
      <c r="B552" s="279" t="str">
        <f t="shared" si="251"/>
        <v>sliding vinyl2100mm3301mm to 3600mmquality</v>
      </c>
      <c r="C552" s="278" t="s">
        <v>1022</v>
      </c>
      <c r="D552" s="278" t="s">
        <v>557</v>
      </c>
      <c r="E552" s="278" t="s">
        <v>1020</v>
      </c>
      <c r="F552" s="278" t="s">
        <v>544</v>
      </c>
      <c r="G552" s="278" t="s">
        <v>5</v>
      </c>
      <c r="H552" s="290">
        <v>2.2799999999999998</v>
      </c>
      <c r="I552" s="280">
        <f t="shared" si="252"/>
        <v>183.81360000000001</v>
      </c>
      <c r="J552" s="281">
        <f t="shared" si="253"/>
        <v>208.46039999999999</v>
      </c>
      <c r="K552" s="282">
        <f>IF(Notes!$B$9="Domestic",I552, IF(Notes!$B$9="Commercial",J552))*$K$690</f>
        <v>208.46039999999999</v>
      </c>
      <c r="L552" s="283">
        <f>(SUM(O552:Q552)+(K552+SUM(M552:Q552))*(INDEX($U$690:$AB$690,MATCH(Notes!$C$16,$U$3:$AB$3,0))-100%))*$L$690</f>
        <v>805.5300000000002</v>
      </c>
      <c r="M552" s="286"/>
      <c r="N552" s="286"/>
      <c r="O552" s="311">
        <f>O551*1.1</f>
        <v>689.99700000000007</v>
      </c>
      <c r="P552" s="311">
        <f t="shared" si="250"/>
        <v>115.5330000000001</v>
      </c>
      <c r="Q552" s="285"/>
      <c r="R552" s="278"/>
      <c r="S552" s="278"/>
      <c r="T552" s="278"/>
    </row>
    <row r="553" spans="1:20" s="305" customFormat="1" hidden="1" outlineLevel="1" x14ac:dyDescent="0.25">
      <c r="A553" s="278"/>
      <c r="B553" s="279" t="str">
        <f t="shared" si="251"/>
        <v>sliding vinyl2100mm3301mm to 3600mmprestige</v>
      </c>
      <c r="C553" s="278" t="s">
        <v>1022</v>
      </c>
      <c r="D553" s="278" t="s">
        <v>557</v>
      </c>
      <c r="E553" s="278" t="s">
        <v>1020</v>
      </c>
      <c r="F553" s="278" t="s">
        <v>545</v>
      </c>
      <c r="G553" s="278" t="s">
        <v>5</v>
      </c>
      <c r="H553" s="290">
        <v>2.2799999999999998</v>
      </c>
      <c r="I553" s="280">
        <f t="shared" si="252"/>
        <v>183.81360000000001</v>
      </c>
      <c r="J553" s="281">
        <f t="shared" si="253"/>
        <v>208.46039999999999</v>
      </c>
      <c r="K553" s="282">
        <f>IF(Notes!$B$9="Domestic",I553, IF(Notes!$B$9="Commercial",J553))*$K$690</f>
        <v>208.46039999999999</v>
      </c>
      <c r="L553" s="283">
        <f>(SUM(O553:Q553)+(K553+SUM(M553:Q553))*(INDEX($U$690:$AB$690,MATCH(Notes!$C$16,$U$3:$AB$3,0))-100%))*$L$690</f>
        <v>966.63600000000019</v>
      </c>
      <c r="M553" s="286"/>
      <c r="N553" s="286"/>
      <c r="O553" s="311">
        <f>O552*1.2</f>
        <v>827.99640000000011</v>
      </c>
      <c r="P553" s="311">
        <f t="shared" si="250"/>
        <v>138.63960000000012</v>
      </c>
      <c r="Q553" s="285"/>
      <c r="R553" s="278"/>
      <c r="S553" s="278"/>
      <c r="T553" s="278"/>
    </row>
    <row r="554" spans="1:20" s="305" customFormat="1" hidden="1" outlineLevel="1" x14ac:dyDescent="0.25">
      <c r="A554" s="278"/>
      <c r="B554" s="279" t="str">
        <f t="shared" ref="B554:B573" si="254">C554&amp;D554&amp;E554&amp;F554</f>
        <v>sliding vinyl2400mmup to 1500mmaverage</v>
      </c>
      <c r="C554" s="278" t="s">
        <v>1022</v>
      </c>
      <c r="D554" s="278" t="s">
        <v>558</v>
      </c>
      <c r="E554" s="278" t="s">
        <v>1018</v>
      </c>
      <c r="F554" s="278" t="s">
        <v>543</v>
      </c>
      <c r="G554" s="278" t="s">
        <v>5</v>
      </c>
      <c r="H554" s="290">
        <v>1.62</v>
      </c>
      <c r="I554" s="280">
        <f t="shared" ref="I554:I573" si="255">$I$2*H554</f>
        <v>130.60440000000003</v>
      </c>
      <c r="J554" s="281">
        <f t="shared" ref="J554:J573" si="256">$J$2*H554</f>
        <v>148.11660000000003</v>
      </c>
      <c r="K554" s="282">
        <f>IF(Notes!$B$9="Domestic",I554, IF(Notes!$B$9="Commercial",J554))*$K$690</f>
        <v>148.11660000000003</v>
      </c>
      <c r="L554" s="283">
        <f>(SUM(O554:Q554)+(K554+SUM(M554:Q554))*(INDEX($U$690:$AB$690,MATCH(Notes!$C$16,$U$3:$AB$3,0))-100%))*$L$690</f>
        <v>481.97999999999996</v>
      </c>
      <c r="M554" s="286"/>
      <c r="N554" s="286"/>
      <c r="O554" s="285">
        <v>409.09</v>
      </c>
      <c r="P554" s="311">
        <f t="shared" si="250"/>
        <v>72.889999999999986</v>
      </c>
      <c r="Q554" s="285"/>
      <c r="R554" s="278"/>
      <c r="S554" s="278"/>
      <c r="T554" s="278"/>
    </row>
    <row r="555" spans="1:20" s="305" customFormat="1" hidden="1" outlineLevel="1" x14ac:dyDescent="0.25">
      <c r="A555" s="278"/>
      <c r="B555" s="279" t="str">
        <f t="shared" si="254"/>
        <v>sliding vinyl2400mmup to 1500mmquality</v>
      </c>
      <c r="C555" s="278" t="s">
        <v>1022</v>
      </c>
      <c r="D555" s="278" t="s">
        <v>558</v>
      </c>
      <c r="E555" s="278" t="s">
        <v>1018</v>
      </c>
      <c r="F555" s="278" t="s">
        <v>544</v>
      </c>
      <c r="G555" s="278" t="s">
        <v>5</v>
      </c>
      <c r="H555" s="290">
        <v>1.62</v>
      </c>
      <c r="I555" s="280">
        <f t="shared" si="255"/>
        <v>130.60440000000003</v>
      </c>
      <c r="J555" s="281">
        <f t="shared" si="256"/>
        <v>148.11660000000003</v>
      </c>
      <c r="K555" s="282">
        <f>IF(Notes!$B$9="Domestic",I555, IF(Notes!$B$9="Commercial",J555))*$K$690</f>
        <v>148.11660000000003</v>
      </c>
      <c r="L555" s="283">
        <f>(SUM(O555:Q555)+(K555+SUM(M555:Q555))*(INDEX($U$690:$AB$690,MATCH(Notes!$C$16,$U$3:$AB$3,0))-100%))*$L$690</f>
        <v>530.178</v>
      </c>
      <c r="M555" s="286"/>
      <c r="N555" s="286"/>
      <c r="O555" s="311">
        <f>O554*1.1</f>
        <v>449.99900000000002</v>
      </c>
      <c r="P555" s="311">
        <f t="shared" si="250"/>
        <v>80.178999999999988</v>
      </c>
      <c r="Q555" s="285"/>
      <c r="R555" s="278"/>
      <c r="S555" s="278"/>
      <c r="T555" s="278"/>
    </row>
    <row r="556" spans="1:20" s="305" customFormat="1" hidden="1" outlineLevel="1" x14ac:dyDescent="0.25">
      <c r="A556" s="278"/>
      <c r="B556" s="279" t="str">
        <f t="shared" si="254"/>
        <v>sliding vinyl2400mmup to 1500mmprestige</v>
      </c>
      <c r="C556" s="278" t="s">
        <v>1022</v>
      </c>
      <c r="D556" s="278" t="s">
        <v>558</v>
      </c>
      <c r="E556" s="278" t="s">
        <v>1018</v>
      </c>
      <c r="F556" s="278" t="s">
        <v>545</v>
      </c>
      <c r="G556" s="278" t="s">
        <v>5</v>
      </c>
      <c r="H556" s="290">
        <v>1.62</v>
      </c>
      <c r="I556" s="280">
        <f t="shared" si="255"/>
        <v>130.60440000000003</v>
      </c>
      <c r="J556" s="281">
        <f t="shared" si="256"/>
        <v>148.11660000000003</v>
      </c>
      <c r="K556" s="282">
        <f>IF(Notes!$B$9="Domestic",I556, IF(Notes!$B$9="Commercial",J556))*$K$690</f>
        <v>148.11660000000003</v>
      </c>
      <c r="L556" s="283">
        <f>(SUM(O556:Q556)+(K556+SUM(M556:Q556))*(INDEX($U$690:$AB$690,MATCH(Notes!$C$16,$U$3:$AB$3,0))-100%))*$L$690</f>
        <v>636.21359999999993</v>
      </c>
      <c r="M556" s="286"/>
      <c r="N556" s="286"/>
      <c r="O556" s="311">
        <f>O555*1.2</f>
        <v>539.99879999999996</v>
      </c>
      <c r="P556" s="311">
        <f t="shared" si="250"/>
        <v>96.214799999999983</v>
      </c>
      <c r="Q556" s="285"/>
      <c r="R556" s="278"/>
      <c r="S556" s="278"/>
      <c r="T556" s="278"/>
    </row>
    <row r="557" spans="1:20" s="305" customFormat="1" hidden="1" outlineLevel="1" x14ac:dyDescent="0.25">
      <c r="A557" s="278"/>
      <c r="B557" s="279" t="str">
        <f t="shared" si="254"/>
        <v>sliding vinyl2400mm1501mm to 1800mmaverage</v>
      </c>
      <c r="C557" s="278" t="s">
        <v>1022</v>
      </c>
      <c r="D557" s="278" t="s">
        <v>558</v>
      </c>
      <c r="E557" s="278" t="s">
        <v>550</v>
      </c>
      <c r="F557" s="278" t="s">
        <v>543</v>
      </c>
      <c r="G557" s="278" t="s">
        <v>5</v>
      </c>
      <c r="H557" s="290">
        <v>1.83</v>
      </c>
      <c r="I557" s="280">
        <f t="shared" si="255"/>
        <v>147.53460000000001</v>
      </c>
      <c r="J557" s="281">
        <f t="shared" si="256"/>
        <v>167.31690000000003</v>
      </c>
      <c r="K557" s="282">
        <f>IF(Notes!$B$9="Domestic",I557, IF(Notes!$B$9="Commercial",J557))*$K$690</f>
        <v>167.31690000000003</v>
      </c>
      <c r="L557" s="283">
        <f>(SUM(O557:Q557)+(K557+SUM(M557:Q557))*(INDEX($U$690:$AB$690,MATCH(Notes!$C$16,$U$3:$AB$3,0))-100%))*$L$690</f>
        <v>500.79</v>
      </c>
      <c r="M557" s="286"/>
      <c r="N557" s="286"/>
      <c r="O557" s="285">
        <v>418.18</v>
      </c>
      <c r="P557" s="311">
        <f t="shared" si="250"/>
        <v>82.610000000000014</v>
      </c>
      <c r="Q557" s="285"/>
      <c r="R557" s="278"/>
      <c r="S557" s="278"/>
      <c r="T557" s="278"/>
    </row>
    <row r="558" spans="1:20" s="305" customFormat="1" hidden="1" outlineLevel="1" x14ac:dyDescent="0.25">
      <c r="A558" s="278"/>
      <c r="B558" s="279" t="str">
        <f t="shared" si="254"/>
        <v>sliding vinyl2400mm1501mm to 1800mmquality</v>
      </c>
      <c r="C558" s="278" t="s">
        <v>1022</v>
      </c>
      <c r="D558" s="278" t="s">
        <v>558</v>
      </c>
      <c r="E558" s="278" t="s">
        <v>550</v>
      </c>
      <c r="F558" s="278" t="s">
        <v>544</v>
      </c>
      <c r="G558" s="278" t="s">
        <v>5</v>
      </c>
      <c r="H558" s="290">
        <v>1.83</v>
      </c>
      <c r="I558" s="280">
        <f t="shared" si="255"/>
        <v>147.53460000000001</v>
      </c>
      <c r="J558" s="281">
        <f t="shared" si="256"/>
        <v>167.31690000000003</v>
      </c>
      <c r="K558" s="282">
        <f>IF(Notes!$B$9="Domestic",I558, IF(Notes!$B$9="Commercial",J558))*$K$690</f>
        <v>167.31690000000003</v>
      </c>
      <c r="L558" s="283">
        <f>(SUM(O558:Q558)+(K558+SUM(M558:Q558))*(INDEX($U$690:$AB$690,MATCH(Notes!$C$16,$U$3:$AB$3,0))-100%))*$L$690</f>
        <v>550.86900000000003</v>
      </c>
      <c r="M558" s="286"/>
      <c r="N558" s="286"/>
      <c r="O558" s="311">
        <f>O557*1.1</f>
        <v>459.99800000000005</v>
      </c>
      <c r="P558" s="311">
        <f t="shared" si="250"/>
        <v>90.871000000000024</v>
      </c>
      <c r="Q558" s="285"/>
      <c r="R558" s="278"/>
      <c r="S558" s="278"/>
      <c r="T558" s="278"/>
    </row>
    <row r="559" spans="1:20" s="305" customFormat="1" hidden="1" outlineLevel="1" x14ac:dyDescent="0.25">
      <c r="A559" s="278"/>
      <c r="B559" s="279" t="str">
        <f t="shared" si="254"/>
        <v>sliding vinyl2400mm1501mm to 1800mmprestige</v>
      </c>
      <c r="C559" s="278" t="s">
        <v>1022</v>
      </c>
      <c r="D559" s="278" t="s">
        <v>558</v>
      </c>
      <c r="E559" s="278" t="s">
        <v>550</v>
      </c>
      <c r="F559" s="278" t="s">
        <v>545</v>
      </c>
      <c r="G559" s="278" t="s">
        <v>5</v>
      </c>
      <c r="H559" s="290">
        <v>1.83</v>
      </c>
      <c r="I559" s="280">
        <f t="shared" si="255"/>
        <v>147.53460000000001</v>
      </c>
      <c r="J559" s="281">
        <f t="shared" si="256"/>
        <v>167.31690000000003</v>
      </c>
      <c r="K559" s="282">
        <f>IF(Notes!$B$9="Domestic",I559, IF(Notes!$B$9="Commercial",J559))*$K$690</f>
        <v>167.31690000000003</v>
      </c>
      <c r="L559" s="283">
        <f>(SUM(O559:Q559)+(K559+SUM(M559:Q559))*(INDEX($U$690:$AB$690,MATCH(Notes!$C$16,$U$3:$AB$3,0))-100%))*$L$690</f>
        <v>661.04280000000006</v>
      </c>
      <c r="M559" s="286"/>
      <c r="N559" s="286"/>
      <c r="O559" s="311">
        <f>O558*1.2</f>
        <v>551.99760000000003</v>
      </c>
      <c r="P559" s="311">
        <f t="shared" si="250"/>
        <v>109.04520000000002</v>
      </c>
      <c r="Q559" s="285"/>
      <c r="R559" s="278"/>
      <c r="S559" s="278"/>
      <c r="T559" s="278"/>
    </row>
    <row r="560" spans="1:20" s="305" customFormat="1" hidden="1" outlineLevel="1" x14ac:dyDescent="0.25">
      <c r="A560" s="278"/>
      <c r="B560" s="279" t="str">
        <f t="shared" si="254"/>
        <v>sliding vinyl2400mm1801mm to 2100mmaverage</v>
      </c>
      <c r="C560" s="278" t="s">
        <v>1022</v>
      </c>
      <c r="D560" s="278" t="s">
        <v>558</v>
      </c>
      <c r="E560" s="278" t="s">
        <v>551</v>
      </c>
      <c r="F560" s="278" t="s">
        <v>543</v>
      </c>
      <c r="G560" s="278" t="s">
        <v>5</v>
      </c>
      <c r="H560" s="290">
        <v>1.93</v>
      </c>
      <c r="I560" s="280">
        <f t="shared" si="255"/>
        <v>155.5966</v>
      </c>
      <c r="J560" s="281">
        <f t="shared" si="256"/>
        <v>176.4599</v>
      </c>
      <c r="K560" s="282">
        <f>IF(Notes!$B$9="Domestic",I560, IF(Notes!$B$9="Commercial",J560))*$K$690</f>
        <v>176.4599</v>
      </c>
      <c r="L560" s="283">
        <f>(SUM(O560:Q560)+(K560+SUM(M560:Q560))*(INDEX($U$690:$AB$690,MATCH(Notes!$C$16,$U$3:$AB$3,0))-100%))*$L$690</f>
        <v>523.83000000000004</v>
      </c>
      <c r="M560" s="286"/>
      <c r="N560" s="286"/>
      <c r="O560" s="285">
        <v>436.36</v>
      </c>
      <c r="P560" s="311">
        <f t="shared" si="250"/>
        <v>87.470000000000027</v>
      </c>
      <c r="Q560" s="285"/>
      <c r="R560" s="278"/>
      <c r="S560" s="278"/>
      <c r="T560" s="278"/>
    </row>
    <row r="561" spans="1:20" s="305" customFormat="1" hidden="1" outlineLevel="1" x14ac:dyDescent="0.25">
      <c r="A561" s="278"/>
      <c r="B561" s="279" t="str">
        <f t="shared" si="254"/>
        <v>sliding vinyl2400mm1801mm to 2100mmquality</v>
      </c>
      <c r="C561" s="278" t="s">
        <v>1022</v>
      </c>
      <c r="D561" s="278" t="s">
        <v>558</v>
      </c>
      <c r="E561" s="278" t="s">
        <v>551</v>
      </c>
      <c r="F561" s="278" t="s">
        <v>544</v>
      </c>
      <c r="G561" s="278" t="s">
        <v>5</v>
      </c>
      <c r="H561" s="290">
        <v>1.93</v>
      </c>
      <c r="I561" s="280">
        <f t="shared" si="255"/>
        <v>155.5966</v>
      </c>
      <c r="J561" s="281">
        <f t="shared" si="256"/>
        <v>176.4599</v>
      </c>
      <c r="K561" s="282">
        <f>IF(Notes!$B$9="Domestic",I561, IF(Notes!$B$9="Commercial",J561))*$K$690</f>
        <v>176.4599</v>
      </c>
      <c r="L561" s="283">
        <f>(SUM(O561:Q561)+(K561+SUM(M561:Q561))*(INDEX($U$690:$AB$690,MATCH(Notes!$C$16,$U$3:$AB$3,0))-100%))*$L$690</f>
        <v>576.21300000000008</v>
      </c>
      <c r="M561" s="286"/>
      <c r="N561" s="286"/>
      <c r="O561" s="311">
        <f>O560*1.1</f>
        <v>479.99600000000004</v>
      </c>
      <c r="P561" s="311">
        <f t="shared" si="250"/>
        <v>96.217000000000041</v>
      </c>
      <c r="Q561" s="285"/>
      <c r="R561" s="278"/>
      <c r="S561" s="278"/>
      <c r="T561" s="278"/>
    </row>
    <row r="562" spans="1:20" s="305" customFormat="1" hidden="1" outlineLevel="1" x14ac:dyDescent="0.25">
      <c r="A562" s="278"/>
      <c r="B562" s="279" t="str">
        <f t="shared" si="254"/>
        <v>sliding vinyl2400mm1801mm to 2100mmprestige</v>
      </c>
      <c r="C562" s="278" t="s">
        <v>1022</v>
      </c>
      <c r="D562" s="278" t="s">
        <v>558</v>
      </c>
      <c r="E562" s="278" t="s">
        <v>551</v>
      </c>
      <c r="F562" s="278" t="s">
        <v>545</v>
      </c>
      <c r="G562" s="278" t="s">
        <v>5</v>
      </c>
      <c r="H562" s="290">
        <v>1.93</v>
      </c>
      <c r="I562" s="280">
        <f t="shared" si="255"/>
        <v>155.5966</v>
      </c>
      <c r="J562" s="281">
        <f t="shared" si="256"/>
        <v>176.4599</v>
      </c>
      <c r="K562" s="282">
        <f>IF(Notes!$B$9="Domestic",I562, IF(Notes!$B$9="Commercial",J562))*$K$690</f>
        <v>176.4599</v>
      </c>
      <c r="L562" s="283">
        <f>(SUM(O562:Q562)+(K562+SUM(M562:Q562))*(INDEX($U$690:$AB$690,MATCH(Notes!$C$16,$U$3:$AB$3,0))-100%))*$L$690</f>
        <v>691.45560000000012</v>
      </c>
      <c r="M562" s="286"/>
      <c r="N562" s="286"/>
      <c r="O562" s="311">
        <f>O561*1.2</f>
        <v>575.99520000000007</v>
      </c>
      <c r="P562" s="311">
        <f t="shared" si="250"/>
        <v>115.46040000000005</v>
      </c>
      <c r="Q562" s="285"/>
      <c r="R562" s="278"/>
      <c r="S562" s="278"/>
      <c r="T562" s="278"/>
    </row>
    <row r="563" spans="1:20" s="305" customFormat="1" hidden="1" outlineLevel="1" x14ac:dyDescent="0.25">
      <c r="A563" s="278"/>
      <c r="B563" s="279" t="str">
        <f t="shared" si="254"/>
        <v>sliding vinyl2400mm2101mm to 2400mmaverage</v>
      </c>
      <c r="C563" s="278" t="s">
        <v>1022</v>
      </c>
      <c r="D563" s="278" t="s">
        <v>558</v>
      </c>
      <c r="E563" s="278" t="s">
        <v>552</v>
      </c>
      <c r="F563" s="278" t="s">
        <v>543</v>
      </c>
      <c r="G563" s="278" t="s">
        <v>5</v>
      </c>
      <c r="H563" s="290">
        <v>2.0299999999999998</v>
      </c>
      <c r="I563" s="280">
        <f t="shared" si="255"/>
        <v>163.65860000000001</v>
      </c>
      <c r="J563" s="281">
        <f t="shared" si="256"/>
        <v>185.60290000000001</v>
      </c>
      <c r="K563" s="282">
        <f>IF(Notes!$B$9="Domestic",I563, IF(Notes!$B$9="Commercial",J563))*$K$690</f>
        <v>185.60290000000001</v>
      </c>
      <c r="L563" s="283">
        <f>(SUM(O563:Q563)+(K563+SUM(M563:Q563))*(INDEX($U$690:$AB$690,MATCH(Notes!$C$16,$U$3:$AB$3,0))-100%))*$L$690</f>
        <v>537.78</v>
      </c>
      <c r="M563" s="286"/>
      <c r="N563" s="286"/>
      <c r="O563" s="285">
        <v>445.45</v>
      </c>
      <c r="P563" s="311">
        <f t="shared" si="250"/>
        <v>92.330000000000041</v>
      </c>
      <c r="Q563" s="285"/>
      <c r="R563" s="278"/>
      <c r="S563" s="278"/>
      <c r="T563" s="278"/>
    </row>
    <row r="564" spans="1:20" s="305" customFormat="1" hidden="1" outlineLevel="1" x14ac:dyDescent="0.25">
      <c r="A564" s="278"/>
      <c r="B564" s="279" t="str">
        <f t="shared" si="254"/>
        <v>sliding vinyl2400mm2101mm to 2400mmquality</v>
      </c>
      <c r="C564" s="278" t="s">
        <v>1022</v>
      </c>
      <c r="D564" s="278" t="s">
        <v>558</v>
      </c>
      <c r="E564" s="278" t="s">
        <v>552</v>
      </c>
      <c r="F564" s="278" t="s">
        <v>544</v>
      </c>
      <c r="G564" s="278" t="s">
        <v>5</v>
      </c>
      <c r="H564" s="290">
        <v>2.0299999999999998</v>
      </c>
      <c r="I564" s="280">
        <f t="shared" si="255"/>
        <v>163.65860000000001</v>
      </c>
      <c r="J564" s="281">
        <f t="shared" si="256"/>
        <v>185.60290000000001</v>
      </c>
      <c r="K564" s="282">
        <f>IF(Notes!$B$9="Domestic",I564, IF(Notes!$B$9="Commercial",J564))*$K$690</f>
        <v>185.60290000000001</v>
      </c>
      <c r="L564" s="283">
        <f>(SUM(O564:Q564)+(K564+SUM(M564:Q564))*(INDEX($U$690:$AB$690,MATCH(Notes!$C$16,$U$3:$AB$3,0))-100%))*$L$690</f>
        <v>591.55800000000011</v>
      </c>
      <c r="M564" s="286"/>
      <c r="N564" s="286"/>
      <c r="O564" s="311">
        <f>O563*1.1</f>
        <v>489.995</v>
      </c>
      <c r="P564" s="311">
        <f t="shared" si="250"/>
        <v>101.56300000000006</v>
      </c>
      <c r="Q564" s="285"/>
      <c r="R564" s="278"/>
      <c r="S564" s="278"/>
      <c r="T564" s="278"/>
    </row>
    <row r="565" spans="1:20" s="305" customFormat="1" hidden="1" outlineLevel="1" x14ac:dyDescent="0.25">
      <c r="A565" s="278"/>
      <c r="B565" s="279" t="str">
        <f t="shared" si="254"/>
        <v>sliding vinyl2400mm2101mm to 2400mmprestige</v>
      </c>
      <c r="C565" s="278" t="s">
        <v>1022</v>
      </c>
      <c r="D565" s="278" t="s">
        <v>558</v>
      </c>
      <c r="E565" s="278" t="s">
        <v>552</v>
      </c>
      <c r="F565" s="278" t="s">
        <v>545</v>
      </c>
      <c r="G565" s="278" t="s">
        <v>5</v>
      </c>
      <c r="H565" s="290">
        <v>2.0299999999999998</v>
      </c>
      <c r="I565" s="280">
        <f t="shared" si="255"/>
        <v>163.65860000000001</v>
      </c>
      <c r="J565" s="281">
        <f t="shared" si="256"/>
        <v>185.60290000000001</v>
      </c>
      <c r="K565" s="282">
        <f>IF(Notes!$B$9="Domestic",I565, IF(Notes!$B$9="Commercial",J565))*$K$690</f>
        <v>185.60290000000001</v>
      </c>
      <c r="L565" s="283">
        <f>(SUM(O565:Q565)+(K565+SUM(M565:Q565))*(INDEX($U$690:$AB$690,MATCH(Notes!$C$16,$U$3:$AB$3,0))-100%))*$L$690</f>
        <v>709.8696000000001</v>
      </c>
      <c r="M565" s="286"/>
      <c r="N565" s="286"/>
      <c r="O565" s="311">
        <f>O564*1.2</f>
        <v>587.99400000000003</v>
      </c>
      <c r="P565" s="311">
        <f t="shared" si="250"/>
        <v>121.87560000000006</v>
      </c>
      <c r="Q565" s="285"/>
      <c r="R565" s="278"/>
      <c r="S565" s="278"/>
      <c r="T565" s="278"/>
    </row>
    <row r="566" spans="1:20" s="305" customFormat="1" hidden="1" outlineLevel="1" x14ac:dyDescent="0.25">
      <c r="A566" s="278"/>
      <c r="B566" s="279" t="str">
        <f t="shared" si="254"/>
        <v>sliding vinyl2400mm2401mm to 2700mmaverage</v>
      </c>
      <c r="C566" s="278" t="s">
        <v>1022</v>
      </c>
      <c r="D566" s="278" t="s">
        <v>558</v>
      </c>
      <c r="E566" s="278" t="s">
        <v>553</v>
      </c>
      <c r="F566" s="278" t="s">
        <v>543</v>
      </c>
      <c r="G566" s="278" t="s">
        <v>5</v>
      </c>
      <c r="H566" s="290">
        <v>2.13</v>
      </c>
      <c r="I566" s="280">
        <f t="shared" si="255"/>
        <v>171.72059999999999</v>
      </c>
      <c r="J566" s="281">
        <f t="shared" si="256"/>
        <v>194.74590000000001</v>
      </c>
      <c r="K566" s="282">
        <f>IF(Notes!$B$9="Domestic",I566, IF(Notes!$B$9="Commercial",J566))*$K$690</f>
        <v>194.74590000000001</v>
      </c>
      <c r="L566" s="283">
        <f>(SUM(O566:Q566)+(K566+SUM(M566:Q566))*(INDEX($U$690:$AB$690,MATCH(Notes!$C$16,$U$3:$AB$3,0))-100%))*$L$690</f>
        <v>733.55000000000007</v>
      </c>
      <c r="M566" s="286"/>
      <c r="N566" s="286"/>
      <c r="O566" s="285">
        <v>636.36</v>
      </c>
      <c r="P566" s="311">
        <f t="shared" si="250"/>
        <v>97.190000000000055</v>
      </c>
      <c r="Q566" s="285"/>
      <c r="R566" s="278"/>
      <c r="S566" s="278"/>
      <c r="T566" s="278"/>
    </row>
    <row r="567" spans="1:20" s="305" customFormat="1" hidden="1" outlineLevel="1" x14ac:dyDescent="0.25">
      <c r="A567" s="278"/>
      <c r="B567" s="279" t="str">
        <f t="shared" si="254"/>
        <v>sliding vinyl2400mm2401mm to 2700mmquality</v>
      </c>
      <c r="C567" s="278" t="s">
        <v>1022</v>
      </c>
      <c r="D567" s="278" t="s">
        <v>558</v>
      </c>
      <c r="E567" s="278" t="s">
        <v>553</v>
      </c>
      <c r="F567" s="278" t="s">
        <v>544</v>
      </c>
      <c r="G567" s="278" t="s">
        <v>5</v>
      </c>
      <c r="H567" s="290">
        <v>2.13</v>
      </c>
      <c r="I567" s="280">
        <f t="shared" si="255"/>
        <v>171.72059999999999</v>
      </c>
      <c r="J567" s="281">
        <f t="shared" si="256"/>
        <v>194.74590000000001</v>
      </c>
      <c r="K567" s="282">
        <f>IF(Notes!$B$9="Domestic",I567, IF(Notes!$B$9="Commercial",J567))*$K$690</f>
        <v>194.74590000000001</v>
      </c>
      <c r="L567" s="283">
        <f>(SUM(O567:Q567)+(K567+SUM(M567:Q567))*(INDEX($U$690:$AB$690,MATCH(Notes!$C$16,$U$3:$AB$3,0))-100%))*$L$690</f>
        <v>806.9050000000002</v>
      </c>
      <c r="M567" s="286"/>
      <c r="N567" s="286"/>
      <c r="O567" s="311">
        <f>O566*1.1</f>
        <v>699.99600000000009</v>
      </c>
      <c r="P567" s="311">
        <f t="shared" si="250"/>
        <v>106.90900000000006</v>
      </c>
      <c r="Q567" s="285"/>
      <c r="R567" s="278"/>
      <c r="S567" s="278"/>
      <c r="T567" s="278"/>
    </row>
    <row r="568" spans="1:20" s="305" customFormat="1" hidden="1" outlineLevel="1" x14ac:dyDescent="0.25">
      <c r="A568" s="278"/>
      <c r="B568" s="279" t="str">
        <f t="shared" si="254"/>
        <v>sliding vinyl2400mm2401mm to 2700mmprestige</v>
      </c>
      <c r="C568" s="278" t="s">
        <v>1022</v>
      </c>
      <c r="D568" s="278" t="s">
        <v>558</v>
      </c>
      <c r="E568" s="278" t="s">
        <v>553</v>
      </c>
      <c r="F568" s="278" t="s">
        <v>545</v>
      </c>
      <c r="G568" s="278" t="s">
        <v>5</v>
      </c>
      <c r="H568" s="290">
        <v>2.13</v>
      </c>
      <c r="I568" s="280">
        <f t="shared" si="255"/>
        <v>171.72059999999999</v>
      </c>
      <c r="J568" s="281">
        <f t="shared" si="256"/>
        <v>194.74590000000001</v>
      </c>
      <c r="K568" s="282">
        <f>IF(Notes!$B$9="Domestic",I568, IF(Notes!$B$9="Commercial",J568))*$K$690</f>
        <v>194.74590000000001</v>
      </c>
      <c r="L568" s="283">
        <f>(SUM(O568:Q568)+(K568+SUM(M568:Q568))*(INDEX($U$690:$AB$690,MATCH(Notes!$C$16,$U$3:$AB$3,0))-100%))*$L$690</f>
        <v>968.28600000000017</v>
      </c>
      <c r="M568" s="286"/>
      <c r="N568" s="286"/>
      <c r="O568" s="311">
        <f>O567*1.2</f>
        <v>839.99520000000007</v>
      </c>
      <c r="P568" s="311">
        <f t="shared" si="250"/>
        <v>128.29080000000008</v>
      </c>
      <c r="Q568" s="285"/>
      <c r="R568" s="278"/>
      <c r="S568" s="278"/>
      <c r="T568" s="278"/>
    </row>
    <row r="569" spans="1:20" s="305" customFormat="1" hidden="1" outlineLevel="1" x14ac:dyDescent="0.25">
      <c r="A569" s="278"/>
      <c r="B569" s="279" t="str">
        <f t="shared" si="254"/>
        <v>sliding vinyl2400mm2701mm to 3000mmaverage</v>
      </c>
      <c r="C569" s="278" t="s">
        <v>1022</v>
      </c>
      <c r="D569" s="278" t="s">
        <v>558</v>
      </c>
      <c r="E569" s="278" t="s">
        <v>554</v>
      </c>
      <c r="F569" s="278" t="s">
        <v>543</v>
      </c>
      <c r="G569" s="278" t="s">
        <v>5</v>
      </c>
      <c r="H569" s="290">
        <v>2.23</v>
      </c>
      <c r="I569" s="280">
        <f t="shared" si="255"/>
        <v>179.7826</v>
      </c>
      <c r="J569" s="281">
        <f t="shared" si="256"/>
        <v>203.88890000000001</v>
      </c>
      <c r="K569" s="282">
        <f>IF(Notes!$B$9="Domestic",I569, IF(Notes!$B$9="Commercial",J569))*$K$690</f>
        <v>203.88890000000001</v>
      </c>
      <c r="L569" s="283">
        <f>(SUM(O569:Q569)+(K569+SUM(M569:Q569))*(INDEX($U$690:$AB$690,MATCH(Notes!$C$16,$U$3:$AB$3,0))-100%))*$L$690</f>
        <v>747.50000000000011</v>
      </c>
      <c r="M569" s="286"/>
      <c r="N569" s="286"/>
      <c r="O569" s="285">
        <v>645.45000000000005</v>
      </c>
      <c r="P569" s="311">
        <f t="shared" si="250"/>
        <v>102.05000000000007</v>
      </c>
      <c r="Q569" s="285"/>
      <c r="R569" s="278"/>
      <c r="S569" s="278"/>
      <c r="T569" s="278"/>
    </row>
    <row r="570" spans="1:20" s="305" customFormat="1" hidden="1" outlineLevel="1" x14ac:dyDescent="0.25">
      <c r="A570" s="278"/>
      <c r="B570" s="279" t="str">
        <f t="shared" si="254"/>
        <v>sliding vinyl2400mm2701mm to 3000mmquality</v>
      </c>
      <c r="C570" s="278" t="s">
        <v>1022</v>
      </c>
      <c r="D570" s="278" t="s">
        <v>558</v>
      </c>
      <c r="E570" s="278" t="s">
        <v>554</v>
      </c>
      <c r="F570" s="278" t="s">
        <v>544</v>
      </c>
      <c r="G570" s="278" t="s">
        <v>5</v>
      </c>
      <c r="H570" s="290">
        <v>2.23</v>
      </c>
      <c r="I570" s="280">
        <f t="shared" si="255"/>
        <v>179.7826</v>
      </c>
      <c r="J570" s="281">
        <f t="shared" si="256"/>
        <v>203.88890000000001</v>
      </c>
      <c r="K570" s="282">
        <f>IF(Notes!$B$9="Domestic",I570, IF(Notes!$B$9="Commercial",J570))*$K$690</f>
        <v>203.88890000000001</v>
      </c>
      <c r="L570" s="283">
        <f>(SUM(O570:Q570)+(K570+SUM(M570:Q570))*(INDEX($U$690:$AB$690,MATCH(Notes!$C$16,$U$3:$AB$3,0))-100%))*$L$690</f>
        <v>822.25000000000023</v>
      </c>
      <c r="M570" s="286"/>
      <c r="N570" s="286"/>
      <c r="O570" s="311">
        <f>O569*1.1</f>
        <v>709.99500000000012</v>
      </c>
      <c r="P570" s="311">
        <f t="shared" si="250"/>
        <v>112.25500000000008</v>
      </c>
      <c r="Q570" s="285"/>
      <c r="R570" s="278"/>
      <c r="S570" s="278"/>
      <c r="T570" s="278"/>
    </row>
    <row r="571" spans="1:20" s="305" customFormat="1" hidden="1" outlineLevel="1" x14ac:dyDescent="0.25">
      <c r="A571" s="278"/>
      <c r="B571" s="279" t="str">
        <f t="shared" si="254"/>
        <v>sliding vinyl2400mm2701mm to 3000mmprestige</v>
      </c>
      <c r="C571" s="278" t="s">
        <v>1022</v>
      </c>
      <c r="D571" s="278" t="s">
        <v>558</v>
      </c>
      <c r="E571" s="278" t="s">
        <v>554</v>
      </c>
      <c r="F571" s="278" t="s">
        <v>545</v>
      </c>
      <c r="G571" s="278" t="s">
        <v>5</v>
      </c>
      <c r="H571" s="290">
        <v>2.23</v>
      </c>
      <c r="I571" s="280">
        <f t="shared" si="255"/>
        <v>179.7826</v>
      </c>
      <c r="J571" s="281">
        <f t="shared" si="256"/>
        <v>203.88890000000001</v>
      </c>
      <c r="K571" s="282">
        <f>IF(Notes!$B$9="Domestic",I571, IF(Notes!$B$9="Commercial",J571))*$K$690</f>
        <v>203.88890000000001</v>
      </c>
      <c r="L571" s="283">
        <f>(SUM(O571:Q571)+(K571+SUM(M571:Q571))*(INDEX($U$690:$AB$690,MATCH(Notes!$C$16,$U$3:$AB$3,0))-100%))*$L$690</f>
        <v>986.70000000000027</v>
      </c>
      <c r="M571" s="286"/>
      <c r="N571" s="286"/>
      <c r="O571" s="311">
        <f>O570*1.2</f>
        <v>851.99400000000014</v>
      </c>
      <c r="P571" s="311">
        <f t="shared" si="250"/>
        <v>134.7060000000001</v>
      </c>
      <c r="Q571" s="285"/>
      <c r="R571" s="278"/>
      <c r="S571" s="278"/>
      <c r="T571" s="278"/>
    </row>
    <row r="572" spans="1:20" s="305" customFormat="1" hidden="1" outlineLevel="1" x14ac:dyDescent="0.25">
      <c r="A572" s="278"/>
      <c r="B572" s="279" t="str">
        <f t="shared" si="254"/>
        <v>sliding vinyl2400mm3001mm to 3300mmaverage</v>
      </c>
      <c r="C572" s="278" t="s">
        <v>1022</v>
      </c>
      <c r="D572" s="278" t="s">
        <v>558</v>
      </c>
      <c r="E572" s="278" t="s">
        <v>1019</v>
      </c>
      <c r="F572" s="278" t="s">
        <v>543</v>
      </c>
      <c r="G572" s="278" t="s">
        <v>5</v>
      </c>
      <c r="H572" s="290">
        <v>2.33</v>
      </c>
      <c r="I572" s="280">
        <f t="shared" si="255"/>
        <v>187.84460000000001</v>
      </c>
      <c r="J572" s="281">
        <f t="shared" si="256"/>
        <v>213.03190000000004</v>
      </c>
      <c r="K572" s="282">
        <f>IF(Notes!$B$9="Domestic",I572, IF(Notes!$B$9="Commercial",J572))*$K$690</f>
        <v>213.03190000000004</v>
      </c>
      <c r="L572" s="283">
        <f>(SUM(O572:Q572)+(K572+SUM(M572:Q572))*(INDEX($U$690:$AB$690,MATCH(Notes!$C$16,$U$3:$AB$3,0))-100%))*$L$690</f>
        <v>770.55</v>
      </c>
      <c r="M572" s="286"/>
      <c r="N572" s="286"/>
      <c r="O572" s="285">
        <v>663.64</v>
      </c>
      <c r="P572" s="311">
        <f t="shared" si="250"/>
        <v>106.91000000000003</v>
      </c>
      <c r="Q572" s="285"/>
      <c r="R572" s="278"/>
      <c r="S572" s="278"/>
      <c r="T572" s="278"/>
    </row>
    <row r="573" spans="1:20" s="305" customFormat="1" hidden="1" outlineLevel="1" x14ac:dyDescent="0.25">
      <c r="A573" s="278"/>
      <c r="B573" s="279" t="str">
        <f t="shared" si="254"/>
        <v>sliding vinyl2400mm3001mm to 3300mmquality</v>
      </c>
      <c r="C573" s="278" t="s">
        <v>1022</v>
      </c>
      <c r="D573" s="278" t="s">
        <v>558</v>
      </c>
      <c r="E573" s="278" t="s">
        <v>1019</v>
      </c>
      <c r="F573" s="278" t="s">
        <v>544</v>
      </c>
      <c r="G573" s="278" t="s">
        <v>5</v>
      </c>
      <c r="H573" s="290">
        <v>2.33</v>
      </c>
      <c r="I573" s="280">
        <f t="shared" si="255"/>
        <v>187.84460000000001</v>
      </c>
      <c r="J573" s="281">
        <f t="shared" si="256"/>
        <v>213.03190000000004</v>
      </c>
      <c r="K573" s="282">
        <f>IF(Notes!$B$9="Domestic",I573, IF(Notes!$B$9="Commercial",J573))*$K$690</f>
        <v>213.03190000000004</v>
      </c>
      <c r="L573" s="283">
        <f>(SUM(O573:Q573)+(K573+SUM(M573:Q573))*(INDEX($U$690:$AB$690,MATCH(Notes!$C$16,$U$3:$AB$3,0))-100%))*$L$690</f>
        <v>847.60500000000002</v>
      </c>
      <c r="M573" s="286"/>
      <c r="N573" s="286"/>
      <c r="O573" s="311">
        <f>O572*1.1</f>
        <v>730.00400000000002</v>
      </c>
      <c r="P573" s="311">
        <f t="shared" si="250"/>
        <v>117.60100000000004</v>
      </c>
      <c r="Q573" s="285"/>
      <c r="R573" s="278"/>
      <c r="S573" s="278"/>
      <c r="T573" s="278"/>
    </row>
    <row r="574" spans="1:20" s="305" customFormat="1" hidden="1" outlineLevel="1" x14ac:dyDescent="0.25">
      <c r="A574" s="278"/>
      <c r="B574" s="279" t="str">
        <f t="shared" si="251"/>
        <v>sliding vinyl2400mm3001mm to 3300mmprestige</v>
      </c>
      <c r="C574" s="278" t="s">
        <v>1022</v>
      </c>
      <c r="D574" s="278" t="s">
        <v>558</v>
      </c>
      <c r="E574" s="278" t="s">
        <v>1019</v>
      </c>
      <c r="F574" s="278" t="s">
        <v>545</v>
      </c>
      <c r="G574" s="278" t="s">
        <v>5</v>
      </c>
      <c r="H574" s="290">
        <v>2.33</v>
      </c>
      <c r="I574" s="280">
        <f t="shared" si="252"/>
        <v>187.84460000000001</v>
      </c>
      <c r="J574" s="281">
        <f t="shared" si="253"/>
        <v>213.03190000000004</v>
      </c>
      <c r="K574" s="282">
        <f>IF(Notes!$B$9="Domestic",I574, IF(Notes!$B$9="Commercial",J574))*$K$690</f>
        <v>213.03190000000004</v>
      </c>
      <c r="L574" s="283">
        <f>(SUM(O574:Q574)+(K574+SUM(M574:Q574))*(INDEX($U$690:$AB$690,MATCH(Notes!$C$16,$U$3:$AB$3,0))-100%))*$L$690</f>
        <v>1017.1260000000001</v>
      </c>
      <c r="M574" s="286"/>
      <c r="N574" s="286"/>
      <c r="O574" s="311">
        <f>O573*1.2</f>
        <v>876.00480000000005</v>
      </c>
      <c r="P574" s="311">
        <f t="shared" si="250"/>
        <v>141.12120000000004</v>
      </c>
      <c r="Q574" s="285"/>
      <c r="R574" s="278"/>
      <c r="S574" s="278"/>
      <c r="T574" s="278"/>
    </row>
    <row r="575" spans="1:20" s="305" customFormat="1" hidden="1" outlineLevel="1" x14ac:dyDescent="0.25">
      <c r="A575" s="278"/>
      <c r="B575" s="279" t="str">
        <f t="shared" si="251"/>
        <v>sliding vinyl2400mm3301mm to 3600mmaverage</v>
      </c>
      <c r="C575" s="278" t="s">
        <v>1022</v>
      </c>
      <c r="D575" s="278" t="s">
        <v>558</v>
      </c>
      <c r="E575" s="278" t="s">
        <v>1020</v>
      </c>
      <c r="F575" s="278" t="s">
        <v>543</v>
      </c>
      <c r="G575" s="278" t="s">
        <v>5</v>
      </c>
      <c r="H575" s="290">
        <v>2.44</v>
      </c>
      <c r="I575" s="280">
        <f t="shared" si="252"/>
        <v>196.71280000000002</v>
      </c>
      <c r="J575" s="281">
        <f t="shared" si="253"/>
        <v>223.08920000000001</v>
      </c>
      <c r="K575" s="282">
        <f>IF(Notes!$B$9="Domestic",I575, IF(Notes!$B$9="Commercial",J575))*$K$690</f>
        <v>223.08920000000001</v>
      </c>
      <c r="L575" s="283">
        <f>(SUM(O575:Q575)+(K575+SUM(M575:Q575))*(INDEX($U$690:$AB$690,MATCH(Notes!$C$16,$U$3:$AB$3,0))-100%))*$L$690</f>
        <v>793.59</v>
      </c>
      <c r="M575" s="286"/>
      <c r="N575" s="286"/>
      <c r="O575" s="285">
        <v>681.82</v>
      </c>
      <c r="P575" s="311">
        <f t="shared" si="250"/>
        <v>111.76999999999998</v>
      </c>
      <c r="Q575" s="285"/>
      <c r="R575" s="278"/>
      <c r="S575" s="278"/>
      <c r="T575" s="278"/>
    </row>
    <row r="576" spans="1:20" s="305" customFormat="1" hidden="1" outlineLevel="1" x14ac:dyDescent="0.25">
      <c r="A576" s="278"/>
      <c r="B576" s="279" t="str">
        <f t="shared" si="251"/>
        <v>sliding vinyl2400mm3301mm to 3600mmquality</v>
      </c>
      <c r="C576" s="278" t="s">
        <v>1022</v>
      </c>
      <c r="D576" s="278" t="s">
        <v>558</v>
      </c>
      <c r="E576" s="278" t="s">
        <v>1020</v>
      </c>
      <c r="F576" s="278" t="s">
        <v>544</v>
      </c>
      <c r="G576" s="278" t="s">
        <v>5</v>
      </c>
      <c r="H576" s="290">
        <v>2.44</v>
      </c>
      <c r="I576" s="280">
        <f t="shared" si="252"/>
        <v>196.71280000000002</v>
      </c>
      <c r="J576" s="281">
        <f t="shared" si="253"/>
        <v>223.08920000000001</v>
      </c>
      <c r="K576" s="282">
        <f>IF(Notes!$B$9="Domestic",I576, IF(Notes!$B$9="Commercial",J576))*$K$690</f>
        <v>223.08920000000001</v>
      </c>
      <c r="L576" s="283">
        <f>(SUM(O576:Q576)+(K576+SUM(M576:Q576))*(INDEX($U$690:$AB$690,MATCH(Notes!$C$16,$U$3:$AB$3,0))-100%))*$L$690</f>
        <v>872.94900000000007</v>
      </c>
      <c r="M576" s="286"/>
      <c r="N576" s="286"/>
      <c r="O576" s="311">
        <f>O575*1.1</f>
        <v>750.00200000000007</v>
      </c>
      <c r="P576" s="311">
        <f t="shared" si="250"/>
        <v>122.94699999999999</v>
      </c>
      <c r="Q576" s="285"/>
      <c r="R576" s="278"/>
      <c r="S576" s="278"/>
      <c r="T576" s="278"/>
    </row>
    <row r="577" spans="1:20" s="305" customFormat="1" hidden="1" outlineLevel="1" x14ac:dyDescent="0.25">
      <c r="A577" s="278"/>
      <c r="B577" s="279" t="str">
        <f t="shared" si="251"/>
        <v>sliding vinyl2400mm3301mm to 3600mmprestige</v>
      </c>
      <c r="C577" s="278" t="s">
        <v>1022</v>
      </c>
      <c r="D577" s="278" t="s">
        <v>558</v>
      </c>
      <c r="E577" s="278" t="s">
        <v>1020</v>
      </c>
      <c r="F577" s="278" t="s">
        <v>545</v>
      </c>
      <c r="G577" s="278" t="s">
        <v>5</v>
      </c>
      <c r="H577" s="290">
        <v>2.44</v>
      </c>
      <c r="I577" s="280">
        <f t="shared" si="252"/>
        <v>196.71280000000002</v>
      </c>
      <c r="J577" s="281">
        <f t="shared" si="253"/>
        <v>223.08920000000001</v>
      </c>
      <c r="K577" s="282">
        <f>IF(Notes!$B$9="Domestic",I577, IF(Notes!$B$9="Commercial",J577))*$K$690</f>
        <v>223.08920000000001</v>
      </c>
      <c r="L577" s="283">
        <f>(SUM(O577:Q577)+(K577+SUM(M577:Q577))*(INDEX($U$690:$AB$690,MATCH(Notes!$C$16,$U$3:$AB$3,0))-100%))*$L$690</f>
        <v>1047.5388</v>
      </c>
      <c r="M577" s="286"/>
      <c r="N577" s="286"/>
      <c r="O577" s="311">
        <f>O576*1.2</f>
        <v>900.00240000000008</v>
      </c>
      <c r="P577" s="311">
        <f t="shared" si="250"/>
        <v>147.53639999999999</v>
      </c>
      <c r="Q577" s="285"/>
      <c r="R577" s="278"/>
      <c r="S577" s="278"/>
      <c r="T577" s="278"/>
    </row>
    <row r="578" spans="1:20" s="305" customFormat="1" hidden="1" outlineLevel="1" x14ac:dyDescent="0.25">
      <c r="A578" s="278"/>
      <c r="B578" s="279" t="str">
        <f t="shared" si="251"/>
        <v>sliding vinyl2700mmup to 1500mmaverage</v>
      </c>
      <c r="C578" s="278" t="s">
        <v>1022</v>
      </c>
      <c r="D578" s="278" t="s">
        <v>779</v>
      </c>
      <c r="E578" s="278" t="s">
        <v>1018</v>
      </c>
      <c r="F578" s="278" t="s">
        <v>543</v>
      </c>
      <c r="G578" s="278" t="s">
        <v>5</v>
      </c>
      <c r="H578" s="308">
        <f t="shared" ref="H578:H601" si="257">H554+H554-H530</f>
        <v>1.7700000000000002</v>
      </c>
      <c r="I578" s="280">
        <f t="shared" si="252"/>
        <v>142.69740000000002</v>
      </c>
      <c r="J578" s="281">
        <f t="shared" si="253"/>
        <v>161.83110000000002</v>
      </c>
      <c r="K578" s="282">
        <f>IF(Notes!$B$9="Domestic",I578, IF(Notes!$B$9="Commercial",J578))*$K$690</f>
        <v>161.83110000000002</v>
      </c>
      <c r="L578" s="283">
        <f>(SUM(O578:Q578)+(K578+SUM(M578:Q578))*(INDEX($U$690:$AB$690,MATCH(Notes!$C$16,$U$3:$AB$3,0))-100%))*$L$690</f>
        <v>529.31367259386354</v>
      </c>
      <c r="M578" s="286"/>
      <c r="N578" s="286"/>
      <c r="O578" s="311">
        <f>O554*O554/O530</f>
        <v>448.99693638827023</v>
      </c>
      <c r="P578" s="311">
        <f t="shared" si="250"/>
        <v>80.316736205593273</v>
      </c>
      <c r="Q578" s="285"/>
      <c r="R578" s="278"/>
      <c r="S578" s="278"/>
      <c r="T578" s="278"/>
    </row>
    <row r="579" spans="1:20" s="305" customFormat="1" hidden="1" outlineLevel="1" x14ac:dyDescent="0.25">
      <c r="A579" s="278"/>
      <c r="B579" s="279" t="str">
        <f t="shared" si="251"/>
        <v>sliding vinyl2700mmup to 1500mmquality</v>
      </c>
      <c r="C579" s="278" t="s">
        <v>1022</v>
      </c>
      <c r="D579" s="278" t="s">
        <v>779</v>
      </c>
      <c r="E579" s="278" t="s">
        <v>1018</v>
      </c>
      <c r="F579" s="278" t="s">
        <v>544</v>
      </c>
      <c r="G579" s="278" t="s">
        <v>5</v>
      </c>
      <c r="H579" s="308">
        <f t="shared" si="257"/>
        <v>1.7700000000000002</v>
      </c>
      <c r="I579" s="280">
        <f t="shared" si="252"/>
        <v>142.69740000000002</v>
      </c>
      <c r="J579" s="281">
        <f t="shared" si="253"/>
        <v>161.83110000000002</v>
      </c>
      <c r="K579" s="282">
        <f>IF(Notes!$B$9="Domestic",I579, IF(Notes!$B$9="Commercial",J579))*$K$690</f>
        <v>161.83110000000002</v>
      </c>
      <c r="L579" s="283">
        <f>(SUM(O579:Q579)+(K579+SUM(M579:Q579))*(INDEX($U$690:$AB$690,MATCH(Notes!$C$16,$U$3:$AB$3,0))-100%))*$L$690</f>
        <v>582.24503985324986</v>
      </c>
      <c r="M579" s="286"/>
      <c r="N579" s="286"/>
      <c r="O579" s="311">
        <f>O578*1.1</f>
        <v>493.89663002709727</v>
      </c>
      <c r="P579" s="311">
        <f t="shared" si="250"/>
        <v>88.348409826152604</v>
      </c>
      <c r="Q579" s="285"/>
      <c r="R579" s="278"/>
      <c r="S579" s="278"/>
      <c r="T579" s="278"/>
    </row>
    <row r="580" spans="1:20" s="305" customFormat="1" hidden="1" outlineLevel="1" x14ac:dyDescent="0.25">
      <c r="A580" s="278"/>
      <c r="B580" s="279" t="str">
        <f t="shared" si="251"/>
        <v>sliding vinyl2700mmup to 1500mmprestige</v>
      </c>
      <c r="C580" s="278" t="s">
        <v>1022</v>
      </c>
      <c r="D580" s="278" t="s">
        <v>779</v>
      </c>
      <c r="E580" s="278" t="s">
        <v>1018</v>
      </c>
      <c r="F580" s="278" t="s">
        <v>545</v>
      </c>
      <c r="G580" s="278" t="s">
        <v>5</v>
      </c>
      <c r="H580" s="308">
        <f t="shared" si="257"/>
        <v>1.7700000000000002</v>
      </c>
      <c r="I580" s="280">
        <f t="shared" si="252"/>
        <v>142.69740000000002</v>
      </c>
      <c r="J580" s="281">
        <f t="shared" si="253"/>
        <v>161.83110000000002</v>
      </c>
      <c r="K580" s="282">
        <f>IF(Notes!$B$9="Domestic",I580, IF(Notes!$B$9="Commercial",J580))*$K$690</f>
        <v>161.83110000000002</v>
      </c>
      <c r="L580" s="283">
        <f>(SUM(O580:Q580)+(K580+SUM(M580:Q580))*(INDEX($U$690:$AB$690,MATCH(Notes!$C$16,$U$3:$AB$3,0))-100%))*$L$690</f>
        <v>698.69404782389984</v>
      </c>
      <c r="M580" s="286"/>
      <c r="N580" s="286"/>
      <c r="O580" s="311">
        <f>O579*1.2</f>
        <v>592.67595603251675</v>
      </c>
      <c r="P580" s="311">
        <f t="shared" si="250"/>
        <v>106.01809179138313</v>
      </c>
      <c r="Q580" s="285"/>
      <c r="R580" s="278"/>
      <c r="S580" s="278"/>
      <c r="T580" s="278"/>
    </row>
    <row r="581" spans="1:20" s="305" customFormat="1" hidden="1" outlineLevel="1" x14ac:dyDescent="0.25">
      <c r="A581" s="278"/>
      <c r="B581" s="279" t="str">
        <f t="shared" si="251"/>
        <v>sliding vinyl2700mm1501mm to 1800mmaverage</v>
      </c>
      <c r="C581" s="278" t="s">
        <v>1022</v>
      </c>
      <c r="D581" s="278" t="s">
        <v>779</v>
      </c>
      <c r="E581" s="278" t="s">
        <v>550</v>
      </c>
      <c r="F581" s="278" t="s">
        <v>543</v>
      </c>
      <c r="G581" s="278" t="s">
        <v>5</v>
      </c>
      <c r="H581" s="308">
        <f t="shared" si="257"/>
        <v>1.9900000000000002</v>
      </c>
      <c r="I581" s="280">
        <f t="shared" si="252"/>
        <v>160.43380000000002</v>
      </c>
      <c r="J581" s="281">
        <f t="shared" si="253"/>
        <v>181.94570000000004</v>
      </c>
      <c r="K581" s="282">
        <f>IF(Notes!$B$9="Domestic",I581, IF(Notes!$B$9="Commercial",J581))*$K$690</f>
        <v>181.94570000000004</v>
      </c>
      <c r="L581" s="283">
        <f>(SUM(O581:Q581)+(K581+SUM(M581:Q581))*(INDEX($U$690:$AB$690,MATCH(Notes!$C$16,$U$3:$AB$3,0))-100%))*$L$690</f>
        <v>537.3011192260625</v>
      </c>
      <c r="M581" s="286"/>
      <c r="N581" s="286"/>
      <c r="O581" s="311">
        <f>O557*O557/O533</f>
        <v>447.35236345961982</v>
      </c>
      <c r="P581" s="311">
        <f t="shared" si="250"/>
        <v>89.948755766442687</v>
      </c>
      <c r="Q581" s="285"/>
      <c r="R581" s="278"/>
      <c r="S581" s="278"/>
      <c r="T581" s="278"/>
    </row>
    <row r="582" spans="1:20" s="305" customFormat="1" hidden="1" outlineLevel="1" x14ac:dyDescent="0.25">
      <c r="A582" s="278"/>
      <c r="B582" s="279" t="str">
        <f t="shared" si="251"/>
        <v>sliding vinyl2700mm1501mm to 1800mmquality</v>
      </c>
      <c r="C582" s="278" t="s">
        <v>1022</v>
      </c>
      <c r="D582" s="278" t="s">
        <v>779</v>
      </c>
      <c r="E582" s="278" t="s">
        <v>550</v>
      </c>
      <c r="F582" s="278" t="s">
        <v>544</v>
      </c>
      <c r="G582" s="278" t="s">
        <v>5</v>
      </c>
      <c r="H582" s="308">
        <f t="shared" si="257"/>
        <v>1.9900000000000002</v>
      </c>
      <c r="I582" s="280">
        <f t="shared" si="252"/>
        <v>160.43380000000002</v>
      </c>
      <c r="J582" s="281">
        <f t="shared" si="253"/>
        <v>181.94570000000004</v>
      </c>
      <c r="K582" s="282">
        <f>IF(Notes!$B$9="Domestic",I582, IF(Notes!$B$9="Commercial",J582))*$K$690</f>
        <v>181.94570000000004</v>
      </c>
      <c r="L582" s="283">
        <f>(SUM(O582:Q582)+(K582+SUM(M582:Q582))*(INDEX($U$690:$AB$690,MATCH(Notes!$C$16,$U$3:$AB$3,0))-100%))*$L$690</f>
        <v>591.03123114866878</v>
      </c>
      <c r="M582" s="286"/>
      <c r="N582" s="286"/>
      <c r="O582" s="311">
        <f>O581*1.1</f>
        <v>492.08759980558182</v>
      </c>
      <c r="P582" s="311">
        <f t="shared" si="250"/>
        <v>98.943631343086963</v>
      </c>
      <c r="Q582" s="285"/>
      <c r="R582" s="278"/>
      <c r="S582" s="278"/>
      <c r="T582" s="278"/>
    </row>
    <row r="583" spans="1:20" s="305" customFormat="1" hidden="1" outlineLevel="1" x14ac:dyDescent="0.25">
      <c r="A583" s="278"/>
      <c r="B583" s="279" t="str">
        <f t="shared" si="251"/>
        <v>sliding vinyl2700mm1501mm to 1800mmprestige</v>
      </c>
      <c r="C583" s="278" t="s">
        <v>1022</v>
      </c>
      <c r="D583" s="278" t="s">
        <v>779</v>
      </c>
      <c r="E583" s="278" t="s">
        <v>550</v>
      </c>
      <c r="F583" s="278" t="s">
        <v>545</v>
      </c>
      <c r="G583" s="278" t="s">
        <v>5</v>
      </c>
      <c r="H583" s="308">
        <f t="shared" si="257"/>
        <v>1.9900000000000002</v>
      </c>
      <c r="I583" s="280">
        <f t="shared" si="252"/>
        <v>160.43380000000002</v>
      </c>
      <c r="J583" s="281">
        <f t="shared" si="253"/>
        <v>181.94570000000004</v>
      </c>
      <c r="K583" s="282">
        <f>IF(Notes!$B$9="Domestic",I583, IF(Notes!$B$9="Commercial",J583))*$K$690</f>
        <v>181.94570000000004</v>
      </c>
      <c r="L583" s="283">
        <f>(SUM(O583:Q583)+(K583+SUM(M583:Q583))*(INDEX($U$690:$AB$690,MATCH(Notes!$C$16,$U$3:$AB$3,0))-100%))*$L$690</f>
        <v>709.23747737840245</v>
      </c>
      <c r="M583" s="286"/>
      <c r="N583" s="286"/>
      <c r="O583" s="311">
        <f>O582*1.2</f>
        <v>590.50511976669816</v>
      </c>
      <c r="P583" s="311">
        <f t="shared" si="250"/>
        <v>118.73235761170434</v>
      </c>
      <c r="Q583" s="285"/>
      <c r="R583" s="278"/>
      <c r="S583" s="278"/>
      <c r="T583" s="278"/>
    </row>
    <row r="584" spans="1:20" s="305" customFormat="1" hidden="1" outlineLevel="1" x14ac:dyDescent="0.25">
      <c r="A584" s="278"/>
      <c r="B584" s="279" t="str">
        <f t="shared" si="251"/>
        <v>sliding vinyl2700mm1801mm to 2100mmaverage</v>
      </c>
      <c r="C584" s="278" t="s">
        <v>1022</v>
      </c>
      <c r="D584" s="278" t="s">
        <v>779</v>
      </c>
      <c r="E584" s="278" t="s">
        <v>551</v>
      </c>
      <c r="F584" s="278" t="s">
        <v>543</v>
      </c>
      <c r="G584" s="278" t="s">
        <v>5</v>
      </c>
      <c r="H584" s="308">
        <f t="shared" si="257"/>
        <v>2.08</v>
      </c>
      <c r="I584" s="280">
        <f t="shared" si="252"/>
        <v>167.68960000000001</v>
      </c>
      <c r="J584" s="281">
        <f t="shared" si="253"/>
        <v>190.17440000000002</v>
      </c>
      <c r="K584" s="282">
        <f>IF(Notes!$B$9="Domestic",I584, IF(Notes!$B$9="Commercial",J584))*$K$690</f>
        <v>190.17440000000002</v>
      </c>
      <c r="L584" s="283">
        <f>(SUM(O584:Q584)+(K584+SUM(M584:Q584))*(INDEX($U$690:$AB$690,MATCH(Notes!$C$16,$U$3:$AB$3,0))-100%))*$L$690</f>
        <v>570.79783426879726</v>
      </c>
      <c r="M584" s="286"/>
      <c r="N584" s="286"/>
      <c r="O584" s="311">
        <f>O560*O560/O536</f>
        <v>476.02512400000001</v>
      </c>
      <c r="P584" s="311">
        <f t="shared" si="250"/>
        <v>94.772710268797255</v>
      </c>
      <c r="Q584" s="285"/>
      <c r="R584" s="278"/>
      <c r="S584" s="278"/>
      <c r="T584" s="278"/>
    </row>
    <row r="585" spans="1:20" s="305" customFormat="1" hidden="1" outlineLevel="1" x14ac:dyDescent="0.25">
      <c r="A585" s="278"/>
      <c r="B585" s="279" t="str">
        <f t="shared" si="251"/>
        <v>sliding vinyl2700mm1801mm to 2100mmquality</v>
      </c>
      <c r="C585" s="278" t="s">
        <v>1022</v>
      </c>
      <c r="D585" s="278" t="s">
        <v>779</v>
      </c>
      <c r="E585" s="278" t="s">
        <v>551</v>
      </c>
      <c r="F585" s="278" t="s">
        <v>544</v>
      </c>
      <c r="G585" s="278" t="s">
        <v>5</v>
      </c>
      <c r="H585" s="308">
        <f t="shared" si="257"/>
        <v>2.08</v>
      </c>
      <c r="I585" s="280">
        <f t="shared" si="252"/>
        <v>167.68960000000001</v>
      </c>
      <c r="J585" s="281">
        <f t="shared" si="253"/>
        <v>190.17440000000002</v>
      </c>
      <c r="K585" s="282">
        <f>IF(Notes!$B$9="Domestic",I585, IF(Notes!$B$9="Commercial",J585))*$K$690</f>
        <v>190.17440000000002</v>
      </c>
      <c r="L585" s="283">
        <f>(SUM(O585:Q585)+(K585+SUM(M585:Q585))*(INDEX($U$690:$AB$690,MATCH(Notes!$C$16,$U$3:$AB$3,0))-100%))*$L$690</f>
        <v>627.87761769567703</v>
      </c>
      <c r="M585" s="286"/>
      <c r="N585" s="286"/>
      <c r="O585" s="311">
        <f>O584*1.1</f>
        <v>523.62763640000003</v>
      </c>
      <c r="P585" s="311">
        <f t="shared" si="250"/>
        <v>104.24998129567699</v>
      </c>
      <c r="Q585" s="285"/>
      <c r="R585" s="278"/>
      <c r="S585" s="278"/>
      <c r="T585" s="278"/>
    </row>
    <row r="586" spans="1:20" s="305" customFormat="1" hidden="1" outlineLevel="1" x14ac:dyDescent="0.25">
      <c r="A586" s="278"/>
      <c r="B586" s="279" t="str">
        <f t="shared" si="251"/>
        <v>sliding vinyl2700mm1801mm to 2100mmprestige</v>
      </c>
      <c r="C586" s="278" t="s">
        <v>1022</v>
      </c>
      <c r="D586" s="278" t="s">
        <v>779</v>
      </c>
      <c r="E586" s="278" t="s">
        <v>551</v>
      </c>
      <c r="F586" s="278" t="s">
        <v>545</v>
      </c>
      <c r="G586" s="278" t="s">
        <v>5</v>
      </c>
      <c r="H586" s="308">
        <f t="shared" si="257"/>
        <v>2.08</v>
      </c>
      <c r="I586" s="280">
        <f t="shared" si="252"/>
        <v>167.68960000000001</v>
      </c>
      <c r="J586" s="281">
        <f t="shared" si="253"/>
        <v>190.17440000000002</v>
      </c>
      <c r="K586" s="282">
        <f>IF(Notes!$B$9="Domestic",I586, IF(Notes!$B$9="Commercial",J586))*$K$690</f>
        <v>190.17440000000002</v>
      </c>
      <c r="L586" s="283">
        <f>(SUM(O586:Q586)+(K586+SUM(M586:Q586))*(INDEX($U$690:$AB$690,MATCH(Notes!$C$16,$U$3:$AB$3,0))-100%))*$L$690</f>
        <v>753.45314123481239</v>
      </c>
      <c r="M586" s="286"/>
      <c r="N586" s="286"/>
      <c r="O586" s="311">
        <f>O585*1.2</f>
        <v>628.35316367999997</v>
      </c>
      <c r="P586" s="311">
        <f t="shared" si="250"/>
        <v>125.09997755481238</v>
      </c>
      <c r="Q586" s="285"/>
      <c r="R586" s="278"/>
      <c r="S586" s="278"/>
      <c r="T586" s="278"/>
    </row>
    <row r="587" spans="1:20" s="305" customFormat="1" hidden="1" outlineLevel="1" x14ac:dyDescent="0.25">
      <c r="A587" s="278"/>
      <c r="B587" s="279" t="str">
        <f t="shared" si="251"/>
        <v>sliding vinyl2700mm2101mm to 2400mmaverage</v>
      </c>
      <c r="C587" s="278" t="s">
        <v>1022</v>
      </c>
      <c r="D587" s="278" t="s">
        <v>779</v>
      </c>
      <c r="E587" s="278" t="s">
        <v>552</v>
      </c>
      <c r="F587" s="278" t="s">
        <v>543</v>
      </c>
      <c r="G587" s="278" t="s">
        <v>5</v>
      </c>
      <c r="H587" s="308">
        <f t="shared" si="257"/>
        <v>2.1799999999999997</v>
      </c>
      <c r="I587" s="280">
        <f t="shared" si="252"/>
        <v>175.7516</v>
      </c>
      <c r="J587" s="281">
        <f t="shared" si="253"/>
        <v>199.31739999999999</v>
      </c>
      <c r="K587" s="282">
        <f>IF(Notes!$B$9="Domestic",I587, IF(Notes!$B$9="Commercial",J587))*$K$690</f>
        <v>199.31739999999999</v>
      </c>
      <c r="L587" s="283">
        <f>(SUM(O587:Q587)+(K587+SUM(M587:Q587))*(INDEX($U$690:$AB$690,MATCH(Notes!$C$16,$U$3:$AB$3,0))-100%))*$L$690</f>
        <v>574.09906641097064</v>
      </c>
      <c r="M587" s="286"/>
      <c r="N587" s="286"/>
      <c r="O587" s="311">
        <f>O563*O563/O539</f>
        <v>474.498308144818</v>
      </c>
      <c r="P587" s="311">
        <f t="shared" si="250"/>
        <v>99.600758266152638</v>
      </c>
      <c r="Q587" s="285"/>
      <c r="R587" s="278"/>
      <c r="S587" s="278"/>
      <c r="T587" s="278"/>
    </row>
    <row r="588" spans="1:20" s="305" customFormat="1" hidden="1" outlineLevel="1" x14ac:dyDescent="0.25">
      <c r="A588" s="278"/>
      <c r="B588" s="279" t="str">
        <f t="shared" si="251"/>
        <v>sliding vinyl2700mm2101mm to 2400mmquality</v>
      </c>
      <c r="C588" s="278" t="s">
        <v>1022</v>
      </c>
      <c r="D588" s="278" t="s">
        <v>779</v>
      </c>
      <c r="E588" s="278" t="s">
        <v>552</v>
      </c>
      <c r="F588" s="278" t="s">
        <v>544</v>
      </c>
      <c r="G588" s="278" t="s">
        <v>5</v>
      </c>
      <c r="H588" s="308">
        <f t="shared" si="257"/>
        <v>2.1799999999999997</v>
      </c>
      <c r="I588" s="280">
        <f t="shared" si="252"/>
        <v>175.7516</v>
      </c>
      <c r="J588" s="281">
        <f t="shared" si="253"/>
        <v>199.31739999999999</v>
      </c>
      <c r="K588" s="282">
        <f>IF(Notes!$B$9="Domestic",I588, IF(Notes!$B$9="Commercial",J588))*$K$690</f>
        <v>199.31739999999999</v>
      </c>
      <c r="L588" s="283">
        <f>(SUM(O588:Q588)+(K588+SUM(M588:Q588))*(INDEX($U$690:$AB$690,MATCH(Notes!$C$16,$U$3:$AB$3,0))-100%))*$L$690</f>
        <v>631.50897305206774</v>
      </c>
      <c r="M588" s="286"/>
      <c r="N588" s="286"/>
      <c r="O588" s="311">
        <f>O587*1.1</f>
        <v>521.94813895929985</v>
      </c>
      <c r="P588" s="311">
        <f t="shared" si="250"/>
        <v>109.56083409276791</v>
      </c>
      <c r="Q588" s="285"/>
      <c r="R588" s="278"/>
      <c r="S588" s="278"/>
      <c r="T588" s="278"/>
    </row>
    <row r="589" spans="1:20" s="305" customFormat="1" hidden="1" outlineLevel="1" x14ac:dyDescent="0.25">
      <c r="A589" s="278"/>
      <c r="B589" s="279" t="str">
        <f t="shared" si="251"/>
        <v>sliding vinyl2700mm2101mm to 2400mmprestige</v>
      </c>
      <c r="C589" s="278" t="s">
        <v>1022</v>
      </c>
      <c r="D589" s="278" t="s">
        <v>779</v>
      </c>
      <c r="E589" s="278" t="s">
        <v>552</v>
      </c>
      <c r="F589" s="278" t="s">
        <v>545</v>
      </c>
      <c r="G589" s="278" t="s">
        <v>5</v>
      </c>
      <c r="H589" s="308">
        <f t="shared" si="257"/>
        <v>2.1799999999999997</v>
      </c>
      <c r="I589" s="280">
        <f t="shared" si="252"/>
        <v>175.7516</v>
      </c>
      <c r="J589" s="281">
        <f t="shared" si="253"/>
        <v>199.31739999999999</v>
      </c>
      <c r="K589" s="282">
        <f>IF(Notes!$B$9="Domestic",I589, IF(Notes!$B$9="Commercial",J589))*$K$690</f>
        <v>199.31739999999999</v>
      </c>
      <c r="L589" s="283">
        <f>(SUM(O589:Q589)+(K589+SUM(M589:Q589))*(INDEX($U$690:$AB$690,MATCH(Notes!$C$16,$U$3:$AB$3,0))-100%))*$L$690</f>
        <v>757.81076766248134</v>
      </c>
      <c r="M589" s="286"/>
      <c r="N589" s="286"/>
      <c r="O589" s="311">
        <f>O588*1.2</f>
        <v>626.33776675115985</v>
      </c>
      <c r="P589" s="311">
        <f t="shared" si="250"/>
        <v>131.47300091132149</v>
      </c>
      <c r="Q589" s="285"/>
      <c r="R589" s="278"/>
      <c r="S589" s="278"/>
      <c r="T589" s="278"/>
    </row>
    <row r="590" spans="1:20" s="305" customFormat="1" hidden="1" outlineLevel="1" x14ac:dyDescent="0.25">
      <c r="A590" s="278"/>
      <c r="B590" s="279" t="str">
        <f t="shared" si="251"/>
        <v>sliding vinyl2700mm2401mm to 2700mmaverage</v>
      </c>
      <c r="C590" s="278" t="s">
        <v>1022</v>
      </c>
      <c r="D590" s="278" t="s">
        <v>779</v>
      </c>
      <c r="E590" s="278" t="s">
        <v>553</v>
      </c>
      <c r="F590" s="278" t="s">
        <v>543</v>
      </c>
      <c r="G590" s="278" t="s">
        <v>5</v>
      </c>
      <c r="H590" s="308">
        <f t="shared" si="257"/>
        <v>2.2799999999999998</v>
      </c>
      <c r="I590" s="280">
        <f t="shared" si="252"/>
        <v>183.81360000000001</v>
      </c>
      <c r="J590" s="281">
        <f t="shared" si="253"/>
        <v>208.46039999999999</v>
      </c>
      <c r="K590" s="282">
        <f>IF(Notes!$B$9="Domestic",I590, IF(Notes!$B$9="Commercial",J590))*$K$690</f>
        <v>208.46039999999999</v>
      </c>
      <c r="L590" s="283">
        <f>(SUM(O590:Q590)+(K590+SUM(M590:Q590))*(INDEX($U$690:$AB$690,MATCH(Notes!$C$16,$U$3:$AB$3,0))-100%))*$L$690</f>
        <v>822.89446686492806</v>
      </c>
      <c r="M590" s="286"/>
      <c r="N590" s="286"/>
      <c r="O590" s="311">
        <f>O566*O566/O542</f>
        <v>718.46222695337451</v>
      </c>
      <c r="P590" s="311">
        <f t="shared" si="250"/>
        <v>104.43223991155354</v>
      </c>
      <c r="Q590" s="285"/>
      <c r="R590" s="278"/>
      <c r="S590" s="278"/>
      <c r="T590" s="278"/>
    </row>
    <row r="591" spans="1:20" s="305" customFormat="1" hidden="1" outlineLevel="1" x14ac:dyDescent="0.25">
      <c r="A591" s="278"/>
      <c r="B591" s="279" t="str">
        <f t="shared" si="251"/>
        <v>sliding vinyl2700mm2401mm to 2700mmquality</v>
      </c>
      <c r="C591" s="278" t="s">
        <v>1022</v>
      </c>
      <c r="D591" s="278" t="s">
        <v>779</v>
      </c>
      <c r="E591" s="278" t="s">
        <v>553</v>
      </c>
      <c r="F591" s="278" t="s">
        <v>544</v>
      </c>
      <c r="G591" s="278" t="s">
        <v>5</v>
      </c>
      <c r="H591" s="308">
        <f t="shared" si="257"/>
        <v>2.2799999999999998</v>
      </c>
      <c r="I591" s="280">
        <f t="shared" si="252"/>
        <v>183.81360000000001</v>
      </c>
      <c r="J591" s="281">
        <f t="shared" si="253"/>
        <v>208.46039999999999</v>
      </c>
      <c r="K591" s="282">
        <f>IF(Notes!$B$9="Domestic",I591, IF(Notes!$B$9="Commercial",J591))*$K$690</f>
        <v>208.46039999999999</v>
      </c>
      <c r="L591" s="283">
        <f>(SUM(O591:Q591)+(K591+SUM(M591:Q591))*(INDEX($U$690:$AB$690,MATCH(Notes!$C$16,$U$3:$AB$3,0))-100%))*$L$690</f>
        <v>905.18391355142091</v>
      </c>
      <c r="M591" s="286"/>
      <c r="N591" s="286"/>
      <c r="O591" s="311">
        <f>O590*1.1</f>
        <v>790.30844964871198</v>
      </c>
      <c r="P591" s="311">
        <f t="shared" si="250"/>
        <v>114.8754639027089</v>
      </c>
      <c r="Q591" s="285"/>
      <c r="R591" s="278"/>
      <c r="S591" s="278"/>
      <c r="T591" s="278"/>
    </row>
    <row r="592" spans="1:20" s="305" customFormat="1" hidden="1" outlineLevel="1" x14ac:dyDescent="0.25">
      <c r="A592" s="278"/>
      <c r="B592" s="279" t="str">
        <f t="shared" si="251"/>
        <v>sliding vinyl2700mm2401mm to 2700mmprestige</v>
      </c>
      <c r="C592" s="278" t="s">
        <v>1022</v>
      </c>
      <c r="D592" s="278" t="s">
        <v>779</v>
      </c>
      <c r="E592" s="278" t="s">
        <v>553</v>
      </c>
      <c r="F592" s="278" t="s">
        <v>545</v>
      </c>
      <c r="G592" s="278" t="s">
        <v>5</v>
      </c>
      <c r="H592" s="308">
        <f t="shared" si="257"/>
        <v>2.2799999999999998</v>
      </c>
      <c r="I592" s="280">
        <f t="shared" si="252"/>
        <v>183.81360000000001</v>
      </c>
      <c r="J592" s="281">
        <f t="shared" si="253"/>
        <v>208.46039999999999</v>
      </c>
      <c r="K592" s="282">
        <f>IF(Notes!$B$9="Domestic",I592, IF(Notes!$B$9="Commercial",J592))*$K$690</f>
        <v>208.46039999999999</v>
      </c>
      <c r="L592" s="283">
        <f>(SUM(O592:Q592)+(K592+SUM(M592:Q592))*(INDEX($U$690:$AB$690,MATCH(Notes!$C$16,$U$3:$AB$3,0))-100%))*$L$690</f>
        <v>1086.2206962617049</v>
      </c>
      <c r="M592" s="286"/>
      <c r="N592" s="286"/>
      <c r="O592" s="311">
        <f>O591*1.2</f>
        <v>948.37013957845431</v>
      </c>
      <c r="P592" s="311">
        <f t="shared" si="250"/>
        <v>137.85055668325069</v>
      </c>
      <c r="Q592" s="285"/>
      <c r="R592" s="278"/>
      <c r="S592" s="278"/>
      <c r="T592" s="278"/>
    </row>
    <row r="593" spans="1:28" s="305" customFormat="1" hidden="1" outlineLevel="1" x14ac:dyDescent="0.25">
      <c r="A593" s="278"/>
      <c r="B593" s="279" t="str">
        <f t="shared" si="251"/>
        <v>sliding vinyl2700mm2701mm to 3000mmaverage</v>
      </c>
      <c r="C593" s="278" t="s">
        <v>1022</v>
      </c>
      <c r="D593" s="278" t="s">
        <v>779</v>
      </c>
      <c r="E593" s="278" t="s">
        <v>554</v>
      </c>
      <c r="F593" s="278" t="s">
        <v>543</v>
      </c>
      <c r="G593" s="278" t="s">
        <v>5</v>
      </c>
      <c r="H593" s="308">
        <f t="shared" si="257"/>
        <v>2.38</v>
      </c>
      <c r="I593" s="280">
        <f t="shared" si="252"/>
        <v>191.87559999999999</v>
      </c>
      <c r="J593" s="281">
        <f t="shared" si="253"/>
        <v>217.60339999999999</v>
      </c>
      <c r="K593" s="282">
        <f>IF(Notes!$B$9="Domestic",I593, IF(Notes!$B$9="Commercial",J593))*$K$690</f>
        <v>217.60339999999999</v>
      </c>
      <c r="L593" s="283">
        <f>(SUM(O593:Q593)+(K593+SUM(M593:Q593))*(INDEX($U$690:$AB$690,MATCH(Notes!$C$16,$U$3:$AB$3,0))-100%))*$L$690</f>
        <v>825.30544349497495</v>
      </c>
      <c r="M593" s="286"/>
      <c r="N593" s="286"/>
      <c r="O593" s="311">
        <f>O569*O569/O545</f>
        <v>716.03881355058274</v>
      </c>
      <c r="P593" s="311">
        <f t="shared" si="250"/>
        <v>109.26662994439219</v>
      </c>
      <c r="Q593" s="285"/>
      <c r="R593" s="278"/>
      <c r="S593" s="278"/>
      <c r="T593" s="278"/>
    </row>
    <row r="594" spans="1:28" s="305" customFormat="1" hidden="1" outlineLevel="1" x14ac:dyDescent="0.25">
      <c r="A594" s="278"/>
      <c r="B594" s="279" t="str">
        <f t="shared" si="251"/>
        <v>sliding vinyl2700mm2701mm to 3000mmquality</v>
      </c>
      <c r="C594" s="278" t="s">
        <v>1022</v>
      </c>
      <c r="D594" s="278" t="s">
        <v>779</v>
      </c>
      <c r="E594" s="278" t="s">
        <v>554</v>
      </c>
      <c r="F594" s="278" t="s">
        <v>544</v>
      </c>
      <c r="G594" s="278" t="s">
        <v>5</v>
      </c>
      <c r="H594" s="308">
        <f t="shared" si="257"/>
        <v>2.38</v>
      </c>
      <c r="I594" s="280">
        <f t="shared" si="252"/>
        <v>191.87559999999999</v>
      </c>
      <c r="J594" s="281">
        <f t="shared" si="253"/>
        <v>217.60339999999999</v>
      </c>
      <c r="K594" s="282">
        <f>IF(Notes!$B$9="Domestic",I594, IF(Notes!$B$9="Commercial",J594))*$K$690</f>
        <v>217.60339999999999</v>
      </c>
      <c r="L594" s="283">
        <f>(SUM(O594:Q594)+(K594+SUM(M594:Q594))*(INDEX($U$690:$AB$690,MATCH(Notes!$C$16,$U$3:$AB$3,0))-100%))*$L$690</f>
        <v>907.83598784447247</v>
      </c>
      <c r="M594" s="286"/>
      <c r="N594" s="286"/>
      <c r="O594" s="311">
        <f>O593*1.1</f>
        <v>787.64269490564106</v>
      </c>
      <c r="P594" s="311">
        <f t="shared" si="250"/>
        <v>120.19329293883142</v>
      </c>
      <c r="Q594" s="285"/>
      <c r="R594" s="278"/>
      <c r="S594" s="278"/>
      <c r="T594" s="278"/>
    </row>
    <row r="595" spans="1:28" s="305" customFormat="1" hidden="1" outlineLevel="1" x14ac:dyDescent="0.25">
      <c r="A595" s="278"/>
      <c r="B595" s="279" t="str">
        <f t="shared" si="251"/>
        <v>sliding vinyl2700mm2701mm to 3000mmprestige</v>
      </c>
      <c r="C595" s="278" t="s">
        <v>1022</v>
      </c>
      <c r="D595" s="278" t="s">
        <v>779</v>
      </c>
      <c r="E595" s="278" t="s">
        <v>554</v>
      </c>
      <c r="F595" s="278" t="s">
        <v>545</v>
      </c>
      <c r="G595" s="278" t="s">
        <v>5</v>
      </c>
      <c r="H595" s="308">
        <f t="shared" si="257"/>
        <v>2.38</v>
      </c>
      <c r="I595" s="280">
        <f t="shared" si="252"/>
        <v>191.87559999999999</v>
      </c>
      <c r="J595" s="281">
        <f t="shared" si="253"/>
        <v>217.60339999999999</v>
      </c>
      <c r="K595" s="282">
        <f>IF(Notes!$B$9="Domestic",I595, IF(Notes!$B$9="Commercial",J595))*$K$690</f>
        <v>217.60339999999999</v>
      </c>
      <c r="L595" s="283">
        <f>(SUM(O595:Q595)+(K595+SUM(M595:Q595))*(INDEX($U$690:$AB$690,MATCH(Notes!$C$16,$U$3:$AB$3,0))-100%))*$L$690</f>
        <v>1089.4031854133668</v>
      </c>
      <c r="M595" s="286"/>
      <c r="N595" s="286"/>
      <c r="O595" s="311">
        <f>O594*1.2</f>
        <v>945.17123388676919</v>
      </c>
      <c r="P595" s="311">
        <f t="shared" ref="P595:P601" si="258">P521</f>
        <v>144.2319515265977</v>
      </c>
      <c r="Q595" s="285"/>
      <c r="R595" s="278"/>
      <c r="S595" s="278"/>
      <c r="T595" s="278"/>
    </row>
    <row r="596" spans="1:28" s="305" customFormat="1" hidden="1" outlineLevel="1" x14ac:dyDescent="0.25">
      <c r="A596" s="278"/>
      <c r="B596" s="279" t="str">
        <f t="shared" si="251"/>
        <v>sliding vinyl2700mm3001mm to 3300mmaverage</v>
      </c>
      <c r="C596" s="278" t="s">
        <v>1022</v>
      </c>
      <c r="D596" s="278" t="s">
        <v>779</v>
      </c>
      <c r="E596" s="278" t="s">
        <v>1019</v>
      </c>
      <c r="F596" s="278" t="s">
        <v>543</v>
      </c>
      <c r="G596" s="278" t="s">
        <v>5</v>
      </c>
      <c r="H596" s="308">
        <f t="shared" si="257"/>
        <v>2.48</v>
      </c>
      <c r="I596" s="280">
        <f t="shared" si="252"/>
        <v>199.9376</v>
      </c>
      <c r="J596" s="281">
        <f t="shared" si="253"/>
        <v>226.74640000000002</v>
      </c>
      <c r="K596" s="282">
        <f>IF(Notes!$B$9="Domestic",I596, IF(Notes!$B$9="Commercial",J596))*$K$690</f>
        <v>226.74640000000002</v>
      </c>
      <c r="L596" s="283">
        <f>(SUM(O596:Q596)+(K596+SUM(M596:Q596))*(INDEX($U$690:$AB$690,MATCH(Notes!$C$16,$U$3:$AB$3,0))-100%))*$L$690</f>
        <v>848.13358770809623</v>
      </c>
      <c r="M596" s="286"/>
      <c r="N596" s="286"/>
      <c r="O596" s="311">
        <f>O572*O572/O548</f>
        <v>734.03008266666666</v>
      </c>
      <c r="P596" s="311">
        <f t="shared" si="258"/>
        <v>114.10350504142961</v>
      </c>
      <c r="Q596" s="285"/>
      <c r="R596" s="278"/>
      <c r="S596" s="278"/>
      <c r="T596" s="278"/>
    </row>
    <row r="597" spans="1:28" s="305" customFormat="1" hidden="1" outlineLevel="1" x14ac:dyDescent="0.25">
      <c r="A597" s="278"/>
      <c r="B597" s="279" t="str">
        <f t="shared" si="251"/>
        <v>sliding vinyl2700mm3001mm to 3300mmquality</v>
      </c>
      <c r="C597" s="278" t="s">
        <v>1022</v>
      </c>
      <c r="D597" s="278" t="s">
        <v>779</v>
      </c>
      <c r="E597" s="278" t="s">
        <v>1019</v>
      </c>
      <c r="F597" s="278" t="s">
        <v>544</v>
      </c>
      <c r="G597" s="278" t="s">
        <v>5</v>
      </c>
      <c r="H597" s="308">
        <f t="shared" si="257"/>
        <v>2.48</v>
      </c>
      <c r="I597" s="280">
        <f t="shared" si="252"/>
        <v>199.9376</v>
      </c>
      <c r="J597" s="281">
        <f t="shared" si="253"/>
        <v>226.74640000000002</v>
      </c>
      <c r="K597" s="282">
        <f>IF(Notes!$B$9="Domestic",I597, IF(Notes!$B$9="Commercial",J597))*$K$690</f>
        <v>226.74640000000002</v>
      </c>
      <c r="L597" s="283">
        <f>(SUM(O597:Q597)+(K597+SUM(M597:Q597))*(INDEX($U$690:$AB$690,MATCH(Notes!$C$16,$U$3:$AB$3,0))-100%))*$L$690</f>
        <v>932.94694647890594</v>
      </c>
      <c r="M597" s="286"/>
      <c r="N597" s="286"/>
      <c r="O597" s="311">
        <f>O596*1.1</f>
        <v>807.43309093333335</v>
      </c>
      <c r="P597" s="311">
        <f t="shared" si="258"/>
        <v>125.51385554557258</v>
      </c>
      <c r="Q597" s="285"/>
      <c r="R597" s="278"/>
      <c r="S597" s="278"/>
      <c r="T597" s="278"/>
    </row>
    <row r="598" spans="1:28" s="305" customFormat="1" hidden="1" outlineLevel="1" x14ac:dyDescent="0.25">
      <c r="A598" s="278"/>
      <c r="B598" s="279" t="str">
        <f t="shared" si="251"/>
        <v>sliding vinyl2700mm3001mm to 3300mmprestige</v>
      </c>
      <c r="C598" s="278" t="s">
        <v>1022</v>
      </c>
      <c r="D598" s="278" t="s">
        <v>779</v>
      </c>
      <c r="E598" s="278" t="s">
        <v>1019</v>
      </c>
      <c r="F598" s="278" t="s">
        <v>545</v>
      </c>
      <c r="G598" s="278" t="s">
        <v>5</v>
      </c>
      <c r="H598" s="308">
        <f t="shared" si="257"/>
        <v>2.48</v>
      </c>
      <c r="I598" s="280">
        <f t="shared" si="252"/>
        <v>199.9376</v>
      </c>
      <c r="J598" s="281">
        <f t="shared" si="253"/>
        <v>226.74640000000002</v>
      </c>
      <c r="K598" s="282">
        <f>IF(Notes!$B$9="Domestic",I598, IF(Notes!$B$9="Commercial",J598))*$K$690</f>
        <v>226.74640000000002</v>
      </c>
      <c r="L598" s="283">
        <f>(SUM(O598:Q598)+(K598+SUM(M598:Q598))*(INDEX($U$690:$AB$690,MATCH(Notes!$C$16,$U$3:$AB$3,0))-100%))*$L$690</f>
        <v>1119.5363357746871</v>
      </c>
      <c r="M598" s="286"/>
      <c r="N598" s="286"/>
      <c r="O598" s="311">
        <f>O597*1.2</f>
        <v>968.91970911999999</v>
      </c>
      <c r="P598" s="311">
        <f t="shared" si="258"/>
        <v>150.61662665468708</v>
      </c>
      <c r="Q598" s="285"/>
      <c r="R598" s="278"/>
      <c r="S598" s="278"/>
      <c r="T598" s="278"/>
    </row>
    <row r="599" spans="1:28" s="305" customFormat="1" hidden="1" outlineLevel="1" x14ac:dyDescent="0.25">
      <c r="A599" s="278"/>
      <c r="B599" s="279" t="str">
        <f t="shared" si="251"/>
        <v>sliding vinyl2700mm3301mm to 3600mmaverage</v>
      </c>
      <c r="C599" s="278" t="s">
        <v>1022</v>
      </c>
      <c r="D599" s="278" t="s">
        <v>779</v>
      </c>
      <c r="E599" s="278" t="s">
        <v>1020</v>
      </c>
      <c r="F599" s="278" t="s">
        <v>543</v>
      </c>
      <c r="G599" s="278" t="s">
        <v>5</v>
      </c>
      <c r="H599" s="308">
        <f t="shared" si="257"/>
        <v>2.6</v>
      </c>
      <c r="I599" s="280">
        <f t="shared" si="252"/>
        <v>209.61200000000002</v>
      </c>
      <c r="J599" s="281">
        <f t="shared" si="253"/>
        <v>237.71800000000002</v>
      </c>
      <c r="K599" s="282">
        <f>IF(Notes!$B$9="Domestic",I599, IF(Notes!$B$9="Commercial",J599))*$K$690</f>
        <v>237.71800000000002</v>
      </c>
      <c r="L599" s="283">
        <f>(SUM(O599:Q599)+(K599+SUM(M599:Q599))*(INDEX($U$690:$AB$690,MATCH(Notes!$C$16,$U$3:$AB$3,0))-100%))*$L$690</f>
        <v>860.05641440866611</v>
      </c>
      <c r="M599" s="286"/>
      <c r="N599" s="286"/>
      <c r="O599" s="311">
        <f>O575*O575/O551</f>
        <v>741.11389417635166</v>
      </c>
      <c r="P599" s="311">
        <f t="shared" si="258"/>
        <v>118.94252023231445</v>
      </c>
      <c r="Q599" s="285"/>
      <c r="R599" s="278"/>
      <c r="S599" s="278"/>
      <c r="T599" s="278"/>
    </row>
    <row r="600" spans="1:28" s="305" customFormat="1" hidden="1" outlineLevel="1" x14ac:dyDescent="0.25">
      <c r="A600" s="278"/>
      <c r="B600" s="279" t="str">
        <f t="shared" si="251"/>
        <v>sliding vinyl2700mm3301mm to 3600mmquality</v>
      </c>
      <c r="C600" s="278" t="s">
        <v>1022</v>
      </c>
      <c r="D600" s="278" t="s">
        <v>779</v>
      </c>
      <c r="E600" s="278" t="s">
        <v>1020</v>
      </c>
      <c r="F600" s="278" t="s">
        <v>544</v>
      </c>
      <c r="G600" s="278" t="s">
        <v>5</v>
      </c>
      <c r="H600" s="308">
        <f t="shared" si="257"/>
        <v>2.6</v>
      </c>
      <c r="I600" s="280">
        <f t="shared" si="252"/>
        <v>209.61200000000002</v>
      </c>
      <c r="J600" s="281">
        <f t="shared" si="253"/>
        <v>237.71800000000002</v>
      </c>
      <c r="K600" s="282">
        <f>IF(Notes!$B$9="Domestic",I600, IF(Notes!$B$9="Commercial",J600))*$K$690</f>
        <v>237.71800000000002</v>
      </c>
      <c r="L600" s="283">
        <f>(SUM(O600:Q600)+(K600+SUM(M600:Q600))*(INDEX($U$690:$AB$690,MATCH(Notes!$C$16,$U$3:$AB$3,0))-100%))*$L$690</f>
        <v>946.06205584953273</v>
      </c>
      <c r="M600" s="286"/>
      <c r="N600" s="286"/>
      <c r="O600" s="311">
        <f>O599*1.1</f>
        <v>815.22528359398689</v>
      </c>
      <c r="P600" s="311">
        <f t="shared" si="258"/>
        <v>130.8367722555459</v>
      </c>
      <c r="Q600" s="285"/>
      <c r="R600" s="278"/>
      <c r="S600" s="278"/>
      <c r="T600" s="278"/>
    </row>
    <row r="601" spans="1:28" s="305" customFormat="1" hidden="1" outlineLevel="1" x14ac:dyDescent="0.25">
      <c r="A601" s="278"/>
      <c r="B601" s="279" t="str">
        <f t="shared" si="251"/>
        <v>sliding vinyl2700mm3301mm to 3600mmprestige</v>
      </c>
      <c r="C601" s="278" t="s">
        <v>1022</v>
      </c>
      <c r="D601" s="278" t="s">
        <v>779</v>
      </c>
      <c r="E601" s="278" t="s">
        <v>1020</v>
      </c>
      <c r="F601" s="278" t="s">
        <v>545</v>
      </c>
      <c r="G601" s="278" t="s">
        <v>5</v>
      </c>
      <c r="H601" s="308">
        <f t="shared" si="257"/>
        <v>2.6</v>
      </c>
      <c r="I601" s="280">
        <f t="shared" si="252"/>
        <v>209.61200000000002</v>
      </c>
      <c r="J601" s="281">
        <f t="shared" si="253"/>
        <v>237.71800000000002</v>
      </c>
      <c r="K601" s="282">
        <f>IF(Notes!$B$9="Domestic",I601, IF(Notes!$B$9="Commercial",J601))*$K$690</f>
        <v>237.71800000000002</v>
      </c>
      <c r="L601" s="283">
        <f>(SUM(O601:Q601)+(K601+SUM(M601:Q601))*(INDEX($U$690:$AB$690,MATCH(Notes!$C$16,$U$3:$AB$3,0))-100%))*$L$690</f>
        <v>1135.2744670194393</v>
      </c>
      <c r="M601" s="286"/>
      <c r="N601" s="286"/>
      <c r="O601" s="311">
        <f>O600*1.2</f>
        <v>978.27034031278424</v>
      </c>
      <c r="P601" s="311">
        <f t="shared" si="258"/>
        <v>157.00412670665506</v>
      </c>
      <c r="Q601" s="285"/>
      <c r="R601" s="278"/>
      <c r="S601" s="278"/>
      <c r="T601" s="278"/>
    </row>
    <row r="602" spans="1:28" ht="21" hidden="1" outlineLevel="1" x14ac:dyDescent="0.25">
      <c r="A602" s="299" t="s">
        <v>1023</v>
      </c>
      <c r="B602" s="299"/>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row>
    <row r="603" spans="1:28" ht="15.75" hidden="1" outlineLevel="1" x14ac:dyDescent="0.25">
      <c r="A603" s="291"/>
      <c r="B603" s="291"/>
      <c r="C603" s="291"/>
      <c r="D603" s="291"/>
      <c r="E603" s="291"/>
      <c r="F603" s="291"/>
      <c r="G603" s="291"/>
      <c r="H603" s="291"/>
      <c r="I603" s="291"/>
      <c r="J603" s="291"/>
      <c r="K603" s="291">
        <f>K$2</f>
        <v>1</v>
      </c>
      <c r="L603" s="291">
        <f>L$2</f>
        <v>1</v>
      </c>
      <c r="M603" s="291"/>
      <c r="N603" s="291"/>
      <c r="O603" s="303"/>
      <c r="P603" s="303"/>
      <c r="Q603" s="303"/>
      <c r="R603" s="291"/>
      <c r="S603" s="291"/>
      <c r="T603" s="291"/>
      <c r="U603" s="291">
        <f>U$2</f>
        <v>1</v>
      </c>
      <c r="V603" s="291">
        <f>V$2</f>
        <v>1</v>
      </c>
      <c r="W603" s="291">
        <f t="shared" ref="W603:AB603" si="259">W$2</f>
        <v>1.009090909090909</v>
      </c>
      <c r="X603" s="291">
        <f t="shared" si="259"/>
        <v>1.0909090909090908</v>
      </c>
      <c r="Y603" s="291">
        <f t="shared" si="259"/>
        <v>1.1454545454545455</v>
      </c>
      <c r="Z603" s="291">
        <f t="shared" si="259"/>
        <v>1</v>
      </c>
      <c r="AA603" s="291">
        <f t="shared" si="259"/>
        <v>1</v>
      </c>
      <c r="AB603" s="291">
        <f t="shared" si="259"/>
        <v>1</v>
      </c>
    </row>
    <row r="604" spans="1:28" s="305" customFormat="1" hidden="1" outlineLevel="1" x14ac:dyDescent="0.25">
      <c r="A604" s="278"/>
      <c r="B604" s="279" t="str">
        <f>C604&amp;D604&amp;E604&amp;F604</f>
        <v>sliding gyprock2100mmup to 1500mmaverage</v>
      </c>
      <c r="C604" s="278" t="s">
        <v>1024</v>
      </c>
      <c r="D604" s="278" t="s">
        <v>557</v>
      </c>
      <c r="E604" s="278" t="s">
        <v>1018</v>
      </c>
      <c r="F604" s="278" t="s">
        <v>543</v>
      </c>
      <c r="G604" s="278" t="s">
        <v>5</v>
      </c>
      <c r="H604" s="290">
        <v>1.47</v>
      </c>
      <c r="I604" s="280">
        <f>$I$2*H604</f>
        <v>118.51140000000001</v>
      </c>
      <c r="J604" s="281">
        <f>$J$2*H604</f>
        <v>134.40210000000002</v>
      </c>
      <c r="K604" s="282">
        <f>IF(Notes!$B$9="Domestic",I604, IF(Notes!$B$9="Commercial",J604))*$K$529</f>
        <v>134.40210000000002</v>
      </c>
      <c r="L604" s="283">
        <f>(SUM(O604:Q604)+(K604+SUM(M604:Q604))*(INDEX($U$529:$AB$529,MATCH(Notes!$C$16,$U$3:$AB$3,0))-100%))*$L$529</f>
        <v>366.15000000000003</v>
      </c>
      <c r="M604" s="286"/>
      <c r="N604" s="286"/>
      <c r="O604" s="285">
        <v>300</v>
      </c>
      <c r="P604" s="311">
        <f>P530</f>
        <v>66.150000000000034</v>
      </c>
      <c r="Q604" s="285"/>
      <c r="R604" s="278"/>
      <c r="S604" s="278"/>
      <c r="T604" s="278"/>
    </row>
    <row r="605" spans="1:28" s="305" customFormat="1" hidden="1" outlineLevel="1" x14ac:dyDescent="0.25">
      <c r="A605" s="278"/>
      <c r="B605" s="279" t="str">
        <f t="shared" ref="B605:B668" si="260">C605&amp;D605&amp;E605&amp;F605</f>
        <v>sliding gyprock2100mmup to 1500mmquality</v>
      </c>
      <c r="C605" s="278" t="s">
        <v>1024</v>
      </c>
      <c r="D605" s="278" t="s">
        <v>557</v>
      </c>
      <c r="E605" s="278" t="s">
        <v>1018</v>
      </c>
      <c r="F605" s="278" t="s">
        <v>544</v>
      </c>
      <c r="G605" s="278" t="s">
        <v>5</v>
      </c>
      <c r="H605" s="290">
        <v>1.47</v>
      </c>
      <c r="I605" s="280">
        <f t="shared" ref="I605:I668" si="261">$I$2*H605</f>
        <v>118.51140000000001</v>
      </c>
      <c r="J605" s="281">
        <f t="shared" ref="J605:J668" si="262">$J$2*H605</f>
        <v>134.40210000000002</v>
      </c>
      <c r="K605" s="282">
        <f>IF(Notes!$B$9="Domestic",I605, IF(Notes!$B$9="Commercial",J605))*$K$690</f>
        <v>134.40210000000002</v>
      </c>
      <c r="L605" s="283">
        <f>(SUM(O605:Q605)+(K605+SUM(M605:Q605))*(INDEX($U$690:$AB$690,MATCH(Notes!$C$16,$U$3:$AB$3,0))-100%))*$L$690</f>
        <v>402.76500000000004</v>
      </c>
      <c r="M605" s="286"/>
      <c r="N605" s="286"/>
      <c r="O605" s="311">
        <f>O604*1.1</f>
        <v>330</v>
      </c>
      <c r="P605" s="311">
        <f t="shared" ref="P605:P668" si="263">P531</f>
        <v>72.765000000000043</v>
      </c>
      <c r="Q605" s="285"/>
      <c r="R605" s="278"/>
      <c r="S605" s="278"/>
      <c r="T605" s="278"/>
    </row>
    <row r="606" spans="1:28" s="305" customFormat="1" hidden="1" outlineLevel="1" x14ac:dyDescent="0.25">
      <c r="A606" s="278"/>
      <c r="B606" s="279" t="str">
        <f t="shared" si="260"/>
        <v>sliding gyprock2100mmup to 1500mmprestige</v>
      </c>
      <c r="C606" s="278" t="s">
        <v>1024</v>
      </c>
      <c r="D606" s="278" t="s">
        <v>557</v>
      </c>
      <c r="E606" s="278" t="s">
        <v>1018</v>
      </c>
      <c r="F606" s="278" t="s">
        <v>545</v>
      </c>
      <c r="G606" s="278" t="s">
        <v>5</v>
      </c>
      <c r="H606" s="290">
        <v>1.47</v>
      </c>
      <c r="I606" s="280">
        <f t="shared" si="261"/>
        <v>118.51140000000001</v>
      </c>
      <c r="J606" s="281">
        <f t="shared" si="262"/>
        <v>134.40210000000002</v>
      </c>
      <c r="K606" s="282">
        <f>IF(Notes!$B$9="Domestic",I606, IF(Notes!$B$9="Commercial",J606))*$K$690</f>
        <v>134.40210000000002</v>
      </c>
      <c r="L606" s="283">
        <f>(SUM(O606:Q606)+(K606+SUM(M606:Q606))*(INDEX($U$690:$AB$690,MATCH(Notes!$C$16,$U$3:$AB$3,0))-100%))*$L$690</f>
        <v>483.31800000000004</v>
      </c>
      <c r="M606" s="286"/>
      <c r="N606" s="286"/>
      <c r="O606" s="311">
        <f>O605*1.2</f>
        <v>396</v>
      </c>
      <c r="P606" s="311">
        <f t="shared" si="263"/>
        <v>87.318000000000055</v>
      </c>
      <c r="Q606" s="285"/>
      <c r="R606" s="278"/>
      <c r="S606" s="278"/>
      <c r="T606" s="278"/>
    </row>
    <row r="607" spans="1:28" s="305" customFormat="1" hidden="1" outlineLevel="1" x14ac:dyDescent="0.25">
      <c r="A607" s="278"/>
      <c r="B607" s="279" t="str">
        <f t="shared" si="260"/>
        <v>sliding gyprock2100mm1501mm to 1800mmaverage</v>
      </c>
      <c r="C607" s="278" t="s">
        <v>1024</v>
      </c>
      <c r="D607" s="278" t="s">
        <v>557</v>
      </c>
      <c r="E607" s="278" t="s">
        <v>550</v>
      </c>
      <c r="F607" s="278" t="s">
        <v>543</v>
      </c>
      <c r="G607" s="278" t="s">
        <v>5</v>
      </c>
      <c r="H607" s="290">
        <v>1.67</v>
      </c>
      <c r="I607" s="280">
        <f t="shared" si="261"/>
        <v>134.6354</v>
      </c>
      <c r="J607" s="281">
        <f t="shared" si="262"/>
        <v>152.68809999999999</v>
      </c>
      <c r="K607" s="282">
        <f>IF(Notes!$B$9="Domestic",I607, IF(Notes!$B$9="Commercial",J607))*$K$690</f>
        <v>152.68809999999999</v>
      </c>
      <c r="L607" s="283">
        <f>(SUM(O607:Q607)+(K607+SUM(M607:Q607))*(INDEX($U$690:$AB$690,MATCH(Notes!$C$16,$U$3:$AB$3,0))-100%))*$L$690</f>
        <v>384.95999999999992</v>
      </c>
      <c r="M607" s="286"/>
      <c r="N607" s="286"/>
      <c r="O607" s="285">
        <v>309.08999999999997</v>
      </c>
      <c r="P607" s="311">
        <f t="shared" si="263"/>
        <v>75.869999999999948</v>
      </c>
      <c r="Q607" s="285"/>
      <c r="R607" s="278"/>
      <c r="S607" s="278"/>
      <c r="T607" s="278"/>
    </row>
    <row r="608" spans="1:28" s="305" customFormat="1" hidden="1" outlineLevel="1" x14ac:dyDescent="0.25">
      <c r="A608" s="278"/>
      <c r="B608" s="279" t="str">
        <f t="shared" si="260"/>
        <v>sliding gyprock2100mm1501mm to 1800mmquality</v>
      </c>
      <c r="C608" s="278" t="s">
        <v>1024</v>
      </c>
      <c r="D608" s="278" t="s">
        <v>557</v>
      </c>
      <c r="E608" s="278" t="s">
        <v>550</v>
      </c>
      <c r="F608" s="278" t="s">
        <v>544</v>
      </c>
      <c r="G608" s="278" t="s">
        <v>5</v>
      </c>
      <c r="H608" s="290">
        <v>1.67</v>
      </c>
      <c r="I608" s="280">
        <f t="shared" si="261"/>
        <v>134.6354</v>
      </c>
      <c r="J608" s="281">
        <f t="shared" si="262"/>
        <v>152.68809999999999</v>
      </c>
      <c r="K608" s="282">
        <f>IF(Notes!$B$9="Domestic",I608, IF(Notes!$B$9="Commercial",J608))*$K$690</f>
        <v>152.68809999999999</v>
      </c>
      <c r="L608" s="283">
        <f>(SUM(O608:Q608)+(K608+SUM(M608:Q608))*(INDEX($U$690:$AB$690,MATCH(Notes!$C$16,$U$3:$AB$3,0))-100%))*$L$690</f>
        <v>423.45599999999996</v>
      </c>
      <c r="M608" s="286"/>
      <c r="N608" s="286"/>
      <c r="O608" s="311">
        <f>O607*1.1</f>
        <v>339.99900000000002</v>
      </c>
      <c r="P608" s="311">
        <f t="shared" si="263"/>
        <v>83.456999999999951</v>
      </c>
      <c r="Q608" s="285"/>
      <c r="R608" s="278"/>
      <c r="S608" s="278"/>
      <c r="T608" s="278"/>
    </row>
    <row r="609" spans="1:20" s="305" customFormat="1" hidden="1" outlineLevel="1" x14ac:dyDescent="0.25">
      <c r="A609" s="278"/>
      <c r="B609" s="279" t="str">
        <f t="shared" si="260"/>
        <v>sliding gyprock2100mm1501mm to 1800mmprestige</v>
      </c>
      <c r="C609" s="278" t="s">
        <v>1024</v>
      </c>
      <c r="D609" s="278" t="s">
        <v>557</v>
      </c>
      <c r="E609" s="278" t="s">
        <v>550</v>
      </c>
      <c r="F609" s="278" t="s">
        <v>545</v>
      </c>
      <c r="G609" s="278" t="s">
        <v>5</v>
      </c>
      <c r="H609" s="290">
        <v>1.67</v>
      </c>
      <c r="I609" s="280">
        <f t="shared" si="261"/>
        <v>134.6354</v>
      </c>
      <c r="J609" s="281">
        <f t="shared" si="262"/>
        <v>152.68809999999999</v>
      </c>
      <c r="K609" s="282">
        <f>IF(Notes!$B$9="Domestic",I609, IF(Notes!$B$9="Commercial",J609))*$K$690</f>
        <v>152.68809999999999</v>
      </c>
      <c r="L609" s="283">
        <f>(SUM(O609:Q609)+(K609+SUM(M609:Q609))*(INDEX($U$690:$AB$690,MATCH(Notes!$C$16,$U$3:$AB$3,0))-100%))*$L$690</f>
        <v>508.14719999999994</v>
      </c>
      <c r="M609" s="286"/>
      <c r="N609" s="286"/>
      <c r="O609" s="311">
        <f>O608*1.2</f>
        <v>407.99880000000002</v>
      </c>
      <c r="P609" s="311">
        <f t="shared" si="263"/>
        <v>100.14839999999994</v>
      </c>
      <c r="Q609" s="285"/>
      <c r="R609" s="278"/>
      <c r="S609" s="278"/>
      <c r="T609" s="278"/>
    </row>
    <row r="610" spans="1:20" s="305" customFormat="1" hidden="1" outlineLevel="1" x14ac:dyDescent="0.25">
      <c r="A610" s="278"/>
      <c r="B610" s="279" t="str">
        <f t="shared" si="260"/>
        <v>sliding gyprock2100mm1801mm to 2100mmaverage</v>
      </c>
      <c r="C610" s="278" t="s">
        <v>1024</v>
      </c>
      <c r="D610" s="278" t="s">
        <v>557</v>
      </c>
      <c r="E610" s="278" t="s">
        <v>551</v>
      </c>
      <c r="F610" s="278" t="s">
        <v>543</v>
      </c>
      <c r="G610" s="278" t="s">
        <v>5</v>
      </c>
      <c r="H610" s="290">
        <v>1.78</v>
      </c>
      <c r="I610" s="280">
        <f t="shared" si="261"/>
        <v>143.50360000000001</v>
      </c>
      <c r="J610" s="281">
        <f t="shared" si="262"/>
        <v>162.74540000000002</v>
      </c>
      <c r="K610" s="282">
        <f>IF(Notes!$B$9="Domestic",I610, IF(Notes!$B$9="Commercial",J610))*$K$690</f>
        <v>162.74540000000002</v>
      </c>
      <c r="L610" s="283">
        <f>(SUM(O610:Q610)+(K610+SUM(M610:Q610))*(INDEX($U$690:$AB$690,MATCH(Notes!$C$16,$U$3:$AB$3,0))-100%))*$L$690</f>
        <v>408</v>
      </c>
      <c r="M610" s="286"/>
      <c r="N610" s="286"/>
      <c r="O610" s="285">
        <v>327.27</v>
      </c>
      <c r="P610" s="311">
        <f t="shared" si="263"/>
        <v>80.730000000000018</v>
      </c>
      <c r="Q610" s="285"/>
      <c r="R610" s="278"/>
      <c r="S610" s="278"/>
      <c r="T610" s="278"/>
    </row>
    <row r="611" spans="1:20" s="305" customFormat="1" hidden="1" outlineLevel="1" x14ac:dyDescent="0.25">
      <c r="A611" s="278"/>
      <c r="B611" s="279" t="str">
        <f t="shared" si="260"/>
        <v>sliding gyprock2100mm1801mm to 2100mmquality</v>
      </c>
      <c r="C611" s="278" t="s">
        <v>1024</v>
      </c>
      <c r="D611" s="278" t="s">
        <v>557</v>
      </c>
      <c r="E611" s="278" t="s">
        <v>551</v>
      </c>
      <c r="F611" s="278" t="s">
        <v>544</v>
      </c>
      <c r="G611" s="278" t="s">
        <v>5</v>
      </c>
      <c r="H611" s="290">
        <v>1.78</v>
      </c>
      <c r="I611" s="280">
        <f t="shared" si="261"/>
        <v>143.50360000000001</v>
      </c>
      <c r="J611" s="281">
        <f t="shared" si="262"/>
        <v>162.74540000000002</v>
      </c>
      <c r="K611" s="282">
        <f>IF(Notes!$B$9="Domestic",I611, IF(Notes!$B$9="Commercial",J611))*$K$690</f>
        <v>162.74540000000002</v>
      </c>
      <c r="L611" s="283">
        <f>(SUM(O611:Q611)+(K611+SUM(M611:Q611))*(INDEX($U$690:$AB$690,MATCH(Notes!$C$16,$U$3:$AB$3,0))-100%))*$L$690</f>
        <v>448.80000000000007</v>
      </c>
      <c r="M611" s="286"/>
      <c r="N611" s="286"/>
      <c r="O611" s="311">
        <f>O610*1.1</f>
        <v>359.99700000000001</v>
      </c>
      <c r="P611" s="311">
        <f t="shared" si="263"/>
        <v>88.803000000000026</v>
      </c>
      <c r="Q611" s="285"/>
      <c r="R611" s="278"/>
      <c r="S611" s="278"/>
      <c r="T611" s="278"/>
    </row>
    <row r="612" spans="1:20" s="305" customFormat="1" hidden="1" outlineLevel="1" x14ac:dyDescent="0.25">
      <c r="A612" s="278"/>
      <c r="B612" s="279" t="str">
        <f t="shared" si="260"/>
        <v>sliding gyprock2100mm1801mm to 2100mmprestige</v>
      </c>
      <c r="C612" s="278" t="s">
        <v>1024</v>
      </c>
      <c r="D612" s="278" t="s">
        <v>557</v>
      </c>
      <c r="E612" s="278" t="s">
        <v>551</v>
      </c>
      <c r="F612" s="278" t="s">
        <v>545</v>
      </c>
      <c r="G612" s="278" t="s">
        <v>5</v>
      </c>
      <c r="H612" s="290">
        <v>1.78</v>
      </c>
      <c r="I612" s="280">
        <f t="shared" si="261"/>
        <v>143.50360000000001</v>
      </c>
      <c r="J612" s="281">
        <f t="shared" si="262"/>
        <v>162.74540000000002</v>
      </c>
      <c r="K612" s="282">
        <f>IF(Notes!$B$9="Domestic",I612, IF(Notes!$B$9="Commercial",J612))*$K$690</f>
        <v>162.74540000000002</v>
      </c>
      <c r="L612" s="283">
        <f>(SUM(O612:Q612)+(K612+SUM(M612:Q612))*(INDEX($U$690:$AB$690,MATCH(Notes!$C$16,$U$3:$AB$3,0))-100%))*$L$690</f>
        <v>538.56000000000006</v>
      </c>
      <c r="M612" s="286"/>
      <c r="N612" s="286"/>
      <c r="O612" s="311">
        <f>O611*1.2</f>
        <v>431.99639999999999</v>
      </c>
      <c r="P612" s="311">
        <f t="shared" si="263"/>
        <v>106.56360000000002</v>
      </c>
      <c r="Q612" s="285"/>
      <c r="R612" s="278"/>
      <c r="S612" s="278"/>
      <c r="T612" s="278"/>
    </row>
    <row r="613" spans="1:20" s="305" customFormat="1" hidden="1" outlineLevel="1" x14ac:dyDescent="0.25">
      <c r="A613" s="278"/>
      <c r="B613" s="279" t="str">
        <f t="shared" si="260"/>
        <v>sliding gyprock2100mm2101mm to 2400mmaverage</v>
      </c>
      <c r="C613" s="278" t="s">
        <v>1024</v>
      </c>
      <c r="D613" s="278" t="s">
        <v>557</v>
      </c>
      <c r="E613" s="278" t="s">
        <v>552</v>
      </c>
      <c r="F613" s="278" t="s">
        <v>543</v>
      </c>
      <c r="G613" s="278" t="s">
        <v>5</v>
      </c>
      <c r="H613" s="290">
        <v>1.88</v>
      </c>
      <c r="I613" s="280">
        <f t="shared" si="261"/>
        <v>151.56559999999999</v>
      </c>
      <c r="J613" s="281">
        <f t="shared" si="262"/>
        <v>171.88839999999999</v>
      </c>
      <c r="K613" s="282">
        <f>IF(Notes!$B$9="Domestic",I613, IF(Notes!$B$9="Commercial",J613))*$K$690</f>
        <v>171.88839999999999</v>
      </c>
      <c r="L613" s="283">
        <f>(SUM(O613:Q613)+(K613+SUM(M613:Q613))*(INDEX($U$690:$AB$690,MATCH(Notes!$C$16,$U$3:$AB$3,0))-100%))*$L$690</f>
        <v>431.04</v>
      </c>
      <c r="M613" s="286"/>
      <c r="N613" s="286"/>
      <c r="O613" s="285">
        <v>345.45</v>
      </c>
      <c r="P613" s="311">
        <f t="shared" si="263"/>
        <v>85.590000000000032</v>
      </c>
      <c r="Q613" s="285"/>
      <c r="R613" s="278"/>
      <c r="S613" s="278"/>
      <c r="T613" s="278"/>
    </row>
    <row r="614" spans="1:20" s="305" customFormat="1" hidden="1" outlineLevel="1" x14ac:dyDescent="0.25">
      <c r="A614" s="278"/>
      <c r="B614" s="279" t="str">
        <f t="shared" si="260"/>
        <v>sliding gyprock2100mm2101mm to 2400mmquality</v>
      </c>
      <c r="C614" s="278" t="s">
        <v>1024</v>
      </c>
      <c r="D614" s="278" t="s">
        <v>557</v>
      </c>
      <c r="E614" s="278" t="s">
        <v>552</v>
      </c>
      <c r="F614" s="278" t="s">
        <v>544</v>
      </c>
      <c r="G614" s="278" t="s">
        <v>5</v>
      </c>
      <c r="H614" s="290">
        <v>1.88</v>
      </c>
      <c r="I614" s="280">
        <f t="shared" si="261"/>
        <v>151.56559999999999</v>
      </c>
      <c r="J614" s="281">
        <f t="shared" si="262"/>
        <v>171.88839999999999</v>
      </c>
      <c r="K614" s="282">
        <f>IF(Notes!$B$9="Domestic",I614, IF(Notes!$B$9="Commercial",J614))*$K$690</f>
        <v>171.88839999999999</v>
      </c>
      <c r="L614" s="283">
        <f>(SUM(O614:Q614)+(K614+SUM(M614:Q614))*(INDEX($U$690:$AB$690,MATCH(Notes!$C$16,$U$3:$AB$3,0))-100%))*$L$690</f>
        <v>474.14400000000006</v>
      </c>
      <c r="M614" s="286"/>
      <c r="N614" s="286"/>
      <c r="O614" s="311">
        <f>O613*1.1</f>
        <v>379.995</v>
      </c>
      <c r="P614" s="311">
        <f t="shared" si="263"/>
        <v>94.149000000000044</v>
      </c>
      <c r="Q614" s="285"/>
      <c r="R614" s="278"/>
      <c r="S614" s="278"/>
      <c r="T614" s="278"/>
    </row>
    <row r="615" spans="1:20" s="305" customFormat="1" hidden="1" outlineLevel="1" x14ac:dyDescent="0.25">
      <c r="A615" s="278"/>
      <c r="B615" s="279" t="str">
        <f t="shared" si="260"/>
        <v>sliding gyprock2100mm2101mm to 2400mmprestige</v>
      </c>
      <c r="C615" s="278" t="s">
        <v>1024</v>
      </c>
      <c r="D615" s="278" t="s">
        <v>557</v>
      </c>
      <c r="E615" s="278" t="s">
        <v>552</v>
      </c>
      <c r="F615" s="278" t="s">
        <v>545</v>
      </c>
      <c r="G615" s="278" t="s">
        <v>5</v>
      </c>
      <c r="H615" s="290">
        <v>1.88</v>
      </c>
      <c r="I615" s="280">
        <f t="shared" si="261"/>
        <v>151.56559999999999</v>
      </c>
      <c r="J615" s="281">
        <f t="shared" si="262"/>
        <v>171.88839999999999</v>
      </c>
      <c r="K615" s="282">
        <f>IF(Notes!$B$9="Domestic",I615, IF(Notes!$B$9="Commercial",J615))*$K$690</f>
        <v>171.88839999999999</v>
      </c>
      <c r="L615" s="283">
        <f>(SUM(O615:Q615)+(K615+SUM(M615:Q615))*(INDEX($U$690:$AB$690,MATCH(Notes!$C$16,$U$3:$AB$3,0))-100%))*$L$690</f>
        <v>568.97280000000001</v>
      </c>
      <c r="M615" s="286"/>
      <c r="N615" s="286"/>
      <c r="O615" s="311">
        <f>O614*1.2</f>
        <v>455.99399999999997</v>
      </c>
      <c r="P615" s="311">
        <f t="shared" si="263"/>
        <v>112.97880000000005</v>
      </c>
      <c r="Q615" s="285"/>
      <c r="R615" s="278"/>
      <c r="S615" s="278"/>
      <c r="T615" s="278"/>
    </row>
    <row r="616" spans="1:20" s="305" customFormat="1" hidden="1" outlineLevel="1" x14ac:dyDescent="0.25">
      <c r="A616" s="278"/>
      <c r="B616" s="279" t="str">
        <f t="shared" si="260"/>
        <v>sliding gyprock2100mm2401mm to 2700mmaverage</v>
      </c>
      <c r="C616" s="278" t="s">
        <v>1024</v>
      </c>
      <c r="D616" s="278" t="s">
        <v>557</v>
      </c>
      <c r="E616" s="278" t="s">
        <v>553</v>
      </c>
      <c r="F616" s="278" t="s">
        <v>543</v>
      </c>
      <c r="G616" s="278" t="s">
        <v>5</v>
      </c>
      <c r="H616" s="290">
        <v>1.98</v>
      </c>
      <c r="I616" s="280">
        <f t="shared" si="261"/>
        <v>159.6276</v>
      </c>
      <c r="J616" s="281">
        <f t="shared" si="262"/>
        <v>181.03140000000002</v>
      </c>
      <c r="K616" s="282">
        <f>IF(Notes!$B$9="Domestic",I616, IF(Notes!$B$9="Commercial",J616))*$K$690</f>
        <v>181.03140000000002</v>
      </c>
      <c r="L616" s="283">
        <f>(SUM(O616:Q616)+(K616+SUM(M616:Q616))*(INDEX($U$690:$AB$690,MATCH(Notes!$C$16,$U$3:$AB$3,0))-100%))*$L$690</f>
        <v>545</v>
      </c>
      <c r="M616" s="286"/>
      <c r="N616" s="286"/>
      <c r="O616" s="285">
        <v>454.55</v>
      </c>
      <c r="P616" s="311">
        <f t="shared" si="263"/>
        <v>90.449999999999932</v>
      </c>
      <c r="Q616" s="285"/>
      <c r="R616" s="278"/>
      <c r="S616" s="278"/>
      <c r="T616" s="278"/>
    </row>
    <row r="617" spans="1:20" s="305" customFormat="1" hidden="1" outlineLevel="1" x14ac:dyDescent="0.25">
      <c r="A617" s="278"/>
      <c r="B617" s="279" t="str">
        <f t="shared" si="260"/>
        <v>sliding gyprock2100mm2401mm to 2700mmquality</v>
      </c>
      <c r="C617" s="278" t="s">
        <v>1024</v>
      </c>
      <c r="D617" s="278" t="s">
        <v>557</v>
      </c>
      <c r="E617" s="278" t="s">
        <v>553</v>
      </c>
      <c r="F617" s="278" t="s">
        <v>544</v>
      </c>
      <c r="G617" s="278" t="s">
        <v>5</v>
      </c>
      <c r="H617" s="290">
        <v>1.98</v>
      </c>
      <c r="I617" s="280">
        <f t="shared" si="261"/>
        <v>159.6276</v>
      </c>
      <c r="J617" s="281">
        <f t="shared" si="262"/>
        <v>181.03140000000002</v>
      </c>
      <c r="K617" s="282">
        <f>IF(Notes!$B$9="Domestic",I617, IF(Notes!$B$9="Commercial",J617))*$K$690</f>
        <v>181.03140000000002</v>
      </c>
      <c r="L617" s="283">
        <f>(SUM(O617:Q617)+(K617+SUM(M617:Q617))*(INDEX($U$690:$AB$690,MATCH(Notes!$C$16,$U$3:$AB$3,0))-100%))*$L$690</f>
        <v>599.5</v>
      </c>
      <c r="M617" s="286"/>
      <c r="N617" s="286"/>
      <c r="O617" s="311">
        <f>O616*1.1</f>
        <v>500.00500000000005</v>
      </c>
      <c r="P617" s="311">
        <f t="shared" si="263"/>
        <v>99.494999999999933</v>
      </c>
      <c r="Q617" s="285"/>
      <c r="R617" s="278"/>
      <c r="S617" s="278"/>
      <c r="T617" s="278"/>
    </row>
    <row r="618" spans="1:20" s="305" customFormat="1" hidden="1" outlineLevel="1" x14ac:dyDescent="0.25">
      <c r="A618" s="278"/>
      <c r="B618" s="279" t="str">
        <f t="shared" si="260"/>
        <v>sliding gyprock2100mm2401mm to 2700mmprestige</v>
      </c>
      <c r="C618" s="278" t="s">
        <v>1024</v>
      </c>
      <c r="D618" s="278" t="s">
        <v>557</v>
      </c>
      <c r="E618" s="278" t="s">
        <v>553</v>
      </c>
      <c r="F618" s="278" t="s">
        <v>545</v>
      </c>
      <c r="G618" s="278" t="s">
        <v>5</v>
      </c>
      <c r="H618" s="290">
        <v>1.98</v>
      </c>
      <c r="I618" s="280">
        <f t="shared" si="261"/>
        <v>159.6276</v>
      </c>
      <c r="J618" s="281">
        <f t="shared" si="262"/>
        <v>181.03140000000002</v>
      </c>
      <c r="K618" s="282">
        <f>IF(Notes!$B$9="Domestic",I618, IF(Notes!$B$9="Commercial",J618))*$K$690</f>
        <v>181.03140000000002</v>
      </c>
      <c r="L618" s="283">
        <f>(SUM(O618:Q618)+(K618+SUM(M618:Q618))*(INDEX($U$690:$AB$690,MATCH(Notes!$C$16,$U$3:$AB$3,0))-100%))*$L$690</f>
        <v>719.4</v>
      </c>
      <c r="M618" s="286"/>
      <c r="N618" s="286"/>
      <c r="O618" s="311">
        <f>O617*1.2</f>
        <v>600.00600000000009</v>
      </c>
      <c r="P618" s="311">
        <f t="shared" si="263"/>
        <v>119.39399999999992</v>
      </c>
      <c r="Q618" s="285"/>
      <c r="R618" s="278"/>
      <c r="S618" s="278"/>
      <c r="T618" s="278"/>
    </row>
    <row r="619" spans="1:20" s="305" customFormat="1" hidden="1" outlineLevel="1" x14ac:dyDescent="0.25">
      <c r="A619" s="278"/>
      <c r="B619" s="279" t="str">
        <f t="shared" si="260"/>
        <v>sliding gyprock2100mm2701mm to 3000mmaverage</v>
      </c>
      <c r="C619" s="278" t="s">
        <v>1024</v>
      </c>
      <c r="D619" s="278" t="s">
        <v>557</v>
      </c>
      <c r="E619" s="278" t="s">
        <v>554</v>
      </c>
      <c r="F619" s="278" t="s">
        <v>543</v>
      </c>
      <c r="G619" s="278" t="s">
        <v>5</v>
      </c>
      <c r="H619" s="290">
        <v>2.08</v>
      </c>
      <c r="I619" s="280">
        <f t="shared" si="261"/>
        <v>167.68960000000001</v>
      </c>
      <c r="J619" s="281">
        <f t="shared" si="262"/>
        <v>190.17440000000002</v>
      </c>
      <c r="K619" s="282">
        <f>IF(Notes!$B$9="Domestic",I619, IF(Notes!$B$9="Commercial",J619))*$K$690</f>
        <v>190.17440000000002</v>
      </c>
      <c r="L619" s="283">
        <f>(SUM(O619:Q619)+(K619+SUM(M619:Q619))*(INDEX($U$690:$AB$690,MATCH(Notes!$C$16,$U$3:$AB$3,0))-100%))*$L$690</f>
        <v>558.94999999999993</v>
      </c>
      <c r="M619" s="286"/>
      <c r="N619" s="286"/>
      <c r="O619" s="285">
        <v>463.64</v>
      </c>
      <c r="P619" s="311">
        <f t="shared" si="263"/>
        <v>95.309999999999945</v>
      </c>
      <c r="Q619" s="285"/>
      <c r="R619" s="278"/>
      <c r="S619" s="278"/>
      <c r="T619" s="278"/>
    </row>
    <row r="620" spans="1:20" s="305" customFormat="1" hidden="1" outlineLevel="1" x14ac:dyDescent="0.25">
      <c r="A620" s="278"/>
      <c r="B620" s="279" t="str">
        <f t="shared" si="260"/>
        <v>sliding gyprock2100mm2701mm to 3000mmquality</v>
      </c>
      <c r="C620" s="278" t="s">
        <v>1024</v>
      </c>
      <c r="D620" s="278" t="s">
        <v>557</v>
      </c>
      <c r="E620" s="278" t="s">
        <v>554</v>
      </c>
      <c r="F620" s="278" t="s">
        <v>544</v>
      </c>
      <c r="G620" s="278" t="s">
        <v>5</v>
      </c>
      <c r="H620" s="290">
        <v>2.08</v>
      </c>
      <c r="I620" s="280">
        <f t="shared" si="261"/>
        <v>167.68960000000001</v>
      </c>
      <c r="J620" s="281">
        <f t="shared" si="262"/>
        <v>190.17440000000002</v>
      </c>
      <c r="K620" s="282">
        <f>IF(Notes!$B$9="Domestic",I620, IF(Notes!$B$9="Commercial",J620))*$K$690</f>
        <v>190.17440000000002</v>
      </c>
      <c r="L620" s="283">
        <f>(SUM(O620:Q620)+(K620+SUM(M620:Q620))*(INDEX($U$690:$AB$690,MATCH(Notes!$C$16,$U$3:$AB$3,0))-100%))*$L$690</f>
        <v>614.84500000000003</v>
      </c>
      <c r="M620" s="286"/>
      <c r="N620" s="286"/>
      <c r="O620" s="311">
        <f>O619*1.1</f>
        <v>510.00400000000002</v>
      </c>
      <c r="P620" s="311">
        <f t="shared" si="263"/>
        <v>104.84099999999995</v>
      </c>
      <c r="Q620" s="285"/>
      <c r="R620" s="278"/>
      <c r="S620" s="278"/>
      <c r="T620" s="278"/>
    </row>
    <row r="621" spans="1:20" s="305" customFormat="1" hidden="1" outlineLevel="1" x14ac:dyDescent="0.25">
      <c r="A621" s="278"/>
      <c r="B621" s="279" t="str">
        <f t="shared" si="260"/>
        <v>sliding gyprock2100mm2701mm to 3000mmprestige</v>
      </c>
      <c r="C621" s="278" t="s">
        <v>1024</v>
      </c>
      <c r="D621" s="278" t="s">
        <v>557</v>
      </c>
      <c r="E621" s="278" t="s">
        <v>554</v>
      </c>
      <c r="F621" s="278" t="s">
        <v>545</v>
      </c>
      <c r="G621" s="278" t="s">
        <v>5</v>
      </c>
      <c r="H621" s="290">
        <v>2.08</v>
      </c>
      <c r="I621" s="280">
        <f t="shared" si="261"/>
        <v>167.68960000000001</v>
      </c>
      <c r="J621" s="281">
        <f t="shared" si="262"/>
        <v>190.17440000000002</v>
      </c>
      <c r="K621" s="282">
        <f>IF(Notes!$B$9="Domestic",I621, IF(Notes!$B$9="Commercial",J621))*$K$690</f>
        <v>190.17440000000002</v>
      </c>
      <c r="L621" s="283">
        <f>(SUM(O621:Q621)+(K621+SUM(M621:Q621))*(INDEX($U$690:$AB$690,MATCH(Notes!$C$16,$U$3:$AB$3,0))-100%))*$L$690</f>
        <v>737.81399999999996</v>
      </c>
      <c r="M621" s="286"/>
      <c r="N621" s="286"/>
      <c r="O621" s="311">
        <f>O620*1.2</f>
        <v>612.00480000000005</v>
      </c>
      <c r="P621" s="311">
        <f t="shared" si="263"/>
        <v>125.80919999999993</v>
      </c>
      <c r="Q621" s="285"/>
      <c r="R621" s="278"/>
      <c r="S621" s="278"/>
      <c r="T621" s="278"/>
    </row>
    <row r="622" spans="1:20" s="305" customFormat="1" hidden="1" outlineLevel="1" x14ac:dyDescent="0.25">
      <c r="A622" s="278"/>
      <c r="B622" s="279" t="str">
        <f t="shared" si="260"/>
        <v>sliding gyprock2100mm3001mm to 3300mmaverage</v>
      </c>
      <c r="C622" s="278" t="s">
        <v>1024</v>
      </c>
      <c r="D622" s="278" t="s">
        <v>557</v>
      </c>
      <c r="E622" s="278" t="s">
        <v>1019</v>
      </c>
      <c r="F622" s="278" t="s">
        <v>543</v>
      </c>
      <c r="G622" s="278" t="s">
        <v>5</v>
      </c>
      <c r="H622" s="290">
        <v>2.1800000000000002</v>
      </c>
      <c r="I622" s="280">
        <f t="shared" si="261"/>
        <v>175.75160000000002</v>
      </c>
      <c r="J622" s="281">
        <f t="shared" si="262"/>
        <v>199.31740000000002</v>
      </c>
      <c r="K622" s="282">
        <f>IF(Notes!$B$9="Domestic",I622, IF(Notes!$B$9="Commercial",J622))*$K$690</f>
        <v>199.31740000000002</v>
      </c>
      <c r="L622" s="283">
        <f>(SUM(O622:Q622)+(K622+SUM(M622:Q622))*(INDEX($U$690:$AB$690,MATCH(Notes!$C$16,$U$3:$AB$3,0))-100%))*$L$690</f>
        <v>581.99</v>
      </c>
      <c r="M622" s="286"/>
      <c r="N622" s="286"/>
      <c r="O622" s="285">
        <v>481.82</v>
      </c>
      <c r="P622" s="311">
        <f t="shared" si="263"/>
        <v>100.17000000000002</v>
      </c>
      <c r="Q622" s="285"/>
      <c r="R622" s="278"/>
      <c r="S622" s="278"/>
      <c r="T622" s="278"/>
    </row>
    <row r="623" spans="1:20" s="305" customFormat="1" hidden="1" outlineLevel="1" x14ac:dyDescent="0.25">
      <c r="A623" s="278"/>
      <c r="B623" s="279" t="str">
        <f t="shared" si="260"/>
        <v>sliding gyprock2100mm3001mm to 3300mmquality</v>
      </c>
      <c r="C623" s="278" t="s">
        <v>1024</v>
      </c>
      <c r="D623" s="278" t="s">
        <v>557</v>
      </c>
      <c r="E623" s="278" t="s">
        <v>1019</v>
      </c>
      <c r="F623" s="278" t="s">
        <v>544</v>
      </c>
      <c r="G623" s="278" t="s">
        <v>5</v>
      </c>
      <c r="H623" s="290">
        <v>2.1800000000000002</v>
      </c>
      <c r="I623" s="280">
        <f t="shared" si="261"/>
        <v>175.75160000000002</v>
      </c>
      <c r="J623" s="281">
        <f t="shared" si="262"/>
        <v>199.31740000000002</v>
      </c>
      <c r="K623" s="282">
        <f>IF(Notes!$B$9="Domestic",I623, IF(Notes!$B$9="Commercial",J623))*$K$690</f>
        <v>199.31740000000002</v>
      </c>
      <c r="L623" s="283">
        <f>(SUM(O623:Q623)+(K623+SUM(M623:Q623))*(INDEX($U$690:$AB$690,MATCH(Notes!$C$16,$U$3:$AB$3,0))-100%))*$L$690</f>
        <v>640.18900000000008</v>
      </c>
      <c r="M623" s="286"/>
      <c r="N623" s="286"/>
      <c r="O623" s="311">
        <f>O622*1.1</f>
        <v>530.00200000000007</v>
      </c>
      <c r="P623" s="311">
        <f t="shared" si="263"/>
        <v>110.18700000000003</v>
      </c>
      <c r="Q623" s="285"/>
      <c r="R623" s="278"/>
      <c r="S623" s="278"/>
      <c r="T623" s="278"/>
    </row>
    <row r="624" spans="1:20" s="305" customFormat="1" hidden="1" outlineLevel="1" x14ac:dyDescent="0.25">
      <c r="A624" s="278"/>
      <c r="B624" s="279" t="str">
        <f t="shared" si="260"/>
        <v>sliding gyprock2100mm3001mm to 3300mmprestige</v>
      </c>
      <c r="C624" s="278" t="s">
        <v>1024</v>
      </c>
      <c r="D624" s="278" t="s">
        <v>557</v>
      </c>
      <c r="E624" s="278" t="s">
        <v>1019</v>
      </c>
      <c r="F624" s="278" t="s">
        <v>545</v>
      </c>
      <c r="G624" s="278" t="s">
        <v>5</v>
      </c>
      <c r="H624" s="290">
        <v>2.1800000000000002</v>
      </c>
      <c r="I624" s="280">
        <f t="shared" si="261"/>
        <v>175.75160000000002</v>
      </c>
      <c r="J624" s="281">
        <f t="shared" si="262"/>
        <v>199.31740000000002</v>
      </c>
      <c r="K624" s="282">
        <f>IF(Notes!$B$9="Domestic",I624, IF(Notes!$B$9="Commercial",J624))*$K$690</f>
        <v>199.31740000000002</v>
      </c>
      <c r="L624" s="283">
        <f>(SUM(O624:Q624)+(K624+SUM(M624:Q624))*(INDEX($U$690:$AB$690,MATCH(Notes!$C$16,$U$3:$AB$3,0))-100%))*$L$690</f>
        <v>768.22680000000014</v>
      </c>
      <c r="M624" s="286"/>
      <c r="N624" s="286"/>
      <c r="O624" s="311">
        <f>O623*1.2</f>
        <v>636.00240000000008</v>
      </c>
      <c r="P624" s="311">
        <f t="shared" si="263"/>
        <v>132.22440000000003</v>
      </c>
      <c r="Q624" s="285"/>
      <c r="R624" s="278"/>
      <c r="S624" s="278"/>
      <c r="T624" s="278"/>
    </row>
    <row r="625" spans="1:20" s="305" customFormat="1" hidden="1" outlineLevel="1" x14ac:dyDescent="0.25">
      <c r="A625" s="278"/>
      <c r="B625" s="279" t="str">
        <f t="shared" si="260"/>
        <v>sliding gyprock2100mm3301mm to 3600mmaverage</v>
      </c>
      <c r="C625" s="278" t="s">
        <v>1024</v>
      </c>
      <c r="D625" s="278" t="s">
        <v>557</v>
      </c>
      <c r="E625" s="278" t="s">
        <v>1020</v>
      </c>
      <c r="F625" s="278" t="s">
        <v>543</v>
      </c>
      <c r="G625" s="278" t="s">
        <v>5</v>
      </c>
      <c r="H625" s="290">
        <v>2.2799999999999998</v>
      </c>
      <c r="I625" s="280">
        <f t="shared" si="261"/>
        <v>183.81360000000001</v>
      </c>
      <c r="J625" s="281">
        <f t="shared" si="262"/>
        <v>208.46039999999999</v>
      </c>
      <c r="K625" s="282">
        <f>IF(Notes!$B$9="Domestic",I625, IF(Notes!$B$9="Commercial",J625))*$K$690</f>
        <v>208.46039999999999</v>
      </c>
      <c r="L625" s="283">
        <f>(SUM(O625:Q625)+(K625+SUM(M625:Q625))*(INDEX($U$690:$AB$690,MATCH(Notes!$C$16,$U$3:$AB$3,0))-100%))*$L$690</f>
        <v>595.94000000000005</v>
      </c>
      <c r="M625" s="286"/>
      <c r="N625" s="286"/>
      <c r="O625" s="285">
        <v>490.91</v>
      </c>
      <c r="P625" s="311">
        <f t="shared" si="263"/>
        <v>105.03000000000009</v>
      </c>
      <c r="Q625" s="285"/>
      <c r="R625" s="278"/>
      <c r="S625" s="278"/>
      <c r="T625" s="278"/>
    </row>
    <row r="626" spans="1:20" s="305" customFormat="1" hidden="1" outlineLevel="1" x14ac:dyDescent="0.25">
      <c r="A626" s="278"/>
      <c r="B626" s="279" t="str">
        <f t="shared" si="260"/>
        <v>sliding gyprock2100mm3301mm to 3600mmquality</v>
      </c>
      <c r="C626" s="278" t="s">
        <v>1024</v>
      </c>
      <c r="D626" s="278" t="s">
        <v>557</v>
      </c>
      <c r="E626" s="278" t="s">
        <v>1020</v>
      </c>
      <c r="F626" s="278" t="s">
        <v>544</v>
      </c>
      <c r="G626" s="278" t="s">
        <v>5</v>
      </c>
      <c r="H626" s="290">
        <v>2.2799999999999998</v>
      </c>
      <c r="I626" s="280">
        <f t="shared" si="261"/>
        <v>183.81360000000001</v>
      </c>
      <c r="J626" s="281">
        <f t="shared" si="262"/>
        <v>208.46039999999999</v>
      </c>
      <c r="K626" s="282">
        <f>IF(Notes!$B$9="Domestic",I626, IF(Notes!$B$9="Commercial",J626))*$K$690</f>
        <v>208.46039999999999</v>
      </c>
      <c r="L626" s="283">
        <f>(SUM(O626:Q626)+(K626+SUM(M626:Q626))*(INDEX($U$690:$AB$690,MATCH(Notes!$C$16,$U$3:$AB$3,0))-100%))*$L$690</f>
        <v>655.53400000000022</v>
      </c>
      <c r="M626" s="286"/>
      <c r="N626" s="286"/>
      <c r="O626" s="311">
        <f>O625*1.1</f>
        <v>540.00100000000009</v>
      </c>
      <c r="P626" s="311">
        <f t="shared" si="263"/>
        <v>115.5330000000001</v>
      </c>
      <c r="Q626" s="285"/>
      <c r="R626" s="278"/>
      <c r="S626" s="278"/>
      <c r="T626" s="278"/>
    </row>
    <row r="627" spans="1:20" s="305" customFormat="1" hidden="1" outlineLevel="1" x14ac:dyDescent="0.25">
      <c r="A627" s="278"/>
      <c r="B627" s="279" t="str">
        <f t="shared" si="260"/>
        <v>sliding gyprock2100mm3301mm to 3600mmprestige</v>
      </c>
      <c r="C627" s="278" t="s">
        <v>1024</v>
      </c>
      <c r="D627" s="278" t="s">
        <v>557</v>
      </c>
      <c r="E627" s="278" t="s">
        <v>1020</v>
      </c>
      <c r="F627" s="278" t="s">
        <v>545</v>
      </c>
      <c r="G627" s="278" t="s">
        <v>5</v>
      </c>
      <c r="H627" s="290">
        <v>2.2799999999999998</v>
      </c>
      <c r="I627" s="280">
        <f t="shared" si="261"/>
        <v>183.81360000000001</v>
      </c>
      <c r="J627" s="281">
        <f t="shared" si="262"/>
        <v>208.46039999999999</v>
      </c>
      <c r="K627" s="282">
        <f>IF(Notes!$B$9="Domestic",I627, IF(Notes!$B$9="Commercial",J627))*$K$690</f>
        <v>208.46039999999999</v>
      </c>
      <c r="L627" s="283">
        <f>(SUM(O627:Q627)+(K627+SUM(M627:Q627))*(INDEX($U$690:$AB$690,MATCH(Notes!$C$16,$U$3:$AB$3,0))-100%))*$L$690</f>
        <v>786.64080000000013</v>
      </c>
      <c r="M627" s="286"/>
      <c r="N627" s="286"/>
      <c r="O627" s="311">
        <f>O626*1.2</f>
        <v>648.00120000000004</v>
      </c>
      <c r="P627" s="311">
        <f t="shared" si="263"/>
        <v>138.63960000000012</v>
      </c>
      <c r="Q627" s="285"/>
      <c r="R627" s="278"/>
      <c r="S627" s="278"/>
      <c r="T627" s="278"/>
    </row>
    <row r="628" spans="1:20" s="305" customFormat="1" hidden="1" outlineLevel="1" x14ac:dyDescent="0.25">
      <c r="A628" s="278"/>
      <c r="B628" s="279" t="str">
        <f t="shared" si="260"/>
        <v>sliding gyprock2400mmup to 1500mmaverage</v>
      </c>
      <c r="C628" s="278" t="s">
        <v>1024</v>
      </c>
      <c r="D628" s="278" t="s">
        <v>558</v>
      </c>
      <c r="E628" s="278" t="s">
        <v>1018</v>
      </c>
      <c r="F628" s="278" t="s">
        <v>543</v>
      </c>
      <c r="G628" s="278" t="s">
        <v>5</v>
      </c>
      <c r="H628" s="290">
        <v>1.62</v>
      </c>
      <c r="I628" s="280">
        <f t="shared" si="261"/>
        <v>130.60440000000003</v>
      </c>
      <c r="J628" s="281">
        <f t="shared" si="262"/>
        <v>148.11660000000003</v>
      </c>
      <c r="K628" s="282">
        <f>IF(Notes!$B$9="Domestic",I628, IF(Notes!$B$9="Commercial",J628))*$K$690</f>
        <v>148.11660000000003</v>
      </c>
      <c r="L628" s="283">
        <f>(SUM(O628:Q628)+(K628+SUM(M628:Q628))*(INDEX($U$690:$AB$690,MATCH(Notes!$C$16,$U$3:$AB$3,0))-100%))*$L$690</f>
        <v>409.25</v>
      </c>
      <c r="M628" s="286"/>
      <c r="N628" s="286"/>
      <c r="O628" s="285">
        <v>336.36</v>
      </c>
      <c r="P628" s="311">
        <f t="shared" si="263"/>
        <v>72.889999999999986</v>
      </c>
      <c r="Q628" s="285"/>
      <c r="R628" s="278"/>
      <c r="S628" s="278"/>
      <c r="T628" s="278"/>
    </row>
    <row r="629" spans="1:20" s="305" customFormat="1" hidden="1" outlineLevel="1" x14ac:dyDescent="0.25">
      <c r="A629" s="278"/>
      <c r="B629" s="279" t="str">
        <f t="shared" si="260"/>
        <v>sliding gyprock2400mmup to 1500mmquality</v>
      </c>
      <c r="C629" s="278" t="s">
        <v>1024</v>
      </c>
      <c r="D629" s="278" t="s">
        <v>558</v>
      </c>
      <c r="E629" s="278" t="s">
        <v>1018</v>
      </c>
      <c r="F629" s="278" t="s">
        <v>544</v>
      </c>
      <c r="G629" s="278" t="s">
        <v>5</v>
      </c>
      <c r="H629" s="290">
        <v>1.62</v>
      </c>
      <c r="I629" s="280">
        <f t="shared" si="261"/>
        <v>130.60440000000003</v>
      </c>
      <c r="J629" s="281">
        <f t="shared" si="262"/>
        <v>148.11660000000003</v>
      </c>
      <c r="K629" s="282">
        <f>IF(Notes!$B$9="Domestic",I629, IF(Notes!$B$9="Commercial",J629))*$K$690</f>
        <v>148.11660000000003</v>
      </c>
      <c r="L629" s="283">
        <f>(SUM(O629:Q629)+(K629+SUM(M629:Q629))*(INDEX($U$690:$AB$690,MATCH(Notes!$C$16,$U$3:$AB$3,0))-100%))*$L$690</f>
        <v>450.17500000000001</v>
      </c>
      <c r="M629" s="286"/>
      <c r="N629" s="286"/>
      <c r="O629" s="311">
        <f>O628*1.1</f>
        <v>369.99600000000004</v>
      </c>
      <c r="P629" s="311">
        <f t="shared" si="263"/>
        <v>80.178999999999988</v>
      </c>
      <c r="Q629" s="285"/>
      <c r="R629" s="278"/>
      <c r="S629" s="278"/>
      <c r="T629" s="278"/>
    </row>
    <row r="630" spans="1:20" s="305" customFormat="1" hidden="1" outlineLevel="1" x14ac:dyDescent="0.25">
      <c r="A630" s="278"/>
      <c r="B630" s="279" t="str">
        <f t="shared" si="260"/>
        <v>sliding gyprock2400mmup to 1500mmprestige</v>
      </c>
      <c r="C630" s="278" t="s">
        <v>1024</v>
      </c>
      <c r="D630" s="278" t="s">
        <v>558</v>
      </c>
      <c r="E630" s="278" t="s">
        <v>1018</v>
      </c>
      <c r="F630" s="278" t="s">
        <v>545</v>
      </c>
      <c r="G630" s="278" t="s">
        <v>5</v>
      </c>
      <c r="H630" s="290">
        <v>1.62</v>
      </c>
      <c r="I630" s="280">
        <f t="shared" si="261"/>
        <v>130.60440000000003</v>
      </c>
      <c r="J630" s="281">
        <f t="shared" si="262"/>
        <v>148.11660000000003</v>
      </c>
      <c r="K630" s="282">
        <f>IF(Notes!$B$9="Domestic",I630, IF(Notes!$B$9="Commercial",J630))*$K$690</f>
        <v>148.11660000000003</v>
      </c>
      <c r="L630" s="283">
        <f>(SUM(O630:Q630)+(K630+SUM(M630:Q630))*(INDEX($U$690:$AB$690,MATCH(Notes!$C$16,$U$3:$AB$3,0))-100%))*$L$690</f>
        <v>540.21</v>
      </c>
      <c r="M630" s="286"/>
      <c r="N630" s="286"/>
      <c r="O630" s="311">
        <f>O629*1.2</f>
        <v>443.99520000000001</v>
      </c>
      <c r="P630" s="311">
        <f t="shared" si="263"/>
        <v>96.214799999999983</v>
      </c>
      <c r="Q630" s="285"/>
      <c r="R630" s="278"/>
      <c r="S630" s="278"/>
      <c r="T630" s="278"/>
    </row>
    <row r="631" spans="1:20" s="305" customFormat="1" hidden="1" outlineLevel="1" x14ac:dyDescent="0.25">
      <c r="A631" s="278"/>
      <c r="B631" s="279" t="str">
        <f t="shared" si="260"/>
        <v>sliding gyprock2400mm1501mm to 1800mmaverage</v>
      </c>
      <c r="C631" s="278" t="s">
        <v>1024</v>
      </c>
      <c r="D631" s="278" t="s">
        <v>558</v>
      </c>
      <c r="E631" s="278" t="s">
        <v>550</v>
      </c>
      <c r="F631" s="278" t="s">
        <v>543</v>
      </c>
      <c r="G631" s="278" t="s">
        <v>5</v>
      </c>
      <c r="H631" s="290">
        <v>1.83</v>
      </c>
      <c r="I631" s="280">
        <f t="shared" si="261"/>
        <v>147.53460000000001</v>
      </c>
      <c r="J631" s="281">
        <f t="shared" si="262"/>
        <v>167.31690000000003</v>
      </c>
      <c r="K631" s="282">
        <f>IF(Notes!$B$9="Domestic",I631, IF(Notes!$B$9="Commercial",J631))*$K$690</f>
        <v>167.31690000000003</v>
      </c>
      <c r="L631" s="283">
        <f>(SUM(O631:Q631)+(K631+SUM(M631:Q631))*(INDEX($U$690:$AB$690,MATCH(Notes!$C$16,$U$3:$AB$3,0))-100%))*$L$690</f>
        <v>428.06</v>
      </c>
      <c r="M631" s="286"/>
      <c r="N631" s="286"/>
      <c r="O631" s="285">
        <v>345.45</v>
      </c>
      <c r="P631" s="311">
        <f t="shared" si="263"/>
        <v>82.610000000000014</v>
      </c>
      <c r="Q631" s="285"/>
      <c r="R631" s="278"/>
      <c r="S631" s="278"/>
      <c r="T631" s="278"/>
    </row>
    <row r="632" spans="1:20" s="305" customFormat="1" hidden="1" outlineLevel="1" x14ac:dyDescent="0.25">
      <c r="A632" s="278"/>
      <c r="B632" s="279" t="str">
        <f t="shared" si="260"/>
        <v>sliding gyprock2400mm1501mm to 1800mmquality</v>
      </c>
      <c r="C632" s="278" t="s">
        <v>1024</v>
      </c>
      <c r="D632" s="278" t="s">
        <v>558</v>
      </c>
      <c r="E632" s="278" t="s">
        <v>550</v>
      </c>
      <c r="F632" s="278" t="s">
        <v>544</v>
      </c>
      <c r="G632" s="278" t="s">
        <v>5</v>
      </c>
      <c r="H632" s="290">
        <v>1.83</v>
      </c>
      <c r="I632" s="280">
        <f t="shared" si="261"/>
        <v>147.53460000000001</v>
      </c>
      <c r="J632" s="281">
        <f t="shared" si="262"/>
        <v>167.31690000000003</v>
      </c>
      <c r="K632" s="282">
        <f>IF(Notes!$B$9="Domestic",I632, IF(Notes!$B$9="Commercial",J632))*$K$690</f>
        <v>167.31690000000003</v>
      </c>
      <c r="L632" s="283">
        <f>(SUM(O632:Q632)+(K632+SUM(M632:Q632))*(INDEX($U$690:$AB$690,MATCH(Notes!$C$16,$U$3:$AB$3,0))-100%))*$L$690</f>
        <v>470.86600000000004</v>
      </c>
      <c r="M632" s="286"/>
      <c r="N632" s="286"/>
      <c r="O632" s="311">
        <f>O631*1.1</f>
        <v>379.995</v>
      </c>
      <c r="P632" s="311">
        <f t="shared" si="263"/>
        <v>90.871000000000024</v>
      </c>
      <c r="Q632" s="285"/>
      <c r="R632" s="278"/>
      <c r="S632" s="278"/>
      <c r="T632" s="278"/>
    </row>
    <row r="633" spans="1:20" s="305" customFormat="1" hidden="1" outlineLevel="1" x14ac:dyDescent="0.25">
      <c r="A633" s="278"/>
      <c r="B633" s="279" t="str">
        <f t="shared" si="260"/>
        <v>sliding gyprock2400mm1501mm to 1800mmprestige</v>
      </c>
      <c r="C633" s="278" t="s">
        <v>1024</v>
      </c>
      <c r="D633" s="278" t="s">
        <v>558</v>
      </c>
      <c r="E633" s="278" t="s">
        <v>550</v>
      </c>
      <c r="F633" s="278" t="s">
        <v>545</v>
      </c>
      <c r="G633" s="278" t="s">
        <v>5</v>
      </c>
      <c r="H633" s="290">
        <v>1.83</v>
      </c>
      <c r="I633" s="280">
        <f t="shared" si="261"/>
        <v>147.53460000000001</v>
      </c>
      <c r="J633" s="281">
        <f t="shared" si="262"/>
        <v>167.31690000000003</v>
      </c>
      <c r="K633" s="282">
        <f>IF(Notes!$B$9="Domestic",I633, IF(Notes!$B$9="Commercial",J633))*$K$690</f>
        <v>167.31690000000003</v>
      </c>
      <c r="L633" s="283">
        <f>(SUM(O633:Q633)+(K633+SUM(M633:Q633))*(INDEX($U$690:$AB$690,MATCH(Notes!$C$16,$U$3:$AB$3,0))-100%))*$L$690</f>
        <v>565.03919999999994</v>
      </c>
      <c r="M633" s="286"/>
      <c r="N633" s="286"/>
      <c r="O633" s="311">
        <f>O632*1.2</f>
        <v>455.99399999999997</v>
      </c>
      <c r="P633" s="311">
        <f t="shared" si="263"/>
        <v>109.04520000000002</v>
      </c>
      <c r="Q633" s="285"/>
      <c r="R633" s="278"/>
      <c r="S633" s="278"/>
      <c r="T633" s="278"/>
    </row>
    <row r="634" spans="1:20" s="305" customFormat="1" hidden="1" outlineLevel="1" x14ac:dyDescent="0.25">
      <c r="A634" s="278"/>
      <c r="B634" s="279" t="str">
        <f t="shared" si="260"/>
        <v>sliding gyprock2400mm1801mm to 2100mmaverage</v>
      </c>
      <c r="C634" s="278" t="s">
        <v>1024</v>
      </c>
      <c r="D634" s="278" t="s">
        <v>558</v>
      </c>
      <c r="E634" s="278" t="s">
        <v>551</v>
      </c>
      <c r="F634" s="278" t="s">
        <v>543</v>
      </c>
      <c r="G634" s="278" t="s">
        <v>5</v>
      </c>
      <c r="H634" s="290">
        <v>1.93</v>
      </c>
      <c r="I634" s="280">
        <f t="shared" si="261"/>
        <v>155.5966</v>
      </c>
      <c r="J634" s="281">
        <f t="shared" si="262"/>
        <v>176.4599</v>
      </c>
      <c r="K634" s="282">
        <f>IF(Notes!$B$9="Domestic",I634, IF(Notes!$B$9="Commercial",J634))*$K$690</f>
        <v>176.4599</v>
      </c>
      <c r="L634" s="283">
        <f>(SUM(O634:Q634)+(K634+SUM(M634:Q634))*(INDEX($U$690:$AB$690,MATCH(Notes!$C$16,$U$3:$AB$3,0))-100%))*$L$690</f>
        <v>442.02000000000004</v>
      </c>
      <c r="M634" s="286"/>
      <c r="N634" s="286"/>
      <c r="O634" s="285">
        <v>354.55</v>
      </c>
      <c r="P634" s="311">
        <f t="shared" si="263"/>
        <v>87.470000000000027</v>
      </c>
      <c r="Q634" s="285"/>
      <c r="R634" s="278"/>
      <c r="S634" s="278"/>
      <c r="T634" s="278"/>
    </row>
    <row r="635" spans="1:20" s="305" customFormat="1" hidden="1" outlineLevel="1" x14ac:dyDescent="0.25">
      <c r="A635" s="278"/>
      <c r="B635" s="279" t="str">
        <f t="shared" si="260"/>
        <v>sliding gyprock2400mm1801mm to 2100mmquality</v>
      </c>
      <c r="C635" s="278" t="s">
        <v>1024</v>
      </c>
      <c r="D635" s="278" t="s">
        <v>558</v>
      </c>
      <c r="E635" s="278" t="s">
        <v>551</v>
      </c>
      <c r="F635" s="278" t="s">
        <v>544</v>
      </c>
      <c r="G635" s="278" t="s">
        <v>5</v>
      </c>
      <c r="H635" s="290">
        <v>1.93</v>
      </c>
      <c r="I635" s="280">
        <f t="shared" si="261"/>
        <v>155.5966</v>
      </c>
      <c r="J635" s="281">
        <f t="shared" si="262"/>
        <v>176.4599</v>
      </c>
      <c r="K635" s="282">
        <f>IF(Notes!$B$9="Domestic",I635, IF(Notes!$B$9="Commercial",J635))*$K$690</f>
        <v>176.4599</v>
      </c>
      <c r="L635" s="283">
        <f>(SUM(O635:Q635)+(K635+SUM(M635:Q635))*(INDEX($U$690:$AB$690,MATCH(Notes!$C$16,$U$3:$AB$3,0))-100%))*$L$690</f>
        <v>486.22200000000009</v>
      </c>
      <c r="M635" s="286"/>
      <c r="N635" s="286"/>
      <c r="O635" s="311">
        <f>O634*1.1</f>
        <v>390.00500000000005</v>
      </c>
      <c r="P635" s="311">
        <f t="shared" si="263"/>
        <v>96.217000000000041</v>
      </c>
      <c r="Q635" s="285"/>
      <c r="R635" s="278"/>
      <c r="S635" s="278"/>
      <c r="T635" s="278"/>
    </row>
    <row r="636" spans="1:20" s="305" customFormat="1" hidden="1" outlineLevel="1" x14ac:dyDescent="0.25">
      <c r="A636" s="278"/>
      <c r="B636" s="279" t="str">
        <f t="shared" si="260"/>
        <v>sliding gyprock2400mm1801mm to 2100mmprestige</v>
      </c>
      <c r="C636" s="278" t="s">
        <v>1024</v>
      </c>
      <c r="D636" s="278" t="s">
        <v>558</v>
      </c>
      <c r="E636" s="278" t="s">
        <v>551</v>
      </c>
      <c r="F636" s="278" t="s">
        <v>545</v>
      </c>
      <c r="G636" s="278" t="s">
        <v>5</v>
      </c>
      <c r="H636" s="290">
        <v>1.93</v>
      </c>
      <c r="I636" s="280">
        <f t="shared" si="261"/>
        <v>155.5966</v>
      </c>
      <c r="J636" s="281">
        <f t="shared" si="262"/>
        <v>176.4599</v>
      </c>
      <c r="K636" s="282">
        <f>IF(Notes!$B$9="Domestic",I636, IF(Notes!$B$9="Commercial",J636))*$K$690</f>
        <v>176.4599</v>
      </c>
      <c r="L636" s="283">
        <f>(SUM(O636:Q636)+(K636+SUM(M636:Q636))*(INDEX($U$690:$AB$690,MATCH(Notes!$C$16,$U$3:$AB$3,0))-100%))*$L$690</f>
        <v>583.46640000000002</v>
      </c>
      <c r="M636" s="286"/>
      <c r="N636" s="286"/>
      <c r="O636" s="311">
        <f>O635*1.2</f>
        <v>468.00600000000003</v>
      </c>
      <c r="P636" s="311">
        <f t="shared" si="263"/>
        <v>115.46040000000005</v>
      </c>
      <c r="Q636" s="285"/>
      <c r="R636" s="278"/>
      <c r="S636" s="278"/>
      <c r="T636" s="278"/>
    </row>
    <row r="637" spans="1:20" s="305" customFormat="1" hidden="1" outlineLevel="1" x14ac:dyDescent="0.25">
      <c r="A637" s="278"/>
      <c r="B637" s="279" t="str">
        <f t="shared" si="260"/>
        <v>sliding gyprock2400mm2101mm to 2400mmaverage</v>
      </c>
      <c r="C637" s="278" t="s">
        <v>1024</v>
      </c>
      <c r="D637" s="278" t="s">
        <v>558</v>
      </c>
      <c r="E637" s="278" t="s">
        <v>552</v>
      </c>
      <c r="F637" s="278" t="s">
        <v>543</v>
      </c>
      <c r="G637" s="278" t="s">
        <v>5</v>
      </c>
      <c r="H637" s="290">
        <v>2.0299999999999998</v>
      </c>
      <c r="I637" s="280">
        <f t="shared" si="261"/>
        <v>163.65860000000001</v>
      </c>
      <c r="J637" s="281">
        <f t="shared" si="262"/>
        <v>185.60290000000001</v>
      </c>
      <c r="K637" s="282">
        <f>IF(Notes!$B$9="Domestic",I637, IF(Notes!$B$9="Commercial",J637))*$K$690</f>
        <v>185.60290000000001</v>
      </c>
      <c r="L637" s="283">
        <f>(SUM(O637:Q637)+(K637+SUM(M637:Q637))*(INDEX($U$690:$AB$690,MATCH(Notes!$C$16,$U$3:$AB$3,0))-100%))*$L$690</f>
        <v>465.06000000000006</v>
      </c>
      <c r="M637" s="286"/>
      <c r="N637" s="286"/>
      <c r="O637" s="285">
        <v>372.73</v>
      </c>
      <c r="P637" s="311">
        <f t="shared" si="263"/>
        <v>92.330000000000041</v>
      </c>
      <c r="Q637" s="285"/>
      <c r="R637" s="278"/>
      <c r="S637" s="278"/>
      <c r="T637" s="278"/>
    </row>
    <row r="638" spans="1:20" s="305" customFormat="1" hidden="1" outlineLevel="1" x14ac:dyDescent="0.25">
      <c r="A638" s="278"/>
      <c r="B638" s="279" t="str">
        <f t="shared" si="260"/>
        <v>sliding gyprock2400mm2101mm to 2400mmquality</v>
      </c>
      <c r="C638" s="278" t="s">
        <v>1024</v>
      </c>
      <c r="D638" s="278" t="s">
        <v>558</v>
      </c>
      <c r="E638" s="278" t="s">
        <v>552</v>
      </c>
      <c r="F638" s="278" t="s">
        <v>544</v>
      </c>
      <c r="G638" s="278" t="s">
        <v>5</v>
      </c>
      <c r="H638" s="290">
        <v>2.0299999999999998</v>
      </c>
      <c r="I638" s="280">
        <f t="shared" si="261"/>
        <v>163.65860000000001</v>
      </c>
      <c r="J638" s="281">
        <f t="shared" si="262"/>
        <v>185.60290000000001</v>
      </c>
      <c r="K638" s="282">
        <f>IF(Notes!$B$9="Domestic",I638, IF(Notes!$B$9="Commercial",J638))*$K$690</f>
        <v>185.60290000000001</v>
      </c>
      <c r="L638" s="283">
        <f>(SUM(O638:Q638)+(K638+SUM(M638:Q638))*(INDEX($U$690:$AB$690,MATCH(Notes!$C$16,$U$3:$AB$3,0))-100%))*$L$690</f>
        <v>511.56600000000009</v>
      </c>
      <c r="M638" s="286"/>
      <c r="N638" s="286"/>
      <c r="O638" s="311">
        <f>O637*1.1</f>
        <v>410.00300000000004</v>
      </c>
      <c r="P638" s="311">
        <f t="shared" si="263"/>
        <v>101.56300000000006</v>
      </c>
      <c r="Q638" s="285"/>
      <c r="R638" s="278"/>
      <c r="S638" s="278"/>
      <c r="T638" s="278"/>
    </row>
    <row r="639" spans="1:20" s="305" customFormat="1" hidden="1" outlineLevel="1" x14ac:dyDescent="0.25">
      <c r="A639" s="278"/>
      <c r="B639" s="279" t="str">
        <f t="shared" si="260"/>
        <v>sliding gyprock2400mm2101mm to 2400mmprestige</v>
      </c>
      <c r="C639" s="278" t="s">
        <v>1024</v>
      </c>
      <c r="D639" s="278" t="s">
        <v>558</v>
      </c>
      <c r="E639" s="278" t="s">
        <v>552</v>
      </c>
      <c r="F639" s="278" t="s">
        <v>545</v>
      </c>
      <c r="G639" s="278" t="s">
        <v>5</v>
      </c>
      <c r="H639" s="290">
        <v>2.0299999999999998</v>
      </c>
      <c r="I639" s="280">
        <f t="shared" si="261"/>
        <v>163.65860000000001</v>
      </c>
      <c r="J639" s="281">
        <f t="shared" si="262"/>
        <v>185.60290000000001</v>
      </c>
      <c r="K639" s="282">
        <f>IF(Notes!$B$9="Domestic",I639, IF(Notes!$B$9="Commercial",J639))*$K$690</f>
        <v>185.60290000000001</v>
      </c>
      <c r="L639" s="283">
        <f>(SUM(O639:Q639)+(K639+SUM(M639:Q639))*(INDEX($U$690:$AB$690,MATCH(Notes!$C$16,$U$3:$AB$3,0))-100%))*$L$690</f>
        <v>613.87920000000008</v>
      </c>
      <c r="M639" s="286"/>
      <c r="N639" s="286"/>
      <c r="O639" s="311">
        <f>O638*1.2</f>
        <v>492.00360000000001</v>
      </c>
      <c r="P639" s="311">
        <f t="shared" si="263"/>
        <v>121.87560000000006</v>
      </c>
      <c r="Q639" s="285"/>
      <c r="R639" s="278"/>
      <c r="S639" s="278"/>
      <c r="T639" s="278"/>
    </row>
    <row r="640" spans="1:20" s="305" customFormat="1" hidden="1" outlineLevel="1" x14ac:dyDescent="0.25">
      <c r="A640" s="278"/>
      <c r="B640" s="279" t="str">
        <f t="shared" si="260"/>
        <v>sliding gyprock2400mm2401mm to 2700mmaverage</v>
      </c>
      <c r="C640" s="278" t="s">
        <v>1024</v>
      </c>
      <c r="D640" s="278" t="s">
        <v>558</v>
      </c>
      <c r="E640" s="278" t="s">
        <v>553</v>
      </c>
      <c r="F640" s="278" t="s">
        <v>543</v>
      </c>
      <c r="G640" s="278" t="s">
        <v>5</v>
      </c>
      <c r="H640" s="290">
        <v>2.13</v>
      </c>
      <c r="I640" s="280">
        <f t="shared" si="261"/>
        <v>171.72059999999999</v>
      </c>
      <c r="J640" s="281">
        <f t="shared" si="262"/>
        <v>194.74590000000001</v>
      </c>
      <c r="K640" s="282">
        <f>IF(Notes!$B$9="Domestic",I640, IF(Notes!$B$9="Commercial",J640))*$K$690</f>
        <v>194.74590000000001</v>
      </c>
      <c r="L640" s="283">
        <f>(SUM(O640:Q640)+(K640+SUM(M640:Q640))*(INDEX($U$690:$AB$690,MATCH(Notes!$C$16,$U$3:$AB$3,0))-100%))*$L$690</f>
        <v>624.46</v>
      </c>
      <c r="M640" s="286"/>
      <c r="N640" s="286"/>
      <c r="O640" s="285">
        <v>527.27</v>
      </c>
      <c r="P640" s="311">
        <f t="shared" si="263"/>
        <v>97.190000000000055</v>
      </c>
      <c r="Q640" s="285"/>
      <c r="R640" s="278"/>
      <c r="S640" s="278"/>
      <c r="T640" s="278"/>
    </row>
    <row r="641" spans="1:20" s="305" customFormat="1" hidden="1" outlineLevel="1" x14ac:dyDescent="0.25">
      <c r="A641" s="278"/>
      <c r="B641" s="279" t="str">
        <f t="shared" si="260"/>
        <v>sliding gyprock2400mm2401mm to 2700mmquality</v>
      </c>
      <c r="C641" s="278" t="s">
        <v>1024</v>
      </c>
      <c r="D641" s="278" t="s">
        <v>558</v>
      </c>
      <c r="E641" s="278" t="s">
        <v>553</v>
      </c>
      <c r="F641" s="278" t="s">
        <v>544</v>
      </c>
      <c r="G641" s="278" t="s">
        <v>5</v>
      </c>
      <c r="H641" s="290">
        <v>2.13</v>
      </c>
      <c r="I641" s="280">
        <f t="shared" si="261"/>
        <v>171.72059999999999</v>
      </c>
      <c r="J641" s="281">
        <f t="shared" si="262"/>
        <v>194.74590000000001</v>
      </c>
      <c r="K641" s="282">
        <f>IF(Notes!$B$9="Domestic",I641, IF(Notes!$B$9="Commercial",J641))*$K$690</f>
        <v>194.74590000000001</v>
      </c>
      <c r="L641" s="283">
        <f>(SUM(O641:Q641)+(K641+SUM(M641:Q641))*(INDEX($U$690:$AB$690,MATCH(Notes!$C$16,$U$3:$AB$3,0))-100%))*$L$690</f>
        <v>686.90600000000018</v>
      </c>
      <c r="M641" s="286"/>
      <c r="N641" s="286"/>
      <c r="O641" s="311">
        <f>O640*1.1</f>
        <v>579.99700000000007</v>
      </c>
      <c r="P641" s="311">
        <f t="shared" si="263"/>
        <v>106.90900000000006</v>
      </c>
      <c r="Q641" s="285"/>
      <c r="R641" s="278"/>
      <c r="S641" s="278"/>
      <c r="T641" s="278"/>
    </row>
    <row r="642" spans="1:20" s="305" customFormat="1" hidden="1" outlineLevel="1" x14ac:dyDescent="0.25">
      <c r="A642" s="278"/>
      <c r="B642" s="279" t="str">
        <f t="shared" si="260"/>
        <v>sliding gyprock2400mm2401mm to 2700mmprestige</v>
      </c>
      <c r="C642" s="278" t="s">
        <v>1024</v>
      </c>
      <c r="D642" s="278" t="s">
        <v>558</v>
      </c>
      <c r="E642" s="278" t="s">
        <v>553</v>
      </c>
      <c r="F642" s="278" t="s">
        <v>545</v>
      </c>
      <c r="G642" s="278" t="s">
        <v>5</v>
      </c>
      <c r="H642" s="290">
        <v>2.13</v>
      </c>
      <c r="I642" s="280">
        <f t="shared" si="261"/>
        <v>171.72059999999999</v>
      </c>
      <c r="J642" s="281">
        <f t="shared" si="262"/>
        <v>194.74590000000001</v>
      </c>
      <c r="K642" s="282">
        <f>IF(Notes!$B$9="Domestic",I642, IF(Notes!$B$9="Commercial",J642))*$K$690</f>
        <v>194.74590000000001</v>
      </c>
      <c r="L642" s="283">
        <f>(SUM(O642:Q642)+(K642+SUM(M642:Q642))*(INDEX($U$690:$AB$690,MATCH(Notes!$C$16,$U$3:$AB$3,0))-100%))*$L$690</f>
        <v>824.28720000000021</v>
      </c>
      <c r="M642" s="286"/>
      <c r="N642" s="286"/>
      <c r="O642" s="311">
        <f>O641*1.2</f>
        <v>695.99640000000011</v>
      </c>
      <c r="P642" s="311">
        <f t="shared" si="263"/>
        <v>128.29080000000008</v>
      </c>
      <c r="Q642" s="285"/>
      <c r="R642" s="278"/>
      <c r="S642" s="278"/>
      <c r="T642" s="278"/>
    </row>
    <row r="643" spans="1:20" s="305" customFormat="1" hidden="1" outlineLevel="1" x14ac:dyDescent="0.25">
      <c r="A643" s="278"/>
      <c r="B643" s="279" t="str">
        <f t="shared" si="260"/>
        <v>sliding gyprock2400mm2701mm to 3000mmaverage</v>
      </c>
      <c r="C643" s="278" t="s">
        <v>1024</v>
      </c>
      <c r="D643" s="278" t="s">
        <v>558</v>
      </c>
      <c r="E643" s="278" t="s">
        <v>554</v>
      </c>
      <c r="F643" s="278" t="s">
        <v>543</v>
      </c>
      <c r="G643" s="278" t="s">
        <v>5</v>
      </c>
      <c r="H643" s="290">
        <v>2.23</v>
      </c>
      <c r="I643" s="280">
        <f t="shared" si="261"/>
        <v>179.7826</v>
      </c>
      <c r="J643" s="281">
        <f t="shared" si="262"/>
        <v>203.88890000000001</v>
      </c>
      <c r="K643" s="282">
        <f>IF(Notes!$B$9="Domestic",I643, IF(Notes!$B$9="Commercial",J643))*$K$690</f>
        <v>203.88890000000001</v>
      </c>
      <c r="L643" s="283">
        <f>(SUM(O643:Q643)+(K643+SUM(M643:Q643))*(INDEX($U$690:$AB$690,MATCH(Notes!$C$16,$U$3:$AB$3,0))-100%))*$L$690</f>
        <v>638.41000000000008</v>
      </c>
      <c r="M643" s="286"/>
      <c r="N643" s="286"/>
      <c r="O643" s="311">
        <f>(O640+O646)/2</f>
        <v>536.36</v>
      </c>
      <c r="P643" s="311">
        <f t="shared" si="263"/>
        <v>102.05000000000007</v>
      </c>
      <c r="Q643" s="285"/>
      <c r="R643" s="278"/>
      <c r="S643" s="278"/>
      <c r="T643" s="278"/>
    </row>
    <row r="644" spans="1:20" s="305" customFormat="1" hidden="1" outlineLevel="1" x14ac:dyDescent="0.25">
      <c r="A644" s="278"/>
      <c r="B644" s="279" t="str">
        <f t="shared" si="260"/>
        <v>sliding gyprock2400mm2701mm to 3000mmquality</v>
      </c>
      <c r="C644" s="278" t="s">
        <v>1024</v>
      </c>
      <c r="D644" s="278" t="s">
        <v>558</v>
      </c>
      <c r="E644" s="278" t="s">
        <v>554</v>
      </c>
      <c r="F644" s="278" t="s">
        <v>544</v>
      </c>
      <c r="G644" s="278" t="s">
        <v>5</v>
      </c>
      <c r="H644" s="290">
        <v>2.23</v>
      </c>
      <c r="I644" s="280">
        <f t="shared" si="261"/>
        <v>179.7826</v>
      </c>
      <c r="J644" s="281">
        <f t="shared" si="262"/>
        <v>203.88890000000001</v>
      </c>
      <c r="K644" s="282">
        <f>IF(Notes!$B$9="Domestic",I644, IF(Notes!$B$9="Commercial",J644))*$K$690</f>
        <v>203.88890000000001</v>
      </c>
      <c r="L644" s="283">
        <f>(SUM(O644:Q644)+(K644+SUM(M644:Q644))*(INDEX($U$690:$AB$690,MATCH(Notes!$C$16,$U$3:$AB$3,0))-100%))*$L$690</f>
        <v>702.2510000000002</v>
      </c>
      <c r="M644" s="286"/>
      <c r="N644" s="286"/>
      <c r="O644" s="311">
        <f>O643*1.1</f>
        <v>589.99600000000009</v>
      </c>
      <c r="P644" s="311">
        <f t="shared" si="263"/>
        <v>112.25500000000008</v>
      </c>
      <c r="Q644" s="285"/>
      <c r="R644" s="278"/>
      <c r="S644" s="278"/>
      <c r="T644" s="278"/>
    </row>
    <row r="645" spans="1:20" s="305" customFormat="1" hidden="1" outlineLevel="1" x14ac:dyDescent="0.25">
      <c r="A645" s="278"/>
      <c r="B645" s="279" t="str">
        <f t="shared" si="260"/>
        <v>sliding gyprock2400mm2701mm to 3000mmprestige</v>
      </c>
      <c r="C645" s="278" t="s">
        <v>1024</v>
      </c>
      <c r="D645" s="278" t="s">
        <v>558</v>
      </c>
      <c r="E645" s="278" t="s">
        <v>554</v>
      </c>
      <c r="F645" s="278" t="s">
        <v>545</v>
      </c>
      <c r="G645" s="278" t="s">
        <v>5</v>
      </c>
      <c r="H645" s="290">
        <v>2.23</v>
      </c>
      <c r="I645" s="280">
        <f t="shared" si="261"/>
        <v>179.7826</v>
      </c>
      <c r="J645" s="281">
        <f t="shared" si="262"/>
        <v>203.88890000000001</v>
      </c>
      <c r="K645" s="282">
        <f>IF(Notes!$B$9="Domestic",I645, IF(Notes!$B$9="Commercial",J645))*$K$690</f>
        <v>203.88890000000001</v>
      </c>
      <c r="L645" s="283">
        <f>(SUM(O645:Q645)+(K645+SUM(M645:Q645))*(INDEX($U$690:$AB$690,MATCH(Notes!$C$16,$U$3:$AB$3,0))-100%))*$L$690</f>
        <v>842.7012000000002</v>
      </c>
      <c r="M645" s="286"/>
      <c r="N645" s="286"/>
      <c r="O645" s="311">
        <f>O644*1.2</f>
        <v>707.99520000000007</v>
      </c>
      <c r="P645" s="311">
        <f t="shared" si="263"/>
        <v>134.7060000000001</v>
      </c>
      <c r="Q645" s="285"/>
      <c r="R645" s="278"/>
      <c r="S645" s="278"/>
      <c r="T645" s="278"/>
    </row>
    <row r="646" spans="1:20" s="305" customFormat="1" hidden="1" outlineLevel="1" x14ac:dyDescent="0.25">
      <c r="A646" s="278"/>
      <c r="B646" s="279" t="str">
        <f t="shared" si="260"/>
        <v>sliding gyprock2400mm3001mm to 3300mmaverage</v>
      </c>
      <c r="C646" s="278" t="s">
        <v>1024</v>
      </c>
      <c r="D646" s="278" t="s">
        <v>558</v>
      </c>
      <c r="E646" s="278" t="s">
        <v>1019</v>
      </c>
      <c r="F646" s="278" t="s">
        <v>543</v>
      </c>
      <c r="G646" s="278" t="s">
        <v>5</v>
      </c>
      <c r="H646" s="290">
        <v>2.33</v>
      </c>
      <c r="I646" s="280">
        <f t="shared" si="261"/>
        <v>187.84460000000001</v>
      </c>
      <c r="J646" s="281">
        <f t="shared" si="262"/>
        <v>213.03190000000004</v>
      </c>
      <c r="K646" s="282">
        <f>IF(Notes!$B$9="Domestic",I646, IF(Notes!$B$9="Commercial",J646))*$K$690</f>
        <v>213.03190000000004</v>
      </c>
      <c r="L646" s="283">
        <f>(SUM(O646:Q646)+(K646+SUM(M646:Q646))*(INDEX($U$690:$AB$690,MATCH(Notes!$C$16,$U$3:$AB$3,0))-100%))*$L$690</f>
        <v>652.36000000000013</v>
      </c>
      <c r="M646" s="286"/>
      <c r="N646" s="286"/>
      <c r="O646" s="285">
        <v>545.45000000000005</v>
      </c>
      <c r="P646" s="311">
        <f t="shared" si="263"/>
        <v>106.91000000000003</v>
      </c>
      <c r="Q646" s="285"/>
      <c r="R646" s="278"/>
      <c r="S646" s="278"/>
      <c r="T646" s="278"/>
    </row>
    <row r="647" spans="1:20" s="305" customFormat="1" hidden="1" outlineLevel="1" x14ac:dyDescent="0.25">
      <c r="A647" s="278"/>
      <c r="B647" s="279" t="str">
        <f t="shared" si="260"/>
        <v>sliding gyprock2400mm3001mm to 3300mmquality</v>
      </c>
      <c r="C647" s="278" t="s">
        <v>1024</v>
      </c>
      <c r="D647" s="278" t="s">
        <v>558</v>
      </c>
      <c r="E647" s="278" t="s">
        <v>1019</v>
      </c>
      <c r="F647" s="278" t="s">
        <v>544</v>
      </c>
      <c r="G647" s="278" t="s">
        <v>5</v>
      </c>
      <c r="H647" s="290">
        <v>2.33</v>
      </c>
      <c r="I647" s="280">
        <f t="shared" si="261"/>
        <v>187.84460000000001</v>
      </c>
      <c r="J647" s="281">
        <f t="shared" si="262"/>
        <v>213.03190000000004</v>
      </c>
      <c r="K647" s="282">
        <f>IF(Notes!$B$9="Domestic",I647, IF(Notes!$B$9="Commercial",J647))*$K$690</f>
        <v>213.03190000000004</v>
      </c>
      <c r="L647" s="283">
        <f>(SUM(O647:Q647)+(K647+SUM(M647:Q647))*(INDEX($U$690:$AB$690,MATCH(Notes!$C$16,$U$3:$AB$3,0))-100%))*$L$690</f>
        <v>717.59600000000012</v>
      </c>
      <c r="M647" s="286"/>
      <c r="N647" s="286"/>
      <c r="O647" s="311">
        <f>O646*1.1</f>
        <v>599.99500000000012</v>
      </c>
      <c r="P647" s="311">
        <f t="shared" si="263"/>
        <v>117.60100000000004</v>
      </c>
      <c r="Q647" s="285"/>
      <c r="R647" s="278"/>
      <c r="S647" s="278"/>
      <c r="T647" s="278"/>
    </row>
    <row r="648" spans="1:20" s="305" customFormat="1" hidden="1" outlineLevel="1" x14ac:dyDescent="0.25">
      <c r="A648" s="278"/>
      <c r="B648" s="279" t="str">
        <f t="shared" si="260"/>
        <v>sliding gyprock2400mm3001mm to 3300mmprestige</v>
      </c>
      <c r="C648" s="278" t="s">
        <v>1024</v>
      </c>
      <c r="D648" s="278" t="s">
        <v>558</v>
      </c>
      <c r="E648" s="278" t="s">
        <v>1019</v>
      </c>
      <c r="F648" s="278" t="s">
        <v>545</v>
      </c>
      <c r="G648" s="278" t="s">
        <v>5</v>
      </c>
      <c r="H648" s="290">
        <v>2.33</v>
      </c>
      <c r="I648" s="280">
        <f t="shared" si="261"/>
        <v>187.84460000000001</v>
      </c>
      <c r="J648" s="281">
        <f t="shared" si="262"/>
        <v>213.03190000000004</v>
      </c>
      <c r="K648" s="282">
        <f>IF(Notes!$B$9="Domestic",I648, IF(Notes!$B$9="Commercial",J648))*$K$690</f>
        <v>213.03190000000004</v>
      </c>
      <c r="L648" s="283">
        <f>(SUM(O648:Q648)+(K648+SUM(M648:Q648))*(INDEX($U$690:$AB$690,MATCH(Notes!$C$16,$U$3:$AB$3,0))-100%))*$L$690</f>
        <v>861.11520000000019</v>
      </c>
      <c r="M648" s="286"/>
      <c r="N648" s="286"/>
      <c r="O648" s="311">
        <f>O647*1.2</f>
        <v>719.99400000000014</v>
      </c>
      <c r="P648" s="311">
        <f t="shared" si="263"/>
        <v>141.12120000000004</v>
      </c>
      <c r="Q648" s="285"/>
      <c r="R648" s="278"/>
      <c r="S648" s="278"/>
      <c r="T648" s="278"/>
    </row>
    <row r="649" spans="1:20" s="305" customFormat="1" hidden="1" outlineLevel="1" x14ac:dyDescent="0.25">
      <c r="A649" s="278"/>
      <c r="B649" s="279" t="str">
        <f t="shared" si="260"/>
        <v>sliding gyprock2400mm3301mm to 3600mmaverage</v>
      </c>
      <c r="C649" s="278" t="s">
        <v>1024</v>
      </c>
      <c r="D649" s="278" t="s">
        <v>558</v>
      </c>
      <c r="E649" s="278" t="s">
        <v>1020</v>
      </c>
      <c r="F649" s="278" t="s">
        <v>543</v>
      </c>
      <c r="G649" s="278" t="s">
        <v>5</v>
      </c>
      <c r="H649" s="290">
        <v>2.44</v>
      </c>
      <c r="I649" s="280">
        <f t="shared" si="261"/>
        <v>196.71280000000002</v>
      </c>
      <c r="J649" s="281">
        <f t="shared" si="262"/>
        <v>223.08920000000001</v>
      </c>
      <c r="K649" s="282">
        <f>IF(Notes!$B$9="Domestic",I649, IF(Notes!$B$9="Commercial",J649))*$K$690</f>
        <v>223.08920000000001</v>
      </c>
      <c r="L649" s="283">
        <f>(SUM(O649:Q649)+(K649+SUM(M649:Q649))*(INDEX($U$690:$AB$690,MATCH(Notes!$C$16,$U$3:$AB$3,0))-100%))*$L$690</f>
        <v>666.46405343426068</v>
      </c>
      <c r="M649" s="286"/>
      <c r="N649" s="286"/>
      <c r="O649" s="311">
        <f>O646*O646/O643</f>
        <v>554.6940534342607</v>
      </c>
      <c r="P649" s="311">
        <f t="shared" si="263"/>
        <v>111.76999999999998</v>
      </c>
      <c r="Q649" s="285"/>
      <c r="R649" s="278"/>
      <c r="S649" s="278"/>
      <c r="T649" s="278"/>
    </row>
    <row r="650" spans="1:20" s="305" customFormat="1" hidden="1" outlineLevel="1" x14ac:dyDescent="0.25">
      <c r="A650" s="278"/>
      <c r="B650" s="279" t="str">
        <f t="shared" si="260"/>
        <v>sliding gyprock2400mm3301mm to 3600mmquality</v>
      </c>
      <c r="C650" s="278" t="s">
        <v>1024</v>
      </c>
      <c r="D650" s="278" t="s">
        <v>558</v>
      </c>
      <c r="E650" s="278" t="s">
        <v>1020</v>
      </c>
      <c r="F650" s="278" t="s">
        <v>544</v>
      </c>
      <c r="G650" s="278" t="s">
        <v>5</v>
      </c>
      <c r="H650" s="290">
        <v>2.44</v>
      </c>
      <c r="I650" s="280">
        <f t="shared" si="261"/>
        <v>196.71280000000002</v>
      </c>
      <c r="J650" s="281">
        <f t="shared" si="262"/>
        <v>223.08920000000001</v>
      </c>
      <c r="K650" s="282">
        <f>IF(Notes!$B$9="Domestic",I650, IF(Notes!$B$9="Commercial",J650))*$K$690</f>
        <v>223.08920000000001</v>
      </c>
      <c r="L650" s="283">
        <f>(SUM(O650:Q650)+(K650+SUM(M650:Q650))*(INDEX($U$690:$AB$690,MATCH(Notes!$C$16,$U$3:$AB$3,0))-100%))*$L$690</f>
        <v>733.11045877768686</v>
      </c>
      <c r="M650" s="286"/>
      <c r="N650" s="286"/>
      <c r="O650" s="311">
        <f>O649*1.1</f>
        <v>610.16345877768686</v>
      </c>
      <c r="P650" s="311">
        <f t="shared" si="263"/>
        <v>122.94699999999999</v>
      </c>
      <c r="Q650" s="285"/>
      <c r="R650" s="278"/>
      <c r="S650" s="278"/>
      <c r="T650" s="278"/>
    </row>
    <row r="651" spans="1:20" s="305" customFormat="1" hidden="1" outlineLevel="1" x14ac:dyDescent="0.25">
      <c r="A651" s="278"/>
      <c r="B651" s="279" t="str">
        <f t="shared" si="260"/>
        <v>sliding gyprock2400mm3301mm to 3600mmprestige</v>
      </c>
      <c r="C651" s="278" t="s">
        <v>1024</v>
      </c>
      <c r="D651" s="278" t="s">
        <v>558</v>
      </c>
      <c r="E651" s="278" t="s">
        <v>1020</v>
      </c>
      <c r="F651" s="278" t="s">
        <v>545</v>
      </c>
      <c r="G651" s="278" t="s">
        <v>5</v>
      </c>
      <c r="H651" s="290">
        <v>2.44</v>
      </c>
      <c r="I651" s="280">
        <f t="shared" si="261"/>
        <v>196.71280000000002</v>
      </c>
      <c r="J651" s="281">
        <f t="shared" si="262"/>
        <v>223.08920000000001</v>
      </c>
      <c r="K651" s="282">
        <f>IF(Notes!$B$9="Domestic",I651, IF(Notes!$B$9="Commercial",J651))*$K$690</f>
        <v>223.08920000000001</v>
      </c>
      <c r="L651" s="283">
        <f>(SUM(O651:Q651)+(K651+SUM(M651:Q651))*(INDEX($U$690:$AB$690,MATCH(Notes!$C$16,$U$3:$AB$3,0))-100%))*$L$690</f>
        <v>879.73255053322418</v>
      </c>
      <c r="M651" s="286"/>
      <c r="N651" s="286"/>
      <c r="O651" s="311">
        <f>O650*1.2</f>
        <v>732.19615053322423</v>
      </c>
      <c r="P651" s="311">
        <f t="shared" si="263"/>
        <v>147.53639999999999</v>
      </c>
      <c r="Q651" s="285"/>
      <c r="R651" s="278"/>
      <c r="S651" s="278"/>
      <c r="T651" s="278"/>
    </row>
    <row r="652" spans="1:20" s="305" customFormat="1" hidden="1" outlineLevel="1" x14ac:dyDescent="0.25">
      <c r="A652" s="278"/>
      <c r="B652" s="279" t="str">
        <f t="shared" si="260"/>
        <v>sliding gyprock2700mmup to 1500mmaverage</v>
      </c>
      <c r="C652" s="278" t="s">
        <v>1024</v>
      </c>
      <c r="D652" s="278" t="s">
        <v>779</v>
      </c>
      <c r="E652" s="278" t="s">
        <v>1018</v>
      </c>
      <c r="F652" s="278" t="s">
        <v>543</v>
      </c>
      <c r="G652" s="278" t="s">
        <v>5</v>
      </c>
      <c r="H652" s="308">
        <f t="shared" ref="H652:H675" si="264">H628+H628-H604</f>
        <v>1.7700000000000002</v>
      </c>
      <c r="I652" s="280">
        <f t="shared" si="261"/>
        <v>142.69740000000002</v>
      </c>
      <c r="J652" s="281">
        <f t="shared" si="262"/>
        <v>161.83110000000002</v>
      </c>
      <c r="K652" s="282">
        <f>IF(Notes!$B$9="Domestic",I652, IF(Notes!$B$9="Commercial",J652))*$K$690</f>
        <v>161.83110000000002</v>
      </c>
      <c r="L652" s="283">
        <f>(SUM(O652:Q652)+(K652+SUM(M652:Q652))*(INDEX($U$690:$AB$690,MATCH(Notes!$C$16,$U$3:$AB$3,0))-100%))*$L$690</f>
        <v>457.44356820559329</v>
      </c>
      <c r="M652" s="286"/>
      <c r="N652" s="286"/>
      <c r="O652" s="311">
        <f>O628*O628/O604</f>
        <v>377.12683200000004</v>
      </c>
      <c r="P652" s="311">
        <f t="shared" si="263"/>
        <v>80.316736205593273</v>
      </c>
      <c r="Q652" s="285"/>
      <c r="R652" s="278"/>
      <c r="S652" s="278"/>
      <c r="T652" s="278"/>
    </row>
    <row r="653" spans="1:20" s="305" customFormat="1" hidden="1" outlineLevel="1" x14ac:dyDescent="0.25">
      <c r="A653" s="278"/>
      <c r="B653" s="279" t="str">
        <f t="shared" si="260"/>
        <v>sliding gyprock2700mmup to 1500mmquality</v>
      </c>
      <c r="C653" s="278" t="s">
        <v>1024</v>
      </c>
      <c r="D653" s="278" t="s">
        <v>779</v>
      </c>
      <c r="E653" s="278" t="s">
        <v>1018</v>
      </c>
      <c r="F653" s="278" t="s">
        <v>544</v>
      </c>
      <c r="G653" s="278" t="s">
        <v>5</v>
      </c>
      <c r="H653" s="308">
        <f t="shared" si="264"/>
        <v>1.7700000000000002</v>
      </c>
      <c r="I653" s="280">
        <f t="shared" si="261"/>
        <v>142.69740000000002</v>
      </c>
      <c r="J653" s="281">
        <f t="shared" si="262"/>
        <v>161.83110000000002</v>
      </c>
      <c r="K653" s="282">
        <f>IF(Notes!$B$9="Domestic",I653, IF(Notes!$B$9="Commercial",J653))*$K$690</f>
        <v>161.83110000000002</v>
      </c>
      <c r="L653" s="283">
        <f>(SUM(O653:Q653)+(K653+SUM(M653:Q653))*(INDEX($U$690:$AB$690,MATCH(Notes!$C$16,$U$3:$AB$3,0))-100%))*$L$690</f>
        <v>503.18792502615264</v>
      </c>
      <c r="M653" s="286"/>
      <c r="N653" s="286"/>
      <c r="O653" s="311">
        <f>O652*1.1</f>
        <v>414.83951520000005</v>
      </c>
      <c r="P653" s="311">
        <f t="shared" si="263"/>
        <v>88.348409826152604</v>
      </c>
      <c r="Q653" s="285"/>
      <c r="R653" s="278"/>
      <c r="S653" s="278"/>
      <c r="T653" s="278"/>
    </row>
    <row r="654" spans="1:20" s="305" customFormat="1" hidden="1" outlineLevel="1" x14ac:dyDescent="0.25">
      <c r="A654" s="278"/>
      <c r="B654" s="279" t="str">
        <f t="shared" si="260"/>
        <v>sliding gyprock2700mmup to 1500mmprestige</v>
      </c>
      <c r="C654" s="278" t="s">
        <v>1024</v>
      </c>
      <c r="D654" s="278" t="s">
        <v>779</v>
      </c>
      <c r="E654" s="278" t="s">
        <v>1018</v>
      </c>
      <c r="F654" s="278" t="s">
        <v>545</v>
      </c>
      <c r="G654" s="278" t="s">
        <v>5</v>
      </c>
      <c r="H654" s="308">
        <f t="shared" si="264"/>
        <v>1.7700000000000002</v>
      </c>
      <c r="I654" s="280">
        <f t="shared" si="261"/>
        <v>142.69740000000002</v>
      </c>
      <c r="J654" s="281">
        <f t="shared" si="262"/>
        <v>161.83110000000002</v>
      </c>
      <c r="K654" s="282">
        <f>IF(Notes!$B$9="Domestic",I654, IF(Notes!$B$9="Commercial",J654))*$K$690</f>
        <v>161.83110000000002</v>
      </c>
      <c r="L654" s="283">
        <f>(SUM(O654:Q654)+(K654+SUM(M654:Q654))*(INDEX($U$690:$AB$690,MATCH(Notes!$C$16,$U$3:$AB$3,0))-100%))*$L$690</f>
        <v>603.82551003138315</v>
      </c>
      <c r="M654" s="286"/>
      <c r="N654" s="286"/>
      <c r="O654" s="311">
        <f>O653*1.2</f>
        <v>497.80741824000006</v>
      </c>
      <c r="P654" s="311">
        <f t="shared" si="263"/>
        <v>106.01809179138313</v>
      </c>
      <c r="Q654" s="285"/>
      <c r="R654" s="278"/>
      <c r="S654" s="278"/>
      <c r="T654" s="278"/>
    </row>
    <row r="655" spans="1:20" s="305" customFormat="1" hidden="1" outlineLevel="1" x14ac:dyDescent="0.25">
      <c r="A655" s="278"/>
      <c r="B655" s="279" t="str">
        <f t="shared" si="260"/>
        <v>sliding gyprock2700mm1501mm to 1800mmaverage</v>
      </c>
      <c r="C655" s="278" t="s">
        <v>1024</v>
      </c>
      <c r="D655" s="278" t="s">
        <v>779</v>
      </c>
      <c r="E655" s="278" t="s">
        <v>550</v>
      </c>
      <c r="F655" s="278" t="s">
        <v>543</v>
      </c>
      <c r="G655" s="278" t="s">
        <v>5</v>
      </c>
      <c r="H655" s="308">
        <f t="shared" si="264"/>
        <v>1.9900000000000002</v>
      </c>
      <c r="I655" s="280">
        <f t="shared" si="261"/>
        <v>160.43380000000002</v>
      </c>
      <c r="J655" s="281">
        <f t="shared" si="262"/>
        <v>181.94570000000004</v>
      </c>
      <c r="K655" s="282">
        <f>IF(Notes!$B$9="Domestic",I655, IF(Notes!$B$9="Commercial",J655))*$K$690</f>
        <v>181.94570000000004</v>
      </c>
      <c r="L655" s="283">
        <f>(SUM(O655:Q655)+(K655+SUM(M655:Q655))*(INDEX($U$690:$AB$690,MATCH(Notes!$C$16,$U$3:$AB$3,0))-100%))*$L$690</f>
        <v>476.03598764065407</v>
      </c>
      <c r="M655" s="286"/>
      <c r="N655" s="286"/>
      <c r="O655" s="311">
        <f>O631*O631/O607</f>
        <v>386.0872318742114</v>
      </c>
      <c r="P655" s="311">
        <f t="shared" si="263"/>
        <v>89.948755766442687</v>
      </c>
      <c r="Q655" s="285"/>
      <c r="R655" s="278"/>
      <c r="S655" s="278"/>
      <c r="T655" s="278"/>
    </row>
    <row r="656" spans="1:20" s="305" customFormat="1" hidden="1" outlineLevel="1" x14ac:dyDescent="0.25">
      <c r="A656" s="278"/>
      <c r="B656" s="279" t="str">
        <f t="shared" si="260"/>
        <v>sliding gyprock2700mm1501mm to 1800mmquality</v>
      </c>
      <c r="C656" s="278" t="s">
        <v>1024</v>
      </c>
      <c r="D656" s="278" t="s">
        <v>779</v>
      </c>
      <c r="E656" s="278" t="s">
        <v>550</v>
      </c>
      <c r="F656" s="278" t="s">
        <v>544</v>
      </c>
      <c r="G656" s="278" t="s">
        <v>5</v>
      </c>
      <c r="H656" s="308">
        <f t="shared" si="264"/>
        <v>1.9900000000000002</v>
      </c>
      <c r="I656" s="280">
        <f t="shared" si="261"/>
        <v>160.43380000000002</v>
      </c>
      <c r="J656" s="281">
        <f t="shared" si="262"/>
        <v>181.94570000000004</v>
      </c>
      <c r="K656" s="282">
        <f>IF(Notes!$B$9="Domestic",I656, IF(Notes!$B$9="Commercial",J656))*$K$690</f>
        <v>181.94570000000004</v>
      </c>
      <c r="L656" s="283">
        <f>(SUM(O656:Q656)+(K656+SUM(M656:Q656))*(INDEX($U$690:$AB$690,MATCH(Notes!$C$16,$U$3:$AB$3,0))-100%))*$L$690</f>
        <v>523.63958640471947</v>
      </c>
      <c r="M656" s="286"/>
      <c r="N656" s="286"/>
      <c r="O656" s="311">
        <f>O655*1.1</f>
        <v>424.69595506163256</v>
      </c>
      <c r="P656" s="311">
        <f t="shared" si="263"/>
        <v>98.943631343086963</v>
      </c>
      <c r="Q656" s="285"/>
      <c r="R656" s="278"/>
      <c r="S656" s="278"/>
      <c r="T656" s="278"/>
    </row>
    <row r="657" spans="1:20" s="305" customFormat="1" hidden="1" outlineLevel="1" x14ac:dyDescent="0.25">
      <c r="A657" s="278"/>
      <c r="B657" s="279" t="str">
        <f t="shared" si="260"/>
        <v>sliding gyprock2700mm1501mm to 1800mmprestige</v>
      </c>
      <c r="C657" s="278" t="s">
        <v>1024</v>
      </c>
      <c r="D657" s="278" t="s">
        <v>779</v>
      </c>
      <c r="E657" s="278" t="s">
        <v>550</v>
      </c>
      <c r="F657" s="278" t="s">
        <v>545</v>
      </c>
      <c r="G657" s="278" t="s">
        <v>5</v>
      </c>
      <c r="H657" s="308">
        <f t="shared" si="264"/>
        <v>1.9900000000000002</v>
      </c>
      <c r="I657" s="280">
        <f t="shared" si="261"/>
        <v>160.43380000000002</v>
      </c>
      <c r="J657" s="281">
        <f t="shared" si="262"/>
        <v>181.94570000000004</v>
      </c>
      <c r="K657" s="282">
        <f>IF(Notes!$B$9="Domestic",I657, IF(Notes!$B$9="Commercial",J657))*$K$690</f>
        <v>181.94570000000004</v>
      </c>
      <c r="L657" s="283">
        <f>(SUM(O657:Q657)+(K657+SUM(M657:Q657))*(INDEX($U$690:$AB$690,MATCH(Notes!$C$16,$U$3:$AB$3,0))-100%))*$L$690</f>
        <v>628.36750368566345</v>
      </c>
      <c r="M657" s="286"/>
      <c r="N657" s="286"/>
      <c r="O657" s="311">
        <f>O656*1.2</f>
        <v>509.63514607395905</v>
      </c>
      <c r="P657" s="311">
        <f t="shared" si="263"/>
        <v>118.73235761170434</v>
      </c>
      <c r="Q657" s="285"/>
      <c r="R657" s="278"/>
      <c r="S657" s="278"/>
      <c r="T657" s="278"/>
    </row>
    <row r="658" spans="1:20" s="305" customFormat="1" hidden="1" outlineLevel="1" x14ac:dyDescent="0.25">
      <c r="A658" s="278"/>
      <c r="B658" s="279" t="str">
        <f t="shared" si="260"/>
        <v>sliding gyprock2700mm1801mm to 2100mmaverage</v>
      </c>
      <c r="C658" s="278" t="s">
        <v>1024</v>
      </c>
      <c r="D658" s="278" t="s">
        <v>779</v>
      </c>
      <c r="E658" s="278" t="s">
        <v>551</v>
      </c>
      <c r="F658" s="278" t="s">
        <v>543</v>
      </c>
      <c r="G658" s="278" t="s">
        <v>5</v>
      </c>
      <c r="H658" s="308">
        <f t="shared" si="264"/>
        <v>2.08</v>
      </c>
      <c r="I658" s="280">
        <f t="shared" si="261"/>
        <v>167.68960000000001</v>
      </c>
      <c r="J658" s="281">
        <f t="shared" si="262"/>
        <v>190.17440000000002</v>
      </c>
      <c r="K658" s="282">
        <f>IF(Notes!$B$9="Domestic",I658, IF(Notes!$B$9="Commercial",J658))*$K$690</f>
        <v>190.17440000000002</v>
      </c>
      <c r="L658" s="283">
        <f>(SUM(O658:Q658)+(K658+SUM(M658:Q658))*(INDEX($U$690:$AB$690,MATCH(Notes!$C$16,$U$3:$AB$3,0))-100%))*$L$690</f>
        <v>478.8766687740071</v>
      </c>
      <c r="M658" s="286"/>
      <c r="N658" s="286"/>
      <c r="O658" s="311">
        <f>O634*O634/O610</f>
        <v>384.10395850520985</v>
      </c>
      <c r="P658" s="311">
        <f t="shared" si="263"/>
        <v>94.772710268797255</v>
      </c>
      <c r="Q658" s="285"/>
      <c r="R658" s="278"/>
      <c r="S658" s="278"/>
      <c r="T658" s="278"/>
    </row>
    <row r="659" spans="1:20" s="305" customFormat="1" hidden="1" outlineLevel="1" x14ac:dyDescent="0.25">
      <c r="A659" s="278"/>
      <c r="B659" s="279" t="str">
        <f t="shared" si="260"/>
        <v>sliding gyprock2700mm1801mm to 2100mmquality</v>
      </c>
      <c r="C659" s="278" t="s">
        <v>1024</v>
      </c>
      <c r="D659" s="278" t="s">
        <v>779</v>
      </c>
      <c r="E659" s="278" t="s">
        <v>551</v>
      </c>
      <c r="F659" s="278" t="s">
        <v>544</v>
      </c>
      <c r="G659" s="278" t="s">
        <v>5</v>
      </c>
      <c r="H659" s="308">
        <f t="shared" si="264"/>
        <v>2.08</v>
      </c>
      <c r="I659" s="280">
        <f t="shared" si="261"/>
        <v>167.68960000000001</v>
      </c>
      <c r="J659" s="281">
        <f t="shared" si="262"/>
        <v>190.17440000000002</v>
      </c>
      <c r="K659" s="282">
        <f>IF(Notes!$B$9="Domestic",I659, IF(Notes!$B$9="Commercial",J659))*$K$690</f>
        <v>190.17440000000002</v>
      </c>
      <c r="L659" s="283">
        <f>(SUM(O659:Q659)+(K659+SUM(M659:Q659))*(INDEX($U$690:$AB$690,MATCH(Notes!$C$16,$U$3:$AB$3,0))-100%))*$L$690</f>
        <v>526.76433565140781</v>
      </c>
      <c r="M659" s="286"/>
      <c r="N659" s="286"/>
      <c r="O659" s="311">
        <f>O658*1.1</f>
        <v>422.51435435573086</v>
      </c>
      <c r="P659" s="311">
        <f t="shared" si="263"/>
        <v>104.24998129567699</v>
      </c>
      <c r="Q659" s="285"/>
      <c r="R659" s="278"/>
      <c r="S659" s="278"/>
      <c r="T659" s="278"/>
    </row>
    <row r="660" spans="1:20" s="305" customFormat="1" hidden="1" outlineLevel="1" x14ac:dyDescent="0.25">
      <c r="A660" s="278"/>
      <c r="B660" s="279" t="str">
        <f t="shared" si="260"/>
        <v>sliding gyprock2700mm1801mm to 2100mmprestige</v>
      </c>
      <c r="C660" s="278" t="s">
        <v>1024</v>
      </c>
      <c r="D660" s="278" t="s">
        <v>779</v>
      </c>
      <c r="E660" s="278" t="s">
        <v>551</v>
      </c>
      <c r="F660" s="278" t="s">
        <v>545</v>
      </c>
      <c r="G660" s="278" t="s">
        <v>5</v>
      </c>
      <c r="H660" s="308">
        <f t="shared" si="264"/>
        <v>2.08</v>
      </c>
      <c r="I660" s="280">
        <f t="shared" si="261"/>
        <v>167.68960000000001</v>
      </c>
      <c r="J660" s="281">
        <f t="shared" si="262"/>
        <v>190.17440000000002</v>
      </c>
      <c r="K660" s="282">
        <f>IF(Notes!$B$9="Domestic",I660, IF(Notes!$B$9="Commercial",J660))*$K$690</f>
        <v>190.17440000000002</v>
      </c>
      <c r="L660" s="283">
        <f>(SUM(O660:Q660)+(K660+SUM(M660:Q660))*(INDEX($U$690:$AB$690,MATCH(Notes!$C$16,$U$3:$AB$3,0))-100%))*$L$690</f>
        <v>632.11720278168946</v>
      </c>
      <c r="M660" s="286"/>
      <c r="N660" s="286"/>
      <c r="O660" s="311">
        <f>O659*1.2</f>
        <v>507.01722522687703</v>
      </c>
      <c r="P660" s="311">
        <f t="shared" si="263"/>
        <v>125.09997755481238</v>
      </c>
      <c r="Q660" s="285"/>
      <c r="R660" s="278"/>
      <c r="S660" s="278"/>
      <c r="T660" s="278"/>
    </row>
    <row r="661" spans="1:20" s="305" customFormat="1" hidden="1" outlineLevel="1" x14ac:dyDescent="0.25">
      <c r="A661" s="278"/>
      <c r="B661" s="279" t="str">
        <f t="shared" si="260"/>
        <v>sliding gyprock2700mm2101mm to 2400mmaverage</v>
      </c>
      <c r="C661" s="278" t="s">
        <v>1024</v>
      </c>
      <c r="D661" s="278" t="s">
        <v>779</v>
      </c>
      <c r="E661" s="278" t="s">
        <v>552</v>
      </c>
      <c r="F661" s="278" t="s">
        <v>543</v>
      </c>
      <c r="G661" s="278" t="s">
        <v>5</v>
      </c>
      <c r="H661" s="308">
        <f t="shared" si="264"/>
        <v>2.1799999999999997</v>
      </c>
      <c r="I661" s="280">
        <f t="shared" si="261"/>
        <v>175.7516</v>
      </c>
      <c r="J661" s="281">
        <f t="shared" si="262"/>
        <v>199.31739999999999</v>
      </c>
      <c r="K661" s="282">
        <f>IF(Notes!$B$9="Domestic",I661, IF(Notes!$B$9="Commercial",J661))*$K$690</f>
        <v>199.31739999999999</v>
      </c>
      <c r="L661" s="283">
        <f>(SUM(O661:Q661)+(K661+SUM(M661:Q661))*(INDEX($U$690:$AB$690,MATCH(Notes!$C$16,$U$3:$AB$3,0))-100%))*$L$690</f>
        <v>501.7650451383484</v>
      </c>
      <c r="M661" s="286"/>
      <c r="N661" s="286"/>
      <c r="O661" s="311">
        <f>O637*O637/O613</f>
        <v>402.16428687219576</v>
      </c>
      <c r="P661" s="311">
        <f t="shared" si="263"/>
        <v>99.600758266152638</v>
      </c>
      <c r="Q661" s="285"/>
      <c r="R661" s="278"/>
      <c r="S661" s="278"/>
      <c r="T661" s="278"/>
    </row>
    <row r="662" spans="1:20" s="305" customFormat="1" hidden="1" outlineLevel="1" x14ac:dyDescent="0.25">
      <c r="A662" s="278"/>
      <c r="B662" s="279" t="str">
        <f t="shared" si="260"/>
        <v>sliding gyprock2700mm2101mm to 2400mmquality</v>
      </c>
      <c r="C662" s="278" t="s">
        <v>1024</v>
      </c>
      <c r="D662" s="278" t="s">
        <v>779</v>
      </c>
      <c r="E662" s="278" t="s">
        <v>552</v>
      </c>
      <c r="F662" s="278" t="s">
        <v>544</v>
      </c>
      <c r="G662" s="278" t="s">
        <v>5</v>
      </c>
      <c r="H662" s="308">
        <f t="shared" si="264"/>
        <v>2.1799999999999997</v>
      </c>
      <c r="I662" s="280">
        <f t="shared" si="261"/>
        <v>175.7516</v>
      </c>
      <c r="J662" s="281">
        <f t="shared" si="262"/>
        <v>199.31739999999999</v>
      </c>
      <c r="K662" s="282">
        <f>IF(Notes!$B$9="Domestic",I662, IF(Notes!$B$9="Commercial",J662))*$K$690</f>
        <v>199.31739999999999</v>
      </c>
      <c r="L662" s="283">
        <f>(SUM(O662:Q662)+(K662+SUM(M662:Q662))*(INDEX($U$690:$AB$690,MATCH(Notes!$C$16,$U$3:$AB$3,0))-100%))*$L$690</f>
        <v>551.94154965218331</v>
      </c>
      <c r="M662" s="286"/>
      <c r="N662" s="286"/>
      <c r="O662" s="311">
        <f>O661*1.1</f>
        <v>442.38071555941536</v>
      </c>
      <c r="P662" s="311">
        <f t="shared" si="263"/>
        <v>109.56083409276791</v>
      </c>
      <c r="Q662" s="285"/>
      <c r="R662" s="278"/>
      <c r="S662" s="278"/>
      <c r="T662" s="278"/>
    </row>
    <row r="663" spans="1:20" s="305" customFormat="1" hidden="1" outlineLevel="1" x14ac:dyDescent="0.25">
      <c r="A663" s="278"/>
      <c r="B663" s="279" t="str">
        <f t="shared" si="260"/>
        <v>sliding gyprock2700mm2101mm to 2400mmprestige</v>
      </c>
      <c r="C663" s="278" t="s">
        <v>1024</v>
      </c>
      <c r="D663" s="278" t="s">
        <v>779</v>
      </c>
      <c r="E663" s="278" t="s">
        <v>552</v>
      </c>
      <c r="F663" s="278" t="s">
        <v>545</v>
      </c>
      <c r="G663" s="278" t="s">
        <v>5</v>
      </c>
      <c r="H663" s="308">
        <f t="shared" si="264"/>
        <v>2.1799999999999997</v>
      </c>
      <c r="I663" s="280">
        <f t="shared" si="261"/>
        <v>175.7516</v>
      </c>
      <c r="J663" s="281">
        <f t="shared" si="262"/>
        <v>199.31739999999999</v>
      </c>
      <c r="K663" s="282">
        <f>IF(Notes!$B$9="Domestic",I663, IF(Notes!$B$9="Commercial",J663))*$K$690</f>
        <v>199.31739999999999</v>
      </c>
      <c r="L663" s="283">
        <f>(SUM(O663:Q663)+(K663+SUM(M663:Q663))*(INDEX($U$690:$AB$690,MATCH(Notes!$C$16,$U$3:$AB$3,0))-100%))*$L$690</f>
        <v>662.32985958261986</v>
      </c>
      <c r="M663" s="286"/>
      <c r="N663" s="286"/>
      <c r="O663" s="311">
        <f>O662*1.2</f>
        <v>530.85685867129837</v>
      </c>
      <c r="P663" s="311">
        <f t="shared" si="263"/>
        <v>131.47300091132149</v>
      </c>
      <c r="Q663" s="285"/>
      <c r="R663" s="278"/>
      <c r="S663" s="278"/>
      <c r="T663" s="278"/>
    </row>
    <row r="664" spans="1:20" s="305" customFormat="1" hidden="1" outlineLevel="1" x14ac:dyDescent="0.25">
      <c r="A664" s="278"/>
      <c r="B664" s="279" t="str">
        <f t="shared" si="260"/>
        <v>sliding gyprock2700mm2401mm to 2700mmaverage</v>
      </c>
      <c r="C664" s="278" t="s">
        <v>1024</v>
      </c>
      <c r="D664" s="278" t="s">
        <v>779</v>
      </c>
      <c r="E664" s="278" t="s">
        <v>553</v>
      </c>
      <c r="F664" s="278" t="s">
        <v>543</v>
      </c>
      <c r="G664" s="278" t="s">
        <v>5</v>
      </c>
      <c r="H664" s="308">
        <f t="shared" si="264"/>
        <v>2.2799999999999998</v>
      </c>
      <c r="I664" s="280">
        <f t="shared" si="261"/>
        <v>183.81360000000001</v>
      </c>
      <c r="J664" s="281">
        <f t="shared" si="262"/>
        <v>208.46039999999999</v>
      </c>
      <c r="K664" s="282">
        <f>IF(Notes!$B$9="Domestic",I664, IF(Notes!$B$9="Commercial",J664))*$K$690</f>
        <v>208.46039999999999</v>
      </c>
      <c r="L664" s="283">
        <f>(SUM(O664:Q664)+(K664+SUM(M664:Q664))*(INDEX($U$690:$AB$690,MATCH(Notes!$C$16,$U$3:$AB$3,0))-100%))*$L$690</f>
        <v>716.05616005235208</v>
      </c>
      <c r="M664" s="286"/>
      <c r="N664" s="286"/>
      <c r="O664" s="311">
        <f>O640*O640/O616</f>
        <v>611.62392014079853</v>
      </c>
      <c r="P664" s="311">
        <f t="shared" si="263"/>
        <v>104.43223991155354</v>
      </c>
      <c r="Q664" s="285"/>
      <c r="R664" s="278"/>
      <c r="S664" s="278"/>
      <c r="T664" s="278"/>
    </row>
    <row r="665" spans="1:20" s="305" customFormat="1" hidden="1" outlineLevel="1" x14ac:dyDescent="0.25">
      <c r="A665" s="278"/>
      <c r="B665" s="279" t="str">
        <f t="shared" si="260"/>
        <v>sliding gyprock2700mm2401mm to 2700mmquality</v>
      </c>
      <c r="C665" s="278" t="s">
        <v>1024</v>
      </c>
      <c r="D665" s="278" t="s">
        <v>779</v>
      </c>
      <c r="E665" s="278" t="s">
        <v>553</v>
      </c>
      <c r="F665" s="278" t="s">
        <v>544</v>
      </c>
      <c r="G665" s="278" t="s">
        <v>5</v>
      </c>
      <c r="H665" s="308">
        <f t="shared" si="264"/>
        <v>2.2799999999999998</v>
      </c>
      <c r="I665" s="280">
        <f t="shared" si="261"/>
        <v>183.81360000000001</v>
      </c>
      <c r="J665" s="281">
        <f t="shared" si="262"/>
        <v>208.46039999999999</v>
      </c>
      <c r="K665" s="282">
        <f>IF(Notes!$B$9="Domestic",I665, IF(Notes!$B$9="Commercial",J665))*$K$690</f>
        <v>208.46039999999999</v>
      </c>
      <c r="L665" s="283">
        <f>(SUM(O665:Q665)+(K665+SUM(M665:Q665))*(INDEX($U$690:$AB$690,MATCH(Notes!$C$16,$U$3:$AB$3,0))-100%))*$L$690</f>
        <v>787.66177605758742</v>
      </c>
      <c r="M665" s="286"/>
      <c r="N665" s="286"/>
      <c r="O665" s="311">
        <f>O664*1.1</f>
        <v>672.78631215487849</v>
      </c>
      <c r="P665" s="311">
        <f t="shared" si="263"/>
        <v>114.8754639027089</v>
      </c>
      <c r="Q665" s="285"/>
      <c r="R665" s="278"/>
      <c r="S665" s="278"/>
      <c r="T665" s="278"/>
    </row>
    <row r="666" spans="1:20" s="305" customFormat="1" hidden="1" outlineLevel="1" x14ac:dyDescent="0.25">
      <c r="A666" s="278"/>
      <c r="B666" s="279" t="str">
        <f t="shared" si="260"/>
        <v>sliding gyprock2700mm2401mm to 2700mmprestige</v>
      </c>
      <c r="C666" s="278" t="s">
        <v>1024</v>
      </c>
      <c r="D666" s="278" t="s">
        <v>779</v>
      </c>
      <c r="E666" s="278" t="s">
        <v>553</v>
      </c>
      <c r="F666" s="278" t="s">
        <v>545</v>
      </c>
      <c r="G666" s="278" t="s">
        <v>5</v>
      </c>
      <c r="H666" s="308">
        <f t="shared" si="264"/>
        <v>2.2799999999999998</v>
      </c>
      <c r="I666" s="280">
        <f t="shared" si="261"/>
        <v>183.81360000000001</v>
      </c>
      <c r="J666" s="281">
        <f t="shared" si="262"/>
        <v>208.46039999999999</v>
      </c>
      <c r="K666" s="282">
        <f>IF(Notes!$B$9="Domestic",I666, IF(Notes!$B$9="Commercial",J666))*$K$690</f>
        <v>208.46039999999999</v>
      </c>
      <c r="L666" s="283">
        <f>(SUM(O666:Q666)+(K666+SUM(M666:Q666))*(INDEX($U$690:$AB$690,MATCH(Notes!$C$16,$U$3:$AB$3,0))-100%))*$L$690</f>
        <v>945.1941312691049</v>
      </c>
      <c r="M666" s="286"/>
      <c r="N666" s="286"/>
      <c r="O666" s="311">
        <f>O665*1.2</f>
        <v>807.34357458585418</v>
      </c>
      <c r="P666" s="311">
        <f t="shared" si="263"/>
        <v>137.85055668325069</v>
      </c>
      <c r="Q666" s="285"/>
      <c r="R666" s="278"/>
      <c r="S666" s="278"/>
      <c r="T666" s="278"/>
    </row>
    <row r="667" spans="1:20" s="305" customFormat="1" hidden="1" outlineLevel="1" x14ac:dyDescent="0.25">
      <c r="A667" s="278"/>
      <c r="B667" s="279" t="str">
        <f t="shared" si="260"/>
        <v>sliding gyprock2700mm2701mm to 3000mmaverage</v>
      </c>
      <c r="C667" s="278" t="s">
        <v>1024</v>
      </c>
      <c r="D667" s="278" t="s">
        <v>779</v>
      </c>
      <c r="E667" s="278" t="s">
        <v>554</v>
      </c>
      <c r="F667" s="278" t="s">
        <v>543</v>
      </c>
      <c r="G667" s="278" t="s">
        <v>5</v>
      </c>
      <c r="H667" s="308">
        <f t="shared" si="264"/>
        <v>2.38</v>
      </c>
      <c r="I667" s="280">
        <f t="shared" si="261"/>
        <v>191.87559999999999</v>
      </c>
      <c r="J667" s="281">
        <f t="shared" si="262"/>
        <v>217.60339999999999</v>
      </c>
      <c r="K667" s="282">
        <f>IF(Notes!$B$9="Domestic",I667, IF(Notes!$B$9="Commercial",J667))*$K$690</f>
        <v>217.60339999999999</v>
      </c>
      <c r="L667" s="283">
        <f>(SUM(O667:Q667)+(K667+SUM(M667:Q667))*(INDEX($U$690:$AB$690,MATCH(Notes!$C$16,$U$3:$AB$3,0))-100%))*$L$690</f>
        <v>729.75245860455971</v>
      </c>
      <c r="M667" s="286"/>
      <c r="N667" s="286"/>
      <c r="O667" s="311">
        <f>O643*O643/O619</f>
        <v>620.4858286601675</v>
      </c>
      <c r="P667" s="311">
        <f t="shared" si="263"/>
        <v>109.26662994439219</v>
      </c>
      <c r="Q667" s="285"/>
      <c r="R667" s="278"/>
      <c r="S667" s="278"/>
      <c r="T667" s="278"/>
    </row>
    <row r="668" spans="1:20" s="305" customFormat="1" hidden="1" outlineLevel="1" x14ac:dyDescent="0.25">
      <c r="A668" s="278"/>
      <c r="B668" s="279" t="str">
        <f t="shared" si="260"/>
        <v>sliding gyprock2700mm2701mm to 3000mmquality</v>
      </c>
      <c r="C668" s="278" t="s">
        <v>1024</v>
      </c>
      <c r="D668" s="278" t="s">
        <v>779</v>
      </c>
      <c r="E668" s="278" t="s">
        <v>554</v>
      </c>
      <c r="F668" s="278" t="s">
        <v>544</v>
      </c>
      <c r="G668" s="278" t="s">
        <v>5</v>
      </c>
      <c r="H668" s="308">
        <f t="shared" si="264"/>
        <v>2.38</v>
      </c>
      <c r="I668" s="280">
        <f t="shared" si="261"/>
        <v>191.87559999999999</v>
      </c>
      <c r="J668" s="281">
        <f t="shared" si="262"/>
        <v>217.60339999999999</v>
      </c>
      <c r="K668" s="282">
        <f>IF(Notes!$B$9="Domestic",I668, IF(Notes!$B$9="Commercial",J668))*$K$690</f>
        <v>217.60339999999999</v>
      </c>
      <c r="L668" s="283">
        <f>(SUM(O668:Q668)+(K668+SUM(M668:Q668))*(INDEX($U$690:$AB$690,MATCH(Notes!$C$16,$U$3:$AB$3,0))-100%))*$L$690</f>
        <v>802.72770446501568</v>
      </c>
      <c r="M668" s="286"/>
      <c r="N668" s="286"/>
      <c r="O668" s="311">
        <f>O667*1.1</f>
        <v>682.53441152618427</v>
      </c>
      <c r="P668" s="311">
        <f t="shared" si="263"/>
        <v>120.19329293883142</v>
      </c>
      <c r="Q668" s="285"/>
      <c r="R668" s="278"/>
      <c r="S668" s="278"/>
      <c r="T668" s="278"/>
    </row>
    <row r="669" spans="1:20" s="305" customFormat="1" hidden="1" outlineLevel="1" x14ac:dyDescent="0.25">
      <c r="A669" s="278"/>
      <c r="B669" s="279" t="str">
        <f t="shared" ref="B669:B675" si="265">C669&amp;D669&amp;E669&amp;F669</f>
        <v>sliding gyprock2700mm2701mm to 3000mmprestige</v>
      </c>
      <c r="C669" s="278" t="s">
        <v>1024</v>
      </c>
      <c r="D669" s="278" t="s">
        <v>779</v>
      </c>
      <c r="E669" s="278" t="s">
        <v>554</v>
      </c>
      <c r="F669" s="278" t="s">
        <v>545</v>
      </c>
      <c r="G669" s="278" t="s">
        <v>5</v>
      </c>
      <c r="H669" s="308">
        <f t="shared" si="264"/>
        <v>2.38</v>
      </c>
      <c r="I669" s="280">
        <f t="shared" ref="I669:I675" si="266">$I$2*H669</f>
        <v>191.87559999999999</v>
      </c>
      <c r="J669" s="281">
        <f t="shared" ref="J669:J675" si="267">$J$2*H669</f>
        <v>217.60339999999999</v>
      </c>
      <c r="K669" s="282">
        <f>IF(Notes!$B$9="Domestic",I669, IF(Notes!$B$9="Commercial",J669))*$K$690</f>
        <v>217.60339999999999</v>
      </c>
      <c r="L669" s="283">
        <f>(SUM(O669:Q669)+(K669+SUM(M669:Q669))*(INDEX($U$690:$AB$690,MATCH(Notes!$C$16,$U$3:$AB$3,0))-100%))*$L$690</f>
        <v>963.27324535801881</v>
      </c>
      <c r="M669" s="286"/>
      <c r="N669" s="286"/>
      <c r="O669" s="311">
        <f>O668*1.2</f>
        <v>819.04129383142106</v>
      </c>
      <c r="P669" s="311">
        <f t="shared" ref="P669:P675" si="268">P595</f>
        <v>144.2319515265977</v>
      </c>
      <c r="Q669" s="285"/>
      <c r="R669" s="278"/>
      <c r="S669" s="278"/>
      <c r="T669" s="278"/>
    </row>
    <row r="670" spans="1:20" s="305" customFormat="1" hidden="1" outlineLevel="1" x14ac:dyDescent="0.25">
      <c r="A670" s="278"/>
      <c r="B670" s="279" t="str">
        <f t="shared" si="265"/>
        <v>sliding gyprock2700mm3001mm to 3300mmaverage</v>
      </c>
      <c r="C670" s="278" t="s">
        <v>1024</v>
      </c>
      <c r="D670" s="278" t="s">
        <v>779</v>
      </c>
      <c r="E670" s="278" t="s">
        <v>1019</v>
      </c>
      <c r="F670" s="278" t="s">
        <v>543</v>
      </c>
      <c r="G670" s="278" t="s">
        <v>5</v>
      </c>
      <c r="H670" s="308">
        <f t="shared" si="264"/>
        <v>2.48</v>
      </c>
      <c r="I670" s="280">
        <f t="shared" si="266"/>
        <v>199.9376</v>
      </c>
      <c r="J670" s="281">
        <f t="shared" si="267"/>
        <v>226.74640000000002</v>
      </c>
      <c r="K670" s="282">
        <f>IF(Notes!$B$9="Domestic",I670, IF(Notes!$B$9="Commercial",J670))*$K$690</f>
        <v>226.74640000000002</v>
      </c>
      <c r="L670" s="283">
        <f>(SUM(O670:Q670)+(K670+SUM(M670:Q670))*(INDEX($U$690:$AB$690,MATCH(Notes!$C$16,$U$3:$AB$3,0))-100%))*$L$690</f>
        <v>731.58659519958007</v>
      </c>
      <c r="M670" s="286"/>
      <c r="N670" s="286"/>
      <c r="O670" s="311">
        <f>O646*O646/O622</f>
        <v>617.4830901581505</v>
      </c>
      <c r="P670" s="311">
        <f t="shared" si="268"/>
        <v>114.10350504142961</v>
      </c>
      <c r="Q670" s="285"/>
      <c r="R670" s="278"/>
      <c r="S670" s="278"/>
      <c r="T670" s="278"/>
    </row>
    <row r="671" spans="1:20" s="305" customFormat="1" hidden="1" outlineLevel="1" x14ac:dyDescent="0.25">
      <c r="A671" s="278"/>
      <c r="B671" s="279" t="str">
        <f t="shared" si="265"/>
        <v>sliding gyprock2700mm3001mm to 3300mmquality</v>
      </c>
      <c r="C671" s="278" t="s">
        <v>1024</v>
      </c>
      <c r="D671" s="278" t="s">
        <v>779</v>
      </c>
      <c r="E671" s="278" t="s">
        <v>1019</v>
      </c>
      <c r="F671" s="278" t="s">
        <v>544</v>
      </c>
      <c r="G671" s="278" t="s">
        <v>5</v>
      </c>
      <c r="H671" s="308">
        <f t="shared" si="264"/>
        <v>2.48</v>
      </c>
      <c r="I671" s="280">
        <f t="shared" si="266"/>
        <v>199.9376</v>
      </c>
      <c r="J671" s="281">
        <f t="shared" si="267"/>
        <v>226.74640000000002</v>
      </c>
      <c r="K671" s="282">
        <f>IF(Notes!$B$9="Domestic",I671, IF(Notes!$B$9="Commercial",J671))*$K$690</f>
        <v>226.74640000000002</v>
      </c>
      <c r="L671" s="283">
        <f>(SUM(O671:Q671)+(K671+SUM(M671:Q671))*(INDEX($U$690:$AB$690,MATCH(Notes!$C$16,$U$3:$AB$3,0))-100%))*$L$690</f>
        <v>804.74525471953825</v>
      </c>
      <c r="M671" s="286"/>
      <c r="N671" s="286"/>
      <c r="O671" s="311">
        <f>O670*1.1</f>
        <v>679.23139917396566</v>
      </c>
      <c r="P671" s="311">
        <f t="shared" si="268"/>
        <v>125.51385554557258</v>
      </c>
      <c r="Q671" s="285"/>
      <c r="R671" s="278"/>
      <c r="S671" s="278"/>
      <c r="T671" s="278"/>
    </row>
    <row r="672" spans="1:20" s="305" customFormat="1" hidden="1" outlineLevel="1" x14ac:dyDescent="0.25">
      <c r="A672" s="278"/>
      <c r="B672" s="279" t="str">
        <f t="shared" si="265"/>
        <v>sliding gyprock2700mm3001mm to 3300mmprestige</v>
      </c>
      <c r="C672" s="278" t="s">
        <v>1024</v>
      </c>
      <c r="D672" s="278" t="s">
        <v>779</v>
      </c>
      <c r="E672" s="278" t="s">
        <v>1019</v>
      </c>
      <c r="F672" s="278" t="s">
        <v>545</v>
      </c>
      <c r="G672" s="278" t="s">
        <v>5</v>
      </c>
      <c r="H672" s="308">
        <f t="shared" si="264"/>
        <v>2.48</v>
      </c>
      <c r="I672" s="280">
        <f t="shared" si="266"/>
        <v>199.9376</v>
      </c>
      <c r="J672" s="281">
        <f t="shared" si="267"/>
        <v>226.74640000000002</v>
      </c>
      <c r="K672" s="282">
        <f>IF(Notes!$B$9="Domestic",I672, IF(Notes!$B$9="Commercial",J672))*$K$690</f>
        <v>226.74640000000002</v>
      </c>
      <c r="L672" s="283">
        <f>(SUM(O672:Q672)+(K672+SUM(M672:Q672))*(INDEX($U$690:$AB$690,MATCH(Notes!$C$16,$U$3:$AB$3,0))-100%))*$L$690</f>
        <v>965.6943056634459</v>
      </c>
      <c r="M672" s="286"/>
      <c r="N672" s="286"/>
      <c r="O672" s="311">
        <f>O671*1.2</f>
        <v>815.07767900875876</v>
      </c>
      <c r="P672" s="311">
        <f t="shared" si="268"/>
        <v>150.61662665468708</v>
      </c>
      <c r="Q672" s="285"/>
      <c r="R672" s="278"/>
      <c r="S672" s="278"/>
      <c r="T672" s="278"/>
    </row>
    <row r="673" spans="1:28" s="305" customFormat="1" hidden="1" outlineLevel="1" x14ac:dyDescent="0.25">
      <c r="A673" s="278"/>
      <c r="B673" s="279" t="str">
        <f t="shared" si="265"/>
        <v>sliding gyprock2700mm3301mm to 3600mmaverage</v>
      </c>
      <c r="C673" s="278" t="s">
        <v>1024</v>
      </c>
      <c r="D673" s="278" t="s">
        <v>779</v>
      </c>
      <c r="E673" s="278" t="s">
        <v>1020</v>
      </c>
      <c r="F673" s="278" t="s">
        <v>543</v>
      </c>
      <c r="G673" s="278" t="s">
        <v>5</v>
      </c>
      <c r="H673" s="308">
        <f t="shared" si="264"/>
        <v>2.6</v>
      </c>
      <c r="I673" s="280">
        <f t="shared" si="266"/>
        <v>209.61200000000002</v>
      </c>
      <c r="J673" s="281">
        <f t="shared" si="267"/>
        <v>237.71800000000002</v>
      </c>
      <c r="K673" s="282">
        <f>IF(Notes!$B$9="Domestic",I673, IF(Notes!$B$9="Commercial",J673))*$K$690</f>
        <v>237.71800000000002</v>
      </c>
      <c r="L673" s="283">
        <f>(SUM(O673:Q673)+(K673+SUM(M673:Q673))*(INDEX($U$690:$AB$690,MATCH(Notes!$C$16,$U$3:$AB$3,0))-100%))*$L$690</f>
        <v>745.70810438283172</v>
      </c>
      <c r="M673" s="286"/>
      <c r="N673" s="286"/>
      <c r="O673" s="311">
        <f>O649*O649/O625</f>
        <v>626.76558415051727</v>
      </c>
      <c r="P673" s="311">
        <f t="shared" si="268"/>
        <v>118.94252023231445</v>
      </c>
      <c r="Q673" s="285"/>
      <c r="R673" s="278"/>
      <c r="S673" s="278"/>
      <c r="T673" s="278"/>
    </row>
    <row r="674" spans="1:28" s="305" customFormat="1" hidden="1" outlineLevel="1" x14ac:dyDescent="0.25">
      <c r="A674" s="278"/>
      <c r="B674" s="279" t="str">
        <f t="shared" si="265"/>
        <v>sliding gyprock2700mm3301mm to 3600mmquality</v>
      </c>
      <c r="C674" s="278" t="s">
        <v>1024</v>
      </c>
      <c r="D674" s="278" t="s">
        <v>779</v>
      </c>
      <c r="E674" s="278" t="s">
        <v>1020</v>
      </c>
      <c r="F674" s="278" t="s">
        <v>544</v>
      </c>
      <c r="G674" s="278" t="s">
        <v>5</v>
      </c>
      <c r="H674" s="308">
        <f t="shared" si="264"/>
        <v>2.6</v>
      </c>
      <c r="I674" s="280">
        <f t="shared" si="266"/>
        <v>209.61200000000002</v>
      </c>
      <c r="J674" s="281">
        <f t="shared" si="267"/>
        <v>237.71800000000002</v>
      </c>
      <c r="K674" s="282">
        <f>IF(Notes!$B$9="Domestic",I674, IF(Notes!$B$9="Commercial",J674))*$K$690</f>
        <v>237.71800000000002</v>
      </c>
      <c r="L674" s="283">
        <f>(SUM(O674:Q674)+(K674+SUM(M674:Q674))*(INDEX($U$690:$AB$690,MATCH(Notes!$C$16,$U$3:$AB$3,0))-100%))*$L$690</f>
        <v>820.27891482111499</v>
      </c>
      <c r="M674" s="286"/>
      <c r="N674" s="286"/>
      <c r="O674" s="311">
        <f>O673*1.1</f>
        <v>689.44214256556904</v>
      </c>
      <c r="P674" s="311">
        <f t="shared" si="268"/>
        <v>130.8367722555459</v>
      </c>
      <c r="Q674" s="285"/>
      <c r="R674" s="278"/>
      <c r="S674" s="278"/>
      <c r="T674" s="278"/>
    </row>
    <row r="675" spans="1:28" s="305" customFormat="1" hidden="1" outlineLevel="1" x14ac:dyDescent="0.25">
      <c r="A675" s="278"/>
      <c r="B675" s="279" t="str">
        <f t="shared" si="265"/>
        <v>sliding gyprock2700mm3301mm to 3600mmprestige</v>
      </c>
      <c r="C675" s="278" t="s">
        <v>1024</v>
      </c>
      <c r="D675" s="278" t="s">
        <v>779</v>
      </c>
      <c r="E675" s="278" t="s">
        <v>1020</v>
      </c>
      <c r="F675" s="278" t="s">
        <v>545</v>
      </c>
      <c r="G675" s="278" t="s">
        <v>5</v>
      </c>
      <c r="H675" s="308">
        <f t="shared" si="264"/>
        <v>2.6</v>
      </c>
      <c r="I675" s="280">
        <f t="shared" si="266"/>
        <v>209.61200000000002</v>
      </c>
      <c r="J675" s="281">
        <f t="shared" si="267"/>
        <v>237.71800000000002</v>
      </c>
      <c r="K675" s="282">
        <f>IF(Notes!$B$9="Domestic",I675, IF(Notes!$B$9="Commercial",J675))*$K$690</f>
        <v>237.71800000000002</v>
      </c>
      <c r="L675" s="283">
        <f>(SUM(O675:Q675)+(K675+SUM(M675:Q675))*(INDEX($U$690:$AB$690,MATCH(Notes!$C$16,$U$3:$AB$3,0))-100%))*$L$690</f>
        <v>984.33469778533788</v>
      </c>
      <c r="M675" s="286"/>
      <c r="N675" s="286"/>
      <c r="O675" s="311">
        <f>O674*1.2</f>
        <v>827.33057107868285</v>
      </c>
      <c r="P675" s="311">
        <f t="shared" si="268"/>
        <v>157.00412670665506</v>
      </c>
      <c r="Q675" s="285"/>
      <c r="R675" s="278"/>
      <c r="S675" s="278"/>
      <c r="T675" s="278"/>
    </row>
    <row r="676" spans="1:28" ht="21" hidden="1" outlineLevel="1" x14ac:dyDescent="0.25">
      <c r="A676" s="299" t="s">
        <v>1033</v>
      </c>
      <c r="B676" s="299"/>
      <c r="C676" s="299"/>
      <c r="D676" s="299"/>
      <c r="E676" s="299"/>
      <c r="F676" s="299"/>
      <c r="G676" s="299"/>
      <c r="H676" s="299"/>
      <c r="I676" s="299"/>
      <c r="J676" s="299"/>
      <c r="K676" s="299"/>
      <c r="L676" s="299"/>
      <c r="M676" s="299"/>
      <c r="N676" s="299"/>
      <c r="O676" s="299"/>
      <c r="P676" s="299"/>
      <c r="Q676" s="299"/>
      <c r="R676" s="299"/>
      <c r="S676" s="299"/>
      <c r="T676" s="299"/>
      <c r="U676" s="299"/>
      <c r="V676" s="299"/>
      <c r="W676" s="299"/>
      <c r="X676" s="299"/>
      <c r="Y676" s="299"/>
      <c r="Z676" s="299"/>
      <c r="AA676" s="299"/>
      <c r="AB676" s="299"/>
    </row>
    <row r="677" spans="1:28" ht="15.75" hidden="1" outlineLevel="1" x14ac:dyDescent="0.25">
      <c r="A677" s="291"/>
      <c r="B677" s="291"/>
      <c r="C677" s="291"/>
      <c r="D677" s="291"/>
      <c r="E677" s="291"/>
      <c r="F677" s="291"/>
      <c r="G677" s="291"/>
      <c r="H677" s="291"/>
      <c r="I677" s="291"/>
      <c r="J677" s="291"/>
      <c r="K677" s="291">
        <f>K$2</f>
        <v>1</v>
      </c>
      <c r="L677" s="291">
        <f>L$2</f>
        <v>1</v>
      </c>
      <c r="M677" s="291"/>
      <c r="N677" s="291"/>
      <c r="O677" s="303"/>
      <c r="P677" s="303"/>
      <c r="Q677" s="303"/>
      <c r="R677" s="291"/>
      <c r="S677" s="291"/>
      <c r="T677" s="291"/>
      <c r="U677" s="291">
        <f>U$2</f>
        <v>1</v>
      </c>
      <c r="V677" s="291">
        <f>V$2</f>
        <v>1</v>
      </c>
      <c r="W677" s="291">
        <f t="shared" ref="W677:AB677" si="269">W$2</f>
        <v>1.009090909090909</v>
      </c>
      <c r="X677" s="291">
        <f t="shared" si="269"/>
        <v>1.0909090909090908</v>
      </c>
      <c r="Y677" s="291">
        <f t="shared" si="269"/>
        <v>1.1454545454545455</v>
      </c>
      <c r="Z677" s="291">
        <f t="shared" si="269"/>
        <v>1</v>
      </c>
      <c r="AA677" s="291">
        <f t="shared" si="269"/>
        <v>1</v>
      </c>
      <c r="AB677" s="291">
        <f t="shared" si="269"/>
        <v>1</v>
      </c>
    </row>
    <row r="678" spans="1:28" s="305" customFormat="1" hidden="1" outlineLevel="1" x14ac:dyDescent="0.25">
      <c r="A678" s="278"/>
      <c r="B678" s="279" t="str">
        <f>C678&amp;D678&amp;E678&amp;F678</f>
        <v>supporting frameaverage</v>
      </c>
      <c r="C678" s="278" t="s">
        <v>1034</v>
      </c>
      <c r="D678" s="278"/>
      <c r="E678" s="278"/>
      <c r="F678" s="278" t="s">
        <v>543</v>
      </c>
      <c r="G678" s="278" t="s">
        <v>5</v>
      </c>
      <c r="H678" s="290">
        <v>1</v>
      </c>
      <c r="I678" s="280">
        <f>$I$2*H678</f>
        <v>80.62</v>
      </c>
      <c r="J678" s="281">
        <f>$J$2*H678</f>
        <v>91.43</v>
      </c>
      <c r="K678" s="282">
        <f>IF(Notes!$B$9="Domestic",I678, IF(Notes!$B$9="Commercial",J678))*$K$677</f>
        <v>91.43</v>
      </c>
      <c r="L678" s="283">
        <f>(SUM(O678:Q678)+(K678+SUM(M678:Q678))*(INDEX($U$677:$AB$677,MATCH(Notes!$C$16,$U$3:$AB$3,0))-100%))*$L$677</f>
        <v>200</v>
      </c>
      <c r="M678" s="286"/>
      <c r="N678" s="286"/>
      <c r="O678" s="285">
        <v>200</v>
      </c>
      <c r="P678" s="285"/>
      <c r="Q678" s="285"/>
      <c r="R678" s="278"/>
      <c r="S678" s="278"/>
      <c r="T678" s="278"/>
    </row>
    <row r="679" spans="1:28" s="305" customFormat="1" hidden="1" outlineLevel="1" x14ac:dyDescent="0.25">
      <c r="A679" s="278"/>
      <c r="B679" s="279" t="str">
        <f t="shared" ref="B679:B680" si="270">C679&amp;D679&amp;E679&amp;F679</f>
        <v>supporting framequality</v>
      </c>
      <c r="C679" s="278" t="s">
        <v>1034</v>
      </c>
      <c r="D679" s="278"/>
      <c r="E679" s="278"/>
      <c r="F679" s="278" t="s">
        <v>544</v>
      </c>
      <c r="G679" s="278" t="s">
        <v>5</v>
      </c>
      <c r="H679" s="290">
        <v>1</v>
      </c>
      <c r="I679" s="280">
        <f t="shared" ref="I679:I680" si="271">$I$2*H679</f>
        <v>80.62</v>
      </c>
      <c r="J679" s="281">
        <f t="shared" ref="J679:J680" si="272">$J$2*H679</f>
        <v>91.43</v>
      </c>
      <c r="K679" s="282">
        <f>IF(Notes!$B$9="Domestic",I679, IF(Notes!$B$9="Commercial",J679))*$K$677</f>
        <v>91.43</v>
      </c>
      <c r="L679" s="283">
        <f>(SUM(O679:Q679)+(K679+SUM(M679:Q679))*(INDEX($U$677:$AB$677,MATCH(Notes!$C$16,$U$3:$AB$3,0))-100%))*$L$677</f>
        <v>300</v>
      </c>
      <c r="M679" s="286"/>
      <c r="N679" s="286"/>
      <c r="O679" s="285">
        <v>300</v>
      </c>
      <c r="P679" s="285"/>
      <c r="Q679" s="285"/>
      <c r="R679" s="278"/>
      <c r="S679" s="278"/>
      <c r="T679" s="278"/>
    </row>
    <row r="680" spans="1:28" s="305" customFormat="1" hidden="1" outlineLevel="1" x14ac:dyDescent="0.25">
      <c r="A680" s="278"/>
      <c r="B680" s="279" t="str">
        <f t="shared" si="270"/>
        <v>supporting frameprestige</v>
      </c>
      <c r="C680" s="278" t="s">
        <v>1034</v>
      </c>
      <c r="D680" s="278"/>
      <c r="E680" s="278"/>
      <c r="F680" s="278" t="s">
        <v>545</v>
      </c>
      <c r="G680" s="278" t="s">
        <v>5</v>
      </c>
      <c r="H680" s="290">
        <v>1</v>
      </c>
      <c r="I680" s="280">
        <f t="shared" si="271"/>
        <v>80.62</v>
      </c>
      <c r="J680" s="281">
        <f t="shared" si="272"/>
        <v>91.43</v>
      </c>
      <c r="K680" s="282">
        <f>IF(Notes!$B$9="Domestic",I680, IF(Notes!$B$9="Commercial",J680))*$K$677</f>
        <v>91.43</v>
      </c>
      <c r="L680" s="283">
        <f>(SUM(O680:Q680)+(K680+SUM(M680:Q680))*(INDEX($U$677:$AB$677,MATCH(Notes!$C$16,$U$3:$AB$3,0))-100%))*$L$677</f>
        <v>500</v>
      </c>
      <c r="M680" s="286"/>
      <c r="N680" s="286"/>
      <c r="O680" s="285">
        <v>500</v>
      </c>
      <c r="P680" s="285"/>
      <c r="Q680" s="285"/>
      <c r="R680" s="278"/>
      <c r="S680" s="278"/>
      <c r="T680" s="278"/>
    </row>
    <row r="681" spans="1:28" ht="21" hidden="1" outlineLevel="1" x14ac:dyDescent="0.25">
      <c r="A681" s="299" t="s">
        <v>1035</v>
      </c>
      <c r="B681" s="299"/>
      <c r="C681" s="299"/>
      <c r="D681" s="299"/>
      <c r="E681" s="299"/>
      <c r="F681" s="299"/>
      <c r="G681" s="299"/>
      <c r="H681" s="299"/>
      <c r="I681" s="299"/>
      <c r="J681" s="299"/>
      <c r="K681" s="299"/>
      <c r="L681" s="299"/>
      <c r="M681" s="299"/>
      <c r="N681" s="299"/>
      <c r="O681" s="299"/>
      <c r="P681" s="299"/>
      <c r="Q681" s="299"/>
      <c r="R681" s="299"/>
      <c r="S681" s="299"/>
      <c r="T681" s="299"/>
      <c r="U681" s="299"/>
      <c r="V681" s="299"/>
      <c r="W681" s="299"/>
      <c r="X681" s="299"/>
      <c r="Y681" s="299"/>
      <c r="Z681" s="299"/>
      <c r="AA681" s="299"/>
      <c r="AB681" s="299"/>
    </row>
    <row r="682" spans="1:28" ht="15.75" hidden="1" outlineLevel="1" x14ac:dyDescent="0.25">
      <c r="A682" s="291"/>
      <c r="B682" s="291"/>
      <c r="C682" s="291"/>
      <c r="D682" s="291"/>
      <c r="E682" s="291"/>
      <c r="F682" s="291"/>
      <c r="G682" s="291"/>
      <c r="H682" s="291"/>
      <c r="I682" s="291"/>
      <c r="J682" s="291"/>
      <c r="K682" s="291">
        <f>K$2</f>
        <v>1</v>
      </c>
      <c r="L682" s="291">
        <f>L$2</f>
        <v>1</v>
      </c>
      <c r="M682" s="291"/>
      <c r="N682" s="291"/>
      <c r="O682" s="303"/>
      <c r="P682" s="303"/>
      <c r="Q682" s="303"/>
      <c r="R682" s="291"/>
      <c r="S682" s="291"/>
      <c r="T682" s="291"/>
      <c r="U682" s="291">
        <f>U$2</f>
        <v>1</v>
      </c>
      <c r="V682" s="291">
        <f>V$2</f>
        <v>1</v>
      </c>
      <c r="W682" s="291">
        <f t="shared" ref="W682:AB682" si="273">W$2</f>
        <v>1.009090909090909</v>
      </c>
      <c r="X682" s="291">
        <f t="shared" si="273"/>
        <v>1.0909090909090908</v>
      </c>
      <c r="Y682" s="291">
        <f t="shared" si="273"/>
        <v>1.1454545454545455</v>
      </c>
      <c r="Z682" s="291">
        <f t="shared" si="273"/>
        <v>1</v>
      </c>
      <c r="AA682" s="291">
        <f t="shared" si="273"/>
        <v>1</v>
      </c>
      <c r="AB682" s="291">
        <f t="shared" si="273"/>
        <v>1</v>
      </c>
    </row>
    <row r="683" spans="1:28" s="305" customFormat="1" hidden="1" outlineLevel="1" x14ac:dyDescent="0.25">
      <c r="A683" s="278"/>
      <c r="B683" s="279" t="str">
        <f>C683&amp;D683&amp;E683&amp;F683</f>
        <v>toilet partitionaverage</v>
      </c>
      <c r="C683" s="278" t="s">
        <v>1036</v>
      </c>
      <c r="D683" s="278"/>
      <c r="E683" s="278"/>
      <c r="F683" s="278" t="s">
        <v>543</v>
      </c>
      <c r="G683" s="278" t="s">
        <v>5</v>
      </c>
      <c r="H683" s="290">
        <v>3</v>
      </c>
      <c r="I683" s="280">
        <f>$I$2*H683</f>
        <v>241.86</v>
      </c>
      <c r="J683" s="281">
        <f>$J$2*H683</f>
        <v>274.29000000000002</v>
      </c>
      <c r="K683" s="282">
        <f>IF(Notes!$B$9="Domestic",I683, IF(Notes!$B$9="Commercial",J683))*$K$682</f>
        <v>274.29000000000002</v>
      </c>
      <c r="L683" s="283">
        <f>(SUM(O683:Q683)+(K683+SUM(M683:Q683))*(INDEX($U$682:$AB$682,MATCH(Notes!$C$16,$U$3:$AB$3,0))-100%))*$L$682</f>
        <v>1300</v>
      </c>
      <c r="M683" s="286"/>
      <c r="N683" s="286"/>
      <c r="O683" s="285">
        <v>1300</v>
      </c>
      <c r="P683" s="285"/>
      <c r="Q683" s="285"/>
      <c r="R683" s="278"/>
      <c r="S683" s="278"/>
      <c r="T683" s="278"/>
    </row>
    <row r="684" spans="1:28" s="305" customFormat="1" hidden="1" outlineLevel="1" x14ac:dyDescent="0.25">
      <c r="A684" s="278"/>
      <c r="B684" s="279" t="str">
        <f t="shared" ref="B684:B688" si="274">C684&amp;D684&amp;E684&amp;F684</f>
        <v>toilet partitionquality</v>
      </c>
      <c r="C684" s="278" t="s">
        <v>1036</v>
      </c>
      <c r="D684" s="278"/>
      <c r="E684" s="278"/>
      <c r="F684" s="278" t="s">
        <v>544</v>
      </c>
      <c r="G684" s="278" t="s">
        <v>5</v>
      </c>
      <c r="H684" s="290">
        <v>3</v>
      </c>
      <c r="I684" s="280">
        <f t="shared" ref="I684:I686" si="275">$I$2*H684</f>
        <v>241.86</v>
      </c>
      <c r="J684" s="281">
        <f t="shared" ref="J684:J688" si="276">$J$2*H684</f>
        <v>274.29000000000002</v>
      </c>
      <c r="K684" s="282">
        <f>IF(Notes!$B$9="Domestic",I684, IF(Notes!$B$9="Commercial",J684))*$K$682</f>
        <v>274.29000000000002</v>
      </c>
      <c r="L684" s="283">
        <f>(SUM(O684:Q684)+(K684+SUM(M684:Q684))*(INDEX($U$682:$AB$682,MATCH(Notes!$C$16,$U$3:$AB$3,0))-100%))*$L$682</f>
        <v>1600</v>
      </c>
      <c r="M684" s="286"/>
      <c r="N684" s="286"/>
      <c r="O684" s="285">
        <v>1600</v>
      </c>
      <c r="P684" s="285"/>
      <c r="Q684" s="285"/>
      <c r="R684" s="278"/>
      <c r="S684" s="278"/>
      <c r="T684" s="278"/>
    </row>
    <row r="685" spans="1:28" s="305" customFormat="1" hidden="1" outlineLevel="1" x14ac:dyDescent="0.25">
      <c r="A685" s="278"/>
      <c r="B685" s="279" t="str">
        <f t="shared" si="274"/>
        <v>toilet partitionprestige</v>
      </c>
      <c r="C685" s="278" t="s">
        <v>1036</v>
      </c>
      <c r="D685" s="278"/>
      <c r="E685" s="278"/>
      <c r="F685" s="278" t="s">
        <v>545</v>
      </c>
      <c r="G685" s="278" t="s">
        <v>5</v>
      </c>
      <c r="H685" s="290">
        <v>3</v>
      </c>
      <c r="I685" s="280">
        <f t="shared" si="275"/>
        <v>241.86</v>
      </c>
      <c r="J685" s="281">
        <f t="shared" si="276"/>
        <v>274.29000000000002</v>
      </c>
      <c r="K685" s="282">
        <f>IF(Notes!$B$9="Domestic",I685, IF(Notes!$B$9="Commercial",J685))*$K$682</f>
        <v>274.29000000000002</v>
      </c>
      <c r="L685" s="283">
        <f>(SUM(O685:Q685)+(K685+SUM(M685:Q685))*(INDEX($U$682:$AB$682,MATCH(Notes!$C$16,$U$3:$AB$3,0))-100%))*$L$682</f>
        <v>2100</v>
      </c>
      <c r="M685" s="286"/>
      <c r="N685" s="286"/>
      <c r="O685" s="285">
        <v>2100</v>
      </c>
      <c r="P685" s="285"/>
      <c r="Q685" s="285"/>
      <c r="R685" s="278"/>
      <c r="S685" s="278"/>
      <c r="T685" s="278"/>
    </row>
    <row r="686" spans="1:28" s="305" customFormat="1" hidden="1" outlineLevel="1" x14ac:dyDescent="0.25">
      <c r="A686" s="278"/>
      <c r="B686" s="279" t="str">
        <f t="shared" si="274"/>
        <v>urinal partitionaverage</v>
      </c>
      <c r="C686" s="278" t="s">
        <v>1037</v>
      </c>
      <c r="D686" s="278"/>
      <c r="E686" s="278"/>
      <c r="F686" s="278" t="s">
        <v>543</v>
      </c>
      <c r="G686" s="278" t="s">
        <v>5</v>
      </c>
      <c r="H686" s="290">
        <v>1</v>
      </c>
      <c r="I686" s="280">
        <f t="shared" si="275"/>
        <v>80.62</v>
      </c>
      <c r="J686" s="281">
        <f t="shared" si="276"/>
        <v>91.43</v>
      </c>
      <c r="K686" s="282">
        <f>IF(Notes!$B$9="Domestic",I686, IF(Notes!$B$9="Commercial",J686))*$K$682</f>
        <v>91.43</v>
      </c>
      <c r="L686" s="283">
        <f>(SUM(O686:Q686)+(K686+SUM(M686:Q686))*(INDEX($U$682:$AB$682,MATCH(Notes!$C$16,$U$3:$AB$3,0))-100%))*$L$682</f>
        <v>350</v>
      </c>
      <c r="M686" s="286"/>
      <c r="N686" s="286"/>
      <c r="O686" s="285">
        <v>350</v>
      </c>
      <c r="P686" s="285"/>
      <c r="Q686" s="285"/>
      <c r="R686" s="278"/>
      <c r="S686" s="278"/>
      <c r="T686" s="278"/>
    </row>
    <row r="687" spans="1:28" s="305" customFormat="1" hidden="1" outlineLevel="1" x14ac:dyDescent="0.25">
      <c r="A687" s="278"/>
      <c r="B687" s="279" t="str">
        <f t="shared" si="274"/>
        <v>urinal partitionquality</v>
      </c>
      <c r="C687" s="278" t="s">
        <v>1037</v>
      </c>
      <c r="D687" s="278"/>
      <c r="E687" s="278"/>
      <c r="F687" s="278" t="s">
        <v>544</v>
      </c>
      <c r="G687" s="278" t="s">
        <v>5</v>
      </c>
      <c r="H687" s="290">
        <v>1</v>
      </c>
      <c r="I687" s="280">
        <f>$I$2*H687</f>
        <v>80.62</v>
      </c>
      <c r="J687" s="281">
        <f t="shared" si="276"/>
        <v>91.43</v>
      </c>
      <c r="K687" s="282">
        <f>IF(Notes!$B$9="Domestic",I687, IF(Notes!$B$9="Commercial",J687))*$K$682</f>
        <v>91.43</v>
      </c>
      <c r="L687" s="283">
        <f>(SUM(O687:Q687)+(K687+SUM(M687:Q687))*(INDEX($U$682:$AB$682,MATCH(Notes!$C$16,$U$3:$AB$3,0))-100%))*$L$682</f>
        <v>550</v>
      </c>
      <c r="M687" s="286"/>
      <c r="N687" s="286"/>
      <c r="O687" s="285">
        <v>550</v>
      </c>
      <c r="P687" s="285"/>
      <c r="Q687" s="285"/>
      <c r="R687" s="278"/>
      <c r="S687" s="278"/>
      <c r="T687" s="278"/>
    </row>
    <row r="688" spans="1:28" s="305" customFormat="1" hidden="1" outlineLevel="1" x14ac:dyDescent="0.25">
      <c r="A688" s="278"/>
      <c r="B688" s="279" t="str">
        <f t="shared" si="274"/>
        <v>urinal partitionprestige</v>
      </c>
      <c r="C688" s="278" t="s">
        <v>1037</v>
      </c>
      <c r="D688" s="278"/>
      <c r="E688" s="278"/>
      <c r="F688" s="278" t="s">
        <v>545</v>
      </c>
      <c r="G688" s="278" t="s">
        <v>5</v>
      </c>
      <c r="H688" s="290">
        <v>1</v>
      </c>
      <c r="I688" s="280">
        <f t="shared" ref="I688" si="277">$I$2*H688</f>
        <v>80.62</v>
      </c>
      <c r="J688" s="281">
        <f t="shared" si="276"/>
        <v>91.43</v>
      </c>
      <c r="K688" s="282">
        <f>IF(Notes!$B$9="Domestic",I688, IF(Notes!$B$9="Commercial",J688))*$K$682</f>
        <v>91.43</v>
      </c>
      <c r="L688" s="283">
        <f>(SUM(O688:Q688)+(K688+SUM(M688:Q688))*(INDEX($U$682:$AB$682,MATCH(Notes!$C$16,$U$3:$AB$3,0))-100%))*$L$682</f>
        <v>750</v>
      </c>
      <c r="M688" s="286"/>
      <c r="N688" s="286"/>
      <c r="O688" s="285">
        <v>750</v>
      </c>
      <c r="P688" s="285"/>
      <c r="Q688" s="285"/>
      <c r="R688" s="278"/>
      <c r="S688" s="278"/>
      <c r="T688" s="278"/>
    </row>
    <row r="689" spans="1:28" ht="21" hidden="1" outlineLevel="1" x14ac:dyDescent="0.25">
      <c r="A689" s="299"/>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c r="AA689" s="299"/>
      <c r="AB689" s="299"/>
    </row>
    <row r="690" spans="1:28" ht="15.75" hidden="1" outlineLevel="1" x14ac:dyDescent="0.25">
      <c r="A690" s="291"/>
      <c r="B690" s="291"/>
      <c r="C690" s="291"/>
      <c r="D690" s="291"/>
      <c r="E690" s="291"/>
      <c r="F690" s="291"/>
      <c r="G690" s="291"/>
      <c r="H690" s="291"/>
      <c r="I690" s="291"/>
      <c r="J690" s="291"/>
      <c r="K690" s="291">
        <f>K$2</f>
        <v>1</v>
      </c>
      <c r="L690" s="291">
        <f>L$2</f>
        <v>1</v>
      </c>
      <c r="M690" s="291"/>
      <c r="N690" s="291"/>
      <c r="O690" s="303"/>
      <c r="P690" s="303"/>
      <c r="Q690" s="303"/>
      <c r="R690" s="291"/>
      <c r="S690" s="291"/>
      <c r="T690" s="291"/>
      <c r="U690" s="291">
        <f>U$2</f>
        <v>1</v>
      </c>
      <c r="V690" s="291">
        <f>V$2</f>
        <v>1</v>
      </c>
      <c r="W690" s="291">
        <f t="shared" ref="W690:AB690" si="278">W$2</f>
        <v>1.009090909090909</v>
      </c>
      <c r="X690" s="291">
        <f t="shared" si="278"/>
        <v>1.0909090909090908</v>
      </c>
      <c r="Y690" s="291">
        <f t="shared" si="278"/>
        <v>1.1454545454545455</v>
      </c>
      <c r="Z690" s="291">
        <f t="shared" si="278"/>
        <v>1</v>
      </c>
      <c r="AA690" s="291">
        <f t="shared" si="278"/>
        <v>1</v>
      </c>
      <c r="AB690" s="291">
        <f t="shared" si="278"/>
        <v>1</v>
      </c>
    </row>
    <row r="691" spans="1:28" s="305" customFormat="1" hidden="1" outlineLevel="1" x14ac:dyDescent="0.25">
      <c r="A691" s="278"/>
      <c r="B691" s="279" t="str">
        <f>C691&amp;D691&amp;E691&amp;F691</f>
        <v/>
      </c>
      <c r="C691" s="278"/>
      <c r="D691" s="278"/>
      <c r="E691" s="278"/>
      <c r="F691" s="278"/>
      <c r="G691" s="278"/>
      <c r="H691" s="290"/>
      <c r="I691" s="280">
        <f>$I$2*H691</f>
        <v>0</v>
      </c>
      <c r="J691" s="281">
        <f>$J$2*H691</f>
        <v>0</v>
      </c>
      <c r="K691" s="282">
        <f>IF(Notes!$B$9="Domestic",I691, IF(Notes!$B$9="Commercial",J691))*$K$690</f>
        <v>0</v>
      </c>
      <c r="L691" s="283">
        <f>(SUM(O691:Q691)+(K691+SUM(M691:Q691))*(INDEX($U$690:$AB$690,MATCH(Notes!$C$16,$U$3:$AB$3,0))-100%))*$L$690</f>
        <v>0</v>
      </c>
      <c r="M691" s="286"/>
      <c r="N691" s="286"/>
      <c r="O691" s="285"/>
      <c r="P691" s="285"/>
      <c r="Q691" s="285"/>
      <c r="R691" s="278"/>
      <c r="S691" s="278"/>
      <c r="T691" s="278"/>
    </row>
    <row r="692" spans="1:28" s="305" customFormat="1" hidden="1" outlineLevel="1" x14ac:dyDescent="0.25">
      <c r="A692" s="278"/>
      <c r="B692" s="279" t="str">
        <f t="shared" ref="B692:B700" si="279">C692&amp;D692&amp;E692&amp;F692</f>
        <v/>
      </c>
      <c r="C692" s="278"/>
      <c r="D692" s="278"/>
      <c r="E692" s="278"/>
      <c r="F692" s="278"/>
      <c r="G692" s="278"/>
      <c r="H692" s="290"/>
      <c r="I692" s="280">
        <f t="shared" ref="I692:I700" si="280">$I$2*H692</f>
        <v>0</v>
      </c>
      <c r="J692" s="281">
        <f t="shared" ref="J692:J700" si="281">$J$2*H692</f>
        <v>0</v>
      </c>
      <c r="K692" s="282">
        <f>IF(Notes!$B$9="Domestic",I692, IF(Notes!$B$9="Commercial",J692))*$K$690</f>
        <v>0</v>
      </c>
      <c r="L692" s="283">
        <f>(SUM(O692:Q692)+(K692+SUM(M692:Q692))*(INDEX($U$690:$AB$690,MATCH(Notes!$C$16,$U$3:$AB$3,0))-100%))*$L$690</f>
        <v>0</v>
      </c>
      <c r="M692" s="286"/>
      <c r="N692" s="286"/>
      <c r="O692" s="285"/>
      <c r="P692" s="285"/>
      <c r="Q692" s="285"/>
      <c r="R692" s="278"/>
      <c r="S692" s="278"/>
      <c r="T692" s="278"/>
    </row>
    <row r="693" spans="1:28" s="305" customFormat="1" hidden="1" outlineLevel="1" x14ac:dyDescent="0.25">
      <c r="A693" s="278"/>
      <c r="B693" s="279" t="str">
        <f t="shared" si="279"/>
        <v/>
      </c>
      <c r="C693" s="278"/>
      <c r="D693" s="278"/>
      <c r="E693" s="278"/>
      <c r="F693" s="278"/>
      <c r="G693" s="278"/>
      <c r="H693" s="290"/>
      <c r="I693" s="280">
        <f t="shared" si="280"/>
        <v>0</v>
      </c>
      <c r="J693" s="281">
        <f t="shared" si="281"/>
        <v>0</v>
      </c>
      <c r="K693" s="282">
        <f>IF(Notes!$B$9="Domestic",I693, IF(Notes!$B$9="Commercial",J693))*$K$690</f>
        <v>0</v>
      </c>
      <c r="L693" s="283">
        <f>(SUM(O693:Q693)+(K693+SUM(M693:Q693))*(INDEX($U$690:$AB$690,MATCH(Notes!$C$16,$U$3:$AB$3,0))-100%))*$L$690</f>
        <v>0</v>
      </c>
      <c r="M693" s="286"/>
      <c r="N693" s="286"/>
      <c r="O693" s="285"/>
      <c r="P693" s="285"/>
      <c r="Q693" s="285"/>
      <c r="R693" s="278"/>
      <c r="S693" s="278"/>
      <c r="T693" s="278"/>
    </row>
    <row r="694" spans="1:28" s="305" customFormat="1" hidden="1" outlineLevel="1" x14ac:dyDescent="0.25">
      <c r="A694" s="278"/>
      <c r="B694" s="279" t="str">
        <f t="shared" si="279"/>
        <v/>
      </c>
      <c r="C694" s="278"/>
      <c r="D694" s="278"/>
      <c r="E694" s="278"/>
      <c r="F694" s="278"/>
      <c r="G694" s="278"/>
      <c r="H694" s="290"/>
      <c r="I694" s="280">
        <f t="shared" si="280"/>
        <v>0</v>
      </c>
      <c r="J694" s="281">
        <f t="shared" si="281"/>
        <v>0</v>
      </c>
      <c r="K694" s="282">
        <f>IF(Notes!$B$9="Domestic",I694, IF(Notes!$B$9="Commercial",J694))*$K$690</f>
        <v>0</v>
      </c>
      <c r="L694" s="283">
        <f>(SUM(O694:Q694)+(K694+SUM(M694:Q694))*(INDEX($U$690:$AB$690,MATCH(Notes!$C$16,$U$3:$AB$3,0))-100%))*$L$690</f>
        <v>0</v>
      </c>
      <c r="M694" s="286"/>
      <c r="N694" s="286"/>
      <c r="O694" s="285"/>
      <c r="P694" s="285"/>
      <c r="Q694" s="285"/>
      <c r="R694" s="278"/>
      <c r="S694" s="278"/>
      <c r="T694" s="278"/>
    </row>
    <row r="695" spans="1:28" s="305" customFormat="1" hidden="1" outlineLevel="1" x14ac:dyDescent="0.25">
      <c r="A695" s="278"/>
      <c r="B695" s="279" t="str">
        <f t="shared" si="279"/>
        <v/>
      </c>
      <c r="C695" s="278"/>
      <c r="D695" s="278"/>
      <c r="E695" s="278"/>
      <c r="F695" s="278"/>
      <c r="G695" s="278"/>
      <c r="H695" s="290"/>
      <c r="I695" s="280">
        <f>$I$2*H695</f>
        <v>0</v>
      </c>
      <c r="J695" s="281">
        <f t="shared" si="281"/>
        <v>0</v>
      </c>
      <c r="K695" s="282">
        <f>IF(Notes!$B$9="Domestic",I695, IF(Notes!$B$9="Commercial",J695))*$K$690</f>
        <v>0</v>
      </c>
      <c r="L695" s="283">
        <f>(SUM(O695:Q695)+(K695+SUM(M695:Q695))*(INDEX($U$690:$AB$690,MATCH(Notes!$C$16,$U$3:$AB$3,0))-100%))*$L$690</f>
        <v>0</v>
      </c>
      <c r="M695" s="286"/>
      <c r="N695" s="286"/>
      <c r="O695" s="285"/>
      <c r="P695" s="285"/>
      <c r="Q695" s="285"/>
      <c r="R695" s="278"/>
      <c r="S695" s="278"/>
      <c r="T695" s="278"/>
    </row>
    <row r="696" spans="1:28" s="305" customFormat="1" hidden="1" outlineLevel="1" x14ac:dyDescent="0.25">
      <c r="A696" s="278"/>
      <c r="B696" s="279" t="str">
        <f t="shared" si="279"/>
        <v/>
      </c>
      <c r="C696" s="278"/>
      <c r="D696" s="278"/>
      <c r="E696" s="278"/>
      <c r="F696" s="278"/>
      <c r="G696" s="278"/>
      <c r="H696" s="290"/>
      <c r="I696" s="280">
        <f t="shared" si="280"/>
        <v>0</v>
      </c>
      <c r="J696" s="281">
        <f t="shared" si="281"/>
        <v>0</v>
      </c>
      <c r="K696" s="282">
        <f>IF(Notes!$B$9="Domestic",I696, IF(Notes!$B$9="Commercial",J696))*$K$690</f>
        <v>0</v>
      </c>
      <c r="L696" s="283">
        <f>(SUM(O696:Q696)+(K696+SUM(M696:Q696))*(INDEX($U$690:$AB$690,MATCH(Notes!$C$16,$U$3:$AB$3,0))-100%))*$L$690</f>
        <v>0</v>
      </c>
      <c r="M696" s="286"/>
      <c r="N696" s="286"/>
      <c r="O696" s="285"/>
      <c r="P696" s="285"/>
      <c r="Q696" s="285"/>
      <c r="R696" s="278"/>
      <c r="S696" s="278"/>
      <c r="T696" s="278"/>
    </row>
    <row r="697" spans="1:28" s="305" customFormat="1" hidden="1" outlineLevel="1" x14ac:dyDescent="0.25">
      <c r="A697" s="278"/>
      <c r="B697" s="279" t="str">
        <f t="shared" si="279"/>
        <v/>
      </c>
      <c r="C697" s="278"/>
      <c r="D697" s="278"/>
      <c r="E697" s="278"/>
      <c r="F697" s="278"/>
      <c r="G697" s="278"/>
      <c r="H697" s="290"/>
      <c r="I697" s="280">
        <f t="shared" si="280"/>
        <v>0</v>
      </c>
      <c r="J697" s="281">
        <f t="shared" si="281"/>
        <v>0</v>
      </c>
      <c r="K697" s="282">
        <f>IF(Notes!$B$9="Domestic",I697, IF(Notes!$B$9="Commercial",J697))*$K$690</f>
        <v>0</v>
      </c>
      <c r="L697" s="283">
        <f>(SUM(O697:Q697)+(K697+SUM(M697:Q697))*(INDEX($U$690:$AB$690,MATCH(Notes!$C$16,$U$3:$AB$3,0))-100%))*$L$690</f>
        <v>0</v>
      </c>
      <c r="M697" s="286"/>
      <c r="N697" s="286"/>
      <c r="O697" s="285"/>
      <c r="P697" s="285"/>
      <c r="Q697" s="285"/>
      <c r="R697" s="278"/>
      <c r="S697" s="278"/>
      <c r="T697" s="278"/>
    </row>
    <row r="698" spans="1:28" s="305" customFormat="1" hidden="1" outlineLevel="1" x14ac:dyDescent="0.25">
      <c r="A698" s="278"/>
      <c r="B698" s="279" t="str">
        <f t="shared" si="279"/>
        <v/>
      </c>
      <c r="C698" s="278"/>
      <c r="D698" s="278"/>
      <c r="E698" s="278"/>
      <c r="F698" s="278"/>
      <c r="G698" s="278"/>
      <c r="H698" s="290"/>
      <c r="I698" s="280">
        <f t="shared" si="280"/>
        <v>0</v>
      </c>
      <c r="J698" s="281">
        <f t="shared" si="281"/>
        <v>0</v>
      </c>
      <c r="K698" s="282">
        <f>IF(Notes!$B$9="Domestic",I698, IF(Notes!$B$9="Commercial",J698))*$K$690</f>
        <v>0</v>
      </c>
      <c r="L698" s="283">
        <f>(SUM(O698:Q698)+(K698+SUM(M698:Q698))*(INDEX($U$690:$AB$690,MATCH(Notes!$C$16,$U$3:$AB$3,0))-100%))*$L$690</f>
        <v>0</v>
      </c>
      <c r="M698" s="286"/>
      <c r="N698" s="286"/>
      <c r="O698" s="285"/>
      <c r="P698" s="285"/>
      <c r="Q698" s="285"/>
      <c r="R698" s="278"/>
      <c r="S698" s="278"/>
      <c r="T698" s="278"/>
    </row>
    <row r="699" spans="1:28" s="305" customFormat="1" hidden="1" outlineLevel="1" x14ac:dyDescent="0.25">
      <c r="A699" s="278"/>
      <c r="B699" s="279" t="str">
        <f t="shared" si="279"/>
        <v/>
      </c>
      <c r="C699" s="278"/>
      <c r="D699" s="278"/>
      <c r="E699" s="278"/>
      <c r="F699" s="278"/>
      <c r="G699" s="278"/>
      <c r="H699" s="290"/>
      <c r="I699" s="280">
        <f t="shared" si="280"/>
        <v>0</v>
      </c>
      <c r="J699" s="281">
        <f t="shared" si="281"/>
        <v>0</v>
      </c>
      <c r="K699" s="282">
        <f>IF(Notes!$B$9="Domestic",I699, IF(Notes!$B$9="Commercial",J699))*$K$690</f>
        <v>0</v>
      </c>
      <c r="L699" s="283">
        <f>(SUM(O699:Q699)+(K699+SUM(M699:Q699))*(INDEX($U$690:$AB$690,MATCH(Notes!$C$16,$U$3:$AB$3,0))-100%))*$L$690</f>
        <v>0</v>
      </c>
      <c r="M699" s="286"/>
      <c r="N699" s="286"/>
      <c r="O699" s="285"/>
      <c r="P699" s="285"/>
      <c r="Q699" s="285"/>
      <c r="R699" s="278"/>
      <c r="S699" s="278"/>
      <c r="T699" s="278"/>
    </row>
    <row r="700" spans="1:28" s="305" customFormat="1" hidden="1" outlineLevel="1" x14ac:dyDescent="0.25">
      <c r="A700" s="278"/>
      <c r="B700" s="279" t="str">
        <f t="shared" si="279"/>
        <v/>
      </c>
      <c r="C700" s="278"/>
      <c r="D700" s="278"/>
      <c r="E700" s="278"/>
      <c r="F700" s="278"/>
      <c r="G700" s="278"/>
      <c r="H700" s="290"/>
      <c r="I700" s="280">
        <f t="shared" si="280"/>
        <v>0</v>
      </c>
      <c r="J700" s="281">
        <f t="shared" si="281"/>
        <v>0</v>
      </c>
      <c r="K700" s="282">
        <f>IF(Notes!$B$9="Domestic",I700, IF(Notes!$B$9="Commercial",J700))*$K$690</f>
        <v>0</v>
      </c>
      <c r="L700" s="283">
        <f>(SUM(O700:Q700)+(K700+SUM(M700:Q700))*(INDEX($U$690:$AB$690,MATCH(Notes!$C$16,$U$3:$AB$3,0))-100%))*$L$690</f>
        <v>0</v>
      </c>
      <c r="M700" s="286"/>
      <c r="N700" s="286"/>
      <c r="O700" s="285"/>
      <c r="P700" s="285"/>
      <c r="Q700" s="285"/>
      <c r="R700" s="278"/>
      <c r="S700" s="278"/>
      <c r="T700" s="278"/>
    </row>
    <row r="701" spans="1:28" hidden="1" outlineLevel="1" x14ac:dyDescent="0.25">
      <c r="A701" s="284" t="str">
        <f>C701&amp;D701&amp;E701</f>
        <v/>
      </c>
      <c r="B701" s="284"/>
      <c r="C701" s="284"/>
      <c r="D701" s="284"/>
      <c r="E701" s="284"/>
      <c r="F701" s="284"/>
      <c r="G701" s="284"/>
      <c r="H701" s="284"/>
      <c r="I701" s="284"/>
      <c r="J701" s="284"/>
      <c r="K701" s="284"/>
      <c r="L701" s="284"/>
      <c r="M701" s="284"/>
      <c r="N701" s="284"/>
      <c r="O701" s="284"/>
      <c r="P701" s="284"/>
      <c r="Q701" s="284"/>
      <c r="R701" s="284"/>
      <c r="S701" s="284"/>
      <c r="T701" s="284"/>
    </row>
    <row r="702" spans="1:28" hidden="1" outlineLevel="1" x14ac:dyDescent="0.25"/>
    <row r="703" spans="1:28" hidden="1" outlineLevel="1" x14ac:dyDescent="0.25"/>
    <row r="704" spans="1:28" collapsed="1" x14ac:dyDescent="0.25"/>
  </sheetData>
  <sheetProtection algorithmName="SHA-512" hashValue="i3bvnigZ/AK3ENMnyPEE0qhDscLvJOdiZQZmXjM2dqeIp0W7yhPbIkg93StWb/Zy1DfZ18b0BCB/zEi0nO/YYw==" saltValue="HnwnTQIYUsGruUuiXlB1aA=="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00B050"/>
  </sheetPr>
  <dimension ref="A1:S202"/>
  <sheetViews>
    <sheetView view="pageBreakPreview" zoomScale="70" zoomScaleNormal="85" zoomScaleSheetLayoutView="70" zoomScalePageLayoutView="85" workbookViewId="0">
      <pane ySplit="2" topLeftCell="A135"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Joinery!A2+1</f>
        <v>26</v>
      </c>
      <c r="B2" s="73" t="s" cm="1">
        <v>2486</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26.01</v>
      </c>
      <c r="B3" s="27" t="s">
        <v>138</v>
      </c>
      <c r="C3" s="83">
        <v>3</v>
      </c>
      <c r="D3" s="29" t="s">
        <v>5</v>
      </c>
      <c r="E3" s="85"/>
      <c r="F3" s="86">
        <f>IF(E3="inc",0,IF(C3="",0,C3*E3))</f>
        <v>0</v>
      </c>
      <c r="G3" s="208"/>
      <c r="H3" s="30"/>
      <c r="I3" s="30"/>
      <c r="J3" s="30"/>
      <c r="K3" s="30"/>
      <c r="L3" s="30"/>
      <c r="M3" s="87"/>
      <c r="N3" s="88"/>
      <c r="O3" s="25"/>
      <c r="P3" s="25"/>
      <c r="Q3" s="25"/>
      <c r="R3" s="25"/>
      <c r="S3" s="25"/>
    </row>
    <row r="4" spans="1:19" s="94" customFormat="1" ht="15.75" x14ac:dyDescent="0.25">
      <c r="A4" s="24" t="s">
        <v>2332</v>
      </c>
      <c r="B4" s="24" t="s">
        <v>2329</v>
      </c>
      <c r="C4" s="32">
        <v>1</v>
      </c>
      <c r="D4" s="32" t="s">
        <v>5</v>
      </c>
      <c r="E4" s="26"/>
      <c r="F4" s="33"/>
      <c r="G4" s="209"/>
      <c r="H4" s="26"/>
      <c r="I4" s="26"/>
      <c r="J4" s="26"/>
      <c r="K4" s="26"/>
      <c r="L4" s="26"/>
      <c r="M4" s="34"/>
      <c r="N4" s="32"/>
      <c r="O4" s="44"/>
    </row>
    <row r="5" spans="1:19" s="94" customFormat="1" ht="31.5" x14ac:dyDescent="0.25">
      <c r="A5" s="24" t="s">
        <v>2333</v>
      </c>
      <c r="B5" s="24" t="s">
        <v>2331</v>
      </c>
      <c r="C5" s="32">
        <v>1</v>
      </c>
      <c r="D5" s="32" t="s">
        <v>5</v>
      </c>
      <c r="E5" s="26"/>
      <c r="F5" s="33"/>
      <c r="G5" s="209"/>
      <c r="H5" s="26"/>
      <c r="I5" s="26"/>
      <c r="J5" s="26"/>
      <c r="K5" s="26"/>
      <c r="L5" s="26"/>
      <c r="M5" s="34"/>
      <c r="N5" s="32"/>
      <c r="O5" s="44"/>
    </row>
    <row r="6" spans="1:19" s="94" customFormat="1" ht="31.5" x14ac:dyDescent="0.25">
      <c r="A6" s="24" t="s">
        <v>2335</v>
      </c>
      <c r="B6" s="24" t="s">
        <v>2334</v>
      </c>
      <c r="C6" s="32">
        <v>1</v>
      </c>
      <c r="D6" s="32" t="s">
        <v>5</v>
      </c>
      <c r="E6" s="26"/>
      <c r="F6" s="33"/>
      <c r="G6" s="209"/>
      <c r="H6" s="26"/>
      <c r="I6" s="26"/>
      <c r="J6" s="26"/>
      <c r="K6" s="26"/>
      <c r="L6" s="26"/>
      <c r="M6" s="34"/>
      <c r="N6" s="32"/>
      <c r="O6" s="44"/>
    </row>
    <row r="7" spans="1:19" s="94" customFormat="1" ht="15.75" x14ac:dyDescent="0.25">
      <c r="A7" s="24"/>
      <c r="B7" s="24"/>
      <c r="C7" s="32" t="s">
        <v>2346</v>
      </c>
      <c r="D7" s="32" t="s">
        <v>2346</v>
      </c>
      <c r="E7" s="26"/>
      <c r="F7" s="33"/>
      <c r="G7" s="210"/>
      <c r="H7" s="26"/>
      <c r="I7" s="26"/>
      <c r="J7" s="26"/>
      <c r="K7" s="26"/>
      <c r="L7" s="26"/>
      <c r="M7" s="34"/>
      <c r="N7" s="32"/>
      <c r="O7" s="44"/>
    </row>
    <row r="8" spans="1:19" s="90" customFormat="1" ht="18.75" x14ac:dyDescent="0.25">
      <c r="A8" s="82">
        <f ca="1">IF(C8&gt;0,MAX($A$1:OFFSET(A8,-1,0))+0.01,"")</f>
        <v>26.020000000000003</v>
      </c>
      <c r="B8" s="27" t="s">
        <v>143</v>
      </c>
      <c r="C8" s="83">
        <v>6</v>
      </c>
      <c r="D8" s="29" t="s">
        <v>5</v>
      </c>
      <c r="E8" s="85"/>
      <c r="F8" s="86">
        <f>IF(E8="inc",0,IF(C8="",0,C8*E8))</f>
        <v>0</v>
      </c>
      <c r="G8" s="208"/>
      <c r="H8" s="30"/>
      <c r="I8" s="30"/>
      <c r="J8" s="30"/>
      <c r="K8" s="30"/>
      <c r="L8" s="30"/>
      <c r="M8" s="87"/>
      <c r="N8" s="88"/>
      <c r="O8" s="25"/>
      <c r="P8" s="25"/>
      <c r="Q8" s="25"/>
      <c r="R8" s="25"/>
      <c r="S8" s="25"/>
    </row>
    <row r="9" spans="1:19" s="94" customFormat="1" ht="31.5" x14ac:dyDescent="0.25">
      <c r="A9" s="24" t="s">
        <v>2338</v>
      </c>
      <c r="B9" s="24" t="s">
        <v>2336</v>
      </c>
      <c r="C9" s="32">
        <v>1</v>
      </c>
      <c r="D9" s="32" t="s">
        <v>5</v>
      </c>
      <c r="E9" s="26"/>
      <c r="F9" s="33"/>
      <c r="G9" s="210"/>
      <c r="H9" s="26"/>
      <c r="I9" s="26"/>
      <c r="J9" s="26"/>
      <c r="K9" s="26"/>
      <c r="L9" s="26"/>
      <c r="M9" s="34"/>
      <c r="N9" s="32"/>
      <c r="O9" s="44"/>
    </row>
    <row r="10" spans="1:19" s="94" customFormat="1" ht="31.5" x14ac:dyDescent="0.25">
      <c r="A10" s="24" t="s">
        <v>2339</v>
      </c>
      <c r="B10" s="24" t="s">
        <v>2337</v>
      </c>
      <c r="C10" s="32">
        <v>5</v>
      </c>
      <c r="D10" s="32" t="s">
        <v>5</v>
      </c>
      <c r="E10" s="26"/>
      <c r="F10" s="33"/>
      <c r="G10" s="210"/>
      <c r="H10" s="26"/>
      <c r="I10" s="26"/>
      <c r="J10" s="26"/>
      <c r="K10" s="26"/>
      <c r="L10" s="26"/>
      <c r="M10" s="34"/>
      <c r="N10" s="32"/>
      <c r="O10" s="44"/>
    </row>
    <row r="11" spans="1:19" s="94" customFormat="1" ht="15.75" x14ac:dyDescent="0.25">
      <c r="A11" s="24"/>
      <c r="B11" s="24"/>
      <c r="C11" s="32" t="s">
        <v>2346</v>
      </c>
      <c r="D11" s="32" t="s">
        <v>2346</v>
      </c>
      <c r="E11" s="26"/>
      <c r="F11" s="33"/>
      <c r="G11" s="210"/>
      <c r="H11" s="26"/>
      <c r="I11" s="26"/>
      <c r="J11" s="26"/>
      <c r="K11" s="26"/>
      <c r="L11" s="26"/>
      <c r="M11" s="34"/>
      <c r="N11" s="32"/>
      <c r="O11" s="44"/>
    </row>
    <row r="12" spans="1:19" s="90" customFormat="1" ht="18.75" x14ac:dyDescent="0.25">
      <c r="A12" s="82">
        <f ca="1">IF(C12&gt;0,MAX($A$1:OFFSET(A12,-1,0))+0.01,"")</f>
        <v>26.030000000000005</v>
      </c>
      <c r="B12" s="27" t="s">
        <v>956</v>
      </c>
      <c r="C12" s="83">
        <v>1</v>
      </c>
      <c r="D12" s="29" t="s">
        <v>5</v>
      </c>
      <c r="E12" s="85"/>
      <c r="F12" s="86">
        <f>IF(E12="inc",0,IF(C12="",0,C12*E12))</f>
        <v>0</v>
      </c>
      <c r="G12" s="208"/>
      <c r="H12" s="30"/>
      <c r="I12" s="30"/>
      <c r="J12" s="30"/>
      <c r="K12" s="30"/>
      <c r="L12" s="30"/>
      <c r="M12" s="87"/>
      <c r="N12" s="88"/>
      <c r="O12" s="25"/>
      <c r="P12" s="25"/>
      <c r="Q12" s="25"/>
      <c r="R12" s="25"/>
      <c r="S12" s="25"/>
    </row>
    <row r="13" spans="1:19" s="94" customFormat="1" ht="31.5" x14ac:dyDescent="0.25">
      <c r="A13" s="24" t="s">
        <v>2341</v>
      </c>
      <c r="B13" s="24" t="s">
        <v>2340</v>
      </c>
      <c r="C13" s="32">
        <v>1</v>
      </c>
      <c r="D13" s="32" t="s">
        <v>5</v>
      </c>
      <c r="E13" s="26"/>
      <c r="F13" s="33"/>
      <c r="G13" s="210"/>
      <c r="H13" s="26"/>
      <c r="I13" s="26"/>
      <c r="J13" s="26"/>
      <c r="K13" s="26"/>
      <c r="L13" s="26"/>
      <c r="M13" s="34"/>
      <c r="N13" s="32"/>
      <c r="O13" s="44"/>
    </row>
    <row r="14" spans="1:19" s="94" customFormat="1" ht="15.75" x14ac:dyDescent="0.25">
      <c r="A14" s="24"/>
      <c r="B14" s="24"/>
      <c r="C14" s="32" t="s">
        <v>2346</v>
      </c>
      <c r="D14" s="32" t="s">
        <v>2346</v>
      </c>
      <c r="E14" s="26"/>
      <c r="F14" s="33"/>
      <c r="G14" s="210"/>
      <c r="H14" s="26"/>
      <c r="I14" s="26"/>
      <c r="J14" s="26"/>
      <c r="K14" s="26"/>
      <c r="L14" s="26"/>
      <c r="M14" s="34"/>
      <c r="N14" s="32"/>
      <c r="O14" s="44"/>
    </row>
    <row r="15" spans="1:19" s="90" customFormat="1" ht="18.75" x14ac:dyDescent="0.25">
      <c r="A15" s="82">
        <f ca="1">IF(C15&gt;0,MAX($A$1:OFFSET(A15,-1,0))+0.01,"")</f>
        <v>26.040000000000006</v>
      </c>
      <c r="B15" s="27" t="s">
        <v>677</v>
      </c>
      <c r="C15" s="98">
        <v>7.38</v>
      </c>
      <c r="D15" s="29" t="s">
        <v>11</v>
      </c>
      <c r="E15" s="85"/>
      <c r="F15" s="86">
        <f>IF(E15="inc",0,IF(C15="",0,C15*E15))</f>
        <v>0</v>
      </c>
      <c r="G15" s="208"/>
      <c r="H15" s="30"/>
      <c r="I15" s="30"/>
      <c r="J15" s="30"/>
      <c r="K15" s="30"/>
      <c r="L15" s="30"/>
      <c r="M15" s="87"/>
      <c r="N15" s="88"/>
      <c r="O15" s="25"/>
      <c r="P15" s="25"/>
      <c r="Q15" s="25"/>
      <c r="R15" s="25"/>
      <c r="S15" s="25"/>
    </row>
    <row r="16" spans="1:19" s="94" customFormat="1" ht="15.75" x14ac:dyDescent="0.25">
      <c r="A16" s="24"/>
      <c r="B16" s="24" t="s">
        <v>962</v>
      </c>
      <c r="C16" s="32">
        <v>7.38</v>
      </c>
      <c r="D16" s="32" t="s">
        <v>11</v>
      </c>
      <c r="E16" s="26"/>
      <c r="F16" s="33"/>
      <c r="G16" s="210"/>
      <c r="H16" s="26"/>
      <c r="I16" s="26"/>
      <c r="J16" s="26"/>
      <c r="K16" s="26"/>
      <c r="L16" s="26"/>
      <c r="M16" s="34"/>
      <c r="N16" s="32"/>
      <c r="O16" s="44"/>
    </row>
    <row r="17" spans="1:19" s="94" customFormat="1" ht="15.75" x14ac:dyDescent="0.25">
      <c r="A17" s="24"/>
      <c r="B17" s="24"/>
      <c r="C17" s="32" t="s">
        <v>2346</v>
      </c>
      <c r="D17" s="32">
        <v>0</v>
      </c>
      <c r="E17" s="26"/>
      <c r="F17" s="33"/>
      <c r="G17" s="210"/>
      <c r="H17" s="26"/>
      <c r="I17" s="26"/>
      <c r="J17" s="26"/>
      <c r="K17" s="26"/>
      <c r="L17" s="26"/>
      <c r="M17" s="34"/>
      <c r="N17" s="32"/>
      <c r="O17" s="44"/>
    </row>
    <row r="18" spans="1:19" s="90" customFormat="1" ht="18.75" x14ac:dyDescent="0.25">
      <c r="A18" s="82">
        <f ca="1">IF(C18&gt;0,MAX($A$1:OFFSET(A18,-1,0))+0.01,"")</f>
        <v>26.050000000000008</v>
      </c>
      <c r="B18" s="27" t="s">
        <v>678</v>
      </c>
      <c r="C18" s="98">
        <v>3.915</v>
      </c>
      <c r="D18" s="29" t="s">
        <v>11</v>
      </c>
      <c r="E18" s="85"/>
      <c r="F18" s="86">
        <f>IF(E18="inc",0,IF(C18="",0,C18*E18))</f>
        <v>0</v>
      </c>
      <c r="G18" s="208"/>
      <c r="H18" s="30"/>
      <c r="I18" s="30"/>
      <c r="J18" s="30"/>
      <c r="K18" s="30"/>
      <c r="L18" s="30"/>
      <c r="M18" s="87"/>
      <c r="N18" s="88"/>
      <c r="O18" s="25"/>
      <c r="P18" s="25"/>
      <c r="Q18" s="25"/>
      <c r="R18" s="25"/>
      <c r="S18" s="25"/>
    </row>
    <row r="19" spans="1:19" s="94" customFormat="1" ht="15.75" x14ac:dyDescent="0.25">
      <c r="A19" s="24"/>
      <c r="B19" s="24" t="s">
        <v>963</v>
      </c>
      <c r="C19" s="32">
        <v>0.94499999999999995</v>
      </c>
      <c r="D19" s="32" t="s">
        <v>11</v>
      </c>
      <c r="E19" s="26"/>
      <c r="F19" s="33"/>
      <c r="G19" s="210"/>
      <c r="H19" s="26"/>
      <c r="I19" s="26"/>
      <c r="J19" s="26"/>
      <c r="K19" s="26"/>
      <c r="L19" s="26"/>
      <c r="M19" s="34"/>
      <c r="N19" s="32"/>
      <c r="O19" s="44"/>
    </row>
    <row r="20" spans="1:19" s="94" customFormat="1" ht="31.5" x14ac:dyDescent="0.25">
      <c r="A20" s="387" t="s">
        <v>2344</v>
      </c>
      <c r="B20" s="387" t="s">
        <v>2342</v>
      </c>
      <c r="C20" s="32">
        <v>1.08</v>
      </c>
      <c r="D20" s="32" t="s">
        <v>11</v>
      </c>
      <c r="E20" s="26"/>
      <c r="F20" s="33"/>
      <c r="G20" s="210"/>
      <c r="H20" s="26"/>
      <c r="I20" s="26"/>
      <c r="J20" s="26"/>
      <c r="K20" s="26"/>
      <c r="L20" s="26"/>
      <c r="M20" s="34"/>
      <c r="N20" s="32"/>
      <c r="O20" s="44"/>
    </row>
    <row r="21" spans="1:19" s="94" customFormat="1" ht="31.5" x14ac:dyDescent="0.25">
      <c r="A21" s="387" t="s">
        <v>2345</v>
      </c>
      <c r="B21" s="387" t="s">
        <v>2343</v>
      </c>
      <c r="C21" s="32">
        <v>1.8900000000000001</v>
      </c>
      <c r="D21" s="32" t="s">
        <v>11</v>
      </c>
      <c r="E21" s="26"/>
      <c r="F21" s="33"/>
      <c r="G21" s="210"/>
      <c r="H21" s="26"/>
      <c r="I21" s="26"/>
      <c r="J21" s="26"/>
      <c r="K21" s="26"/>
      <c r="L21" s="26"/>
      <c r="M21" s="34"/>
      <c r="N21" s="32"/>
      <c r="O21" s="44"/>
    </row>
    <row r="22" spans="1:19" s="94" customFormat="1" ht="15.75" x14ac:dyDescent="0.25">
      <c r="A22" s="24"/>
      <c r="B22" s="24"/>
      <c r="C22" s="32" t="s">
        <v>2346</v>
      </c>
      <c r="D22" s="32">
        <v>0</v>
      </c>
      <c r="E22" s="26"/>
      <c r="F22" s="33"/>
      <c r="G22" s="210"/>
      <c r="H22" s="26"/>
      <c r="I22" s="26"/>
      <c r="J22" s="26"/>
      <c r="K22" s="26"/>
      <c r="L22" s="26"/>
      <c r="M22" s="34"/>
      <c r="N22" s="32"/>
      <c r="O22" s="44"/>
    </row>
    <row r="23" spans="1:19" s="79" customFormat="1" ht="21.75" thickBot="1" x14ac:dyDescent="0.4">
      <c r="A23" s="99"/>
      <c r="B23" s="394" t="s">
        <v>4</v>
      </c>
      <c r="C23" s="395"/>
      <c r="D23" s="396"/>
      <c r="E23" s="100"/>
      <c r="F23" s="101">
        <f ca="1">SUM(F$2:OFFSET(F23,-1,0))</f>
        <v>0</v>
      </c>
      <c r="G23" s="208"/>
      <c r="H23" s="100"/>
      <c r="I23" s="100"/>
      <c r="J23" s="100"/>
      <c r="K23" s="100"/>
      <c r="L23" s="100"/>
      <c r="M23" s="102"/>
      <c r="N23" s="103"/>
    </row>
    <row r="24" spans="1:19" s="94" customFormat="1" ht="15.75" x14ac:dyDescent="0.25">
      <c r="A24" s="105"/>
      <c r="B24" s="25"/>
      <c r="C24" s="106"/>
      <c r="D24" s="32"/>
      <c r="E24" s="92"/>
      <c r="F24" s="107"/>
      <c r="G24" s="107"/>
      <c r="H24" s="26"/>
      <c r="I24" s="26"/>
      <c r="J24" s="26"/>
      <c r="K24" s="26"/>
      <c r="L24" s="26"/>
      <c r="M24" s="88"/>
      <c r="N24" s="88"/>
    </row>
    <row r="25" spans="1:19" ht="15.75" x14ac:dyDescent="0.25">
      <c r="C25" s="106"/>
      <c r="G25" s="107"/>
      <c r="H25" s="26"/>
      <c r="I25" s="26"/>
      <c r="J25" s="26"/>
      <c r="K25" s="26"/>
      <c r="L25" s="26"/>
    </row>
    <row r="26" spans="1:19" ht="15.75" x14ac:dyDescent="0.25">
      <c r="G26" s="107"/>
      <c r="H26" s="26"/>
      <c r="I26" s="26"/>
      <c r="J26" s="26"/>
      <c r="K26" s="26"/>
      <c r="L26" s="26"/>
    </row>
    <row r="27" spans="1:19" ht="15.75" x14ac:dyDescent="0.25">
      <c r="G27" s="107"/>
      <c r="H27" s="26"/>
      <c r="I27" s="26"/>
      <c r="J27" s="26"/>
      <c r="K27" s="26"/>
      <c r="L27" s="26"/>
    </row>
    <row r="28" spans="1:19" ht="15.75" x14ac:dyDescent="0.25">
      <c r="F28" s="108" t="e">
        <f ca="1">F23-#REF!</f>
        <v>#REF!</v>
      </c>
      <c r="G28" s="107"/>
      <c r="H28" s="26"/>
      <c r="I28" s="26"/>
      <c r="J28" s="26"/>
      <c r="K28" s="26"/>
      <c r="L28" s="26"/>
    </row>
    <row r="29" spans="1:19" ht="15.75" x14ac:dyDescent="0.25">
      <c r="G29" s="107"/>
      <c r="H29" s="26"/>
      <c r="I29" s="26"/>
      <c r="J29" s="26"/>
      <c r="K29" s="26"/>
      <c r="L29" s="26"/>
    </row>
    <row r="30" spans="1:19" ht="15.75" x14ac:dyDescent="0.25">
      <c r="G30" s="107"/>
      <c r="H30" s="26"/>
      <c r="I30" s="26"/>
      <c r="J30" s="26"/>
      <c r="K30" s="26"/>
      <c r="L30" s="26"/>
    </row>
    <row r="31" spans="1:19" ht="15.75" x14ac:dyDescent="0.25">
      <c r="G31" s="107"/>
      <c r="H31" s="26"/>
      <c r="I31" s="26"/>
      <c r="J31" s="26"/>
      <c r="K31" s="26"/>
      <c r="L31" s="26"/>
    </row>
    <row r="32" spans="1:19" ht="15.75" x14ac:dyDescent="0.25">
      <c r="G32" s="107"/>
      <c r="H32" s="26"/>
      <c r="I32" s="26"/>
      <c r="J32" s="26"/>
      <c r="K32" s="26"/>
      <c r="L32" s="26"/>
    </row>
    <row r="33" spans="1:19" ht="15.75" x14ac:dyDescent="0.25">
      <c r="G33" s="107"/>
      <c r="H33" s="26"/>
      <c r="I33" s="26"/>
      <c r="J33" s="26"/>
      <c r="K33" s="26"/>
      <c r="L33" s="26"/>
    </row>
    <row r="34" spans="1:19" ht="15.75" x14ac:dyDescent="0.25">
      <c r="G34" s="107"/>
      <c r="H34" s="26"/>
      <c r="I34" s="26"/>
      <c r="J34" s="26"/>
      <c r="K34" s="26"/>
      <c r="L34" s="26"/>
    </row>
    <row r="35" spans="1:19" ht="15.75" x14ac:dyDescent="0.25">
      <c r="G35" s="107"/>
      <c r="H35" s="26"/>
      <c r="I35" s="26"/>
      <c r="J35" s="26"/>
      <c r="K35" s="26"/>
      <c r="L35" s="26"/>
    </row>
    <row r="36" spans="1:19" ht="15.75" x14ac:dyDescent="0.25">
      <c r="G36" s="107"/>
      <c r="H36" s="26"/>
      <c r="I36" s="26"/>
      <c r="J36" s="26"/>
      <c r="K36" s="26"/>
      <c r="L36" s="26"/>
    </row>
    <row r="37" spans="1:19" ht="15.75" x14ac:dyDescent="0.25">
      <c r="G37" s="107"/>
      <c r="H37" s="26"/>
      <c r="I37" s="26"/>
      <c r="J37" s="26"/>
      <c r="K37" s="26"/>
      <c r="L37" s="26"/>
    </row>
    <row r="38" spans="1:19" s="110" customFormat="1" ht="15.75" x14ac:dyDescent="0.25">
      <c r="A38" s="25"/>
      <c r="B38" s="25"/>
      <c r="D38" s="36"/>
      <c r="E38" s="25"/>
      <c r="F38" s="108"/>
      <c r="G38" s="107"/>
      <c r="H38" s="26"/>
      <c r="I38" s="26"/>
      <c r="J38" s="26"/>
      <c r="K38" s="26"/>
      <c r="L38" s="26"/>
      <c r="M38" s="88"/>
      <c r="N38" s="88"/>
      <c r="O38" s="25"/>
      <c r="P38" s="25"/>
      <c r="Q38" s="25"/>
      <c r="R38" s="25"/>
      <c r="S38" s="25"/>
    </row>
    <row r="39" spans="1:19" s="110" customFormat="1" ht="15.75" x14ac:dyDescent="0.25">
      <c r="A39" s="25"/>
      <c r="B39" s="25"/>
      <c r="D39" s="36"/>
      <c r="E39" s="25"/>
      <c r="F39" s="108"/>
      <c r="G39" s="107"/>
      <c r="H39" s="26"/>
      <c r="I39" s="26"/>
      <c r="J39" s="26"/>
      <c r="K39" s="26"/>
      <c r="L39" s="26"/>
      <c r="M39" s="88"/>
      <c r="N39" s="88"/>
      <c r="O39" s="25"/>
      <c r="P39" s="25"/>
      <c r="Q39" s="25"/>
      <c r="R39" s="25"/>
      <c r="S39" s="25"/>
    </row>
    <row r="40" spans="1:19" s="110" customFormat="1" ht="15.75" x14ac:dyDescent="0.25">
      <c r="A40" s="25"/>
      <c r="B40" s="25"/>
      <c r="D40" s="36"/>
      <c r="E40" s="25"/>
      <c r="F40" s="108"/>
      <c r="G40" s="107"/>
      <c r="H40" s="26"/>
      <c r="I40" s="26"/>
      <c r="J40" s="26"/>
      <c r="K40" s="26"/>
      <c r="L40" s="26"/>
      <c r="M40" s="88"/>
      <c r="N40" s="88"/>
      <c r="O40" s="25"/>
      <c r="P40" s="25"/>
      <c r="Q40" s="25"/>
      <c r="R40" s="25"/>
      <c r="S40" s="25"/>
    </row>
    <row r="41" spans="1:19" s="110" customFormat="1" ht="15.75" x14ac:dyDescent="0.25">
      <c r="A41" s="25"/>
      <c r="B41" s="25"/>
      <c r="D41" s="36"/>
      <c r="E41" s="25"/>
      <c r="F41" s="108"/>
      <c r="G41" s="107"/>
      <c r="H41" s="26"/>
      <c r="I41" s="26"/>
      <c r="J41" s="26"/>
      <c r="K41" s="26"/>
      <c r="L41" s="26"/>
      <c r="M41" s="88"/>
      <c r="N41" s="88"/>
      <c r="O41" s="25"/>
      <c r="P41" s="25"/>
      <c r="Q41" s="25"/>
      <c r="R41" s="25"/>
      <c r="S41" s="25"/>
    </row>
    <row r="42" spans="1:19" s="110" customFormat="1" ht="15.75" x14ac:dyDescent="0.25">
      <c r="A42" s="25"/>
      <c r="B42" s="25"/>
      <c r="D42" s="36"/>
      <c r="E42" s="25"/>
      <c r="F42" s="108"/>
      <c r="G42" s="107"/>
      <c r="H42" s="26"/>
      <c r="I42" s="26"/>
      <c r="J42" s="26"/>
      <c r="K42" s="26"/>
      <c r="L42" s="26"/>
      <c r="M42" s="88"/>
      <c r="N42" s="88"/>
      <c r="O42" s="25"/>
      <c r="P42" s="25"/>
      <c r="Q42" s="25"/>
      <c r="R42" s="25"/>
      <c r="S42" s="25"/>
    </row>
    <row r="43" spans="1:19" s="110" customFormat="1" ht="15.75" x14ac:dyDescent="0.25">
      <c r="A43" s="25"/>
      <c r="B43" s="25"/>
      <c r="D43" s="36"/>
      <c r="E43" s="25"/>
      <c r="F43" s="108"/>
      <c r="G43" s="107"/>
      <c r="H43" s="26"/>
      <c r="I43" s="26"/>
      <c r="J43" s="26"/>
      <c r="K43" s="26"/>
      <c r="L43" s="26"/>
      <c r="M43" s="88"/>
      <c r="N43" s="88"/>
      <c r="O43" s="25"/>
      <c r="P43" s="25"/>
      <c r="Q43" s="25"/>
      <c r="R43" s="25"/>
      <c r="S43" s="25"/>
    </row>
    <row r="44" spans="1:19" s="110" customFormat="1" ht="15.75" x14ac:dyDescent="0.25">
      <c r="A44" s="25"/>
      <c r="B44" s="25"/>
      <c r="D44" s="36"/>
      <c r="E44" s="25"/>
      <c r="F44" s="108"/>
      <c r="G44" s="107"/>
      <c r="H44" s="26"/>
      <c r="I44" s="26"/>
      <c r="J44" s="26"/>
      <c r="K44" s="26"/>
      <c r="L44" s="26"/>
      <c r="M44" s="88"/>
      <c r="N44" s="88"/>
      <c r="O44" s="25"/>
      <c r="P44" s="25"/>
      <c r="Q44" s="25"/>
      <c r="R44" s="25"/>
      <c r="S44" s="25"/>
    </row>
    <row r="45" spans="1:19" s="110" customFormat="1" ht="15.75" x14ac:dyDescent="0.25">
      <c r="A45" s="25"/>
      <c r="B45" s="25"/>
      <c r="D45" s="36"/>
      <c r="E45" s="25"/>
      <c r="F45" s="108"/>
      <c r="G45" s="107"/>
      <c r="H45" s="26"/>
      <c r="I45" s="26"/>
      <c r="J45" s="26"/>
      <c r="K45" s="26"/>
      <c r="L45" s="26"/>
      <c r="M45" s="88"/>
      <c r="N45" s="88"/>
      <c r="O45" s="25"/>
      <c r="P45" s="25"/>
      <c r="Q45" s="25"/>
      <c r="R45" s="25"/>
      <c r="S45" s="25"/>
    </row>
    <row r="46" spans="1:19" s="110" customFormat="1" ht="15.75" x14ac:dyDescent="0.25">
      <c r="A46" s="25"/>
      <c r="B46" s="25"/>
      <c r="D46" s="36"/>
      <c r="E46" s="25"/>
      <c r="F46" s="108"/>
      <c r="G46" s="107"/>
      <c r="H46" s="26"/>
      <c r="I46" s="26"/>
      <c r="J46" s="26"/>
      <c r="K46" s="26"/>
      <c r="L46" s="26"/>
      <c r="M46" s="88"/>
      <c r="N46" s="88"/>
      <c r="O46" s="25"/>
      <c r="P46" s="25"/>
      <c r="Q46" s="25"/>
      <c r="R46" s="25"/>
      <c r="S46" s="25"/>
    </row>
    <row r="47" spans="1:19" s="110" customFormat="1" ht="15.75" x14ac:dyDescent="0.25">
      <c r="A47" s="25"/>
      <c r="B47" s="25"/>
      <c r="D47" s="36"/>
      <c r="E47" s="25"/>
      <c r="F47" s="108"/>
      <c r="G47" s="107"/>
      <c r="H47" s="26"/>
      <c r="I47" s="26"/>
      <c r="J47" s="26"/>
      <c r="K47" s="26"/>
      <c r="L47" s="26"/>
      <c r="M47" s="88"/>
      <c r="N47" s="88"/>
      <c r="O47" s="25"/>
      <c r="P47" s="25"/>
      <c r="Q47" s="25"/>
      <c r="R47" s="25"/>
      <c r="S47" s="25"/>
    </row>
    <row r="48" spans="1:19" s="110" customFormat="1" ht="15.75" x14ac:dyDescent="0.25">
      <c r="A48" s="25"/>
      <c r="B48" s="25"/>
      <c r="D48" s="36"/>
      <c r="E48" s="25"/>
      <c r="F48" s="108"/>
      <c r="G48" s="107"/>
      <c r="H48" s="26"/>
      <c r="I48" s="26"/>
      <c r="J48" s="26"/>
      <c r="K48" s="26"/>
      <c r="L48" s="26"/>
      <c r="M48" s="88"/>
      <c r="N48" s="88"/>
      <c r="O48" s="25"/>
      <c r="P48" s="25"/>
      <c r="Q48" s="25"/>
      <c r="R48" s="25"/>
      <c r="S48" s="25"/>
    </row>
    <row r="49" spans="1:19" s="110" customFormat="1" ht="15.75" x14ac:dyDescent="0.25">
      <c r="A49" s="25"/>
      <c r="B49" s="25"/>
      <c r="D49" s="36"/>
      <c r="E49" s="25"/>
      <c r="F49" s="108"/>
      <c r="G49" s="107"/>
      <c r="H49" s="26"/>
      <c r="I49" s="26"/>
      <c r="J49" s="26"/>
      <c r="K49" s="26"/>
      <c r="L49" s="26"/>
      <c r="M49" s="88"/>
      <c r="N49" s="88"/>
      <c r="O49" s="25"/>
      <c r="P49" s="25"/>
      <c r="Q49" s="25"/>
      <c r="R49" s="25"/>
      <c r="S49" s="25"/>
    </row>
    <row r="50" spans="1:19" s="110" customFormat="1" ht="15.75" x14ac:dyDescent="0.25">
      <c r="A50" s="25"/>
      <c r="B50" s="25"/>
      <c r="D50" s="36"/>
      <c r="E50" s="25"/>
      <c r="F50" s="108"/>
      <c r="G50" s="107"/>
      <c r="H50" s="26"/>
      <c r="I50" s="26"/>
      <c r="J50" s="26"/>
      <c r="K50" s="26"/>
      <c r="L50" s="26"/>
      <c r="M50" s="88"/>
      <c r="N50" s="88"/>
      <c r="O50" s="25"/>
      <c r="P50" s="25"/>
      <c r="Q50" s="25"/>
      <c r="R50" s="25"/>
      <c r="S50" s="25"/>
    </row>
    <row r="51" spans="1:19" ht="15.75" x14ac:dyDescent="0.25">
      <c r="G51" s="107"/>
      <c r="H51" s="26"/>
      <c r="I51" s="26"/>
      <c r="J51" s="26"/>
      <c r="K51" s="26"/>
      <c r="L51" s="26"/>
    </row>
    <row r="52" spans="1:19" ht="15.75" x14ac:dyDescent="0.25">
      <c r="G52" s="107"/>
      <c r="H52" s="26"/>
      <c r="I52" s="26"/>
      <c r="J52" s="26"/>
      <c r="K52" s="26"/>
      <c r="L52" s="26"/>
    </row>
    <row r="53" spans="1:19" ht="15.75" x14ac:dyDescent="0.25">
      <c r="G53" s="107"/>
      <c r="H53" s="26"/>
      <c r="I53" s="26"/>
      <c r="J53" s="26"/>
      <c r="K53" s="26"/>
      <c r="L53" s="26"/>
    </row>
    <row r="54" spans="1:19" ht="15.75" x14ac:dyDescent="0.25">
      <c r="G54" s="107"/>
      <c r="H54" s="26"/>
      <c r="I54" s="26"/>
      <c r="J54" s="26"/>
      <c r="K54" s="26"/>
      <c r="L54" s="26"/>
    </row>
    <row r="55" spans="1:19" ht="15.75" x14ac:dyDescent="0.25">
      <c r="G55" s="107"/>
      <c r="H55" s="26"/>
      <c r="I55" s="26"/>
      <c r="J55" s="26"/>
      <c r="K55" s="26"/>
      <c r="L55" s="26"/>
    </row>
    <row r="56" spans="1:19" ht="15.75" x14ac:dyDescent="0.25">
      <c r="G56" s="107"/>
      <c r="H56" s="26"/>
      <c r="I56" s="26"/>
      <c r="J56" s="26"/>
      <c r="K56" s="26"/>
      <c r="L56" s="26"/>
    </row>
    <row r="57" spans="1:19" ht="15.75" x14ac:dyDescent="0.25">
      <c r="G57" s="107"/>
      <c r="H57" s="26"/>
      <c r="I57" s="26"/>
      <c r="J57" s="26"/>
      <c r="K57" s="26"/>
      <c r="L57" s="26"/>
    </row>
    <row r="58" spans="1:19" ht="15.75" x14ac:dyDescent="0.25">
      <c r="G58" s="107"/>
      <c r="H58" s="26"/>
      <c r="I58" s="26"/>
      <c r="J58" s="26"/>
      <c r="K58" s="26"/>
      <c r="L58" s="26"/>
    </row>
    <row r="59" spans="1:19" ht="15.75" x14ac:dyDescent="0.25">
      <c r="G59" s="107"/>
      <c r="H59" s="26"/>
      <c r="I59" s="26"/>
      <c r="J59" s="26"/>
      <c r="K59" s="26"/>
      <c r="L59" s="26"/>
    </row>
    <row r="60" spans="1:19" ht="15.75" x14ac:dyDescent="0.25">
      <c r="G60" s="107"/>
      <c r="H60" s="26"/>
      <c r="I60" s="26"/>
      <c r="J60" s="26"/>
      <c r="K60" s="26"/>
      <c r="L60" s="26"/>
    </row>
    <row r="61" spans="1:19" ht="15.75" x14ac:dyDescent="0.25">
      <c r="G61" s="107"/>
      <c r="H61" s="26"/>
      <c r="I61" s="26"/>
      <c r="J61" s="26"/>
      <c r="K61" s="26"/>
      <c r="L61" s="26"/>
    </row>
    <row r="62" spans="1:19" ht="15.75" x14ac:dyDescent="0.25">
      <c r="G62" s="107"/>
      <c r="H62" s="26"/>
      <c r="I62" s="26"/>
      <c r="J62" s="26"/>
      <c r="K62" s="26"/>
      <c r="L62" s="26"/>
    </row>
    <row r="63" spans="1:19" ht="15.75" x14ac:dyDescent="0.25">
      <c r="G63" s="107"/>
      <c r="H63" s="26"/>
      <c r="I63" s="26"/>
      <c r="J63" s="26"/>
      <c r="K63" s="26"/>
      <c r="L63" s="26"/>
    </row>
    <row r="64" spans="1:19" ht="15.75" x14ac:dyDescent="0.25">
      <c r="G64" s="107"/>
      <c r="H64" s="26"/>
      <c r="I64" s="26"/>
      <c r="J64" s="26"/>
      <c r="K64" s="26"/>
      <c r="L64" s="26"/>
    </row>
    <row r="65" spans="7:12" ht="15.75" x14ac:dyDescent="0.25">
      <c r="G65" s="107"/>
      <c r="H65" s="26"/>
      <c r="I65" s="26"/>
      <c r="J65" s="26"/>
      <c r="K65" s="26"/>
      <c r="L65" s="26"/>
    </row>
    <row r="66" spans="7:12" ht="15.75" x14ac:dyDescent="0.25">
      <c r="G66" s="107"/>
      <c r="H66" s="26"/>
      <c r="I66" s="26"/>
      <c r="J66" s="26"/>
      <c r="K66" s="26"/>
      <c r="L66" s="26"/>
    </row>
    <row r="67" spans="7:12" ht="15.75" x14ac:dyDescent="0.25">
      <c r="G67" s="107"/>
      <c r="H67" s="26"/>
      <c r="I67" s="26"/>
      <c r="J67" s="26"/>
      <c r="K67" s="26"/>
      <c r="L67" s="26"/>
    </row>
    <row r="68" spans="7:12" ht="15.75" x14ac:dyDescent="0.25">
      <c r="G68" s="107"/>
      <c r="H68" s="26"/>
      <c r="I68" s="26"/>
      <c r="J68" s="26"/>
      <c r="K68" s="26"/>
      <c r="L68" s="26"/>
    </row>
    <row r="69" spans="7:12" ht="15.75" x14ac:dyDescent="0.25">
      <c r="G69" s="107"/>
      <c r="H69" s="26"/>
      <c r="I69" s="26"/>
      <c r="J69" s="26"/>
      <c r="K69" s="26"/>
      <c r="L69" s="26"/>
    </row>
    <row r="70" spans="7:12" ht="15.75" x14ac:dyDescent="0.25">
      <c r="G70" s="107"/>
      <c r="H70" s="26"/>
      <c r="I70" s="26"/>
      <c r="J70" s="26"/>
      <c r="K70" s="26"/>
      <c r="L70" s="26"/>
    </row>
    <row r="71" spans="7:12" ht="15.75" x14ac:dyDescent="0.25">
      <c r="G71" s="107"/>
      <c r="H71" s="26"/>
      <c r="I71" s="26"/>
      <c r="J71" s="26"/>
      <c r="K71" s="26"/>
      <c r="L71" s="26"/>
    </row>
    <row r="72" spans="7:12" ht="15.75" x14ac:dyDescent="0.25">
      <c r="G72" s="107"/>
      <c r="H72" s="26"/>
      <c r="I72" s="26"/>
      <c r="J72" s="26"/>
      <c r="K72" s="26"/>
      <c r="L72" s="26"/>
    </row>
    <row r="73" spans="7:12" ht="15.75" x14ac:dyDescent="0.25">
      <c r="G73" s="107"/>
      <c r="H73" s="26"/>
      <c r="I73" s="26"/>
      <c r="J73" s="26"/>
      <c r="K73" s="26"/>
      <c r="L73" s="26"/>
    </row>
    <row r="74" spans="7:12" ht="15.75" x14ac:dyDescent="0.25">
      <c r="G74" s="107"/>
      <c r="H74" s="26"/>
      <c r="I74" s="26"/>
      <c r="J74" s="26"/>
      <c r="K74" s="26"/>
      <c r="L74" s="26"/>
    </row>
    <row r="75" spans="7:12" ht="15.75" x14ac:dyDescent="0.25">
      <c r="G75" s="107"/>
      <c r="H75" s="26"/>
      <c r="I75" s="26"/>
      <c r="J75" s="26"/>
      <c r="K75" s="26"/>
      <c r="L75" s="26"/>
    </row>
    <row r="76" spans="7:12" ht="15.75" x14ac:dyDescent="0.25">
      <c r="G76" s="107"/>
      <c r="H76" s="26"/>
      <c r="I76" s="26"/>
      <c r="J76" s="26"/>
      <c r="K76" s="26"/>
      <c r="L76" s="26"/>
    </row>
    <row r="77" spans="7:12" ht="15.75" x14ac:dyDescent="0.25">
      <c r="G77" s="107"/>
      <c r="H77" s="26"/>
      <c r="I77" s="26"/>
      <c r="J77" s="26"/>
      <c r="K77" s="26"/>
      <c r="L77" s="26"/>
    </row>
    <row r="78" spans="7:12" ht="15.75" x14ac:dyDescent="0.25">
      <c r="G78" s="107"/>
      <c r="H78" s="26"/>
      <c r="I78" s="26"/>
      <c r="J78" s="26"/>
      <c r="K78" s="26"/>
      <c r="L78" s="26"/>
    </row>
    <row r="79" spans="7:12" ht="15.75" x14ac:dyDescent="0.25">
      <c r="G79" s="107"/>
      <c r="H79" s="26"/>
      <c r="I79" s="26"/>
      <c r="J79" s="26"/>
      <c r="K79" s="26"/>
      <c r="L79" s="26"/>
    </row>
    <row r="80" spans="7:12" ht="15.75" x14ac:dyDescent="0.25">
      <c r="G80" s="107"/>
      <c r="H80" s="26"/>
      <c r="I80" s="26"/>
      <c r="J80" s="26"/>
      <c r="K80" s="26"/>
      <c r="L80" s="26"/>
    </row>
    <row r="81" spans="7:12" ht="15.75" x14ac:dyDescent="0.25">
      <c r="G81" s="107"/>
      <c r="H81" s="26"/>
      <c r="I81" s="26"/>
      <c r="J81" s="26"/>
      <c r="K81" s="26"/>
      <c r="L81" s="26"/>
    </row>
    <row r="82" spans="7:12" ht="15.75" x14ac:dyDescent="0.25">
      <c r="G82" s="107"/>
      <c r="H82" s="26"/>
      <c r="I82" s="26"/>
      <c r="J82" s="26"/>
      <c r="K82" s="26"/>
      <c r="L82" s="26"/>
    </row>
    <row r="83" spans="7:12" ht="15.75" x14ac:dyDescent="0.25">
      <c r="G83" s="107"/>
      <c r="H83" s="26"/>
      <c r="I83" s="26"/>
      <c r="J83" s="26"/>
      <c r="K83" s="26"/>
      <c r="L83" s="26"/>
    </row>
    <row r="84" spans="7:12" ht="15.75" x14ac:dyDescent="0.25">
      <c r="G84" s="107"/>
      <c r="H84" s="26"/>
      <c r="I84" s="26"/>
      <c r="J84" s="26"/>
      <c r="K84" s="26"/>
      <c r="L84" s="26"/>
    </row>
    <row r="85" spans="7:12" ht="15.75" x14ac:dyDescent="0.25">
      <c r="G85" s="107"/>
      <c r="H85" s="26"/>
      <c r="I85" s="26"/>
      <c r="J85" s="26"/>
      <c r="K85" s="26"/>
      <c r="L85" s="26"/>
    </row>
    <row r="86" spans="7:12" ht="15.75" x14ac:dyDescent="0.25">
      <c r="G86" s="107"/>
      <c r="H86" s="26"/>
      <c r="I86" s="26"/>
      <c r="J86" s="26"/>
      <c r="K86" s="26"/>
      <c r="L86" s="26"/>
    </row>
    <row r="87" spans="7:12" ht="15.75" x14ac:dyDescent="0.25">
      <c r="G87" s="107"/>
      <c r="H87" s="26"/>
      <c r="I87" s="26"/>
      <c r="J87" s="26"/>
      <c r="K87" s="26"/>
      <c r="L87" s="26"/>
    </row>
    <row r="88" spans="7:12" ht="15.75" x14ac:dyDescent="0.25">
      <c r="G88" s="107"/>
      <c r="H88" s="26"/>
      <c r="I88" s="26"/>
      <c r="J88" s="26"/>
      <c r="K88" s="26"/>
      <c r="L88" s="26"/>
    </row>
    <row r="89" spans="7:12" ht="15.75" x14ac:dyDescent="0.25">
      <c r="G89" s="107"/>
      <c r="H89" s="26"/>
      <c r="I89" s="26"/>
      <c r="J89" s="26"/>
      <c r="K89" s="26"/>
      <c r="L89" s="26"/>
    </row>
    <row r="90" spans="7:12" ht="15.75" x14ac:dyDescent="0.25">
      <c r="G90" s="107"/>
      <c r="H90" s="26"/>
      <c r="I90" s="26"/>
      <c r="J90" s="26"/>
      <c r="K90" s="26"/>
      <c r="L90" s="26"/>
    </row>
    <row r="91" spans="7:12" ht="15.75" x14ac:dyDescent="0.25">
      <c r="G91" s="107"/>
      <c r="H91" s="26"/>
      <c r="I91" s="26"/>
      <c r="J91" s="26"/>
      <c r="K91" s="26"/>
      <c r="L91" s="26"/>
    </row>
    <row r="92" spans="7:12" ht="15.75" x14ac:dyDescent="0.25">
      <c r="G92" s="107"/>
      <c r="H92" s="26"/>
      <c r="I92" s="26"/>
      <c r="J92" s="26"/>
      <c r="K92" s="26"/>
      <c r="L92" s="26"/>
    </row>
    <row r="93" spans="7:12" ht="15.75" x14ac:dyDescent="0.25">
      <c r="G93" s="107"/>
      <c r="H93" s="26"/>
      <c r="I93" s="26"/>
      <c r="J93" s="26"/>
      <c r="K93" s="26"/>
      <c r="L93" s="26"/>
    </row>
    <row r="94" spans="7:12" ht="15.75" x14ac:dyDescent="0.25">
      <c r="G94" s="107"/>
      <c r="H94" s="26"/>
      <c r="I94" s="26"/>
      <c r="J94" s="26"/>
      <c r="K94" s="26"/>
      <c r="L94" s="26"/>
    </row>
    <row r="95" spans="7:12" ht="15.75" x14ac:dyDescent="0.25">
      <c r="G95" s="107"/>
      <c r="H95" s="26"/>
      <c r="I95" s="26"/>
      <c r="J95" s="26"/>
      <c r="K95" s="26"/>
      <c r="L95" s="26"/>
    </row>
    <row r="96" spans="7:12" ht="15.75" x14ac:dyDescent="0.25">
      <c r="G96" s="107"/>
      <c r="H96" s="26"/>
      <c r="I96" s="26"/>
      <c r="J96" s="26"/>
      <c r="K96" s="26"/>
      <c r="L96" s="26"/>
    </row>
    <row r="97" spans="7:12" ht="15.75" x14ac:dyDescent="0.25">
      <c r="G97" s="107"/>
      <c r="H97" s="26"/>
      <c r="I97" s="26"/>
      <c r="J97" s="26"/>
      <c r="K97" s="26"/>
      <c r="L97" s="26"/>
    </row>
    <row r="98" spans="7:12" ht="15.75" x14ac:dyDescent="0.25">
      <c r="G98" s="107"/>
      <c r="H98" s="26"/>
      <c r="I98" s="26"/>
      <c r="J98" s="26"/>
      <c r="K98" s="26"/>
      <c r="L98" s="26"/>
    </row>
    <row r="99" spans="7:12" ht="15.75" x14ac:dyDescent="0.25">
      <c r="G99" s="107"/>
      <c r="H99" s="26"/>
      <c r="I99" s="26"/>
      <c r="J99" s="26"/>
      <c r="K99" s="26"/>
      <c r="L99" s="26"/>
    </row>
    <row r="100" spans="7:12" ht="15.75" x14ac:dyDescent="0.25">
      <c r="G100" s="107"/>
      <c r="H100" s="26"/>
      <c r="I100" s="26"/>
      <c r="J100" s="26"/>
      <c r="K100" s="26"/>
      <c r="L100" s="26"/>
    </row>
    <row r="101" spans="7:12" ht="15.75" x14ac:dyDescent="0.25">
      <c r="G101" s="107"/>
      <c r="H101" s="26"/>
      <c r="I101" s="26"/>
      <c r="J101" s="26"/>
      <c r="K101" s="26"/>
      <c r="L101" s="26"/>
    </row>
    <row r="102" spans="7:12" ht="15.75" x14ac:dyDescent="0.25">
      <c r="G102" s="107"/>
      <c r="H102" s="26"/>
      <c r="I102" s="26"/>
      <c r="J102" s="26"/>
      <c r="K102" s="26"/>
      <c r="L102" s="26"/>
    </row>
    <row r="103" spans="7:12" ht="15.75" x14ac:dyDescent="0.25">
      <c r="G103" s="107"/>
      <c r="H103" s="26"/>
      <c r="I103" s="26"/>
      <c r="J103" s="26"/>
      <c r="K103" s="26"/>
      <c r="L103" s="26"/>
    </row>
    <row r="104" spans="7:12" ht="15.75" x14ac:dyDescent="0.25">
      <c r="G104" s="107"/>
      <c r="H104" s="26"/>
      <c r="I104" s="26"/>
      <c r="J104" s="26"/>
      <c r="K104" s="26"/>
      <c r="L104" s="26"/>
    </row>
    <row r="105" spans="7:12" ht="15.75" x14ac:dyDescent="0.25">
      <c r="G105" s="107"/>
      <c r="H105" s="26"/>
      <c r="I105" s="26"/>
      <c r="J105" s="26"/>
      <c r="K105" s="26"/>
      <c r="L105" s="26"/>
    </row>
    <row r="106" spans="7:12" ht="15.75" x14ac:dyDescent="0.25">
      <c r="G106" s="107"/>
      <c r="H106" s="26"/>
      <c r="I106" s="26"/>
      <c r="J106" s="26"/>
      <c r="K106" s="26"/>
      <c r="L106" s="26"/>
    </row>
    <row r="107" spans="7:12" ht="15.75" x14ac:dyDescent="0.25">
      <c r="G107" s="107"/>
      <c r="H107" s="26"/>
      <c r="I107" s="26"/>
      <c r="J107" s="26"/>
      <c r="K107" s="26"/>
      <c r="L107" s="26"/>
    </row>
    <row r="108" spans="7:12" ht="15.75" x14ac:dyDescent="0.25">
      <c r="G108" s="107"/>
      <c r="H108" s="26"/>
      <c r="I108" s="26"/>
      <c r="J108" s="26"/>
      <c r="K108" s="26"/>
      <c r="L108" s="26"/>
    </row>
    <row r="109" spans="7:12" ht="15.75" x14ac:dyDescent="0.25">
      <c r="G109" s="107"/>
      <c r="H109" s="26"/>
      <c r="I109" s="26"/>
      <c r="J109" s="26"/>
      <c r="K109" s="26"/>
      <c r="L109" s="26"/>
    </row>
    <row r="110" spans="7:12" ht="15.75" x14ac:dyDescent="0.25">
      <c r="G110" s="107"/>
      <c r="H110" s="26"/>
      <c r="I110" s="26"/>
      <c r="J110" s="26"/>
      <c r="K110" s="26"/>
      <c r="L110" s="26"/>
    </row>
    <row r="111" spans="7:12" ht="15.75" x14ac:dyDescent="0.25">
      <c r="G111" s="107"/>
      <c r="H111" s="26"/>
      <c r="I111" s="26"/>
      <c r="J111" s="26"/>
      <c r="K111" s="26"/>
      <c r="L111" s="26"/>
    </row>
    <row r="112" spans="7:12" ht="15.75" x14ac:dyDescent="0.25">
      <c r="G112" s="107"/>
      <c r="H112" s="26"/>
      <c r="I112" s="26"/>
      <c r="J112" s="26"/>
      <c r="K112" s="26"/>
      <c r="L112" s="26"/>
    </row>
    <row r="113" spans="7:12" ht="15.75" x14ac:dyDescent="0.25">
      <c r="G113" s="107"/>
      <c r="H113" s="26"/>
      <c r="I113" s="26"/>
      <c r="J113" s="26"/>
      <c r="K113" s="26"/>
      <c r="L113" s="26"/>
    </row>
    <row r="114" spans="7:12" ht="15.75" x14ac:dyDescent="0.25">
      <c r="G114" s="107"/>
      <c r="H114" s="26"/>
      <c r="I114" s="26"/>
      <c r="J114" s="26"/>
      <c r="K114" s="26"/>
      <c r="L114" s="26"/>
    </row>
    <row r="115" spans="7:12" ht="15.75" x14ac:dyDescent="0.25">
      <c r="G115" s="107"/>
      <c r="H115" s="26"/>
      <c r="I115" s="26"/>
      <c r="J115" s="26"/>
      <c r="K115" s="26"/>
      <c r="L115" s="26"/>
    </row>
    <row r="116" spans="7:12" ht="15.75" x14ac:dyDescent="0.25">
      <c r="G116" s="107"/>
      <c r="H116" s="26"/>
      <c r="I116" s="26"/>
      <c r="J116" s="26"/>
      <c r="K116" s="26"/>
      <c r="L116" s="26"/>
    </row>
    <row r="117" spans="7:12" ht="15.75" x14ac:dyDescent="0.25">
      <c r="G117" s="107"/>
      <c r="H117" s="26"/>
      <c r="I117" s="26"/>
      <c r="J117" s="26"/>
      <c r="K117" s="26"/>
      <c r="L117" s="26"/>
    </row>
    <row r="118" spans="7:12" ht="15.75" x14ac:dyDescent="0.25">
      <c r="G118" s="107"/>
      <c r="H118" s="26"/>
      <c r="I118" s="26"/>
      <c r="J118" s="26"/>
      <c r="K118" s="26"/>
      <c r="L118" s="26"/>
    </row>
    <row r="119" spans="7:12" ht="15.75" x14ac:dyDescent="0.25">
      <c r="G119" s="107"/>
      <c r="H119" s="26"/>
      <c r="I119" s="26"/>
      <c r="J119" s="26"/>
      <c r="K119" s="26"/>
      <c r="L119" s="26"/>
    </row>
    <row r="120" spans="7:12" ht="15.75" x14ac:dyDescent="0.25">
      <c r="G120" s="107"/>
      <c r="H120" s="26"/>
      <c r="I120" s="26"/>
      <c r="J120" s="26"/>
      <c r="K120" s="26"/>
      <c r="L120" s="26"/>
    </row>
    <row r="121" spans="7:12" ht="15.75" x14ac:dyDescent="0.25">
      <c r="G121" s="107"/>
      <c r="H121" s="26"/>
      <c r="I121" s="26"/>
      <c r="J121" s="26"/>
      <c r="K121" s="26"/>
      <c r="L121" s="26"/>
    </row>
    <row r="122" spans="7:12" ht="15.75" x14ac:dyDescent="0.25">
      <c r="G122" s="107"/>
      <c r="H122" s="26"/>
      <c r="I122" s="26"/>
      <c r="J122" s="26"/>
      <c r="K122" s="26"/>
      <c r="L122" s="26"/>
    </row>
    <row r="123" spans="7:12" ht="15.75" x14ac:dyDescent="0.25">
      <c r="G123" s="107"/>
      <c r="H123" s="26"/>
      <c r="I123" s="26"/>
      <c r="J123" s="26"/>
      <c r="K123" s="26"/>
      <c r="L123" s="26"/>
    </row>
    <row r="124" spans="7:12" ht="15.75" x14ac:dyDescent="0.25">
      <c r="G124" s="107"/>
      <c r="H124" s="26"/>
      <c r="I124" s="26"/>
      <c r="J124" s="26"/>
      <c r="K124" s="26"/>
      <c r="L124" s="26"/>
    </row>
    <row r="125" spans="7:12" ht="15.75" x14ac:dyDescent="0.25">
      <c r="G125" s="107"/>
      <c r="H125" s="26"/>
      <c r="I125" s="26"/>
      <c r="J125" s="26"/>
      <c r="K125" s="26"/>
      <c r="L125" s="26"/>
    </row>
    <row r="126" spans="7:12" ht="15.75" x14ac:dyDescent="0.25">
      <c r="G126" s="107"/>
      <c r="H126" s="26"/>
      <c r="I126" s="26"/>
      <c r="J126" s="26"/>
      <c r="K126" s="26"/>
      <c r="L126" s="26"/>
    </row>
    <row r="127" spans="7:12" ht="15.75" x14ac:dyDescent="0.25">
      <c r="G127" s="107"/>
      <c r="H127" s="26"/>
      <c r="I127" s="26"/>
      <c r="J127" s="26"/>
      <c r="K127" s="26"/>
      <c r="L127" s="26"/>
    </row>
    <row r="128" spans="7:12" ht="15.75" x14ac:dyDescent="0.25">
      <c r="G128" s="107"/>
      <c r="H128" s="26"/>
      <c r="I128" s="26"/>
      <c r="J128" s="26"/>
      <c r="K128" s="26"/>
      <c r="L128" s="26"/>
    </row>
    <row r="129" spans="7:12" ht="15.75" x14ac:dyDescent="0.25">
      <c r="G129" s="107"/>
      <c r="H129" s="26"/>
      <c r="I129" s="26"/>
      <c r="J129" s="26"/>
      <c r="K129" s="26"/>
      <c r="L129" s="26"/>
    </row>
    <row r="130" spans="7:12" ht="15.75" x14ac:dyDescent="0.25">
      <c r="G130" s="107"/>
      <c r="H130" s="26"/>
      <c r="I130" s="26"/>
      <c r="J130" s="26"/>
      <c r="K130" s="26"/>
      <c r="L130" s="26"/>
    </row>
    <row r="131" spans="7:12" ht="15.75" x14ac:dyDescent="0.25">
      <c r="G131" s="107"/>
      <c r="H131" s="26"/>
      <c r="I131" s="26"/>
      <c r="J131" s="26"/>
      <c r="K131" s="26"/>
      <c r="L131" s="26"/>
    </row>
    <row r="132" spans="7:12" ht="15.75" x14ac:dyDescent="0.25">
      <c r="G132" s="107"/>
      <c r="H132" s="26"/>
      <c r="I132" s="26"/>
      <c r="J132" s="26"/>
      <c r="K132" s="26"/>
      <c r="L132" s="26"/>
    </row>
    <row r="133" spans="7:12" ht="15.75" x14ac:dyDescent="0.25">
      <c r="G133" s="107"/>
      <c r="H133" s="26"/>
      <c r="I133" s="26"/>
      <c r="J133" s="26"/>
      <c r="K133" s="26"/>
      <c r="L133" s="26"/>
    </row>
    <row r="134" spans="7:12" ht="15.75" x14ac:dyDescent="0.25">
      <c r="G134" s="107"/>
      <c r="H134" s="26"/>
      <c r="I134" s="26"/>
      <c r="J134" s="26"/>
      <c r="K134" s="26"/>
      <c r="L134" s="26"/>
    </row>
    <row r="135" spans="7:12" ht="15.75" x14ac:dyDescent="0.25">
      <c r="G135" s="107"/>
      <c r="H135" s="26"/>
      <c r="I135" s="26"/>
      <c r="J135" s="26"/>
      <c r="K135" s="26"/>
      <c r="L135" s="26"/>
    </row>
    <row r="136" spans="7:12" ht="15.75" x14ac:dyDescent="0.25">
      <c r="G136" s="107"/>
      <c r="H136" s="26"/>
      <c r="I136" s="26"/>
      <c r="J136" s="26"/>
      <c r="K136" s="26"/>
      <c r="L136" s="26"/>
    </row>
    <row r="137" spans="7:12" ht="15.75" x14ac:dyDescent="0.25">
      <c r="G137" s="107"/>
      <c r="H137" s="26"/>
      <c r="I137" s="26"/>
      <c r="J137" s="26"/>
      <c r="K137" s="26"/>
      <c r="L137" s="26"/>
    </row>
    <row r="138" spans="7:12" ht="15.75" x14ac:dyDescent="0.25">
      <c r="G138" s="107"/>
      <c r="H138" s="26"/>
      <c r="I138" s="26"/>
      <c r="J138" s="26"/>
      <c r="K138" s="26"/>
      <c r="L138" s="26"/>
    </row>
    <row r="139" spans="7:12" ht="15.75" x14ac:dyDescent="0.25">
      <c r="G139" s="107"/>
      <c r="H139" s="26"/>
      <c r="I139" s="26"/>
      <c r="J139" s="26"/>
      <c r="K139" s="26"/>
      <c r="L139" s="26"/>
    </row>
    <row r="140" spans="7:12" ht="15.75" x14ac:dyDescent="0.25">
      <c r="G140" s="107"/>
      <c r="H140" s="26"/>
      <c r="I140" s="26"/>
      <c r="J140" s="26"/>
      <c r="K140" s="26"/>
      <c r="L140" s="26"/>
    </row>
    <row r="141" spans="7:12" ht="15.75" x14ac:dyDescent="0.25">
      <c r="G141" s="107"/>
      <c r="H141" s="26"/>
      <c r="I141" s="26"/>
      <c r="J141" s="26"/>
      <c r="K141" s="26"/>
      <c r="L141" s="26"/>
    </row>
    <row r="142" spans="7:12" ht="15.75" x14ac:dyDescent="0.25">
      <c r="G142" s="107"/>
      <c r="H142" s="26"/>
      <c r="I142" s="26"/>
      <c r="J142" s="26"/>
      <c r="K142" s="26"/>
      <c r="L142" s="26"/>
    </row>
    <row r="143" spans="7:12" ht="15.75" x14ac:dyDescent="0.25">
      <c r="G143" s="107"/>
      <c r="H143" s="26"/>
      <c r="I143" s="26"/>
      <c r="J143" s="26"/>
      <c r="K143" s="26"/>
      <c r="L143" s="26"/>
    </row>
    <row r="144" spans="7:12" ht="15.75" x14ac:dyDescent="0.25">
      <c r="G144" s="107"/>
      <c r="H144" s="26"/>
      <c r="I144" s="26"/>
      <c r="J144" s="26"/>
      <c r="K144" s="26"/>
      <c r="L144" s="26"/>
    </row>
    <row r="145" spans="7:12" ht="15.75" x14ac:dyDescent="0.25">
      <c r="G145" s="107"/>
      <c r="H145" s="26"/>
      <c r="I145" s="26"/>
      <c r="J145" s="26"/>
      <c r="K145" s="26"/>
      <c r="L145" s="26"/>
    </row>
    <row r="146" spans="7:12" ht="15.75" x14ac:dyDescent="0.25">
      <c r="G146" s="107"/>
      <c r="H146" s="26"/>
      <c r="I146" s="26"/>
      <c r="J146" s="26"/>
      <c r="K146" s="26"/>
      <c r="L146" s="26"/>
    </row>
    <row r="147" spans="7:12" ht="15.75" x14ac:dyDescent="0.25">
      <c r="G147" s="107"/>
      <c r="H147" s="26"/>
      <c r="I147" s="26"/>
      <c r="J147" s="26"/>
      <c r="K147" s="26"/>
      <c r="L147" s="26"/>
    </row>
    <row r="148" spans="7:12" ht="15.75" x14ac:dyDescent="0.25">
      <c r="G148" s="107"/>
      <c r="H148" s="26"/>
      <c r="I148" s="26"/>
      <c r="J148" s="26"/>
      <c r="K148" s="26"/>
      <c r="L148" s="26"/>
    </row>
    <row r="149" spans="7:12" ht="15.75" x14ac:dyDescent="0.25">
      <c r="G149" s="107"/>
      <c r="H149" s="26"/>
      <c r="I149" s="26"/>
      <c r="J149" s="26"/>
      <c r="K149" s="26"/>
      <c r="L149" s="26"/>
    </row>
    <row r="150" spans="7:12" ht="15.75" x14ac:dyDescent="0.25">
      <c r="G150" s="107"/>
      <c r="H150" s="26"/>
      <c r="I150" s="26"/>
      <c r="J150" s="26"/>
      <c r="K150" s="26"/>
      <c r="L150" s="26"/>
    </row>
    <row r="151" spans="7:12" ht="15.75" x14ac:dyDescent="0.25">
      <c r="G151" s="107"/>
      <c r="H151" s="26"/>
      <c r="I151" s="26"/>
      <c r="J151" s="26"/>
      <c r="K151" s="26"/>
      <c r="L151" s="26"/>
    </row>
    <row r="152" spans="7:12" ht="15.75" x14ac:dyDescent="0.25">
      <c r="G152" s="107"/>
      <c r="H152" s="26"/>
      <c r="I152" s="26"/>
      <c r="J152" s="26"/>
      <c r="K152" s="26"/>
      <c r="L152" s="26"/>
    </row>
    <row r="153" spans="7:12" ht="15.75" x14ac:dyDescent="0.25">
      <c r="G153" s="107"/>
      <c r="H153" s="26"/>
      <c r="I153" s="26"/>
      <c r="J153" s="26"/>
      <c r="K153" s="26"/>
      <c r="L153" s="26"/>
    </row>
    <row r="154" spans="7:12" ht="15.75" x14ac:dyDescent="0.25">
      <c r="G154" s="107"/>
      <c r="H154" s="26"/>
      <c r="I154" s="26"/>
      <c r="J154" s="26"/>
      <c r="K154" s="26"/>
      <c r="L154" s="26"/>
    </row>
    <row r="155" spans="7:12" ht="15.75" x14ac:dyDescent="0.25">
      <c r="G155" s="107"/>
      <c r="H155" s="26"/>
      <c r="I155" s="26"/>
      <c r="J155" s="26"/>
      <c r="K155" s="26"/>
      <c r="L155" s="26"/>
    </row>
    <row r="156" spans="7:12" ht="15.75" x14ac:dyDescent="0.25">
      <c r="G156" s="107"/>
      <c r="H156" s="26"/>
      <c r="I156" s="26"/>
      <c r="J156" s="26"/>
      <c r="K156" s="26"/>
      <c r="L156" s="26"/>
    </row>
    <row r="157" spans="7:12" ht="15.75" x14ac:dyDescent="0.25">
      <c r="G157" s="107"/>
      <c r="H157" s="26"/>
      <c r="I157" s="26"/>
      <c r="J157" s="26"/>
      <c r="K157" s="26"/>
      <c r="L157" s="26"/>
    </row>
    <row r="158" spans="7:12" ht="15.75" x14ac:dyDescent="0.25">
      <c r="G158" s="107"/>
      <c r="H158" s="26"/>
      <c r="I158" s="26"/>
      <c r="J158" s="26"/>
      <c r="K158" s="26"/>
      <c r="L158" s="26"/>
    </row>
    <row r="159" spans="7:12" ht="15.75" x14ac:dyDescent="0.25">
      <c r="G159" s="107"/>
      <c r="H159" s="26"/>
      <c r="I159" s="26"/>
      <c r="J159" s="26"/>
      <c r="K159" s="26"/>
      <c r="L159" s="26"/>
    </row>
    <row r="160" spans="7:12" ht="15.75" x14ac:dyDescent="0.25">
      <c r="G160" s="107"/>
      <c r="H160" s="26"/>
      <c r="I160" s="26"/>
      <c r="J160" s="26"/>
      <c r="K160" s="26"/>
      <c r="L160" s="26"/>
    </row>
    <row r="161" spans="7:12" ht="15.75" x14ac:dyDescent="0.25">
      <c r="G161" s="107"/>
      <c r="H161" s="26"/>
      <c r="I161" s="26"/>
      <c r="J161" s="26"/>
      <c r="K161" s="26"/>
      <c r="L161" s="26"/>
    </row>
    <row r="162" spans="7:12" ht="15.75" x14ac:dyDescent="0.25">
      <c r="G162" s="107"/>
      <c r="H162" s="26"/>
      <c r="I162" s="26"/>
      <c r="J162" s="26"/>
      <c r="K162" s="26"/>
      <c r="L162" s="26"/>
    </row>
    <row r="163" spans="7:12" ht="15.75" x14ac:dyDescent="0.25">
      <c r="G163" s="107"/>
      <c r="H163" s="26"/>
      <c r="I163" s="26"/>
      <c r="J163" s="26"/>
      <c r="K163" s="26"/>
      <c r="L163" s="26"/>
    </row>
    <row r="164" spans="7:12" ht="15.75" x14ac:dyDescent="0.25">
      <c r="G164" s="107"/>
      <c r="H164" s="26"/>
      <c r="I164" s="26"/>
      <c r="J164" s="26"/>
      <c r="K164" s="26"/>
      <c r="L164" s="26"/>
    </row>
    <row r="165" spans="7:12" ht="15.75" x14ac:dyDescent="0.25">
      <c r="G165" s="107"/>
      <c r="H165" s="26"/>
      <c r="I165" s="26"/>
      <c r="J165" s="26"/>
      <c r="K165" s="26"/>
      <c r="L165" s="26"/>
    </row>
    <row r="166" spans="7:12" ht="15.75" x14ac:dyDescent="0.25">
      <c r="G166" s="107"/>
      <c r="H166" s="26"/>
      <c r="I166" s="26"/>
      <c r="J166" s="26"/>
      <c r="K166" s="26"/>
      <c r="L166" s="26"/>
    </row>
    <row r="167" spans="7:12" ht="15.75" x14ac:dyDescent="0.25">
      <c r="G167" s="107"/>
      <c r="H167" s="26"/>
      <c r="I167" s="26"/>
      <c r="J167" s="26"/>
      <c r="K167" s="26"/>
      <c r="L167" s="26"/>
    </row>
    <row r="168" spans="7:12" ht="15.75" x14ac:dyDescent="0.25">
      <c r="G168" s="107"/>
      <c r="H168" s="26"/>
      <c r="I168" s="26"/>
      <c r="J168" s="26"/>
      <c r="K168" s="26"/>
      <c r="L168" s="26"/>
    </row>
    <row r="169" spans="7:12" ht="15.75" x14ac:dyDescent="0.25">
      <c r="G169" s="107"/>
      <c r="H169" s="26"/>
      <c r="I169" s="26"/>
      <c r="J169" s="26"/>
      <c r="K169" s="26"/>
      <c r="L169" s="26"/>
    </row>
    <row r="170" spans="7:12" ht="15.75" x14ac:dyDescent="0.25">
      <c r="G170" s="107"/>
      <c r="H170" s="26"/>
      <c r="I170" s="26"/>
      <c r="J170" s="26"/>
      <c r="K170" s="26"/>
      <c r="L170" s="26"/>
    </row>
    <row r="171" spans="7:12" ht="15.75" x14ac:dyDescent="0.25">
      <c r="G171" s="107"/>
      <c r="H171" s="26"/>
      <c r="I171" s="26"/>
      <c r="J171" s="26"/>
      <c r="K171" s="26"/>
      <c r="L171" s="26"/>
    </row>
    <row r="172" spans="7:12" ht="15.75" x14ac:dyDescent="0.25">
      <c r="G172" s="107"/>
      <c r="H172" s="26"/>
      <c r="I172" s="26"/>
      <c r="J172" s="26"/>
      <c r="K172" s="26"/>
      <c r="L172" s="26"/>
    </row>
    <row r="173" spans="7:12" ht="15.75" x14ac:dyDescent="0.25">
      <c r="G173" s="107"/>
      <c r="H173" s="26"/>
      <c r="I173" s="26"/>
      <c r="J173" s="26"/>
      <c r="K173" s="26"/>
      <c r="L173" s="26"/>
    </row>
    <row r="174" spans="7:12" ht="15.75" x14ac:dyDescent="0.25">
      <c r="G174" s="107"/>
      <c r="H174" s="26"/>
      <c r="I174" s="26"/>
      <c r="J174" s="26"/>
      <c r="K174" s="26"/>
      <c r="L174" s="26"/>
    </row>
    <row r="175" spans="7:12" ht="15.75" x14ac:dyDescent="0.25">
      <c r="G175" s="107"/>
      <c r="H175" s="26"/>
      <c r="I175" s="26"/>
      <c r="J175" s="26"/>
      <c r="K175" s="26"/>
      <c r="L175" s="26"/>
    </row>
    <row r="176" spans="7:12" ht="15.75" x14ac:dyDescent="0.25">
      <c r="G176" s="107"/>
      <c r="H176" s="26"/>
      <c r="I176" s="26"/>
      <c r="J176" s="26"/>
      <c r="K176" s="26"/>
      <c r="L176" s="26"/>
    </row>
    <row r="177" spans="7:12" ht="15.75" x14ac:dyDescent="0.25">
      <c r="G177" s="107"/>
      <c r="H177" s="26"/>
      <c r="I177" s="26"/>
      <c r="J177" s="26"/>
      <c r="K177" s="26"/>
      <c r="L177" s="26"/>
    </row>
    <row r="178" spans="7:12" ht="15.75" x14ac:dyDescent="0.25">
      <c r="G178" s="107"/>
      <c r="H178" s="26"/>
      <c r="I178" s="26"/>
      <c r="J178" s="26"/>
      <c r="K178" s="26"/>
      <c r="L178" s="26"/>
    </row>
    <row r="179" spans="7:12" ht="15.75" x14ac:dyDescent="0.25">
      <c r="G179" s="107"/>
      <c r="H179" s="26"/>
      <c r="I179" s="26"/>
      <c r="J179" s="26"/>
      <c r="K179" s="26"/>
      <c r="L179" s="26"/>
    </row>
    <row r="180" spans="7:12" ht="15.75" x14ac:dyDescent="0.25">
      <c r="G180" s="107"/>
      <c r="H180" s="26"/>
      <c r="I180" s="26"/>
      <c r="J180" s="26"/>
      <c r="K180" s="26"/>
      <c r="L180" s="26"/>
    </row>
    <row r="181" spans="7:12" ht="15.75" x14ac:dyDescent="0.25">
      <c r="G181" s="107"/>
      <c r="H181" s="26"/>
      <c r="I181" s="26"/>
      <c r="J181" s="26"/>
      <c r="K181" s="26"/>
      <c r="L181" s="26"/>
    </row>
    <row r="182" spans="7:12" ht="15.75" x14ac:dyDescent="0.25">
      <c r="G182" s="107"/>
      <c r="H182" s="26"/>
      <c r="I182" s="26"/>
      <c r="J182" s="26"/>
      <c r="K182" s="26"/>
      <c r="L182" s="26"/>
    </row>
    <row r="183" spans="7:12" ht="15.75" x14ac:dyDescent="0.25">
      <c r="G183" s="107"/>
      <c r="H183" s="26"/>
      <c r="I183" s="26"/>
      <c r="J183" s="26"/>
      <c r="K183" s="26"/>
      <c r="L183" s="26"/>
    </row>
    <row r="184" spans="7:12" ht="15.75" x14ac:dyDescent="0.25">
      <c r="G184" s="107"/>
      <c r="H184" s="26"/>
      <c r="I184" s="26"/>
      <c r="J184" s="26"/>
      <c r="K184" s="26"/>
      <c r="L184" s="26"/>
    </row>
    <row r="185" spans="7:12" ht="15.75" x14ac:dyDescent="0.25">
      <c r="G185" s="107"/>
      <c r="H185" s="26"/>
      <c r="I185" s="26"/>
      <c r="J185" s="26"/>
      <c r="K185" s="26"/>
      <c r="L185" s="26"/>
    </row>
    <row r="186" spans="7:12" ht="15.75" x14ac:dyDescent="0.25">
      <c r="G186" s="107"/>
      <c r="H186" s="26"/>
      <c r="I186" s="26"/>
      <c r="J186" s="26"/>
      <c r="K186" s="26"/>
      <c r="L186" s="26"/>
    </row>
    <row r="187" spans="7:12" ht="15.75" x14ac:dyDescent="0.25">
      <c r="G187" s="107"/>
      <c r="H187" s="26"/>
      <c r="I187" s="26"/>
      <c r="J187" s="26"/>
      <c r="K187" s="26"/>
      <c r="L187" s="26"/>
    </row>
    <row r="188" spans="7:12" ht="15.75" x14ac:dyDescent="0.25">
      <c r="G188" s="107"/>
      <c r="H188" s="26"/>
      <c r="I188" s="26"/>
      <c r="J188" s="26"/>
      <c r="K188" s="26"/>
      <c r="L188" s="26"/>
    </row>
    <row r="189" spans="7:12" ht="15.75" x14ac:dyDescent="0.25">
      <c r="G189" s="107"/>
      <c r="H189" s="26"/>
      <c r="I189" s="26"/>
      <c r="J189" s="26"/>
      <c r="K189" s="26"/>
      <c r="L189" s="26"/>
    </row>
    <row r="190" spans="7:12" ht="15.75" x14ac:dyDescent="0.25">
      <c r="G190" s="107"/>
      <c r="H190" s="26"/>
      <c r="I190" s="26"/>
      <c r="J190" s="26"/>
      <c r="K190" s="26"/>
      <c r="L190" s="26"/>
    </row>
    <row r="191" spans="7:12" ht="15.75" x14ac:dyDescent="0.25">
      <c r="G191" s="107"/>
      <c r="H191" s="26"/>
      <c r="I191" s="26"/>
      <c r="J191" s="26"/>
      <c r="K191" s="26"/>
      <c r="L191" s="26"/>
    </row>
    <row r="192" spans="7:12" ht="15.75" x14ac:dyDescent="0.25">
      <c r="G192" s="107"/>
      <c r="H192" s="26"/>
      <c r="I192" s="26"/>
      <c r="J192" s="26"/>
      <c r="K192" s="26"/>
      <c r="L192" s="26"/>
    </row>
    <row r="193" spans="7:12" ht="15.75" x14ac:dyDescent="0.25">
      <c r="G193" s="107"/>
      <c r="H193" s="26"/>
      <c r="I193" s="26"/>
      <c r="J193" s="26"/>
      <c r="K193" s="26"/>
      <c r="L193" s="26"/>
    </row>
    <row r="194" spans="7:12" ht="15.75" x14ac:dyDescent="0.25">
      <c r="G194" s="107"/>
      <c r="H194" s="26"/>
      <c r="I194" s="26"/>
      <c r="J194" s="26"/>
      <c r="K194" s="26"/>
      <c r="L194" s="26"/>
    </row>
    <row r="195" spans="7:12" ht="15.75" x14ac:dyDescent="0.25">
      <c r="G195" s="107"/>
      <c r="H195" s="26"/>
      <c r="I195" s="26"/>
      <c r="J195" s="26"/>
      <c r="K195" s="26"/>
      <c r="L195" s="26"/>
    </row>
    <row r="196" spans="7:12" ht="15.75" x14ac:dyDescent="0.25">
      <c r="G196" s="107"/>
      <c r="H196" s="26"/>
      <c r="I196" s="26"/>
      <c r="J196" s="26"/>
      <c r="K196" s="26"/>
      <c r="L196" s="26"/>
    </row>
    <row r="197" spans="7:12" ht="15.75" x14ac:dyDescent="0.25">
      <c r="G197" s="107"/>
      <c r="H197" s="26"/>
      <c r="I197" s="26"/>
      <c r="J197" s="26"/>
      <c r="K197" s="26"/>
      <c r="L197" s="26"/>
    </row>
    <row r="198" spans="7:12" ht="15.75" x14ac:dyDescent="0.25">
      <c r="G198" s="107"/>
      <c r="H198" s="26"/>
      <c r="I198" s="26"/>
      <c r="J198" s="26"/>
      <c r="K198" s="26"/>
      <c r="L198" s="26"/>
    </row>
    <row r="199" spans="7:12" ht="15.75" x14ac:dyDescent="0.25">
      <c r="G199" s="107"/>
      <c r="H199" s="26"/>
      <c r="I199" s="26"/>
      <c r="J199" s="26"/>
      <c r="K199" s="26"/>
      <c r="L199" s="26"/>
    </row>
    <row r="200" spans="7:12" ht="15.75" x14ac:dyDescent="0.25">
      <c r="G200" s="107"/>
      <c r="H200" s="26"/>
      <c r="I200" s="26"/>
      <c r="J200" s="26"/>
      <c r="K200" s="26"/>
      <c r="L200" s="26"/>
    </row>
    <row r="201" spans="7:12" ht="15.75" x14ac:dyDescent="0.25">
      <c r="G201" s="107"/>
      <c r="H201" s="26"/>
      <c r="I201" s="26"/>
      <c r="J201" s="26"/>
      <c r="K201" s="26"/>
      <c r="L201" s="26"/>
    </row>
    <row r="202" spans="7:12" ht="15.75" x14ac:dyDescent="0.25">
      <c r="G202" s="107"/>
      <c r="H202" s="26"/>
      <c r="I202" s="26"/>
      <c r="J202" s="26"/>
      <c r="K202" s="26"/>
      <c r="L202" s="26"/>
    </row>
  </sheetData>
  <mergeCells count="1">
    <mergeCell ref="H1:L1"/>
  </mergeCells>
  <conditionalFormatting sqref="D4:D7 D9:D11 D13:D14 D16:D17 D19:D22">
    <cfRule type="cellIs" dxfId="17" priority="44" operator="equal">
      <formula>0</formula>
    </cfRule>
  </conditionalFormatting>
  <dataValidations count="1">
    <dataValidation type="list" allowBlank="1" showInputMessage="1" sqref="H3:L3 H8:L8 H12:L12 H15:L15 H18:L18" xr:uid="{8F72064C-33BD-4123-AB26-3B3F0E76D43A}">
      <formula1>"inc"</formula1>
    </dataValidation>
  </dataValidations>
  <pageMargins left="0.70866141732283472" right="0.70866141732283472" top="0.74803149606299213" bottom="0.74803149606299213" header="0.31496062992125984" footer="0.31496062992125984"/>
  <pageSetup scale="4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2000-000000000000}">
          <x14:formula1>
            <xm:f>Unit!$A$4:$A$11</xm:f>
          </x14:formula1>
          <xm:sqref>D3 D8 D15 D18 D12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FB0C-3845-4487-B946-7B298C0C2E47}">
  <sheetPr codeName="Sheet57">
    <tabColor rgb="FF00B0F0"/>
  </sheetPr>
  <dimension ref="A1:AI943"/>
  <sheetViews>
    <sheetView topLeftCell="L1" zoomScale="85" zoomScaleNormal="85" workbookViewId="0">
      <pane ySplit="3" topLeftCell="A943" activePane="bottomLeft" state="frozen"/>
      <selection pane="bottomLeft"/>
    </sheetView>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29" width="8.5703125" style="273"/>
    <col min="30" max="30" width="22.5703125" style="273" customWidth="1"/>
    <col min="31" max="35" width="16.42578125" style="273" customWidth="1"/>
    <col min="36" max="16384" width="8.5703125" style="273"/>
  </cols>
  <sheetData>
    <row r="1" spans="1:35" ht="53.25" customHeight="1" x14ac:dyDescent="0.25">
      <c r="A1" s="294" t="s">
        <v>935</v>
      </c>
      <c r="B1" s="295"/>
      <c r="C1" s="295"/>
      <c r="D1" s="295"/>
      <c r="E1" s="295"/>
      <c r="F1" s="295"/>
      <c r="G1" s="295"/>
      <c r="H1" s="295"/>
      <c r="I1" s="295"/>
      <c r="J1" s="295"/>
      <c r="K1" s="295"/>
      <c r="L1" s="295"/>
      <c r="M1" s="295"/>
      <c r="N1" s="295"/>
      <c r="O1" s="295"/>
      <c r="P1" s="295"/>
      <c r="Q1" s="295"/>
      <c r="R1" s="295"/>
      <c r="S1" s="296" t="s">
        <v>888</v>
      </c>
      <c r="T1" s="301">
        <v>44833</v>
      </c>
      <c r="U1" s="301"/>
      <c r="V1" s="301"/>
      <c r="W1" s="301"/>
      <c r="X1" s="301"/>
      <c r="Y1" s="301"/>
      <c r="Z1" s="301"/>
      <c r="AA1" s="301"/>
      <c r="AB1" s="301"/>
      <c r="AD1" s="294" t="s">
        <v>950</v>
      </c>
      <c r="AE1" s="295"/>
      <c r="AF1" s="295"/>
      <c r="AG1" s="295"/>
      <c r="AH1" s="295"/>
      <c r="AI1" s="295"/>
    </row>
    <row r="2" spans="1:35" ht="15.75" x14ac:dyDescent="0.25">
      <c r="I2" s="292">
        <v>80.62</v>
      </c>
      <c r="J2" s="293">
        <v>91.43</v>
      </c>
      <c r="K2" s="291">
        <v>1</v>
      </c>
      <c r="L2" s="291">
        <v>1</v>
      </c>
      <c r="O2" s="318"/>
      <c r="P2" s="317">
        <f>181.3-50.86</f>
        <v>130.44</v>
      </c>
      <c r="Q2" s="318"/>
      <c r="U2" s="291">
        <f>520/578</f>
        <v>0.89965397923875434</v>
      </c>
      <c r="V2" s="291">
        <f>578/578</f>
        <v>1</v>
      </c>
      <c r="W2" s="291">
        <f>533/578</f>
        <v>0.92214532871972321</v>
      </c>
      <c r="X2" s="291">
        <f>520/578</f>
        <v>0.89965397923875434</v>
      </c>
      <c r="Y2" s="291">
        <f>582/578</f>
        <v>1.0069204152249136</v>
      </c>
      <c r="Z2" s="291">
        <f>495/578</f>
        <v>0.856401384083045</v>
      </c>
      <c r="AA2" s="291">
        <f>495/578</f>
        <v>0.856401384083045</v>
      </c>
      <c r="AB2" s="291">
        <f>585/578</f>
        <v>1.0121107266435987</v>
      </c>
    </row>
    <row r="3" spans="1:35"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c r="AD3" s="314" t="s">
        <v>936</v>
      </c>
      <c r="AE3" s="314" t="s">
        <v>535</v>
      </c>
      <c r="AF3" s="314" t="s">
        <v>170</v>
      </c>
      <c r="AG3" s="314" t="s">
        <v>594</v>
      </c>
      <c r="AH3" s="314" t="s">
        <v>596</v>
      </c>
      <c r="AI3" s="315" t="s">
        <v>595</v>
      </c>
    </row>
    <row r="4" spans="1:35" ht="21" hidden="1" outlineLevel="1" x14ac:dyDescent="0.25">
      <c r="A4" s="299" t="s">
        <v>138</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D4" s="299"/>
      <c r="AE4" s="299"/>
      <c r="AF4" s="299"/>
      <c r="AG4" s="299"/>
      <c r="AH4" s="299"/>
      <c r="AI4" s="299"/>
    </row>
    <row r="5" spans="1:35"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U$2</f>
        <v>0.89965397923875434</v>
      </c>
      <c r="V5" s="291">
        <f>V$2</f>
        <v>1</v>
      </c>
      <c r="W5" s="291">
        <f t="shared" ref="W5:AB5" si="0">W$2</f>
        <v>0.92214532871972321</v>
      </c>
      <c r="X5" s="291">
        <f t="shared" si="0"/>
        <v>0.89965397923875434</v>
      </c>
      <c r="Y5" s="291">
        <f t="shared" si="0"/>
        <v>1.0069204152249136</v>
      </c>
      <c r="Z5" s="291">
        <f t="shared" si="0"/>
        <v>0.856401384083045</v>
      </c>
      <c r="AA5" s="291">
        <f t="shared" si="0"/>
        <v>0.856401384083045</v>
      </c>
      <c r="AB5" s="291">
        <f t="shared" si="0"/>
        <v>1.0121107266435987</v>
      </c>
      <c r="AD5" s="291"/>
      <c r="AE5" s="291"/>
      <c r="AF5" s="291"/>
      <c r="AG5" s="291"/>
      <c r="AH5" s="291"/>
      <c r="AI5" s="291"/>
    </row>
    <row r="6" spans="1:35" s="305" customFormat="1" ht="21.75" hidden="1" customHeight="1" outlineLevel="1" x14ac:dyDescent="0.25">
      <c r="A6" s="278"/>
      <c r="B6" s="279" t="str">
        <f>C6&amp;D6&amp;E6&amp;F6</f>
        <v>600600AL/SLW</v>
      </c>
      <c r="C6" s="278">
        <v>600</v>
      </c>
      <c r="D6" s="278">
        <v>600</v>
      </c>
      <c r="E6" s="278" t="s">
        <v>951</v>
      </c>
      <c r="F6" s="278"/>
      <c r="G6" s="278" t="s">
        <v>5</v>
      </c>
      <c r="H6" s="290">
        <v>1</v>
      </c>
      <c r="I6" s="280">
        <f t="shared" ref="I6:I69" si="1">$I$2*H6</f>
        <v>80.62</v>
      </c>
      <c r="J6" s="281">
        <f>$J$2*H6</f>
        <v>91.43</v>
      </c>
      <c r="K6" s="282">
        <f>IF(Notes!$B$9="Domestic",I6, IF(Notes!$B$9="Commercial",J6))*$K$5</f>
        <v>91.43</v>
      </c>
      <c r="L6" s="283">
        <f>(SUM(O6:Q6)+(K6+SUM(M6:Q6))*(INDEX($U$5:$AB$5,MATCH(Notes!$C$16,$U$3:$AB$3,0))-100%))*$L$5</f>
        <v>215.76839999999999</v>
      </c>
      <c r="M6" s="286"/>
      <c r="N6" s="286"/>
      <c r="O6" s="285">
        <v>168.81</v>
      </c>
      <c r="P6" s="311">
        <f>$P$2*C6/1000*D6/1000</f>
        <v>46.958399999999997</v>
      </c>
      <c r="Q6" s="285"/>
      <c r="R6" s="278">
        <v>600</v>
      </c>
      <c r="S6" s="278">
        <v>600</v>
      </c>
      <c r="T6" s="278" t="s">
        <v>951</v>
      </c>
      <c r="U6" s="304"/>
      <c r="AD6" s="279" t="str">
        <f>AE6&amp;AF6</f>
        <v>float clear4mm</v>
      </c>
      <c r="AE6" s="305" t="s">
        <v>589</v>
      </c>
      <c r="AF6" s="305" t="s">
        <v>591</v>
      </c>
      <c r="AG6" s="319">
        <f>AH6-AI6</f>
        <v>0</v>
      </c>
      <c r="AH6" s="316">
        <v>181.3</v>
      </c>
      <c r="AI6" s="316">
        <v>181.3</v>
      </c>
    </row>
    <row r="7" spans="1:35" s="305" customFormat="1" ht="21.75" hidden="1" customHeight="1" outlineLevel="1" x14ac:dyDescent="0.25">
      <c r="A7" s="278"/>
      <c r="B7" s="279" t="str">
        <f t="shared" ref="B7:B69" si="2">C7&amp;D7&amp;E7&amp;F7</f>
        <v>600900AL/SLW</v>
      </c>
      <c r="C7" s="278">
        <v>600</v>
      </c>
      <c r="D7" s="278">
        <v>900</v>
      </c>
      <c r="E7" s="278" t="s">
        <v>951</v>
      </c>
      <c r="F7" s="278"/>
      <c r="G7" s="278" t="s">
        <v>5</v>
      </c>
      <c r="H7" s="290">
        <v>1</v>
      </c>
      <c r="I7" s="280">
        <f t="shared" si="1"/>
        <v>80.62</v>
      </c>
      <c r="J7" s="281">
        <f t="shared" ref="J7:J69" si="3">$J$2*H7</f>
        <v>91.43</v>
      </c>
      <c r="K7" s="282">
        <f>IF(Notes!$B$9="Domestic",I7, IF(Notes!$B$9="Commercial",J7))*$K$5</f>
        <v>91.43</v>
      </c>
      <c r="L7" s="283">
        <f>(SUM(O7:Q7)+(K7+SUM(M7:Q7))*(INDEX($U$5:$AB$5,MATCH(Notes!$C$16,$U$3:$AB$3,0))-100%))*$L$5</f>
        <v>265.94759999999997</v>
      </c>
      <c r="M7" s="286"/>
      <c r="N7" s="286"/>
      <c r="O7" s="285">
        <v>195.51</v>
      </c>
      <c r="P7" s="311">
        <f t="shared" ref="P7:P69" si="4">$P$2*C7/1000*D7/1000</f>
        <v>70.437599999999989</v>
      </c>
      <c r="Q7" s="285"/>
      <c r="R7" s="278">
        <v>900</v>
      </c>
      <c r="S7" s="278">
        <v>900</v>
      </c>
      <c r="T7" s="278"/>
      <c r="U7" s="304"/>
      <c r="AD7" s="279" t="str">
        <f t="shared" ref="AD7:AD25" si="5">AE7&amp;AF7</f>
        <v>float clear5mm</v>
      </c>
      <c r="AE7" s="305" t="s">
        <v>589</v>
      </c>
      <c r="AF7" s="305" t="s">
        <v>592</v>
      </c>
      <c r="AG7" s="319">
        <f t="shared" ref="AG7:AG25" si="6">AH7-AI7</f>
        <v>3.5</v>
      </c>
      <c r="AH7" s="316">
        <v>184.8</v>
      </c>
      <c r="AI7" s="316">
        <v>181.3</v>
      </c>
    </row>
    <row r="8" spans="1:35" s="305" customFormat="1" ht="21.75" hidden="1" customHeight="1" outlineLevel="1" x14ac:dyDescent="0.25">
      <c r="A8" s="278"/>
      <c r="B8" s="279" t="str">
        <f t="shared" si="2"/>
        <v>6001200AL/SLW</v>
      </c>
      <c r="C8" s="278">
        <v>600</v>
      </c>
      <c r="D8" s="278">
        <v>1200</v>
      </c>
      <c r="E8" s="278" t="s">
        <v>951</v>
      </c>
      <c r="F8" s="278"/>
      <c r="G8" s="278" t="s">
        <v>5</v>
      </c>
      <c r="H8" s="290">
        <v>1</v>
      </c>
      <c r="I8" s="280">
        <f t="shared" si="1"/>
        <v>80.62</v>
      </c>
      <c r="J8" s="281">
        <f t="shared" si="3"/>
        <v>91.43</v>
      </c>
      <c r="K8" s="282">
        <f>IF(Notes!$B$9="Domestic",I8, IF(Notes!$B$9="Commercial",J8))*$K$5</f>
        <v>91.43</v>
      </c>
      <c r="L8" s="283">
        <f>(SUM(O8:Q8)+(K8+SUM(M8:Q8))*(INDEX($U$5:$AB$5,MATCH(Notes!$C$16,$U$3:$AB$3,0))-100%))*$L$5</f>
        <v>322.10680000000002</v>
      </c>
      <c r="M8" s="286"/>
      <c r="N8" s="286"/>
      <c r="O8" s="285">
        <v>228.19</v>
      </c>
      <c r="P8" s="311">
        <f t="shared" si="4"/>
        <v>93.916799999999995</v>
      </c>
      <c r="Q8" s="285"/>
      <c r="R8" s="278">
        <v>1200</v>
      </c>
      <c r="S8" s="278">
        <v>1200</v>
      </c>
      <c r="T8" s="278"/>
      <c r="U8" s="304"/>
      <c r="AD8" s="279" t="str">
        <f t="shared" si="5"/>
        <v>float clear6mm</v>
      </c>
      <c r="AE8" s="305" t="s">
        <v>589</v>
      </c>
      <c r="AF8" s="305" t="s">
        <v>263</v>
      </c>
      <c r="AG8" s="319">
        <f t="shared" si="6"/>
        <v>16.149999999999977</v>
      </c>
      <c r="AH8" s="316">
        <v>197.45</v>
      </c>
      <c r="AI8" s="316">
        <v>181.3</v>
      </c>
    </row>
    <row r="9" spans="1:35" s="305" customFormat="1" ht="21.75" hidden="1" customHeight="1" outlineLevel="1" x14ac:dyDescent="0.25">
      <c r="A9" s="278"/>
      <c r="B9" s="279" t="str">
        <f t="shared" si="2"/>
        <v>6001500AL/SLW</v>
      </c>
      <c r="C9" s="278">
        <v>600</v>
      </c>
      <c r="D9" s="278">
        <v>1500</v>
      </c>
      <c r="E9" s="278" t="s">
        <v>951</v>
      </c>
      <c r="F9" s="278"/>
      <c r="G9" s="278" t="s">
        <v>5</v>
      </c>
      <c r="H9" s="290">
        <v>1</v>
      </c>
      <c r="I9" s="280">
        <f t="shared" si="1"/>
        <v>80.62</v>
      </c>
      <c r="J9" s="281">
        <f t="shared" si="3"/>
        <v>91.43</v>
      </c>
      <c r="K9" s="282">
        <f>IF(Notes!$B$9="Domestic",I9, IF(Notes!$B$9="Commercial",J9))*$K$5</f>
        <v>91.43</v>
      </c>
      <c r="L9" s="283">
        <f>(SUM(O9:Q9)+(K9+SUM(M9:Q9))*(INDEX($U$5:$AB$5,MATCH(Notes!$C$16,$U$3:$AB$3,0))-100%))*$L$5</f>
        <v>372.27600000000001</v>
      </c>
      <c r="M9" s="286"/>
      <c r="N9" s="286"/>
      <c r="O9" s="285">
        <v>254.88</v>
      </c>
      <c r="P9" s="311">
        <f t="shared" si="4"/>
        <v>117.396</v>
      </c>
      <c r="Q9" s="285"/>
      <c r="R9" s="278">
        <v>1500</v>
      </c>
      <c r="S9" s="278">
        <v>1500</v>
      </c>
      <c r="T9" s="278"/>
      <c r="AD9" s="279" t="str">
        <f t="shared" si="5"/>
        <v>float tinted4mm</v>
      </c>
      <c r="AE9" s="305" t="s">
        <v>590</v>
      </c>
      <c r="AF9" s="305" t="s">
        <v>591</v>
      </c>
      <c r="AG9" s="319">
        <f t="shared" si="6"/>
        <v>21.509999999999991</v>
      </c>
      <c r="AH9" s="316">
        <v>202.81</v>
      </c>
      <c r="AI9" s="316">
        <v>181.3</v>
      </c>
    </row>
    <row r="10" spans="1:35" s="305" customFormat="1" ht="21.75" hidden="1" customHeight="1" outlineLevel="1" x14ac:dyDescent="0.25">
      <c r="A10" s="278"/>
      <c r="B10" s="279" t="str">
        <f t="shared" si="2"/>
        <v>6001800AL/SLW</v>
      </c>
      <c r="C10" s="278">
        <v>600</v>
      </c>
      <c r="D10" s="278">
        <v>1800</v>
      </c>
      <c r="E10" s="278" t="s">
        <v>951</v>
      </c>
      <c r="F10" s="278"/>
      <c r="G10" s="278" t="s">
        <v>5</v>
      </c>
      <c r="H10" s="290">
        <v>1</v>
      </c>
      <c r="I10" s="280">
        <f t="shared" si="1"/>
        <v>80.62</v>
      </c>
      <c r="J10" s="281">
        <f t="shared" si="3"/>
        <v>91.43</v>
      </c>
      <c r="K10" s="282">
        <f>IF(Notes!$B$9="Domestic",I10, IF(Notes!$B$9="Commercial",J10))*$K$5</f>
        <v>91.43</v>
      </c>
      <c r="L10" s="283">
        <f>(SUM(O10:Q10)+(K10+SUM(M10:Q10))*(INDEX($U$5:$AB$5,MATCH(Notes!$C$16,$U$3:$AB$3,0))-100%))*$L$5</f>
        <v>422.45519999999999</v>
      </c>
      <c r="M10" s="286"/>
      <c r="N10" s="286"/>
      <c r="O10" s="285">
        <v>281.58</v>
      </c>
      <c r="P10" s="311">
        <f t="shared" si="4"/>
        <v>140.87519999999998</v>
      </c>
      <c r="Q10" s="285"/>
      <c r="R10" s="278">
        <v>1800</v>
      </c>
      <c r="S10" s="278">
        <v>1800</v>
      </c>
      <c r="T10" s="278"/>
      <c r="AD10" s="279" t="str">
        <f t="shared" si="5"/>
        <v>float tinted5mm</v>
      </c>
      <c r="AE10" s="305" t="s">
        <v>590</v>
      </c>
      <c r="AF10" s="305" t="s">
        <v>592</v>
      </c>
      <c r="AG10" s="319">
        <f t="shared" si="6"/>
        <v>39.319999999999993</v>
      </c>
      <c r="AH10" s="316">
        <v>220.62</v>
      </c>
      <c r="AI10" s="316">
        <v>181.3</v>
      </c>
    </row>
    <row r="11" spans="1:35" s="305" customFormat="1" ht="21.75" hidden="1" customHeight="1" outlineLevel="1" x14ac:dyDescent="0.25">
      <c r="A11" s="278"/>
      <c r="B11" s="279" t="str">
        <f t="shared" si="2"/>
        <v>6002100AL/SLW</v>
      </c>
      <c r="C11" s="278">
        <v>600</v>
      </c>
      <c r="D11" s="278">
        <v>2100</v>
      </c>
      <c r="E11" s="278" t="s">
        <v>951</v>
      </c>
      <c r="F11" s="278"/>
      <c r="G11" s="278" t="s">
        <v>5</v>
      </c>
      <c r="H11" s="290">
        <v>2</v>
      </c>
      <c r="I11" s="280">
        <f t="shared" si="1"/>
        <v>161.24</v>
      </c>
      <c r="J11" s="281">
        <f t="shared" si="3"/>
        <v>182.86</v>
      </c>
      <c r="K11" s="282">
        <f>IF(Notes!$B$9="Domestic",I11, IF(Notes!$B$9="Commercial",J11))*$K$5</f>
        <v>182.86</v>
      </c>
      <c r="L11" s="283">
        <f>(SUM(O11:Q11)+(K11+SUM(M11:Q11))*(INDEX($U$5:$AB$5,MATCH(Notes!$C$16,$U$3:$AB$3,0))-100%))*$L$5</f>
        <v>521.30439999999999</v>
      </c>
      <c r="M11" s="286"/>
      <c r="N11" s="286"/>
      <c r="O11" s="285">
        <v>356.95</v>
      </c>
      <c r="P11" s="311">
        <f t="shared" si="4"/>
        <v>164.3544</v>
      </c>
      <c r="Q11" s="285"/>
      <c r="R11" s="278">
        <v>2100</v>
      </c>
      <c r="S11" s="278">
        <v>2100</v>
      </c>
      <c r="T11" s="278"/>
      <c r="AD11" s="279" t="str">
        <f t="shared" si="5"/>
        <v>float tinted6mm</v>
      </c>
      <c r="AE11" s="305" t="s">
        <v>590</v>
      </c>
      <c r="AF11" s="305" t="s">
        <v>263</v>
      </c>
      <c r="AG11" s="319">
        <f t="shared" si="6"/>
        <v>92.949999999999989</v>
      </c>
      <c r="AH11" s="316">
        <v>274.25</v>
      </c>
      <c r="AI11" s="316">
        <v>181.3</v>
      </c>
    </row>
    <row r="12" spans="1:35" s="305" customFormat="1" ht="21.75" hidden="1" customHeight="1" outlineLevel="1" x14ac:dyDescent="0.25">
      <c r="A12" s="278"/>
      <c r="B12" s="279" t="str">
        <f t="shared" si="2"/>
        <v>6002400AL/SLW</v>
      </c>
      <c r="C12" s="278">
        <v>600</v>
      </c>
      <c r="D12" s="278">
        <v>2400</v>
      </c>
      <c r="E12" s="278" t="s">
        <v>951</v>
      </c>
      <c r="F12" s="278"/>
      <c r="G12" s="278" t="s">
        <v>5</v>
      </c>
      <c r="H12" s="290">
        <v>2</v>
      </c>
      <c r="I12" s="280">
        <f t="shared" si="1"/>
        <v>161.24</v>
      </c>
      <c r="J12" s="281">
        <f t="shared" si="3"/>
        <v>182.86</v>
      </c>
      <c r="K12" s="282">
        <f>IF(Notes!$B$9="Domestic",I12, IF(Notes!$B$9="Commercial",J12))*$K$5</f>
        <v>182.86</v>
      </c>
      <c r="L12" s="283">
        <f>(SUM(O12:Q12)+(K12+SUM(M12:Q12))*(INDEX($U$5:$AB$5,MATCH(Notes!$C$16,$U$3:$AB$3,0))-100%))*$L$5</f>
        <v>563.95360000000005</v>
      </c>
      <c r="M12" s="286"/>
      <c r="N12" s="286"/>
      <c r="O12" s="285">
        <v>376.12</v>
      </c>
      <c r="P12" s="311">
        <f t="shared" si="4"/>
        <v>187.83359999999999</v>
      </c>
      <c r="Q12" s="285"/>
      <c r="R12" s="278">
        <v>2400</v>
      </c>
      <c r="S12" s="278">
        <v>2400</v>
      </c>
      <c r="T12" s="278"/>
      <c r="AD12" s="279" t="str">
        <f t="shared" si="5"/>
        <v>toughened clear4mm</v>
      </c>
      <c r="AE12" s="305" t="s">
        <v>597</v>
      </c>
      <c r="AF12" s="305" t="s">
        <v>591</v>
      </c>
      <c r="AG12" s="319">
        <f t="shared" si="6"/>
        <v>29.939999999999998</v>
      </c>
      <c r="AH12" s="316">
        <v>211.24</v>
      </c>
      <c r="AI12" s="316">
        <v>181.3</v>
      </c>
    </row>
    <row r="13" spans="1:35" s="305" customFormat="1" ht="21.75" hidden="1" customHeight="1" outlineLevel="1" x14ac:dyDescent="0.25">
      <c r="A13" s="278"/>
      <c r="B13" s="279" t="str">
        <f t="shared" si="2"/>
        <v>6002700AL/SLW</v>
      </c>
      <c r="C13" s="278">
        <v>600</v>
      </c>
      <c r="D13" s="278">
        <v>2700</v>
      </c>
      <c r="E13" s="278" t="s">
        <v>951</v>
      </c>
      <c r="F13" s="278"/>
      <c r="G13" s="278" t="s">
        <v>5</v>
      </c>
      <c r="H13" s="290">
        <v>2</v>
      </c>
      <c r="I13" s="280">
        <f t="shared" si="1"/>
        <v>161.24</v>
      </c>
      <c r="J13" s="281">
        <f t="shared" si="3"/>
        <v>182.86</v>
      </c>
      <c r="K13" s="282">
        <f>IF(Notes!$B$9="Domestic",I13, IF(Notes!$B$9="Commercial",J13))*$K$5</f>
        <v>182.86</v>
      </c>
      <c r="L13" s="283">
        <f>(SUM(O13:Q13)+(K13+SUM(M13:Q13))*(INDEX($U$5:$AB$5,MATCH(Notes!$C$16,$U$3:$AB$3,0))-100%))*$L$5</f>
        <v>606.95280000000002</v>
      </c>
      <c r="M13" s="286"/>
      <c r="N13" s="286"/>
      <c r="O13" s="285">
        <v>395.64</v>
      </c>
      <c r="P13" s="311">
        <f t="shared" si="4"/>
        <v>211.31279999999998</v>
      </c>
      <c r="Q13" s="285"/>
      <c r="R13" s="278">
        <v>2700</v>
      </c>
      <c r="S13" s="278">
        <v>2700</v>
      </c>
      <c r="T13" s="278"/>
      <c r="AD13" s="279" t="str">
        <f t="shared" si="5"/>
        <v>toughened clear5mm</v>
      </c>
      <c r="AE13" s="305" t="s">
        <v>597</v>
      </c>
      <c r="AF13" s="305" t="s">
        <v>592</v>
      </c>
      <c r="AG13" s="319">
        <f t="shared" si="6"/>
        <v>36.909999999999997</v>
      </c>
      <c r="AH13" s="316">
        <v>218.21</v>
      </c>
      <c r="AI13" s="316">
        <v>181.3</v>
      </c>
    </row>
    <row r="14" spans="1:35" s="305" customFormat="1" ht="21.75" hidden="1" customHeight="1" outlineLevel="1" x14ac:dyDescent="0.25">
      <c r="A14" s="278"/>
      <c r="B14" s="279" t="str">
        <f t="shared" si="2"/>
        <v>900600AL/SLW</v>
      </c>
      <c r="C14" s="278">
        <v>900</v>
      </c>
      <c r="D14" s="278">
        <v>600</v>
      </c>
      <c r="E14" s="278" t="s">
        <v>951</v>
      </c>
      <c r="F14" s="278"/>
      <c r="G14" s="278" t="s">
        <v>5</v>
      </c>
      <c r="H14" s="290">
        <v>1</v>
      </c>
      <c r="I14" s="280">
        <f t="shared" si="1"/>
        <v>80.62</v>
      </c>
      <c r="J14" s="281">
        <f t="shared" si="3"/>
        <v>91.43</v>
      </c>
      <c r="K14" s="282">
        <f>IF(Notes!$B$9="Domestic",I14, IF(Notes!$B$9="Commercial",J14))*$K$5</f>
        <v>91.43</v>
      </c>
      <c r="L14" s="283">
        <f>(SUM(O14:Q14)+(K14+SUM(M14:Q14))*(INDEX($U$5:$AB$5,MATCH(Notes!$C$16,$U$3:$AB$3,0))-100%))*$L$5</f>
        <v>285.18759999999997</v>
      </c>
      <c r="M14" s="286"/>
      <c r="N14" s="320"/>
      <c r="O14" s="285">
        <v>214.75</v>
      </c>
      <c r="P14" s="311">
        <f t="shared" si="4"/>
        <v>70.437600000000003</v>
      </c>
      <c r="Q14" s="285"/>
      <c r="R14" s="278"/>
      <c r="S14" s="278"/>
      <c r="T14" s="278"/>
      <c r="AD14" s="279" t="str">
        <f t="shared" si="5"/>
        <v>toughened clear6mm</v>
      </c>
      <c r="AE14" s="305" t="s">
        <v>597</v>
      </c>
      <c r="AF14" s="305" t="s">
        <v>263</v>
      </c>
      <c r="AG14" s="319">
        <f t="shared" si="6"/>
        <v>38.949999999999989</v>
      </c>
      <c r="AH14" s="316">
        <v>220.25</v>
      </c>
      <c r="AI14" s="316">
        <v>181.3</v>
      </c>
    </row>
    <row r="15" spans="1:35" s="305" customFormat="1" ht="21.75" hidden="1" customHeight="1" outlineLevel="1" x14ac:dyDescent="0.25">
      <c r="A15" s="278"/>
      <c r="B15" s="279" t="str">
        <f t="shared" si="2"/>
        <v>900900AL/SLW</v>
      </c>
      <c r="C15" s="278">
        <v>900</v>
      </c>
      <c r="D15" s="278">
        <v>900</v>
      </c>
      <c r="E15" s="278" t="s">
        <v>951</v>
      </c>
      <c r="F15" s="278"/>
      <c r="G15" s="278" t="s">
        <v>5</v>
      </c>
      <c r="H15" s="290">
        <v>1</v>
      </c>
      <c r="I15" s="280">
        <f t="shared" si="1"/>
        <v>80.62</v>
      </c>
      <c r="J15" s="281">
        <f t="shared" si="3"/>
        <v>91.43</v>
      </c>
      <c r="K15" s="282">
        <f>IF(Notes!$B$9="Domestic",I15, IF(Notes!$B$9="Commercial",J15))*$K$5</f>
        <v>91.43</v>
      </c>
      <c r="L15" s="283">
        <f>(SUM(O15:Q15)+(K15+SUM(M15:Q15))*(INDEX($U$5:$AB$5,MATCH(Notes!$C$16,$U$3:$AB$3,0))-100%))*$L$5</f>
        <v>357.16639999999995</v>
      </c>
      <c r="M15" s="286"/>
      <c r="N15" s="286"/>
      <c r="O15" s="285">
        <v>251.51</v>
      </c>
      <c r="P15" s="311">
        <f t="shared" si="4"/>
        <v>105.65639999999999</v>
      </c>
      <c r="Q15" s="285"/>
      <c r="R15" s="278"/>
      <c r="S15" s="278"/>
      <c r="T15" s="278"/>
      <c r="AD15" s="279" t="str">
        <f t="shared" si="5"/>
        <v>toughened clear10mm</v>
      </c>
      <c r="AE15" s="305" t="s">
        <v>597</v>
      </c>
      <c r="AF15" s="305" t="s">
        <v>265</v>
      </c>
      <c r="AG15" s="319">
        <f t="shared" si="6"/>
        <v>138.53999999999996</v>
      </c>
      <c r="AH15" s="316">
        <v>319.83999999999997</v>
      </c>
      <c r="AI15" s="316">
        <v>181.3</v>
      </c>
    </row>
    <row r="16" spans="1:35" s="305" customFormat="1" ht="21.75" hidden="1" customHeight="1" outlineLevel="1" x14ac:dyDescent="0.25">
      <c r="A16" s="278"/>
      <c r="B16" s="279" t="str">
        <f t="shared" si="2"/>
        <v>9001200AL/SLW</v>
      </c>
      <c r="C16" s="278">
        <v>900</v>
      </c>
      <c r="D16" s="278">
        <v>1200</v>
      </c>
      <c r="E16" s="278" t="s">
        <v>951</v>
      </c>
      <c r="F16" s="278"/>
      <c r="G16" s="278" t="s">
        <v>5</v>
      </c>
      <c r="H16" s="290">
        <v>1</v>
      </c>
      <c r="I16" s="280">
        <f t="shared" si="1"/>
        <v>80.62</v>
      </c>
      <c r="J16" s="281">
        <f t="shared" si="3"/>
        <v>91.43</v>
      </c>
      <c r="K16" s="282">
        <f>IF(Notes!$B$9="Domestic",I16, IF(Notes!$B$9="Commercial",J16))*$K$5</f>
        <v>91.43</v>
      </c>
      <c r="L16" s="283">
        <f>(SUM(O16:Q16)+(K16+SUM(M16:Q16))*(INDEX($U$5:$AB$5,MATCH(Notes!$C$16,$U$3:$AB$3,0))-100%))*$L$5</f>
        <v>422.29520000000002</v>
      </c>
      <c r="M16" s="286"/>
      <c r="N16" s="286"/>
      <c r="O16" s="285">
        <v>281.42</v>
      </c>
      <c r="P16" s="311">
        <f t="shared" si="4"/>
        <v>140.87520000000001</v>
      </c>
      <c r="Q16" s="285"/>
      <c r="R16" s="278"/>
      <c r="S16" s="278"/>
      <c r="T16" s="278"/>
      <c r="AD16" s="279" t="str">
        <f t="shared" si="5"/>
        <v>toughened clear12mm</v>
      </c>
      <c r="AE16" s="305" t="s">
        <v>597</v>
      </c>
      <c r="AF16" s="305" t="s">
        <v>593</v>
      </c>
      <c r="AG16" s="319">
        <f t="shared" si="6"/>
        <v>165.57</v>
      </c>
      <c r="AH16" s="316">
        <v>346.87</v>
      </c>
      <c r="AI16" s="316">
        <v>181.3</v>
      </c>
    </row>
    <row r="17" spans="1:35" s="305" customFormat="1" ht="21.75" hidden="1" customHeight="1" outlineLevel="1" x14ac:dyDescent="0.25">
      <c r="A17" s="278"/>
      <c r="B17" s="279" t="str">
        <f t="shared" si="2"/>
        <v>9001500AL/SLW</v>
      </c>
      <c r="C17" s="278">
        <v>900</v>
      </c>
      <c r="D17" s="278">
        <v>1500</v>
      </c>
      <c r="E17" s="278" t="s">
        <v>951</v>
      </c>
      <c r="F17" s="278"/>
      <c r="G17" s="278" t="s">
        <v>5</v>
      </c>
      <c r="H17" s="290">
        <v>2</v>
      </c>
      <c r="I17" s="280">
        <f t="shared" si="1"/>
        <v>161.24</v>
      </c>
      <c r="J17" s="281">
        <f t="shared" si="3"/>
        <v>182.86</v>
      </c>
      <c r="K17" s="282">
        <f>IF(Notes!$B$9="Domestic",I17, IF(Notes!$B$9="Commercial",J17))*$K$5</f>
        <v>182.86</v>
      </c>
      <c r="L17" s="283">
        <f>(SUM(O17:Q17)+(K17+SUM(M17:Q17))*(INDEX($U$5:$AB$5,MATCH(Notes!$C$16,$U$3:$AB$3,0))-100%))*$L$5</f>
        <v>484.67399999999998</v>
      </c>
      <c r="M17" s="286"/>
      <c r="N17" s="286"/>
      <c r="O17" s="285">
        <v>308.58</v>
      </c>
      <c r="P17" s="311">
        <f t="shared" si="4"/>
        <v>176.09399999999999</v>
      </c>
      <c r="Q17" s="285"/>
      <c r="R17" s="278"/>
      <c r="S17" s="278"/>
      <c r="T17" s="278"/>
      <c r="AD17" s="279" t="str">
        <f t="shared" si="5"/>
        <v>toughened tinted4mm</v>
      </c>
      <c r="AE17" s="305" t="s">
        <v>598</v>
      </c>
      <c r="AF17" s="305" t="s">
        <v>591</v>
      </c>
      <c r="AG17" s="319">
        <f t="shared" si="6"/>
        <v>39.03</v>
      </c>
      <c r="AH17" s="316">
        <v>220.33</v>
      </c>
      <c r="AI17" s="316">
        <v>181.3</v>
      </c>
    </row>
    <row r="18" spans="1:35" s="305" customFormat="1" ht="21.75" hidden="1" customHeight="1" outlineLevel="1" x14ac:dyDescent="0.25">
      <c r="A18" s="278"/>
      <c r="B18" s="279" t="str">
        <f t="shared" si="2"/>
        <v>9001800AL/SLW</v>
      </c>
      <c r="C18" s="278">
        <v>900</v>
      </c>
      <c r="D18" s="278">
        <v>1800</v>
      </c>
      <c r="E18" s="278" t="s">
        <v>951</v>
      </c>
      <c r="F18" s="278"/>
      <c r="G18" s="278" t="s">
        <v>5</v>
      </c>
      <c r="H18" s="290">
        <v>2</v>
      </c>
      <c r="I18" s="280">
        <f t="shared" si="1"/>
        <v>161.24</v>
      </c>
      <c r="J18" s="281">
        <f t="shared" si="3"/>
        <v>182.86</v>
      </c>
      <c r="K18" s="282">
        <f>IF(Notes!$B$9="Domestic",I18, IF(Notes!$B$9="Commercial",J18))*$K$5</f>
        <v>182.86</v>
      </c>
      <c r="L18" s="283">
        <f>(SUM(O18:Q18)+(K18+SUM(M18:Q18))*(INDEX($U$5:$AB$5,MATCH(Notes!$C$16,$U$3:$AB$3,0))-100%))*$L$5</f>
        <v>559.74279999999999</v>
      </c>
      <c r="M18" s="286"/>
      <c r="N18" s="286"/>
      <c r="O18" s="285">
        <v>348.43</v>
      </c>
      <c r="P18" s="311">
        <f t="shared" si="4"/>
        <v>211.31279999999998</v>
      </c>
      <c r="Q18" s="285"/>
      <c r="R18" s="278"/>
      <c r="S18" s="278"/>
      <c r="T18" s="278"/>
      <c r="AD18" s="279" t="str">
        <f t="shared" si="5"/>
        <v>toughened tinted5mm</v>
      </c>
      <c r="AE18" s="305" t="s">
        <v>598</v>
      </c>
      <c r="AF18" s="305" t="s">
        <v>592</v>
      </c>
      <c r="AG18" s="319">
        <f t="shared" si="6"/>
        <v>50.95999999999998</v>
      </c>
      <c r="AH18" s="316">
        <v>232.26</v>
      </c>
      <c r="AI18" s="316">
        <v>181.3</v>
      </c>
    </row>
    <row r="19" spans="1:35" s="305" customFormat="1" ht="21.75" hidden="1" customHeight="1" outlineLevel="1" x14ac:dyDescent="0.25">
      <c r="A19" s="278"/>
      <c r="B19" s="279" t="str">
        <f t="shared" si="2"/>
        <v>9002100AL/SLW</v>
      </c>
      <c r="C19" s="278">
        <v>900</v>
      </c>
      <c r="D19" s="278">
        <v>2100</v>
      </c>
      <c r="E19" s="278" t="s">
        <v>951</v>
      </c>
      <c r="F19" s="278"/>
      <c r="G19" s="278" t="s">
        <v>5</v>
      </c>
      <c r="H19" s="290">
        <v>2</v>
      </c>
      <c r="I19" s="280">
        <f t="shared" si="1"/>
        <v>161.24</v>
      </c>
      <c r="J19" s="281">
        <f t="shared" si="3"/>
        <v>182.86</v>
      </c>
      <c r="K19" s="282">
        <f>IF(Notes!$B$9="Domestic",I19, IF(Notes!$B$9="Commercial",J19))*$K$5</f>
        <v>182.86</v>
      </c>
      <c r="L19" s="283">
        <f>(SUM(O19:Q19)+(K19+SUM(M19:Q19))*(INDEX($U$5:$AB$5,MATCH(Notes!$C$16,$U$3:$AB$3,0))-100%))*$L$5</f>
        <v>716.72159999999997</v>
      </c>
      <c r="M19" s="286"/>
      <c r="N19" s="286"/>
      <c r="O19" s="285">
        <v>470.19</v>
      </c>
      <c r="P19" s="311">
        <f t="shared" si="4"/>
        <v>246.5316</v>
      </c>
      <c r="Q19" s="285"/>
      <c r="R19" s="278"/>
      <c r="S19" s="278"/>
      <c r="T19" s="278"/>
      <c r="AD19" s="279" t="str">
        <f t="shared" si="5"/>
        <v>toughened tinted6mm</v>
      </c>
      <c r="AE19" s="305" t="s">
        <v>598</v>
      </c>
      <c r="AF19" s="305" t="s">
        <v>263</v>
      </c>
      <c r="AG19" s="319">
        <f t="shared" si="6"/>
        <v>105.07999999999998</v>
      </c>
      <c r="AH19" s="316">
        <v>286.38</v>
      </c>
      <c r="AI19" s="316">
        <v>181.3</v>
      </c>
    </row>
    <row r="20" spans="1:35" s="305" customFormat="1" ht="21.75" hidden="1" customHeight="1" outlineLevel="1" x14ac:dyDescent="0.25">
      <c r="A20" s="278"/>
      <c r="B20" s="279" t="str">
        <f t="shared" si="2"/>
        <v>9002400AL/SLW</v>
      </c>
      <c r="C20" s="278">
        <v>900</v>
      </c>
      <c r="D20" s="278">
        <v>2400</v>
      </c>
      <c r="E20" s="278" t="s">
        <v>951</v>
      </c>
      <c r="F20" s="278"/>
      <c r="G20" s="278" t="s">
        <v>5</v>
      </c>
      <c r="H20" s="290">
        <v>3</v>
      </c>
      <c r="I20" s="280">
        <f t="shared" si="1"/>
        <v>241.86</v>
      </c>
      <c r="J20" s="281">
        <f t="shared" si="3"/>
        <v>274.29000000000002</v>
      </c>
      <c r="K20" s="282">
        <f>IF(Notes!$B$9="Domestic",I20, IF(Notes!$B$9="Commercial",J20))*$K$5</f>
        <v>274.29000000000002</v>
      </c>
      <c r="L20" s="283">
        <f>(SUM(O20:Q20)+(K20+SUM(M20:Q20))*(INDEX($U$5:$AB$5,MATCH(Notes!$C$16,$U$3:$AB$3,0))-100%))*$L$5</f>
        <v>753.34040000000005</v>
      </c>
      <c r="M20" s="286"/>
      <c r="N20" s="286"/>
      <c r="O20" s="285">
        <v>471.59</v>
      </c>
      <c r="P20" s="311">
        <f t="shared" si="4"/>
        <v>281.75040000000001</v>
      </c>
      <c r="Q20" s="285"/>
      <c r="R20" s="278"/>
      <c r="S20" s="278"/>
      <c r="T20" s="278"/>
      <c r="AD20" s="279" t="str">
        <f t="shared" si="5"/>
        <v>toughened tinted10mm</v>
      </c>
      <c r="AE20" s="305" t="s">
        <v>598</v>
      </c>
      <c r="AF20" s="305" t="s">
        <v>265</v>
      </c>
      <c r="AG20" s="319">
        <f t="shared" si="6"/>
        <v>207.46999999999997</v>
      </c>
      <c r="AH20" s="316">
        <v>388.77</v>
      </c>
      <c r="AI20" s="316">
        <v>181.3</v>
      </c>
    </row>
    <row r="21" spans="1:35" s="305" customFormat="1" ht="21.75" hidden="1" customHeight="1" outlineLevel="1" x14ac:dyDescent="0.25">
      <c r="A21" s="278"/>
      <c r="B21" s="279" t="str">
        <f t="shared" si="2"/>
        <v>9002700AL/SLW</v>
      </c>
      <c r="C21" s="278">
        <v>900</v>
      </c>
      <c r="D21" s="278">
        <v>2700</v>
      </c>
      <c r="E21" s="278" t="s">
        <v>951</v>
      </c>
      <c r="F21" s="278"/>
      <c r="G21" s="278" t="s">
        <v>5</v>
      </c>
      <c r="H21" s="290">
        <v>3</v>
      </c>
      <c r="I21" s="280">
        <f t="shared" si="1"/>
        <v>241.86</v>
      </c>
      <c r="J21" s="281">
        <f t="shared" si="3"/>
        <v>274.29000000000002</v>
      </c>
      <c r="K21" s="282">
        <f>IF(Notes!$B$9="Domestic",I21, IF(Notes!$B$9="Commercial",J21))*$K$5</f>
        <v>274.29000000000002</v>
      </c>
      <c r="L21" s="283">
        <f>(SUM(O21:Q21)+(K21+SUM(M21:Q21))*(INDEX($U$5:$AB$5,MATCH(Notes!$C$16,$U$3:$AB$3,0))-100%))*$L$5</f>
        <v>808.54919999999993</v>
      </c>
      <c r="M21" s="286"/>
      <c r="N21" s="286"/>
      <c r="O21" s="285">
        <v>491.58</v>
      </c>
      <c r="P21" s="311">
        <f t="shared" si="4"/>
        <v>316.9692</v>
      </c>
      <c r="Q21" s="285"/>
      <c r="R21" s="278"/>
      <c r="S21" s="278"/>
      <c r="T21" s="278"/>
      <c r="AD21" s="279" t="str">
        <f t="shared" si="5"/>
        <v>toughened tinted12mm</v>
      </c>
      <c r="AE21" s="305" t="s">
        <v>598</v>
      </c>
      <c r="AF21" s="305" t="s">
        <v>593</v>
      </c>
      <c r="AG21" s="319">
        <f t="shared" si="6"/>
        <v>301.58999999999997</v>
      </c>
      <c r="AH21" s="316">
        <v>482.89</v>
      </c>
      <c r="AI21" s="316">
        <v>181.3</v>
      </c>
    </row>
    <row r="22" spans="1:35" s="305" customFormat="1" ht="21.75" hidden="1" customHeight="1" outlineLevel="1" x14ac:dyDescent="0.25">
      <c r="A22" s="278"/>
      <c r="B22" s="279" t="str">
        <f t="shared" si="2"/>
        <v>1200600AL/SLW</v>
      </c>
      <c r="C22" s="278">
        <v>1200</v>
      </c>
      <c r="D22" s="278">
        <v>600</v>
      </c>
      <c r="E22" s="278" t="s">
        <v>951</v>
      </c>
      <c r="F22" s="278"/>
      <c r="G22" s="278" t="s">
        <v>5</v>
      </c>
      <c r="H22" s="290">
        <v>1</v>
      </c>
      <c r="I22" s="280">
        <f t="shared" si="1"/>
        <v>80.62</v>
      </c>
      <c r="J22" s="281">
        <f t="shared" si="3"/>
        <v>91.43</v>
      </c>
      <c r="K22" s="282">
        <f>IF(Notes!$B$9="Domestic",I22, IF(Notes!$B$9="Commercial",J22))*$K$5</f>
        <v>91.43</v>
      </c>
      <c r="L22" s="283">
        <f>(SUM(O22:Q22)+(K22+SUM(M22:Q22))*(INDEX($U$5:$AB$5,MATCH(Notes!$C$16,$U$3:$AB$3,0))-100%))*$L$5</f>
        <v>331.63679999999999</v>
      </c>
      <c r="M22" s="286"/>
      <c r="N22" s="286"/>
      <c r="O22" s="285">
        <v>237.72</v>
      </c>
      <c r="P22" s="311">
        <f t="shared" si="4"/>
        <v>93.916799999999995</v>
      </c>
      <c r="Q22" s="285"/>
      <c r="R22" s="278"/>
      <c r="S22" s="278"/>
      <c r="T22" s="278"/>
      <c r="AD22" s="279" t="str">
        <f t="shared" si="5"/>
        <v>laminated clear6mm</v>
      </c>
      <c r="AE22" s="305" t="s">
        <v>599</v>
      </c>
      <c r="AF22" s="305" t="s">
        <v>263</v>
      </c>
      <c r="AG22" s="319">
        <f t="shared" si="6"/>
        <v>25.049999999999983</v>
      </c>
      <c r="AH22" s="316">
        <v>206.35</v>
      </c>
      <c r="AI22" s="316">
        <v>181.3</v>
      </c>
    </row>
    <row r="23" spans="1:35" s="305" customFormat="1" ht="21.75" hidden="1" customHeight="1" outlineLevel="1" x14ac:dyDescent="0.25">
      <c r="A23" s="278"/>
      <c r="B23" s="279" t="str">
        <f t="shared" si="2"/>
        <v>1200900AL/SLW</v>
      </c>
      <c r="C23" s="278">
        <v>1200</v>
      </c>
      <c r="D23" s="278">
        <v>900</v>
      </c>
      <c r="E23" s="278" t="s">
        <v>951</v>
      </c>
      <c r="F23" s="278"/>
      <c r="G23" s="278" t="s">
        <v>5</v>
      </c>
      <c r="H23" s="290">
        <v>1</v>
      </c>
      <c r="I23" s="280">
        <f t="shared" si="1"/>
        <v>80.62</v>
      </c>
      <c r="J23" s="281">
        <f t="shared" si="3"/>
        <v>91.43</v>
      </c>
      <c r="K23" s="282">
        <f>IF(Notes!$B$9="Domestic",I23, IF(Notes!$B$9="Commercial",J23))*$K$5</f>
        <v>91.43</v>
      </c>
      <c r="L23" s="283">
        <f>(SUM(O23:Q23)+(K23+SUM(M23:Q23))*(INDEX($U$5:$AB$5,MATCH(Notes!$C$16,$U$3:$AB$3,0))-100%))*$L$5</f>
        <v>422.29520000000002</v>
      </c>
      <c r="M23" s="286"/>
      <c r="N23" s="286"/>
      <c r="O23" s="285">
        <v>281.42</v>
      </c>
      <c r="P23" s="311">
        <f t="shared" si="4"/>
        <v>140.87519999999998</v>
      </c>
      <c r="Q23" s="285"/>
      <c r="R23" s="278"/>
      <c r="S23" s="278"/>
      <c r="T23" s="278"/>
      <c r="AD23" s="279" t="str">
        <f t="shared" si="5"/>
        <v>laminated clear10mm</v>
      </c>
      <c r="AE23" s="305" t="s">
        <v>599</v>
      </c>
      <c r="AF23" s="305" t="s">
        <v>265</v>
      </c>
      <c r="AG23" s="319">
        <f t="shared" si="6"/>
        <v>79.920000000000016</v>
      </c>
      <c r="AH23" s="316">
        <v>261.22000000000003</v>
      </c>
      <c r="AI23" s="316">
        <v>181.3</v>
      </c>
    </row>
    <row r="24" spans="1:35" s="305" customFormat="1" ht="21.75" hidden="1" customHeight="1" outlineLevel="1" x14ac:dyDescent="0.25">
      <c r="A24" s="278"/>
      <c r="B24" s="279" t="str">
        <f t="shared" si="2"/>
        <v>12001200AL/SLW</v>
      </c>
      <c r="C24" s="278">
        <v>1200</v>
      </c>
      <c r="D24" s="278">
        <v>1200</v>
      </c>
      <c r="E24" s="278" t="s">
        <v>951</v>
      </c>
      <c r="F24" s="278"/>
      <c r="G24" s="278" t="s">
        <v>5</v>
      </c>
      <c r="H24" s="290">
        <v>2</v>
      </c>
      <c r="I24" s="280">
        <f t="shared" si="1"/>
        <v>161.24</v>
      </c>
      <c r="J24" s="281">
        <f t="shared" si="3"/>
        <v>182.86</v>
      </c>
      <c r="K24" s="282">
        <f>IF(Notes!$B$9="Domestic",I24, IF(Notes!$B$9="Commercial",J24))*$K$5</f>
        <v>182.86</v>
      </c>
      <c r="L24" s="283">
        <f>(SUM(O24:Q24)+(K24+SUM(M24:Q24))*(INDEX($U$5:$AB$5,MATCH(Notes!$C$16,$U$3:$AB$3,0))-100%))*$L$5</f>
        <v>509.21359999999999</v>
      </c>
      <c r="M24" s="286"/>
      <c r="N24" s="286"/>
      <c r="O24" s="285">
        <v>321.38</v>
      </c>
      <c r="P24" s="311">
        <f t="shared" si="4"/>
        <v>187.83359999999999</v>
      </c>
      <c r="Q24" s="285"/>
      <c r="R24" s="278"/>
      <c r="S24" s="278"/>
      <c r="T24" s="278"/>
      <c r="AD24" s="279" t="str">
        <f t="shared" si="5"/>
        <v>laminated tinted6mm</v>
      </c>
      <c r="AE24" s="305" t="s">
        <v>600</v>
      </c>
      <c r="AF24" s="305" t="s">
        <v>263</v>
      </c>
      <c r="AG24" s="319">
        <f t="shared" si="6"/>
        <v>75.889999999999986</v>
      </c>
      <c r="AH24" s="316">
        <v>257.19</v>
      </c>
      <c r="AI24" s="316">
        <v>181.3</v>
      </c>
    </row>
    <row r="25" spans="1:35" s="305" customFormat="1" ht="21.75" hidden="1" customHeight="1" outlineLevel="1" x14ac:dyDescent="0.25">
      <c r="A25" s="278"/>
      <c r="B25" s="279" t="str">
        <f t="shared" si="2"/>
        <v>12001500AL/SLW</v>
      </c>
      <c r="C25" s="278">
        <v>1200</v>
      </c>
      <c r="D25" s="278">
        <v>1500</v>
      </c>
      <c r="E25" s="278" t="s">
        <v>951</v>
      </c>
      <c r="F25" s="278"/>
      <c r="G25" s="278" t="s">
        <v>5</v>
      </c>
      <c r="H25" s="290">
        <v>2</v>
      </c>
      <c r="I25" s="280">
        <f t="shared" si="1"/>
        <v>161.24</v>
      </c>
      <c r="J25" s="281">
        <f t="shared" si="3"/>
        <v>182.86</v>
      </c>
      <c r="K25" s="282">
        <f>IF(Notes!$B$9="Domestic",I25, IF(Notes!$B$9="Commercial",J25))*$K$5</f>
        <v>182.86</v>
      </c>
      <c r="L25" s="283">
        <f>(SUM(O25:Q25)+(K25+SUM(M25:Q25))*(INDEX($U$5:$AB$5,MATCH(Notes!$C$16,$U$3:$AB$3,0))-100%))*$L$5</f>
        <v>596.50199999999995</v>
      </c>
      <c r="M25" s="286"/>
      <c r="N25" s="286"/>
      <c r="O25" s="285">
        <v>361.71</v>
      </c>
      <c r="P25" s="311">
        <f t="shared" si="4"/>
        <v>234.792</v>
      </c>
      <c r="Q25" s="285"/>
      <c r="R25" s="278"/>
      <c r="S25" s="278"/>
      <c r="T25" s="278"/>
      <c r="AD25" s="279" t="str">
        <f t="shared" si="5"/>
        <v>laminated tinted10mm</v>
      </c>
      <c r="AE25" s="305" t="s">
        <v>600</v>
      </c>
      <c r="AF25" s="305" t="s">
        <v>265</v>
      </c>
      <c r="AG25" s="319">
        <f t="shared" si="6"/>
        <v>163.36000000000001</v>
      </c>
      <c r="AH25" s="316">
        <v>344.66</v>
      </c>
      <c r="AI25" s="316">
        <v>181.3</v>
      </c>
    </row>
    <row r="26" spans="1:35" s="305" customFormat="1" ht="21.75" hidden="1" customHeight="1" outlineLevel="1" x14ac:dyDescent="0.25">
      <c r="A26" s="278"/>
      <c r="B26" s="279" t="str">
        <f t="shared" si="2"/>
        <v>12001800AL/SLW</v>
      </c>
      <c r="C26" s="278">
        <v>1200</v>
      </c>
      <c r="D26" s="278">
        <v>1800</v>
      </c>
      <c r="E26" s="278" t="s">
        <v>951</v>
      </c>
      <c r="F26" s="278"/>
      <c r="G26" s="278" t="s">
        <v>5</v>
      </c>
      <c r="H26" s="290">
        <v>3</v>
      </c>
      <c r="I26" s="280">
        <f t="shared" si="1"/>
        <v>241.86</v>
      </c>
      <c r="J26" s="281">
        <f t="shared" si="3"/>
        <v>274.29000000000002</v>
      </c>
      <c r="K26" s="282">
        <f>IF(Notes!$B$9="Domestic",I26, IF(Notes!$B$9="Commercial",J26))*$K$5</f>
        <v>274.29000000000002</v>
      </c>
      <c r="L26" s="283">
        <f>(SUM(O26:Q26)+(K26+SUM(M26:Q26))*(INDEX($U$5:$AB$5,MATCH(Notes!$C$16,$U$3:$AB$3,0))-100%))*$L$5</f>
        <v>690.13040000000001</v>
      </c>
      <c r="M26" s="286"/>
      <c r="N26" s="286"/>
      <c r="O26" s="285">
        <v>408.38</v>
      </c>
      <c r="P26" s="311">
        <f t="shared" si="4"/>
        <v>281.75039999999996</v>
      </c>
      <c r="Q26" s="285"/>
      <c r="R26" s="278"/>
      <c r="S26" s="278"/>
      <c r="T26" s="278"/>
      <c r="AD26" s="279"/>
    </row>
    <row r="27" spans="1:35" s="305" customFormat="1" ht="21.75" hidden="1" customHeight="1" outlineLevel="1" x14ac:dyDescent="0.25">
      <c r="A27" s="278"/>
      <c r="B27" s="279" t="str">
        <f t="shared" si="2"/>
        <v>12002100AL/SLW</v>
      </c>
      <c r="C27" s="278">
        <v>1200</v>
      </c>
      <c r="D27" s="278">
        <v>2100</v>
      </c>
      <c r="E27" s="278" t="s">
        <v>951</v>
      </c>
      <c r="F27" s="278"/>
      <c r="G27" s="278" t="s">
        <v>5</v>
      </c>
      <c r="H27" s="290">
        <v>3</v>
      </c>
      <c r="I27" s="280">
        <f t="shared" si="1"/>
        <v>241.86</v>
      </c>
      <c r="J27" s="281">
        <f t="shared" si="3"/>
        <v>274.29000000000002</v>
      </c>
      <c r="K27" s="282">
        <f>IF(Notes!$B$9="Domestic",I27, IF(Notes!$B$9="Commercial",J27))*$K$5</f>
        <v>274.29000000000002</v>
      </c>
      <c r="L27" s="283">
        <f>(SUM(O27:Q27)+(K27+SUM(M27:Q27))*(INDEX($U$5:$AB$5,MATCH(Notes!$C$16,$U$3:$AB$3,0))-100%))*$L$5</f>
        <v>856.86879999999996</v>
      </c>
      <c r="M27" s="286"/>
      <c r="N27" s="286"/>
      <c r="O27" s="285">
        <v>528.16</v>
      </c>
      <c r="P27" s="311">
        <f t="shared" si="4"/>
        <v>328.7088</v>
      </c>
      <c r="Q27" s="285"/>
      <c r="R27" s="278"/>
      <c r="S27" s="278"/>
      <c r="T27" s="278"/>
      <c r="AD27" s="279"/>
    </row>
    <row r="28" spans="1:35" s="305" customFormat="1" ht="21.75" hidden="1" customHeight="1" outlineLevel="1" x14ac:dyDescent="0.25">
      <c r="A28" s="278"/>
      <c r="B28" s="279" t="str">
        <f t="shared" si="2"/>
        <v>12002400AL/SLW</v>
      </c>
      <c r="C28" s="278">
        <v>1200</v>
      </c>
      <c r="D28" s="278">
        <v>2400</v>
      </c>
      <c r="E28" s="278" t="s">
        <v>951</v>
      </c>
      <c r="F28" s="278"/>
      <c r="G28" s="278" t="s">
        <v>5</v>
      </c>
      <c r="H28" s="290">
        <v>3</v>
      </c>
      <c r="I28" s="280">
        <f t="shared" si="1"/>
        <v>241.86</v>
      </c>
      <c r="J28" s="281">
        <f t="shared" si="3"/>
        <v>274.29000000000002</v>
      </c>
      <c r="K28" s="282">
        <f>IF(Notes!$B$9="Domestic",I28, IF(Notes!$B$9="Commercial",J28))*$K$5</f>
        <v>274.29000000000002</v>
      </c>
      <c r="L28" s="283">
        <f>(SUM(O28:Q28)+(K28+SUM(M28:Q28))*(INDEX($U$5:$AB$5,MATCH(Notes!$C$16,$U$3:$AB$3,0))-100%))*$L$5</f>
        <v>923.92719999999997</v>
      </c>
      <c r="M28" s="286"/>
      <c r="N28" s="286"/>
      <c r="O28" s="285">
        <v>548.26</v>
      </c>
      <c r="P28" s="311">
        <f t="shared" si="4"/>
        <v>375.66719999999998</v>
      </c>
      <c r="Q28" s="285"/>
      <c r="R28" s="278"/>
      <c r="S28" s="278"/>
      <c r="T28" s="278"/>
      <c r="AD28" s="279"/>
    </row>
    <row r="29" spans="1:35" s="305" customFormat="1" ht="21.75" hidden="1" customHeight="1" outlineLevel="1" x14ac:dyDescent="0.25">
      <c r="A29" s="278"/>
      <c r="B29" s="279" t="str">
        <f t="shared" si="2"/>
        <v>12002700AL/SLW</v>
      </c>
      <c r="C29" s="278">
        <v>1200</v>
      </c>
      <c r="D29" s="278">
        <v>2700</v>
      </c>
      <c r="E29" s="278" t="s">
        <v>951</v>
      </c>
      <c r="F29" s="278"/>
      <c r="G29" s="278" t="s">
        <v>5</v>
      </c>
      <c r="H29" s="290">
        <v>4</v>
      </c>
      <c r="I29" s="280">
        <f t="shared" si="1"/>
        <v>322.48</v>
      </c>
      <c r="J29" s="281">
        <f t="shared" si="3"/>
        <v>365.72</v>
      </c>
      <c r="K29" s="282">
        <f>IF(Notes!$B$9="Domestic",I29, IF(Notes!$B$9="Commercial",J29))*$K$5</f>
        <v>365.72</v>
      </c>
      <c r="L29" s="283">
        <f>(SUM(O29:Q29)+(K29+SUM(M29:Q29))*(INDEX($U$5:$AB$5,MATCH(Notes!$C$16,$U$3:$AB$3,0))-100%))*$L$5</f>
        <v>1009.5856</v>
      </c>
      <c r="M29" s="286"/>
      <c r="N29" s="286"/>
      <c r="O29" s="285">
        <v>586.96</v>
      </c>
      <c r="P29" s="311">
        <f t="shared" si="4"/>
        <v>422.62559999999996</v>
      </c>
      <c r="Q29" s="285"/>
      <c r="R29" s="278"/>
      <c r="S29" s="278"/>
      <c r="T29" s="278"/>
      <c r="AD29" s="279"/>
    </row>
    <row r="30" spans="1:35" s="305" customFormat="1" ht="21.75" hidden="1" customHeight="1" outlineLevel="1" x14ac:dyDescent="0.25">
      <c r="A30" s="278"/>
      <c r="B30" s="279" t="str">
        <f t="shared" si="2"/>
        <v>1500600AL/SLW</v>
      </c>
      <c r="C30" s="278">
        <v>1500</v>
      </c>
      <c r="D30" s="278">
        <v>600</v>
      </c>
      <c r="E30" s="278" t="s">
        <v>951</v>
      </c>
      <c r="F30" s="278"/>
      <c r="G30" s="278" t="s">
        <v>5</v>
      </c>
      <c r="H30" s="290">
        <v>1</v>
      </c>
      <c r="I30" s="280">
        <f t="shared" si="1"/>
        <v>80.62</v>
      </c>
      <c r="J30" s="281">
        <f t="shared" si="3"/>
        <v>91.43</v>
      </c>
      <c r="K30" s="282">
        <f>IF(Notes!$B$9="Domestic",I30, IF(Notes!$B$9="Commercial",J30))*$K$5</f>
        <v>91.43</v>
      </c>
      <c r="L30" s="283">
        <f>(SUM(O30:Q30)+(K30+SUM(M30:Q30))*(INDEX($U$5:$AB$5,MATCH(Notes!$C$16,$U$3:$AB$3,0))-100%))*$L$5</f>
        <v>380.38600000000002</v>
      </c>
      <c r="M30" s="286"/>
      <c r="N30" s="286"/>
      <c r="O30" s="285">
        <v>262.99</v>
      </c>
      <c r="P30" s="311">
        <f t="shared" si="4"/>
        <v>117.396</v>
      </c>
      <c r="Q30" s="285"/>
      <c r="R30" s="278"/>
      <c r="S30" s="278"/>
      <c r="T30" s="278"/>
    </row>
    <row r="31" spans="1:35" s="305" customFormat="1" ht="21.75" hidden="1" customHeight="1" outlineLevel="1" x14ac:dyDescent="0.25">
      <c r="A31" s="278"/>
      <c r="B31" s="279" t="str">
        <f t="shared" si="2"/>
        <v>1500900AL/SLW</v>
      </c>
      <c r="C31" s="278">
        <v>1500</v>
      </c>
      <c r="D31" s="278">
        <v>900</v>
      </c>
      <c r="E31" s="278" t="s">
        <v>951</v>
      </c>
      <c r="F31" s="278"/>
      <c r="G31" s="278" t="s">
        <v>5</v>
      </c>
      <c r="H31" s="290">
        <v>1</v>
      </c>
      <c r="I31" s="280">
        <f t="shared" si="1"/>
        <v>80.62</v>
      </c>
      <c r="J31" s="281">
        <f t="shared" si="3"/>
        <v>91.43</v>
      </c>
      <c r="K31" s="282">
        <f>IF(Notes!$B$9="Domestic",I31, IF(Notes!$B$9="Commercial",J31))*$K$5</f>
        <v>91.43</v>
      </c>
      <c r="L31" s="283">
        <f>(SUM(O31:Q31)+(K31+SUM(M31:Q31))*(INDEX($U$5:$AB$5,MATCH(Notes!$C$16,$U$3:$AB$3,0))-100%))*$L$5</f>
        <v>487.024</v>
      </c>
      <c r="M31" s="286"/>
      <c r="N31" s="286"/>
      <c r="O31" s="285">
        <v>310.93</v>
      </c>
      <c r="P31" s="311">
        <f t="shared" si="4"/>
        <v>176.09399999999999</v>
      </c>
      <c r="Q31" s="285"/>
      <c r="R31" s="278"/>
      <c r="S31" s="278"/>
      <c r="T31" s="278"/>
    </row>
    <row r="32" spans="1:35" s="305" customFormat="1" ht="21.75" hidden="1" customHeight="1" outlineLevel="1" x14ac:dyDescent="0.25">
      <c r="A32" s="278"/>
      <c r="B32" s="279" t="str">
        <f t="shared" si="2"/>
        <v>15001200AL/SLW</v>
      </c>
      <c r="C32" s="278">
        <v>1500</v>
      </c>
      <c r="D32" s="278">
        <v>1200</v>
      </c>
      <c r="E32" s="278" t="s">
        <v>951</v>
      </c>
      <c r="F32" s="278"/>
      <c r="G32" s="278" t="s">
        <v>5</v>
      </c>
      <c r="H32" s="290">
        <v>2</v>
      </c>
      <c r="I32" s="280">
        <f t="shared" si="1"/>
        <v>161.24</v>
      </c>
      <c r="J32" s="281">
        <f t="shared" si="3"/>
        <v>182.86</v>
      </c>
      <c r="K32" s="282">
        <f>IF(Notes!$B$9="Domestic",I32, IF(Notes!$B$9="Commercial",J32))*$K$5</f>
        <v>182.86</v>
      </c>
      <c r="L32" s="283">
        <f>(SUM(O32:Q32)+(K32+SUM(M32:Q32))*(INDEX($U$5:$AB$5,MATCH(Notes!$C$16,$U$3:$AB$3,0))-100%))*$L$5</f>
        <v>596.702</v>
      </c>
      <c r="M32" s="286"/>
      <c r="N32" s="286"/>
      <c r="O32" s="285">
        <v>361.91</v>
      </c>
      <c r="P32" s="311">
        <f t="shared" si="4"/>
        <v>234.792</v>
      </c>
      <c r="Q32" s="285"/>
      <c r="R32" s="278"/>
      <c r="S32" s="278"/>
      <c r="T32" s="278"/>
    </row>
    <row r="33" spans="1:20" s="305" customFormat="1" ht="21.75" hidden="1" customHeight="1" outlineLevel="1" x14ac:dyDescent="0.25">
      <c r="A33" s="278"/>
      <c r="B33" s="279" t="str">
        <f t="shared" si="2"/>
        <v>15001500AL/SLW</v>
      </c>
      <c r="C33" s="278">
        <v>1500</v>
      </c>
      <c r="D33" s="278">
        <v>1500</v>
      </c>
      <c r="E33" s="278" t="s">
        <v>951</v>
      </c>
      <c r="F33" s="278"/>
      <c r="G33" s="278" t="s">
        <v>5</v>
      </c>
      <c r="H33" s="290">
        <v>3</v>
      </c>
      <c r="I33" s="280">
        <f t="shared" si="1"/>
        <v>241.86</v>
      </c>
      <c r="J33" s="281">
        <f t="shared" si="3"/>
        <v>274.29000000000002</v>
      </c>
      <c r="K33" s="282">
        <f>IF(Notes!$B$9="Domestic",I33, IF(Notes!$B$9="Commercial",J33))*$K$5</f>
        <v>274.29000000000002</v>
      </c>
      <c r="L33" s="283">
        <f>(SUM(O33:Q33)+(K33+SUM(M33:Q33))*(INDEX($U$5:$AB$5,MATCH(Notes!$C$16,$U$3:$AB$3,0))-100%))*$L$5</f>
        <v>702.54</v>
      </c>
      <c r="M33" s="286"/>
      <c r="N33" s="286"/>
      <c r="O33" s="285">
        <v>409.05</v>
      </c>
      <c r="P33" s="311">
        <f t="shared" si="4"/>
        <v>293.49</v>
      </c>
      <c r="Q33" s="285"/>
      <c r="R33" s="278"/>
      <c r="S33" s="278"/>
      <c r="T33" s="278"/>
    </row>
    <row r="34" spans="1:20" s="305" customFormat="1" ht="21.75" hidden="1" customHeight="1" outlineLevel="1" x14ac:dyDescent="0.25">
      <c r="A34" s="278"/>
      <c r="B34" s="279" t="str">
        <f t="shared" si="2"/>
        <v>15001800AL/SLW</v>
      </c>
      <c r="C34" s="278">
        <v>1500</v>
      </c>
      <c r="D34" s="278">
        <v>1800</v>
      </c>
      <c r="E34" s="278" t="s">
        <v>951</v>
      </c>
      <c r="F34" s="278"/>
      <c r="G34" s="278" t="s">
        <v>5</v>
      </c>
      <c r="H34" s="290">
        <v>3</v>
      </c>
      <c r="I34" s="280">
        <f t="shared" si="1"/>
        <v>241.86</v>
      </c>
      <c r="J34" s="281">
        <f t="shared" si="3"/>
        <v>274.29000000000002</v>
      </c>
      <c r="K34" s="282">
        <f>IF(Notes!$B$9="Domestic",I34, IF(Notes!$B$9="Commercial",J34))*$K$5</f>
        <v>274.29000000000002</v>
      </c>
      <c r="L34" s="283">
        <f>(SUM(O34:Q34)+(K34+SUM(M34:Q34))*(INDEX($U$5:$AB$5,MATCH(Notes!$C$16,$U$3:$AB$3,0))-100%))*$L$5</f>
        <v>782.98800000000006</v>
      </c>
      <c r="M34" s="286"/>
      <c r="N34" s="286"/>
      <c r="O34" s="285">
        <v>430.8</v>
      </c>
      <c r="P34" s="311">
        <f t="shared" si="4"/>
        <v>352.18799999999999</v>
      </c>
      <c r="Q34" s="285"/>
      <c r="R34" s="278"/>
      <c r="S34" s="278"/>
      <c r="T34" s="278"/>
    </row>
    <row r="35" spans="1:20" s="305" customFormat="1" ht="21.75" hidden="1" customHeight="1" outlineLevel="1" x14ac:dyDescent="0.25">
      <c r="A35" s="278"/>
      <c r="B35" s="279" t="str">
        <f t="shared" si="2"/>
        <v>15002100AL/SLW</v>
      </c>
      <c r="C35" s="278">
        <v>1500</v>
      </c>
      <c r="D35" s="278">
        <v>2100</v>
      </c>
      <c r="E35" s="278" t="s">
        <v>951</v>
      </c>
      <c r="F35" s="278"/>
      <c r="G35" s="278" t="s">
        <v>5</v>
      </c>
      <c r="H35" s="290">
        <v>4</v>
      </c>
      <c r="I35" s="280">
        <f t="shared" si="1"/>
        <v>322.48</v>
      </c>
      <c r="J35" s="281">
        <f t="shared" si="3"/>
        <v>365.72</v>
      </c>
      <c r="K35" s="282">
        <f>IF(Notes!$B$9="Domestic",I35, IF(Notes!$B$9="Commercial",J35))*$K$5</f>
        <v>365.72</v>
      </c>
      <c r="L35" s="283">
        <f>(SUM(O35:Q35)+(K35+SUM(M35:Q35))*(INDEX($U$5:$AB$5,MATCH(Notes!$C$16,$U$3:$AB$3,0))-100%))*$L$5</f>
        <v>997.57600000000002</v>
      </c>
      <c r="M35" s="286"/>
      <c r="N35" s="286"/>
      <c r="O35" s="285">
        <v>586.69000000000005</v>
      </c>
      <c r="P35" s="311">
        <f t="shared" si="4"/>
        <v>410.88600000000002</v>
      </c>
      <c r="Q35" s="285"/>
      <c r="R35" s="278"/>
      <c r="S35" s="278"/>
      <c r="T35" s="278"/>
    </row>
    <row r="36" spans="1:20" s="305" customFormat="1" ht="21.75" hidden="1" customHeight="1" outlineLevel="1" x14ac:dyDescent="0.25">
      <c r="A36" s="278"/>
      <c r="B36" s="279" t="str">
        <f t="shared" si="2"/>
        <v>15002400AL/SLW</v>
      </c>
      <c r="C36" s="278">
        <v>1500</v>
      </c>
      <c r="D36" s="278">
        <v>2400</v>
      </c>
      <c r="E36" s="278" t="s">
        <v>951</v>
      </c>
      <c r="F36" s="278"/>
      <c r="G36" s="278" t="s">
        <v>5</v>
      </c>
      <c r="H36" s="290">
        <v>4</v>
      </c>
      <c r="I36" s="280">
        <f t="shared" si="1"/>
        <v>322.48</v>
      </c>
      <c r="J36" s="281">
        <f t="shared" si="3"/>
        <v>365.72</v>
      </c>
      <c r="K36" s="282">
        <f>IF(Notes!$B$9="Domestic",I36, IF(Notes!$B$9="Commercial",J36))*$K$5</f>
        <v>365.72</v>
      </c>
      <c r="L36" s="283">
        <f>(SUM(O36:Q36)+(K36+SUM(M36:Q36))*(INDEX($U$5:$AB$5,MATCH(Notes!$C$16,$U$3:$AB$3,0))-100%))*$L$5</f>
        <v>1095.0840000000001</v>
      </c>
      <c r="M36" s="286"/>
      <c r="N36" s="286"/>
      <c r="O36" s="285">
        <v>625.5</v>
      </c>
      <c r="P36" s="311">
        <f t="shared" si="4"/>
        <v>469.584</v>
      </c>
      <c r="Q36" s="285"/>
      <c r="R36" s="278"/>
      <c r="S36" s="278"/>
      <c r="T36" s="278"/>
    </row>
    <row r="37" spans="1:20" s="305" customFormat="1" ht="21.75" hidden="1" customHeight="1" outlineLevel="1" x14ac:dyDescent="0.25">
      <c r="A37" s="278"/>
      <c r="B37" s="279" t="str">
        <f t="shared" si="2"/>
        <v>15002700AL/SLW</v>
      </c>
      <c r="C37" s="278">
        <v>1500</v>
      </c>
      <c r="D37" s="278">
        <v>2700</v>
      </c>
      <c r="E37" s="278" t="s">
        <v>951</v>
      </c>
      <c r="F37" s="278"/>
      <c r="G37" s="278" t="s">
        <v>5</v>
      </c>
      <c r="H37" s="290">
        <v>4</v>
      </c>
      <c r="I37" s="280">
        <f t="shared" si="1"/>
        <v>322.48</v>
      </c>
      <c r="J37" s="281">
        <f t="shared" si="3"/>
        <v>365.72</v>
      </c>
      <c r="K37" s="282">
        <f>IF(Notes!$B$9="Domestic",I37, IF(Notes!$B$9="Commercial",J37))*$K$5</f>
        <v>365.72</v>
      </c>
      <c r="L37" s="283">
        <f>(SUM(O37:Q37)+(K37+SUM(M37:Q37))*(INDEX($U$5:$AB$5,MATCH(Notes!$C$16,$U$3:$AB$3,0))-100%))*$L$5</f>
        <v>1174.702</v>
      </c>
      <c r="M37" s="286"/>
      <c r="N37" s="286"/>
      <c r="O37" s="285">
        <v>646.41999999999996</v>
      </c>
      <c r="P37" s="311">
        <f t="shared" si="4"/>
        <v>528.28200000000004</v>
      </c>
      <c r="Q37" s="285"/>
      <c r="R37" s="278"/>
      <c r="S37" s="278"/>
      <c r="T37" s="278"/>
    </row>
    <row r="38" spans="1:20" s="305" customFormat="1" ht="21.75" hidden="1" customHeight="1" outlineLevel="1" x14ac:dyDescent="0.25">
      <c r="A38" s="278"/>
      <c r="B38" s="279" t="str">
        <f t="shared" si="2"/>
        <v>1800600AL/SLW</v>
      </c>
      <c r="C38" s="278">
        <v>1800</v>
      </c>
      <c r="D38" s="278">
        <v>600</v>
      </c>
      <c r="E38" s="278" t="s">
        <v>951</v>
      </c>
      <c r="F38" s="278"/>
      <c r="G38" s="278" t="s">
        <v>5</v>
      </c>
      <c r="H38" s="290">
        <v>1</v>
      </c>
      <c r="I38" s="280">
        <f t="shared" si="1"/>
        <v>80.62</v>
      </c>
      <c r="J38" s="281">
        <f t="shared" si="3"/>
        <v>91.43</v>
      </c>
      <c r="K38" s="282">
        <f>IF(Notes!$B$9="Domestic",I38, IF(Notes!$B$9="Commercial",J38))*$K$5</f>
        <v>91.43</v>
      </c>
      <c r="L38" s="283">
        <f>(SUM(O38:Q38)+(K38+SUM(M38:Q38))*(INDEX($U$5:$AB$5,MATCH(Notes!$C$16,$U$3:$AB$3,0))-100%))*$L$5</f>
        <v>556.39519999999993</v>
      </c>
      <c r="M38" s="286"/>
      <c r="N38" s="286"/>
      <c r="O38" s="285">
        <v>415.52</v>
      </c>
      <c r="P38" s="311">
        <f t="shared" si="4"/>
        <v>140.87520000000001</v>
      </c>
      <c r="Q38" s="285"/>
      <c r="R38" s="278"/>
      <c r="S38" s="278"/>
      <c r="T38" s="278"/>
    </row>
    <row r="39" spans="1:20" s="305" customFormat="1" ht="21.75" hidden="1" customHeight="1" outlineLevel="1" x14ac:dyDescent="0.25">
      <c r="A39" s="278"/>
      <c r="B39" s="279" t="str">
        <f t="shared" si="2"/>
        <v>1800900AL/SLW</v>
      </c>
      <c r="C39" s="278">
        <v>1800</v>
      </c>
      <c r="D39" s="278">
        <v>900</v>
      </c>
      <c r="E39" s="278" t="s">
        <v>951</v>
      </c>
      <c r="F39" s="278"/>
      <c r="G39" s="278" t="s">
        <v>5</v>
      </c>
      <c r="H39" s="290">
        <v>2</v>
      </c>
      <c r="I39" s="280">
        <f t="shared" si="1"/>
        <v>161.24</v>
      </c>
      <c r="J39" s="281">
        <f t="shared" si="3"/>
        <v>182.86</v>
      </c>
      <c r="K39" s="282">
        <f>IF(Notes!$B$9="Domestic",I39, IF(Notes!$B$9="Commercial",J39))*$K$5</f>
        <v>182.86</v>
      </c>
      <c r="L39" s="283">
        <f>(SUM(O39:Q39)+(K39+SUM(M39:Q39))*(INDEX($U$5:$AB$5,MATCH(Notes!$C$16,$U$3:$AB$3,0))-100%))*$L$5</f>
        <v>660.68280000000004</v>
      </c>
      <c r="M39" s="286"/>
      <c r="N39" s="286"/>
      <c r="O39" s="285">
        <v>449.37</v>
      </c>
      <c r="P39" s="311">
        <f t="shared" si="4"/>
        <v>211.31279999999998</v>
      </c>
      <c r="Q39" s="285"/>
      <c r="R39" s="278"/>
      <c r="S39" s="278"/>
      <c r="T39" s="278"/>
    </row>
    <row r="40" spans="1:20" s="305" customFormat="1" ht="21.75" hidden="1" customHeight="1" outlineLevel="1" x14ac:dyDescent="0.25">
      <c r="A40" s="278"/>
      <c r="B40" s="279" t="str">
        <f t="shared" si="2"/>
        <v>18001200AL/SLW</v>
      </c>
      <c r="C40" s="278">
        <v>1800</v>
      </c>
      <c r="D40" s="278">
        <v>1200</v>
      </c>
      <c r="E40" s="278" t="s">
        <v>951</v>
      </c>
      <c r="F40" s="278"/>
      <c r="G40" s="278" t="s">
        <v>5</v>
      </c>
      <c r="H40" s="290">
        <v>3</v>
      </c>
      <c r="I40" s="280">
        <f t="shared" si="1"/>
        <v>241.86</v>
      </c>
      <c r="J40" s="281">
        <f t="shared" si="3"/>
        <v>274.29000000000002</v>
      </c>
      <c r="K40" s="282">
        <f>IF(Notes!$B$9="Domestic",I40, IF(Notes!$B$9="Commercial",J40))*$K$5</f>
        <v>274.29000000000002</v>
      </c>
      <c r="L40" s="283">
        <f>(SUM(O40:Q40)+(K40+SUM(M40:Q40))*(INDEX($U$5:$AB$5,MATCH(Notes!$C$16,$U$3:$AB$3,0))-100%))*$L$5</f>
        <v>795.31039999999996</v>
      </c>
      <c r="M40" s="286"/>
      <c r="N40" s="286"/>
      <c r="O40" s="285">
        <v>513.55999999999995</v>
      </c>
      <c r="P40" s="311">
        <f t="shared" si="4"/>
        <v>281.75040000000001</v>
      </c>
      <c r="Q40" s="285"/>
      <c r="R40" s="278"/>
      <c r="S40" s="278"/>
      <c r="T40" s="278"/>
    </row>
    <row r="41" spans="1:20" s="305" customFormat="1" ht="21.75" hidden="1" customHeight="1" outlineLevel="1" x14ac:dyDescent="0.25">
      <c r="A41" s="278"/>
      <c r="B41" s="279" t="str">
        <f t="shared" si="2"/>
        <v>18001500AL/SLW</v>
      </c>
      <c r="C41" s="278">
        <v>1800</v>
      </c>
      <c r="D41" s="278">
        <v>1500</v>
      </c>
      <c r="E41" s="278" t="s">
        <v>951</v>
      </c>
      <c r="F41" s="278"/>
      <c r="G41" s="278" t="s">
        <v>5</v>
      </c>
      <c r="H41" s="290">
        <v>3</v>
      </c>
      <c r="I41" s="280">
        <f t="shared" si="1"/>
        <v>241.86</v>
      </c>
      <c r="J41" s="281">
        <f t="shared" si="3"/>
        <v>274.29000000000002</v>
      </c>
      <c r="K41" s="282">
        <f>IF(Notes!$B$9="Domestic",I41, IF(Notes!$B$9="Commercial",J41))*$K$5</f>
        <v>274.29000000000002</v>
      </c>
      <c r="L41" s="283">
        <f>(SUM(O41:Q41)+(K41+SUM(M41:Q41))*(INDEX($U$5:$AB$5,MATCH(Notes!$C$16,$U$3:$AB$3,0))-100%))*$L$5</f>
        <v>914.93799999999999</v>
      </c>
      <c r="M41" s="286"/>
      <c r="N41" s="286"/>
      <c r="O41" s="285">
        <v>562.75</v>
      </c>
      <c r="P41" s="311">
        <f t="shared" si="4"/>
        <v>352.18799999999999</v>
      </c>
      <c r="Q41" s="285"/>
      <c r="R41" s="278"/>
      <c r="S41" s="278"/>
      <c r="T41" s="278"/>
    </row>
    <row r="42" spans="1:20" s="305" customFormat="1" ht="21.75" hidden="1" customHeight="1" outlineLevel="1" x14ac:dyDescent="0.25">
      <c r="A42" s="278"/>
      <c r="B42" s="279" t="str">
        <f t="shared" si="2"/>
        <v>18001800AL/SLW</v>
      </c>
      <c r="C42" s="278">
        <v>1800</v>
      </c>
      <c r="D42" s="278">
        <v>1800</v>
      </c>
      <c r="E42" s="278" t="s">
        <v>951</v>
      </c>
      <c r="F42" s="278"/>
      <c r="G42" s="278" t="s">
        <v>5</v>
      </c>
      <c r="H42" s="290">
        <v>4</v>
      </c>
      <c r="I42" s="280">
        <f t="shared" si="1"/>
        <v>322.48</v>
      </c>
      <c r="J42" s="281">
        <f t="shared" si="3"/>
        <v>365.72</v>
      </c>
      <c r="K42" s="282">
        <f>IF(Notes!$B$9="Domestic",I42, IF(Notes!$B$9="Commercial",J42))*$K$5</f>
        <v>365.72</v>
      </c>
      <c r="L42" s="283">
        <f>(SUM(O42:Q42)+(K42+SUM(M42:Q42))*(INDEX($U$5:$AB$5,MATCH(Notes!$C$16,$U$3:$AB$3,0))-100%))*$L$5</f>
        <v>1065.3555999999999</v>
      </c>
      <c r="M42" s="286"/>
      <c r="N42" s="286"/>
      <c r="O42" s="285">
        <v>642.73</v>
      </c>
      <c r="P42" s="311">
        <f t="shared" si="4"/>
        <v>422.62559999999996</v>
      </c>
      <c r="Q42" s="285"/>
      <c r="R42" s="278"/>
      <c r="S42" s="278"/>
      <c r="T42" s="278"/>
    </row>
    <row r="43" spans="1:20" s="305" customFormat="1" ht="21.75" hidden="1" customHeight="1" outlineLevel="1" x14ac:dyDescent="0.25">
      <c r="A43" s="278"/>
      <c r="B43" s="279" t="str">
        <f t="shared" si="2"/>
        <v>18002100AL/SLW</v>
      </c>
      <c r="C43" s="278">
        <v>1800</v>
      </c>
      <c r="D43" s="278">
        <v>2100</v>
      </c>
      <c r="E43" s="278" t="s">
        <v>951</v>
      </c>
      <c r="F43" s="278"/>
      <c r="G43" s="278" t="s">
        <v>5</v>
      </c>
      <c r="H43" s="290">
        <v>4</v>
      </c>
      <c r="I43" s="280">
        <f t="shared" si="1"/>
        <v>322.48</v>
      </c>
      <c r="J43" s="281">
        <f t="shared" si="3"/>
        <v>365.72</v>
      </c>
      <c r="K43" s="282">
        <f>IF(Notes!$B$9="Domestic",I43, IF(Notes!$B$9="Commercial",J43))*$K$5</f>
        <v>365.72</v>
      </c>
      <c r="L43" s="283">
        <f>(SUM(O43:Q43)+(K43+SUM(M43:Q43))*(INDEX($U$5:$AB$5,MATCH(Notes!$C$16,$U$3:$AB$3,0))-100%))*$L$5</f>
        <v>1169.5432000000001</v>
      </c>
      <c r="M43" s="286"/>
      <c r="N43" s="286"/>
      <c r="O43" s="285">
        <v>676.48</v>
      </c>
      <c r="P43" s="311">
        <f t="shared" si="4"/>
        <v>493.06319999999999</v>
      </c>
      <c r="Q43" s="285"/>
      <c r="R43" s="278"/>
      <c r="S43" s="278"/>
      <c r="T43" s="278"/>
    </row>
    <row r="44" spans="1:20" s="305" customFormat="1" ht="21.75" hidden="1" customHeight="1" outlineLevel="1" x14ac:dyDescent="0.25">
      <c r="A44" s="278"/>
      <c r="B44" s="279" t="str">
        <f t="shared" si="2"/>
        <v>18002400AL/SLW</v>
      </c>
      <c r="C44" s="278">
        <v>1800</v>
      </c>
      <c r="D44" s="278">
        <v>2400</v>
      </c>
      <c r="E44" s="278" t="s">
        <v>951</v>
      </c>
      <c r="F44" s="278"/>
      <c r="G44" s="278" t="s">
        <v>5</v>
      </c>
      <c r="H44" s="290">
        <v>5</v>
      </c>
      <c r="I44" s="280">
        <f t="shared" si="1"/>
        <v>403.1</v>
      </c>
      <c r="J44" s="281">
        <f t="shared" si="3"/>
        <v>457.15000000000003</v>
      </c>
      <c r="K44" s="282">
        <f>IF(Notes!$B$9="Domestic",I44, IF(Notes!$B$9="Commercial",J44))*$K$5</f>
        <v>457.15000000000003</v>
      </c>
      <c r="L44" s="283">
        <f>(SUM(O44:Q44)+(K44+SUM(M44:Q44))*(INDEX($U$5:$AB$5,MATCH(Notes!$C$16,$U$3:$AB$3,0))-100%))*$L$5</f>
        <v>1371.4808</v>
      </c>
      <c r="M44" s="286"/>
      <c r="N44" s="286"/>
      <c r="O44" s="285">
        <v>807.98</v>
      </c>
      <c r="P44" s="311">
        <f t="shared" si="4"/>
        <v>563.50080000000003</v>
      </c>
      <c r="Q44" s="285"/>
      <c r="R44" s="278"/>
      <c r="S44" s="278"/>
      <c r="T44" s="278"/>
    </row>
    <row r="45" spans="1:20" s="305" customFormat="1" ht="21.75" hidden="1" customHeight="1" outlineLevel="1" x14ac:dyDescent="0.25">
      <c r="A45" s="278"/>
      <c r="B45" s="279" t="str">
        <f t="shared" si="2"/>
        <v>18002700AL/SLW</v>
      </c>
      <c r="C45" s="278">
        <v>1800</v>
      </c>
      <c r="D45" s="278">
        <v>2700</v>
      </c>
      <c r="E45" s="278" t="s">
        <v>951</v>
      </c>
      <c r="F45" s="278"/>
      <c r="G45" s="278" t="s">
        <v>5</v>
      </c>
      <c r="H45" s="290">
        <v>5</v>
      </c>
      <c r="I45" s="280">
        <f t="shared" si="1"/>
        <v>403.1</v>
      </c>
      <c r="J45" s="281">
        <f t="shared" si="3"/>
        <v>457.15000000000003</v>
      </c>
      <c r="K45" s="282">
        <f>IF(Notes!$B$9="Domestic",I45, IF(Notes!$B$9="Commercial",J45))*$K$5</f>
        <v>457.15000000000003</v>
      </c>
      <c r="L45" s="283">
        <f>(SUM(O45:Q45)+(K45+SUM(M45:Q45))*(INDEX($U$5:$AB$5,MATCH(Notes!$C$16,$U$3:$AB$3,0))-100%))*$L$5</f>
        <v>1490.7984000000001</v>
      </c>
      <c r="M45" s="286"/>
      <c r="N45" s="286"/>
      <c r="O45" s="285">
        <v>856.86</v>
      </c>
      <c r="P45" s="311">
        <f t="shared" si="4"/>
        <v>633.9384</v>
      </c>
      <c r="Q45" s="285"/>
      <c r="R45" s="278"/>
      <c r="S45" s="278"/>
      <c r="T45" s="278"/>
    </row>
    <row r="46" spans="1:20" s="305" customFormat="1" ht="21.75" hidden="1" customHeight="1" outlineLevel="1" x14ac:dyDescent="0.25">
      <c r="A46" s="278"/>
      <c r="B46" s="279" t="str">
        <f t="shared" si="2"/>
        <v>2100600AL/SLW</v>
      </c>
      <c r="C46" s="278">
        <v>2100</v>
      </c>
      <c r="D46" s="278">
        <v>600</v>
      </c>
      <c r="E46" s="278" t="s">
        <v>951</v>
      </c>
      <c r="F46" s="278"/>
      <c r="G46" s="278" t="s">
        <v>5</v>
      </c>
      <c r="H46" s="290">
        <v>2</v>
      </c>
      <c r="I46" s="280">
        <f t="shared" si="1"/>
        <v>161.24</v>
      </c>
      <c r="J46" s="281">
        <f t="shared" si="3"/>
        <v>182.86</v>
      </c>
      <c r="K46" s="282">
        <f>IF(Notes!$B$9="Domestic",I46, IF(Notes!$B$9="Commercial",J46))*$K$5</f>
        <v>182.86</v>
      </c>
      <c r="L46" s="283">
        <f>(SUM(O46:Q46)+(K46+SUM(M46:Q46))*(INDEX($U$5:$AB$5,MATCH(Notes!$C$16,$U$3:$AB$3,0))-100%))*$L$5</f>
        <v>596.71440000000007</v>
      </c>
      <c r="M46" s="286"/>
      <c r="N46" s="286"/>
      <c r="O46" s="285">
        <v>432.36</v>
      </c>
      <c r="P46" s="311">
        <f t="shared" si="4"/>
        <v>164.3544</v>
      </c>
      <c r="Q46" s="285"/>
      <c r="R46" s="278"/>
      <c r="S46" s="278"/>
      <c r="T46" s="278"/>
    </row>
    <row r="47" spans="1:20" s="305" customFormat="1" ht="21.75" hidden="1" customHeight="1" outlineLevel="1" x14ac:dyDescent="0.25">
      <c r="A47" s="278"/>
      <c r="B47" s="279" t="str">
        <f t="shared" si="2"/>
        <v>2100900AL/SLW</v>
      </c>
      <c r="C47" s="278">
        <v>2100</v>
      </c>
      <c r="D47" s="278">
        <v>900</v>
      </c>
      <c r="E47" s="278" t="s">
        <v>951</v>
      </c>
      <c r="F47" s="278"/>
      <c r="G47" s="278" t="s">
        <v>5</v>
      </c>
      <c r="H47" s="290">
        <v>2</v>
      </c>
      <c r="I47" s="280">
        <f t="shared" si="1"/>
        <v>161.24</v>
      </c>
      <c r="J47" s="281">
        <f t="shared" si="3"/>
        <v>182.86</v>
      </c>
      <c r="K47" s="282">
        <f>IF(Notes!$B$9="Domestic",I47, IF(Notes!$B$9="Commercial",J47))*$K$5</f>
        <v>182.86</v>
      </c>
      <c r="L47" s="283">
        <f>(SUM(O47:Q47)+(K47+SUM(M47:Q47))*(INDEX($U$5:$AB$5,MATCH(Notes!$C$16,$U$3:$AB$3,0))-100%))*$L$5</f>
        <v>728.5616</v>
      </c>
      <c r="M47" s="286"/>
      <c r="N47" s="286"/>
      <c r="O47" s="285">
        <v>482.03</v>
      </c>
      <c r="P47" s="311">
        <f t="shared" si="4"/>
        <v>246.53159999999997</v>
      </c>
      <c r="Q47" s="285"/>
      <c r="R47" s="278"/>
      <c r="S47" s="278"/>
      <c r="T47" s="278"/>
    </row>
    <row r="48" spans="1:20" s="305" customFormat="1" ht="21.75" hidden="1" customHeight="1" outlineLevel="1" x14ac:dyDescent="0.25">
      <c r="A48" s="278"/>
      <c r="B48" s="279" t="str">
        <f t="shared" si="2"/>
        <v>21001200AL/SLW</v>
      </c>
      <c r="C48" s="278">
        <v>2100</v>
      </c>
      <c r="D48" s="278">
        <v>1200</v>
      </c>
      <c r="E48" s="278" t="s">
        <v>951</v>
      </c>
      <c r="F48" s="278"/>
      <c r="G48" s="278" t="s">
        <v>5</v>
      </c>
      <c r="H48" s="290">
        <v>3</v>
      </c>
      <c r="I48" s="280">
        <f t="shared" si="1"/>
        <v>241.86</v>
      </c>
      <c r="J48" s="281">
        <f t="shared" si="3"/>
        <v>274.29000000000002</v>
      </c>
      <c r="K48" s="282">
        <f>IF(Notes!$B$9="Domestic",I48, IF(Notes!$B$9="Commercial",J48))*$K$5</f>
        <v>274.29000000000002</v>
      </c>
      <c r="L48" s="283">
        <f>(SUM(O48:Q48)+(K48+SUM(M48:Q48))*(INDEX($U$5:$AB$5,MATCH(Notes!$C$16,$U$3:$AB$3,0))-100%))*$L$5</f>
        <v>875.38879999999995</v>
      </c>
      <c r="M48" s="286"/>
      <c r="N48" s="286"/>
      <c r="O48" s="285">
        <v>546.67999999999995</v>
      </c>
      <c r="P48" s="311">
        <f t="shared" si="4"/>
        <v>328.7088</v>
      </c>
      <c r="Q48" s="285"/>
      <c r="R48" s="278"/>
      <c r="S48" s="278"/>
      <c r="T48" s="278"/>
    </row>
    <row r="49" spans="1:20" s="305" customFormat="1" ht="21.75" hidden="1" customHeight="1" outlineLevel="1" x14ac:dyDescent="0.25">
      <c r="A49" s="278"/>
      <c r="B49" s="279" t="str">
        <f t="shared" si="2"/>
        <v>21001500AL/SLW</v>
      </c>
      <c r="C49" s="278">
        <v>2100</v>
      </c>
      <c r="D49" s="278">
        <v>1500</v>
      </c>
      <c r="E49" s="278" t="s">
        <v>951</v>
      </c>
      <c r="F49" s="278"/>
      <c r="G49" s="278" t="s">
        <v>5</v>
      </c>
      <c r="H49" s="290">
        <v>4</v>
      </c>
      <c r="I49" s="280">
        <f t="shared" si="1"/>
        <v>322.48</v>
      </c>
      <c r="J49" s="281">
        <f t="shared" si="3"/>
        <v>365.72</v>
      </c>
      <c r="K49" s="282">
        <f>IF(Notes!$B$9="Domestic",I49, IF(Notes!$B$9="Commercial",J49))*$K$5</f>
        <v>365.72</v>
      </c>
      <c r="L49" s="283">
        <f>(SUM(O49:Q49)+(K49+SUM(M49:Q49))*(INDEX($U$5:$AB$5,MATCH(Notes!$C$16,$U$3:$AB$3,0))-100%))*$L$5</f>
        <v>1037.9159999999999</v>
      </c>
      <c r="M49" s="286"/>
      <c r="N49" s="286"/>
      <c r="O49" s="285">
        <v>627.03</v>
      </c>
      <c r="P49" s="311">
        <f t="shared" si="4"/>
        <v>410.88599999999997</v>
      </c>
      <c r="Q49" s="285"/>
      <c r="R49" s="278"/>
      <c r="S49" s="278"/>
      <c r="T49" s="278"/>
    </row>
    <row r="50" spans="1:20" s="305" customFormat="1" ht="21.75" hidden="1" customHeight="1" outlineLevel="1" x14ac:dyDescent="0.25">
      <c r="A50" s="278"/>
      <c r="B50" s="279" t="str">
        <f t="shared" si="2"/>
        <v>21001800AL/SLW</v>
      </c>
      <c r="C50" s="278">
        <v>2100</v>
      </c>
      <c r="D50" s="278">
        <v>1800</v>
      </c>
      <c r="E50" s="278" t="s">
        <v>951</v>
      </c>
      <c r="F50" s="278"/>
      <c r="G50" s="278" t="s">
        <v>5</v>
      </c>
      <c r="H50" s="290">
        <v>4</v>
      </c>
      <c r="I50" s="280">
        <f t="shared" si="1"/>
        <v>322.48</v>
      </c>
      <c r="J50" s="281">
        <f t="shared" si="3"/>
        <v>365.72</v>
      </c>
      <c r="K50" s="282">
        <f>IF(Notes!$B$9="Domestic",I50, IF(Notes!$B$9="Commercial",J50))*$K$5</f>
        <v>365.72</v>
      </c>
      <c r="L50" s="283">
        <f>(SUM(O50:Q50)+(K50+SUM(M50:Q50))*(INDEX($U$5:$AB$5,MATCH(Notes!$C$16,$U$3:$AB$3,0))-100%))*$L$5</f>
        <v>1185.0931999999998</v>
      </c>
      <c r="M50" s="286"/>
      <c r="N50" s="286"/>
      <c r="O50" s="285">
        <v>692.03</v>
      </c>
      <c r="P50" s="311">
        <f t="shared" si="4"/>
        <v>493.06319999999994</v>
      </c>
      <c r="Q50" s="285"/>
      <c r="R50" s="278"/>
      <c r="S50" s="278"/>
      <c r="T50" s="278"/>
    </row>
    <row r="51" spans="1:20" s="305" customFormat="1" ht="21.75" hidden="1" customHeight="1" outlineLevel="1" x14ac:dyDescent="0.25">
      <c r="A51" s="278"/>
      <c r="B51" s="279" t="str">
        <f t="shared" si="2"/>
        <v>21002100AL/SLW</v>
      </c>
      <c r="C51" s="278">
        <v>2100</v>
      </c>
      <c r="D51" s="278">
        <v>2100</v>
      </c>
      <c r="E51" s="278" t="s">
        <v>951</v>
      </c>
      <c r="F51" s="278"/>
      <c r="G51" s="278" t="s">
        <v>5</v>
      </c>
      <c r="H51" s="290">
        <v>5</v>
      </c>
      <c r="I51" s="280">
        <f t="shared" si="1"/>
        <v>403.1</v>
      </c>
      <c r="J51" s="281">
        <f t="shared" si="3"/>
        <v>457.15000000000003</v>
      </c>
      <c r="K51" s="282">
        <f>IF(Notes!$B$9="Domestic",I51, IF(Notes!$B$9="Commercial",J51))*$K$5</f>
        <v>457.15000000000003</v>
      </c>
      <c r="L51" s="283">
        <f>(SUM(O51:Q51)+(K51+SUM(M51:Q51))*(INDEX($U$5:$AB$5,MATCH(Notes!$C$16,$U$3:$AB$3,0))-100%))*$L$5</f>
        <v>1316.9404</v>
      </c>
      <c r="M51" s="286"/>
      <c r="N51" s="286"/>
      <c r="O51" s="285">
        <v>741.7</v>
      </c>
      <c r="P51" s="311">
        <f t="shared" si="4"/>
        <v>575.24039999999991</v>
      </c>
      <c r="Q51" s="285"/>
      <c r="R51" s="278"/>
      <c r="S51" s="278"/>
      <c r="T51" s="278"/>
    </row>
    <row r="52" spans="1:20" s="305" customFormat="1" ht="21.75" hidden="1" customHeight="1" outlineLevel="1" x14ac:dyDescent="0.25">
      <c r="A52" s="278"/>
      <c r="B52" s="279" t="str">
        <f t="shared" si="2"/>
        <v>21002400AL/SLW</v>
      </c>
      <c r="C52" s="278">
        <v>2100</v>
      </c>
      <c r="D52" s="278">
        <v>2400</v>
      </c>
      <c r="E52" s="278" t="s">
        <v>951</v>
      </c>
      <c r="F52" s="278"/>
      <c r="G52" s="278" t="s">
        <v>5</v>
      </c>
      <c r="H52" s="290">
        <v>5</v>
      </c>
      <c r="I52" s="280">
        <f t="shared" si="1"/>
        <v>403.1</v>
      </c>
      <c r="J52" s="281">
        <f t="shared" si="3"/>
        <v>457.15000000000003</v>
      </c>
      <c r="K52" s="282">
        <f>IF(Notes!$B$9="Domestic",I52, IF(Notes!$B$9="Commercial",J52))*$K$5</f>
        <v>457.15000000000003</v>
      </c>
      <c r="L52" s="283">
        <f>(SUM(O52:Q52)+(K52+SUM(M52:Q52))*(INDEX($U$5:$AB$5,MATCH(Notes!$C$16,$U$3:$AB$3,0))-100%))*$L$5</f>
        <v>1538.2676000000001</v>
      </c>
      <c r="M52" s="286"/>
      <c r="N52" s="286"/>
      <c r="O52" s="285">
        <v>880.85</v>
      </c>
      <c r="P52" s="311">
        <f t="shared" si="4"/>
        <v>657.41759999999999</v>
      </c>
      <c r="Q52" s="285"/>
      <c r="R52" s="278"/>
      <c r="S52" s="278"/>
      <c r="T52" s="278"/>
    </row>
    <row r="53" spans="1:20" s="305" customFormat="1" ht="21.75" hidden="1" customHeight="1" outlineLevel="1" x14ac:dyDescent="0.25">
      <c r="A53" s="278"/>
      <c r="B53" s="279" t="str">
        <f t="shared" si="2"/>
        <v>21002700AL/SLW</v>
      </c>
      <c r="C53" s="278">
        <v>2100</v>
      </c>
      <c r="D53" s="278">
        <v>2700</v>
      </c>
      <c r="E53" s="278" t="s">
        <v>951</v>
      </c>
      <c r="F53" s="278"/>
      <c r="G53" s="278" t="s">
        <v>5</v>
      </c>
      <c r="H53" s="290">
        <v>6</v>
      </c>
      <c r="I53" s="280">
        <f t="shared" si="1"/>
        <v>483.72</v>
      </c>
      <c r="J53" s="281">
        <f t="shared" si="3"/>
        <v>548.58000000000004</v>
      </c>
      <c r="K53" s="282">
        <f>IF(Notes!$B$9="Domestic",I53, IF(Notes!$B$9="Commercial",J53))*$K$5</f>
        <v>548.58000000000004</v>
      </c>
      <c r="L53" s="283">
        <f>(SUM(O53:Q53)+(K53+SUM(M53:Q53))*(INDEX($U$5:$AB$5,MATCH(Notes!$C$16,$U$3:$AB$3,0))-100%))*$L$5</f>
        <v>1646.9348</v>
      </c>
      <c r="M53" s="286"/>
      <c r="N53" s="286"/>
      <c r="O53" s="285">
        <v>907.34</v>
      </c>
      <c r="P53" s="311">
        <f t="shared" si="4"/>
        <v>739.59479999999996</v>
      </c>
      <c r="Q53" s="285"/>
      <c r="R53" s="278"/>
      <c r="S53" s="278"/>
      <c r="T53" s="278"/>
    </row>
    <row r="54" spans="1:20" s="305" customFormat="1" ht="21.75" hidden="1" customHeight="1" outlineLevel="1" x14ac:dyDescent="0.25">
      <c r="A54" s="278"/>
      <c r="B54" s="279" t="str">
        <f t="shared" si="2"/>
        <v>2400600AL/SLW</v>
      </c>
      <c r="C54" s="278">
        <v>2400</v>
      </c>
      <c r="D54" s="278">
        <v>600</v>
      </c>
      <c r="E54" s="278" t="s">
        <v>951</v>
      </c>
      <c r="F54" s="278"/>
      <c r="G54" s="278" t="s">
        <v>5</v>
      </c>
      <c r="H54" s="290">
        <v>2</v>
      </c>
      <c r="I54" s="280">
        <f t="shared" si="1"/>
        <v>161.24</v>
      </c>
      <c r="J54" s="281">
        <f t="shared" si="3"/>
        <v>182.86</v>
      </c>
      <c r="K54" s="282">
        <f>IF(Notes!$B$9="Domestic",I54, IF(Notes!$B$9="Commercial",J54))*$K$5</f>
        <v>182.86</v>
      </c>
      <c r="L54" s="283">
        <f>(SUM(O54:Q54)+(K54+SUM(M54:Q54))*(INDEX($U$5:$AB$5,MATCH(Notes!$C$16,$U$3:$AB$3,0))-100%))*$L$5</f>
        <v>665.53359999999998</v>
      </c>
      <c r="M54" s="286"/>
      <c r="N54" s="286"/>
      <c r="O54" s="285">
        <v>477.7</v>
      </c>
      <c r="P54" s="311">
        <f t="shared" si="4"/>
        <v>187.83359999999999</v>
      </c>
      <c r="Q54" s="285"/>
      <c r="R54" s="278"/>
      <c r="S54" s="278"/>
      <c r="T54" s="278"/>
    </row>
    <row r="55" spans="1:20" s="305" customFormat="1" ht="21.75" hidden="1" customHeight="1" outlineLevel="1" x14ac:dyDescent="0.25">
      <c r="A55" s="278"/>
      <c r="B55" s="279" t="str">
        <f t="shared" si="2"/>
        <v>2400900AL/SLW</v>
      </c>
      <c r="C55" s="278">
        <v>2400</v>
      </c>
      <c r="D55" s="278">
        <v>900</v>
      </c>
      <c r="E55" s="278" t="s">
        <v>951</v>
      </c>
      <c r="F55" s="278"/>
      <c r="G55" s="278" t="s">
        <v>5</v>
      </c>
      <c r="H55" s="290">
        <v>3</v>
      </c>
      <c r="I55" s="280">
        <f t="shared" si="1"/>
        <v>241.86</v>
      </c>
      <c r="J55" s="281">
        <f t="shared" si="3"/>
        <v>274.29000000000002</v>
      </c>
      <c r="K55" s="282">
        <f>IF(Notes!$B$9="Domestic",I55, IF(Notes!$B$9="Commercial",J55))*$K$5</f>
        <v>274.29000000000002</v>
      </c>
      <c r="L55" s="283">
        <f>(SUM(O55:Q55)+(K55+SUM(M55:Q55))*(INDEX($U$5:$AB$5,MATCH(Notes!$C$16,$U$3:$AB$3,0))-100%))*$L$5</f>
        <v>811.22039999999993</v>
      </c>
      <c r="M55" s="286"/>
      <c r="N55" s="286"/>
      <c r="O55" s="285">
        <v>529.47</v>
      </c>
      <c r="P55" s="311">
        <f t="shared" si="4"/>
        <v>281.75039999999996</v>
      </c>
      <c r="Q55" s="285"/>
      <c r="R55" s="278"/>
      <c r="S55" s="278"/>
      <c r="T55" s="278"/>
    </row>
    <row r="56" spans="1:20" s="305" customFormat="1" ht="21.75" hidden="1" customHeight="1" outlineLevel="1" x14ac:dyDescent="0.25">
      <c r="A56" s="278"/>
      <c r="B56" s="279" t="str">
        <f t="shared" si="2"/>
        <v>24001200AL/SLW</v>
      </c>
      <c r="C56" s="278">
        <v>2400</v>
      </c>
      <c r="D56" s="278">
        <v>1200</v>
      </c>
      <c r="E56" s="278" t="s">
        <v>951</v>
      </c>
      <c r="F56" s="278"/>
      <c r="G56" s="278" t="s">
        <v>5</v>
      </c>
      <c r="H56" s="290">
        <v>3</v>
      </c>
      <c r="I56" s="280">
        <f t="shared" si="1"/>
        <v>241.86</v>
      </c>
      <c r="J56" s="281">
        <f t="shared" si="3"/>
        <v>274.29000000000002</v>
      </c>
      <c r="K56" s="282">
        <f>IF(Notes!$B$9="Domestic",I56, IF(Notes!$B$9="Commercial",J56))*$K$5</f>
        <v>274.29000000000002</v>
      </c>
      <c r="L56" s="283">
        <f>(SUM(O56:Q56)+(K56+SUM(M56:Q56))*(INDEX($U$5:$AB$5,MATCH(Notes!$C$16,$U$3:$AB$3,0))-100%))*$L$5</f>
        <v>970.24720000000002</v>
      </c>
      <c r="M56" s="286"/>
      <c r="N56" s="286"/>
      <c r="O56" s="285">
        <v>594.58000000000004</v>
      </c>
      <c r="P56" s="311">
        <f t="shared" si="4"/>
        <v>375.66719999999998</v>
      </c>
      <c r="Q56" s="285"/>
      <c r="R56" s="278"/>
      <c r="S56" s="278"/>
      <c r="T56" s="278"/>
    </row>
    <row r="57" spans="1:20" s="305" customFormat="1" ht="21.75" hidden="1" customHeight="1" outlineLevel="1" x14ac:dyDescent="0.25">
      <c r="A57" s="278"/>
      <c r="B57" s="279" t="str">
        <f t="shared" si="2"/>
        <v>24001500AL/SLW</v>
      </c>
      <c r="C57" s="278">
        <v>2400</v>
      </c>
      <c r="D57" s="278">
        <v>1500</v>
      </c>
      <c r="E57" s="278" t="s">
        <v>951</v>
      </c>
      <c r="F57" s="278"/>
      <c r="G57" s="278" t="s">
        <v>5</v>
      </c>
      <c r="H57" s="290">
        <v>4</v>
      </c>
      <c r="I57" s="280">
        <f t="shared" si="1"/>
        <v>322.48</v>
      </c>
      <c r="J57" s="281">
        <f t="shared" si="3"/>
        <v>365.72</v>
      </c>
      <c r="K57" s="282">
        <f>IF(Notes!$B$9="Domestic",I57, IF(Notes!$B$9="Commercial",J57))*$K$5</f>
        <v>365.72</v>
      </c>
      <c r="L57" s="283">
        <f>(SUM(O57:Q57)+(K57+SUM(M57:Q57))*(INDEX($U$5:$AB$5,MATCH(Notes!$C$16,$U$3:$AB$3,0))-100%))*$L$5</f>
        <v>1129.634</v>
      </c>
      <c r="M57" s="286"/>
      <c r="N57" s="286"/>
      <c r="O57" s="285">
        <v>660.05</v>
      </c>
      <c r="P57" s="311">
        <f t="shared" si="4"/>
        <v>469.584</v>
      </c>
      <c r="Q57" s="285"/>
      <c r="R57" s="278"/>
      <c r="S57" s="278"/>
      <c r="T57" s="278"/>
    </row>
    <row r="58" spans="1:20" s="305" customFormat="1" ht="21.75" hidden="1" customHeight="1" outlineLevel="1" x14ac:dyDescent="0.25">
      <c r="A58" s="278"/>
      <c r="B58" s="279" t="str">
        <f t="shared" si="2"/>
        <v>24001800AL/SLW</v>
      </c>
      <c r="C58" s="278">
        <v>2400</v>
      </c>
      <c r="D58" s="278">
        <v>1800</v>
      </c>
      <c r="E58" s="278" t="s">
        <v>951</v>
      </c>
      <c r="F58" s="278"/>
      <c r="G58" s="278" t="s">
        <v>5</v>
      </c>
      <c r="H58" s="290">
        <v>5</v>
      </c>
      <c r="I58" s="280">
        <f t="shared" si="1"/>
        <v>403.1</v>
      </c>
      <c r="J58" s="281">
        <f t="shared" si="3"/>
        <v>457.15000000000003</v>
      </c>
      <c r="K58" s="282">
        <f>IF(Notes!$B$9="Domestic",I58, IF(Notes!$B$9="Commercial",J58))*$K$5</f>
        <v>457.15000000000003</v>
      </c>
      <c r="L58" s="283">
        <f>(SUM(O58:Q58)+(K58+SUM(M58:Q58))*(INDEX($U$5:$AB$5,MATCH(Notes!$C$16,$U$3:$AB$3,0))-100%))*$L$5</f>
        <v>1289.0207999999998</v>
      </c>
      <c r="M58" s="286"/>
      <c r="N58" s="286"/>
      <c r="O58" s="285">
        <v>725.52</v>
      </c>
      <c r="P58" s="311">
        <f t="shared" si="4"/>
        <v>563.50079999999991</v>
      </c>
      <c r="Q58" s="285"/>
      <c r="R58" s="278"/>
      <c r="S58" s="278"/>
      <c r="T58" s="278"/>
    </row>
    <row r="59" spans="1:20" s="305" customFormat="1" ht="21.75" hidden="1" customHeight="1" outlineLevel="1" x14ac:dyDescent="0.25">
      <c r="A59" s="278"/>
      <c r="B59" s="279" t="str">
        <f t="shared" si="2"/>
        <v>24002100AL/SLW</v>
      </c>
      <c r="C59" s="278">
        <v>2400</v>
      </c>
      <c r="D59" s="278">
        <v>2100</v>
      </c>
      <c r="E59" s="278" t="s">
        <v>951</v>
      </c>
      <c r="F59" s="278"/>
      <c r="G59" s="278" t="s">
        <v>5</v>
      </c>
      <c r="H59" s="290">
        <v>5</v>
      </c>
      <c r="I59" s="280">
        <f t="shared" si="1"/>
        <v>403.1</v>
      </c>
      <c r="J59" s="281">
        <f t="shared" si="3"/>
        <v>457.15000000000003</v>
      </c>
      <c r="K59" s="282">
        <f>IF(Notes!$B$9="Domestic",I59, IF(Notes!$B$9="Commercial",J59))*$K$5</f>
        <v>457.15000000000003</v>
      </c>
      <c r="L59" s="283">
        <f>(SUM(O59:Q59)+(K59+SUM(M59:Q59))*(INDEX($U$5:$AB$5,MATCH(Notes!$C$16,$U$3:$AB$3,0))-100%))*$L$5</f>
        <v>1402.3776</v>
      </c>
      <c r="M59" s="286"/>
      <c r="N59" s="286"/>
      <c r="O59" s="285">
        <v>744.96</v>
      </c>
      <c r="P59" s="311">
        <f t="shared" si="4"/>
        <v>657.41759999999999</v>
      </c>
      <c r="Q59" s="285"/>
      <c r="R59" s="278"/>
      <c r="S59" s="278"/>
      <c r="T59" s="278"/>
    </row>
    <row r="60" spans="1:20" s="305" customFormat="1" ht="21.75" hidden="1" customHeight="1" outlineLevel="1" x14ac:dyDescent="0.25">
      <c r="A60" s="278"/>
      <c r="B60" s="279" t="str">
        <f t="shared" si="2"/>
        <v>24002400AL/SLW</v>
      </c>
      <c r="C60" s="278">
        <v>2400</v>
      </c>
      <c r="D60" s="278">
        <v>2400</v>
      </c>
      <c r="E60" s="278" t="s">
        <v>951</v>
      </c>
      <c r="F60" s="278"/>
      <c r="G60" s="278" t="s">
        <v>5</v>
      </c>
      <c r="H60" s="290">
        <v>6</v>
      </c>
      <c r="I60" s="280">
        <f t="shared" si="1"/>
        <v>483.72</v>
      </c>
      <c r="J60" s="281">
        <f t="shared" si="3"/>
        <v>548.58000000000004</v>
      </c>
      <c r="K60" s="282">
        <f>IF(Notes!$B$9="Domestic",I60, IF(Notes!$B$9="Commercial",J60))*$K$5</f>
        <v>548.58000000000004</v>
      </c>
      <c r="L60" s="283">
        <f>(SUM(O60:Q60)+(K60+SUM(M60:Q60))*(INDEX($U$5:$AB$5,MATCH(Notes!$C$16,$U$3:$AB$3,0))-100%))*$L$5</f>
        <v>1691.0214000000001</v>
      </c>
      <c r="M60" s="286"/>
      <c r="N60" s="286"/>
      <c r="O60" s="285">
        <f>894.94*1.05</f>
        <v>939.68700000000013</v>
      </c>
      <c r="P60" s="311">
        <f t="shared" si="4"/>
        <v>751.33439999999996</v>
      </c>
      <c r="Q60" s="285"/>
      <c r="R60" s="278"/>
      <c r="S60" s="278"/>
      <c r="T60" s="278"/>
    </row>
    <row r="61" spans="1:20" s="305" customFormat="1" ht="21.75" hidden="1" customHeight="1" outlineLevel="1" x14ac:dyDescent="0.25">
      <c r="A61" s="278"/>
      <c r="B61" s="279" t="str">
        <f t="shared" si="2"/>
        <v>24002700AL/SLW</v>
      </c>
      <c r="C61" s="278">
        <v>2400</v>
      </c>
      <c r="D61" s="278">
        <v>2700</v>
      </c>
      <c r="E61" s="278" t="s">
        <v>951</v>
      </c>
      <c r="F61" s="278"/>
      <c r="G61" s="278" t="s">
        <v>5</v>
      </c>
      <c r="H61" s="290">
        <v>6</v>
      </c>
      <c r="I61" s="280">
        <f t="shared" si="1"/>
        <v>483.72</v>
      </c>
      <c r="J61" s="281">
        <f t="shared" si="3"/>
        <v>548.58000000000004</v>
      </c>
      <c r="K61" s="282">
        <f>IF(Notes!$B$9="Domestic",I61, IF(Notes!$B$9="Commercial",J61))*$K$5</f>
        <v>548.58000000000004</v>
      </c>
      <c r="L61" s="283">
        <f>(SUM(O61:Q61)+(K61+SUM(M61:Q61))*(INDEX($U$5:$AB$5,MATCH(Notes!$C$16,$U$3:$AB$3,0))-100%))*$L$5</f>
        <v>1808.9517000000001</v>
      </c>
      <c r="M61" s="286"/>
      <c r="N61" s="286"/>
      <c r="O61" s="285">
        <f>917.81*1.05</f>
        <v>963.70050000000003</v>
      </c>
      <c r="P61" s="311">
        <f t="shared" si="4"/>
        <v>845.25119999999993</v>
      </c>
      <c r="Q61" s="285"/>
      <c r="R61" s="278"/>
      <c r="S61" s="278"/>
      <c r="T61" s="278"/>
    </row>
    <row r="62" spans="1:20" s="305" customFormat="1" ht="21.75" hidden="1" customHeight="1" outlineLevel="1" x14ac:dyDescent="0.25">
      <c r="A62" s="278"/>
      <c r="B62" s="279" t="str">
        <f t="shared" si="2"/>
        <v>2700600AL/SLW</v>
      </c>
      <c r="C62" s="278">
        <v>2700</v>
      </c>
      <c r="D62" s="278">
        <v>600</v>
      </c>
      <c r="E62" s="278" t="s">
        <v>951</v>
      </c>
      <c r="F62" s="278"/>
      <c r="G62" s="278" t="s">
        <v>5</v>
      </c>
      <c r="H62" s="290">
        <v>2</v>
      </c>
      <c r="I62" s="280">
        <f t="shared" si="1"/>
        <v>161.24</v>
      </c>
      <c r="J62" s="281">
        <f t="shared" si="3"/>
        <v>182.86</v>
      </c>
      <c r="K62" s="282">
        <f>IF(Notes!$B$9="Domestic",I62, IF(Notes!$B$9="Commercial",J62))*$K$5</f>
        <v>182.86</v>
      </c>
      <c r="L62" s="283">
        <f>(SUM(O62:Q62)+(K62+SUM(M62:Q62))*(INDEX($U$5:$AB$5,MATCH(Notes!$C$16,$U$3:$AB$3,0))-100%))*$L$5</f>
        <v>734.35279999999989</v>
      </c>
      <c r="M62" s="286"/>
      <c r="N62" s="286"/>
      <c r="O62" s="311">
        <f>O54+O54-O46</f>
        <v>523.04</v>
      </c>
      <c r="P62" s="311">
        <f t="shared" si="4"/>
        <v>211.31279999999998</v>
      </c>
      <c r="Q62" s="285"/>
      <c r="R62" s="278"/>
      <c r="S62" s="278"/>
      <c r="T62" s="278"/>
    </row>
    <row r="63" spans="1:20" s="305" customFormat="1" ht="21.75" hidden="1" customHeight="1" outlineLevel="1" x14ac:dyDescent="0.25">
      <c r="A63" s="278"/>
      <c r="B63" s="279" t="str">
        <f t="shared" si="2"/>
        <v>2700900AL/SLW</v>
      </c>
      <c r="C63" s="278">
        <v>2700</v>
      </c>
      <c r="D63" s="278">
        <v>900</v>
      </c>
      <c r="E63" s="278" t="s">
        <v>951</v>
      </c>
      <c r="F63" s="278"/>
      <c r="G63" s="278" t="s">
        <v>5</v>
      </c>
      <c r="H63" s="290">
        <v>3</v>
      </c>
      <c r="I63" s="280">
        <f t="shared" si="1"/>
        <v>241.86</v>
      </c>
      <c r="J63" s="281">
        <f t="shared" si="3"/>
        <v>274.29000000000002</v>
      </c>
      <c r="K63" s="282">
        <f>IF(Notes!$B$9="Domestic",I63, IF(Notes!$B$9="Commercial",J63))*$K$5</f>
        <v>274.29000000000002</v>
      </c>
      <c r="L63" s="283">
        <f>(SUM(O63:Q63)+(K63+SUM(M63:Q63))*(INDEX($U$5:$AB$5,MATCH(Notes!$C$16,$U$3:$AB$3,0))-100%))*$L$5</f>
        <v>893.87920000000008</v>
      </c>
      <c r="M63" s="286"/>
      <c r="N63" s="286"/>
      <c r="O63" s="311">
        <f t="shared" ref="O63:O69" si="7">O55+O55-O47</f>
        <v>576.91000000000008</v>
      </c>
      <c r="P63" s="311">
        <f t="shared" si="4"/>
        <v>316.9692</v>
      </c>
      <c r="Q63" s="285"/>
      <c r="R63" s="278"/>
      <c r="S63" s="278"/>
      <c r="T63" s="278"/>
    </row>
    <row r="64" spans="1:20" s="305" customFormat="1" ht="21.75" hidden="1" customHeight="1" outlineLevel="1" x14ac:dyDescent="0.25">
      <c r="A64" s="278"/>
      <c r="B64" s="279" t="str">
        <f t="shared" si="2"/>
        <v>27001200AL/SLW</v>
      </c>
      <c r="C64" s="278">
        <v>2700</v>
      </c>
      <c r="D64" s="278">
        <v>1200</v>
      </c>
      <c r="E64" s="278" t="s">
        <v>951</v>
      </c>
      <c r="F64" s="278"/>
      <c r="G64" s="278" t="s">
        <v>5</v>
      </c>
      <c r="H64" s="290">
        <v>3</v>
      </c>
      <c r="I64" s="280">
        <f t="shared" si="1"/>
        <v>241.86</v>
      </c>
      <c r="J64" s="281">
        <f t="shared" si="3"/>
        <v>274.29000000000002</v>
      </c>
      <c r="K64" s="282">
        <f>IF(Notes!$B$9="Domestic",I64, IF(Notes!$B$9="Commercial",J64))*$K$5</f>
        <v>274.29000000000002</v>
      </c>
      <c r="L64" s="283">
        <f>(SUM(O64:Q64)+(K64+SUM(M64:Q64))*(INDEX($U$5:$AB$5,MATCH(Notes!$C$16,$U$3:$AB$3,0))-100%))*$L$5</f>
        <v>1065.1056000000001</v>
      </c>
      <c r="M64" s="286"/>
      <c r="N64" s="286"/>
      <c r="O64" s="311">
        <f t="shared" si="7"/>
        <v>642.48000000000013</v>
      </c>
      <c r="P64" s="311">
        <f t="shared" si="4"/>
        <v>422.62559999999996</v>
      </c>
      <c r="Q64" s="285"/>
      <c r="R64" s="278"/>
      <c r="S64" s="278"/>
      <c r="T64" s="278"/>
    </row>
    <row r="65" spans="1:28" s="305" customFormat="1" ht="21.75" hidden="1" customHeight="1" outlineLevel="1" x14ac:dyDescent="0.25">
      <c r="A65" s="278"/>
      <c r="B65" s="279" t="str">
        <f t="shared" si="2"/>
        <v>27001500AL/SLW</v>
      </c>
      <c r="C65" s="278">
        <v>2700</v>
      </c>
      <c r="D65" s="278">
        <v>1500</v>
      </c>
      <c r="E65" s="278" t="s">
        <v>951</v>
      </c>
      <c r="F65" s="278"/>
      <c r="G65" s="278" t="s">
        <v>5</v>
      </c>
      <c r="H65" s="290">
        <v>4</v>
      </c>
      <c r="I65" s="280">
        <f t="shared" si="1"/>
        <v>322.48</v>
      </c>
      <c r="J65" s="281">
        <f t="shared" si="3"/>
        <v>365.72</v>
      </c>
      <c r="K65" s="282">
        <f>IF(Notes!$B$9="Domestic",I65, IF(Notes!$B$9="Commercial",J65))*$K$5</f>
        <v>365.72</v>
      </c>
      <c r="L65" s="283">
        <f>(SUM(O65:Q65)+(K65+SUM(M65:Q65))*(INDEX($U$5:$AB$5,MATCH(Notes!$C$16,$U$3:$AB$3,0))-100%))*$L$5</f>
        <v>1221.3519999999999</v>
      </c>
      <c r="M65" s="286"/>
      <c r="N65" s="286"/>
      <c r="O65" s="311">
        <f t="shared" si="7"/>
        <v>693.06999999999994</v>
      </c>
      <c r="P65" s="311">
        <f t="shared" si="4"/>
        <v>528.28200000000004</v>
      </c>
      <c r="Q65" s="285"/>
      <c r="R65" s="278"/>
      <c r="S65" s="278"/>
      <c r="T65" s="278"/>
    </row>
    <row r="66" spans="1:28" s="305" customFormat="1" ht="21.75" hidden="1" customHeight="1" outlineLevel="1" x14ac:dyDescent="0.25">
      <c r="A66" s="278"/>
      <c r="B66" s="279" t="str">
        <f t="shared" si="2"/>
        <v>27001800AL/SLW</v>
      </c>
      <c r="C66" s="278">
        <v>2700</v>
      </c>
      <c r="D66" s="278">
        <v>1800</v>
      </c>
      <c r="E66" s="278" t="s">
        <v>951</v>
      </c>
      <c r="F66" s="278"/>
      <c r="G66" s="278" t="s">
        <v>5</v>
      </c>
      <c r="H66" s="290">
        <v>5</v>
      </c>
      <c r="I66" s="280">
        <f t="shared" si="1"/>
        <v>403.1</v>
      </c>
      <c r="J66" s="281">
        <f t="shared" si="3"/>
        <v>457.15000000000003</v>
      </c>
      <c r="K66" s="282">
        <f>IF(Notes!$B$9="Domestic",I66, IF(Notes!$B$9="Commercial",J66))*$K$5</f>
        <v>457.15000000000003</v>
      </c>
      <c r="L66" s="283">
        <f>(SUM(O66:Q66)+(K66+SUM(M66:Q66))*(INDEX($U$5:$AB$5,MATCH(Notes!$C$16,$U$3:$AB$3,0))-100%))*$L$5</f>
        <v>1392.9484</v>
      </c>
      <c r="M66" s="286"/>
      <c r="N66" s="286"/>
      <c r="O66" s="311">
        <f t="shared" si="7"/>
        <v>759.01</v>
      </c>
      <c r="P66" s="311">
        <f t="shared" si="4"/>
        <v>633.9384</v>
      </c>
      <c r="Q66" s="285"/>
      <c r="R66" s="278"/>
      <c r="S66" s="278"/>
      <c r="T66" s="278"/>
    </row>
    <row r="67" spans="1:28" s="305" customFormat="1" ht="21.75" hidden="1" customHeight="1" outlineLevel="1" x14ac:dyDescent="0.25">
      <c r="A67" s="278"/>
      <c r="B67" s="279" t="str">
        <f t="shared" si="2"/>
        <v>27002100AL/SLW</v>
      </c>
      <c r="C67" s="278">
        <v>2700</v>
      </c>
      <c r="D67" s="278">
        <v>2100</v>
      </c>
      <c r="E67" s="278" t="s">
        <v>951</v>
      </c>
      <c r="F67" s="278"/>
      <c r="G67" s="278" t="s">
        <v>5</v>
      </c>
      <c r="H67" s="290">
        <v>5</v>
      </c>
      <c r="I67" s="280">
        <f t="shared" si="1"/>
        <v>403.1</v>
      </c>
      <c r="J67" s="281">
        <f t="shared" si="3"/>
        <v>457.15000000000003</v>
      </c>
      <c r="K67" s="282">
        <f>IF(Notes!$B$9="Domestic",I67, IF(Notes!$B$9="Commercial",J67))*$K$5</f>
        <v>457.15000000000003</v>
      </c>
      <c r="L67" s="283">
        <f>(SUM(O67:Q67)+(K67+SUM(M67:Q67))*(INDEX($U$5:$AB$5,MATCH(Notes!$C$16,$U$3:$AB$3,0))-100%))*$L$5</f>
        <v>1487.8148000000001</v>
      </c>
      <c r="M67" s="286"/>
      <c r="N67" s="286"/>
      <c r="O67" s="311">
        <f t="shared" si="7"/>
        <v>748.22</v>
      </c>
      <c r="P67" s="311">
        <f t="shared" si="4"/>
        <v>739.59479999999996</v>
      </c>
      <c r="Q67" s="285"/>
      <c r="R67" s="278"/>
      <c r="S67" s="278"/>
      <c r="T67" s="278"/>
    </row>
    <row r="68" spans="1:28" s="305" customFormat="1" ht="21.75" hidden="1" customHeight="1" outlineLevel="1" x14ac:dyDescent="0.25">
      <c r="A68" s="278"/>
      <c r="B68" s="279" t="str">
        <f t="shared" si="2"/>
        <v>27002400AL/SLW</v>
      </c>
      <c r="C68" s="278">
        <v>2700</v>
      </c>
      <c r="D68" s="278">
        <v>2400</v>
      </c>
      <c r="E68" s="278" t="s">
        <v>951</v>
      </c>
      <c r="F68" s="278"/>
      <c r="G68" s="278" t="s">
        <v>5</v>
      </c>
      <c r="H68" s="290">
        <v>6</v>
      </c>
      <c r="I68" s="280">
        <f t="shared" si="1"/>
        <v>483.72</v>
      </c>
      <c r="J68" s="281">
        <f t="shared" si="3"/>
        <v>548.58000000000004</v>
      </c>
      <c r="K68" s="282">
        <f>IF(Notes!$B$9="Domestic",I68, IF(Notes!$B$9="Commercial",J68))*$K$5</f>
        <v>548.58000000000004</v>
      </c>
      <c r="L68" s="283">
        <f>(SUM(O68:Q68)+(K68+SUM(M68:Q68))*(INDEX($U$5:$AB$5,MATCH(Notes!$C$16,$U$3:$AB$3,0))-100%))*$L$5</f>
        <v>1843.7752</v>
      </c>
      <c r="M68" s="286"/>
      <c r="N68" s="286"/>
      <c r="O68" s="311">
        <f t="shared" si="7"/>
        <v>998.52400000000023</v>
      </c>
      <c r="P68" s="311">
        <f t="shared" si="4"/>
        <v>845.25119999999993</v>
      </c>
      <c r="Q68" s="285"/>
      <c r="R68" s="278"/>
      <c r="S68" s="278"/>
      <c r="T68" s="278"/>
    </row>
    <row r="69" spans="1:28" s="305" customFormat="1" ht="21.75" hidden="1" customHeight="1" outlineLevel="1" x14ac:dyDescent="0.25">
      <c r="A69" s="278"/>
      <c r="B69" s="279" t="str">
        <f t="shared" si="2"/>
        <v>27002700AL/SLW</v>
      </c>
      <c r="C69" s="278">
        <v>2700</v>
      </c>
      <c r="D69" s="278">
        <v>2700</v>
      </c>
      <c r="E69" s="278" t="s">
        <v>951</v>
      </c>
      <c r="F69" s="278"/>
      <c r="G69" s="278" t="s">
        <v>5</v>
      </c>
      <c r="H69" s="290">
        <v>6</v>
      </c>
      <c r="I69" s="280">
        <f t="shared" si="1"/>
        <v>483.72</v>
      </c>
      <c r="J69" s="281">
        <f t="shared" si="3"/>
        <v>548.58000000000004</v>
      </c>
      <c r="K69" s="282">
        <f>IF(Notes!$B$9="Domestic",I69, IF(Notes!$B$9="Commercial",J69))*$K$5</f>
        <v>548.58000000000004</v>
      </c>
      <c r="L69" s="283">
        <f>(SUM(O69:Q69)+(K69+SUM(M69:Q69))*(INDEX($U$5:$AB$5,MATCH(Notes!$C$16,$U$3:$AB$3,0))-100%))*$L$5</f>
        <v>1970.9686000000002</v>
      </c>
      <c r="M69" s="286"/>
      <c r="N69" s="286"/>
      <c r="O69" s="311">
        <f t="shared" si="7"/>
        <v>1020.061</v>
      </c>
      <c r="P69" s="311">
        <f t="shared" si="4"/>
        <v>950.9076</v>
      </c>
      <c r="Q69" s="285"/>
      <c r="R69" s="278"/>
      <c r="S69" s="278"/>
      <c r="T69" s="278"/>
    </row>
    <row r="70" spans="1:28" ht="21" hidden="1" outlineLevel="1" x14ac:dyDescent="0.25">
      <c r="A70" s="299" t="s">
        <v>139</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row>
    <row r="71" spans="1:28" ht="15.75" hidden="1" outlineLevel="1" x14ac:dyDescent="0.25">
      <c r="A71" s="291"/>
      <c r="B71" s="291"/>
      <c r="C71" s="291"/>
      <c r="D71" s="291"/>
      <c r="E71" s="291"/>
      <c r="F71" s="291"/>
      <c r="G71" s="291"/>
      <c r="H71" s="291"/>
      <c r="I71" s="291"/>
      <c r="J71" s="291"/>
      <c r="K71" s="291">
        <f>K$2</f>
        <v>1</v>
      </c>
      <c r="L71" s="291">
        <f>L$2</f>
        <v>1</v>
      </c>
      <c r="M71" s="291"/>
      <c r="N71" s="291"/>
      <c r="O71" s="303"/>
      <c r="P71" s="303"/>
      <c r="Q71" s="303"/>
      <c r="R71" s="291"/>
      <c r="S71" s="291"/>
      <c r="T71" s="291"/>
      <c r="U71" s="291">
        <f>U$2</f>
        <v>0.89965397923875434</v>
      </c>
      <c r="V71" s="291">
        <f>V$2</f>
        <v>1</v>
      </c>
      <c r="W71" s="291">
        <f t="shared" ref="W71:AB71" si="8">W$2</f>
        <v>0.92214532871972321</v>
      </c>
      <c r="X71" s="291">
        <f t="shared" si="8"/>
        <v>0.89965397923875434</v>
      </c>
      <c r="Y71" s="291">
        <f t="shared" si="8"/>
        <v>1.0069204152249136</v>
      </c>
      <c r="Z71" s="291">
        <f t="shared" si="8"/>
        <v>0.856401384083045</v>
      </c>
      <c r="AA71" s="291">
        <f t="shared" si="8"/>
        <v>0.856401384083045</v>
      </c>
      <c r="AB71" s="291">
        <f t="shared" si="8"/>
        <v>1.0121107266435987</v>
      </c>
    </row>
    <row r="72" spans="1:28" s="305" customFormat="1" ht="21.75" hidden="1" customHeight="1" outlineLevel="1" x14ac:dyDescent="0.25">
      <c r="A72" s="278"/>
      <c r="B72" s="279" t="str">
        <f>C72&amp;D72&amp;E72&amp;F72</f>
        <v>900600AL/DHW</v>
      </c>
      <c r="C72" s="278">
        <v>900</v>
      </c>
      <c r="D72" s="278">
        <v>600</v>
      </c>
      <c r="E72" s="278" t="s">
        <v>938</v>
      </c>
      <c r="F72" s="278"/>
      <c r="G72" s="278" t="s">
        <v>5</v>
      </c>
      <c r="H72" s="290">
        <v>1</v>
      </c>
      <c r="I72" s="280">
        <f>$I$2*H72</f>
        <v>80.62</v>
      </c>
      <c r="J72" s="281">
        <f>$J$2*H72</f>
        <v>91.43</v>
      </c>
      <c r="K72" s="282">
        <f>IF(Notes!$B$9="Domestic",I72, IF(Notes!$B$9="Commercial",J72))*$K$71</f>
        <v>91.43</v>
      </c>
      <c r="L72" s="283">
        <f>(SUM(O72:Q72)+(K72+SUM(M72:Q72))*(INDEX($U$71:$AB$71,MATCH(Notes!$C$16,$U$3:$AB$3,0))-100%))*$L$71</f>
        <v>371.97760000000005</v>
      </c>
      <c r="M72" s="286"/>
      <c r="N72" s="286"/>
      <c r="O72" s="285">
        <v>301.54000000000002</v>
      </c>
      <c r="P72" s="311">
        <f t="shared" ref="P72:P127" si="9">$P$2*C72/1000*D72/1000</f>
        <v>70.437600000000003</v>
      </c>
      <c r="Q72" s="285"/>
      <c r="R72" s="278">
        <v>900</v>
      </c>
      <c r="S72" s="278">
        <v>600</v>
      </c>
      <c r="T72" s="278" t="s">
        <v>938</v>
      </c>
      <c r="U72" s="304"/>
    </row>
    <row r="73" spans="1:28" s="305" customFormat="1" ht="21.75" hidden="1" customHeight="1" outlineLevel="1" x14ac:dyDescent="0.25">
      <c r="A73" s="278"/>
      <c r="B73" s="279" t="str">
        <f t="shared" ref="B73:B127" si="10">C73&amp;D73&amp;E73&amp;F73</f>
        <v>900900AL/DHW</v>
      </c>
      <c r="C73" s="278">
        <v>900</v>
      </c>
      <c r="D73" s="278">
        <v>900</v>
      </c>
      <c r="E73" s="278" t="s">
        <v>938</v>
      </c>
      <c r="F73" s="278"/>
      <c r="G73" s="278" t="s">
        <v>5</v>
      </c>
      <c r="H73" s="290">
        <v>1</v>
      </c>
      <c r="I73" s="280">
        <f>$I$2*H73</f>
        <v>80.62</v>
      </c>
      <c r="J73" s="281">
        <f t="shared" ref="J73:J127" si="11">$J$2*H73</f>
        <v>91.43</v>
      </c>
      <c r="K73" s="282">
        <f>IF(Notes!$B$9="Domestic",I73, IF(Notes!$B$9="Commercial",J73))*$K$71</f>
        <v>91.43</v>
      </c>
      <c r="L73" s="283">
        <f>(SUM(O73:Q73)+(K73+SUM(M73:Q73))*(INDEX($U$71:$AB$71,MATCH(Notes!$C$16,$U$3:$AB$3,0))-100%))*$L$71</f>
        <v>464.63639999999998</v>
      </c>
      <c r="M73" s="286"/>
      <c r="N73" s="286"/>
      <c r="O73" s="285">
        <v>358.98</v>
      </c>
      <c r="P73" s="311">
        <f t="shared" si="9"/>
        <v>105.65639999999999</v>
      </c>
      <c r="Q73" s="285"/>
      <c r="R73" s="278">
        <v>1200</v>
      </c>
      <c r="S73" s="278">
        <v>900</v>
      </c>
      <c r="T73" s="278"/>
      <c r="U73" s="304"/>
    </row>
    <row r="74" spans="1:28" s="305" customFormat="1" ht="21.75" hidden="1" customHeight="1" outlineLevel="1" x14ac:dyDescent="0.25">
      <c r="A74" s="278"/>
      <c r="B74" s="279" t="str">
        <f t="shared" si="10"/>
        <v>9001200AL/DHW</v>
      </c>
      <c r="C74" s="278">
        <v>900</v>
      </c>
      <c r="D74" s="278">
        <v>1200</v>
      </c>
      <c r="E74" s="278" t="s">
        <v>938</v>
      </c>
      <c r="F74" s="278"/>
      <c r="G74" s="278" t="s">
        <v>5</v>
      </c>
      <c r="H74" s="290">
        <v>1</v>
      </c>
      <c r="I74" s="280">
        <f t="shared" ref="I74:I127" si="12">$I$2*H74</f>
        <v>80.62</v>
      </c>
      <c r="J74" s="281">
        <f t="shared" si="11"/>
        <v>91.43</v>
      </c>
      <c r="K74" s="282">
        <f>IF(Notes!$B$9="Domestic",I74, IF(Notes!$B$9="Commercial",J74))*$K$71</f>
        <v>91.43</v>
      </c>
      <c r="L74" s="283">
        <f>(SUM(O74:Q74)+(K74+SUM(M74:Q74))*(INDEX($U$71:$AB$71,MATCH(Notes!$C$16,$U$3:$AB$3,0))-100%))*$L$71</f>
        <v>565.3252</v>
      </c>
      <c r="M74" s="286"/>
      <c r="N74" s="286"/>
      <c r="O74" s="285">
        <v>424.45</v>
      </c>
      <c r="P74" s="311">
        <f t="shared" si="9"/>
        <v>140.87520000000001</v>
      </c>
      <c r="Q74" s="285"/>
      <c r="R74" s="278">
        <v>1500</v>
      </c>
      <c r="S74" s="278">
        <v>1200</v>
      </c>
      <c r="T74" s="278"/>
      <c r="U74" s="304"/>
    </row>
    <row r="75" spans="1:28" s="305" customFormat="1" ht="21.75" hidden="1" customHeight="1" outlineLevel="1" x14ac:dyDescent="0.25">
      <c r="A75" s="278"/>
      <c r="B75" s="279" t="str">
        <f t="shared" si="10"/>
        <v>9001500AL/DHW</v>
      </c>
      <c r="C75" s="278">
        <v>900</v>
      </c>
      <c r="D75" s="278">
        <v>1500</v>
      </c>
      <c r="E75" s="278" t="s">
        <v>938</v>
      </c>
      <c r="F75" s="278"/>
      <c r="G75" s="278" t="s">
        <v>5</v>
      </c>
      <c r="H75" s="290">
        <v>2</v>
      </c>
      <c r="I75" s="280">
        <f t="shared" si="12"/>
        <v>161.24</v>
      </c>
      <c r="J75" s="281">
        <f t="shared" si="11"/>
        <v>182.86</v>
      </c>
      <c r="K75" s="282">
        <f>IF(Notes!$B$9="Domestic",I75, IF(Notes!$B$9="Commercial",J75))*$K$71</f>
        <v>182.86</v>
      </c>
      <c r="L75" s="283">
        <f>(SUM(O75:Q75)+(K75+SUM(M75:Q75))*(INDEX($U$71:$AB$71,MATCH(Notes!$C$16,$U$3:$AB$3,0))-100%))*$L$71</f>
        <v>646.00400000000002</v>
      </c>
      <c r="M75" s="286"/>
      <c r="N75" s="286"/>
      <c r="O75" s="285">
        <v>469.91</v>
      </c>
      <c r="P75" s="311">
        <f t="shared" si="9"/>
        <v>176.09399999999999</v>
      </c>
      <c r="Q75" s="285"/>
      <c r="R75" s="278">
        <v>1800</v>
      </c>
      <c r="S75" s="278">
        <v>1500</v>
      </c>
      <c r="T75" s="278"/>
      <c r="U75" s="304"/>
    </row>
    <row r="76" spans="1:28" s="305" customFormat="1" ht="21.75" hidden="1" customHeight="1" outlineLevel="1" x14ac:dyDescent="0.25">
      <c r="A76" s="278"/>
      <c r="B76" s="279" t="str">
        <f t="shared" si="10"/>
        <v>9001800AL/DHW</v>
      </c>
      <c r="C76" s="278">
        <v>900</v>
      </c>
      <c r="D76" s="278">
        <v>1800</v>
      </c>
      <c r="E76" s="278" t="s">
        <v>938</v>
      </c>
      <c r="F76" s="278"/>
      <c r="G76" s="278" t="s">
        <v>5</v>
      </c>
      <c r="H76" s="290">
        <v>2</v>
      </c>
      <c r="I76" s="280">
        <f t="shared" si="12"/>
        <v>161.24</v>
      </c>
      <c r="J76" s="281">
        <f t="shared" si="11"/>
        <v>182.86</v>
      </c>
      <c r="K76" s="282">
        <f>IF(Notes!$B$9="Domestic",I76, IF(Notes!$B$9="Commercial",J76))*$K$71</f>
        <v>182.86</v>
      </c>
      <c r="L76" s="283">
        <f>(SUM(O76:Q76)+(K76+SUM(M76:Q76))*(INDEX($U$71:$AB$71,MATCH(Notes!$C$16,$U$3:$AB$3,0))-100%))*$L$71</f>
        <v>728.87279999999987</v>
      </c>
      <c r="M76" s="286"/>
      <c r="N76" s="286"/>
      <c r="O76" s="285">
        <v>517.55999999999995</v>
      </c>
      <c r="P76" s="311">
        <f t="shared" si="9"/>
        <v>211.31279999999998</v>
      </c>
      <c r="Q76" s="285"/>
      <c r="R76" s="278">
        <v>2100</v>
      </c>
      <c r="S76" s="278">
        <v>1800</v>
      </c>
      <c r="T76" s="278"/>
      <c r="U76" s="304"/>
    </row>
    <row r="77" spans="1:28" s="305" customFormat="1" ht="21.75" hidden="1" customHeight="1" outlineLevel="1" x14ac:dyDescent="0.25">
      <c r="A77" s="278"/>
      <c r="B77" s="279" t="str">
        <f t="shared" si="10"/>
        <v>9002100AL/DHW</v>
      </c>
      <c r="C77" s="278">
        <v>900</v>
      </c>
      <c r="D77" s="278">
        <v>2100</v>
      </c>
      <c r="E77" s="278" t="s">
        <v>938</v>
      </c>
      <c r="F77" s="278"/>
      <c r="G77" s="278" t="s">
        <v>5</v>
      </c>
      <c r="H77" s="290">
        <v>2</v>
      </c>
      <c r="I77" s="280">
        <f t="shared" si="12"/>
        <v>161.24</v>
      </c>
      <c r="J77" s="281">
        <f t="shared" si="11"/>
        <v>182.86</v>
      </c>
      <c r="K77" s="282">
        <f>IF(Notes!$B$9="Domestic",I77, IF(Notes!$B$9="Commercial",J77))*$K$71</f>
        <v>182.86</v>
      </c>
      <c r="L77" s="283">
        <f>(SUM(O77:Q77)+(K77+SUM(M77:Q77))*(INDEX($U$71:$AB$71,MATCH(Notes!$C$16,$U$3:$AB$3,0))-100%))*$L$71</f>
        <v>827.03160000000003</v>
      </c>
      <c r="M77" s="286"/>
      <c r="N77" s="286"/>
      <c r="O77" s="285">
        <v>580.5</v>
      </c>
      <c r="P77" s="311">
        <f t="shared" si="9"/>
        <v>246.5316</v>
      </c>
      <c r="Q77" s="285"/>
      <c r="R77" s="278">
        <v>2400</v>
      </c>
      <c r="S77" s="278">
        <v>2100</v>
      </c>
      <c r="T77" s="278"/>
      <c r="U77" s="304"/>
    </row>
    <row r="78" spans="1:28" s="305" customFormat="1" ht="21.75" hidden="1" customHeight="1" outlineLevel="1" x14ac:dyDescent="0.25">
      <c r="A78" s="278"/>
      <c r="B78" s="279" t="str">
        <f t="shared" si="10"/>
        <v>9002400AL/DHW</v>
      </c>
      <c r="C78" s="278">
        <v>900</v>
      </c>
      <c r="D78" s="278">
        <v>2400</v>
      </c>
      <c r="E78" s="278" t="s">
        <v>938</v>
      </c>
      <c r="F78" s="278"/>
      <c r="G78" s="278" t="s">
        <v>5</v>
      </c>
      <c r="H78" s="290">
        <v>3</v>
      </c>
      <c r="I78" s="280">
        <f t="shared" si="12"/>
        <v>241.86</v>
      </c>
      <c r="J78" s="281">
        <f t="shared" si="11"/>
        <v>274.29000000000002</v>
      </c>
      <c r="K78" s="282">
        <f>IF(Notes!$B$9="Domestic",I78, IF(Notes!$B$9="Commercial",J78))*$K$71</f>
        <v>274.29000000000002</v>
      </c>
      <c r="L78" s="283">
        <f>(SUM(O78:Q78)+(K78+SUM(M78:Q78))*(INDEX($U$71:$AB$71,MATCH(Notes!$C$16,$U$3:$AB$3,0))-100%))*$L$71</f>
        <v>909.54039999999998</v>
      </c>
      <c r="M78" s="286"/>
      <c r="N78" s="286"/>
      <c r="O78" s="285">
        <v>627.79</v>
      </c>
      <c r="P78" s="311">
        <f t="shared" si="9"/>
        <v>281.75040000000001</v>
      </c>
      <c r="Q78" s="285"/>
      <c r="R78" s="278">
        <v>2700</v>
      </c>
      <c r="S78" s="278">
        <v>2400</v>
      </c>
      <c r="T78" s="278"/>
      <c r="U78" s="304"/>
    </row>
    <row r="79" spans="1:28" s="305" customFormat="1" ht="21.75" hidden="1" customHeight="1" outlineLevel="1" x14ac:dyDescent="0.25">
      <c r="A79" s="278"/>
      <c r="B79" s="279" t="str">
        <f t="shared" si="10"/>
        <v>9002700AL/DHW</v>
      </c>
      <c r="C79" s="278">
        <v>900</v>
      </c>
      <c r="D79" s="278">
        <v>2700</v>
      </c>
      <c r="E79" s="278" t="s">
        <v>938</v>
      </c>
      <c r="F79" s="278"/>
      <c r="G79" s="278" t="s">
        <v>5</v>
      </c>
      <c r="H79" s="290">
        <v>3</v>
      </c>
      <c r="I79" s="280">
        <f t="shared" si="12"/>
        <v>241.86</v>
      </c>
      <c r="J79" s="281">
        <f t="shared" si="11"/>
        <v>274.29000000000002</v>
      </c>
      <c r="K79" s="282">
        <f>IF(Notes!$B$9="Domestic",I79, IF(Notes!$B$9="Commercial",J79))*$K$71</f>
        <v>274.29000000000002</v>
      </c>
      <c r="L79" s="283">
        <f>(SUM(O79:Q79)+(K79+SUM(M79:Q79))*(INDEX($U$71:$AB$71,MATCH(Notes!$C$16,$U$3:$AB$3,0))-100%))*$L$71</f>
        <v>1083.0792000000001</v>
      </c>
      <c r="M79" s="286"/>
      <c r="N79" s="286"/>
      <c r="O79" s="285">
        <v>766.11</v>
      </c>
      <c r="P79" s="311">
        <f t="shared" si="9"/>
        <v>316.9692</v>
      </c>
      <c r="Q79" s="285"/>
      <c r="R79" s="278"/>
      <c r="S79" s="278">
        <v>2700</v>
      </c>
      <c r="T79" s="278"/>
      <c r="U79" s="304"/>
    </row>
    <row r="80" spans="1:28" s="305" customFormat="1" ht="21.75" hidden="1" customHeight="1" outlineLevel="1" x14ac:dyDescent="0.25">
      <c r="A80" s="278"/>
      <c r="B80" s="279" t="str">
        <f t="shared" si="10"/>
        <v>1200600AL/DHW</v>
      </c>
      <c r="C80" s="278">
        <v>1200</v>
      </c>
      <c r="D80" s="278">
        <v>600</v>
      </c>
      <c r="E80" s="278" t="s">
        <v>938</v>
      </c>
      <c r="F80" s="278"/>
      <c r="G80" s="278" t="s">
        <v>5</v>
      </c>
      <c r="H80" s="290">
        <v>1</v>
      </c>
      <c r="I80" s="280">
        <f t="shared" si="12"/>
        <v>80.62</v>
      </c>
      <c r="J80" s="281">
        <f t="shared" si="11"/>
        <v>91.43</v>
      </c>
      <c r="K80" s="282">
        <f>IF(Notes!$B$9="Domestic",I80, IF(Notes!$B$9="Commercial",J80))*$K$71</f>
        <v>91.43</v>
      </c>
      <c r="L80" s="283">
        <f>(SUM(O80:Q80)+(K80+SUM(M80:Q80))*(INDEX($U$71:$AB$71,MATCH(Notes!$C$16,$U$3:$AB$3,0))-100%))*$L$71</f>
        <v>428.31679999999994</v>
      </c>
      <c r="M80" s="286"/>
      <c r="N80" s="286"/>
      <c r="O80" s="285">
        <v>334.4</v>
      </c>
      <c r="P80" s="311">
        <f t="shared" si="9"/>
        <v>93.916799999999995</v>
      </c>
      <c r="Q80" s="285"/>
      <c r="R80" s="278"/>
      <c r="S80" s="278"/>
      <c r="T80" s="278"/>
      <c r="U80" s="304"/>
    </row>
    <row r="81" spans="1:21" s="305" customFormat="1" ht="21.75" hidden="1" customHeight="1" outlineLevel="1" x14ac:dyDescent="0.25">
      <c r="A81" s="278"/>
      <c r="B81" s="279" t="str">
        <f t="shared" si="10"/>
        <v>1200900AL/DHW</v>
      </c>
      <c r="C81" s="278">
        <v>1200</v>
      </c>
      <c r="D81" s="278">
        <v>900</v>
      </c>
      <c r="E81" s="278" t="s">
        <v>938</v>
      </c>
      <c r="F81" s="278"/>
      <c r="G81" s="278" t="s">
        <v>5</v>
      </c>
      <c r="H81" s="290">
        <v>1</v>
      </c>
      <c r="I81" s="280">
        <f t="shared" si="12"/>
        <v>80.62</v>
      </c>
      <c r="J81" s="281">
        <f t="shared" si="11"/>
        <v>91.43</v>
      </c>
      <c r="K81" s="282">
        <f>IF(Notes!$B$9="Domestic",I81, IF(Notes!$B$9="Commercial",J81))*$K$71</f>
        <v>91.43</v>
      </c>
      <c r="L81" s="283">
        <f>(SUM(O81:Q81)+(K81+SUM(M81:Q81))*(INDEX($U$71:$AB$71,MATCH(Notes!$C$16,$U$3:$AB$3,0))-100%))*$L$71</f>
        <v>565.3252</v>
      </c>
      <c r="M81" s="286"/>
      <c r="N81" s="286"/>
      <c r="O81" s="285">
        <v>424.45</v>
      </c>
      <c r="P81" s="311">
        <f t="shared" si="9"/>
        <v>140.87519999999998</v>
      </c>
      <c r="Q81" s="285"/>
      <c r="R81" s="278"/>
      <c r="S81" s="278"/>
      <c r="T81" s="278"/>
      <c r="U81" s="304"/>
    </row>
    <row r="82" spans="1:21" s="305" customFormat="1" ht="21.75" hidden="1" customHeight="1" outlineLevel="1" x14ac:dyDescent="0.25">
      <c r="A82" s="278"/>
      <c r="B82" s="279" t="str">
        <f t="shared" si="10"/>
        <v>12001200AL/DHW</v>
      </c>
      <c r="C82" s="278">
        <v>1200</v>
      </c>
      <c r="D82" s="278">
        <v>1200</v>
      </c>
      <c r="E82" s="278" t="s">
        <v>938</v>
      </c>
      <c r="F82" s="278"/>
      <c r="G82" s="278" t="s">
        <v>5</v>
      </c>
      <c r="H82" s="290">
        <v>2</v>
      </c>
      <c r="I82" s="280">
        <f t="shared" si="12"/>
        <v>161.24</v>
      </c>
      <c r="J82" s="281">
        <f t="shared" si="11"/>
        <v>182.86</v>
      </c>
      <c r="K82" s="282">
        <f>IF(Notes!$B$9="Domestic",I82, IF(Notes!$B$9="Commercial",J82))*$K$71</f>
        <v>182.86</v>
      </c>
      <c r="L82" s="283">
        <f>(SUM(O82:Q82)+(K82+SUM(M82:Q82))*(INDEX($U$71:$AB$71,MATCH(Notes!$C$16,$U$3:$AB$3,0))-100%))*$L$71</f>
        <v>662.03359999999998</v>
      </c>
      <c r="M82" s="286"/>
      <c r="N82" s="286"/>
      <c r="O82" s="285">
        <v>474.2</v>
      </c>
      <c r="P82" s="311">
        <f t="shared" si="9"/>
        <v>187.83359999999999</v>
      </c>
      <c r="Q82" s="285"/>
      <c r="R82" s="278"/>
      <c r="S82" s="278"/>
      <c r="T82" s="278"/>
      <c r="U82" s="304"/>
    </row>
    <row r="83" spans="1:21" s="305" customFormat="1" ht="21.75" hidden="1" customHeight="1" outlineLevel="1" x14ac:dyDescent="0.25">
      <c r="A83" s="278"/>
      <c r="B83" s="279" t="str">
        <f t="shared" si="10"/>
        <v>12001500AL/DHW</v>
      </c>
      <c r="C83" s="278">
        <v>1200</v>
      </c>
      <c r="D83" s="278">
        <v>1500</v>
      </c>
      <c r="E83" s="278" t="s">
        <v>938</v>
      </c>
      <c r="F83" s="278"/>
      <c r="G83" s="278" t="s">
        <v>5</v>
      </c>
      <c r="H83" s="290">
        <v>2</v>
      </c>
      <c r="I83" s="280">
        <f t="shared" si="12"/>
        <v>161.24</v>
      </c>
      <c r="J83" s="281">
        <f t="shared" si="11"/>
        <v>182.86</v>
      </c>
      <c r="K83" s="282">
        <f>IF(Notes!$B$9="Domestic",I83, IF(Notes!$B$9="Commercial",J83))*$K$71</f>
        <v>182.86</v>
      </c>
      <c r="L83" s="283">
        <f>(SUM(O83:Q83)+(K83+SUM(M83:Q83))*(INDEX($U$71:$AB$71,MATCH(Notes!$C$16,$U$3:$AB$3,0))-100%))*$L$71</f>
        <v>783.52200000000005</v>
      </c>
      <c r="M83" s="286"/>
      <c r="N83" s="286"/>
      <c r="O83" s="285">
        <v>548.73</v>
      </c>
      <c r="P83" s="311">
        <f t="shared" si="9"/>
        <v>234.792</v>
      </c>
      <c r="Q83" s="285"/>
      <c r="R83" s="278"/>
      <c r="S83" s="278"/>
      <c r="T83" s="278"/>
      <c r="U83" s="304"/>
    </row>
    <row r="84" spans="1:21" s="305" customFormat="1" ht="21.75" hidden="1" customHeight="1" outlineLevel="1" x14ac:dyDescent="0.25">
      <c r="A84" s="278"/>
      <c r="B84" s="279" t="str">
        <f t="shared" si="10"/>
        <v>12001800AL/DHW</v>
      </c>
      <c r="C84" s="278">
        <v>1200</v>
      </c>
      <c r="D84" s="278">
        <v>1800</v>
      </c>
      <c r="E84" s="278" t="s">
        <v>938</v>
      </c>
      <c r="F84" s="278"/>
      <c r="G84" s="278" t="s">
        <v>5</v>
      </c>
      <c r="H84" s="290">
        <v>3</v>
      </c>
      <c r="I84" s="280">
        <f t="shared" si="12"/>
        <v>241.86</v>
      </c>
      <c r="J84" s="281">
        <f t="shared" si="11"/>
        <v>274.29000000000002</v>
      </c>
      <c r="K84" s="282">
        <f>IF(Notes!$B$9="Domestic",I84, IF(Notes!$B$9="Commercial",J84))*$K$71</f>
        <v>274.29000000000002</v>
      </c>
      <c r="L84" s="283">
        <f>(SUM(O84:Q84)+(K84+SUM(M84:Q84))*(INDEX($U$71:$AB$71,MATCH(Notes!$C$16,$U$3:$AB$3,0))-100%))*$L$71</f>
        <v>909.18039999999996</v>
      </c>
      <c r="M84" s="286"/>
      <c r="N84" s="286"/>
      <c r="O84" s="285">
        <v>627.42999999999995</v>
      </c>
      <c r="P84" s="311">
        <f t="shared" si="9"/>
        <v>281.75039999999996</v>
      </c>
      <c r="Q84" s="285"/>
      <c r="R84" s="278"/>
      <c r="S84" s="278"/>
      <c r="T84" s="278"/>
      <c r="U84" s="304"/>
    </row>
    <row r="85" spans="1:21" s="305" customFormat="1" ht="21.75" hidden="1" customHeight="1" outlineLevel="1" x14ac:dyDescent="0.25">
      <c r="A85" s="278"/>
      <c r="B85" s="279" t="str">
        <f t="shared" si="10"/>
        <v>12002100AL/DHW</v>
      </c>
      <c r="C85" s="278">
        <v>1200</v>
      </c>
      <c r="D85" s="278">
        <v>2100</v>
      </c>
      <c r="E85" s="278" t="s">
        <v>938</v>
      </c>
      <c r="F85" s="278"/>
      <c r="G85" s="278" t="s">
        <v>5</v>
      </c>
      <c r="H85" s="290">
        <v>3</v>
      </c>
      <c r="I85" s="280">
        <f t="shared" si="12"/>
        <v>241.86</v>
      </c>
      <c r="J85" s="281">
        <f t="shared" si="11"/>
        <v>274.29000000000002</v>
      </c>
      <c r="K85" s="282">
        <f>IF(Notes!$B$9="Domestic",I85, IF(Notes!$B$9="Commercial",J85))*$K$71</f>
        <v>274.29000000000002</v>
      </c>
      <c r="L85" s="283">
        <f>(SUM(O85:Q85)+(K85+SUM(M85:Q85))*(INDEX($U$71:$AB$71,MATCH(Notes!$C$16,$U$3:$AB$3,0))-100%))*$L$71</f>
        <v>1019.5388</v>
      </c>
      <c r="M85" s="286"/>
      <c r="N85" s="286"/>
      <c r="O85" s="285">
        <v>690.83</v>
      </c>
      <c r="P85" s="311">
        <f t="shared" si="9"/>
        <v>328.7088</v>
      </c>
      <c r="Q85" s="285"/>
      <c r="R85" s="278"/>
      <c r="S85" s="278"/>
      <c r="T85" s="278"/>
      <c r="U85" s="304"/>
    </row>
    <row r="86" spans="1:21" s="305" customFormat="1" ht="21.75" hidden="1" customHeight="1" outlineLevel="1" x14ac:dyDescent="0.25">
      <c r="A86" s="278"/>
      <c r="B86" s="279" t="str">
        <f t="shared" si="10"/>
        <v>12002400AL/DHW</v>
      </c>
      <c r="C86" s="278">
        <v>1200</v>
      </c>
      <c r="D86" s="278">
        <v>2400</v>
      </c>
      <c r="E86" s="278" t="s">
        <v>938</v>
      </c>
      <c r="F86" s="278"/>
      <c r="G86" s="278" t="s">
        <v>5</v>
      </c>
      <c r="H86" s="290">
        <v>3</v>
      </c>
      <c r="I86" s="280">
        <f t="shared" si="12"/>
        <v>241.86</v>
      </c>
      <c r="J86" s="281">
        <f t="shared" si="11"/>
        <v>274.29000000000002</v>
      </c>
      <c r="K86" s="282">
        <f>IF(Notes!$B$9="Domestic",I86, IF(Notes!$B$9="Commercial",J86))*$K$71</f>
        <v>274.29000000000002</v>
      </c>
      <c r="L86" s="283">
        <f>(SUM(O86:Q86)+(K86+SUM(M86:Q86))*(INDEX($U$71:$AB$71,MATCH(Notes!$C$16,$U$3:$AB$3,0))-100%))*$L$71</f>
        <v>1129.5472</v>
      </c>
      <c r="M86" s="286"/>
      <c r="N86" s="286"/>
      <c r="O86" s="285">
        <v>753.88</v>
      </c>
      <c r="P86" s="311">
        <f t="shared" si="9"/>
        <v>375.66719999999998</v>
      </c>
      <c r="Q86" s="285"/>
      <c r="R86" s="278"/>
      <c r="S86" s="278"/>
      <c r="T86" s="278"/>
      <c r="U86" s="304"/>
    </row>
    <row r="87" spans="1:21" s="305" customFormat="1" ht="21.75" hidden="1" customHeight="1" outlineLevel="1" x14ac:dyDescent="0.25">
      <c r="A87" s="278"/>
      <c r="B87" s="279" t="str">
        <f t="shared" si="10"/>
        <v>12002700AL/DHW</v>
      </c>
      <c r="C87" s="278">
        <v>1200</v>
      </c>
      <c r="D87" s="278">
        <v>2700</v>
      </c>
      <c r="E87" s="278" t="s">
        <v>938</v>
      </c>
      <c r="F87" s="278"/>
      <c r="G87" s="278" t="s">
        <v>5</v>
      </c>
      <c r="H87" s="290">
        <v>4</v>
      </c>
      <c r="I87" s="280">
        <f t="shared" si="12"/>
        <v>322.48</v>
      </c>
      <c r="J87" s="281">
        <f t="shared" si="11"/>
        <v>365.72</v>
      </c>
      <c r="K87" s="282">
        <f>IF(Notes!$B$9="Domestic",I87, IF(Notes!$B$9="Commercial",J87))*$K$71</f>
        <v>365.72</v>
      </c>
      <c r="L87" s="283">
        <f>(SUM(O87:Q87)+(K87+SUM(M87:Q87))*(INDEX($U$71:$AB$71,MATCH(Notes!$C$16,$U$3:$AB$3,0))-100%))*$L$71</f>
        <v>1344.1255999999998</v>
      </c>
      <c r="M87" s="286"/>
      <c r="N87" s="286"/>
      <c r="O87" s="285">
        <v>921.5</v>
      </c>
      <c r="P87" s="311">
        <f t="shared" si="9"/>
        <v>422.62559999999996</v>
      </c>
      <c r="Q87" s="285"/>
      <c r="R87" s="278"/>
      <c r="S87" s="278"/>
      <c r="T87" s="278"/>
      <c r="U87" s="304"/>
    </row>
    <row r="88" spans="1:21" s="305" customFormat="1" ht="21.75" hidden="1" customHeight="1" outlineLevel="1" x14ac:dyDescent="0.25">
      <c r="A88" s="278"/>
      <c r="B88" s="279" t="str">
        <f t="shared" si="10"/>
        <v>1500600AL/DHW</v>
      </c>
      <c r="C88" s="278">
        <v>1500</v>
      </c>
      <c r="D88" s="278">
        <v>600</v>
      </c>
      <c r="E88" s="278" t="s">
        <v>938</v>
      </c>
      <c r="F88" s="278"/>
      <c r="G88" s="278" t="s">
        <v>5</v>
      </c>
      <c r="H88" s="290">
        <v>1</v>
      </c>
      <c r="I88" s="280">
        <f t="shared" si="12"/>
        <v>80.62</v>
      </c>
      <c r="J88" s="281">
        <f t="shared" si="11"/>
        <v>91.43</v>
      </c>
      <c r="K88" s="282">
        <f>IF(Notes!$B$9="Domestic",I88, IF(Notes!$B$9="Commercial",J88))*$K$71</f>
        <v>91.43</v>
      </c>
      <c r="L88" s="283">
        <f>(SUM(O88:Q88)+(K88+SUM(M88:Q88))*(INDEX($U$71:$AB$71,MATCH(Notes!$C$16,$U$3:$AB$3,0))-100%))*$L$71</f>
        <v>493.20600000000002</v>
      </c>
      <c r="M88" s="286"/>
      <c r="N88" s="286"/>
      <c r="O88" s="285">
        <v>375.81</v>
      </c>
      <c r="P88" s="311">
        <f t="shared" si="9"/>
        <v>117.396</v>
      </c>
      <c r="Q88" s="285"/>
      <c r="R88" s="278"/>
      <c r="S88" s="278"/>
      <c r="T88" s="278"/>
      <c r="U88" s="304"/>
    </row>
    <row r="89" spans="1:21" s="305" customFormat="1" ht="21.75" hidden="1" customHeight="1" outlineLevel="1" x14ac:dyDescent="0.25">
      <c r="A89" s="278"/>
      <c r="B89" s="279" t="str">
        <f t="shared" si="10"/>
        <v>1500900AL/DHW</v>
      </c>
      <c r="C89" s="278">
        <v>1500</v>
      </c>
      <c r="D89" s="278">
        <v>900</v>
      </c>
      <c r="E89" s="278" t="s">
        <v>938</v>
      </c>
      <c r="F89" s="278"/>
      <c r="G89" s="278" t="s">
        <v>5</v>
      </c>
      <c r="H89" s="290">
        <v>2</v>
      </c>
      <c r="I89" s="280">
        <f t="shared" si="12"/>
        <v>161.24</v>
      </c>
      <c r="J89" s="281">
        <f t="shared" si="11"/>
        <v>182.86</v>
      </c>
      <c r="K89" s="282">
        <f>IF(Notes!$B$9="Domestic",I89, IF(Notes!$B$9="Commercial",J89))*$K$71</f>
        <v>182.86</v>
      </c>
      <c r="L89" s="283">
        <f>(SUM(O89:Q89)+(K89+SUM(M89:Q89))*(INDEX($U$71:$AB$71,MATCH(Notes!$C$16,$U$3:$AB$3,0))-100%))*$L$71</f>
        <v>634.42399999999998</v>
      </c>
      <c r="M89" s="286"/>
      <c r="N89" s="286"/>
      <c r="O89" s="285">
        <v>458.33</v>
      </c>
      <c r="P89" s="311">
        <f t="shared" si="9"/>
        <v>176.09399999999999</v>
      </c>
      <c r="Q89" s="285"/>
      <c r="R89" s="278"/>
      <c r="S89" s="278"/>
      <c r="T89" s="278"/>
      <c r="U89" s="304"/>
    </row>
    <row r="90" spans="1:21" s="305" customFormat="1" ht="21.75" hidden="1" customHeight="1" outlineLevel="1" x14ac:dyDescent="0.25">
      <c r="A90" s="278"/>
      <c r="B90" s="279" t="str">
        <f t="shared" si="10"/>
        <v>15001200AL/DHW</v>
      </c>
      <c r="C90" s="278">
        <v>1500</v>
      </c>
      <c r="D90" s="278">
        <v>1200</v>
      </c>
      <c r="E90" s="278" t="s">
        <v>938</v>
      </c>
      <c r="F90" s="278"/>
      <c r="G90" s="278" t="s">
        <v>5</v>
      </c>
      <c r="H90" s="290">
        <v>2</v>
      </c>
      <c r="I90" s="280">
        <f t="shared" si="12"/>
        <v>161.24</v>
      </c>
      <c r="J90" s="281">
        <f t="shared" si="11"/>
        <v>182.86</v>
      </c>
      <c r="K90" s="282">
        <f>IF(Notes!$B$9="Domestic",I90, IF(Notes!$B$9="Commercial",J90))*$K$71</f>
        <v>182.86</v>
      </c>
      <c r="L90" s="283">
        <f>(SUM(O90:Q90)+(K90+SUM(M90:Q90))*(INDEX($U$71:$AB$71,MATCH(Notes!$C$16,$U$3:$AB$3,0))-100%))*$L$71</f>
        <v>775.29200000000003</v>
      </c>
      <c r="M90" s="286"/>
      <c r="N90" s="286"/>
      <c r="O90" s="285">
        <v>540.5</v>
      </c>
      <c r="P90" s="311">
        <f t="shared" si="9"/>
        <v>234.792</v>
      </c>
      <c r="Q90" s="285"/>
      <c r="R90" s="278"/>
      <c r="S90" s="278"/>
      <c r="T90" s="278"/>
      <c r="U90" s="304"/>
    </row>
    <row r="91" spans="1:21" s="305" customFormat="1" ht="21.75" hidden="1" customHeight="1" outlineLevel="1" x14ac:dyDescent="0.25">
      <c r="A91" s="278"/>
      <c r="B91" s="279" t="str">
        <f t="shared" si="10"/>
        <v>15001500AL/DHW</v>
      </c>
      <c r="C91" s="278">
        <v>1500</v>
      </c>
      <c r="D91" s="278">
        <v>1500</v>
      </c>
      <c r="E91" s="278" t="s">
        <v>938</v>
      </c>
      <c r="F91" s="278"/>
      <c r="G91" s="278" t="s">
        <v>5</v>
      </c>
      <c r="H91" s="290">
        <v>3</v>
      </c>
      <c r="I91" s="280">
        <f t="shared" si="12"/>
        <v>241.86</v>
      </c>
      <c r="J91" s="281">
        <f t="shared" si="11"/>
        <v>274.29000000000002</v>
      </c>
      <c r="K91" s="282">
        <f>IF(Notes!$B$9="Domestic",I91, IF(Notes!$B$9="Commercial",J91))*$K$71</f>
        <v>274.29000000000002</v>
      </c>
      <c r="L91" s="283">
        <f>(SUM(O91:Q91)+(K91+SUM(M91:Q91))*(INDEX($U$71:$AB$71,MATCH(Notes!$C$16,$U$3:$AB$3,0))-100%))*$L$71</f>
        <v>936.88</v>
      </c>
      <c r="M91" s="286"/>
      <c r="N91" s="286"/>
      <c r="O91" s="285">
        <v>643.39</v>
      </c>
      <c r="P91" s="311">
        <f t="shared" si="9"/>
        <v>293.49</v>
      </c>
      <c r="Q91" s="285"/>
      <c r="R91" s="278"/>
      <c r="S91" s="278"/>
      <c r="T91" s="278"/>
      <c r="U91" s="304"/>
    </row>
    <row r="92" spans="1:21" s="305" customFormat="1" ht="21.75" hidden="1" customHeight="1" outlineLevel="1" x14ac:dyDescent="0.25">
      <c r="A92" s="278"/>
      <c r="B92" s="279" t="str">
        <f t="shared" si="10"/>
        <v>15001800AL/DHW</v>
      </c>
      <c r="C92" s="278">
        <v>1500</v>
      </c>
      <c r="D92" s="278">
        <v>1800</v>
      </c>
      <c r="E92" s="278" t="s">
        <v>938</v>
      </c>
      <c r="F92" s="278"/>
      <c r="G92" s="278" t="s">
        <v>5</v>
      </c>
      <c r="H92" s="290">
        <v>3</v>
      </c>
      <c r="I92" s="280">
        <f t="shared" si="12"/>
        <v>241.86</v>
      </c>
      <c r="J92" s="281">
        <f t="shared" si="11"/>
        <v>274.29000000000002</v>
      </c>
      <c r="K92" s="282">
        <f>IF(Notes!$B$9="Domestic",I92, IF(Notes!$B$9="Commercial",J92))*$K$71</f>
        <v>274.29000000000002</v>
      </c>
      <c r="L92" s="283">
        <f>(SUM(O92:Q92)+(K92+SUM(M92:Q92))*(INDEX($U$71:$AB$71,MATCH(Notes!$C$16,$U$3:$AB$3,0))-100%))*$L$71</f>
        <v>1059.4479999999999</v>
      </c>
      <c r="M92" s="286"/>
      <c r="N92" s="286"/>
      <c r="O92" s="285">
        <v>707.26</v>
      </c>
      <c r="P92" s="311">
        <f t="shared" si="9"/>
        <v>352.18799999999999</v>
      </c>
      <c r="Q92" s="285"/>
      <c r="R92" s="278"/>
      <c r="S92" s="278"/>
      <c r="T92" s="278"/>
      <c r="U92" s="304"/>
    </row>
    <row r="93" spans="1:21" s="305" customFormat="1" ht="21.75" hidden="1" customHeight="1" outlineLevel="1" x14ac:dyDescent="0.25">
      <c r="A93" s="278"/>
      <c r="B93" s="279" t="str">
        <f t="shared" si="10"/>
        <v>15002100AL/DHW</v>
      </c>
      <c r="C93" s="278">
        <v>1500</v>
      </c>
      <c r="D93" s="278">
        <v>2100</v>
      </c>
      <c r="E93" s="278" t="s">
        <v>938</v>
      </c>
      <c r="F93" s="278"/>
      <c r="G93" s="278" t="s">
        <v>5</v>
      </c>
      <c r="H93" s="290">
        <v>4</v>
      </c>
      <c r="I93" s="280">
        <f t="shared" si="12"/>
        <v>322.48</v>
      </c>
      <c r="J93" s="281">
        <f t="shared" si="11"/>
        <v>365.72</v>
      </c>
      <c r="K93" s="282">
        <f>IF(Notes!$B$9="Domestic",I93, IF(Notes!$B$9="Commercial",J93))*$K$71</f>
        <v>365.72</v>
      </c>
      <c r="L93" s="283">
        <f>(SUM(O93:Q93)+(K93+SUM(M93:Q93))*(INDEX($U$71:$AB$71,MATCH(Notes!$C$16,$U$3:$AB$3,0))-100%))*$L$71</f>
        <v>1227.896</v>
      </c>
      <c r="M93" s="286"/>
      <c r="N93" s="286"/>
      <c r="O93" s="285">
        <v>817.01</v>
      </c>
      <c r="P93" s="311">
        <f t="shared" si="9"/>
        <v>410.88600000000002</v>
      </c>
      <c r="Q93" s="285"/>
      <c r="R93" s="278"/>
      <c r="S93" s="278"/>
      <c r="T93" s="278"/>
      <c r="U93" s="304"/>
    </row>
    <row r="94" spans="1:21" s="305" customFormat="1" ht="21.75" hidden="1" customHeight="1" outlineLevel="1" x14ac:dyDescent="0.25">
      <c r="A94" s="278"/>
      <c r="B94" s="279" t="str">
        <f t="shared" si="10"/>
        <v>15002400AL/DHW</v>
      </c>
      <c r="C94" s="278">
        <v>1500</v>
      </c>
      <c r="D94" s="278">
        <v>2400</v>
      </c>
      <c r="E94" s="278" t="s">
        <v>938</v>
      </c>
      <c r="F94" s="278"/>
      <c r="G94" s="278" t="s">
        <v>5</v>
      </c>
      <c r="H94" s="290">
        <v>4</v>
      </c>
      <c r="I94" s="280">
        <f t="shared" si="12"/>
        <v>322.48</v>
      </c>
      <c r="J94" s="281">
        <f t="shared" si="11"/>
        <v>365.72</v>
      </c>
      <c r="K94" s="282">
        <f>IF(Notes!$B$9="Domestic",I94, IF(Notes!$B$9="Commercial",J94))*$K$71</f>
        <v>365.72</v>
      </c>
      <c r="L94" s="283">
        <f>(SUM(O94:Q94)+(K94+SUM(M94:Q94))*(INDEX($U$71:$AB$71,MATCH(Notes!$C$16,$U$3:$AB$3,0))-100%))*$L$71</f>
        <v>1352.3240000000001</v>
      </c>
      <c r="M94" s="286"/>
      <c r="N94" s="286"/>
      <c r="O94" s="285">
        <v>882.74</v>
      </c>
      <c r="P94" s="311">
        <f t="shared" si="9"/>
        <v>469.584</v>
      </c>
      <c r="Q94" s="285"/>
      <c r="R94" s="278"/>
      <c r="S94" s="278"/>
      <c r="T94" s="278"/>
      <c r="U94" s="304"/>
    </row>
    <row r="95" spans="1:21" s="305" customFormat="1" ht="21.75" hidden="1" customHeight="1" outlineLevel="1" x14ac:dyDescent="0.25">
      <c r="A95" s="278"/>
      <c r="B95" s="279" t="str">
        <f t="shared" si="10"/>
        <v>15002700AL/DHW</v>
      </c>
      <c r="C95" s="278">
        <v>1500</v>
      </c>
      <c r="D95" s="278">
        <v>2700</v>
      </c>
      <c r="E95" s="278" t="s">
        <v>938</v>
      </c>
      <c r="F95" s="278"/>
      <c r="G95" s="278" t="s">
        <v>5</v>
      </c>
      <c r="H95" s="290">
        <v>4</v>
      </c>
      <c r="I95" s="280">
        <f t="shared" si="12"/>
        <v>322.48</v>
      </c>
      <c r="J95" s="281">
        <f t="shared" si="11"/>
        <v>365.72</v>
      </c>
      <c r="K95" s="282">
        <f>IF(Notes!$B$9="Domestic",I95, IF(Notes!$B$9="Commercial",J95))*$K$71</f>
        <v>365.72</v>
      </c>
      <c r="L95" s="283">
        <f>(SUM(O95:Q95)+(K95+SUM(M95:Q95))*(INDEX($U$71:$AB$71,MATCH(Notes!$C$16,$U$3:$AB$3,0))-100%))*$L$71</f>
        <v>1605.7220000000002</v>
      </c>
      <c r="M95" s="286"/>
      <c r="N95" s="286"/>
      <c r="O95" s="285">
        <v>1077.44</v>
      </c>
      <c r="P95" s="311">
        <f t="shared" si="9"/>
        <v>528.28200000000004</v>
      </c>
      <c r="Q95" s="285"/>
      <c r="R95" s="278"/>
      <c r="S95" s="278"/>
      <c r="T95" s="278"/>
      <c r="U95" s="304"/>
    </row>
    <row r="96" spans="1:21" s="305" customFormat="1" ht="21.75" hidden="1" customHeight="1" outlineLevel="1" x14ac:dyDescent="0.25">
      <c r="A96" s="278"/>
      <c r="B96" s="279" t="str">
        <f t="shared" si="10"/>
        <v>1800600AL/DHW</v>
      </c>
      <c r="C96" s="278">
        <v>1800</v>
      </c>
      <c r="D96" s="278">
        <v>600</v>
      </c>
      <c r="E96" s="278" t="s">
        <v>938</v>
      </c>
      <c r="F96" s="278"/>
      <c r="G96" s="278" t="s">
        <v>5</v>
      </c>
      <c r="H96" s="290">
        <v>1</v>
      </c>
      <c r="I96" s="280">
        <f t="shared" si="12"/>
        <v>80.62</v>
      </c>
      <c r="J96" s="281">
        <f t="shared" si="11"/>
        <v>91.43</v>
      </c>
      <c r="K96" s="282">
        <f>IF(Notes!$B$9="Domestic",I96, IF(Notes!$B$9="Commercial",J96))*$K$71</f>
        <v>91.43</v>
      </c>
      <c r="L96" s="283">
        <f>(SUM(O96:Q96)+(K96+SUM(M96:Q96))*(INDEX($U$71:$AB$71,MATCH(Notes!$C$16,$U$3:$AB$3,0))-100%))*$L$71</f>
        <v>574.0652</v>
      </c>
      <c r="M96" s="286"/>
      <c r="N96" s="286"/>
      <c r="O96" s="285">
        <v>433.19</v>
      </c>
      <c r="P96" s="311">
        <f t="shared" si="9"/>
        <v>140.87520000000001</v>
      </c>
      <c r="Q96" s="285"/>
      <c r="R96" s="278"/>
      <c r="S96" s="278"/>
      <c r="T96" s="278"/>
      <c r="U96" s="304"/>
    </row>
    <row r="97" spans="1:21" s="305" customFormat="1" ht="21.75" hidden="1" customHeight="1" outlineLevel="1" x14ac:dyDescent="0.25">
      <c r="A97" s="278"/>
      <c r="B97" s="279" t="str">
        <f t="shared" si="10"/>
        <v>1800900AL/DHW</v>
      </c>
      <c r="C97" s="278">
        <v>1800</v>
      </c>
      <c r="D97" s="278">
        <v>900</v>
      </c>
      <c r="E97" s="278" t="s">
        <v>938</v>
      </c>
      <c r="F97" s="278"/>
      <c r="G97" s="278" t="s">
        <v>5</v>
      </c>
      <c r="H97" s="290">
        <v>2</v>
      </c>
      <c r="I97" s="280">
        <f t="shared" si="12"/>
        <v>161.24</v>
      </c>
      <c r="J97" s="281">
        <f t="shared" si="11"/>
        <v>182.86</v>
      </c>
      <c r="K97" s="282">
        <f>IF(Notes!$B$9="Domestic",I97, IF(Notes!$B$9="Commercial",J97))*$K$71</f>
        <v>182.86</v>
      </c>
      <c r="L97" s="283">
        <f>(SUM(O97:Q97)+(K97+SUM(M97:Q97))*(INDEX($U$71:$AB$71,MATCH(Notes!$C$16,$U$3:$AB$3,0))-100%))*$L$71</f>
        <v>743.45280000000002</v>
      </c>
      <c r="M97" s="286"/>
      <c r="N97" s="286"/>
      <c r="O97" s="285">
        <v>532.14</v>
      </c>
      <c r="P97" s="311">
        <f t="shared" si="9"/>
        <v>211.31279999999998</v>
      </c>
      <c r="Q97" s="285"/>
      <c r="R97" s="278"/>
      <c r="S97" s="278"/>
      <c r="T97" s="278"/>
      <c r="U97" s="304"/>
    </row>
    <row r="98" spans="1:21" s="305" customFormat="1" ht="21.75" hidden="1" customHeight="1" outlineLevel="1" x14ac:dyDescent="0.25">
      <c r="A98" s="278"/>
      <c r="B98" s="279" t="str">
        <f t="shared" si="10"/>
        <v>18001200AL/DHW</v>
      </c>
      <c r="C98" s="278">
        <v>1800</v>
      </c>
      <c r="D98" s="278">
        <v>1200</v>
      </c>
      <c r="E98" s="278" t="s">
        <v>938</v>
      </c>
      <c r="F98" s="278"/>
      <c r="G98" s="278" t="s">
        <v>5</v>
      </c>
      <c r="H98" s="290">
        <v>3</v>
      </c>
      <c r="I98" s="280">
        <f t="shared" si="12"/>
        <v>241.86</v>
      </c>
      <c r="J98" s="281">
        <f t="shared" si="11"/>
        <v>274.29000000000002</v>
      </c>
      <c r="K98" s="282">
        <f>IF(Notes!$B$9="Domestic",I98, IF(Notes!$B$9="Commercial",J98))*$K$71</f>
        <v>274.29000000000002</v>
      </c>
      <c r="L98" s="283">
        <f>(SUM(O98:Q98)+(K98+SUM(M98:Q98))*(INDEX($U$71:$AB$71,MATCH(Notes!$C$16,$U$3:$AB$3,0))-100%))*$L$71</f>
        <v>872.56039999999996</v>
      </c>
      <c r="M98" s="286"/>
      <c r="N98" s="286"/>
      <c r="O98" s="285">
        <v>590.80999999999995</v>
      </c>
      <c r="P98" s="311">
        <f t="shared" si="9"/>
        <v>281.75040000000001</v>
      </c>
      <c r="Q98" s="285"/>
      <c r="R98" s="278"/>
      <c r="S98" s="278"/>
      <c r="T98" s="278"/>
      <c r="U98" s="304"/>
    </row>
    <row r="99" spans="1:21" s="305" customFormat="1" ht="21.75" hidden="1" customHeight="1" outlineLevel="1" x14ac:dyDescent="0.25">
      <c r="A99" s="278"/>
      <c r="B99" s="279" t="str">
        <f t="shared" si="10"/>
        <v>18001500AL/DHW</v>
      </c>
      <c r="C99" s="278">
        <v>1800</v>
      </c>
      <c r="D99" s="278">
        <v>1500</v>
      </c>
      <c r="E99" s="278" t="s">
        <v>938</v>
      </c>
      <c r="F99" s="278"/>
      <c r="G99" s="278" t="s">
        <v>5</v>
      </c>
      <c r="H99" s="290">
        <v>3</v>
      </c>
      <c r="I99" s="280">
        <f t="shared" si="12"/>
        <v>241.86</v>
      </c>
      <c r="J99" s="281">
        <f t="shared" si="11"/>
        <v>274.29000000000002</v>
      </c>
      <c r="K99" s="282">
        <f>IF(Notes!$B$9="Domestic",I99, IF(Notes!$B$9="Commercial",J99))*$K$71</f>
        <v>274.29000000000002</v>
      </c>
      <c r="L99" s="283">
        <f>(SUM(O99:Q99)+(K99+SUM(M99:Q99))*(INDEX($U$71:$AB$71,MATCH(Notes!$C$16,$U$3:$AB$3,0))-100%))*$L$71</f>
        <v>1059.6379999999999</v>
      </c>
      <c r="M99" s="286"/>
      <c r="N99" s="286"/>
      <c r="O99" s="285">
        <v>707.45</v>
      </c>
      <c r="P99" s="311">
        <f t="shared" si="9"/>
        <v>352.18799999999999</v>
      </c>
      <c r="Q99" s="285"/>
      <c r="R99" s="278"/>
      <c r="S99" s="278"/>
      <c r="T99" s="278"/>
      <c r="U99" s="304"/>
    </row>
    <row r="100" spans="1:21" s="305" customFormat="1" ht="21.75" hidden="1" customHeight="1" outlineLevel="1" x14ac:dyDescent="0.25">
      <c r="A100" s="278"/>
      <c r="B100" s="279" t="str">
        <f t="shared" si="10"/>
        <v>18001800AL/DHW</v>
      </c>
      <c r="C100" s="278">
        <v>1800</v>
      </c>
      <c r="D100" s="278">
        <v>1800</v>
      </c>
      <c r="E100" s="278" t="s">
        <v>938</v>
      </c>
      <c r="F100" s="278"/>
      <c r="G100" s="278" t="s">
        <v>5</v>
      </c>
      <c r="H100" s="290">
        <v>4</v>
      </c>
      <c r="I100" s="280">
        <f t="shared" si="12"/>
        <v>322.48</v>
      </c>
      <c r="J100" s="281">
        <f t="shared" si="11"/>
        <v>365.72</v>
      </c>
      <c r="K100" s="282">
        <f>IF(Notes!$B$9="Domestic",I100, IF(Notes!$B$9="Commercial",J100))*$K$71</f>
        <v>365.72</v>
      </c>
      <c r="L100" s="283">
        <f>(SUM(O100:Q100)+(K100+SUM(M100:Q100))*(INDEX($U$71:$AB$71,MATCH(Notes!$C$16,$U$3:$AB$3,0))-100%))*$L$71</f>
        <v>1255.6156000000001</v>
      </c>
      <c r="M100" s="286"/>
      <c r="N100" s="286"/>
      <c r="O100" s="285">
        <v>832.99</v>
      </c>
      <c r="P100" s="311">
        <f t="shared" si="9"/>
        <v>422.62559999999996</v>
      </c>
      <c r="Q100" s="285"/>
      <c r="R100" s="278"/>
      <c r="S100" s="278"/>
      <c r="T100" s="278"/>
      <c r="U100" s="304"/>
    </row>
    <row r="101" spans="1:21" s="305" customFormat="1" ht="21.75" hidden="1" customHeight="1" outlineLevel="1" x14ac:dyDescent="0.25">
      <c r="A101" s="278"/>
      <c r="B101" s="279" t="str">
        <f t="shared" si="10"/>
        <v>18002100AL/DHW</v>
      </c>
      <c r="C101" s="278">
        <v>1800</v>
      </c>
      <c r="D101" s="278">
        <v>2100</v>
      </c>
      <c r="E101" s="278" t="s">
        <v>938</v>
      </c>
      <c r="F101" s="278"/>
      <c r="G101" s="278" t="s">
        <v>5</v>
      </c>
      <c r="H101" s="290">
        <v>4</v>
      </c>
      <c r="I101" s="280">
        <f t="shared" si="12"/>
        <v>322.48</v>
      </c>
      <c r="J101" s="281">
        <f t="shared" si="11"/>
        <v>365.72</v>
      </c>
      <c r="K101" s="282">
        <f>IF(Notes!$B$9="Domestic",I101, IF(Notes!$B$9="Commercial",J101))*$K$71</f>
        <v>365.72</v>
      </c>
      <c r="L101" s="283">
        <f>(SUM(O101:Q101)+(K101+SUM(M101:Q101))*(INDEX($U$71:$AB$71,MATCH(Notes!$C$16,$U$3:$AB$3,0))-100%))*$L$71</f>
        <v>1359.7832000000001</v>
      </c>
      <c r="M101" s="286"/>
      <c r="N101" s="286"/>
      <c r="O101" s="285">
        <v>866.72</v>
      </c>
      <c r="P101" s="311">
        <f t="shared" si="9"/>
        <v>493.06319999999999</v>
      </c>
      <c r="Q101" s="285"/>
      <c r="R101" s="278"/>
      <c r="S101" s="278"/>
      <c r="T101" s="278"/>
      <c r="U101" s="304"/>
    </row>
    <row r="102" spans="1:21" s="305" customFormat="1" ht="21.75" hidden="1" customHeight="1" outlineLevel="1" x14ac:dyDescent="0.25">
      <c r="A102" s="278"/>
      <c r="B102" s="279" t="str">
        <f t="shared" si="10"/>
        <v>18002400AL/DHW</v>
      </c>
      <c r="C102" s="278">
        <v>1800</v>
      </c>
      <c r="D102" s="278">
        <v>2400</v>
      </c>
      <c r="E102" s="278" t="s">
        <v>938</v>
      </c>
      <c r="F102" s="278"/>
      <c r="G102" s="278" t="s">
        <v>5</v>
      </c>
      <c r="H102" s="290">
        <v>5</v>
      </c>
      <c r="I102" s="280">
        <f t="shared" si="12"/>
        <v>403.1</v>
      </c>
      <c r="J102" s="281">
        <f t="shared" si="11"/>
        <v>457.15000000000003</v>
      </c>
      <c r="K102" s="282">
        <f>IF(Notes!$B$9="Domestic",I102, IF(Notes!$B$9="Commercial",J102))*$K$71</f>
        <v>457.15000000000003</v>
      </c>
      <c r="L102" s="283">
        <f>(SUM(O102:Q102)+(K102+SUM(M102:Q102))*(INDEX($U$71:$AB$71,MATCH(Notes!$C$16,$U$3:$AB$3,0))-100%))*$L$71</f>
        <v>1463.6107999999999</v>
      </c>
      <c r="M102" s="286"/>
      <c r="N102" s="286"/>
      <c r="O102" s="285">
        <v>900.11</v>
      </c>
      <c r="P102" s="311">
        <f t="shared" si="9"/>
        <v>563.50080000000003</v>
      </c>
      <c r="Q102" s="285"/>
      <c r="R102" s="278"/>
      <c r="S102" s="278"/>
      <c r="T102" s="278"/>
      <c r="U102" s="304"/>
    </row>
    <row r="103" spans="1:21" s="305" customFormat="1" ht="21.75" hidden="1" customHeight="1" outlineLevel="1" x14ac:dyDescent="0.25">
      <c r="A103" s="278"/>
      <c r="B103" s="279" t="str">
        <f t="shared" si="10"/>
        <v>18002700AL/DHW</v>
      </c>
      <c r="C103" s="278">
        <v>1800</v>
      </c>
      <c r="D103" s="278">
        <v>2700</v>
      </c>
      <c r="E103" s="278" t="s">
        <v>938</v>
      </c>
      <c r="F103" s="278"/>
      <c r="G103" s="278" t="s">
        <v>5</v>
      </c>
      <c r="H103" s="290">
        <v>5</v>
      </c>
      <c r="I103" s="280">
        <f t="shared" si="12"/>
        <v>403.1</v>
      </c>
      <c r="J103" s="281">
        <f t="shared" si="11"/>
        <v>457.15000000000003</v>
      </c>
      <c r="K103" s="282">
        <f>IF(Notes!$B$9="Domestic",I103, IF(Notes!$B$9="Commercial",J103))*$K$71</f>
        <v>457.15000000000003</v>
      </c>
      <c r="L103" s="283">
        <f>(SUM(O103:Q103)+(K103+SUM(M103:Q103))*(INDEX($U$71:$AB$71,MATCH(Notes!$C$16,$U$3:$AB$3,0))-100%))*$L$71</f>
        <v>1791.7384</v>
      </c>
      <c r="M103" s="286"/>
      <c r="N103" s="286"/>
      <c r="O103" s="285">
        <v>1157.8</v>
      </c>
      <c r="P103" s="311">
        <f t="shared" si="9"/>
        <v>633.9384</v>
      </c>
      <c r="Q103" s="285"/>
      <c r="R103" s="278"/>
      <c r="S103" s="278"/>
      <c r="T103" s="278"/>
      <c r="U103" s="304"/>
    </row>
    <row r="104" spans="1:21" s="305" customFormat="1" ht="21.75" hidden="1" customHeight="1" outlineLevel="1" x14ac:dyDescent="0.25">
      <c r="A104" s="278"/>
      <c r="B104" s="279" t="str">
        <f t="shared" si="10"/>
        <v>2100600AL/DHW</v>
      </c>
      <c r="C104" s="278">
        <v>2100</v>
      </c>
      <c r="D104" s="278">
        <v>600</v>
      </c>
      <c r="E104" s="278" t="s">
        <v>938</v>
      </c>
      <c r="F104" s="278"/>
      <c r="G104" s="278" t="s">
        <v>5</v>
      </c>
      <c r="H104" s="290">
        <v>2</v>
      </c>
      <c r="I104" s="280">
        <f t="shared" si="12"/>
        <v>161.24</v>
      </c>
      <c r="J104" s="281">
        <f t="shared" si="11"/>
        <v>182.86</v>
      </c>
      <c r="K104" s="282">
        <f>IF(Notes!$B$9="Domestic",I104, IF(Notes!$B$9="Commercial",J104))*$K$71</f>
        <v>182.86</v>
      </c>
      <c r="L104" s="283">
        <f>(SUM(O104:Q104)+(K104+SUM(M104:Q104))*(INDEX($U$71:$AB$71,MATCH(Notes!$C$16,$U$3:$AB$3,0))-100%))*$L$71</f>
        <v>619.03440000000001</v>
      </c>
      <c r="M104" s="286"/>
      <c r="N104" s="286"/>
      <c r="O104" s="285">
        <v>454.68</v>
      </c>
      <c r="P104" s="311">
        <f t="shared" si="9"/>
        <v>164.3544</v>
      </c>
      <c r="Q104" s="285"/>
      <c r="R104" s="278"/>
      <c r="S104" s="278"/>
      <c r="T104" s="278"/>
      <c r="U104" s="304"/>
    </row>
    <row r="105" spans="1:21" s="305" customFormat="1" ht="21.75" hidden="1" customHeight="1" outlineLevel="1" x14ac:dyDescent="0.25">
      <c r="A105" s="278"/>
      <c r="B105" s="279" t="str">
        <f t="shared" si="10"/>
        <v>2100900AL/DHW</v>
      </c>
      <c r="C105" s="278">
        <v>2100</v>
      </c>
      <c r="D105" s="278">
        <v>900</v>
      </c>
      <c r="E105" s="278" t="s">
        <v>938</v>
      </c>
      <c r="F105" s="278"/>
      <c r="G105" s="278" t="s">
        <v>5</v>
      </c>
      <c r="H105" s="290">
        <v>2</v>
      </c>
      <c r="I105" s="280">
        <f t="shared" si="12"/>
        <v>161.24</v>
      </c>
      <c r="J105" s="281">
        <f t="shared" si="11"/>
        <v>182.86</v>
      </c>
      <c r="K105" s="282">
        <f>IF(Notes!$B$9="Domestic",I105, IF(Notes!$B$9="Commercial",J105))*$K$71</f>
        <v>182.86</v>
      </c>
      <c r="L105" s="283">
        <f>(SUM(O105:Q105)+(K105+SUM(M105:Q105))*(INDEX($U$71:$AB$71,MATCH(Notes!$C$16,$U$3:$AB$3,0))-100%))*$L$71</f>
        <v>804.57159999999999</v>
      </c>
      <c r="M105" s="286"/>
      <c r="N105" s="286"/>
      <c r="O105" s="285">
        <v>558.04</v>
      </c>
      <c r="P105" s="311">
        <f t="shared" si="9"/>
        <v>246.53159999999997</v>
      </c>
      <c r="Q105" s="285"/>
      <c r="R105" s="278"/>
      <c r="S105" s="278"/>
      <c r="T105" s="278"/>
      <c r="U105" s="304"/>
    </row>
    <row r="106" spans="1:21" s="305" customFormat="1" ht="21.75" hidden="1" customHeight="1" outlineLevel="1" x14ac:dyDescent="0.25">
      <c r="A106" s="278"/>
      <c r="B106" s="279" t="str">
        <f t="shared" si="10"/>
        <v>21001200AL/DHW</v>
      </c>
      <c r="C106" s="278">
        <v>2100</v>
      </c>
      <c r="D106" s="278">
        <v>1200</v>
      </c>
      <c r="E106" s="278" t="s">
        <v>938</v>
      </c>
      <c r="F106" s="278"/>
      <c r="G106" s="278" t="s">
        <v>5</v>
      </c>
      <c r="H106" s="290">
        <v>3</v>
      </c>
      <c r="I106" s="280">
        <f t="shared" si="12"/>
        <v>241.86</v>
      </c>
      <c r="J106" s="281">
        <f t="shared" si="11"/>
        <v>274.29000000000002</v>
      </c>
      <c r="K106" s="282">
        <f>IF(Notes!$B$9="Domestic",I106, IF(Notes!$B$9="Commercial",J106))*$K$71</f>
        <v>274.29000000000002</v>
      </c>
      <c r="L106" s="283">
        <f>(SUM(O106:Q106)+(K106+SUM(M106:Q106))*(INDEX($U$71:$AB$71,MATCH(Notes!$C$16,$U$3:$AB$3,0))-100%))*$L$71</f>
        <v>921.94880000000001</v>
      </c>
      <c r="M106" s="286"/>
      <c r="N106" s="286"/>
      <c r="O106" s="285">
        <v>593.24</v>
      </c>
      <c r="P106" s="311">
        <f t="shared" si="9"/>
        <v>328.7088</v>
      </c>
      <c r="Q106" s="285"/>
      <c r="R106" s="278"/>
      <c r="S106" s="278"/>
      <c r="T106" s="278"/>
      <c r="U106" s="304"/>
    </row>
    <row r="107" spans="1:21" s="305" customFormat="1" ht="21.75" hidden="1" customHeight="1" outlineLevel="1" x14ac:dyDescent="0.25">
      <c r="A107" s="278"/>
      <c r="B107" s="279" t="str">
        <f t="shared" si="10"/>
        <v>21001500AL/DHW</v>
      </c>
      <c r="C107" s="278">
        <v>2100</v>
      </c>
      <c r="D107" s="278">
        <v>1500</v>
      </c>
      <c r="E107" s="278" t="s">
        <v>938</v>
      </c>
      <c r="F107" s="278"/>
      <c r="G107" s="278" t="s">
        <v>5</v>
      </c>
      <c r="H107" s="290">
        <v>4</v>
      </c>
      <c r="I107" s="280">
        <f t="shared" si="12"/>
        <v>322.48</v>
      </c>
      <c r="J107" s="281">
        <f t="shared" si="11"/>
        <v>365.72</v>
      </c>
      <c r="K107" s="282">
        <f>IF(Notes!$B$9="Domestic",I107, IF(Notes!$B$9="Commercial",J107))*$K$71</f>
        <v>365.72</v>
      </c>
      <c r="L107" s="283">
        <f>(SUM(O107:Q107)+(K107+SUM(M107:Q107))*(INDEX($U$71:$AB$71,MATCH(Notes!$C$16,$U$3:$AB$3,0))-100%))*$L$71</f>
        <v>1228.2959999999998</v>
      </c>
      <c r="M107" s="286"/>
      <c r="N107" s="286"/>
      <c r="O107" s="285">
        <v>817.41</v>
      </c>
      <c r="P107" s="311">
        <f t="shared" si="9"/>
        <v>410.88599999999997</v>
      </c>
      <c r="Q107" s="285"/>
      <c r="R107" s="278"/>
      <c r="S107" s="278"/>
      <c r="T107" s="278"/>
      <c r="U107" s="304"/>
    </row>
    <row r="108" spans="1:21" s="305" customFormat="1" ht="21.75" hidden="1" customHeight="1" outlineLevel="1" x14ac:dyDescent="0.25">
      <c r="A108" s="278"/>
      <c r="B108" s="279" t="str">
        <f t="shared" si="10"/>
        <v>21001800AL/DHW</v>
      </c>
      <c r="C108" s="278">
        <v>2100</v>
      </c>
      <c r="D108" s="278">
        <v>1800</v>
      </c>
      <c r="E108" s="278" t="s">
        <v>938</v>
      </c>
      <c r="F108" s="278"/>
      <c r="G108" s="278" t="s">
        <v>5</v>
      </c>
      <c r="H108" s="290">
        <v>4</v>
      </c>
      <c r="I108" s="280">
        <f t="shared" si="12"/>
        <v>322.48</v>
      </c>
      <c r="J108" s="281">
        <f t="shared" si="11"/>
        <v>365.72</v>
      </c>
      <c r="K108" s="282">
        <f>IF(Notes!$B$9="Domestic",I108, IF(Notes!$B$9="Commercial",J108))*$K$71</f>
        <v>365.72</v>
      </c>
      <c r="L108" s="283">
        <f>(SUM(O108:Q108)+(K108+SUM(M108:Q108))*(INDEX($U$71:$AB$71,MATCH(Notes!$C$16,$U$3:$AB$3,0))-100%))*$L$71</f>
        <v>1359.9831999999999</v>
      </c>
      <c r="M108" s="286"/>
      <c r="N108" s="286"/>
      <c r="O108" s="285">
        <v>866.92</v>
      </c>
      <c r="P108" s="311">
        <f t="shared" si="9"/>
        <v>493.06319999999994</v>
      </c>
      <c r="Q108" s="285"/>
      <c r="R108" s="278"/>
      <c r="S108" s="278"/>
      <c r="T108" s="278"/>
      <c r="U108" s="304"/>
    </row>
    <row r="109" spans="1:21" s="305" customFormat="1" ht="21.75" hidden="1" customHeight="1" outlineLevel="1" x14ac:dyDescent="0.25">
      <c r="A109" s="278"/>
      <c r="B109" s="279" t="str">
        <f t="shared" si="10"/>
        <v>21002100AL/DHW</v>
      </c>
      <c r="C109" s="278">
        <v>2100</v>
      </c>
      <c r="D109" s="278">
        <v>2100</v>
      </c>
      <c r="E109" s="278" t="s">
        <v>938</v>
      </c>
      <c r="F109" s="278"/>
      <c r="G109" s="278" t="s">
        <v>5</v>
      </c>
      <c r="H109" s="290">
        <v>5</v>
      </c>
      <c r="I109" s="280">
        <f t="shared" si="12"/>
        <v>403.1</v>
      </c>
      <c r="J109" s="281">
        <f t="shared" si="11"/>
        <v>457.15000000000003</v>
      </c>
      <c r="K109" s="282">
        <f>IF(Notes!$B$9="Domestic",I109, IF(Notes!$B$9="Commercial",J109))*$K$71</f>
        <v>457.15000000000003</v>
      </c>
      <c r="L109" s="283">
        <f>(SUM(O109:Q109)+(K109+SUM(M109:Q109))*(INDEX($U$71:$AB$71,MATCH(Notes!$C$16,$U$3:$AB$3,0))-100%))*$L$71</f>
        <v>1491.6704</v>
      </c>
      <c r="M109" s="286"/>
      <c r="N109" s="286"/>
      <c r="O109" s="285">
        <v>916.43</v>
      </c>
      <c r="P109" s="311">
        <f t="shared" si="9"/>
        <v>575.24039999999991</v>
      </c>
      <c r="Q109" s="285"/>
      <c r="R109" s="278"/>
      <c r="S109" s="278"/>
      <c r="T109" s="278"/>
      <c r="U109" s="304"/>
    </row>
    <row r="110" spans="1:21" s="305" customFormat="1" ht="21.75" hidden="1" customHeight="1" outlineLevel="1" x14ac:dyDescent="0.25">
      <c r="A110" s="278"/>
      <c r="B110" s="279" t="str">
        <f t="shared" si="10"/>
        <v>21002400AL/DHW</v>
      </c>
      <c r="C110" s="278">
        <v>2100</v>
      </c>
      <c r="D110" s="278">
        <v>2400</v>
      </c>
      <c r="E110" s="278" t="s">
        <v>938</v>
      </c>
      <c r="F110" s="278"/>
      <c r="G110" s="278" t="s">
        <v>5</v>
      </c>
      <c r="H110" s="290">
        <v>5</v>
      </c>
      <c r="I110" s="280">
        <f t="shared" si="12"/>
        <v>403.1</v>
      </c>
      <c r="J110" s="281">
        <f t="shared" si="11"/>
        <v>457.15000000000003</v>
      </c>
      <c r="K110" s="282">
        <f>IF(Notes!$B$9="Domestic",I110, IF(Notes!$B$9="Commercial",J110))*$K$71</f>
        <v>457.15000000000003</v>
      </c>
      <c r="L110" s="283">
        <f>(SUM(O110:Q110)+(K110+SUM(M110:Q110))*(INDEX($U$71:$AB$71,MATCH(Notes!$C$16,$U$3:$AB$3,0))-100%))*$L$71</f>
        <v>1607.7076</v>
      </c>
      <c r="M110" s="286"/>
      <c r="N110" s="286"/>
      <c r="O110" s="285">
        <v>950.29</v>
      </c>
      <c r="P110" s="311">
        <f t="shared" si="9"/>
        <v>657.41759999999999</v>
      </c>
      <c r="Q110" s="285"/>
      <c r="R110" s="278"/>
      <c r="S110" s="278"/>
      <c r="T110" s="278"/>
      <c r="U110" s="304"/>
    </row>
    <row r="111" spans="1:21" s="305" customFormat="1" ht="21.75" hidden="1" customHeight="1" outlineLevel="1" x14ac:dyDescent="0.25">
      <c r="A111" s="278"/>
      <c r="B111" s="279" t="str">
        <f t="shared" si="10"/>
        <v>21002700AL/DHW</v>
      </c>
      <c r="C111" s="278">
        <v>2100</v>
      </c>
      <c r="D111" s="278">
        <v>2700</v>
      </c>
      <c r="E111" s="278" t="s">
        <v>938</v>
      </c>
      <c r="F111" s="278"/>
      <c r="G111" s="278" t="s">
        <v>5</v>
      </c>
      <c r="H111" s="290">
        <v>6</v>
      </c>
      <c r="I111" s="280">
        <f t="shared" si="12"/>
        <v>483.72</v>
      </c>
      <c r="J111" s="281">
        <f t="shared" si="11"/>
        <v>548.58000000000004</v>
      </c>
      <c r="K111" s="282">
        <f>IF(Notes!$B$9="Domestic",I111, IF(Notes!$B$9="Commercial",J111))*$K$71</f>
        <v>548.58000000000004</v>
      </c>
      <c r="L111" s="283">
        <f>(SUM(O111:Q111)+(K111+SUM(M111:Q111))*(INDEX($U$71:$AB$71,MATCH(Notes!$C$16,$U$3:$AB$3,0))-100%))*$L$71</f>
        <v>2053.3447999999999</v>
      </c>
      <c r="M111" s="286"/>
      <c r="N111" s="286"/>
      <c r="O111" s="285">
        <v>1313.75</v>
      </c>
      <c r="P111" s="311">
        <f t="shared" si="9"/>
        <v>739.59479999999996</v>
      </c>
      <c r="Q111" s="285"/>
      <c r="R111" s="278"/>
      <c r="S111" s="278"/>
      <c r="T111" s="278"/>
      <c r="U111" s="304"/>
    </row>
    <row r="112" spans="1:21" s="305" customFormat="1" ht="21.75" hidden="1" customHeight="1" outlineLevel="1" x14ac:dyDescent="0.25">
      <c r="A112" s="278"/>
      <c r="B112" s="279" t="str">
        <f t="shared" si="10"/>
        <v>2400600AL/DHW</v>
      </c>
      <c r="C112" s="278">
        <v>2400</v>
      </c>
      <c r="D112" s="278">
        <v>600</v>
      </c>
      <c r="E112" s="278" t="s">
        <v>938</v>
      </c>
      <c r="F112" s="278"/>
      <c r="G112" s="278" t="s">
        <v>5</v>
      </c>
      <c r="H112" s="290">
        <v>2</v>
      </c>
      <c r="I112" s="280">
        <f t="shared" si="12"/>
        <v>161.24</v>
      </c>
      <c r="J112" s="281">
        <f t="shared" si="11"/>
        <v>182.86</v>
      </c>
      <c r="K112" s="282">
        <f>IF(Notes!$B$9="Domestic",I112, IF(Notes!$B$9="Commercial",J112))*$K$71</f>
        <v>182.86</v>
      </c>
      <c r="L112" s="283">
        <f>(SUM(O112:Q112)+(K112+SUM(M112:Q112))*(INDEX($U$71:$AB$71,MATCH(Notes!$C$16,$U$3:$AB$3,0))-100%))*$L$71</f>
        <v>745.8735999999999</v>
      </c>
      <c r="M112" s="286"/>
      <c r="N112" s="286"/>
      <c r="O112" s="311">
        <f>O105</f>
        <v>558.04</v>
      </c>
      <c r="P112" s="311">
        <f t="shared" si="9"/>
        <v>187.83359999999999</v>
      </c>
      <c r="Q112" s="285"/>
      <c r="R112" s="278"/>
      <c r="S112" s="278"/>
      <c r="T112" s="278"/>
      <c r="U112" s="304"/>
    </row>
    <row r="113" spans="1:28" s="305" customFormat="1" ht="21.75" hidden="1" customHeight="1" outlineLevel="1" x14ac:dyDescent="0.25">
      <c r="A113" s="278"/>
      <c r="B113" s="279" t="str">
        <f t="shared" si="10"/>
        <v>2400900AL/DHW</v>
      </c>
      <c r="C113" s="278">
        <v>2400</v>
      </c>
      <c r="D113" s="278">
        <v>900</v>
      </c>
      <c r="E113" s="278" t="s">
        <v>938</v>
      </c>
      <c r="F113" s="278"/>
      <c r="G113" s="278" t="s">
        <v>5</v>
      </c>
      <c r="H113" s="290">
        <v>4</v>
      </c>
      <c r="I113" s="280">
        <f t="shared" si="12"/>
        <v>322.48</v>
      </c>
      <c r="J113" s="281">
        <f t="shared" si="11"/>
        <v>365.72</v>
      </c>
      <c r="K113" s="282">
        <f>IF(Notes!$B$9="Domestic",I113, IF(Notes!$B$9="Commercial",J113))*$K$71</f>
        <v>365.72</v>
      </c>
      <c r="L113" s="283">
        <f>(SUM(O113:Q113)+(K113+SUM(M113:Q113))*(INDEX($U$71:$AB$71,MATCH(Notes!$C$16,$U$3:$AB$3,0))-100%))*$L$71</f>
        <v>909.54039999999986</v>
      </c>
      <c r="M113" s="286"/>
      <c r="N113" s="286"/>
      <c r="O113" s="311">
        <f>O78</f>
        <v>627.79</v>
      </c>
      <c r="P113" s="311">
        <f t="shared" si="9"/>
        <v>281.75039999999996</v>
      </c>
      <c r="Q113" s="285"/>
      <c r="R113" s="278"/>
      <c r="S113" s="278"/>
      <c r="T113" s="278"/>
      <c r="U113" s="304"/>
    </row>
    <row r="114" spans="1:28" s="305" customFormat="1" ht="21.75" hidden="1" customHeight="1" outlineLevel="1" x14ac:dyDescent="0.25">
      <c r="A114" s="278"/>
      <c r="B114" s="279" t="str">
        <f t="shared" si="10"/>
        <v>24001200AL/DHW</v>
      </c>
      <c r="C114" s="278">
        <v>2400</v>
      </c>
      <c r="D114" s="278">
        <v>1200</v>
      </c>
      <c r="E114" s="278" t="s">
        <v>938</v>
      </c>
      <c r="F114" s="278"/>
      <c r="G114" s="278" t="s">
        <v>5</v>
      </c>
      <c r="H114" s="290">
        <v>4</v>
      </c>
      <c r="I114" s="280">
        <f t="shared" si="12"/>
        <v>322.48</v>
      </c>
      <c r="J114" s="281">
        <f t="shared" si="11"/>
        <v>365.72</v>
      </c>
      <c r="K114" s="282">
        <f>IF(Notes!$B$9="Domestic",I114, IF(Notes!$B$9="Commercial",J114))*$K$71</f>
        <v>365.72</v>
      </c>
      <c r="L114" s="283">
        <f>(SUM(O114:Q114)+(K114+SUM(M114:Q114))*(INDEX($U$71:$AB$71,MATCH(Notes!$C$16,$U$3:$AB$3,0))-100%))*$L$71</f>
        <v>1129.5472</v>
      </c>
      <c r="M114" s="286"/>
      <c r="N114" s="286"/>
      <c r="O114" s="311">
        <f>O86</f>
        <v>753.88</v>
      </c>
      <c r="P114" s="311">
        <f t="shared" si="9"/>
        <v>375.66719999999998</v>
      </c>
      <c r="Q114" s="285"/>
      <c r="R114" s="278"/>
      <c r="S114" s="278"/>
      <c r="T114" s="278"/>
      <c r="U114" s="304"/>
    </row>
    <row r="115" spans="1:28" s="305" customFormat="1" ht="21.75" hidden="1" customHeight="1" outlineLevel="1" x14ac:dyDescent="0.25">
      <c r="A115" s="278"/>
      <c r="B115" s="279" t="str">
        <f t="shared" si="10"/>
        <v>24001500AL/DHW</v>
      </c>
      <c r="C115" s="278">
        <v>2400</v>
      </c>
      <c r="D115" s="278">
        <v>1500</v>
      </c>
      <c r="E115" s="278" t="s">
        <v>938</v>
      </c>
      <c r="F115" s="278"/>
      <c r="G115" s="278" t="s">
        <v>5</v>
      </c>
      <c r="H115" s="290">
        <v>4</v>
      </c>
      <c r="I115" s="280">
        <f t="shared" si="12"/>
        <v>322.48</v>
      </c>
      <c r="J115" s="281">
        <f t="shared" si="11"/>
        <v>365.72</v>
      </c>
      <c r="K115" s="282">
        <f>IF(Notes!$B$9="Domestic",I115, IF(Notes!$B$9="Commercial",J115))*$K$71</f>
        <v>365.72</v>
      </c>
      <c r="L115" s="283">
        <f>(SUM(O115:Q115)+(K115+SUM(M115:Q115))*(INDEX($U$71:$AB$71,MATCH(Notes!$C$16,$U$3:$AB$3,0))-100%))*$L$71</f>
        <v>1352.3240000000001</v>
      </c>
      <c r="M115" s="286"/>
      <c r="N115" s="286"/>
      <c r="O115" s="311">
        <f>O94</f>
        <v>882.74</v>
      </c>
      <c r="P115" s="311">
        <f t="shared" si="9"/>
        <v>469.584</v>
      </c>
      <c r="Q115" s="285"/>
      <c r="R115" s="278"/>
      <c r="S115" s="278"/>
      <c r="T115" s="278"/>
      <c r="U115" s="304"/>
    </row>
    <row r="116" spans="1:28" s="305" customFormat="1" ht="21.75" hidden="1" customHeight="1" outlineLevel="1" x14ac:dyDescent="0.25">
      <c r="A116" s="278"/>
      <c r="B116" s="279" t="str">
        <f t="shared" si="10"/>
        <v>24001800AL/DHW</v>
      </c>
      <c r="C116" s="278">
        <v>2400</v>
      </c>
      <c r="D116" s="278">
        <v>1800</v>
      </c>
      <c r="E116" s="278" t="s">
        <v>938</v>
      </c>
      <c r="F116" s="278"/>
      <c r="G116" s="278" t="s">
        <v>5</v>
      </c>
      <c r="H116" s="290">
        <v>5</v>
      </c>
      <c r="I116" s="280">
        <f t="shared" si="12"/>
        <v>403.1</v>
      </c>
      <c r="J116" s="281">
        <f t="shared" si="11"/>
        <v>457.15000000000003</v>
      </c>
      <c r="K116" s="282">
        <f>IF(Notes!$B$9="Domestic",I116, IF(Notes!$B$9="Commercial",J116))*$K$71</f>
        <v>457.15000000000003</v>
      </c>
      <c r="L116" s="283">
        <f>(SUM(O116:Q116)+(K116+SUM(M116:Q116))*(INDEX($U$71:$AB$71,MATCH(Notes!$C$16,$U$3:$AB$3,0))-100%))*$L$71</f>
        <v>1463.6107999999999</v>
      </c>
      <c r="M116" s="286"/>
      <c r="N116" s="286"/>
      <c r="O116" s="311">
        <f>O102</f>
        <v>900.11</v>
      </c>
      <c r="P116" s="311">
        <f t="shared" si="9"/>
        <v>563.50079999999991</v>
      </c>
      <c r="Q116" s="285"/>
      <c r="R116" s="278"/>
      <c r="S116" s="278"/>
      <c r="T116" s="278"/>
      <c r="U116" s="304"/>
    </row>
    <row r="117" spans="1:28" s="305" customFormat="1" ht="21.75" hidden="1" customHeight="1" outlineLevel="1" x14ac:dyDescent="0.25">
      <c r="A117" s="278"/>
      <c r="B117" s="279" t="str">
        <f t="shared" si="10"/>
        <v>24002100AL/DHW</v>
      </c>
      <c r="C117" s="278">
        <v>2400</v>
      </c>
      <c r="D117" s="278">
        <v>2100</v>
      </c>
      <c r="E117" s="278" t="s">
        <v>938</v>
      </c>
      <c r="F117" s="278"/>
      <c r="G117" s="278" t="s">
        <v>5</v>
      </c>
      <c r="H117" s="290">
        <v>5</v>
      </c>
      <c r="I117" s="280">
        <f t="shared" si="12"/>
        <v>403.1</v>
      </c>
      <c r="J117" s="281">
        <f t="shared" si="11"/>
        <v>457.15000000000003</v>
      </c>
      <c r="K117" s="282">
        <f>IF(Notes!$B$9="Domestic",I117, IF(Notes!$B$9="Commercial",J117))*$K$71</f>
        <v>457.15000000000003</v>
      </c>
      <c r="L117" s="283">
        <f>(SUM(O117:Q117)+(K117+SUM(M117:Q117))*(INDEX($U$71:$AB$71,MATCH(Notes!$C$16,$U$3:$AB$3,0))-100%))*$L$71</f>
        <v>1607.7076</v>
      </c>
      <c r="M117" s="286"/>
      <c r="N117" s="286"/>
      <c r="O117" s="311">
        <f>O110</f>
        <v>950.29</v>
      </c>
      <c r="P117" s="311">
        <f t="shared" si="9"/>
        <v>657.41759999999999</v>
      </c>
      <c r="Q117" s="285"/>
      <c r="R117" s="278"/>
      <c r="S117" s="278"/>
      <c r="T117" s="278"/>
      <c r="U117" s="304"/>
    </row>
    <row r="118" spans="1:28" s="305" customFormat="1" ht="21.75" hidden="1" customHeight="1" outlineLevel="1" x14ac:dyDescent="0.25">
      <c r="A118" s="278"/>
      <c r="B118" s="279" t="str">
        <f t="shared" si="10"/>
        <v>24002400AL/DHW</v>
      </c>
      <c r="C118" s="278">
        <v>2400</v>
      </c>
      <c r="D118" s="278">
        <v>2400</v>
      </c>
      <c r="E118" s="278" t="s">
        <v>938</v>
      </c>
      <c r="F118" s="278"/>
      <c r="G118" s="278" t="s">
        <v>5</v>
      </c>
      <c r="H118" s="290">
        <v>6</v>
      </c>
      <c r="I118" s="280">
        <f t="shared" si="12"/>
        <v>483.72</v>
      </c>
      <c r="J118" s="281">
        <f t="shared" si="11"/>
        <v>548.58000000000004</v>
      </c>
      <c r="K118" s="282">
        <f>IF(Notes!$B$9="Domestic",I118, IF(Notes!$B$9="Commercial",J118))*$K$71</f>
        <v>548.58000000000004</v>
      </c>
      <c r="L118" s="283">
        <f>(SUM(O118:Q118)+(K118+SUM(M118:Q118))*(INDEX($U$71:$AB$71,MATCH(Notes!$C$16,$U$3:$AB$3,0))-100%))*$L$71</f>
        <v>1751.8044</v>
      </c>
      <c r="M118" s="286"/>
      <c r="N118" s="286"/>
      <c r="O118" s="311">
        <f>O110+O110-O102</f>
        <v>1000.4699999999999</v>
      </c>
      <c r="P118" s="311">
        <f t="shared" si="9"/>
        <v>751.33439999999996</v>
      </c>
      <c r="Q118" s="285"/>
      <c r="R118" s="278"/>
      <c r="S118" s="278"/>
      <c r="T118" s="278"/>
      <c r="U118" s="304"/>
    </row>
    <row r="119" spans="1:28" s="305" customFormat="1" ht="21.75" hidden="1" customHeight="1" outlineLevel="1" x14ac:dyDescent="0.25">
      <c r="A119" s="278"/>
      <c r="B119" s="279" t="str">
        <f t="shared" si="10"/>
        <v>24002700AL/DHW</v>
      </c>
      <c r="C119" s="278">
        <v>2400</v>
      </c>
      <c r="D119" s="278">
        <v>2700</v>
      </c>
      <c r="E119" s="278" t="s">
        <v>938</v>
      </c>
      <c r="F119" s="278"/>
      <c r="G119" s="278" t="s">
        <v>5</v>
      </c>
      <c r="H119" s="290">
        <v>6</v>
      </c>
      <c r="I119" s="280">
        <f t="shared" si="12"/>
        <v>483.72</v>
      </c>
      <c r="J119" s="281">
        <f t="shared" si="11"/>
        <v>548.58000000000004</v>
      </c>
      <c r="K119" s="282">
        <f>IF(Notes!$B$9="Domestic",I119, IF(Notes!$B$9="Commercial",J119))*$K$71</f>
        <v>548.58000000000004</v>
      </c>
      <c r="L119" s="283">
        <f>(SUM(O119:Q119)+(K119+SUM(M119:Q119))*(INDEX($U$71:$AB$71,MATCH(Notes!$C$16,$U$3:$AB$3,0))-100%))*$L$71</f>
        <v>2314.9512</v>
      </c>
      <c r="M119" s="286"/>
      <c r="N119" s="286"/>
      <c r="O119" s="311">
        <f>O111+O111-O103</f>
        <v>1469.7</v>
      </c>
      <c r="P119" s="311">
        <f t="shared" si="9"/>
        <v>845.25119999999993</v>
      </c>
      <c r="Q119" s="285"/>
      <c r="R119" s="278"/>
      <c r="S119" s="278"/>
      <c r="T119" s="278"/>
      <c r="U119" s="304"/>
    </row>
    <row r="120" spans="1:28" s="305" customFormat="1" ht="21.75" hidden="1" customHeight="1" outlineLevel="1" x14ac:dyDescent="0.25">
      <c r="A120" s="278"/>
      <c r="B120" s="279" t="str">
        <f t="shared" si="10"/>
        <v>2700600AL/DHW</v>
      </c>
      <c r="C120" s="278">
        <v>2700</v>
      </c>
      <c r="D120" s="278">
        <v>600</v>
      </c>
      <c r="E120" s="278" t="s">
        <v>938</v>
      </c>
      <c r="F120" s="278"/>
      <c r="G120" s="278" t="s">
        <v>5</v>
      </c>
      <c r="H120" s="290">
        <v>4</v>
      </c>
      <c r="I120" s="280">
        <f t="shared" si="12"/>
        <v>322.48</v>
      </c>
      <c r="J120" s="281">
        <f t="shared" si="11"/>
        <v>365.72</v>
      </c>
      <c r="K120" s="282">
        <f>IF(Notes!$B$9="Domestic",I120, IF(Notes!$B$9="Commercial",J120))*$K$71</f>
        <v>365.72</v>
      </c>
      <c r="L120" s="283">
        <f>(SUM(O120:Q120)+(K120+SUM(M120:Q120))*(INDEX($U$71:$AB$71,MATCH(Notes!$C$16,$U$3:$AB$3,0))-100%))*$L$71</f>
        <v>839.10279999999989</v>
      </c>
      <c r="M120" s="286"/>
      <c r="N120" s="286"/>
      <c r="O120" s="311">
        <f>O113</f>
        <v>627.79</v>
      </c>
      <c r="P120" s="311">
        <f t="shared" si="9"/>
        <v>211.31279999999998</v>
      </c>
      <c r="Q120" s="285"/>
      <c r="R120" s="278"/>
      <c r="S120" s="278"/>
      <c r="T120" s="278"/>
      <c r="U120" s="304"/>
    </row>
    <row r="121" spans="1:28" s="305" customFormat="1" ht="21.75" hidden="1" customHeight="1" outlineLevel="1" x14ac:dyDescent="0.25">
      <c r="A121" s="278"/>
      <c r="B121" s="279" t="str">
        <f t="shared" si="10"/>
        <v>2700900AL/DHW</v>
      </c>
      <c r="C121" s="278">
        <v>2700</v>
      </c>
      <c r="D121" s="278">
        <v>900</v>
      </c>
      <c r="E121" s="278" t="s">
        <v>938</v>
      </c>
      <c r="F121" s="278"/>
      <c r="G121" s="278" t="s">
        <v>5</v>
      </c>
      <c r="H121" s="290">
        <v>4</v>
      </c>
      <c r="I121" s="280">
        <f t="shared" si="12"/>
        <v>322.48</v>
      </c>
      <c r="J121" s="281">
        <f t="shared" si="11"/>
        <v>365.72</v>
      </c>
      <c r="K121" s="282">
        <f>IF(Notes!$B$9="Domestic",I121, IF(Notes!$B$9="Commercial",J121))*$K$71</f>
        <v>365.72</v>
      </c>
      <c r="L121" s="283">
        <f>(SUM(O121:Q121)+(K121+SUM(M121:Q121))*(INDEX($U$71:$AB$71,MATCH(Notes!$C$16,$U$3:$AB$3,0))-100%))*$L$71</f>
        <v>1083.0792000000001</v>
      </c>
      <c r="M121" s="286"/>
      <c r="N121" s="286"/>
      <c r="O121" s="311">
        <f>O79</f>
        <v>766.11</v>
      </c>
      <c r="P121" s="311">
        <f t="shared" si="9"/>
        <v>316.9692</v>
      </c>
      <c r="Q121" s="285"/>
      <c r="R121" s="278"/>
      <c r="S121" s="278"/>
      <c r="T121" s="278"/>
      <c r="U121" s="304"/>
    </row>
    <row r="122" spans="1:28" s="305" customFormat="1" ht="21.75" hidden="1" customHeight="1" outlineLevel="1" x14ac:dyDescent="0.25">
      <c r="A122" s="278"/>
      <c r="B122" s="279" t="str">
        <f t="shared" si="10"/>
        <v>27001200AL/DHW</v>
      </c>
      <c r="C122" s="278">
        <v>2700</v>
      </c>
      <c r="D122" s="278">
        <v>1200</v>
      </c>
      <c r="E122" s="278" t="s">
        <v>938</v>
      </c>
      <c r="F122" s="278"/>
      <c r="G122" s="278" t="s">
        <v>5</v>
      </c>
      <c r="H122" s="290">
        <v>4</v>
      </c>
      <c r="I122" s="280">
        <f t="shared" si="12"/>
        <v>322.48</v>
      </c>
      <c r="J122" s="281">
        <f t="shared" si="11"/>
        <v>365.72</v>
      </c>
      <c r="K122" s="282">
        <f>IF(Notes!$B$9="Domestic",I122, IF(Notes!$B$9="Commercial",J122))*$K$71</f>
        <v>365.72</v>
      </c>
      <c r="L122" s="283">
        <f>(SUM(O122:Q122)+(K122+SUM(M122:Q122))*(INDEX($U$71:$AB$71,MATCH(Notes!$C$16,$U$3:$AB$3,0))-100%))*$L$71</f>
        <v>1344.1255999999998</v>
      </c>
      <c r="M122" s="286"/>
      <c r="N122" s="286"/>
      <c r="O122" s="311">
        <f>O87</f>
        <v>921.5</v>
      </c>
      <c r="P122" s="311">
        <f t="shared" si="9"/>
        <v>422.62559999999996</v>
      </c>
      <c r="Q122" s="285"/>
      <c r="R122" s="278"/>
      <c r="S122" s="278"/>
      <c r="T122" s="278"/>
      <c r="U122" s="304"/>
    </row>
    <row r="123" spans="1:28" s="305" customFormat="1" ht="21.75" hidden="1" customHeight="1" outlineLevel="1" x14ac:dyDescent="0.25">
      <c r="A123" s="278"/>
      <c r="B123" s="279" t="str">
        <f t="shared" si="10"/>
        <v>27001500AL/DHW</v>
      </c>
      <c r="C123" s="278">
        <v>2700</v>
      </c>
      <c r="D123" s="278">
        <v>1500</v>
      </c>
      <c r="E123" s="278" t="s">
        <v>938</v>
      </c>
      <c r="F123" s="278"/>
      <c r="G123" s="278" t="s">
        <v>5</v>
      </c>
      <c r="H123" s="290">
        <v>5</v>
      </c>
      <c r="I123" s="280">
        <f t="shared" si="12"/>
        <v>403.1</v>
      </c>
      <c r="J123" s="281">
        <f t="shared" si="11"/>
        <v>457.15000000000003</v>
      </c>
      <c r="K123" s="282">
        <f>IF(Notes!$B$9="Domestic",I123, IF(Notes!$B$9="Commercial",J123))*$K$71</f>
        <v>457.15000000000003</v>
      </c>
      <c r="L123" s="283">
        <f>(SUM(O123:Q123)+(K123+SUM(M123:Q123))*(INDEX($U$71:$AB$71,MATCH(Notes!$C$16,$U$3:$AB$3,0))-100%))*$L$71</f>
        <v>1605.7220000000002</v>
      </c>
      <c r="M123" s="286"/>
      <c r="N123" s="286"/>
      <c r="O123" s="311">
        <f>O95</f>
        <v>1077.44</v>
      </c>
      <c r="P123" s="311">
        <f t="shared" si="9"/>
        <v>528.28200000000004</v>
      </c>
      <c r="Q123" s="285"/>
      <c r="R123" s="278"/>
      <c r="S123" s="278"/>
      <c r="T123" s="278"/>
      <c r="U123" s="304"/>
    </row>
    <row r="124" spans="1:28" s="305" customFormat="1" ht="21.75" hidden="1" customHeight="1" outlineLevel="1" x14ac:dyDescent="0.25">
      <c r="A124" s="278"/>
      <c r="B124" s="279" t="str">
        <f t="shared" si="10"/>
        <v>27001800AL/DHW</v>
      </c>
      <c r="C124" s="278">
        <v>2700</v>
      </c>
      <c r="D124" s="278">
        <v>1800</v>
      </c>
      <c r="E124" s="278" t="s">
        <v>938</v>
      </c>
      <c r="F124" s="278"/>
      <c r="G124" s="278" t="s">
        <v>5</v>
      </c>
      <c r="H124" s="290">
        <v>5</v>
      </c>
      <c r="I124" s="280">
        <f t="shared" si="12"/>
        <v>403.1</v>
      </c>
      <c r="J124" s="281">
        <f t="shared" si="11"/>
        <v>457.15000000000003</v>
      </c>
      <c r="K124" s="282">
        <f>IF(Notes!$B$9="Domestic",I124, IF(Notes!$B$9="Commercial",J124))*$K$71</f>
        <v>457.15000000000003</v>
      </c>
      <c r="L124" s="283">
        <f>(SUM(O124:Q124)+(K124+SUM(M124:Q124))*(INDEX($U$71:$AB$71,MATCH(Notes!$C$16,$U$3:$AB$3,0))-100%))*$L$71</f>
        <v>1791.7384</v>
      </c>
      <c r="M124" s="286"/>
      <c r="N124" s="286"/>
      <c r="O124" s="311">
        <f>O103</f>
        <v>1157.8</v>
      </c>
      <c r="P124" s="311">
        <f t="shared" si="9"/>
        <v>633.9384</v>
      </c>
      <c r="Q124" s="285"/>
      <c r="R124" s="278"/>
      <c r="S124" s="278"/>
      <c r="T124" s="278"/>
      <c r="U124" s="304"/>
    </row>
    <row r="125" spans="1:28" s="305" customFormat="1" ht="21.75" hidden="1" customHeight="1" outlineLevel="1" x14ac:dyDescent="0.25">
      <c r="A125" s="278"/>
      <c r="B125" s="279" t="str">
        <f t="shared" si="10"/>
        <v>27002100AL/DHW</v>
      </c>
      <c r="C125" s="278">
        <v>2700</v>
      </c>
      <c r="D125" s="278">
        <v>2100</v>
      </c>
      <c r="E125" s="278" t="s">
        <v>938</v>
      </c>
      <c r="F125" s="278"/>
      <c r="G125" s="278" t="s">
        <v>5</v>
      </c>
      <c r="H125" s="290">
        <v>6</v>
      </c>
      <c r="I125" s="280">
        <f t="shared" si="12"/>
        <v>483.72</v>
      </c>
      <c r="J125" s="281">
        <f t="shared" si="11"/>
        <v>548.58000000000004</v>
      </c>
      <c r="K125" s="282">
        <f>IF(Notes!$B$9="Domestic",I125, IF(Notes!$B$9="Commercial",J125))*$K$71</f>
        <v>548.58000000000004</v>
      </c>
      <c r="L125" s="283">
        <f>(SUM(O125:Q125)+(K125+SUM(M125:Q125))*(INDEX($U$71:$AB$71,MATCH(Notes!$C$16,$U$3:$AB$3,0))-100%))*$L$71</f>
        <v>2053.3447999999999</v>
      </c>
      <c r="M125" s="286"/>
      <c r="N125" s="286"/>
      <c r="O125" s="311">
        <f>O111</f>
        <v>1313.75</v>
      </c>
      <c r="P125" s="311">
        <f t="shared" si="9"/>
        <v>739.59479999999996</v>
      </c>
      <c r="Q125" s="285"/>
      <c r="R125" s="278"/>
      <c r="S125" s="278"/>
      <c r="T125" s="278"/>
      <c r="U125" s="304"/>
    </row>
    <row r="126" spans="1:28" s="305" customFormat="1" ht="21.75" hidden="1" customHeight="1" outlineLevel="1" x14ac:dyDescent="0.25">
      <c r="A126" s="278"/>
      <c r="B126" s="279" t="str">
        <f t="shared" si="10"/>
        <v>27002400AL/DHW</v>
      </c>
      <c r="C126" s="278">
        <v>2700</v>
      </c>
      <c r="D126" s="278">
        <v>2400</v>
      </c>
      <c r="E126" s="278" t="s">
        <v>938</v>
      </c>
      <c r="F126" s="278"/>
      <c r="G126" s="278" t="s">
        <v>5</v>
      </c>
      <c r="H126" s="290">
        <v>6</v>
      </c>
      <c r="I126" s="280">
        <f t="shared" si="12"/>
        <v>483.72</v>
      </c>
      <c r="J126" s="281">
        <f t="shared" si="11"/>
        <v>548.58000000000004</v>
      </c>
      <c r="K126" s="282">
        <f>IF(Notes!$B$9="Domestic",I126, IF(Notes!$B$9="Commercial",J126))*$K$71</f>
        <v>548.58000000000004</v>
      </c>
      <c r="L126" s="283">
        <f>(SUM(O126:Q126)+(K126+SUM(M126:Q126))*(INDEX($U$71:$AB$71,MATCH(Notes!$C$16,$U$3:$AB$3,0))-100%))*$L$71</f>
        <v>2314.9512</v>
      </c>
      <c r="M126" s="286"/>
      <c r="N126" s="286"/>
      <c r="O126" s="311">
        <f>O119</f>
        <v>1469.7</v>
      </c>
      <c r="P126" s="311">
        <f t="shared" si="9"/>
        <v>845.25119999999993</v>
      </c>
      <c r="Q126" s="285"/>
      <c r="R126" s="278"/>
      <c r="S126" s="278"/>
      <c r="T126" s="278"/>
      <c r="U126" s="304"/>
    </row>
    <row r="127" spans="1:28" s="305" customFormat="1" ht="21.75" hidden="1" customHeight="1" outlineLevel="1" x14ac:dyDescent="0.25">
      <c r="A127" s="278"/>
      <c r="B127" s="279" t="str">
        <f t="shared" si="10"/>
        <v>27002700AL/DHW</v>
      </c>
      <c r="C127" s="278">
        <v>2700</v>
      </c>
      <c r="D127" s="278">
        <v>2700</v>
      </c>
      <c r="E127" s="278" t="s">
        <v>938</v>
      </c>
      <c r="F127" s="278"/>
      <c r="G127" s="278" t="s">
        <v>5</v>
      </c>
      <c r="H127" s="290">
        <v>6</v>
      </c>
      <c r="I127" s="280">
        <f t="shared" si="12"/>
        <v>483.72</v>
      </c>
      <c r="J127" s="281">
        <f t="shared" si="11"/>
        <v>548.58000000000004</v>
      </c>
      <c r="K127" s="282">
        <f>IF(Notes!$B$9="Domestic",I127, IF(Notes!$B$9="Commercial",J127))*$K$71</f>
        <v>548.58000000000004</v>
      </c>
      <c r="L127" s="283">
        <f>(SUM(O127:Q127)+(K127+SUM(M127:Q127))*(INDEX($U$71:$AB$71,MATCH(Notes!$C$16,$U$3:$AB$3,0))-100%))*$L$71</f>
        <v>2576.5576000000001</v>
      </c>
      <c r="M127" s="286"/>
      <c r="N127" s="286"/>
      <c r="O127" s="311">
        <f>O119+O119-O111</f>
        <v>1625.65</v>
      </c>
      <c r="P127" s="311">
        <f t="shared" si="9"/>
        <v>950.9076</v>
      </c>
      <c r="Q127" s="285"/>
      <c r="R127" s="278"/>
      <c r="S127" s="278"/>
      <c r="T127" s="278"/>
      <c r="U127" s="304"/>
    </row>
    <row r="128" spans="1:28" ht="21" hidden="1" outlineLevel="1" x14ac:dyDescent="0.25">
      <c r="A128" s="299" t="s">
        <v>140</v>
      </c>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row>
    <row r="129" spans="1:28" ht="15.75" hidden="1" outlineLevel="1" x14ac:dyDescent="0.25">
      <c r="A129" s="291"/>
      <c r="B129" s="291"/>
      <c r="C129" s="291"/>
      <c r="D129" s="291"/>
      <c r="E129" s="291"/>
      <c r="F129" s="291"/>
      <c r="G129" s="291"/>
      <c r="H129" s="291"/>
      <c r="I129" s="291"/>
      <c r="J129" s="291"/>
      <c r="K129" s="291">
        <f>K$2</f>
        <v>1</v>
      </c>
      <c r="L129" s="291">
        <f>L$2</f>
        <v>1</v>
      </c>
      <c r="M129" s="291"/>
      <c r="N129" s="291"/>
      <c r="O129" s="303"/>
      <c r="P129" s="303"/>
      <c r="Q129" s="303"/>
      <c r="R129" s="291"/>
      <c r="S129" s="291"/>
      <c r="T129" s="291"/>
      <c r="U129" s="291">
        <f>U$2</f>
        <v>0.89965397923875434</v>
      </c>
      <c r="V129" s="291">
        <f>V$2</f>
        <v>1</v>
      </c>
      <c r="W129" s="291">
        <f t="shared" ref="W129:AB129" si="13">W$2</f>
        <v>0.92214532871972321</v>
      </c>
      <c r="X129" s="291">
        <f t="shared" si="13"/>
        <v>0.89965397923875434</v>
      </c>
      <c r="Y129" s="291">
        <f t="shared" si="13"/>
        <v>1.0069204152249136</v>
      </c>
      <c r="Z129" s="291">
        <f t="shared" si="13"/>
        <v>0.856401384083045</v>
      </c>
      <c r="AA129" s="291">
        <f t="shared" si="13"/>
        <v>0.856401384083045</v>
      </c>
      <c r="AB129" s="291">
        <f t="shared" si="13"/>
        <v>1.0121107266435987</v>
      </c>
    </row>
    <row r="130" spans="1:28" s="305" customFormat="1" ht="21.75" hidden="1" customHeight="1" outlineLevel="1" x14ac:dyDescent="0.25">
      <c r="A130" s="278"/>
      <c r="B130" s="279" t="str">
        <f>C130&amp;D130&amp;E130&amp;F130</f>
        <v>600600AL/ANW</v>
      </c>
      <c r="C130" s="278">
        <v>600</v>
      </c>
      <c r="D130" s="278">
        <v>600</v>
      </c>
      <c r="E130" s="278" t="s">
        <v>939</v>
      </c>
      <c r="F130" s="278"/>
      <c r="G130" s="278" t="s">
        <v>5</v>
      </c>
      <c r="H130" s="290">
        <v>1</v>
      </c>
      <c r="I130" s="280">
        <f>$I$2*H130</f>
        <v>80.62</v>
      </c>
      <c r="J130" s="281">
        <f>$J$2*H130</f>
        <v>91.43</v>
      </c>
      <c r="K130" s="282">
        <f>IF(Notes!$B$9="Domestic",I130, IF(Notes!$B$9="Commercial",J130))*$K$129</f>
        <v>91.43</v>
      </c>
      <c r="L130" s="283">
        <f>(SUM(O130:Q130)+(K130+SUM(M130:Q130))*(INDEX($U$129:$AB$129,MATCH(Notes!$C$16,$U$3:$AB$3,0))-100%))*$L$129</f>
        <v>296.20839999999998</v>
      </c>
      <c r="M130" s="286"/>
      <c r="N130" s="286"/>
      <c r="O130" s="285">
        <v>249.25</v>
      </c>
      <c r="P130" s="311">
        <f t="shared" ref="P130:P193" si="14">$P$2*C130/1000*D130/1000</f>
        <v>46.958399999999997</v>
      </c>
      <c r="Q130" s="285"/>
      <c r="R130" s="278">
        <v>600</v>
      </c>
      <c r="S130" s="278">
        <v>600</v>
      </c>
      <c r="T130" s="278" t="s">
        <v>939</v>
      </c>
      <c r="U130" s="304"/>
    </row>
    <row r="131" spans="1:28" s="305" customFormat="1" ht="21.75" hidden="1" customHeight="1" outlineLevel="1" x14ac:dyDescent="0.25">
      <c r="A131" s="278"/>
      <c r="B131" s="279" t="str">
        <f t="shared" ref="B131:B193" si="15">C131&amp;D131&amp;E131&amp;F131</f>
        <v>600900AL/ANW</v>
      </c>
      <c r="C131" s="278">
        <v>600</v>
      </c>
      <c r="D131" s="278">
        <v>900</v>
      </c>
      <c r="E131" s="278" t="s">
        <v>939</v>
      </c>
      <c r="F131" s="278"/>
      <c r="G131" s="278" t="s">
        <v>5</v>
      </c>
      <c r="H131" s="290">
        <v>1</v>
      </c>
      <c r="I131" s="280">
        <f t="shared" ref="I131" si="16">$I$2*H131</f>
        <v>80.62</v>
      </c>
      <c r="J131" s="281">
        <f t="shared" ref="J131:J193" si="17">$J$2*H131</f>
        <v>91.43</v>
      </c>
      <c r="K131" s="282">
        <f>IF(Notes!$B$9="Domestic",I131, IF(Notes!$B$9="Commercial",J131))*$K$129</f>
        <v>91.43</v>
      </c>
      <c r="L131" s="283">
        <f>(SUM(O131:Q131)+(K131+SUM(M131:Q131))*(INDEX($U$129:$AB$129,MATCH(Notes!$C$16,$U$3:$AB$3,0))-100%))*$L$129</f>
        <v>357.82759999999996</v>
      </c>
      <c r="M131" s="286"/>
      <c r="N131" s="286"/>
      <c r="O131" s="285">
        <v>287.39</v>
      </c>
      <c r="P131" s="311">
        <f t="shared" si="14"/>
        <v>70.437599999999989</v>
      </c>
      <c r="Q131" s="285"/>
      <c r="R131" s="278">
        <v>900</v>
      </c>
      <c r="S131" s="278">
        <v>900</v>
      </c>
      <c r="T131" s="278"/>
      <c r="U131" s="304"/>
    </row>
    <row r="132" spans="1:28" s="305" customFormat="1" ht="21.75" hidden="1" customHeight="1" outlineLevel="1" x14ac:dyDescent="0.25">
      <c r="A132" s="278"/>
      <c r="B132" s="279" t="str">
        <f t="shared" si="15"/>
        <v>6001200AL/ANW</v>
      </c>
      <c r="C132" s="278">
        <v>600</v>
      </c>
      <c r="D132" s="278">
        <v>1200</v>
      </c>
      <c r="E132" s="278" t="s">
        <v>939</v>
      </c>
      <c r="F132" s="278"/>
      <c r="G132" s="278" t="s">
        <v>5</v>
      </c>
      <c r="H132" s="290">
        <v>1</v>
      </c>
      <c r="I132" s="280">
        <f>$I$2*H132</f>
        <v>80.62</v>
      </c>
      <c r="J132" s="281">
        <f t="shared" si="17"/>
        <v>91.43</v>
      </c>
      <c r="K132" s="282">
        <f>IF(Notes!$B$9="Domestic",I132, IF(Notes!$B$9="Commercial",J132))*$K$129</f>
        <v>91.43</v>
      </c>
      <c r="L132" s="283">
        <f>(SUM(O132:Q132)+(K132+SUM(M132:Q132))*(INDEX($U$129:$AB$129,MATCH(Notes!$C$16,$U$3:$AB$3,0))-100%))*$L$129</f>
        <v>411.71680000000003</v>
      </c>
      <c r="M132" s="286"/>
      <c r="N132" s="286"/>
      <c r="O132" s="285">
        <v>317.8</v>
      </c>
      <c r="P132" s="311">
        <f t="shared" si="14"/>
        <v>93.916799999999995</v>
      </c>
      <c r="Q132" s="285"/>
      <c r="R132" s="278">
        <v>1200</v>
      </c>
      <c r="S132" s="278">
        <v>1200</v>
      </c>
      <c r="T132" s="278"/>
      <c r="U132" s="304"/>
    </row>
    <row r="133" spans="1:28" s="305" customFormat="1" ht="21.75" hidden="1" customHeight="1" outlineLevel="1" x14ac:dyDescent="0.25">
      <c r="A133" s="278"/>
      <c r="B133" s="279" t="str">
        <f t="shared" si="15"/>
        <v>6001500AL/ANW</v>
      </c>
      <c r="C133" s="278">
        <v>600</v>
      </c>
      <c r="D133" s="278">
        <v>1500</v>
      </c>
      <c r="E133" s="278" t="s">
        <v>939</v>
      </c>
      <c r="F133" s="278"/>
      <c r="G133" s="278" t="s">
        <v>5</v>
      </c>
      <c r="H133" s="290">
        <v>1</v>
      </c>
      <c r="I133" s="280">
        <f t="shared" ref="I133:I193" si="18">$I$2*H133</f>
        <v>80.62</v>
      </c>
      <c r="J133" s="281">
        <f t="shared" si="17"/>
        <v>91.43</v>
      </c>
      <c r="K133" s="282">
        <f>IF(Notes!$B$9="Domestic",I133, IF(Notes!$B$9="Commercial",J133))*$K$129</f>
        <v>91.43</v>
      </c>
      <c r="L133" s="283">
        <f>(SUM(O133:Q133)+(K133+SUM(M133:Q133))*(INDEX($U$129:$AB$129,MATCH(Notes!$C$16,$U$3:$AB$3,0))-100%))*$L$129</f>
        <v>527.39599999999996</v>
      </c>
      <c r="M133" s="286"/>
      <c r="N133" s="286"/>
      <c r="O133" s="285">
        <v>410</v>
      </c>
      <c r="P133" s="311">
        <f t="shared" si="14"/>
        <v>117.396</v>
      </c>
      <c r="Q133" s="285"/>
      <c r="R133" s="278">
        <v>1500</v>
      </c>
      <c r="S133" s="278">
        <v>1500</v>
      </c>
      <c r="T133" s="278"/>
      <c r="U133" s="304"/>
    </row>
    <row r="134" spans="1:28" s="305" customFormat="1" ht="21.75" hidden="1" customHeight="1" outlineLevel="1" x14ac:dyDescent="0.25">
      <c r="A134" s="278"/>
      <c r="B134" s="279" t="str">
        <f t="shared" si="15"/>
        <v>6001800AL/ANW</v>
      </c>
      <c r="C134" s="278">
        <v>600</v>
      </c>
      <c r="D134" s="278">
        <v>1800</v>
      </c>
      <c r="E134" s="278" t="s">
        <v>939</v>
      </c>
      <c r="F134" s="278"/>
      <c r="G134" s="278" t="s">
        <v>5</v>
      </c>
      <c r="H134" s="290">
        <v>1</v>
      </c>
      <c r="I134" s="280">
        <f t="shared" si="18"/>
        <v>80.62</v>
      </c>
      <c r="J134" s="281">
        <f t="shared" si="17"/>
        <v>91.43</v>
      </c>
      <c r="K134" s="282">
        <f>IF(Notes!$B$9="Domestic",I134, IF(Notes!$B$9="Commercial",J134))*$K$129</f>
        <v>91.43</v>
      </c>
      <c r="L134" s="283">
        <f>(SUM(O134:Q134)+(K134+SUM(M134:Q134))*(INDEX($U$129:$AB$129,MATCH(Notes!$C$16,$U$3:$AB$3,0))-100%))*$L$129</f>
        <v>579.39519999999993</v>
      </c>
      <c r="M134" s="286"/>
      <c r="N134" s="286"/>
      <c r="O134" s="285">
        <v>438.52</v>
      </c>
      <c r="P134" s="311">
        <f t="shared" si="14"/>
        <v>140.87519999999998</v>
      </c>
      <c r="Q134" s="285"/>
      <c r="R134" s="278">
        <v>1800</v>
      </c>
      <c r="S134" s="278">
        <v>1800</v>
      </c>
      <c r="T134" s="278"/>
      <c r="U134" s="304"/>
    </row>
    <row r="135" spans="1:28" s="305" customFormat="1" ht="21.75" hidden="1" customHeight="1" outlineLevel="1" x14ac:dyDescent="0.25">
      <c r="A135" s="278"/>
      <c r="B135" s="279" t="str">
        <f t="shared" si="15"/>
        <v>6002100AL/ANW</v>
      </c>
      <c r="C135" s="278">
        <v>600</v>
      </c>
      <c r="D135" s="278">
        <v>2100</v>
      </c>
      <c r="E135" s="278" t="s">
        <v>939</v>
      </c>
      <c r="F135" s="278"/>
      <c r="G135" s="278" t="s">
        <v>5</v>
      </c>
      <c r="H135" s="290">
        <v>2</v>
      </c>
      <c r="I135" s="280">
        <f t="shared" si="18"/>
        <v>161.24</v>
      </c>
      <c r="J135" s="281">
        <f t="shared" si="17"/>
        <v>182.86</v>
      </c>
      <c r="K135" s="282">
        <f>IF(Notes!$B$9="Domestic",I135, IF(Notes!$B$9="Commercial",J135))*$K$129</f>
        <v>182.86</v>
      </c>
      <c r="L135" s="283">
        <f>(SUM(O135:Q135)+(K135+SUM(M135:Q135))*(INDEX($U$129:$AB$129,MATCH(Notes!$C$16,$U$3:$AB$3,0))-100%))*$L$129</f>
        <v>613.22440000000006</v>
      </c>
      <c r="M135" s="286"/>
      <c r="N135" s="286"/>
      <c r="O135" s="285">
        <v>448.87</v>
      </c>
      <c r="P135" s="311">
        <f t="shared" si="14"/>
        <v>164.3544</v>
      </c>
      <c r="Q135" s="285"/>
      <c r="R135" s="278">
        <v>2100</v>
      </c>
      <c r="S135" s="278">
        <v>2100</v>
      </c>
      <c r="T135" s="278"/>
      <c r="U135" s="304"/>
    </row>
    <row r="136" spans="1:28" s="305" customFormat="1" ht="21.75" hidden="1" customHeight="1" outlineLevel="1" x14ac:dyDescent="0.25">
      <c r="A136" s="278"/>
      <c r="B136" s="279" t="str">
        <f t="shared" si="15"/>
        <v>6002400AL/ANW</v>
      </c>
      <c r="C136" s="278">
        <v>600</v>
      </c>
      <c r="D136" s="278">
        <v>2400</v>
      </c>
      <c r="E136" s="278" t="s">
        <v>939</v>
      </c>
      <c r="F136" s="278"/>
      <c r="G136" s="278" t="s">
        <v>5</v>
      </c>
      <c r="H136" s="290">
        <v>2</v>
      </c>
      <c r="I136" s="280">
        <f t="shared" si="18"/>
        <v>161.24</v>
      </c>
      <c r="J136" s="281">
        <f t="shared" si="17"/>
        <v>182.86</v>
      </c>
      <c r="K136" s="282">
        <f>IF(Notes!$B$9="Domestic",I136, IF(Notes!$B$9="Commercial",J136))*$K$129</f>
        <v>182.86</v>
      </c>
      <c r="L136" s="283">
        <f>(SUM(O136:Q136)+(K136+SUM(M136:Q136))*(INDEX($U$129:$AB$129,MATCH(Notes!$C$16,$U$3:$AB$3,0))-100%))*$L$129</f>
        <v>664.85359999999991</v>
      </c>
      <c r="M136" s="286"/>
      <c r="N136" s="286"/>
      <c r="O136" s="285">
        <v>477.02</v>
      </c>
      <c r="P136" s="311">
        <f t="shared" si="14"/>
        <v>187.83359999999999</v>
      </c>
      <c r="Q136" s="285"/>
      <c r="R136" s="278">
        <v>2400</v>
      </c>
      <c r="S136" s="278">
        <v>2400</v>
      </c>
      <c r="T136" s="278"/>
      <c r="U136" s="304"/>
    </row>
    <row r="137" spans="1:28" s="305" customFormat="1" ht="21.75" hidden="1" customHeight="1" outlineLevel="1" x14ac:dyDescent="0.25">
      <c r="A137" s="278"/>
      <c r="B137" s="279" t="str">
        <f t="shared" si="15"/>
        <v>6002700AL/ANW</v>
      </c>
      <c r="C137" s="278">
        <v>600</v>
      </c>
      <c r="D137" s="278">
        <v>2700</v>
      </c>
      <c r="E137" s="278" t="s">
        <v>939</v>
      </c>
      <c r="F137" s="278"/>
      <c r="G137" s="278" t="s">
        <v>5</v>
      </c>
      <c r="H137" s="290">
        <v>2</v>
      </c>
      <c r="I137" s="280">
        <f t="shared" si="18"/>
        <v>161.24</v>
      </c>
      <c r="J137" s="281">
        <f t="shared" si="17"/>
        <v>182.86</v>
      </c>
      <c r="K137" s="282">
        <f>IF(Notes!$B$9="Domestic",I137, IF(Notes!$B$9="Commercial",J137))*$K$129</f>
        <v>182.86</v>
      </c>
      <c r="L137" s="283">
        <f>(SUM(O137:Q137)+(K137+SUM(M137:Q137))*(INDEX($U$129:$AB$129,MATCH(Notes!$C$16,$U$3:$AB$3,0))-100%))*$L$129</f>
        <v>896.45280000000002</v>
      </c>
      <c r="M137" s="286"/>
      <c r="N137" s="286"/>
      <c r="O137" s="285">
        <v>685.14</v>
      </c>
      <c r="P137" s="311">
        <f t="shared" si="14"/>
        <v>211.31279999999998</v>
      </c>
      <c r="Q137" s="285"/>
      <c r="R137" s="278">
        <v>2700</v>
      </c>
      <c r="S137" s="278">
        <v>2700</v>
      </c>
      <c r="T137" s="278"/>
      <c r="U137" s="304"/>
    </row>
    <row r="138" spans="1:28" s="305" customFormat="1" ht="21.75" hidden="1" customHeight="1" outlineLevel="1" x14ac:dyDescent="0.25">
      <c r="A138" s="278"/>
      <c r="B138" s="279" t="str">
        <f t="shared" si="15"/>
        <v>900600AL/ANW</v>
      </c>
      <c r="C138" s="278">
        <v>900</v>
      </c>
      <c r="D138" s="278">
        <v>600</v>
      </c>
      <c r="E138" s="278" t="s">
        <v>939</v>
      </c>
      <c r="F138" s="278"/>
      <c r="G138" s="278" t="s">
        <v>5</v>
      </c>
      <c r="H138" s="290">
        <v>1</v>
      </c>
      <c r="I138" s="280">
        <f t="shared" si="18"/>
        <v>80.62</v>
      </c>
      <c r="J138" s="281">
        <f t="shared" si="17"/>
        <v>91.43</v>
      </c>
      <c r="K138" s="282">
        <f>IF(Notes!$B$9="Domestic",I138, IF(Notes!$B$9="Commercial",J138))*$K$129</f>
        <v>91.43</v>
      </c>
      <c r="L138" s="283">
        <f>(SUM(O138:Q138)+(K138+SUM(M138:Q138))*(INDEX($U$129:$AB$129,MATCH(Notes!$C$16,$U$3:$AB$3,0))-100%))*$L$129</f>
        <v>358.02760000000001</v>
      </c>
      <c r="M138" s="286"/>
      <c r="N138" s="286"/>
      <c r="O138" s="285">
        <v>287.58999999999997</v>
      </c>
      <c r="P138" s="311">
        <f t="shared" si="14"/>
        <v>70.437600000000003</v>
      </c>
      <c r="Q138" s="285"/>
      <c r="R138" s="278"/>
      <c r="S138" s="278"/>
      <c r="T138" s="278"/>
      <c r="U138" s="304"/>
    </row>
    <row r="139" spans="1:28" s="305" customFormat="1" ht="21.75" hidden="1" customHeight="1" outlineLevel="1" x14ac:dyDescent="0.25">
      <c r="A139" s="278"/>
      <c r="B139" s="279" t="str">
        <f t="shared" si="15"/>
        <v>900900AL/ANW</v>
      </c>
      <c r="C139" s="278">
        <v>900</v>
      </c>
      <c r="D139" s="278">
        <v>900</v>
      </c>
      <c r="E139" s="278" t="s">
        <v>939</v>
      </c>
      <c r="F139" s="278"/>
      <c r="G139" s="278" t="s">
        <v>5</v>
      </c>
      <c r="H139" s="290">
        <v>1</v>
      </c>
      <c r="I139" s="280">
        <f t="shared" si="18"/>
        <v>80.62</v>
      </c>
      <c r="J139" s="281">
        <f t="shared" si="17"/>
        <v>91.43</v>
      </c>
      <c r="K139" s="282">
        <f>IF(Notes!$B$9="Domestic",I139, IF(Notes!$B$9="Commercial",J139))*$K$129</f>
        <v>91.43</v>
      </c>
      <c r="L139" s="283">
        <f>(SUM(O139:Q139)+(K139+SUM(M139:Q139))*(INDEX($U$129:$AB$129,MATCH(Notes!$C$16,$U$3:$AB$3,0))-100%))*$L$129</f>
        <v>446.38639999999998</v>
      </c>
      <c r="M139" s="286"/>
      <c r="N139" s="286"/>
      <c r="O139" s="285">
        <v>340.73</v>
      </c>
      <c r="P139" s="311">
        <f t="shared" si="14"/>
        <v>105.65639999999999</v>
      </c>
      <c r="Q139" s="285"/>
      <c r="R139" s="278"/>
      <c r="S139" s="278"/>
      <c r="T139" s="278"/>
      <c r="U139" s="304"/>
    </row>
    <row r="140" spans="1:28" s="305" customFormat="1" ht="21.75" hidden="1" customHeight="1" outlineLevel="1" x14ac:dyDescent="0.25">
      <c r="A140" s="278"/>
      <c r="B140" s="279" t="str">
        <f t="shared" si="15"/>
        <v>9001200AL/ANW</v>
      </c>
      <c r="C140" s="278">
        <v>900</v>
      </c>
      <c r="D140" s="278">
        <v>1200</v>
      </c>
      <c r="E140" s="278" t="s">
        <v>939</v>
      </c>
      <c r="F140" s="278"/>
      <c r="G140" s="278" t="s">
        <v>5</v>
      </c>
      <c r="H140" s="290">
        <v>1</v>
      </c>
      <c r="I140" s="280">
        <f t="shared" si="18"/>
        <v>80.62</v>
      </c>
      <c r="J140" s="281">
        <f t="shared" si="17"/>
        <v>91.43</v>
      </c>
      <c r="K140" s="282">
        <f>IF(Notes!$B$9="Domestic",I140, IF(Notes!$B$9="Commercial",J140))*$K$129</f>
        <v>91.43</v>
      </c>
      <c r="L140" s="283">
        <f>(SUM(O140:Q140)+(K140+SUM(M140:Q140))*(INDEX($U$129:$AB$129,MATCH(Notes!$C$16,$U$3:$AB$3,0))-100%))*$L$129</f>
        <v>542.15519999999992</v>
      </c>
      <c r="M140" s="286"/>
      <c r="N140" s="286"/>
      <c r="O140" s="285">
        <v>401.28</v>
      </c>
      <c r="P140" s="311">
        <f t="shared" si="14"/>
        <v>140.87520000000001</v>
      </c>
      <c r="Q140" s="285"/>
      <c r="R140" s="278"/>
      <c r="S140" s="278"/>
      <c r="T140" s="278"/>
      <c r="U140" s="304"/>
    </row>
    <row r="141" spans="1:28" s="305" customFormat="1" ht="21.75" hidden="1" customHeight="1" outlineLevel="1" x14ac:dyDescent="0.25">
      <c r="A141" s="278"/>
      <c r="B141" s="279" t="str">
        <f t="shared" si="15"/>
        <v>9001500AL/ANW</v>
      </c>
      <c r="C141" s="278">
        <v>900</v>
      </c>
      <c r="D141" s="278">
        <v>1500</v>
      </c>
      <c r="E141" s="278" t="s">
        <v>939</v>
      </c>
      <c r="F141" s="278"/>
      <c r="G141" s="278" t="s">
        <v>5</v>
      </c>
      <c r="H141" s="290">
        <v>2</v>
      </c>
      <c r="I141" s="280">
        <f t="shared" si="18"/>
        <v>161.24</v>
      </c>
      <c r="J141" s="281">
        <f t="shared" si="17"/>
        <v>182.86</v>
      </c>
      <c r="K141" s="282">
        <f>IF(Notes!$B$9="Domestic",I141, IF(Notes!$B$9="Commercial",J141))*$K$129</f>
        <v>182.86</v>
      </c>
      <c r="L141" s="283">
        <f>(SUM(O141:Q141)+(K141+SUM(M141:Q141))*(INDEX($U$129:$AB$129,MATCH(Notes!$C$16,$U$3:$AB$3,0))-100%))*$L$129</f>
        <v>634.34400000000005</v>
      </c>
      <c r="M141" s="286"/>
      <c r="N141" s="286"/>
      <c r="O141" s="285">
        <v>458.25</v>
      </c>
      <c r="P141" s="311">
        <f t="shared" si="14"/>
        <v>176.09399999999999</v>
      </c>
      <c r="Q141" s="285"/>
      <c r="R141" s="278"/>
      <c r="S141" s="278"/>
      <c r="T141" s="278"/>
      <c r="U141" s="304"/>
    </row>
    <row r="142" spans="1:28" s="305" customFormat="1" ht="21.75" hidden="1" customHeight="1" outlineLevel="1" x14ac:dyDescent="0.25">
      <c r="A142" s="278"/>
      <c r="B142" s="279" t="str">
        <f t="shared" si="15"/>
        <v>9001800AL/ANW</v>
      </c>
      <c r="C142" s="278">
        <v>900</v>
      </c>
      <c r="D142" s="278">
        <v>1800</v>
      </c>
      <c r="E142" s="278" t="s">
        <v>939</v>
      </c>
      <c r="F142" s="278"/>
      <c r="G142" s="278" t="s">
        <v>5</v>
      </c>
      <c r="H142" s="290">
        <v>2</v>
      </c>
      <c r="I142" s="280">
        <f t="shared" si="18"/>
        <v>161.24</v>
      </c>
      <c r="J142" s="281">
        <f t="shared" si="17"/>
        <v>182.86</v>
      </c>
      <c r="K142" s="282">
        <f>IF(Notes!$B$9="Domestic",I142, IF(Notes!$B$9="Commercial",J142))*$K$129</f>
        <v>182.86</v>
      </c>
      <c r="L142" s="283">
        <f>(SUM(O142:Q142)+(K142+SUM(M142:Q142))*(INDEX($U$129:$AB$129,MATCH(Notes!$C$16,$U$3:$AB$3,0))-100%))*$L$129</f>
        <v>716.68280000000004</v>
      </c>
      <c r="M142" s="286"/>
      <c r="N142" s="286"/>
      <c r="O142" s="285">
        <v>505.37</v>
      </c>
      <c r="P142" s="311">
        <f t="shared" si="14"/>
        <v>211.31279999999998</v>
      </c>
      <c r="Q142" s="285"/>
      <c r="R142" s="278"/>
      <c r="S142" s="278"/>
      <c r="T142" s="278"/>
      <c r="U142" s="304"/>
    </row>
    <row r="143" spans="1:28" s="305" customFormat="1" ht="21.75" hidden="1" customHeight="1" outlineLevel="1" x14ac:dyDescent="0.25">
      <c r="A143" s="278"/>
      <c r="B143" s="279" t="str">
        <f t="shared" si="15"/>
        <v>9002100AL/ANW</v>
      </c>
      <c r="C143" s="278">
        <v>900</v>
      </c>
      <c r="D143" s="278">
        <v>2100</v>
      </c>
      <c r="E143" s="278" t="s">
        <v>939</v>
      </c>
      <c r="F143" s="278"/>
      <c r="G143" s="278" t="s">
        <v>5</v>
      </c>
      <c r="H143" s="290">
        <v>2</v>
      </c>
      <c r="I143" s="280">
        <f t="shared" si="18"/>
        <v>161.24</v>
      </c>
      <c r="J143" s="281">
        <f t="shared" si="17"/>
        <v>182.86</v>
      </c>
      <c r="K143" s="282">
        <f>IF(Notes!$B$9="Domestic",I143, IF(Notes!$B$9="Commercial",J143))*$K$129</f>
        <v>182.86</v>
      </c>
      <c r="L143" s="283">
        <f>(SUM(O143:Q143)+(K143+SUM(M143:Q143))*(INDEX($U$129:$AB$129,MATCH(Notes!$C$16,$U$3:$AB$3,0))-100%))*$L$129</f>
        <v>789.94159999999999</v>
      </c>
      <c r="M143" s="286"/>
      <c r="N143" s="286"/>
      <c r="O143" s="285">
        <v>543.41</v>
      </c>
      <c r="P143" s="311">
        <f t="shared" si="14"/>
        <v>246.5316</v>
      </c>
      <c r="Q143" s="285"/>
      <c r="R143" s="278"/>
      <c r="S143" s="278"/>
      <c r="T143" s="278"/>
      <c r="U143" s="304"/>
    </row>
    <row r="144" spans="1:28" s="305" customFormat="1" ht="21.75" hidden="1" customHeight="1" outlineLevel="1" x14ac:dyDescent="0.25">
      <c r="A144" s="278"/>
      <c r="B144" s="279" t="str">
        <f t="shared" si="15"/>
        <v>9002400AL/ANW</v>
      </c>
      <c r="C144" s="278">
        <v>900</v>
      </c>
      <c r="D144" s="278">
        <v>2400</v>
      </c>
      <c r="E144" s="278" t="s">
        <v>939</v>
      </c>
      <c r="F144" s="278"/>
      <c r="G144" s="278" t="s">
        <v>5</v>
      </c>
      <c r="H144" s="290">
        <v>3</v>
      </c>
      <c r="I144" s="280">
        <f t="shared" si="18"/>
        <v>241.86</v>
      </c>
      <c r="J144" s="281">
        <f t="shared" si="17"/>
        <v>274.29000000000002</v>
      </c>
      <c r="K144" s="282">
        <f>IF(Notes!$B$9="Domestic",I144, IF(Notes!$B$9="Commercial",J144))*$K$129</f>
        <v>274.29000000000002</v>
      </c>
      <c r="L144" s="283">
        <f>(SUM(O144:Q144)+(K144+SUM(M144:Q144))*(INDEX($U$129:$AB$129,MATCH(Notes!$C$16,$U$3:$AB$3,0))-100%))*$L$129</f>
        <v>853.7704</v>
      </c>
      <c r="M144" s="286"/>
      <c r="N144" s="286"/>
      <c r="O144" s="285">
        <v>572.02</v>
      </c>
      <c r="P144" s="311">
        <f t="shared" si="14"/>
        <v>281.75040000000001</v>
      </c>
      <c r="Q144" s="285"/>
      <c r="R144" s="278"/>
      <c r="S144" s="278"/>
      <c r="T144" s="278"/>
      <c r="U144" s="304"/>
    </row>
    <row r="145" spans="1:21" s="305" customFormat="1" ht="21.75" hidden="1" customHeight="1" outlineLevel="1" x14ac:dyDescent="0.25">
      <c r="A145" s="278"/>
      <c r="B145" s="279" t="str">
        <f t="shared" si="15"/>
        <v>9002700AL/ANW</v>
      </c>
      <c r="C145" s="278">
        <v>900</v>
      </c>
      <c r="D145" s="278">
        <v>2700</v>
      </c>
      <c r="E145" s="278" t="s">
        <v>939</v>
      </c>
      <c r="F145" s="278"/>
      <c r="G145" s="278" t="s">
        <v>5</v>
      </c>
      <c r="H145" s="290">
        <v>3</v>
      </c>
      <c r="I145" s="280">
        <f t="shared" si="18"/>
        <v>241.86</v>
      </c>
      <c r="J145" s="281">
        <f t="shared" si="17"/>
        <v>274.29000000000002</v>
      </c>
      <c r="K145" s="282">
        <f>IF(Notes!$B$9="Domestic",I145, IF(Notes!$B$9="Commercial",J145))*$K$129</f>
        <v>274.29000000000002</v>
      </c>
      <c r="L145" s="283">
        <f>(SUM(O145:Q145)+(K145+SUM(M145:Q145))*(INDEX($U$129:$AB$129,MATCH(Notes!$C$16,$U$3:$AB$3,0))-100%))*$L$129</f>
        <v>1101.4192</v>
      </c>
      <c r="M145" s="286"/>
      <c r="N145" s="286"/>
      <c r="O145" s="285">
        <v>784.45</v>
      </c>
      <c r="P145" s="311">
        <f t="shared" si="14"/>
        <v>316.9692</v>
      </c>
      <c r="Q145" s="285"/>
      <c r="R145" s="278"/>
      <c r="S145" s="278"/>
      <c r="T145" s="278"/>
      <c r="U145" s="304"/>
    </row>
    <row r="146" spans="1:21" s="305" customFormat="1" ht="21.75" hidden="1" customHeight="1" outlineLevel="1" x14ac:dyDescent="0.25">
      <c r="A146" s="278"/>
      <c r="B146" s="279" t="str">
        <f t="shared" si="15"/>
        <v>1200600AL/ANW</v>
      </c>
      <c r="C146" s="278">
        <v>1200</v>
      </c>
      <c r="D146" s="278">
        <v>600</v>
      </c>
      <c r="E146" s="278" t="s">
        <v>939</v>
      </c>
      <c r="F146" s="278"/>
      <c r="G146" s="278" t="s">
        <v>5</v>
      </c>
      <c r="H146" s="290">
        <v>1</v>
      </c>
      <c r="I146" s="280">
        <f t="shared" si="18"/>
        <v>80.62</v>
      </c>
      <c r="J146" s="281">
        <f t="shared" si="17"/>
        <v>91.43</v>
      </c>
      <c r="K146" s="282">
        <f>IF(Notes!$B$9="Domestic",I146, IF(Notes!$B$9="Commercial",J146))*$K$129</f>
        <v>91.43</v>
      </c>
      <c r="L146" s="283">
        <f>(SUM(O146:Q146)+(K146+SUM(M146:Q146))*(INDEX($U$129:$AB$129,MATCH(Notes!$C$16,$U$3:$AB$3,0))-100%))*$L$129</f>
        <v>411.91679999999997</v>
      </c>
      <c r="M146" s="286"/>
      <c r="N146" s="286"/>
      <c r="O146" s="285">
        <v>318</v>
      </c>
      <c r="P146" s="311">
        <f t="shared" si="14"/>
        <v>93.916799999999995</v>
      </c>
      <c r="Q146" s="285"/>
      <c r="R146" s="278"/>
      <c r="S146" s="278"/>
      <c r="T146" s="278"/>
      <c r="U146" s="304"/>
    </row>
    <row r="147" spans="1:21" s="305" customFormat="1" ht="21.75" hidden="1" customHeight="1" outlineLevel="1" x14ac:dyDescent="0.25">
      <c r="A147" s="278"/>
      <c r="B147" s="279" t="str">
        <f t="shared" si="15"/>
        <v>1200900AL/ANW</v>
      </c>
      <c r="C147" s="278">
        <v>1200</v>
      </c>
      <c r="D147" s="278">
        <v>900</v>
      </c>
      <c r="E147" s="278" t="s">
        <v>939</v>
      </c>
      <c r="F147" s="278"/>
      <c r="G147" s="278" t="s">
        <v>5</v>
      </c>
      <c r="H147" s="290">
        <v>1</v>
      </c>
      <c r="I147" s="280">
        <f t="shared" si="18"/>
        <v>80.62</v>
      </c>
      <c r="J147" s="281">
        <f t="shared" si="17"/>
        <v>91.43</v>
      </c>
      <c r="K147" s="282">
        <f>IF(Notes!$B$9="Domestic",I147, IF(Notes!$B$9="Commercial",J147))*$K$129</f>
        <v>91.43</v>
      </c>
      <c r="L147" s="283">
        <f>(SUM(O147:Q147)+(K147+SUM(M147:Q147))*(INDEX($U$129:$AB$129,MATCH(Notes!$C$16,$U$3:$AB$3,0))-100%))*$L$129</f>
        <v>542.15519999999992</v>
      </c>
      <c r="M147" s="286"/>
      <c r="N147" s="286"/>
      <c r="O147" s="285">
        <v>401.28</v>
      </c>
      <c r="P147" s="311">
        <f t="shared" si="14"/>
        <v>140.87519999999998</v>
      </c>
      <c r="Q147" s="285"/>
      <c r="R147" s="278"/>
      <c r="S147" s="278"/>
      <c r="T147" s="278"/>
      <c r="U147" s="304"/>
    </row>
    <row r="148" spans="1:21" s="305" customFormat="1" ht="21.75" hidden="1" customHeight="1" outlineLevel="1" x14ac:dyDescent="0.25">
      <c r="A148" s="278"/>
      <c r="B148" s="279" t="str">
        <f t="shared" si="15"/>
        <v>12001200AL/ANW</v>
      </c>
      <c r="C148" s="278">
        <v>1200</v>
      </c>
      <c r="D148" s="278">
        <v>1200</v>
      </c>
      <c r="E148" s="278" t="s">
        <v>939</v>
      </c>
      <c r="F148" s="278"/>
      <c r="G148" s="278" t="s">
        <v>5</v>
      </c>
      <c r="H148" s="290">
        <v>2</v>
      </c>
      <c r="I148" s="280">
        <f t="shared" si="18"/>
        <v>161.24</v>
      </c>
      <c r="J148" s="281">
        <f t="shared" si="17"/>
        <v>182.86</v>
      </c>
      <c r="K148" s="282">
        <f>IF(Notes!$B$9="Domestic",I148, IF(Notes!$B$9="Commercial",J148))*$K$129</f>
        <v>182.86</v>
      </c>
      <c r="L148" s="283">
        <f>(SUM(O148:Q148)+(K148+SUM(M148:Q148))*(INDEX($U$129:$AB$129,MATCH(Notes!$C$16,$U$3:$AB$3,0))-100%))*$L$129</f>
        <v>627.82359999999994</v>
      </c>
      <c r="M148" s="286"/>
      <c r="N148" s="286"/>
      <c r="O148" s="285">
        <v>439.99</v>
      </c>
      <c r="P148" s="311">
        <f t="shared" si="14"/>
        <v>187.83359999999999</v>
      </c>
      <c r="Q148" s="285"/>
      <c r="R148" s="278"/>
      <c r="S148" s="278"/>
      <c r="T148" s="278"/>
      <c r="U148" s="304"/>
    </row>
    <row r="149" spans="1:21" s="305" customFormat="1" ht="21.75" hidden="1" customHeight="1" outlineLevel="1" x14ac:dyDescent="0.25">
      <c r="A149" s="278"/>
      <c r="B149" s="279" t="str">
        <f t="shared" si="15"/>
        <v>12001500AL/ANW</v>
      </c>
      <c r="C149" s="278">
        <v>1200</v>
      </c>
      <c r="D149" s="278">
        <v>1500</v>
      </c>
      <c r="E149" s="278" t="s">
        <v>939</v>
      </c>
      <c r="F149" s="278"/>
      <c r="G149" s="278" t="s">
        <v>5</v>
      </c>
      <c r="H149" s="290">
        <v>2</v>
      </c>
      <c r="I149" s="280">
        <f t="shared" si="18"/>
        <v>161.24</v>
      </c>
      <c r="J149" s="281">
        <f t="shared" si="17"/>
        <v>182.86</v>
      </c>
      <c r="K149" s="282">
        <f>IF(Notes!$B$9="Domestic",I149, IF(Notes!$B$9="Commercial",J149))*$K$129</f>
        <v>182.86</v>
      </c>
      <c r="L149" s="283">
        <f>(SUM(O149:Q149)+(K149+SUM(M149:Q149))*(INDEX($U$129:$AB$129,MATCH(Notes!$C$16,$U$3:$AB$3,0))-100%))*$L$129</f>
        <v>758.89200000000005</v>
      </c>
      <c r="M149" s="286"/>
      <c r="N149" s="286"/>
      <c r="O149" s="285">
        <v>524.1</v>
      </c>
      <c r="P149" s="311">
        <f t="shared" si="14"/>
        <v>234.792</v>
      </c>
      <c r="Q149" s="285"/>
      <c r="R149" s="278"/>
      <c r="S149" s="278"/>
      <c r="T149" s="278"/>
      <c r="U149" s="304"/>
    </row>
    <row r="150" spans="1:21" s="305" customFormat="1" ht="21.75" hidden="1" customHeight="1" outlineLevel="1" x14ac:dyDescent="0.25">
      <c r="A150" s="278"/>
      <c r="B150" s="279" t="str">
        <f t="shared" si="15"/>
        <v>12001800AL/ANW</v>
      </c>
      <c r="C150" s="278">
        <v>1200</v>
      </c>
      <c r="D150" s="278">
        <v>1800</v>
      </c>
      <c r="E150" s="278" t="s">
        <v>939</v>
      </c>
      <c r="F150" s="278"/>
      <c r="G150" s="278" t="s">
        <v>5</v>
      </c>
      <c r="H150" s="290">
        <v>3</v>
      </c>
      <c r="I150" s="280">
        <f t="shared" si="18"/>
        <v>241.86</v>
      </c>
      <c r="J150" s="281">
        <f t="shared" si="17"/>
        <v>274.29000000000002</v>
      </c>
      <c r="K150" s="282">
        <f>IF(Notes!$B$9="Domestic",I150, IF(Notes!$B$9="Commercial",J150))*$K$129</f>
        <v>274.29000000000002</v>
      </c>
      <c r="L150" s="283">
        <f>(SUM(O150:Q150)+(K150+SUM(M150:Q150))*(INDEX($U$129:$AB$129,MATCH(Notes!$C$16,$U$3:$AB$3,0))-100%))*$L$129</f>
        <v>853.41039999999998</v>
      </c>
      <c r="M150" s="286"/>
      <c r="N150" s="286"/>
      <c r="O150" s="285">
        <v>571.66</v>
      </c>
      <c r="P150" s="311">
        <f t="shared" si="14"/>
        <v>281.75039999999996</v>
      </c>
      <c r="Q150" s="285"/>
      <c r="R150" s="278"/>
      <c r="S150" s="278"/>
      <c r="T150" s="278"/>
      <c r="U150" s="304"/>
    </row>
    <row r="151" spans="1:21" s="305" customFormat="1" ht="21.75" hidden="1" customHeight="1" outlineLevel="1" x14ac:dyDescent="0.25">
      <c r="A151" s="278"/>
      <c r="B151" s="279" t="str">
        <f t="shared" si="15"/>
        <v>12002100AL/ANW</v>
      </c>
      <c r="C151" s="278">
        <v>1200</v>
      </c>
      <c r="D151" s="278">
        <v>2100</v>
      </c>
      <c r="E151" s="278" t="s">
        <v>939</v>
      </c>
      <c r="F151" s="278"/>
      <c r="G151" s="278" t="s">
        <v>5</v>
      </c>
      <c r="H151" s="290">
        <v>3</v>
      </c>
      <c r="I151" s="280">
        <f t="shared" si="18"/>
        <v>241.86</v>
      </c>
      <c r="J151" s="281">
        <f t="shared" si="17"/>
        <v>274.29000000000002</v>
      </c>
      <c r="K151" s="282">
        <f>IF(Notes!$B$9="Domestic",I151, IF(Notes!$B$9="Commercial",J151))*$K$129</f>
        <v>274.29000000000002</v>
      </c>
      <c r="L151" s="283">
        <f>(SUM(O151:Q151)+(K151+SUM(M151:Q151))*(INDEX($U$129:$AB$129,MATCH(Notes!$C$16,$U$3:$AB$3,0))-100%))*$L$129</f>
        <v>938.88879999999995</v>
      </c>
      <c r="M151" s="286"/>
      <c r="N151" s="286"/>
      <c r="O151" s="285">
        <v>610.17999999999995</v>
      </c>
      <c r="P151" s="311">
        <f t="shared" si="14"/>
        <v>328.7088</v>
      </c>
      <c r="Q151" s="285"/>
      <c r="R151" s="278"/>
      <c r="S151" s="278"/>
      <c r="T151" s="278"/>
      <c r="U151" s="304"/>
    </row>
    <row r="152" spans="1:21" s="305" customFormat="1" ht="21.75" hidden="1" customHeight="1" outlineLevel="1" x14ac:dyDescent="0.25">
      <c r="A152" s="278"/>
      <c r="B152" s="279" t="str">
        <f t="shared" si="15"/>
        <v>12002400AL/ANW</v>
      </c>
      <c r="C152" s="278">
        <v>1200</v>
      </c>
      <c r="D152" s="278">
        <v>2400</v>
      </c>
      <c r="E152" s="278" t="s">
        <v>939</v>
      </c>
      <c r="F152" s="278"/>
      <c r="G152" s="278" t="s">
        <v>5</v>
      </c>
      <c r="H152" s="290">
        <v>3</v>
      </c>
      <c r="I152" s="280">
        <f t="shared" si="18"/>
        <v>241.86</v>
      </c>
      <c r="J152" s="281">
        <f t="shared" si="17"/>
        <v>274.29000000000002</v>
      </c>
      <c r="K152" s="282">
        <f>IF(Notes!$B$9="Domestic",I152, IF(Notes!$B$9="Commercial",J152))*$K$129</f>
        <v>274.29000000000002</v>
      </c>
      <c r="L152" s="283">
        <f>(SUM(O152:Q152)+(K152+SUM(M152:Q152))*(INDEX($U$129:$AB$129,MATCH(Notes!$C$16,$U$3:$AB$3,0))-100%))*$L$129</f>
        <v>1014.9172</v>
      </c>
      <c r="M152" s="286"/>
      <c r="N152" s="286"/>
      <c r="O152" s="285">
        <v>639.25</v>
      </c>
      <c r="P152" s="311">
        <f t="shared" si="14"/>
        <v>375.66719999999998</v>
      </c>
      <c r="Q152" s="285"/>
      <c r="R152" s="278"/>
      <c r="S152" s="278"/>
      <c r="T152" s="278"/>
      <c r="U152" s="304"/>
    </row>
    <row r="153" spans="1:21" s="305" customFormat="1" ht="21.75" hidden="1" customHeight="1" outlineLevel="1" x14ac:dyDescent="0.25">
      <c r="A153" s="278"/>
      <c r="B153" s="279" t="str">
        <f t="shared" si="15"/>
        <v>12002700AL/ANW</v>
      </c>
      <c r="C153" s="278">
        <v>1200</v>
      </c>
      <c r="D153" s="278">
        <v>2700</v>
      </c>
      <c r="E153" s="278" t="s">
        <v>939</v>
      </c>
      <c r="F153" s="278"/>
      <c r="G153" s="278" t="s">
        <v>5</v>
      </c>
      <c r="H153" s="290">
        <v>4</v>
      </c>
      <c r="I153" s="280">
        <f t="shared" si="18"/>
        <v>322.48</v>
      </c>
      <c r="J153" s="281">
        <f t="shared" si="17"/>
        <v>365.72</v>
      </c>
      <c r="K153" s="282">
        <f>IF(Notes!$B$9="Domestic",I153, IF(Notes!$B$9="Commercial",J153))*$K$129</f>
        <v>365.72</v>
      </c>
      <c r="L153" s="283">
        <f>(SUM(O153:Q153)+(K153+SUM(M153:Q153))*(INDEX($U$129:$AB$129,MATCH(Notes!$C$16,$U$3:$AB$3,0))-100%))*$L$129</f>
        <v>1305.8256000000001</v>
      </c>
      <c r="M153" s="286"/>
      <c r="N153" s="286"/>
      <c r="O153" s="285">
        <v>883.2</v>
      </c>
      <c r="P153" s="311">
        <f t="shared" si="14"/>
        <v>422.62559999999996</v>
      </c>
      <c r="Q153" s="285"/>
      <c r="R153" s="278"/>
      <c r="S153" s="278"/>
      <c r="T153" s="278"/>
      <c r="U153" s="304"/>
    </row>
    <row r="154" spans="1:21" s="305" customFormat="1" ht="21.75" hidden="1" customHeight="1" outlineLevel="1" x14ac:dyDescent="0.25">
      <c r="A154" s="278"/>
      <c r="B154" s="279" t="str">
        <f t="shared" si="15"/>
        <v>1500600AL/ANW</v>
      </c>
      <c r="C154" s="278">
        <v>1500</v>
      </c>
      <c r="D154" s="278">
        <v>600</v>
      </c>
      <c r="E154" s="278" t="s">
        <v>939</v>
      </c>
      <c r="F154" s="278"/>
      <c r="G154" s="278" t="s">
        <v>5</v>
      </c>
      <c r="H154" s="290">
        <v>1</v>
      </c>
      <c r="I154" s="280">
        <f t="shared" si="18"/>
        <v>80.62</v>
      </c>
      <c r="J154" s="281">
        <f t="shared" si="17"/>
        <v>91.43</v>
      </c>
      <c r="K154" s="282">
        <f>IF(Notes!$B$9="Domestic",I154, IF(Notes!$B$9="Commercial",J154))*$K$129</f>
        <v>91.43</v>
      </c>
      <c r="L154" s="283">
        <f>(SUM(O154:Q154)+(K154+SUM(M154:Q154))*(INDEX($U$129:$AB$129,MATCH(Notes!$C$16,$U$3:$AB$3,0))-100%))*$L$129</f>
        <v>473.726</v>
      </c>
      <c r="M154" s="286"/>
      <c r="N154" s="286"/>
      <c r="O154" s="285">
        <v>356.33</v>
      </c>
      <c r="P154" s="311">
        <f t="shared" si="14"/>
        <v>117.396</v>
      </c>
      <c r="Q154" s="285"/>
      <c r="R154" s="278"/>
      <c r="S154" s="278"/>
      <c r="T154" s="278"/>
      <c r="U154" s="304"/>
    </row>
    <row r="155" spans="1:21" s="305" customFormat="1" ht="21.75" hidden="1" customHeight="1" outlineLevel="1" x14ac:dyDescent="0.25">
      <c r="A155" s="278"/>
      <c r="B155" s="279" t="str">
        <f t="shared" si="15"/>
        <v>1500900AL/ANW</v>
      </c>
      <c r="C155" s="278">
        <v>1500</v>
      </c>
      <c r="D155" s="278">
        <v>900</v>
      </c>
      <c r="E155" s="278" t="s">
        <v>939</v>
      </c>
      <c r="F155" s="278"/>
      <c r="G155" s="278" t="s">
        <v>5</v>
      </c>
      <c r="H155" s="290">
        <v>2</v>
      </c>
      <c r="I155" s="280">
        <f t="shared" si="18"/>
        <v>161.24</v>
      </c>
      <c r="J155" s="281">
        <f t="shared" si="17"/>
        <v>182.86</v>
      </c>
      <c r="K155" s="282">
        <f>IF(Notes!$B$9="Domestic",I155, IF(Notes!$B$9="Commercial",J155))*$K$129</f>
        <v>182.86</v>
      </c>
      <c r="L155" s="283">
        <f>(SUM(O155:Q155)+(K155+SUM(M155:Q155))*(INDEX($U$129:$AB$129,MATCH(Notes!$C$16,$U$3:$AB$3,0))-100%))*$L$129</f>
        <v>608.80399999999997</v>
      </c>
      <c r="M155" s="286"/>
      <c r="N155" s="286"/>
      <c r="O155" s="285">
        <v>432.71</v>
      </c>
      <c r="P155" s="311">
        <f t="shared" si="14"/>
        <v>176.09399999999999</v>
      </c>
      <c r="Q155" s="285"/>
      <c r="R155" s="278"/>
      <c r="S155" s="278"/>
      <c r="T155" s="278"/>
      <c r="U155" s="304"/>
    </row>
    <row r="156" spans="1:21" s="305" customFormat="1" ht="21.75" hidden="1" customHeight="1" outlineLevel="1" x14ac:dyDescent="0.25">
      <c r="A156" s="278"/>
      <c r="B156" s="279" t="str">
        <f t="shared" si="15"/>
        <v>15001200AL/ANW</v>
      </c>
      <c r="C156" s="278">
        <v>1500</v>
      </c>
      <c r="D156" s="278">
        <v>1200</v>
      </c>
      <c r="E156" s="278" t="s">
        <v>939</v>
      </c>
      <c r="F156" s="278"/>
      <c r="G156" s="278" t="s">
        <v>5</v>
      </c>
      <c r="H156" s="290">
        <v>2</v>
      </c>
      <c r="I156" s="280">
        <f t="shared" si="18"/>
        <v>161.24</v>
      </c>
      <c r="J156" s="281">
        <f t="shared" si="17"/>
        <v>182.86</v>
      </c>
      <c r="K156" s="282">
        <f>IF(Notes!$B$9="Domestic",I156, IF(Notes!$B$9="Commercial",J156))*$K$129</f>
        <v>182.86</v>
      </c>
      <c r="L156" s="283">
        <f>(SUM(O156:Q156)+(K156+SUM(M156:Q156))*(INDEX($U$129:$AB$129,MATCH(Notes!$C$16,$U$3:$AB$3,0))-100%))*$L$129</f>
        <v>699.31200000000001</v>
      </c>
      <c r="M156" s="286"/>
      <c r="N156" s="286"/>
      <c r="O156" s="285">
        <v>464.52</v>
      </c>
      <c r="P156" s="311">
        <f t="shared" si="14"/>
        <v>234.792</v>
      </c>
      <c r="Q156" s="285"/>
      <c r="R156" s="278"/>
      <c r="S156" s="278"/>
      <c r="T156" s="278"/>
      <c r="U156" s="304"/>
    </row>
    <row r="157" spans="1:21" s="305" customFormat="1" ht="21.75" hidden="1" customHeight="1" outlineLevel="1" x14ac:dyDescent="0.25">
      <c r="A157" s="278"/>
      <c r="B157" s="279" t="str">
        <f t="shared" si="15"/>
        <v>15001500AL/ANW</v>
      </c>
      <c r="C157" s="278">
        <v>1500</v>
      </c>
      <c r="D157" s="278">
        <v>1500</v>
      </c>
      <c r="E157" s="278" t="s">
        <v>939</v>
      </c>
      <c r="F157" s="278"/>
      <c r="G157" s="278" t="s">
        <v>5</v>
      </c>
      <c r="H157" s="290">
        <v>3</v>
      </c>
      <c r="I157" s="280">
        <f t="shared" si="18"/>
        <v>241.86</v>
      </c>
      <c r="J157" s="281">
        <f t="shared" si="17"/>
        <v>274.29000000000002</v>
      </c>
      <c r="K157" s="282">
        <f>IF(Notes!$B$9="Domestic",I157, IF(Notes!$B$9="Commercial",J157))*$K$129</f>
        <v>274.29000000000002</v>
      </c>
      <c r="L157" s="283">
        <f>(SUM(O157:Q157)+(K157+SUM(M157:Q157))*(INDEX($U$129:$AB$129,MATCH(Notes!$C$16,$U$3:$AB$3,0))-100%))*$L$129</f>
        <v>874.89</v>
      </c>
      <c r="M157" s="286"/>
      <c r="N157" s="286"/>
      <c r="O157" s="285">
        <v>581.4</v>
      </c>
      <c r="P157" s="311">
        <f t="shared" si="14"/>
        <v>293.49</v>
      </c>
      <c r="Q157" s="285"/>
      <c r="R157" s="278"/>
      <c r="S157" s="278"/>
      <c r="T157" s="278"/>
      <c r="U157" s="304"/>
    </row>
    <row r="158" spans="1:21" s="305" customFormat="1" ht="21.75" hidden="1" customHeight="1" outlineLevel="1" x14ac:dyDescent="0.25">
      <c r="A158" s="278"/>
      <c r="B158" s="279" t="str">
        <f t="shared" si="15"/>
        <v>15001800AL/ANW</v>
      </c>
      <c r="C158" s="278">
        <v>1500</v>
      </c>
      <c r="D158" s="278">
        <v>1800</v>
      </c>
      <c r="E158" s="278" t="s">
        <v>939</v>
      </c>
      <c r="F158" s="278"/>
      <c r="G158" s="278" t="s">
        <v>5</v>
      </c>
      <c r="H158" s="290">
        <v>3</v>
      </c>
      <c r="I158" s="280">
        <f t="shared" si="18"/>
        <v>241.86</v>
      </c>
      <c r="J158" s="281">
        <f t="shared" si="17"/>
        <v>274.29000000000002</v>
      </c>
      <c r="K158" s="282">
        <f>IF(Notes!$B$9="Domestic",I158, IF(Notes!$B$9="Commercial",J158))*$K$129</f>
        <v>274.29000000000002</v>
      </c>
      <c r="L158" s="283">
        <f>(SUM(O158:Q158)+(K158+SUM(M158:Q158))*(INDEX($U$129:$AB$129,MATCH(Notes!$C$16,$U$3:$AB$3,0))-100%))*$L$129</f>
        <v>972.56799999999998</v>
      </c>
      <c r="M158" s="286"/>
      <c r="N158" s="286"/>
      <c r="O158" s="285">
        <v>620.38</v>
      </c>
      <c r="P158" s="311">
        <f t="shared" si="14"/>
        <v>352.18799999999999</v>
      </c>
      <c r="Q158" s="285"/>
      <c r="R158" s="278"/>
      <c r="S158" s="278"/>
      <c r="T158" s="278"/>
      <c r="U158" s="304"/>
    </row>
    <row r="159" spans="1:21" s="305" customFormat="1" ht="21.75" hidden="1" customHeight="1" outlineLevel="1" x14ac:dyDescent="0.25">
      <c r="A159" s="278"/>
      <c r="B159" s="279" t="str">
        <f t="shared" si="15"/>
        <v>15002100AL/ANW</v>
      </c>
      <c r="C159" s="278">
        <v>1500</v>
      </c>
      <c r="D159" s="278">
        <v>2100</v>
      </c>
      <c r="E159" s="278" t="s">
        <v>939</v>
      </c>
      <c r="F159" s="278"/>
      <c r="G159" s="278" t="s">
        <v>5</v>
      </c>
      <c r="H159" s="290">
        <v>4</v>
      </c>
      <c r="I159" s="280">
        <f t="shared" si="18"/>
        <v>322.48</v>
      </c>
      <c r="J159" s="281">
        <f t="shared" si="17"/>
        <v>365.72</v>
      </c>
      <c r="K159" s="282">
        <f>IF(Notes!$B$9="Domestic",I159, IF(Notes!$B$9="Commercial",J159))*$K$129</f>
        <v>365.72</v>
      </c>
      <c r="L159" s="283">
        <f>(SUM(O159:Q159)+(K159+SUM(M159:Q159))*(INDEX($U$129:$AB$129,MATCH(Notes!$C$16,$U$3:$AB$3,0))-100%))*$L$129</f>
        <v>1070.2460000000001</v>
      </c>
      <c r="M159" s="286"/>
      <c r="N159" s="286"/>
      <c r="O159" s="285">
        <v>659.36</v>
      </c>
      <c r="P159" s="311">
        <f t="shared" si="14"/>
        <v>410.88600000000002</v>
      </c>
      <c r="Q159" s="285"/>
      <c r="R159" s="278"/>
      <c r="S159" s="278"/>
      <c r="T159" s="278"/>
      <c r="U159" s="304"/>
    </row>
    <row r="160" spans="1:21" s="305" customFormat="1" ht="21.75" hidden="1" customHeight="1" outlineLevel="1" x14ac:dyDescent="0.25">
      <c r="A160" s="278"/>
      <c r="B160" s="279" t="str">
        <f t="shared" si="15"/>
        <v>15002400AL/ANW</v>
      </c>
      <c r="C160" s="278">
        <v>1500</v>
      </c>
      <c r="D160" s="278">
        <v>2400</v>
      </c>
      <c r="E160" s="278" t="s">
        <v>939</v>
      </c>
      <c r="F160" s="278"/>
      <c r="G160" s="278" t="s">
        <v>5</v>
      </c>
      <c r="H160" s="290">
        <v>4</v>
      </c>
      <c r="I160" s="280">
        <f t="shared" si="18"/>
        <v>322.48</v>
      </c>
      <c r="J160" s="281">
        <f t="shared" si="17"/>
        <v>365.72</v>
      </c>
      <c r="K160" s="282">
        <f>IF(Notes!$B$9="Domestic",I160, IF(Notes!$B$9="Commercial",J160))*$K$129</f>
        <v>365.72</v>
      </c>
      <c r="L160" s="283">
        <f>(SUM(O160:Q160)+(K160+SUM(M160:Q160))*(INDEX($U$129:$AB$129,MATCH(Notes!$C$16,$U$3:$AB$3,0))-100%))*$L$129</f>
        <v>1140.3440000000001</v>
      </c>
      <c r="M160" s="286"/>
      <c r="N160" s="286"/>
      <c r="O160" s="285">
        <v>670.76</v>
      </c>
      <c r="P160" s="311">
        <f t="shared" si="14"/>
        <v>469.584</v>
      </c>
      <c r="Q160" s="285"/>
      <c r="R160" s="278"/>
      <c r="S160" s="278"/>
      <c r="T160" s="278"/>
      <c r="U160" s="304"/>
    </row>
    <row r="161" spans="1:21" s="305" customFormat="1" ht="21.75" hidden="1" customHeight="1" outlineLevel="1" x14ac:dyDescent="0.25">
      <c r="A161" s="278"/>
      <c r="B161" s="279" t="str">
        <f t="shared" si="15"/>
        <v>15002700AL/ANW</v>
      </c>
      <c r="C161" s="278">
        <v>1500</v>
      </c>
      <c r="D161" s="278">
        <v>2700</v>
      </c>
      <c r="E161" s="278" t="s">
        <v>939</v>
      </c>
      <c r="F161" s="278"/>
      <c r="G161" s="278" t="s">
        <v>5</v>
      </c>
      <c r="H161" s="290">
        <v>4</v>
      </c>
      <c r="I161" s="280">
        <f t="shared" si="18"/>
        <v>322.48</v>
      </c>
      <c r="J161" s="281">
        <f t="shared" si="17"/>
        <v>365.72</v>
      </c>
      <c r="K161" s="282">
        <f>IF(Notes!$B$9="Domestic",I161, IF(Notes!$B$9="Commercial",J161))*$K$129</f>
        <v>365.72</v>
      </c>
      <c r="L161" s="283">
        <f>(SUM(O161:Q161)+(K161+SUM(M161:Q161))*(INDEX($U$129:$AB$129,MATCH(Notes!$C$16,$U$3:$AB$3,0))-100%))*$L$129</f>
        <v>1510.7719999999999</v>
      </c>
      <c r="M161" s="286"/>
      <c r="N161" s="286"/>
      <c r="O161" s="285">
        <v>982.49</v>
      </c>
      <c r="P161" s="311">
        <f t="shared" si="14"/>
        <v>528.28200000000004</v>
      </c>
      <c r="Q161" s="285"/>
      <c r="R161" s="278"/>
      <c r="S161" s="278"/>
      <c r="T161" s="278"/>
      <c r="U161" s="304"/>
    </row>
    <row r="162" spans="1:21" s="305" customFormat="1" ht="21.75" hidden="1" customHeight="1" outlineLevel="1" x14ac:dyDescent="0.25">
      <c r="A162" s="278"/>
      <c r="B162" s="279" t="str">
        <f t="shared" si="15"/>
        <v>1800600AL/ANW</v>
      </c>
      <c r="C162" s="278">
        <v>1800</v>
      </c>
      <c r="D162" s="278">
        <v>600</v>
      </c>
      <c r="E162" s="278" t="s">
        <v>939</v>
      </c>
      <c r="F162" s="278"/>
      <c r="G162" s="278" t="s">
        <v>5</v>
      </c>
      <c r="H162" s="290">
        <v>1</v>
      </c>
      <c r="I162" s="280">
        <f t="shared" si="18"/>
        <v>80.62</v>
      </c>
      <c r="J162" s="281">
        <f t="shared" si="17"/>
        <v>91.43</v>
      </c>
      <c r="K162" s="282">
        <f>IF(Notes!$B$9="Domestic",I162, IF(Notes!$B$9="Commercial",J162))*$K$129</f>
        <v>91.43</v>
      </c>
      <c r="L162" s="283">
        <f>(SUM(O162:Q162)+(K162+SUM(M162:Q162))*(INDEX($U$129:$AB$129,MATCH(Notes!$C$16,$U$3:$AB$3,0))-100%))*$L$129</f>
        <v>565.18520000000001</v>
      </c>
      <c r="M162" s="286"/>
      <c r="N162" s="286"/>
      <c r="O162" s="285">
        <v>424.31</v>
      </c>
      <c r="P162" s="311">
        <f t="shared" si="14"/>
        <v>140.87520000000001</v>
      </c>
      <c r="Q162" s="285"/>
      <c r="R162" s="278"/>
      <c r="S162" s="278"/>
      <c r="T162" s="278"/>
      <c r="U162" s="304"/>
    </row>
    <row r="163" spans="1:21" s="305" customFormat="1" ht="21.75" hidden="1" customHeight="1" outlineLevel="1" x14ac:dyDescent="0.25">
      <c r="A163" s="278"/>
      <c r="B163" s="279" t="str">
        <f t="shared" si="15"/>
        <v>1800900AL/ANW</v>
      </c>
      <c r="C163" s="278">
        <v>1800</v>
      </c>
      <c r="D163" s="278">
        <v>900</v>
      </c>
      <c r="E163" s="278" t="s">
        <v>939</v>
      </c>
      <c r="F163" s="278"/>
      <c r="G163" s="278" t="s">
        <v>5</v>
      </c>
      <c r="H163" s="290">
        <v>2</v>
      </c>
      <c r="I163" s="280">
        <f t="shared" si="18"/>
        <v>161.24</v>
      </c>
      <c r="J163" s="281">
        <f t="shared" si="17"/>
        <v>182.86</v>
      </c>
      <c r="K163" s="282">
        <f>IF(Notes!$B$9="Domestic",I163, IF(Notes!$B$9="Commercial",J163))*$K$129</f>
        <v>182.86</v>
      </c>
      <c r="L163" s="283">
        <f>(SUM(O163:Q163)+(K163+SUM(M163:Q163))*(INDEX($U$129:$AB$129,MATCH(Notes!$C$16,$U$3:$AB$3,0))-100%))*$L$129</f>
        <v>713.52279999999996</v>
      </c>
      <c r="M163" s="286"/>
      <c r="N163" s="286"/>
      <c r="O163" s="285">
        <v>502.21</v>
      </c>
      <c r="P163" s="311">
        <f t="shared" si="14"/>
        <v>211.31279999999998</v>
      </c>
      <c r="Q163" s="285"/>
      <c r="R163" s="278"/>
      <c r="S163" s="278"/>
      <c r="T163" s="278"/>
      <c r="U163" s="304"/>
    </row>
    <row r="164" spans="1:21" s="305" customFormat="1" ht="21.75" hidden="1" customHeight="1" outlineLevel="1" x14ac:dyDescent="0.25">
      <c r="A164" s="278"/>
      <c r="B164" s="279" t="str">
        <f t="shared" si="15"/>
        <v>18001200AL/ANW</v>
      </c>
      <c r="C164" s="278">
        <v>1800</v>
      </c>
      <c r="D164" s="278">
        <v>1200</v>
      </c>
      <c r="E164" s="278" t="s">
        <v>939</v>
      </c>
      <c r="F164" s="278"/>
      <c r="G164" s="278" t="s">
        <v>5</v>
      </c>
      <c r="H164" s="290">
        <v>3</v>
      </c>
      <c r="I164" s="280">
        <f t="shared" si="18"/>
        <v>241.86</v>
      </c>
      <c r="J164" s="281">
        <f t="shared" si="17"/>
        <v>274.29000000000002</v>
      </c>
      <c r="K164" s="282">
        <f>IF(Notes!$B$9="Domestic",I164, IF(Notes!$B$9="Commercial",J164))*$K$129</f>
        <v>274.29000000000002</v>
      </c>
      <c r="L164" s="283">
        <f>(SUM(O164:Q164)+(K164+SUM(M164:Q164))*(INDEX($U$129:$AB$129,MATCH(Notes!$C$16,$U$3:$AB$3,0))-100%))*$L$129</f>
        <v>851.11040000000003</v>
      </c>
      <c r="M164" s="286"/>
      <c r="N164" s="286"/>
      <c r="O164" s="285">
        <v>569.36</v>
      </c>
      <c r="P164" s="311">
        <f t="shared" si="14"/>
        <v>281.75040000000001</v>
      </c>
      <c r="Q164" s="285"/>
      <c r="R164" s="278"/>
      <c r="S164" s="278"/>
      <c r="T164" s="278"/>
      <c r="U164" s="304"/>
    </row>
    <row r="165" spans="1:21" s="305" customFormat="1" ht="21.75" hidden="1" customHeight="1" outlineLevel="1" x14ac:dyDescent="0.25">
      <c r="A165" s="278"/>
      <c r="B165" s="279" t="str">
        <f t="shared" si="15"/>
        <v>18001500AL/ANW</v>
      </c>
      <c r="C165" s="278">
        <v>1800</v>
      </c>
      <c r="D165" s="278">
        <v>1500</v>
      </c>
      <c r="E165" s="278" t="s">
        <v>939</v>
      </c>
      <c r="F165" s="278"/>
      <c r="G165" s="278" t="s">
        <v>5</v>
      </c>
      <c r="H165" s="290">
        <v>3</v>
      </c>
      <c r="I165" s="280">
        <f t="shared" si="18"/>
        <v>241.86</v>
      </c>
      <c r="J165" s="281">
        <f t="shared" si="17"/>
        <v>274.29000000000002</v>
      </c>
      <c r="K165" s="282">
        <f>IF(Notes!$B$9="Domestic",I165, IF(Notes!$B$9="Commercial",J165))*$K$129</f>
        <v>274.29000000000002</v>
      </c>
      <c r="L165" s="283">
        <f>(SUM(O165:Q165)+(K165+SUM(M165:Q165))*(INDEX($U$129:$AB$129,MATCH(Notes!$C$16,$U$3:$AB$3,0))-100%))*$L$129</f>
        <v>1159.2379999999998</v>
      </c>
      <c r="M165" s="286"/>
      <c r="N165" s="286"/>
      <c r="O165" s="285">
        <v>807.05</v>
      </c>
      <c r="P165" s="311">
        <f t="shared" si="14"/>
        <v>352.18799999999999</v>
      </c>
      <c r="Q165" s="285"/>
      <c r="R165" s="278"/>
      <c r="S165" s="278"/>
      <c r="T165" s="278"/>
      <c r="U165" s="304"/>
    </row>
    <row r="166" spans="1:21" s="305" customFormat="1" ht="21.75" hidden="1" customHeight="1" outlineLevel="1" x14ac:dyDescent="0.25">
      <c r="A166" s="278"/>
      <c r="B166" s="279" t="str">
        <f t="shared" si="15"/>
        <v>18001800AL/ANW</v>
      </c>
      <c r="C166" s="278">
        <v>1800</v>
      </c>
      <c r="D166" s="278">
        <v>1800</v>
      </c>
      <c r="E166" s="278" t="s">
        <v>939</v>
      </c>
      <c r="F166" s="278"/>
      <c r="G166" s="278" t="s">
        <v>5</v>
      </c>
      <c r="H166" s="290">
        <v>4</v>
      </c>
      <c r="I166" s="280">
        <f t="shared" si="18"/>
        <v>322.48</v>
      </c>
      <c r="J166" s="281">
        <f t="shared" si="17"/>
        <v>365.72</v>
      </c>
      <c r="K166" s="282">
        <f>IF(Notes!$B$9="Domestic",I166, IF(Notes!$B$9="Commercial",J166))*$K$129</f>
        <v>365.72</v>
      </c>
      <c r="L166" s="283">
        <f>(SUM(O166:Q166)+(K166+SUM(M166:Q166))*(INDEX($U$129:$AB$129,MATCH(Notes!$C$16,$U$3:$AB$3,0))-100%))*$L$129</f>
        <v>1279.4056</v>
      </c>
      <c r="M166" s="286"/>
      <c r="N166" s="286"/>
      <c r="O166" s="285">
        <v>856.78</v>
      </c>
      <c r="P166" s="311">
        <f t="shared" si="14"/>
        <v>422.62559999999996</v>
      </c>
      <c r="Q166" s="285"/>
      <c r="R166" s="278"/>
      <c r="S166" s="278"/>
      <c r="T166" s="278"/>
      <c r="U166" s="304"/>
    </row>
    <row r="167" spans="1:21" s="305" customFormat="1" ht="21.75" hidden="1" customHeight="1" outlineLevel="1" x14ac:dyDescent="0.25">
      <c r="A167" s="278"/>
      <c r="B167" s="279" t="str">
        <f t="shared" si="15"/>
        <v>18002100AL/ANW</v>
      </c>
      <c r="C167" s="278">
        <v>1800</v>
      </c>
      <c r="D167" s="278">
        <v>2100</v>
      </c>
      <c r="E167" s="278" t="s">
        <v>939</v>
      </c>
      <c r="F167" s="278"/>
      <c r="G167" s="278" t="s">
        <v>5</v>
      </c>
      <c r="H167" s="290">
        <v>4</v>
      </c>
      <c r="I167" s="280">
        <f t="shared" si="18"/>
        <v>322.48</v>
      </c>
      <c r="J167" s="281">
        <f t="shared" si="17"/>
        <v>365.72</v>
      </c>
      <c r="K167" s="282">
        <f>IF(Notes!$B$9="Domestic",I167, IF(Notes!$B$9="Commercial",J167))*$K$129</f>
        <v>365.72</v>
      </c>
      <c r="L167" s="283">
        <f>(SUM(O167:Q167)+(K167+SUM(M167:Q167))*(INDEX($U$129:$AB$129,MATCH(Notes!$C$16,$U$3:$AB$3,0))-100%))*$L$129</f>
        <v>1384.0432000000001</v>
      </c>
      <c r="M167" s="286"/>
      <c r="N167" s="286"/>
      <c r="O167" s="285">
        <v>890.98</v>
      </c>
      <c r="P167" s="311">
        <f t="shared" si="14"/>
        <v>493.06319999999999</v>
      </c>
      <c r="Q167" s="285"/>
      <c r="R167" s="278"/>
      <c r="S167" s="278"/>
      <c r="T167" s="278"/>
      <c r="U167" s="304"/>
    </row>
    <row r="168" spans="1:21" s="305" customFormat="1" ht="21.75" hidden="1" customHeight="1" outlineLevel="1" x14ac:dyDescent="0.25">
      <c r="A168" s="278"/>
      <c r="B168" s="279" t="str">
        <f t="shared" si="15"/>
        <v>18002400AL/ANW</v>
      </c>
      <c r="C168" s="278">
        <v>1800</v>
      </c>
      <c r="D168" s="278">
        <v>2400</v>
      </c>
      <c r="E168" s="278" t="s">
        <v>939</v>
      </c>
      <c r="F168" s="278"/>
      <c r="G168" s="278" t="s">
        <v>5</v>
      </c>
      <c r="H168" s="290">
        <v>5</v>
      </c>
      <c r="I168" s="280">
        <f t="shared" si="18"/>
        <v>403.1</v>
      </c>
      <c r="J168" s="281">
        <f t="shared" si="17"/>
        <v>457.15000000000003</v>
      </c>
      <c r="K168" s="282">
        <f>IF(Notes!$B$9="Domestic",I168, IF(Notes!$B$9="Commercial",J168))*$K$129</f>
        <v>457.15000000000003</v>
      </c>
      <c r="L168" s="283">
        <f>(SUM(O168:Q168)+(K168+SUM(M168:Q168))*(INDEX($U$129:$AB$129,MATCH(Notes!$C$16,$U$3:$AB$3,0))-100%))*$L$129</f>
        <v>1488.3308000000002</v>
      </c>
      <c r="M168" s="286"/>
      <c r="N168" s="286"/>
      <c r="O168" s="285">
        <v>924.83</v>
      </c>
      <c r="P168" s="311">
        <f t="shared" si="14"/>
        <v>563.50080000000003</v>
      </c>
      <c r="Q168" s="285"/>
      <c r="R168" s="278"/>
      <c r="S168" s="278"/>
      <c r="T168" s="278"/>
      <c r="U168" s="304"/>
    </row>
    <row r="169" spans="1:21" s="305" customFormat="1" ht="21.75" hidden="1" customHeight="1" outlineLevel="1" x14ac:dyDescent="0.25">
      <c r="A169" s="278"/>
      <c r="B169" s="279" t="str">
        <f t="shared" si="15"/>
        <v>18002700AL/ANW</v>
      </c>
      <c r="C169" s="278">
        <v>1800</v>
      </c>
      <c r="D169" s="278">
        <v>2700</v>
      </c>
      <c r="E169" s="278" t="s">
        <v>939</v>
      </c>
      <c r="F169" s="278"/>
      <c r="G169" s="278" t="s">
        <v>5</v>
      </c>
      <c r="H169" s="290">
        <v>5</v>
      </c>
      <c r="I169" s="280">
        <f t="shared" si="18"/>
        <v>403.1</v>
      </c>
      <c r="J169" s="281">
        <f t="shared" si="17"/>
        <v>457.15000000000003</v>
      </c>
      <c r="K169" s="282">
        <f>IF(Notes!$B$9="Domestic",I169, IF(Notes!$B$9="Commercial",J169))*$K$129</f>
        <v>457.15000000000003</v>
      </c>
      <c r="L169" s="283">
        <f>(SUM(O169:Q169)+(K169+SUM(M169:Q169))*(INDEX($U$129:$AB$129,MATCH(Notes!$C$16,$U$3:$AB$3,0))-100%))*$L$129</f>
        <v>1913.2883999999999</v>
      </c>
      <c r="M169" s="286"/>
      <c r="N169" s="286"/>
      <c r="O169" s="285">
        <v>1279.3499999999999</v>
      </c>
      <c r="P169" s="311">
        <f t="shared" si="14"/>
        <v>633.9384</v>
      </c>
      <c r="Q169" s="285"/>
      <c r="R169" s="278"/>
      <c r="S169" s="278"/>
      <c r="T169" s="278"/>
      <c r="U169" s="304"/>
    </row>
    <row r="170" spans="1:21" s="305" customFormat="1" ht="21.75" hidden="1" customHeight="1" outlineLevel="1" x14ac:dyDescent="0.25">
      <c r="A170" s="278"/>
      <c r="B170" s="279" t="str">
        <f t="shared" si="15"/>
        <v>2100600AL/ANW</v>
      </c>
      <c r="C170" s="278">
        <v>2100</v>
      </c>
      <c r="D170" s="278">
        <v>600</v>
      </c>
      <c r="E170" s="278" t="s">
        <v>939</v>
      </c>
      <c r="F170" s="278"/>
      <c r="G170" s="278" t="s">
        <v>5</v>
      </c>
      <c r="H170" s="290">
        <v>2</v>
      </c>
      <c r="I170" s="280">
        <f t="shared" si="18"/>
        <v>161.24</v>
      </c>
      <c r="J170" s="281">
        <f t="shared" si="17"/>
        <v>182.86</v>
      </c>
      <c r="K170" s="282">
        <f>IF(Notes!$B$9="Domestic",I170, IF(Notes!$B$9="Commercial",J170))*$K$129</f>
        <v>182.86</v>
      </c>
      <c r="L170" s="283">
        <f>(SUM(O170:Q170)+(K170+SUM(M170:Q170))*(INDEX($U$129:$AB$129,MATCH(Notes!$C$16,$U$3:$AB$3,0))-100%))*$L$129</f>
        <v>611.2944</v>
      </c>
      <c r="M170" s="286"/>
      <c r="N170" s="286"/>
      <c r="O170" s="285">
        <v>446.94</v>
      </c>
      <c r="P170" s="311">
        <f t="shared" si="14"/>
        <v>164.3544</v>
      </c>
      <c r="Q170" s="285"/>
      <c r="R170" s="278"/>
      <c r="S170" s="278"/>
      <c r="T170" s="278"/>
      <c r="U170" s="304"/>
    </row>
    <row r="171" spans="1:21" s="305" customFormat="1" ht="21.75" hidden="1" customHeight="1" outlineLevel="1" x14ac:dyDescent="0.25">
      <c r="A171" s="278"/>
      <c r="B171" s="279" t="str">
        <f t="shared" si="15"/>
        <v>2100900AL/ANW</v>
      </c>
      <c r="C171" s="278">
        <v>2100</v>
      </c>
      <c r="D171" s="278">
        <v>900</v>
      </c>
      <c r="E171" s="278" t="s">
        <v>939</v>
      </c>
      <c r="F171" s="278"/>
      <c r="G171" s="278" t="s">
        <v>5</v>
      </c>
      <c r="H171" s="290">
        <v>2</v>
      </c>
      <c r="I171" s="280">
        <f t="shared" si="18"/>
        <v>161.24</v>
      </c>
      <c r="J171" s="281">
        <f t="shared" si="17"/>
        <v>182.86</v>
      </c>
      <c r="K171" s="282">
        <f>IF(Notes!$B$9="Domestic",I171, IF(Notes!$B$9="Commercial",J171))*$K$129</f>
        <v>182.86</v>
      </c>
      <c r="L171" s="283">
        <f>(SUM(O171:Q171)+(K171+SUM(M171:Q171))*(INDEX($U$129:$AB$129,MATCH(Notes!$C$16,$U$3:$AB$3,0))-100%))*$L$129</f>
        <v>782.88159999999993</v>
      </c>
      <c r="M171" s="286"/>
      <c r="N171" s="286"/>
      <c r="O171" s="285">
        <v>536.35</v>
      </c>
      <c r="P171" s="311">
        <f t="shared" si="14"/>
        <v>246.53159999999997</v>
      </c>
      <c r="Q171" s="285"/>
      <c r="R171" s="278"/>
      <c r="S171" s="278"/>
      <c r="T171" s="278"/>
      <c r="U171" s="304"/>
    </row>
    <row r="172" spans="1:21" s="305" customFormat="1" ht="21.75" hidden="1" customHeight="1" outlineLevel="1" x14ac:dyDescent="0.25">
      <c r="A172" s="278"/>
      <c r="B172" s="279" t="str">
        <f t="shared" si="15"/>
        <v>21001200AL/ANW</v>
      </c>
      <c r="C172" s="278">
        <v>2100</v>
      </c>
      <c r="D172" s="278">
        <v>1200</v>
      </c>
      <c r="E172" s="278" t="s">
        <v>939</v>
      </c>
      <c r="F172" s="278"/>
      <c r="G172" s="278" t="s">
        <v>5</v>
      </c>
      <c r="H172" s="290">
        <v>4</v>
      </c>
      <c r="I172" s="280">
        <f t="shared" si="18"/>
        <v>322.48</v>
      </c>
      <c r="J172" s="281">
        <f t="shared" si="17"/>
        <v>365.72</v>
      </c>
      <c r="K172" s="282">
        <f>IF(Notes!$B$9="Domestic",I172, IF(Notes!$B$9="Commercial",J172))*$K$129</f>
        <v>365.72</v>
      </c>
      <c r="L172" s="283">
        <f>(SUM(O172:Q172)+(K172+SUM(M172:Q172))*(INDEX($U$129:$AB$129,MATCH(Notes!$C$16,$U$3:$AB$3,0))-100%))*$L$129</f>
        <v>921.94880000000001</v>
      </c>
      <c r="M172" s="286"/>
      <c r="N172" s="286"/>
      <c r="O172" s="285">
        <v>593.24</v>
      </c>
      <c r="P172" s="311">
        <f t="shared" si="14"/>
        <v>328.7088</v>
      </c>
      <c r="Q172" s="285"/>
      <c r="R172" s="278"/>
      <c r="S172" s="278"/>
      <c r="T172" s="278"/>
      <c r="U172" s="304"/>
    </row>
    <row r="173" spans="1:21" s="305" customFormat="1" ht="21.75" hidden="1" customHeight="1" outlineLevel="1" x14ac:dyDescent="0.25">
      <c r="A173" s="278"/>
      <c r="B173" s="279" t="str">
        <f t="shared" si="15"/>
        <v>21001500AL/ANW</v>
      </c>
      <c r="C173" s="278">
        <v>2100</v>
      </c>
      <c r="D173" s="278">
        <v>1500</v>
      </c>
      <c r="E173" s="278" t="s">
        <v>939</v>
      </c>
      <c r="F173" s="278"/>
      <c r="G173" s="278" t="s">
        <v>5</v>
      </c>
      <c r="H173" s="290">
        <v>4</v>
      </c>
      <c r="I173" s="280">
        <f t="shared" si="18"/>
        <v>322.48</v>
      </c>
      <c r="J173" s="281">
        <f t="shared" si="17"/>
        <v>365.72</v>
      </c>
      <c r="K173" s="282">
        <f>IF(Notes!$B$9="Domestic",I173, IF(Notes!$B$9="Commercial",J173))*$K$129</f>
        <v>365.72</v>
      </c>
      <c r="L173" s="283">
        <f>(SUM(O173:Q173)+(K173+SUM(M173:Q173))*(INDEX($U$129:$AB$129,MATCH(Notes!$C$16,$U$3:$AB$3,0))-100%))*$L$129</f>
        <v>1252.336</v>
      </c>
      <c r="M173" s="286"/>
      <c r="N173" s="286"/>
      <c r="O173" s="311">
        <f>O165+O174-O166</f>
        <v>841.45</v>
      </c>
      <c r="P173" s="311">
        <f t="shared" si="14"/>
        <v>410.88599999999997</v>
      </c>
      <c r="Q173" s="285"/>
      <c r="R173" s="278"/>
      <c r="S173" s="278"/>
      <c r="T173" s="278"/>
      <c r="U173" s="304"/>
    </row>
    <row r="174" spans="1:21" s="305" customFormat="1" ht="21.75" hidden="1" customHeight="1" outlineLevel="1" x14ac:dyDescent="0.25">
      <c r="A174" s="278"/>
      <c r="B174" s="279" t="str">
        <f t="shared" si="15"/>
        <v>21001800AL/ANW</v>
      </c>
      <c r="C174" s="278">
        <v>2100</v>
      </c>
      <c r="D174" s="278">
        <v>1800</v>
      </c>
      <c r="E174" s="278" t="s">
        <v>939</v>
      </c>
      <c r="F174" s="278"/>
      <c r="G174" s="278" t="s">
        <v>5</v>
      </c>
      <c r="H174" s="290">
        <v>4</v>
      </c>
      <c r="I174" s="280">
        <f t="shared" si="18"/>
        <v>322.48</v>
      </c>
      <c r="J174" s="281">
        <f t="shared" si="17"/>
        <v>365.72</v>
      </c>
      <c r="K174" s="282">
        <f>IF(Notes!$B$9="Domestic",I174, IF(Notes!$B$9="Commercial",J174))*$K$129</f>
        <v>365.72</v>
      </c>
      <c r="L174" s="283">
        <f>(SUM(O174:Q174)+(K174+SUM(M174:Q174))*(INDEX($U$129:$AB$129,MATCH(Notes!$C$16,$U$3:$AB$3,0))-100%))*$L$129</f>
        <v>1384.2431999999999</v>
      </c>
      <c r="M174" s="286"/>
      <c r="N174" s="286"/>
      <c r="O174" s="285">
        <v>891.18</v>
      </c>
      <c r="P174" s="311">
        <f t="shared" si="14"/>
        <v>493.06319999999994</v>
      </c>
      <c r="Q174" s="285"/>
      <c r="R174" s="278"/>
      <c r="S174" s="278"/>
      <c r="T174" s="278"/>
      <c r="U174" s="304"/>
    </row>
    <row r="175" spans="1:21" s="305" customFormat="1" ht="21.75" hidden="1" customHeight="1" outlineLevel="1" x14ac:dyDescent="0.25">
      <c r="A175" s="278"/>
      <c r="B175" s="279" t="str">
        <f t="shared" si="15"/>
        <v>21002100AL/ANW</v>
      </c>
      <c r="C175" s="278">
        <v>2100</v>
      </c>
      <c r="D175" s="278">
        <v>2100</v>
      </c>
      <c r="E175" s="278" t="s">
        <v>939</v>
      </c>
      <c r="F175" s="278"/>
      <c r="G175" s="278" t="s">
        <v>5</v>
      </c>
      <c r="H175" s="290">
        <v>5</v>
      </c>
      <c r="I175" s="280">
        <f t="shared" si="18"/>
        <v>403.1</v>
      </c>
      <c r="J175" s="281">
        <f t="shared" si="17"/>
        <v>457.15000000000003</v>
      </c>
      <c r="K175" s="282">
        <f>IF(Notes!$B$9="Domestic",I175, IF(Notes!$B$9="Commercial",J175))*$K$129</f>
        <v>457.15000000000003</v>
      </c>
      <c r="L175" s="283">
        <f>(SUM(O175:Q175)+(K175+SUM(M175:Q175))*(INDEX($U$129:$AB$129,MATCH(Notes!$C$16,$U$3:$AB$3,0))-100%))*$L$129</f>
        <v>1516.6203999999998</v>
      </c>
      <c r="M175" s="286"/>
      <c r="N175" s="286"/>
      <c r="O175" s="285">
        <v>941.38</v>
      </c>
      <c r="P175" s="311">
        <f t="shared" si="14"/>
        <v>575.24039999999991</v>
      </c>
      <c r="Q175" s="285"/>
      <c r="R175" s="278"/>
      <c r="S175" s="278"/>
      <c r="T175" s="278"/>
      <c r="U175" s="304"/>
    </row>
    <row r="176" spans="1:21" s="305" customFormat="1" ht="21.75" hidden="1" customHeight="1" outlineLevel="1" x14ac:dyDescent="0.25">
      <c r="A176" s="278"/>
      <c r="B176" s="279" t="str">
        <f t="shared" si="15"/>
        <v>21002400AL/ANW</v>
      </c>
      <c r="C176" s="278">
        <v>2100</v>
      </c>
      <c r="D176" s="278">
        <v>2400</v>
      </c>
      <c r="E176" s="278" t="s">
        <v>939</v>
      </c>
      <c r="F176" s="278"/>
      <c r="G176" s="278" t="s">
        <v>5</v>
      </c>
      <c r="H176" s="290">
        <v>5</v>
      </c>
      <c r="I176" s="280">
        <f t="shared" si="18"/>
        <v>403.1</v>
      </c>
      <c r="J176" s="281">
        <f t="shared" si="17"/>
        <v>457.15000000000003</v>
      </c>
      <c r="K176" s="282">
        <f>IF(Notes!$B$9="Domestic",I176, IF(Notes!$B$9="Commercial",J176))*$K$129</f>
        <v>457.15000000000003</v>
      </c>
      <c r="L176" s="283">
        <f>(SUM(O176:Q176)+(K176+SUM(M176:Q176))*(INDEX($U$129:$AB$129,MATCH(Notes!$C$16,$U$3:$AB$3,0))-100%))*$L$129</f>
        <v>1633.0976000000001</v>
      </c>
      <c r="M176" s="286"/>
      <c r="N176" s="286"/>
      <c r="O176" s="285">
        <v>975.68</v>
      </c>
      <c r="P176" s="311">
        <f t="shared" si="14"/>
        <v>657.41759999999999</v>
      </c>
      <c r="Q176" s="285"/>
      <c r="R176" s="278"/>
      <c r="S176" s="278"/>
      <c r="T176" s="278"/>
      <c r="U176" s="304"/>
    </row>
    <row r="177" spans="1:21" s="305" customFormat="1" ht="21.75" hidden="1" customHeight="1" outlineLevel="1" x14ac:dyDescent="0.25">
      <c r="A177" s="278"/>
      <c r="B177" s="279" t="str">
        <f t="shared" si="15"/>
        <v>21002700AL/ANW</v>
      </c>
      <c r="C177" s="278">
        <v>2100</v>
      </c>
      <c r="D177" s="278">
        <v>2700</v>
      </c>
      <c r="E177" s="278" t="s">
        <v>939</v>
      </c>
      <c r="F177" s="278"/>
      <c r="G177" s="278" t="s">
        <v>5</v>
      </c>
      <c r="H177" s="290">
        <v>6</v>
      </c>
      <c r="I177" s="280">
        <f t="shared" si="18"/>
        <v>483.72</v>
      </c>
      <c r="J177" s="281">
        <f t="shared" si="17"/>
        <v>548.58000000000004</v>
      </c>
      <c r="K177" s="282">
        <f>IF(Notes!$B$9="Domestic",I177, IF(Notes!$B$9="Commercial",J177))*$K$129</f>
        <v>548.58000000000004</v>
      </c>
      <c r="L177" s="283">
        <f>(SUM(O177:Q177)+(K177+SUM(M177:Q177))*(INDEX($U$129:$AB$129,MATCH(Notes!$C$16,$U$3:$AB$3,0))-100%))*$L$129</f>
        <v>2129.5448000000001</v>
      </c>
      <c r="M177" s="286"/>
      <c r="N177" s="286"/>
      <c r="O177" s="285">
        <v>1389.95</v>
      </c>
      <c r="P177" s="311">
        <f t="shared" si="14"/>
        <v>739.59479999999996</v>
      </c>
      <c r="Q177" s="285"/>
      <c r="R177" s="278"/>
      <c r="S177" s="278"/>
      <c r="T177" s="278"/>
      <c r="U177" s="304"/>
    </row>
    <row r="178" spans="1:21" s="305" customFormat="1" ht="21.75" hidden="1" customHeight="1" outlineLevel="1" x14ac:dyDescent="0.25">
      <c r="A178" s="278"/>
      <c r="B178" s="279" t="str">
        <f t="shared" si="15"/>
        <v>2400600AL/ANW</v>
      </c>
      <c r="C178" s="278">
        <v>2400</v>
      </c>
      <c r="D178" s="278">
        <v>600</v>
      </c>
      <c r="E178" s="278" t="s">
        <v>939</v>
      </c>
      <c r="F178" s="278"/>
      <c r="G178" s="278" t="s">
        <v>5</v>
      </c>
      <c r="H178" s="290">
        <v>2</v>
      </c>
      <c r="I178" s="280">
        <f t="shared" si="18"/>
        <v>161.24</v>
      </c>
      <c r="J178" s="281">
        <f t="shared" si="17"/>
        <v>182.86</v>
      </c>
      <c r="K178" s="282">
        <f>IF(Notes!$B$9="Domestic",I178, IF(Notes!$B$9="Commercial",J178))*$K$129</f>
        <v>182.86</v>
      </c>
      <c r="L178" s="283">
        <f>(SUM(O178:Q178)+(K178+SUM(M178:Q178))*(INDEX($U$129:$AB$129,MATCH(Notes!$C$16,$U$3:$AB$3,0))-100%))*$L$129</f>
        <v>664.85359999999991</v>
      </c>
      <c r="M178" s="286"/>
      <c r="N178" s="286"/>
      <c r="O178" s="311">
        <f>O136</f>
        <v>477.02</v>
      </c>
      <c r="P178" s="311">
        <f t="shared" si="14"/>
        <v>187.83359999999999</v>
      </c>
      <c r="Q178" s="285"/>
      <c r="R178" s="278"/>
      <c r="S178" s="278"/>
      <c r="T178" s="278"/>
      <c r="U178" s="304"/>
    </row>
    <row r="179" spans="1:21" s="305" customFormat="1" ht="21.75" hidden="1" customHeight="1" outlineLevel="1" x14ac:dyDescent="0.25">
      <c r="A179" s="278"/>
      <c r="B179" s="279" t="str">
        <f t="shared" si="15"/>
        <v>2400900AL/ANW</v>
      </c>
      <c r="C179" s="278">
        <v>2400</v>
      </c>
      <c r="D179" s="278">
        <v>900</v>
      </c>
      <c r="E179" s="278" t="s">
        <v>939</v>
      </c>
      <c r="F179" s="278"/>
      <c r="G179" s="278" t="s">
        <v>5</v>
      </c>
      <c r="H179" s="290">
        <v>4</v>
      </c>
      <c r="I179" s="280">
        <f t="shared" si="18"/>
        <v>322.48</v>
      </c>
      <c r="J179" s="281">
        <f t="shared" si="17"/>
        <v>365.72</v>
      </c>
      <c r="K179" s="282">
        <f>IF(Notes!$B$9="Domestic",I179, IF(Notes!$B$9="Commercial",J179))*$K$129</f>
        <v>365.72</v>
      </c>
      <c r="L179" s="283">
        <f>(SUM(O179:Q179)+(K179+SUM(M179:Q179))*(INDEX($U$129:$AB$129,MATCH(Notes!$C$16,$U$3:$AB$3,0))-100%))*$L$129</f>
        <v>853.77039999999988</v>
      </c>
      <c r="M179" s="286"/>
      <c r="N179" s="286"/>
      <c r="O179" s="311">
        <f>O144</f>
        <v>572.02</v>
      </c>
      <c r="P179" s="311">
        <f t="shared" si="14"/>
        <v>281.75039999999996</v>
      </c>
      <c r="Q179" s="285"/>
      <c r="R179" s="278"/>
      <c r="S179" s="278"/>
      <c r="T179" s="278"/>
      <c r="U179" s="304"/>
    </row>
    <row r="180" spans="1:21" s="305" customFormat="1" ht="21.75" hidden="1" customHeight="1" outlineLevel="1" x14ac:dyDescent="0.25">
      <c r="A180" s="278"/>
      <c r="B180" s="279" t="str">
        <f t="shared" si="15"/>
        <v>24001200AL/ANW</v>
      </c>
      <c r="C180" s="278">
        <v>2400</v>
      </c>
      <c r="D180" s="278">
        <v>1200</v>
      </c>
      <c r="E180" s="278" t="s">
        <v>939</v>
      </c>
      <c r="F180" s="278"/>
      <c r="G180" s="278" t="s">
        <v>5</v>
      </c>
      <c r="H180" s="290">
        <v>4</v>
      </c>
      <c r="I180" s="280">
        <f t="shared" si="18"/>
        <v>322.48</v>
      </c>
      <c r="J180" s="281">
        <f t="shared" si="17"/>
        <v>365.72</v>
      </c>
      <c r="K180" s="282">
        <f>IF(Notes!$B$9="Domestic",I180, IF(Notes!$B$9="Commercial",J180))*$K$129</f>
        <v>365.72</v>
      </c>
      <c r="L180" s="283">
        <f>(SUM(O180:Q180)+(K180+SUM(M180:Q180))*(INDEX($U$129:$AB$129,MATCH(Notes!$C$16,$U$3:$AB$3,0))-100%))*$L$129</f>
        <v>1014.9172</v>
      </c>
      <c r="M180" s="286"/>
      <c r="N180" s="286"/>
      <c r="O180" s="311">
        <f>O152</f>
        <v>639.25</v>
      </c>
      <c r="P180" s="311">
        <f t="shared" si="14"/>
        <v>375.66719999999998</v>
      </c>
      <c r="Q180" s="285"/>
      <c r="R180" s="278"/>
      <c r="S180" s="278"/>
      <c r="T180" s="278"/>
      <c r="U180" s="304"/>
    </row>
    <row r="181" spans="1:21" s="305" customFormat="1" ht="21.75" hidden="1" customHeight="1" outlineLevel="1" x14ac:dyDescent="0.25">
      <c r="A181" s="278"/>
      <c r="B181" s="279" t="str">
        <f t="shared" si="15"/>
        <v>24001500AL/ANW</v>
      </c>
      <c r="C181" s="278">
        <v>2400</v>
      </c>
      <c r="D181" s="278">
        <v>1500</v>
      </c>
      <c r="E181" s="278" t="s">
        <v>939</v>
      </c>
      <c r="F181" s="278"/>
      <c r="G181" s="278" t="s">
        <v>5</v>
      </c>
      <c r="H181" s="290">
        <v>4</v>
      </c>
      <c r="I181" s="280">
        <f t="shared" si="18"/>
        <v>322.48</v>
      </c>
      <c r="J181" s="281">
        <f t="shared" si="17"/>
        <v>365.72</v>
      </c>
      <c r="K181" s="282">
        <f>IF(Notes!$B$9="Domestic",I181, IF(Notes!$B$9="Commercial",J181))*$K$129</f>
        <v>365.72</v>
      </c>
      <c r="L181" s="283">
        <f>(SUM(O181:Q181)+(K181+SUM(M181:Q181))*(INDEX($U$129:$AB$129,MATCH(Notes!$C$16,$U$3:$AB$3,0))-100%))*$L$129</f>
        <v>1344.6840000000002</v>
      </c>
      <c r="M181" s="286"/>
      <c r="N181" s="286"/>
      <c r="O181" s="311">
        <f>O173+O182-O174</f>
        <v>875.10000000000025</v>
      </c>
      <c r="P181" s="311">
        <f t="shared" si="14"/>
        <v>469.584</v>
      </c>
      <c r="Q181" s="285"/>
      <c r="R181" s="278"/>
      <c r="S181" s="278"/>
      <c r="T181" s="278"/>
      <c r="U181" s="304"/>
    </row>
    <row r="182" spans="1:21" s="305" customFormat="1" ht="21.75" hidden="1" customHeight="1" outlineLevel="1" x14ac:dyDescent="0.25">
      <c r="A182" s="278"/>
      <c r="B182" s="279" t="str">
        <f t="shared" si="15"/>
        <v>24001800AL/ANW</v>
      </c>
      <c r="C182" s="278">
        <v>2400</v>
      </c>
      <c r="D182" s="278">
        <v>1800</v>
      </c>
      <c r="E182" s="278" t="s">
        <v>939</v>
      </c>
      <c r="F182" s="278"/>
      <c r="G182" s="278" t="s">
        <v>5</v>
      </c>
      <c r="H182" s="290">
        <v>5</v>
      </c>
      <c r="I182" s="280">
        <f t="shared" si="18"/>
        <v>403.1</v>
      </c>
      <c r="J182" s="281">
        <f t="shared" si="17"/>
        <v>457.15000000000003</v>
      </c>
      <c r="K182" s="282">
        <f>IF(Notes!$B$9="Domestic",I182, IF(Notes!$B$9="Commercial",J182))*$K$129</f>
        <v>457.15000000000003</v>
      </c>
      <c r="L182" s="283">
        <f>(SUM(O182:Q182)+(K182+SUM(M182:Q182))*(INDEX($U$129:$AB$129,MATCH(Notes!$C$16,$U$3:$AB$3,0))-100%))*$L$129</f>
        <v>1488.3308</v>
      </c>
      <c r="M182" s="286"/>
      <c r="N182" s="286"/>
      <c r="O182" s="311">
        <f>O168</f>
        <v>924.83</v>
      </c>
      <c r="P182" s="311">
        <f t="shared" si="14"/>
        <v>563.50079999999991</v>
      </c>
      <c r="Q182" s="285"/>
      <c r="R182" s="278"/>
      <c r="S182" s="278"/>
      <c r="T182" s="278"/>
      <c r="U182" s="304"/>
    </row>
    <row r="183" spans="1:21" s="305" customFormat="1" ht="21.75" hidden="1" customHeight="1" outlineLevel="1" x14ac:dyDescent="0.25">
      <c r="A183" s="278"/>
      <c r="B183" s="279" t="str">
        <f t="shared" si="15"/>
        <v>24002100AL/ANW</v>
      </c>
      <c r="C183" s="278">
        <v>2400</v>
      </c>
      <c r="D183" s="278">
        <v>2100</v>
      </c>
      <c r="E183" s="278" t="s">
        <v>939</v>
      </c>
      <c r="F183" s="278"/>
      <c r="G183" s="278" t="s">
        <v>5</v>
      </c>
      <c r="H183" s="290">
        <v>5</v>
      </c>
      <c r="I183" s="280">
        <f t="shared" si="18"/>
        <v>403.1</v>
      </c>
      <c r="J183" s="281">
        <f t="shared" si="17"/>
        <v>457.15000000000003</v>
      </c>
      <c r="K183" s="282">
        <f>IF(Notes!$B$9="Domestic",I183, IF(Notes!$B$9="Commercial",J183))*$K$129</f>
        <v>457.15000000000003</v>
      </c>
      <c r="L183" s="283">
        <f>(SUM(O183:Q183)+(K183+SUM(M183:Q183))*(INDEX($U$129:$AB$129,MATCH(Notes!$C$16,$U$3:$AB$3,0))-100%))*$L$129</f>
        <v>1633.0976000000001</v>
      </c>
      <c r="M183" s="286"/>
      <c r="N183" s="286"/>
      <c r="O183" s="311">
        <f>O176</f>
        <v>975.68</v>
      </c>
      <c r="P183" s="311">
        <f t="shared" si="14"/>
        <v>657.41759999999999</v>
      </c>
      <c r="Q183" s="285"/>
      <c r="R183" s="278"/>
      <c r="S183" s="278"/>
      <c r="T183" s="278"/>
      <c r="U183" s="304"/>
    </row>
    <row r="184" spans="1:21" s="305" customFormat="1" ht="21.75" hidden="1" customHeight="1" outlineLevel="1" x14ac:dyDescent="0.25">
      <c r="A184" s="278"/>
      <c r="B184" s="279" t="str">
        <f t="shared" si="15"/>
        <v>24002400AL/ANW</v>
      </c>
      <c r="C184" s="278">
        <v>2400</v>
      </c>
      <c r="D184" s="278">
        <v>2400</v>
      </c>
      <c r="E184" s="278" t="s">
        <v>939</v>
      </c>
      <c r="F184" s="278"/>
      <c r="G184" s="278" t="s">
        <v>5</v>
      </c>
      <c r="H184" s="290">
        <v>6</v>
      </c>
      <c r="I184" s="280">
        <f t="shared" si="18"/>
        <v>483.72</v>
      </c>
      <c r="J184" s="281">
        <f t="shared" si="17"/>
        <v>548.58000000000004</v>
      </c>
      <c r="K184" s="282">
        <f>IF(Notes!$B$9="Domestic",I184, IF(Notes!$B$9="Commercial",J184))*$K$129</f>
        <v>548.58000000000004</v>
      </c>
      <c r="L184" s="283">
        <f>(SUM(O184:Q184)+(K184+SUM(M184:Q184))*(INDEX($U$129:$AB$129,MATCH(Notes!$C$16,$U$3:$AB$3,0))-100%))*$L$129</f>
        <v>1777.8643999999997</v>
      </c>
      <c r="M184" s="286"/>
      <c r="N184" s="286"/>
      <c r="O184" s="311">
        <f>O176+O176-O168</f>
        <v>1026.5299999999997</v>
      </c>
      <c r="P184" s="311">
        <f t="shared" si="14"/>
        <v>751.33439999999996</v>
      </c>
      <c r="Q184" s="285"/>
      <c r="R184" s="278"/>
      <c r="S184" s="278"/>
      <c r="T184" s="278"/>
      <c r="U184" s="304"/>
    </row>
    <row r="185" spans="1:21" s="305" customFormat="1" ht="21.75" hidden="1" customHeight="1" outlineLevel="1" x14ac:dyDescent="0.25">
      <c r="A185" s="278"/>
      <c r="B185" s="279" t="str">
        <f t="shared" si="15"/>
        <v>24002700AL/ANW</v>
      </c>
      <c r="C185" s="278">
        <v>2400</v>
      </c>
      <c r="D185" s="278">
        <v>2700</v>
      </c>
      <c r="E185" s="278" t="s">
        <v>939</v>
      </c>
      <c r="F185" s="278"/>
      <c r="G185" s="278" t="s">
        <v>5</v>
      </c>
      <c r="H185" s="290">
        <v>6</v>
      </c>
      <c r="I185" s="280">
        <f t="shared" si="18"/>
        <v>483.72</v>
      </c>
      <c r="J185" s="281">
        <f t="shared" si="17"/>
        <v>548.58000000000004</v>
      </c>
      <c r="K185" s="282">
        <f>IF(Notes!$B$9="Domestic",I185, IF(Notes!$B$9="Commercial",J185))*$K$129</f>
        <v>548.58000000000004</v>
      </c>
      <c r="L185" s="283">
        <f>(SUM(O185:Q185)+(K185+SUM(M185:Q185))*(INDEX($U$129:$AB$129,MATCH(Notes!$C$16,$U$3:$AB$3,0))-100%))*$L$129</f>
        <v>2345.8011999999999</v>
      </c>
      <c r="M185" s="286"/>
      <c r="N185" s="286"/>
      <c r="O185" s="311">
        <f>O177+O177-O169</f>
        <v>1500.5500000000002</v>
      </c>
      <c r="P185" s="311">
        <f t="shared" si="14"/>
        <v>845.25119999999993</v>
      </c>
      <c r="Q185" s="285"/>
      <c r="R185" s="278"/>
      <c r="S185" s="278"/>
      <c r="T185" s="278"/>
      <c r="U185" s="304"/>
    </row>
    <row r="186" spans="1:21" s="305" customFormat="1" ht="21.75" hidden="1" customHeight="1" outlineLevel="1" x14ac:dyDescent="0.25">
      <c r="A186" s="278"/>
      <c r="B186" s="279" t="str">
        <f t="shared" si="15"/>
        <v>2700600AL/ANW</v>
      </c>
      <c r="C186" s="278">
        <v>2700</v>
      </c>
      <c r="D186" s="278">
        <v>600</v>
      </c>
      <c r="E186" s="278" t="s">
        <v>939</v>
      </c>
      <c r="F186" s="278"/>
      <c r="G186" s="278" t="s">
        <v>5</v>
      </c>
      <c r="H186" s="290">
        <v>4</v>
      </c>
      <c r="I186" s="280">
        <f t="shared" si="18"/>
        <v>322.48</v>
      </c>
      <c r="J186" s="281">
        <f t="shared" si="17"/>
        <v>365.72</v>
      </c>
      <c r="K186" s="282">
        <f>IF(Notes!$B$9="Domestic",I186, IF(Notes!$B$9="Commercial",J186))*$K$129</f>
        <v>365.72</v>
      </c>
      <c r="L186" s="283">
        <f>(SUM(O186:Q186)+(K186+SUM(M186:Q186))*(INDEX($U$129:$AB$129,MATCH(Notes!$C$16,$U$3:$AB$3,0))-100%))*$L$129</f>
        <v>896.45280000000002</v>
      </c>
      <c r="M186" s="286"/>
      <c r="N186" s="286"/>
      <c r="O186" s="311">
        <f>O137</f>
        <v>685.14</v>
      </c>
      <c r="P186" s="311">
        <f t="shared" si="14"/>
        <v>211.31279999999998</v>
      </c>
      <c r="Q186" s="285"/>
      <c r="R186" s="278"/>
      <c r="S186" s="278"/>
      <c r="T186" s="278"/>
      <c r="U186" s="304"/>
    </row>
    <row r="187" spans="1:21" s="305" customFormat="1" ht="21.75" hidden="1" customHeight="1" outlineLevel="1" x14ac:dyDescent="0.25">
      <c r="A187" s="278"/>
      <c r="B187" s="279" t="str">
        <f t="shared" si="15"/>
        <v>2700900AL/ANW</v>
      </c>
      <c r="C187" s="278">
        <v>2700</v>
      </c>
      <c r="D187" s="278">
        <v>900</v>
      </c>
      <c r="E187" s="278" t="s">
        <v>939</v>
      </c>
      <c r="F187" s="278"/>
      <c r="G187" s="278" t="s">
        <v>5</v>
      </c>
      <c r="H187" s="290">
        <v>4</v>
      </c>
      <c r="I187" s="280">
        <f t="shared" si="18"/>
        <v>322.48</v>
      </c>
      <c r="J187" s="281">
        <f t="shared" si="17"/>
        <v>365.72</v>
      </c>
      <c r="K187" s="282">
        <f>IF(Notes!$B$9="Domestic",I187, IF(Notes!$B$9="Commercial",J187))*$K$129</f>
        <v>365.72</v>
      </c>
      <c r="L187" s="283">
        <f>(SUM(O187:Q187)+(K187+SUM(M187:Q187))*(INDEX($U$129:$AB$129,MATCH(Notes!$C$16,$U$3:$AB$3,0))-100%))*$L$129</f>
        <v>1101.4192</v>
      </c>
      <c r="M187" s="286"/>
      <c r="N187" s="286"/>
      <c r="O187" s="311">
        <f>O145</f>
        <v>784.45</v>
      </c>
      <c r="P187" s="311">
        <f t="shared" si="14"/>
        <v>316.9692</v>
      </c>
      <c r="Q187" s="285"/>
      <c r="R187" s="278"/>
      <c r="S187" s="278"/>
      <c r="T187" s="278"/>
      <c r="U187" s="304"/>
    </row>
    <row r="188" spans="1:21" s="305" customFormat="1" ht="21.75" hidden="1" customHeight="1" outlineLevel="1" x14ac:dyDescent="0.25">
      <c r="A188" s="278"/>
      <c r="B188" s="279" t="str">
        <f t="shared" si="15"/>
        <v>27001200AL/ANW</v>
      </c>
      <c r="C188" s="278">
        <v>2700</v>
      </c>
      <c r="D188" s="278">
        <v>1200</v>
      </c>
      <c r="E188" s="278" t="s">
        <v>939</v>
      </c>
      <c r="F188" s="278"/>
      <c r="G188" s="278" t="s">
        <v>5</v>
      </c>
      <c r="H188" s="290">
        <v>4</v>
      </c>
      <c r="I188" s="280">
        <f t="shared" si="18"/>
        <v>322.48</v>
      </c>
      <c r="J188" s="281">
        <f t="shared" si="17"/>
        <v>365.72</v>
      </c>
      <c r="K188" s="282">
        <f>IF(Notes!$B$9="Domestic",I188, IF(Notes!$B$9="Commercial",J188))*$K$129</f>
        <v>365.72</v>
      </c>
      <c r="L188" s="283">
        <f>(SUM(O188:Q188)+(K188+SUM(M188:Q188))*(INDEX($U$129:$AB$129,MATCH(Notes!$C$16,$U$3:$AB$3,0))-100%))*$L$129</f>
        <v>1305.8256000000001</v>
      </c>
      <c r="M188" s="286"/>
      <c r="N188" s="286"/>
      <c r="O188" s="311">
        <f>O153</f>
        <v>883.2</v>
      </c>
      <c r="P188" s="311">
        <f t="shared" si="14"/>
        <v>422.62559999999996</v>
      </c>
      <c r="Q188" s="285"/>
      <c r="R188" s="278"/>
      <c r="S188" s="278"/>
      <c r="T188" s="278"/>
      <c r="U188" s="304"/>
    </row>
    <row r="189" spans="1:21" s="305" customFormat="1" ht="21.75" hidden="1" customHeight="1" outlineLevel="1" x14ac:dyDescent="0.25">
      <c r="A189" s="278"/>
      <c r="B189" s="279" t="str">
        <f t="shared" si="15"/>
        <v>27001500AL/ANW</v>
      </c>
      <c r="C189" s="278">
        <v>2700</v>
      </c>
      <c r="D189" s="278">
        <v>1500</v>
      </c>
      <c r="E189" s="278" t="s">
        <v>939</v>
      </c>
      <c r="F189" s="278"/>
      <c r="G189" s="278" t="s">
        <v>5</v>
      </c>
      <c r="H189" s="290">
        <v>5</v>
      </c>
      <c r="I189" s="280">
        <f t="shared" si="18"/>
        <v>403.1</v>
      </c>
      <c r="J189" s="281">
        <f t="shared" si="17"/>
        <v>457.15000000000003</v>
      </c>
      <c r="K189" s="282">
        <f>IF(Notes!$B$9="Domestic",I189, IF(Notes!$B$9="Commercial",J189))*$K$129</f>
        <v>457.15000000000003</v>
      </c>
      <c r="L189" s="283">
        <f>(SUM(O189:Q189)+(K189+SUM(M189:Q189))*(INDEX($U$129:$AB$129,MATCH(Notes!$C$16,$U$3:$AB$3,0))-100%))*$L$129</f>
        <v>1510.7719999999999</v>
      </c>
      <c r="M189" s="286"/>
      <c r="N189" s="286"/>
      <c r="O189" s="311">
        <f>O161</f>
        <v>982.49</v>
      </c>
      <c r="P189" s="311">
        <f t="shared" si="14"/>
        <v>528.28200000000004</v>
      </c>
      <c r="Q189" s="285"/>
      <c r="R189" s="278"/>
      <c r="S189" s="278"/>
      <c r="T189" s="278"/>
      <c r="U189" s="304"/>
    </row>
    <row r="190" spans="1:21" s="305" customFormat="1" ht="21.75" hidden="1" customHeight="1" outlineLevel="1" x14ac:dyDescent="0.25">
      <c r="A190" s="278"/>
      <c r="B190" s="279" t="str">
        <f t="shared" si="15"/>
        <v>27001800AL/ANW</v>
      </c>
      <c r="C190" s="278">
        <v>2700</v>
      </c>
      <c r="D190" s="278">
        <v>1800</v>
      </c>
      <c r="E190" s="278" t="s">
        <v>939</v>
      </c>
      <c r="F190" s="278"/>
      <c r="G190" s="278" t="s">
        <v>5</v>
      </c>
      <c r="H190" s="290">
        <v>5</v>
      </c>
      <c r="I190" s="280">
        <f t="shared" si="18"/>
        <v>403.1</v>
      </c>
      <c r="J190" s="281">
        <f t="shared" si="17"/>
        <v>457.15000000000003</v>
      </c>
      <c r="K190" s="282">
        <f>IF(Notes!$B$9="Domestic",I190, IF(Notes!$B$9="Commercial",J190))*$K$129</f>
        <v>457.15000000000003</v>
      </c>
      <c r="L190" s="283">
        <f>(SUM(O190:Q190)+(K190+SUM(M190:Q190))*(INDEX($U$129:$AB$129,MATCH(Notes!$C$16,$U$3:$AB$3,0))-100%))*$L$129</f>
        <v>1913.2883999999999</v>
      </c>
      <c r="M190" s="286"/>
      <c r="N190" s="286"/>
      <c r="O190" s="311">
        <f>O169</f>
        <v>1279.3499999999999</v>
      </c>
      <c r="P190" s="311">
        <f t="shared" si="14"/>
        <v>633.9384</v>
      </c>
      <c r="Q190" s="285"/>
      <c r="R190" s="278"/>
      <c r="S190" s="278"/>
      <c r="T190" s="278"/>
      <c r="U190" s="304"/>
    </row>
    <row r="191" spans="1:21" s="305" customFormat="1" ht="21.75" hidden="1" customHeight="1" outlineLevel="1" x14ac:dyDescent="0.25">
      <c r="A191" s="278"/>
      <c r="B191" s="279" t="str">
        <f t="shared" si="15"/>
        <v>27002100AL/ANW</v>
      </c>
      <c r="C191" s="278">
        <v>2700</v>
      </c>
      <c r="D191" s="278">
        <v>2100</v>
      </c>
      <c r="E191" s="278" t="s">
        <v>939</v>
      </c>
      <c r="F191" s="278"/>
      <c r="G191" s="278" t="s">
        <v>5</v>
      </c>
      <c r="H191" s="290">
        <v>6</v>
      </c>
      <c r="I191" s="280">
        <f t="shared" si="18"/>
        <v>483.72</v>
      </c>
      <c r="J191" s="281">
        <f t="shared" si="17"/>
        <v>548.58000000000004</v>
      </c>
      <c r="K191" s="282">
        <f>IF(Notes!$B$9="Domestic",I191, IF(Notes!$B$9="Commercial",J191))*$K$129</f>
        <v>548.58000000000004</v>
      </c>
      <c r="L191" s="283">
        <f>(SUM(O191:Q191)+(K191+SUM(M191:Q191))*(INDEX($U$129:$AB$129,MATCH(Notes!$C$16,$U$3:$AB$3,0))-100%))*$L$129</f>
        <v>2129.5448000000001</v>
      </c>
      <c r="M191" s="286"/>
      <c r="N191" s="286"/>
      <c r="O191" s="311">
        <f>O177</f>
        <v>1389.95</v>
      </c>
      <c r="P191" s="311">
        <f t="shared" si="14"/>
        <v>739.59479999999996</v>
      </c>
      <c r="Q191" s="285"/>
      <c r="R191" s="278"/>
      <c r="S191" s="278"/>
      <c r="T191" s="278"/>
      <c r="U191" s="304"/>
    </row>
    <row r="192" spans="1:21" s="305" customFormat="1" ht="21.75" hidden="1" customHeight="1" outlineLevel="1" x14ac:dyDescent="0.25">
      <c r="A192" s="278"/>
      <c r="B192" s="279" t="str">
        <f t="shared" si="15"/>
        <v>27002400AL/ANW</v>
      </c>
      <c r="C192" s="278">
        <v>2700</v>
      </c>
      <c r="D192" s="278">
        <v>2400</v>
      </c>
      <c r="E192" s="278" t="s">
        <v>939</v>
      </c>
      <c r="F192" s="278"/>
      <c r="G192" s="278" t="s">
        <v>5</v>
      </c>
      <c r="H192" s="290">
        <v>6</v>
      </c>
      <c r="I192" s="280">
        <f t="shared" si="18"/>
        <v>483.72</v>
      </c>
      <c r="J192" s="281">
        <f t="shared" si="17"/>
        <v>548.58000000000004</v>
      </c>
      <c r="K192" s="282">
        <f>IF(Notes!$B$9="Domestic",I192, IF(Notes!$B$9="Commercial",J192))*$K$129</f>
        <v>548.58000000000004</v>
      </c>
      <c r="L192" s="283">
        <f>(SUM(O192:Q192)+(K192+SUM(M192:Q192))*(INDEX($U$129:$AB$129,MATCH(Notes!$C$16,$U$3:$AB$3,0))-100%))*$L$129</f>
        <v>2345.8011999999999</v>
      </c>
      <c r="M192" s="286"/>
      <c r="N192" s="286"/>
      <c r="O192" s="311">
        <f>O185</f>
        <v>1500.5500000000002</v>
      </c>
      <c r="P192" s="311">
        <f t="shared" si="14"/>
        <v>845.25119999999993</v>
      </c>
      <c r="Q192" s="285"/>
      <c r="R192" s="278"/>
      <c r="S192" s="278"/>
      <c r="T192" s="278"/>
      <c r="U192" s="304"/>
    </row>
    <row r="193" spans="1:28" s="305" customFormat="1" ht="21.75" hidden="1" customHeight="1" outlineLevel="1" x14ac:dyDescent="0.25">
      <c r="A193" s="278"/>
      <c r="B193" s="279" t="str">
        <f t="shared" si="15"/>
        <v>27002700AL/ANW</v>
      </c>
      <c r="C193" s="278">
        <v>2700</v>
      </c>
      <c r="D193" s="278">
        <v>2700</v>
      </c>
      <c r="E193" s="278" t="s">
        <v>939</v>
      </c>
      <c r="F193" s="278"/>
      <c r="G193" s="278" t="s">
        <v>5</v>
      </c>
      <c r="H193" s="290">
        <v>6</v>
      </c>
      <c r="I193" s="280">
        <f t="shared" si="18"/>
        <v>483.72</v>
      </c>
      <c r="J193" s="281">
        <f t="shared" si="17"/>
        <v>548.58000000000004</v>
      </c>
      <c r="K193" s="282">
        <f>IF(Notes!$B$9="Domestic",I193, IF(Notes!$B$9="Commercial",J193))*$K$129</f>
        <v>548.58000000000004</v>
      </c>
      <c r="L193" s="283">
        <f>(SUM(O193:Q193)+(K193+SUM(M193:Q193))*(INDEX($U$129:$AB$129,MATCH(Notes!$C$16,$U$3:$AB$3,0))-100%))*$L$129</f>
        <v>2562.0576000000001</v>
      </c>
      <c r="M193" s="286"/>
      <c r="N193" s="286"/>
      <c r="O193" s="311">
        <f>O185+O185-O177</f>
        <v>1611.1500000000003</v>
      </c>
      <c r="P193" s="311">
        <f t="shared" si="14"/>
        <v>950.9076</v>
      </c>
      <c r="Q193" s="285"/>
      <c r="R193" s="278"/>
      <c r="S193" s="278"/>
      <c r="T193" s="278"/>
      <c r="U193" s="304"/>
    </row>
    <row r="194" spans="1:28" ht="21" hidden="1" outlineLevel="1" x14ac:dyDescent="0.25">
      <c r="A194" s="299" t="s">
        <v>141</v>
      </c>
      <c r="B194" s="299"/>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row>
    <row r="195" spans="1:28" ht="15.75" hidden="1" outlineLevel="1" x14ac:dyDescent="0.25">
      <c r="A195" s="291"/>
      <c r="B195" s="291"/>
      <c r="C195" s="291"/>
      <c r="D195" s="291"/>
      <c r="E195" s="291"/>
      <c r="F195" s="291"/>
      <c r="G195" s="291"/>
      <c r="H195" s="291"/>
      <c r="I195" s="291"/>
      <c r="J195" s="291"/>
      <c r="K195" s="291">
        <f>K$2</f>
        <v>1</v>
      </c>
      <c r="L195" s="291">
        <f>L$2</f>
        <v>1</v>
      </c>
      <c r="M195" s="291"/>
      <c r="N195" s="291"/>
      <c r="O195" s="303"/>
      <c r="P195" s="303"/>
      <c r="Q195" s="303"/>
      <c r="R195" s="291"/>
      <c r="S195" s="291"/>
      <c r="T195" s="291"/>
      <c r="U195" s="291">
        <f>U$2</f>
        <v>0.89965397923875434</v>
      </c>
      <c r="V195" s="291">
        <f>V$2</f>
        <v>1</v>
      </c>
      <c r="W195" s="291">
        <f t="shared" ref="W195:AB195" si="19">W$2</f>
        <v>0.92214532871972321</v>
      </c>
      <c r="X195" s="291">
        <f t="shared" si="19"/>
        <v>0.89965397923875434</v>
      </c>
      <c r="Y195" s="291">
        <f t="shared" si="19"/>
        <v>1.0069204152249136</v>
      </c>
      <c r="Z195" s="291">
        <f t="shared" si="19"/>
        <v>0.856401384083045</v>
      </c>
      <c r="AA195" s="291">
        <f t="shared" si="19"/>
        <v>0.856401384083045</v>
      </c>
      <c r="AB195" s="291">
        <f t="shared" si="19"/>
        <v>1.0121107266435987</v>
      </c>
    </row>
    <row r="196" spans="1:28" s="305" customFormat="1" ht="21.75" hidden="1" customHeight="1" outlineLevel="1" x14ac:dyDescent="0.25">
      <c r="A196" s="278"/>
      <c r="B196" s="279" t="str">
        <f>C196&amp;D196&amp;E196&amp;F196</f>
        <v>600600AL/CMW</v>
      </c>
      <c r="C196" s="278">
        <v>600</v>
      </c>
      <c r="D196" s="278">
        <v>600</v>
      </c>
      <c r="E196" s="278" t="s">
        <v>940</v>
      </c>
      <c r="F196" s="278"/>
      <c r="G196" s="278" t="s">
        <v>5</v>
      </c>
      <c r="H196" s="290">
        <v>1</v>
      </c>
      <c r="I196" s="280">
        <f>$I$2*H196</f>
        <v>80.62</v>
      </c>
      <c r="J196" s="281">
        <f>$J$2*H196</f>
        <v>91.43</v>
      </c>
      <c r="K196" s="282">
        <f>IF(Notes!$B$9="Domestic",I196, IF(Notes!$B$9="Commercial",J196))*$K$195</f>
        <v>91.43</v>
      </c>
      <c r="L196" s="283">
        <f>(SUM(O196:Q196)+(K196+SUM(M196:Q196))*(INDEX($U$195:$AB$195,MATCH(Notes!$C$16,$U$3:$AB$3,0))-100%))*$L$195</f>
        <v>372.40839999999997</v>
      </c>
      <c r="M196" s="286"/>
      <c r="N196" s="286"/>
      <c r="O196" s="285">
        <v>325.45</v>
      </c>
      <c r="P196" s="311">
        <f t="shared" ref="P196:P259" si="20">$P$2*C196/1000*D196/1000</f>
        <v>46.958399999999997</v>
      </c>
      <c r="Q196" s="285"/>
      <c r="R196" s="278">
        <v>600</v>
      </c>
      <c r="S196" s="278">
        <v>600</v>
      </c>
      <c r="T196" s="278" t="s">
        <v>940</v>
      </c>
      <c r="U196" s="304"/>
    </row>
    <row r="197" spans="1:28" s="305" customFormat="1" ht="21.75" hidden="1" customHeight="1" outlineLevel="1" x14ac:dyDescent="0.25">
      <c r="A197" s="278"/>
      <c r="B197" s="279" t="str">
        <f t="shared" ref="B197:B259" si="21">C197&amp;D197&amp;E197&amp;F197</f>
        <v>600900AL/CMW</v>
      </c>
      <c r="C197" s="278">
        <v>600</v>
      </c>
      <c r="D197" s="278">
        <v>900</v>
      </c>
      <c r="E197" s="278" t="s">
        <v>940</v>
      </c>
      <c r="F197" s="278"/>
      <c r="G197" s="278" t="s">
        <v>5</v>
      </c>
      <c r="H197" s="290">
        <v>1</v>
      </c>
      <c r="I197" s="280">
        <f t="shared" ref="I197:I259" si="22">$I$2*H197</f>
        <v>80.62</v>
      </c>
      <c r="J197" s="281">
        <f t="shared" ref="J197:J259" si="23">$J$2*H197</f>
        <v>91.43</v>
      </c>
      <c r="K197" s="282">
        <f>IF(Notes!$B$9="Domestic",I197, IF(Notes!$B$9="Commercial",J197))*$K$195</f>
        <v>91.43</v>
      </c>
      <c r="L197" s="283">
        <f>(SUM(O197:Q197)+(K197+SUM(M197:Q197))*(INDEX($U$195:$AB$195,MATCH(Notes!$C$16,$U$3:$AB$3,0))-100%))*$L$195</f>
        <v>532.64760000000001</v>
      </c>
      <c r="M197" s="286"/>
      <c r="N197" s="286"/>
      <c r="O197" s="285">
        <v>462.21</v>
      </c>
      <c r="P197" s="311">
        <f t="shared" si="20"/>
        <v>70.437599999999989</v>
      </c>
      <c r="Q197" s="285"/>
      <c r="R197" s="278">
        <v>900</v>
      </c>
      <c r="S197" s="278">
        <v>900</v>
      </c>
      <c r="T197" s="278"/>
      <c r="U197" s="304"/>
    </row>
    <row r="198" spans="1:28" s="305" customFormat="1" ht="21.75" hidden="1" customHeight="1" outlineLevel="1" x14ac:dyDescent="0.25">
      <c r="A198" s="278"/>
      <c r="B198" s="279" t="str">
        <f t="shared" si="21"/>
        <v>6001200AL/CMW</v>
      </c>
      <c r="C198" s="278">
        <v>600</v>
      </c>
      <c r="D198" s="278">
        <v>1200</v>
      </c>
      <c r="E198" s="278" t="s">
        <v>940</v>
      </c>
      <c r="F198" s="278"/>
      <c r="G198" s="278" t="s">
        <v>5</v>
      </c>
      <c r="H198" s="290">
        <v>1</v>
      </c>
      <c r="I198" s="280">
        <f t="shared" si="22"/>
        <v>80.62</v>
      </c>
      <c r="J198" s="281">
        <f t="shared" si="23"/>
        <v>91.43</v>
      </c>
      <c r="K198" s="282">
        <f>IF(Notes!$B$9="Domestic",I198, IF(Notes!$B$9="Commercial",J198))*$K$195</f>
        <v>91.43</v>
      </c>
      <c r="L198" s="283">
        <f>(SUM(O198:Q198)+(K198+SUM(M198:Q198))*(INDEX($U$195:$AB$195,MATCH(Notes!$C$16,$U$3:$AB$3,0))-100%))*$L$195</f>
        <v>588.09680000000003</v>
      </c>
      <c r="M198" s="286"/>
      <c r="N198" s="286"/>
      <c r="O198" s="285">
        <v>494.18</v>
      </c>
      <c r="P198" s="311">
        <f t="shared" si="20"/>
        <v>93.916799999999995</v>
      </c>
      <c r="Q198" s="285"/>
      <c r="R198" s="278">
        <v>1200</v>
      </c>
      <c r="S198" s="278">
        <v>1200</v>
      </c>
      <c r="T198" s="278"/>
      <c r="U198" s="304"/>
    </row>
    <row r="199" spans="1:28" s="305" customFormat="1" ht="21.75" hidden="1" customHeight="1" outlineLevel="1" x14ac:dyDescent="0.25">
      <c r="A199" s="278"/>
      <c r="B199" s="279" t="str">
        <f t="shared" si="21"/>
        <v>6001500AL/CMW</v>
      </c>
      <c r="C199" s="278">
        <v>600</v>
      </c>
      <c r="D199" s="278">
        <v>1500</v>
      </c>
      <c r="E199" s="278" t="s">
        <v>940</v>
      </c>
      <c r="F199" s="278"/>
      <c r="G199" s="278" t="s">
        <v>5</v>
      </c>
      <c r="H199" s="290">
        <v>1</v>
      </c>
      <c r="I199" s="280">
        <f t="shared" si="22"/>
        <v>80.62</v>
      </c>
      <c r="J199" s="281">
        <f t="shared" si="23"/>
        <v>91.43</v>
      </c>
      <c r="K199" s="282">
        <f>IF(Notes!$B$9="Domestic",I199, IF(Notes!$B$9="Commercial",J199))*$K$195</f>
        <v>91.43</v>
      </c>
      <c r="L199" s="283">
        <f>(SUM(O199:Q199)+(K199+SUM(M199:Q199))*(INDEX($U$195:$AB$195,MATCH(Notes!$C$16,$U$3:$AB$3,0))-100%))*$L$195</f>
        <v>636.14599999999996</v>
      </c>
      <c r="M199" s="286"/>
      <c r="N199" s="286"/>
      <c r="O199" s="285">
        <v>518.75</v>
      </c>
      <c r="P199" s="311">
        <f t="shared" si="20"/>
        <v>117.396</v>
      </c>
      <c r="Q199" s="285"/>
      <c r="R199" s="278">
        <v>1500</v>
      </c>
      <c r="S199" s="278">
        <v>1500</v>
      </c>
      <c r="T199" s="278"/>
      <c r="U199" s="304"/>
    </row>
    <row r="200" spans="1:28" s="305" customFormat="1" ht="21.75" hidden="1" customHeight="1" outlineLevel="1" x14ac:dyDescent="0.25">
      <c r="A200" s="278"/>
      <c r="B200" s="279" t="str">
        <f t="shared" si="21"/>
        <v>6001800AL/CMW</v>
      </c>
      <c r="C200" s="278">
        <v>600</v>
      </c>
      <c r="D200" s="278">
        <v>1800</v>
      </c>
      <c r="E200" s="278" t="s">
        <v>940</v>
      </c>
      <c r="F200" s="278"/>
      <c r="G200" s="278" t="s">
        <v>5</v>
      </c>
      <c r="H200" s="290">
        <v>1</v>
      </c>
      <c r="I200" s="280">
        <f t="shared" si="22"/>
        <v>80.62</v>
      </c>
      <c r="J200" s="281">
        <f t="shared" si="23"/>
        <v>91.43</v>
      </c>
      <c r="K200" s="282">
        <f>IF(Notes!$B$9="Domestic",I200, IF(Notes!$B$9="Commercial",J200))*$K$195</f>
        <v>91.43</v>
      </c>
      <c r="L200" s="283">
        <f>(SUM(O200:Q200)+(K200+SUM(M200:Q200))*(INDEX($U$195:$AB$195,MATCH(Notes!$C$16,$U$3:$AB$3,0))-100%))*$L$195</f>
        <v>691.97519999999997</v>
      </c>
      <c r="M200" s="286"/>
      <c r="N200" s="286"/>
      <c r="O200" s="285">
        <v>551.1</v>
      </c>
      <c r="P200" s="311">
        <f t="shared" si="20"/>
        <v>140.87519999999998</v>
      </c>
      <c r="Q200" s="285"/>
      <c r="R200" s="278">
        <v>1800</v>
      </c>
      <c r="S200" s="278">
        <v>1800</v>
      </c>
      <c r="T200" s="278"/>
      <c r="U200" s="304"/>
    </row>
    <row r="201" spans="1:28" s="305" customFormat="1" ht="21.75" hidden="1" customHeight="1" outlineLevel="1" x14ac:dyDescent="0.25">
      <c r="A201" s="278"/>
      <c r="B201" s="279" t="str">
        <f t="shared" si="21"/>
        <v>6002100AL/CMW</v>
      </c>
      <c r="C201" s="278">
        <v>600</v>
      </c>
      <c r="D201" s="278">
        <v>2100</v>
      </c>
      <c r="E201" s="278" t="s">
        <v>940</v>
      </c>
      <c r="F201" s="278"/>
      <c r="G201" s="278" t="s">
        <v>5</v>
      </c>
      <c r="H201" s="290">
        <v>2</v>
      </c>
      <c r="I201" s="280">
        <f t="shared" si="22"/>
        <v>161.24</v>
      </c>
      <c r="J201" s="281">
        <f t="shared" si="23"/>
        <v>182.86</v>
      </c>
      <c r="K201" s="282">
        <f>IF(Notes!$B$9="Domestic",I201, IF(Notes!$B$9="Commercial",J201))*$K$195</f>
        <v>182.86</v>
      </c>
      <c r="L201" s="283">
        <f>(SUM(O201:Q201)+(K201+SUM(M201:Q201))*(INDEX($U$195:$AB$195,MATCH(Notes!$C$16,$U$3:$AB$3,0))-100%))*$L$195</f>
        <v>885.37439999999992</v>
      </c>
      <c r="M201" s="286"/>
      <c r="N201" s="286"/>
      <c r="O201" s="285">
        <v>721.02</v>
      </c>
      <c r="P201" s="311">
        <f t="shared" si="20"/>
        <v>164.3544</v>
      </c>
      <c r="Q201" s="285"/>
      <c r="R201" s="278">
        <v>2100</v>
      </c>
      <c r="S201" s="278">
        <v>2100</v>
      </c>
      <c r="T201" s="278"/>
      <c r="U201" s="304"/>
    </row>
    <row r="202" spans="1:28" s="305" customFormat="1" ht="21.75" hidden="1" customHeight="1" outlineLevel="1" x14ac:dyDescent="0.25">
      <c r="A202" s="278"/>
      <c r="B202" s="279" t="str">
        <f t="shared" si="21"/>
        <v>6002400AL/CMW</v>
      </c>
      <c r="C202" s="278">
        <v>600</v>
      </c>
      <c r="D202" s="278">
        <v>2400</v>
      </c>
      <c r="E202" s="278" t="s">
        <v>940</v>
      </c>
      <c r="F202" s="278"/>
      <c r="G202" s="278" t="s">
        <v>5</v>
      </c>
      <c r="H202" s="290">
        <v>2</v>
      </c>
      <c r="I202" s="280">
        <f t="shared" si="22"/>
        <v>161.24</v>
      </c>
      <c r="J202" s="281">
        <f t="shared" si="23"/>
        <v>182.86</v>
      </c>
      <c r="K202" s="282">
        <f>IF(Notes!$B$9="Domestic",I202, IF(Notes!$B$9="Commercial",J202))*$K$195</f>
        <v>182.86</v>
      </c>
      <c r="L202" s="283">
        <f>(SUM(O202:Q202)+(K202+SUM(M202:Q202))*(INDEX($U$195:$AB$195,MATCH(Notes!$C$16,$U$3:$AB$3,0))-100%))*$L$195</f>
        <v>931.59359999999992</v>
      </c>
      <c r="M202" s="286"/>
      <c r="N202" s="286"/>
      <c r="O202" s="285">
        <v>743.76</v>
      </c>
      <c r="P202" s="311">
        <f t="shared" si="20"/>
        <v>187.83359999999999</v>
      </c>
      <c r="Q202" s="285"/>
      <c r="R202" s="278">
        <v>2400</v>
      </c>
      <c r="S202" s="278">
        <v>2400</v>
      </c>
      <c r="T202" s="278"/>
      <c r="U202" s="304"/>
    </row>
    <row r="203" spans="1:28" s="305" customFormat="1" ht="21.75" hidden="1" customHeight="1" outlineLevel="1" x14ac:dyDescent="0.25">
      <c r="A203" s="278"/>
      <c r="B203" s="279" t="str">
        <f t="shared" si="21"/>
        <v>6002700AL/CMW</v>
      </c>
      <c r="C203" s="278">
        <v>600</v>
      </c>
      <c r="D203" s="278">
        <v>2700</v>
      </c>
      <c r="E203" s="278" t="s">
        <v>940</v>
      </c>
      <c r="F203" s="278"/>
      <c r="G203" s="278" t="s">
        <v>5</v>
      </c>
      <c r="H203" s="290">
        <v>2</v>
      </c>
      <c r="I203" s="280">
        <f t="shared" si="22"/>
        <v>161.24</v>
      </c>
      <c r="J203" s="281">
        <f t="shared" si="23"/>
        <v>182.86</v>
      </c>
      <c r="K203" s="282">
        <f>IF(Notes!$B$9="Domestic",I203, IF(Notes!$B$9="Commercial",J203))*$K$195</f>
        <v>182.86</v>
      </c>
      <c r="L203" s="283">
        <f>(SUM(O203:Q203)+(K203+SUM(M203:Q203))*(INDEX($U$195:$AB$195,MATCH(Notes!$C$16,$U$3:$AB$3,0))-100%))*$L$195</f>
        <v>1029.4488000000001</v>
      </c>
      <c r="M203" s="286"/>
      <c r="N203" s="286"/>
      <c r="O203" s="311">
        <f>O202*1.1</f>
        <v>818.13600000000008</v>
      </c>
      <c r="P203" s="311">
        <f t="shared" si="20"/>
        <v>211.31279999999998</v>
      </c>
      <c r="Q203" s="285"/>
      <c r="R203" s="278">
        <v>2700</v>
      </c>
      <c r="S203" s="278">
        <v>2700</v>
      </c>
      <c r="T203" s="278"/>
      <c r="U203" s="304"/>
    </row>
    <row r="204" spans="1:28" s="305" customFormat="1" ht="21.75" hidden="1" customHeight="1" outlineLevel="1" x14ac:dyDescent="0.25">
      <c r="A204" s="278"/>
      <c r="B204" s="279" t="str">
        <f t="shared" si="21"/>
        <v>900600AL/CMW</v>
      </c>
      <c r="C204" s="278">
        <v>900</v>
      </c>
      <c r="D204" s="278">
        <v>600</v>
      </c>
      <c r="E204" s="278" t="s">
        <v>940</v>
      </c>
      <c r="F204" s="278"/>
      <c r="G204" s="278" t="s">
        <v>5</v>
      </c>
      <c r="H204" s="290">
        <v>1</v>
      </c>
      <c r="I204" s="280">
        <f t="shared" si="22"/>
        <v>80.62</v>
      </c>
      <c r="J204" s="281">
        <f t="shared" si="23"/>
        <v>91.43</v>
      </c>
      <c r="K204" s="282">
        <f>IF(Notes!$B$9="Domestic",I204, IF(Notes!$B$9="Commercial",J204))*$K$195</f>
        <v>91.43</v>
      </c>
      <c r="L204" s="283">
        <f>(SUM(O204:Q204)+(K204+SUM(M204:Q204))*(INDEX($U$195:$AB$195,MATCH(Notes!$C$16,$U$3:$AB$3,0))-100%))*$L$195</f>
        <v>426.5376</v>
      </c>
      <c r="M204" s="286"/>
      <c r="N204" s="286"/>
      <c r="O204" s="285">
        <v>356.1</v>
      </c>
      <c r="P204" s="311">
        <f t="shared" si="20"/>
        <v>70.437600000000003</v>
      </c>
      <c r="Q204" s="285"/>
      <c r="R204" s="278"/>
      <c r="S204" s="278"/>
      <c r="T204" s="278"/>
      <c r="U204" s="304"/>
    </row>
    <row r="205" spans="1:28" s="305" customFormat="1" ht="21.75" hidden="1" customHeight="1" outlineLevel="1" x14ac:dyDescent="0.25">
      <c r="A205" s="278"/>
      <c r="B205" s="279" t="str">
        <f t="shared" si="21"/>
        <v>900900AL/CMW</v>
      </c>
      <c r="C205" s="278">
        <v>900</v>
      </c>
      <c r="D205" s="278">
        <v>900</v>
      </c>
      <c r="E205" s="278" t="s">
        <v>940</v>
      </c>
      <c r="F205" s="278"/>
      <c r="G205" s="278" t="s">
        <v>5</v>
      </c>
      <c r="H205" s="290">
        <v>1</v>
      </c>
      <c r="I205" s="280">
        <f t="shared" si="22"/>
        <v>80.62</v>
      </c>
      <c r="J205" s="281">
        <f t="shared" si="23"/>
        <v>91.43</v>
      </c>
      <c r="K205" s="282">
        <f>IF(Notes!$B$9="Domestic",I205, IF(Notes!$B$9="Commercial",J205))*$K$195</f>
        <v>91.43</v>
      </c>
      <c r="L205" s="283">
        <f>(SUM(O205:Q205)+(K205+SUM(M205:Q205))*(INDEX($U$195:$AB$195,MATCH(Notes!$C$16,$U$3:$AB$3,0))-100%))*$L$195</f>
        <v>608.42639999999994</v>
      </c>
      <c r="M205" s="286"/>
      <c r="N205" s="286"/>
      <c r="O205" s="285">
        <v>502.77</v>
      </c>
      <c r="P205" s="311">
        <f t="shared" si="20"/>
        <v>105.65639999999999</v>
      </c>
      <c r="Q205" s="285"/>
      <c r="R205" s="278"/>
      <c r="S205" s="278"/>
      <c r="T205" s="278"/>
      <c r="U205" s="304"/>
    </row>
    <row r="206" spans="1:28" s="305" customFormat="1" ht="21.75" hidden="1" customHeight="1" outlineLevel="1" x14ac:dyDescent="0.25">
      <c r="A206" s="278"/>
      <c r="B206" s="279" t="str">
        <f t="shared" si="21"/>
        <v>9001200AL/CMW</v>
      </c>
      <c r="C206" s="278">
        <v>900</v>
      </c>
      <c r="D206" s="278">
        <v>1200</v>
      </c>
      <c r="E206" s="278" t="s">
        <v>940</v>
      </c>
      <c r="F206" s="278"/>
      <c r="G206" s="278" t="s">
        <v>5</v>
      </c>
      <c r="H206" s="290">
        <v>1</v>
      </c>
      <c r="I206" s="280">
        <f t="shared" si="22"/>
        <v>80.62</v>
      </c>
      <c r="J206" s="281">
        <f t="shared" si="23"/>
        <v>91.43</v>
      </c>
      <c r="K206" s="282">
        <f>IF(Notes!$B$9="Domestic",I206, IF(Notes!$B$9="Commercial",J206))*$K$195</f>
        <v>91.43</v>
      </c>
      <c r="L206" s="283">
        <f>(SUM(O206:Q206)+(K206+SUM(M206:Q206))*(INDEX($U$195:$AB$195,MATCH(Notes!$C$16,$U$3:$AB$3,0))-100%))*$L$195</f>
        <v>691.8152</v>
      </c>
      <c r="M206" s="286"/>
      <c r="N206" s="286"/>
      <c r="O206" s="285">
        <v>550.94000000000005</v>
      </c>
      <c r="P206" s="311">
        <f t="shared" si="20"/>
        <v>140.87520000000001</v>
      </c>
      <c r="Q206" s="285"/>
      <c r="R206" s="278"/>
      <c r="S206" s="278"/>
      <c r="T206" s="278"/>
      <c r="U206" s="304"/>
    </row>
    <row r="207" spans="1:28" s="305" customFormat="1" ht="21.75" hidden="1" customHeight="1" outlineLevel="1" x14ac:dyDescent="0.25">
      <c r="A207" s="278"/>
      <c r="B207" s="279" t="str">
        <f t="shared" si="21"/>
        <v>9001500AL/CMW</v>
      </c>
      <c r="C207" s="278">
        <v>900</v>
      </c>
      <c r="D207" s="278">
        <v>1500</v>
      </c>
      <c r="E207" s="278" t="s">
        <v>940</v>
      </c>
      <c r="F207" s="278"/>
      <c r="G207" s="278" t="s">
        <v>5</v>
      </c>
      <c r="H207" s="290">
        <v>2</v>
      </c>
      <c r="I207" s="280">
        <f t="shared" si="22"/>
        <v>161.24</v>
      </c>
      <c r="J207" s="281">
        <f t="shared" si="23"/>
        <v>182.86</v>
      </c>
      <c r="K207" s="282">
        <f>IF(Notes!$B$9="Domestic",I207, IF(Notes!$B$9="Commercial",J207))*$K$195</f>
        <v>182.86</v>
      </c>
      <c r="L207" s="283">
        <f>(SUM(O207:Q207)+(K207+SUM(M207:Q207))*(INDEX($U$195:$AB$195,MATCH(Notes!$C$16,$U$3:$AB$3,0))-100%))*$L$195</f>
        <v>767.59400000000005</v>
      </c>
      <c r="M207" s="286"/>
      <c r="N207" s="286"/>
      <c r="O207" s="285">
        <v>591.5</v>
      </c>
      <c r="P207" s="311">
        <f t="shared" si="20"/>
        <v>176.09399999999999</v>
      </c>
      <c r="Q207" s="285"/>
      <c r="R207" s="278"/>
      <c r="S207" s="278"/>
      <c r="T207" s="278"/>
      <c r="U207" s="304"/>
    </row>
    <row r="208" spans="1:28" s="305" customFormat="1" ht="21.75" hidden="1" customHeight="1" outlineLevel="1" x14ac:dyDescent="0.25">
      <c r="A208" s="278"/>
      <c r="B208" s="279" t="str">
        <f t="shared" si="21"/>
        <v>9001800AL/CMW</v>
      </c>
      <c r="C208" s="278">
        <v>900</v>
      </c>
      <c r="D208" s="278">
        <v>1800</v>
      </c>
      <c r="E208" s="278" t="s">
        <v>940</v>
      </c>
      <c r="F208" s="278"/>
      <c r="G208" s="278" t="s">
        <v>5</v>
      </c>
      <c r="H208" s="290">
        <v>2</v>
      </c>
      <c r="I208" s="280">
        <f t="shared" si="22"/>
        <v>161.24</v>
      </c>
      <c r="J208" s="281">
        <f t="shared" si="23"/>
        <v>182.86</v>
      </c>
      <c r="K208" s="282">
        <f>IF(Notes!$B$9="Domestic",I208, IF(Notes!$B$9="Commercial",J208))*$K$195</f>
        <v>182.86</v>
      </c>
      <c r="L208" s="283">
        <f>(SUM(O208:Q208)+(K208+SUM(M208:Q208))*(INDEX($U$195:$AB$195,MATCH(Notes!$C$16,$U$3:$AB$3,0))-100%))*$L$195</f>
        <v>843.37279999999987</v>
      </c>
      <c r="M208" s="286"/>
      <c r="N208" s="286"/>
      <c r="O208" s="285">
        <v>632.05999999999995</v>
      </c>
      <c r="P208" s="311">
        <f t="shared" si="20"/>
        <v>211.31279999999998</v>
      </c>
      <c r="Q208" s="285"/>
      <c r="R208" s="278"/>
      <c r="S208" s="278"/>
      <c r="T208" s="278"/>
      <c r="U208" s="304"/>
    </row>
    <row r="209" spans="1:21" s="305" customFormat="1" ht="21.75" hidden="1" customHeight="1" outlineLevel="1" x14ac:dyDescent="0.25">
      <c r="A209" s="278"/>
      <c r="B209" s="279" t="str">
        <f t="shared" si="21"/>
        <v>9002100AL/CMW</v>
      </c>
      <c r="C209" s="278">
        <v>900</v>
      </c>
      <c r="D209" s="278">
        <v>2100</v>
      </c>
      <c r="E209" s="278" t="s">
        <v>940</v>
      </c>
      <c r="F209" s="278"/>
      <c r="G209" s="278" t="s">
        <v>5</v>
      </c>
      <c r="H209" s="290">
        <v>2</v>
      </c>
      <c r="I209" s="280">
        <f t="shared" si="22"/>
        <v>161.24</v>
      </c>
      <c r="J209" s="281">
        <f t="shared" si="23"/>
        <v>182.86</v>
      </c>
      <c r="K209" s="282">
        <f>IF(Notes!$B$9="Domestic",I209, IF(Notes!$B$9="Commercial",J209))*$K$195</f>
        <v>182.86</v>
      </c>
      <c r="L209" s="283">
        <f>(SUM(O209:Q209)+(K209+SUM(M209:Q209))*(INDEX($U$195:$AB$195,MATCH(Notes!$C$16,$U$3:$AB$3,0))-100%))*$L$195</f>
        <v>1102.1915999999999</v>
      </c>
      <c r="M209" s="286"/>
      <c r="N209" s="286"/>
      <c r="O209" s="285">
        <v>855.66</v>
      </c>
      <c r="P209" s="311">
        <f t="shared" si="20"/>
        <v>246.5316</v>
      </c>
      <c r="Q209" s="285"/>
      <c r="R209" s="278"/>
      <c r="S209" s="278"/>
      <c r="T209" s="278"/>
      <c r="U209" s="304"/>
    </row>
    <row r="210" spans="1:21" s="305" customFormat="1" ht="21.75" hidden="1" customHeight="1" outlineLevel="1" x14ac:dyDescent="0.25">
      <c r="A210" s="278"/>
      <c r="B210" s="279" t="str">
        <f t="shared" si="21"/>
        <v>9002400AL/CMW</v>
      </c>
      <c r="C210" s="278">
        <v>900</v>
      </c>
      <c r="D210" s="278">
        <v>2400</v>
      </c>
      <c r="E210" s="278" t="s">
        <v>940</v>
      </c>
      <c r="F210" s="278"/>
      <c r="G210" s="278" t="s">
        <v>5</v>
      </c>
      <c r="H210" s="290">
        <v>2</v>
      </c>
      <c r="I210" s="280">
        <f t="shared" si="22"/>
        <v>161.24</v>
      </c>
      <c r="J210" s="281">
        <f t="shared" si="23"/>
        <v>182.86</v>
      </c>
      <c r="K210" s="282">
        <f>IF(Notes!$B$9="Domestic",I210, IF(Notes!$B$9="Commercial",J210))*$K$195</f>
        <v>182.86</v>
      </c>
      <c r="L210" s="283">
        <f>(SUM(O210:Q210)+(K210+SUM(M210:Q210))*(INDEX($U$195:$AB$195,MATCH(Notes!$C$16,$U$3:$AB$3,0))-100%))*$L$195</f>
        <v>1182.4104</v>
      </c>
      <c r="M210" s="286"/>
      <c r="N210" s="286"/>
      <c r="O210" s="285">
        <v>900.66</v>
      </c>
      <c r="P210" s="311">
        <f t="shared" si="20"/>
        <v>281.75040000000001</v>
      </c>
      <c r="Q210" s="285"/>
      <c r="R210" s="278"/>
      <c r="S210" s="278"/>
      <c r="T210" s="278"/>
      <c r="U210" s="304"/>
    </row>
    <row r="211" spans="1:21" s="305" customFormat="1" ht="21.75" hidden="1" customHeight="1" outlineLevel="1" x14ac:dyDescent="0.25">
      <c r="A211" s="278"/>
      <c r="B211" s="279" t="str">
        <f t="shared" si="21"/>
        <v>9002700AL/CMW</v>
      </c>
      <c r="C211" s="278">
        <v>900</v>
      </c>
      <c r="D211" s="278">
        <v>2700</v>
      </c>
      <c r="E211" s="278" t="s">
        <v>940</v>
      </c>
      <c r="F211" s="278"/>
      <c r="G211" s="278" t="s">
        <v>5</v>
      </c>
      <c r="H211" s="290">
        <v>3</v>
      </c>
      <c r="I211" s="280">
        <f t="shared" si="22"/>
        <v>241.86</v>
      </c>
      <c r="J211" s="281">
        <f t="shared" si="23"/>
        <v>274.29000000000002</v>
      </c>
      <c r="K211" s="282">
        <f>IF(Notes!$B$9="Domestic",I211, IF(Notes!$B$9="Commercial",J211))*$K$195</f>
        <v>274.29000000000002</v>
      </c>
      <c r="L211" s="283">
        <f>(SUM(O211:Q211)+(K211+SUM(M211:Q211))*(INDEX($U$195:$AB$195,MATCH(Notes!$C$16,$U$3:$AB$3,0))-100%))*$L$195</f>
        <v>1307.6952000000001</v>
      </c>
      <c r="M211" s="286"/>
      <c r="N211" s="286"/>
      <c r="O211" s="311">
        <f>O210*1.1</f>
        <v>990.726</v>
      </c>
      <c r="P211" s="311">
        <f t="shared" si="20"/>
        <v>316.9692</v>
      </c>
      <c r="Q211" s="285"/>
      <c r="R211" s="278"/>
      <c r="S211" s="278"/>
      <c r="T211" s="278"/>
      <c r="U211" s="304"/>
    </row>
    <row r="212" spans="1:21" s="305" customFormat="1" ht="21.75" hidden="1" customHeight="1" outlineLevel="1" x14ac:dyDescent="0.25">
      <c r="A212" s="278"/>
      <c r="B212" s="279" t="str">
        <f t="shared" si="21"/>
        <v>1200600AL/CMW</v>
      </c>
      <c r="C212" s="278">
        <v>1200</v>
      </c>
      <c r="D212" s="278">
        <v>600</v>
      </c>
      <c r="E212" s="278" t="s">
        <v>940</v>
      </c>
      <c r="F212" s="278"/>
      <c r="G212" s="278" t="s">
        <v>5</v>
      </c>
      <c r="H212" s="290">
        <v>1</v>
      </c>
      <c r="I212" s="280">
        <f t="shared" si="22"/>
        <v>80.62</v>
      </c>
      <c r="J212" s="281">
        <f t="shared" si="23"/>
        <v>91.43</v>
      </c>
      <c r="K212" s="282">
        <f>IF(Notes!$B$9="Domestic",I212, IF(Notes!$B$9="Commercial",J212))*$K$195</f>
        <v>91.43</v>
      </c>
      <c r="L212" s="283">
        <f>(SUM(O212:Q212)+(K212+SUM(M212:Q212))*(INDEX($U$195:$AB$195,MATCH(Notes!$C$16,$U$3:$AB$3,0))-100%))*$L$195</f>
        <v>487.41679999999997</v>
      </c>
      <c r="M212" s="286"/>
      <c r="N212" s="286"/>
      <c r="O212" s="285">
        <v>393.5</v>
      </c>
      <c r="P212" s="311">
        <f t="shared" si="20"/>
        <v>93.916799999999995</v>
      </c>
      <c r="Q212" s="285"/>
      <c r="R212" s="278"/>
      <c r="S212" s="278"/>
      <c r="T212" s="278"/>
      <c r="U212" s="304"/>
    </row>
    <row r="213" spans="1:21" s="305" customFormat="1" ht="21.75" hidden="1" customHeight="1" outlineLevel="1" x14ac:dyDescent="0.25">
      <c r="A213" s="278"/>
      <c r="B213" s="279" t="str">
        <f t="shared" si="21"/>
        <v>1200900AL/CMW</v>
      </c>
      <c r="C213" s="278">
        <v>1200</v>
      </c>
      <c r="D213" s="278">
        <v>900</v>
      </c>
      <c r="E213" s="278" t="s">
        <v>940</v>
      </c>
      <c r="F213" s="278"/>
      <c r="G213" s="278" t="s">
        <v>5</v>
      </c>
      <c r="H213" s="290">
        <v>1</v>
      </c>
      <c r="I213" s="280">
        <f t="shared" si="22"/>
        <v>80.62</v>
      </c>
      <c r="J213" s="281">
        <f t="shared" si="23"/>
        <v>91.43</v>
      </c>
      <c r="K213" s="282">
        <f>IF(Notes!$B$9="Domestic",I213, IF(Notes!$B$9="Commercial",J213))*$K$195</f>
        <v>91.43</v>
      </c>
      <c r="L213" s="283">
        <f>(SUM(O213:Q213)+(K213+SUM(M213:Q213))*(INDEX($U$195:$AB$195,MATCH(Notes!$C$16,$U$3:$AB$3,0))-100%))*$L$195</f>
        <v>691.8152</v>
      </c>
      <c r="M213" s="286"/>
      <c r="N213" s="286"/>
      <c r="O213" s="285">
        <v>550.94000000000005</v>
      </c>
      <c r="P213" s="311">
        <f t="shared" si="20"/>
        <v>140.87519999999998</v>
      </c>
      <c r="Q213" s="285"/>
      <c r="R213" s="278"/>
      <c r="S213" s="278"/>
      <c r="T213" s="278"/>
      <c r="U213" s="304"/>
    </row>
    <row r="214" spans="1:21" s="305" customFormat="1" ht="21.75" hidden="1" customHeight="1" outlineLevel="1" x14ac:dyDescent="0.25">
      <c r="A214" s="278"/>
      <c r="B214" s="279" t="str">
        <f t="shared" si="21"/>
        <v>12001200AL/CMW</v>
      </c>
      <c r="C214" s="278">
        <v>1200</v>
      </c>
      <c r="D214" s="278">
        <v>1200</v>
      </c>
      <c r="E214" s="278" t="s">
        <v>940</v>
      </c>
      <c r="F214" s="278"/>
      <c r="G214" s="278" t="s">
        <v>5</v>
      </c>
      <c r="H214" s="290">
        <v>2</v>
      </c>
      <c r="I214" s="280">
        <f t="shared" si="22"/>
        <v>161.24</v>
      </c>
      <c r="J214" s="281">
        <f t="shared" si="23"/>
        <v>182.86</v>
      </c>
      <c r="K214" s="282">
        <f>IF(Notes!$B$9="Domestic",I214, IF(Notes!$B$9="Commercial",J214))*$K$195</f>
        <v>182.86</v>
      </c>
      <c r="L214" s="283">
        <f>(SUM(O214:Q214)+(K214+SUM(M214:Q214))*(INDEX($U$195:$AB$195,MATCH(Notes!$C$16,$U$3:$AB$3,0))-100%))*$L$195</f>
        <v>794.96360000000004</v>
      </c>
      <c r="M214" s="286"/>
      <c r="N214" s="286"/>
      <c r="O214" s="285">
        <v>607.13</v>
      </c>
      <c r="P214" s="311">
        <f t="shared" si="20"/>
        <v>187.83359999999999</v>
      </c>
      <c r="Q214" s="285"/>
      <c r="R214" s="278"/>
      <c r="S214" s="278"/>
      <c r="T214" s="278"/>
      <c r="U214" s="304"/>
    </row>
    <row r="215" spans="1:21" s="305" customFormat="1" ht="21.75" hidden="1" customHeight="1" outlineLevel="1" x14ac:dyDescent="0.25">
      <c r="A215" s="278"/>
      <c r="B215" s="279" t="str">
        <f t="shared" si="21"/>
        <v>12001500AL/CMW</v>
      </c>
      <c r="C215" s="278">
        <v>1200</v>
      </c>
      <c r="D215" s="278">
        <v>1500</v>
      </c>
      <c r="E215" s="278" t="s">
        <v>940</v>
      </c>
      <c r="F215" s="278"/>
      <c r="G215" s="278" t="s">
        <v>5</v>
      </c>
      <c r="H215" s="290">
        <v>2</v>
      </c>
      <c r="I215" s="280">
        <f t="shared" si="22"/>
        <v>161.24</v>
      </c>
      <c r="J215" s="281">
        <f t="shared" si="23"/>
        <v>182.86</v>
      </c>
      <c r="K215" s="282">
        <f>IF(Notes!$B$9="Domestic",I215, IF(Notes!$B$9="Commercial",J215))*$K$195</f>
        <v>182.86</v>
      </c>
      <c r="L215" s="283">
        <f>(SUM(O215:Q215)+(K215+SUM(M215:Q215))*(INDEX($U$195:$AB$195,MATCH(Notes!$C$16,$U$3:$AB$3,0))-100%))*$L$195</f>
        <v>882.952</v>
      </c>
      <c r="M215" s="286"/>
      <c r="N215" s="286"/>
      <c r="O215" s="285">
        <v>648.16</v>
      </c>
      <c r="P215" s="311">
        <f t="shared" si="20"/>
        <v>234.792</v>
      </c>
      <c r="Q215" s="285"/>
      <c r="R215" s="278"/>
      <c r="S215" s="278"/>
      <c r="T215" s="278"/>
      <c r="U215" s="304"/>
    </row>
    <row r="216" spans="1:21" s="305" customFormat="1" ht="21.75" hidden="1" customHeight="1" outlineLevel="1" x14ac:dyDescent="0.25">
      <c r="A216" s="278"/>
      <c r="B216" s="279" t="str">
        <f t="shared" si="21"/>
        <v>12001800AL/CMW</v>
      </c>
      <c r="C216" s="278">
        <v>1200</v>
      </c>
      <c r="D216" s="278">
        <v>1800</v>
      </c>
      <c r="E216" s="278" t="s">
        <v>940</v>
      </c>
      <c r="F216" s="278"/>
      <c r="G216" s="278" t="s">
        <v>5</v>
      </c>
      <c r="H216" s="290">
        <v>3</v>
      </c>
      <c r="I216" s="280">
        <f t="shared" si="22"/>
        <v>241.86</v>
      </c>
      <c r="J216" s="281">
        <f t="shared" si="23"/>
        <v>274.29000000000002</v>
      </c>
      <c r="K216" s="282">
        <f>IF(Notes!$B$9="Domestic",I216, IF(Notes!$B$9="Commercial",J216))*$K$195</f>
        <v>274.29000000000002</v>
      </c>
      <c r="L216" s="283">
        <f>(SUM(O216:Q216)+(K216+SUM(M216:Q216))*(INDEX($U$195:$AB$195,MATCH(Notes!$C$16,$U$3:$AB$3,0))-100%))*$L$195</f>
        <v>963.18039999999996</v>
      </c>
      <c r="M216" s="286"/>
      <c r="N216" s="286"/>
      <c r="O216" s="285">
        <v>681.43</v>
      </c>
      <c r="P216" s="311">
        <f t="shared" si="20"/>
        <v>281.75039999999996</v>
      </c>
      <c r="Q216" s="285"/>
      <c r="R216" s="278"/>
      <c r="S216" s="278"/>
      <c r="T216" s="278"/>
      <c r="U216" s="304"/>
    </row>
    <row r="217" spans="1:21" s="305" customFormat="1" ht="21.75" hidden="1" customHeight="1" outlineLevel="1" x14ac:dyDescent="0.25">
      <c r="A217" s="278"/>
      <c r="B217" s="279" t="str">
        <f t="shared" si="21"/>
        <v>12002100AL/CMW</v>
      </c>
      <c r="C217" s="278">
        <v>1200</v>
      </c>
      <c r="D217" s="278">
        <v>2100</v>
      </c>
      <c r="E217" s="278" t="s">
        <v>940</v>
      </c>
      <c r="F217" s="278"/>
      <c r="G217" s="278" t="s">
        <v>5</v>
      </c>
      <c r="H217" s="290">
        <v>3</v>
      </c>
      <c r="I217" s="280">
        <f t="shared" si="22"/>
        <v>241.86</v>
      </c>
      <c r="J217" s="281">
        <f t="shared" si="23"/>
        <v>274.29000000000002</v>
      </c>
      <c r="K217" s="282">
        <f>IF(Notes!$B$9="Domestic",I217, IF(Notes!$B$9="Commercial",J217))*$K$195</f>
        <v>274.29000000000002</v>
      </c>
      <c r="L217" s="283">
        <f>(SUM(O217:Q217)+(K217+SUM(M217:Q217))*(INDEX($U$195:$AB$195,MATCH(Notes!$C$16,$U$3:$AB$3,0))-100%))*$L$195</f>
        <v>1318.4488000000001</v>
      </c>
      <c r="M217" s="286"/>
      <c r="N217" s="286"/>
      <c r="O217" s="285">
        <v>989.74</v>
      </c>
      <c r="P217" s="311">
        <f t="shared" si="20"/>
        <v>328.7088</v>
      </c>
      <c r="Q217" s="285"/>
      <c r="R217" s="278"/>
      <c r="S217" s="278"/>
      <c r="T217" s="278"/>
      <c r="U217" s="304"/>
    </row>
    <row r="218" spans="1:21" s="305" customFormat="1" ht="21.75" hidden="1" customHeight="1" outlineLevel="1" x14ac:dyDescent="0.25">
      <c r="A218" s="278"/>
      <c r="B218" s="279" t="str">
        <f t="shared" si="21"/>
        <v>12002400AL/CMW</v>
      </c>
      <c r="C218" s="278">
        <v>1200</v>
      </c>
      <c r="D218" s="278">
        <v>2400</v>
      </c>
      <c r="E218" s="278" t="s">
        <v>940</v>
      </c>
      <c r="F218" s="278"/>
      <c r="G218" s="278" t="s">
        <v>5</v>
      </c>
      <c r="H218" s="290">
        <v>3</v>
      </c>
      <c r="I218" s="280">
        <f t="shared" si="22"/>
        <v>241.86</v>
      </c>
      <c r="J218" s="281">
        <f t="shared" si="23"/>
        <v>274.29000000000002</v>
      </c>
      <c r="K218" s="282">
        <f>IF(Notes!$B$9="Domestic",I218, IF(Notes!$B$9="Commercial",J218))*$K$195</f>
        <v>274.29000000000002</v>
      </c>
      <c r="L218" s="283">
        <f>(SUM(O218:Q218)+(K218+SUM(M218:Q218))*(INDEX($U$195:$AB$195,MATCH(Notes!$C$16,$U$3:$AB$3,0))-100%))*$L$195</f>
        <v>1410.8672000000001</v>
      </c>
      <c r="M218" s="286"/>
      <c r="N218" s="286"/>
      <c r="O218" s="285">
        <v>1035.2</v>
      </c>
      <c r="P218" s="311">
        <f t="shared" si="20"/>
        <v>375.66719999999998</v>
      </c>
      <c r="Q218" s="285"/>
      <c r="R218" s="278"/>
      <c r="S218" s="278"/>
      <c r="T218" s="278"/>
      <c r="U218" s="304"/>
    </row>
    <row r="219" spans="1:21" s="305" customFormat="1" ht="21.75" hidden="1" customHeight="1" outlineLevel="1" x14ac:dyDescent="0.25">
      <c r="A219" s="278"/>
      <c r="B219" s="279" t="str">
        <f t="shared" si="21"/>
        <v>12002700AL/CMW</v>
      </c>
      <c r="C219" s="278">
        <v>1200</v>
      </c>
      <c r="D219" s="278">
        <v>2700</v>
      </c>
      <c r="E219" s="278" t="s">
        <v>940</v>
      </c>
      <c r="F219" s="278"/>
      <c r="G219" s="278" t="s">
        <v>5</v>
      </c>
      <c r="H219" s="290">
        <v>4</v>
      </c>
      <c r="I219" s="280">
        <f t="shared" si="22"/>
        <v>322.48</v>
      </c>
      <c r="J219" s="281">
        <f t="shared" si="23"/>
        <v>365.72</v>
      </c>
      <c r="K219" s="282">
        <f>IF(Notes!$B$9="Domestic",I219, IF(Notes!$B$9="Commercial",J219))*$K$195</f>
        <v>365.72</v>
      </c>
      <c r="L219" s="283">
        <f>(SUM(O219:Q219)+(K219+SUM(M219:Q219))*(INDEX($U$195:$AB$195,MATCH(Notes!$C$16,$U$3:$AB$3,0))-100%))*$L$195</f>
        <v>1561.3456000000001</v>
      </c>
      <c r="M219" s="286"/>
      <c r="N219" s="286"/>
      <c r="O219" s="311">
        <f>O218*1.1</f>
        <v>1138.7200000000003</v>
      </c>
      <c r="P219" s="311">
        <f t="shared" si="20"/>
        <v>422.62559999999996</v>
      </c>
      <c r="Q219" s="285"/>
      <c r="R219" s="278"/>
      <c r="S219" s="278"/>
      <c r="T219" s="278"/>
      <c r="U219" s="304"/>
    </row>
    <row r="220" spans="1:21" s="305" customFormat="1" ht="21.75" hidden="1" customHeight="1" outlineLevel="1" x14ac:dyDescent="0.25">
      <c r="A220" s="278"/>
      <c r="B220" s="279" t="str">
        <f t="shared" si="21"/>
        <v>1500600AL/CMW</v>
      </c>
      <c r="C220" s="278">
        <v>1500</v>
      </c>
      <c r="D220" s="278">
        <v>600</v>
      </c>
      <c r="E220" s="278" t="s">
        <v>940</v>
      </c>
      <c r="F220" s="278"/>
      <c r="G220" s="278" t="s">
        <v>5</v>
      </c>
      <c r="H220" s="290">
        <v>1</v>
      </c>
      <c r="I220" s="280">
        <f t="shared" si="22"/>
        <v>80.62</v>
      </c>
      <c r="J220" s="281">
        <f t="shared" si="23"/>
        <v>91.43</v>
      </c>
      <c r="K220" s="282">
        <f>IF(Notes!$B$9="Domestic",I220, IF(Notes!$B$9="Commercial",J220))*$K$195</f>
        <v>91.43</v>
      </c>
      <c r="L220" s="283">
        <f>(SUM(O220:Q220)+(K220+SUM(M220:Q220))*(INDEX($U$195:$AB$195,MATCH(Notes!$C$16,$U$3:$AB$3,0))-100%))*$L$195</f>
        <v>541.52599999999995</v>
      </c>
      <c r="M220" s="286"/>
      <c r="N220" s="286"/>
      <c r="O220" s="285">
        <v>424.13</v>
      </c>
      <c r="P220" s="311">
        <f t="shared" si="20"/>
        <v>117.396</v>
      </c>
      <c r="Q220" s="285"/>
      <c r="R220" s="278"/>
      <c r="S220" s="278"/>
      <c r="T220" s="278"/>
      <c r="U220" s="304"/>
    </row>
    <row r="221" spans="1:21" s="305" customFormat="1" ht="21.75" hidden="1" customHeight="1" outlineLevel="1" x14ac:dyDescent="0.25">
      <c r="A221" s="278"/>
      <c r="B221" s="279" t="str">
        <f t="shared" si="21"/>
        <v>1500900AL/CMW</v>
      </c>
      <c r="C221" s="278">
        <v>1500</v>
      </c>
      <c r="D221" s="278">
        <v>900</v>
      </c>
      <c r="E221" s="278" t="s">
        <v>940</v>
      </c>
      <c r="F221" s="278"/>
      <c r="G221" s="278" t="s">
        <v>5</v>
      </c>
      <c r="H221" s="290">
        <v>2</v>
      </c>
      <c r="I221" s="280">
        <f t="shared" si="22"/>
        <v>161.24</v>
      </c>
      <c r="J221" s="281">
        <f t="shared" si="23"/>
        <v>182.86</v>
      </c>
      <c r="K221" s="282">
        <f>IF(Notes!$B$9="Domestic",I221, IF(Notes!$B$9="Commercial",J221))*$K$195</f>
        <v>182.86</v>
      </c>
      <c r="L221" s="283">
        <f>(SUM(O221:Q221)+(K221+SUM(M221:Q221))*(INDEX($U$195:$AB$195,MATCH(Notes!$C$16,$U$3:$AB$3,0))-100%))*$L$195</f>
        <v>767.7940000000001</v>
      </c>
      <c r="M221" s="286"/>
      <c r="N221" s="286"/>
      <c r="O221" s="285">
        <v>591.70000000000005</v>
      </c>
      <c r="P221" s="311">
        <f t="shared" si="20"/>
        <v>176.09399999999999</v>
      </c>
      <c r="Q221" s="285"/>
      <c r="R221" s="278"/>
      <c r="S221" s="278"/>
      <c r="T221" s="278"/>
      <c r="U221" s="304"/>
    </row>
    <row r="222" spans="1:21" s="305" customFormat="1" ht="21.75" hidden="1" customHeight="1" outlineLevel="1" x14ac:dyDescent="0.25">
      <c r="A222" s="278"/>
      <c r="B222" s="279" t="str">
        <f t="shared" si="21"/>
        <v>15001200AL/CMW</v>
      </c>
      <c r="C222" s="278">
        <v>1500</v>
      </c>
      <c r="D222" s="278">
        <v>1200</v>
      </c>
      <c r="E222" s="278" t="s">
        <v>940</v>
      </c>
      <c r="F222" s="278"/>
      <c r="G222" s="278" t="s">
        <v>5</v>
      </c>
      <c r="H222" s="290">
        <v>2</v>
      </c>
      <c r="I222" s="280">
        <f t="shared" si="22"/>
        <v>161.24</v>
      </c>
      <c r="J222" s="281">
        <f t="shared" si="23"/>
        <v>182.86</v>
      </c>
      <c r="K222" s="282">
        <f>IF(Notes!$B$9="Domestic",I222, IF(Notes!$B$9="Commercial",J222))*$K$195</f>
        <v>182.86</v>
      </c>
      <c r="L222" s="283">
        <f>(SUM(O222:Q222)+(K222+SUM(M222:Q222))*(INDEX($U$195:$AB$195,MATCH(Notes!$C$16,$U$3:$AB$3,0))-100%))*$L$195</f>
        <v>883.15200000000004</v>
      </c>
      <c r="M222" s="286"/>
      <c r="N222" s="286"/>
      <c r="O222" s="285">
        <v>648.36</v>
      </c>
      <c r="P222" s="311">
        <f t="shared" si="20"/>
        <v>234.792</v>
      </c>
      <c r="Q222" s="285"/>
      <c r="R222" s="278"/>
      <c r="S222" s="278"/>
      <c r="T222" s="278"/>
      <c r="U222" s="304"/>
    </row>
    <row r="223" spans="1:21" s="305" customFormat="1" ht="21.75" hidden="1" customHeight="1" outlineLevel="1" x14ac:dyDescent="0.25">
      <c r="A223" s="278"/>
      <c r="B223" s="279" t="str">
        <f t="shared" si="21"/>
        <v>15001500AL/CMW</v>
      </c>
      <c r="C223" s="278">
        <v>1500</v>
      </c>
      <c r="D223" s="278">
        <v>1500</v>
      </c>
      <c r="E223" s="278" t="s">
        <v>940</v>
      </c>
      <c r="F223" s="278"/>
      <c r="G223" s="278" t="s">
        <v>5</v>
      </c>
      <c r="H223" s="290">
        <v>3</v>
      </c>
      <c r="I223" s="280">
        <f t="shared" si="22"/>
        <v>241.86</v>
      </c>
      <c r="J223" s="281">
        <f t="shared" si="23"/>
        <v>274.29000000000002</v>
      </c>
      <c r="K223" s="282">
        <f>IF(Notes!$B$9="Domestic",I223, IF(Notes!$B$9="Commercial",J223))*$K$195</f>
        <v>274.29000000000002</v>
      </c>
      <c r="L223" s="283">
        <f>(SUM(O223:Q223)+(K223+SUM(M223:Q223))*(INDEX($U$195:$AB$195,MATCH(Notes!$C$16,$U$3:$AB$3,0))-100%))*$L$195</f>
        <v>983.35</v>
      </c>
      <c r="M223" s="286"/>
      <c r="N223" s="286"/>
      <c r="O223" s="285">
        <v>689.86</v>
      </c>
      <c r="P223" s="311">
        <f t="shared" si="20"/>
        <v>293.49</v>
      </c>
      <c r="Q223" s="285"/>
      <c r="R223" s="278"/>
      <c r="S223" s="278"/>
      <c r="T223" s="278"/>
      <c r="U223" s="304"/>
    </row>
    <row r="224" spans="1:21" s="305" customFormat="1" ht="21.75" hidden="1" customHeight="1" outlineLevel="1" x14ac:dyDescent="0.25">
      <c r="A224" s="278"/>
      <c r="B224" s="279" t="str">
        <f t="shared" si="21"/>
        <v>15001800AL/CMW</v>
      </c>
      <c r="C224" s="278">
        <v>1500</v>
      </c>
      <c r="D224" s="278">
        <v>1800</v>
      </c>
      <c r="E224" s="278" t="s">
        <v>940</v>
      </c>
      <c r="F224" s="278"/>
      <c r="G224" s="278" t="s">
        <v>5</v>
      </c>
      <c r="H224" s="290">
        <v>3</v>
      </c>
      <c r="I224" s="280">
        <f t="shared" si="22"/>
        <v>241.86</v>
      </c>
      <c r="J224" s="281">
        <f t="shared" si="23"/>
        <v>274.29000000000002</v>
      </c>
      <c r="K224" s="282">
        <f>IF(Notes!$B$9="Domestic",I224, IF(Notes!$B$9="Commercial",J224))*$K$195</f>
        <v>274.29000000000002</v>
      </c>
      <c r="L224" s="283">
        <f>(SUM(O224:Q224)+(K224+SUM(M224:Q224))*(INDEX($U$195:$AB$195,MATCH(Notes!$C$16,$U$3:$AB$3,0))-100%))*$L$195</f>
        <v>1060.258</v>
      </c>
      <c r="M224" s="286"/>
      <c r="N224" s="286"/>
      <c r="O224" s="285">
        <v>708.07</v>
      </c>
      <c r="P224" s="311">
        <f t="shared" si="20"/>
        <v>352.18799999999999</v>
      </c>
      <c r="Q224" s="285"/>
      <c r="R224" s="278"/>
      <c r="S224" s="278"/>
      <c r="T224" s="278"/>
      <c r="U224" s="304"/>
    </row>
    <row r="225" spans="1:21" s="305" customFormat="1" ht="21.75" hidden="1" customHeight="1" outlineLevel="1" x14ac:dyDescent="0.25">
      <c r="A225" s="278"/>
      <c r="B225" s="279" t="str">
        <f t="shared" si="21"/>
        <v>15002100AL/CMW</v>
      </c>
      <c r="C225" s="278">
        <v>1500</v>
      </c>
      <c r="D225" s="278">
        <v>2100</v>
      </c>
      <c r="E225" s="278" t="s">
        <v>940</v>
      </c>
      <c r="F225" s="278"/>
      <c r="G225" s="278" t="s">
        <v>5</v>
      </c>
      <c r="H225" s="290">
        <v>4</v>
      </c>
      <c r="I225" s="280">
        <f t="shared" si="22"/>
        <v>322.48</v>
      </c>
      <c r="J225" s="281">
        <f t="shared" si="23"/>
        <v>365.72</v>
      </c>
      <c r="K225" s="282">
        <f>IF(Notes!$B$9="Domestic",I225, IF(Notes!$B$9="Commercial",J225))*$K$195</f>
        <v>365.72</v>
      </c>
      <c r="L225" s="283">
        <f>(SUM(O225:Q225)+(K225+SUM(M225:Q225))*(INDEX($U$195:$AB$195,MATCH(Notes!$C$16,$U$3:$AB$3,0))-100%))*$L$195</f>
        <v>1513.4559999999999</v>
      </c>
      <c r="M225" s="286"/>
      <c r="N225" s="286"/>
      <c r="O225" s="285">
        <v>1102.57</v>
      </c>
      <c r="P225" s="311">
        <f t="shared" si="20"/>
        <v>410.88600000000002</v>
      </c>
      <c r="Q225" s="285"/>
      <c r="R225" s="278"/>
      <c r="S225" s="278"/>
      <c r="T225" s="278"/>
      <c r="U225" s="304"/>
    </row>
    <row r="226" spans="1:21" s="305" customFormat="1" ht="21.75" hidden="1" customHeight="1" outlineLevel="1" x14ac:dyDescent="0.25">
      <c r="A226" s="278"/>
      <c r="B226" s="279" t="str">
        <f t="shared" si="21"/>
        <v>15002400AL/CMW</v>
      </c>
      <c r="C226" s="278">
        <v>1500</v>
      </c>
      <c r="D226" s="278">
        <v>2400</v>
      </c>
      <c r="E226" s="278" t="s">
        <v>940</v>
      </c>
      <c r="F226" s="278"/>
      <c r="G226" s="278" t="s">
        <v>5</v>
      </c>
      <c r="H226" s="290">
        <v>4</v>
      </c>
      <c r="I226" s="280">
        <f t="shared" si="22"/>
        <v>322.48</v>
      </c>
      <c r="J226" s="281">
        <f t="shared" si="23"/>
        <v>365.72</v>
      </c>
      <c r="K226" s="282">
        <f>IF(Notes!$B$9="Domestic",I226, IF(Notes!$B$9="Commercial",J226))*$K$195</f>
        <v>365.72</v>
      </c>
      <c r="L226" s="283">
        <f>(SUM(O226:Q226)+(K226+SUM(M226:Q226))*(INDEX($U$195:$AB$195,MATCH(Notes!$C$16,$U$3:$AB$3,0))-100%))*$L$195</f>
        <v>1618.0840000000001</v>
      </c>
      <c r="M226" s="286"/>
      <c r="N226" s="286"/>
      <c r="O226" s="285">
        <v>1148.5</v>
      </c>
      <c r="P226" s="311">
        <f t="shared" si="20"/>
        <v>469.584</v>
      </c>
      <c r="Q226" s="285"/>
      <c r="R226" s="278"/>
      <c r="S226" s="278"/>
      <c r="T226" s="278"/>
      <c r="U226" s="304"/>
    </row>
    <row r="227" spans="1:21" s="305" customFormat="1" ht="21.75" hidden="1" customHeight="1" outlineLevel="1" x14ac:dyDescent="0.25">
      <c r="A227" s="278"/>
      <c r="B227" s="279" t="str">
        <f t="shared" si="21"/>
        <v>15002700AL/CMW</v>
      </c>
      <c r="C227" s="278">
        <v>1500</v>
      </c>
      <c r="D227" s="278">
        <v>2700</v>
      </c>
      <c r="E227" s="278" t="s">
        <v>940</v>
      </c>
      <c r="F227" s="278"/>
      <c r="G227" s="278" t="s">
        <v>5</v>
      </c>
      <c r="H227" s="290">
        <v>5</v>
      </c>
      <c r="I227" s="280">
        <f t="shared" si="22"/>
        <v>403.1</v>
      </c>
      <c r="J227" s="281">
        <f t="shared" si="23"/>
        <v>457.15000000000003</v>
      </c>
      <c r="K227" s="282">
        <f>IF(Notes!$B$9="Domestic",I227, IF(Notes!$B$9="Commercial",J227))*$K$195</f>
        <v>457.15000000000003</v>
      </c>
      <c r="L227" s="283">
        <f>(SUM(O227:Q227)+(K227+SUM(M227:Q227))*(INDEX($U$195:$AB$195,MATCH(Notes!$C$16,$U$3:$AB$3,0))-100%))*$L$195</f>
        <v>1791.6320000000001</v>
      </c>
      <c r="M227" s="286"/>
      <c r="N227" s="286"/>
      <c r="O227" s="311">
        <f>O226*1.1</f>
        <v>1263.3500000000001</v>
      </c>
      <c r="P227" s="311">
        <f t="shared" si="20"/>
        <v>528.28200000000004</v>
      </c>
      <c r="Q227" s="285"/>
      <c r="R227" s="278"/>
      <c r="S227" s="278"/>
      <c r="T227" s="278"/>
      <c r="U227" s="304"/>
    </row>
    <row r="228" spans="1:21" s="305" customFormat="1" ht="21.75" hidden="1" customHeight="1" outlineLevel="1" x14ac:dyDescent="0.25">
      <c r="A228" s="278"/>
      <c r="B228" s="279" t="str">
        <f t="shared" si="21"/>
        <v>1800600AL/CMW</v>
      </c>
      <c r="C228" s="278">
        <v>1800</v>
      </c>
      <c r="D228" s="278">
        <v>600</v>
      </c>
      <c r="E228" s="278" t="s">
        <v>940</v>
      </c>
      <c r="F228" s="278"/>
      <c r="G228" s="278" t="s">
        <v>5</v>
      </c>
      <c r="H228" s="290">
        <v>1</v>
      </c>
      <c r="I228" s="280">
        <f t="shared" si="22"/>
        <v>80.62</v>
      </c>
      <c r="J228" s="281">
        <f t="shared" si="23"/>
        <v>91.43</v>
      </c>
      <c r="K228" s="282">
        <f>IF(Notes!$B$9="Domestic",I228, IF(Notes!$B$9="Commercial",J228))*$K$195</f>
        <v>91.43</v>
      </c>
      <c r="L228" s="283">
        <f>(SUM(O228:Q228)+(K228+SUM(M228:Q228))*(INDEX($U$195:$AB$195,MATCH(Notes!$C$16,$U$3:$AB$3,0))-100%))*$L$195</f>
        <v>683.40519999999992</v>
      </c>
      <c r="M228" s="286"/>
      <c r="N228" s="286"/>
      <c r="O228" s="285">
        <v>542.53</v>
      </c>
      <c r="P228" s="311">
        <f t="shared" si="20"/>
        <v>140.87520000000001</v>
      </c>
      <c r="Q228" s="285"/>
      <c r="R228" s="278"/>
      <c r="S228" s="278"/>
      <c r="T228" s="278"/>
      <c r="U228" s="304"/>
    </row>
    <row r="229" spans="1:21" s="305" customFormat="1" ht="21.75" hidden="1" customHeight="1" outlineLevel="1" x14ac:dyDescent="0.25">
      <c r="A229" s="278"/>
      <c r="B229" s="279" t="str">
        <f t="shared" si="21"/>
        <v>1800900AL/CMW</v>
      </c>
      <c r="C229" s="278">
        <v>1800</v>
      </c>
      <c r="D229" s="278">
        <v>900</v>
      </c>
      <c r="E229" s="278" t="s">
        <v>940</v>
      </c>
      <c r="F229" s="278"/>
      <c r="G229" s="278" t="s">
        <v>5</v>
      </c>
      <c r="H229" s="290">
        <v>2</v>
      </c>
      <c r="I229" s="280">
        <f t="shared" si="22"/>
        <v>161.24</v>
      </c>
      <c r="J229" s="281">
        <f t="shared" si="23"/>
        <v>182.86</v>
      </c>
      <c r="K229" s="282">
        <f>IF(Notes!$B$9="Domestic",I229, IF(Notes!$B$9="Commercial",J229))*$K$195</f>
        <v>182.86</v>
      </c>
      <c r="L229" s="283">
        <f>(SUM(O229:Q229)+(K229+SUM(M229:Q229))*(INDEX($U$195:$AB$195,MATCH(Notes!$C$16,$U$3:$AB$3,0))-100%))*$L$195</f>
        <v>1061.8027999999999</v>
      </c>
      <c r="M229" s="286"/>
      <c r="N229" s="286"/>
      <c r="O229" s="285">
        <v>850.49</v>
      </c>
      <c r="P229" s="311">
        <f t="shared" si="20"/>
        <v>211.31279999999998</v>
      </c>
      <c r="Q229" s="285"/>
      <c r="R229" s="278"/>
      <c r="S229" s="278"/>
      <c r="T229" s="278"/>
      <c r="U229" s="304"/>
    </row>
    <row r="230" spans="1:21" s="305" customFormat="1" ht="21.75" hidden="1" customHeight="1" outlineLevel="1" x14ac:dyDescent="0.25">
      <c r="A230" s="278"/>
      <c r="B230" s="279" t="str">
        <f t="shared" si="21"/>
        <v>18001200AL/CMW</v>
      </c>
      <c r="C230" s="278">
        <v>1800</v>
      </c>
      <c r="D230" s="278">
        <v>1200</v>
      </c>
      <c r="E230" s="278" t="s">
        <v>940</v>
      </c>
      <c r="F230" s="278"/>
      <c r="G230" s="278" t="s">
        <v>5</v>
      </c>
      <c r="H230" s="290">
        <v>3</v>
      </c>
      <c r="I230" s="280">
        <f t="shared" si="22"/>
        <v>241.86</v>
      </c>
      <c r="J230" s="281">
        <f t="shared" si="23"/>
        <v>274.29000000000002</v>
      </c>
      <c r="K230" s="282">
        <f>IF(Notes!$B$9="Domestic",I230, IF(Notes!$B$9="Commercial",J230))*$K$195</f>
        <v>274.29000000000002</v>
      </c>
      <c r="L230" s="283">
        <f>(SUM(O230:Q230)+(K230+SUM(M230:Q230))*(INDEX($U$195:$AB$195,MATCH(Notes!$C$16,$U$3:$AB$3,0))-100%))*$L$195</f>
        <v>1191.4803999999999</v>
      </c>
      <c r="M230" s="286"/>
      <c r="N230" s="286"/>
      <c r="O230" s="285">
        <v>909.73</v>
      </c>
      <c r="P230" s="311">
        <f t="shared" si="20"/>
        <v>281.75040000000001</v>
      </c>
      <c r="Q230" s="285"/>
      <c r="R230" s="278"/>
      <c r="S230" s="278"/>
      <c r="T230" s="278"/>
      <c r="U230" s="304"/>
    </row>
    <row r="231" spans="1:21" s="305" customFormat="1" ht="21.75" hidden="1" customHeight="1" outlineLevel="1" x14ac:dyDescent="0.25">
      <c r="A231" s="278"/>
      <c r="B231" s="279" t="str">
        <f t="shared" si="21"/>
        <v>18001500AL/CMW</v>
      </c>
      <c r="C231" s="278">
        <v>1800</v>
      </c>
      <c r="D231" s="278">
        <v>1500</v>
      </c>
      <c r="E231" s="278" t="s">
        <v>940</v>
      </c>
      <c r="F231" s="278"/>
      <c r="G231" s="278" t="s">
        <v>5</v>
      </c>
      <c r="H231" s="290">
        <v>3</v>
      </c>
      <c r="I231" s="280">
        <f t="shared" si="22"/>
        <v>241.86</v>
      </c>
      <c r="J231" s="281">
        <f t="shared" si="23"/>
        <v>274.29000000000002</v>
      </c>
      <c r="K231" s="282">
        <f>IF(Notes!$B$9="Domestic",I231, IF(Notes!$B$9="Commercial",J231))*$K$195</f>
        <v>274.29000000000002</v>
      </c>
      <c r="L231" s="283">
        <f>(SUM(O231:Q231)+(K231+SUM(M231:Q231))*(INDEX($U$195:$AB$195,MATCH(Notes!$C$16,$U$3:$AB$3,0))-100%))*$L$195</f>
        <v>1298.9380000000001</v>
      </c>
      <c r="M231" s="286"/>
      <c r="N231" s="286"/>
      <c r="O231" s="285">
        <v>946.75</v>
      </c>
      <c r="P231" s="311">
        <f t="shared" si="20"/>
        <v>352.18799999999999</v>
      </c>
      <c r="Q231" s="285"/>
      <c r="R231" s="278"/>
      <c r="S231" s="278"/>
      <c r="T231" s="278"/>
      <c r="U231" s="304"/>
    </row>
    <row r="232" spans="1:21" s="305" customFormat="1" ht="21.75" hidden="1" customHeight="1" outlineLevel="1" x14ac:dyDescent="0.25">
      <c r="A232" s="278"/>
      <c r="B232" s="279" t="str">
        <f t="shared" si="21"/>
        <v>18001800AL/CMW</v>
      </c>
      <c r="C232" s="278">
        <v>1800</v>
      </c>
      <c r="D232" s="278">
        <v>1800</v>
      </c>
      <c r="E232" s="278" t="s">
        <v>940</v>
      </c>
      <c r="F232" s="278"/>
      <c r="G232" s="278" t="s">
        <v>5</v>
      </c>
      <c r="H232" s="290">
        <v>4</v>
      </c>
      <c r="I232" s="280">
        <f t="shared" si="22"/>
        <v>322.48</v>
      </c>
      <c r="J232" s="281">
        <f t="shared" si="23"/>
        <v>365.72</v>
      </c>
      <c r="K232" s="282">
        <f>IF(Notes!$B$9="Domestic",I232, IF(Notes!$B$9="Commercial",J232))*$K$195</f>
        <v>365.72</v>
      </c>
      <c r="L232" s="283">
        <f>(SUM(O232:Q232)+(K232+SUM(M232:Q232))*(INDEX($U$195:$AB$195,MATCH(Notes!$C$16,$U$3:$AB$3,0))-100%))*$L$195</f>
        <v>1488.9955999999997</v>
      </c>
      <c r="M232" s="286"/>
      <c r="N232" s="286"/>
      <c r="O232" s="285">
        <v>1066.3699999999999</v>
      </c>
      <c r="P232" s="311">
        <f t="shared" si="20"/>
        <v>422.62559999999996</v>
      </c>
      <c r="Q232" s="285"/>
      <c r="R232" s="278"/>
      <c r="S232" s="278"/>
      <c r="T232" s="278"/>
      <c r="U232" s="304"/>
    </row>
    <row r="233" spans="1:21" s="305" customFormat="1" ht="21.75" hidden="1" customHeight="1" outlineLevel="1" x14ac:dyDescent="0.25">
      <c r="A233" s="278"/>
      <c r="B233" s="279" t="str">
        <f t="shared" si="21"/>
        <v>18002100AL/CMW</v>
      </c>
      <c r="C233" s="278">
        <v>1800</v>
      </c>
      <c r="D233" s="278">
        <v>2100</v>
      </c>
      <c r="E233" s="278" t="s">
        <v>940</v>
      </c>
      <c r="F233" s="278"/>
      <c r="G233" s="278" t="s">
        <v>5</v>
      </c>
      <c r="H233" s="290">
        <v>4</v>
      </c>
      <c r="I233" s="280">
        <f t="shared" si="22"/>
        <v>322.48</v>
      </c>
      <c r="J233" s="281">
        <f t="shared" si="23"/>
        <v>365.72</v>
      </c>
      <c r="K233" s="282">
        <f>IF(Notes!$B$9="Domestic",I233, IF(Notes!$B$9="Commercial",J233))*$K$195</f>
        <v>365.72</v>
      </c>
      <c r="L233" s="283">
        <f>(SUM(O233:Q233)+(K233+SUM(M233:Q233))*(INDEX($U$195:$AB$195,MATCH(Notes!$C$16,$U$3:$AB$3,0))-100%))*$L$195</f>
        <v>1923.1032</v>
      </c>
      <c r="M233" s="286"/>
      <c r="N233" s="286"/>
      <c r="O233" s="285">
        <v>1430.04</v>
      </c>
      <c r="P233" s="311">
        <f t="shared" si="20"/>
        <v>493.06319999999999</v>
      </c>
      <c r="Q233" s="285"/>
      <c r="R233" s="278"/>
      <c r="S233" s="278"/>
      <c r="T233" s="278"/>
      <c r="U233" s="304"/>
    </row>
    <row r="234" spans="1:21" s="305" customFormat="1" ht="21.75" hidden="1" customHeight="1" outlineLevel="1" x14ac:dyDescent="0.25">
      <c r="A234" s="278"/>
      <c r="B234" s="279" t="str">
        <f t="shared" si="21"/>
        <v>18002400AL/CMW</v>
      </c>
      <c r="C234" s="278">
        <v>1800</v>
      </c>
      <c r="D234" s="278">
        <v>2400</v>
      </c>
      <c r="E234" s="278" t="s">
        <v>940</v>
      </c>
      <c r="F234" s="278"/>
      <c r="G234" s="278" t="s">
        <v>5</v>
      </c>
      <c r="H234" s="290">
        <v>5</v>
      </c>
      <c r="I234" s="280">
        <f t="shared" si="22"/>
        <v>403.1</v>
      </c>
      <c r="J234" s="281">
        <f t="shared" si="23"/>
        <v>457.15000000000003</v>
      </c>
      <c r="K234" s="282">
        <f>IF(Notes!$B$9="Domestic",I234, IF(Notes!$B$9="Commercial",J234))*$K$195</f>
        <v>457.15000000000003</v>
      </c>
      <c r="L234" s="283">
        <f>(SUM(O234:Q234)+(K234+SUM(M234:Q234))*(INDEX($U$195:$AB$195,MATCH(Notes!$C$16,$U$3:$AB$3,0))-100%))*$L$195</f>
        <v>2054.5407999999998</v>
      </c>
      <c r="M234" s="286"/>
      <c r="N234" s="286"/>
      <c r="O234" s="285">
        <v>1491.04</v>
      </c>
      <c r="P234" s="311">
        <f t="shared" si="20"/>
        <v>563.50080000000003</v>
      </c>
      <c r="Q234" s="285"/>
      <c r="R234" s="278"/>
      <c r="S234" s="278"/>
      <c r="T234" s="278"/>
      <c r="U234" s="304"/>
    </row>
    <row r="235" spans="1:21" s="305" customFormat="1" ht="21.75" hidden="1" customHeight="1" outlineLevel="1" x14ac:dyDescent="0.25">
      <c r="A235" s="278"/>
      <c r="B235" s="279" t="str">
        <f t="shared" si="21"/>
        <v>18002700AL/CMW</v>
      </c>
      <c r="C235" s="278">
        <v>1800</v>
      </c>
      <c r="D235" s="278">
        <v>2700</v>
      </c>
      <c r="E235" s="278" t="s">
        <v>940</v>
      </c>
      <c r="F235" s="278"/>
      <c r="G235" s="278" t="s">
        <v>5</v>
      </c>
      <c r="H235" s="290">
        <v>5</v>
      </c>
      <c r="I235" s="280">
        <f t="shared" si="22"/>
        <v>403.1</v>
      </c>
      <c r="J235" s="281">
        <f t="shared" si="23"/>
        <v>457.15000000000003</v>
      </c>
      <c r="K235" s="282">
        <f>IF(Notes!$B$9="Domestic",I235, IF(Notes!$B$9="Commercial",J235))*$K$195</f>
        <v>457.15000000000003</v>
      </c>
      <c r="L235" s="283">
        <f>(SUM(O235:Q235)+(K235+SUM(M235:Q235))*(INDEX($U$195:$AB$195,MATCH(Notes!$C$16,$U$3:$AB$3,0))-100%))*$L$195</f>
        <v>2274.0824000000002</v>
      </c>
      <c r="M235" s="286"/>
      <c r="N235" s="286"/>
      <c r="O235" s="311">
        <f>O234*1.1</f>
        <v>1640.144</v>
      </c>
      <c r="P235" s="311">
        <f t="shared" si="20"/>
        <v>633.9384</v>
      </c>
      <c r="Q235" s="285"/>
      <c r="R235" s="278"/>
      <c r="S235" s="278"/>
      <c r="T235" s="278"/>
      <c r="U235" s="304"/>
    </row>
    <row r="236" spans="1:21" s="305" customFormat="1" ht="21.75" hidden="1" customHeight="1" outlineLevel="1" x14ac:dyDescent="0.25">
      <c r="A236" s="278"/>
      <c r="B236" s="279" t="str">
        <f t="shared" si="21"/>
        <v>2100600AL/CMW</v>
      </c>
      <c r="C236" s="278">
        <v>2100</v>
      </c>
      <c r="D236" s="278">
        <v>600</v>
      </c>
      <c r="E236" s="278" t="s">
        <v>940</v>
      </c>
      <c r="F236" s="278"/>
      <c r="G236" s="278" t="s">
        <v>5</v>
      </c>
      <c r="H236" s="290">
        <v>2</v>
      </c>
      <c r="I236" s="280">
        <f t="shared" si="22"/>
        <v>161.24</v>
      </c>
      <c r="J236" s="281">
        <f t="shared" si="23"/>
        <v>182.86</v>
      </c>
      <c r="K236" s="282">
        <f>IF(Notes!$B$9="Domestic",I236, IF(Notes!$B$9="Commercial",J236))*$K$195</f>
        <v>182.86</v>
      </c>
      <c r="L236" s="283">
        <f>(SUM(O236:Q236)+(K236+SUM(M236:Q236))*(INDEX($U$195:$AB$195,MATCH(Notes!$C$16,$U$3:$AB$3,0))-100%))*$L$195</f>
        <v>738.53440000000001</v>
      </c>
      <c r="M236" s="286"/>
      <c r="N236" s="286"/>
      <c r="O236" s="285">
        <v>574.17999999999995</v>
      </c>
      <c r="P236" s="311">
        <f t="shared" si="20"/>
        <v>164.3544</v>
      </c>
      <c r="Q236" s="285"/>
      <c r="R236" s="278"/>
      <c r="S236" s="278"/>
      <c r="T236" s="278"/>
      <c r="U236" s="304"/>
    </row>
    <row r="237" spans="1:21" s="305" customFormat="1" ht="21.75" hidden="1" customHeight="1" outlineLevel="1" x14ac:dyDescent="0.25">
      <c r="A237" s="278"/>
      <c r="B237" s="279" t="str">
        <f t="shared" si="21"/>
        <v>2100900AL/CMW</v>
      </c>
      <c r="C237" s="278">
        <v>2100</v>
      </c>
      <c r="D237" s="278">
        <v>900</v>
      </c>
      <c r="E237" s="278" t="s">
        <v>940</v>
      </c>
      <c r="F237" s="278"/>
      <c r="G237" s="278" t="s">
        <v>5</v>
      </c>
      <c r="H237" s="290">
        <v>2</v>
      </c>
      <c r="I237" s="280">
        <f t="shared" si="22"/>
        <v>161.24</v>
      </c>
      <c r="J237" s="281">
        <f t="shared" si="23"/>
        <v>182.86</v>
      </c>
      <c r="K237" s="282">
        <f>IF(Notes!$B$9="Domestic",I237, IF(Notes!$B$9="Commercial",J237))*$K$195</f>
        <v>182.86</v>
      </c>
      <c r="L237" s="283">
        <f>(SUM(O237:Q237)+(K237+SUM(M237:Q237))*(INDEX($U$195:$AB$195,MATCH(Notes!$C$16,$U$3:$AB$3,0))-100%))*$L$195</f>
        <v>1121.5516</v>
      </c>
      <c r="M237" s="286"/>
      <c r="N237" s="286"/>
      <c r="O237" s="285">
        <v>875.02</v>
      </c>
      <c r="P237" s="311">
        <f t="shared" si="20"/>
        <v>246.53159999999997</v>
      </c>
      <c r="Q237" s="285"/>
      <c r="R237" s="278"/>
      <c r="S237" s="278"/>
      <c r="T237" s="278"/>
      <c r="U237" s="304"/>
    </row>
    <row r="238" spans="1:21" s="305" customFormat="1" ht="21.75" hidden="1" customHeight="1" outlineLevel="1" x14ac:dyDescent="0.25">
      <c r="A238" s="278"/>
      <c r="B238" s="279" t="str">
        <f t="shared" si="21"/>
        <v>21001200AL/CMW</v>
      </c>
      <c r="C238" s="278">
        <v>2100</v>
      </c>
      <c r="D238" s="278">
        <v>1200</v>
      </c>
      <c r="E238" s="278" t="s">
        <v>940</v>
      </c>
      <c r="F238" s="278"/>
      <c r="G238" s="278" t="s">
        <v>5</v>
      </c>
      <c r="H238" s="290">
        <v>3</v>
      </c>
      <c r="I238" s="280">
        <f t="shared" si="22"/>
        <v>241.86</v>
      </c>
      <c r="J238" s="281">
        <f t="shared" si="23"/>
        <v>274.29000000000002</v>
      </c>
      <c r="K238" s="282">
        <f>IF(Notes!$B$9="Domestic",I238, IF(Notes!$B$9="Commercial",J238))*$K$195</f>
        <v>274.29000000000002</v>
      </c>
      <c r="L238" s="283">
        <f>(SUM(O238:Q238)+(K238+SUM(M238:Q238))*(INDEX($U$195:$AB$195,MATCH(Notes!$C$16,$U$3:$AB$3,0))-100%))*$L$195</f>
        <v>1263.4488000000001</v>
      </c>
      <c r="M238" s="286"/>
      <c r="N238" s="286"/>
      <c r="O238" s="285">
        <v>934.74</v>
      </c>
      <c r="P238" s="311">
        <f t="shared" si="20"/>
        <v>328.7088</v>
      </c>
      <c r="Q238" s="285"/>
      <c r="R238" s="278"/>
      <c r="S238" s="278"/>
      <c r="T238" s="278"/>
      <c r="U238" s="304"/>
    </row>
    <row r="239" spans="1:21" s="305" customFormat="1" ht="21.75" hidden="1" customHeight="1" outlineLevel="1" x14ac:dyDescent="0.25">
      <c r="A239" s="278"/>
      <c r="B239" s="279" t="str">
        <f t="shared" si="21"/>
        <v>21001500AL/CMW</v>
      </c>
      <c r="C239" s="278">
        <v>2100</v>
      </c>
      <c r="D239" s="278">
        <v>1500</v>
      </c>
      <c r="E239" s="278" t="s">
        <v>940</v>
      </c>
      <c r="F239" s="278"/>
      <c r="G239" s="278" t="s">
        <v>5</v>
      </c>
      <c r="H239" s="290">
        <v>4</v>
      </c>
      <c r="I239" s="280">
        <f t="shared" si="22"/>
        <v>322.48</v>
      </c>
      <c r="J239" s="281">
        <f t="shared" si="23"/>
        <v>365.72</v>
      </c>
      <c r="K239" s="282">
        <f>IF(Notes!$B$9="Domestic",I239, IF(Notes!$B$9="Commercial",J239))*$K$195</f>
        <v>365.72</v>
      </c>
      <c r="L239" s="283">
        <f>(SUM(O239:Q239)+(K239+SUM(M239:Q239))*(INDEX($U$195:$AB$195,MATCH(Notes!$C$16,$U$3:$AB$3,0))-100%))*$L$195</f>
        <v>1405.6959999999999</v>
      </c>
      <c r="M239" s="286"/>
      <c r="N239" s="286"/>
      <c r="O239" s="285">
        <v>994.81</v>
      </c>
      <c r="P239" s="311">
        <f t="shared" si="20"/>
        <v>410.88599999999997</v>
      </c>
      <c r="Q239" s="285"/>
      <c r="R239" s="278"/>
      <c r="S239" s="278"/>
      <c r="T239" s="278"/>
      <c r="U239" s="304"/>
    </row>
    <row r="240" spans="1:21" s="305" customFormat="1" ht="21.75" hidden="1" customHeight="1" outlineLevel="1" x14ac:dyDescent="0.25">
      <c r="A240" s="278"/>
      <c r="B240" s="279" t="str">
        <f t="shared" si="21"/>
        <v>21001800AL/CMW</v>
      </c>
      <c r="C240" s="278">
        <v>2100</v>
      </c>
      <c r="D240" s="278">
        <v>1800</v>
      </c>
      <c r="E240" s="278" t="s">
        <v>940</v>
      </c>
      <c r="F240" s="278"/>
      <c r="G240" s="278" t="s">
        <v>5</v>
      </c>
      <c r="H240" s="290">
        <v>4</v>
      </c>
      <c r="I240" s="280">
        <f t="shared" si="22"/>
        <v>322.48</v>
      </c>
      <c r="J240" s="281">
        <f t="shared" si="23"/>
        <v>365.72</v>
      </c>
      <c r="K240" s="282">
        <f>IF(Notes!$B$9="Domestic",I240, IF(Notes!$B$9="Commercial",J240))*$K$195</f>
        <v>365.72</v>
      </c>
      <c r="L240" s="283">
        <f>(SUM(O240:Q240)+(K240+SUM(M240:Q240))*(INDEX($U$195:$AB$195,MATCH(Notes!$C$16,$U$3:$AB$3,0))-100%))*$L$195</f>
        <v>1525.3631999999998</v>
      </c>
      <c r="M240" s="286"/>
      <c r="N240" s="286"/>
      <c r="O240" s="285">
        <v>1032.3</v>
      </c>
      <c r="P240" s="311">
        <f t="shared" si="20"/>
        <v>493.06319999999994</v>
      </c>
      <c r="Q240" s="285"/>
      <c r="R240" s="278"/>
      <c r="S240" s="278"/>
      <c r="T240" s="278"/>
      <c r="U240" s="304"/>
    </row>
    <row r="241" spans="1:21" s="305" customFormat="1" ht="21.75" hidden="1" customHeight="1" outlineLevel="1" x14ac:dyDescent="0.25">
      <c r="A241" s="278"/>
      <c r="B241" s="279" t="str">
        <f t="shared" si="21"/>
        <v>21002100AL/CMW</v>
      </c>
      <c r="C241" s="278">
        <v>2100</v>
      </c>
      <c r="D241" s="278">
        <v>2100</v>
      </c>
      <c r="E241" s="278" t="s">
        <v>940</v>
      </c>
      <c r="F241" s="278"/>
      <c r="G241" s="278" t="s">
        <v>5</v>
      </c>
      <c r="H241" s="290">
        <v>5</v>
      </c>
      <c r="I241" s="280">
        <f t="shared" si="22"/>
        <v>403.1</v>
      </c>
      <c r="J241" s="281">
        <f t="shared" si="23"/>
        <v>457.15000000000003</v>
      </c>
      <c r="K241" s="282">
        <f>IF(Notes!$B$9="Domestic",I241, IF(Notes!$B$9="Commercial",J241))*$K$195</f>
        <v>457.15000000000003</v>
      </c>
      <c r="L241" s="283">
        <f>(SUM(O241:Q241)+(K241+SUM(M241:Q241))*(INDEX($U$195:$AB$195,MATCH(Notes!$C$16,$U$3:$AB$3,0))-100%))*$L$195</f>
        <v>2096.4103999999998</v>
      </c>
      <c r="M241" s="286"/>
      <c r="N241" s="286"/>
      <c r="O241" s="285">
        <v>1521.17</v>
      </c>
      <c r="P241" s="311">
        <f t="shared" si="20"/>
        <v>575.24039999999991</v>
      </c>
      <c r="Q241" s="285"/>
      <c r="R241" s="278"/>
      <c r="S241" s="278"/>
      <c r="T241" s="278"/>
      <c r="U241" s="304"/>
    </row>
    <row r="242" spans="1:21" s="305" customFormat="1" ht="21.75" hidden="1" customHeight="1" outlineLevel="1" x14ac:dyDescent="0.25">
      <c r="A242" s="278"/>
      <c r="B242" s="279" t="str">
        <f t="shared" si="21"/>
        <v>21002400AL/CMW</v>
      </c>
      <c r="C242" s="278">
        <v>2100</v>
      </c>
      <c r="D242" s="278">
        <v>2400</v>
      </c>
      <c r="E242" s="278" t="s">
        <v>940</v>
      </c>
      <c r="F242" s="278"/>
      <c r="G242" s="278" t="s">
        <v>5</v>
      </c>
      <c r="H242" s="290">
        <v>5</v>
      </c>
      <c r="I242" s="280">
        <f t="shared" si="22"/>
        <v>403.1</v>
      </c>
      <c r="J242" s="281">
        <f t="shared" si="23"/>
        <v>457.15000000000003</v>
      </c>
      <c r="K242" s="282">
        <f>IF(Notes!$B$9="Domestic",I242, IF(Notes!$B$9="Commercial",J242))*$K$195</f>
        <v>457.15000000000003</v>
      </c>
      <c r="L242" s="283">
        <f>(SUM(O242:Q242)+(K242+SUM(M242:Q242))*(INDEX($U$195:$AB$195,MATCH(Notes!$C$16,$U$3:$AB$3,0))-100%))*$L$195</f>
        <v>2298.2775999999999</v>
      </c>
      <c r="M242" s="286"/>
      <c r="N242" s="286"/>
      <c r="O242" s="285">
        <v>1640.86</v>
      </c>
      <c r="P242" s="311">
        <f t="shared" si="20"/>
        <v>657.41759999999999</v>
      </c>
      <c r="Q242" s="285"/>
      <c r="R242" s="278"/>
      <c r="S242" s="278"/>
      <c r="T242" s="278"/>
      <c r="U242" s="304"/>
    </row>
    <row r="243" spans="1:21" s="305" customFormat="1" ht="21.75" hidden="1" customHeight="1" outlineLevel="1" x14ac:dyDescent="0.25">
      <c r="A243" s="278"/>
      <c r="B243" s="279" t="str">
        <f t="shared" si="21"/>
        <v>21002700AL/CMW</v>
      </c>
      <c r="C243" s="278">
        <v>2100</v>
      </c>
      <c r="D243" s="278">
        <v>2700</v>
      </c>
      <c r="E243" s="278" t="s">
        <v>940</v>
      </c>
      <c r="F243" s="278"/>
      <c r="G243" s="278" t="s">
        <v>5</v>
      </c>
      <c r="H243" s="290">
        <v>6</v>
      </c>
      <c r="I243" s="280">
        <f t="shared" si="22"/>
        <v>483.72</v>
      </c>
      <c r="J243" s="281">
        <f t="shared" si="23"/>
        <v>548.58000000000004</v>
      </c>
      <c r="K243" s="282">
        <f>IF(Notes!$B$9="Domestic",I243, IF(Notes!$B$9="Commercial",J243))*$K$195</f>
        <v>548.58000000000004</v>
      </c>
      <c r="L243" s="283">
        <f>(SUM(O243:Q243)+(K243+SUM(M243:Q243))*(INDEX($U$195:$AB$195,MATCH(Notes!$C$16,$U$3:$AB$3,0))-100%))*$L$195</f>
        <v>2544.5408000000002</v>
      </c>
      <c r="M243" s="286"/>
      <c r="N243" s="286"/>
      <c r="O243" s="311">
        <f>O242*1.1</f>
        <v>1804.9460000000001</v>
      </c>
      <c r="P243" s="311">
        <f t="shared" si="20"/>
        <v>739.59479999999996</v>
      </c>
      <c r="Q243" s="285"/>
      <c r="R243" s="278"/>
      <c r="S243" s="278"/>
      <c r="T243" s="278"/>
      <c r="U243" s="304"/>
    </row>
    <row r="244" spans="1:21" s="305" customFormat="1" ht="21.75" hidden="1" customHeight="1" outlineLevel="1" x14ac:dyDescent="0.25">
      <c r="A244" s="278"/>
      <c r="B244" s="279" t="str">
        <f t="shared" si="21"/>
        <v>2400600AL/CMW</v>
      </c>
      <c r="C244" s="278">
        <v>2400</v>
      </c>
      <c r="D244" s="278">
        <v>600</v>
      </c>
      <c r="E244" s="278" t="s">
        <v>940</v>
      </c>
      <c r="F244" s="278"/>
      <c r="G244" s="278" t="s">
        <v>5</v>
      </c>
      <c r="H244" s="290">
        <v>2</v>
      </c>
      <c r="I244" s="280">
        <f t="shared" si="22"/>
        <v>161.24</v>
      </c>
      <c r="J244" s="281">
        <f t="shared" si="23"/>
        <v>182.86</v>
      </c>
      <c r="K244" s="282">
        <f>IF(Notes!$B$9="Domestic",I244, IF(Notes!$B$9="Commercial",J244))*$K$195</f>
        <v>182.86</v>
      </c>
      <c r="L244" s="283">
        <f>(SUM(O244:Q244)+(K244+SUM(M244:Q244))*(INDEX($U$195:$AB$195,MATCH(Notes!$C$16,$U$3:$AB$3,0))-100%))*$L$195</f>
        <v>931.59359999999992</v>
      </c>
      <c r="M244" s="286"/>
      <c r="N244" s="286"/>
      <c r="O244" s="311">
        <f>O202</f>
        <v>743.76</v>
      </c>
      <c r="P244" s="311">
        <f t="shared" si="20"/>
        <v>187.83359999999999</v>
      </c>
      <c r="Q244" s="285"/>
      <c r="R244" s="278"/>
      <c r="S244" s="278"/>
      <c r="T244" s="278"/>
      <c r="U244" s="304"/>
    </row>
    <row r="245" spans="1:21" s="305" customFormat="1" ht="21.75" hidden="1" customHeight="1" outlineLevel="1" x14ac:dyDescent="0.25">
      <c r="A245" s="278"/>
      <c r="B245" s="279" t="str">
        <f t="shared" si="21"/>
        <v>2400900AL/CMW</v>
      </c>
      <c r="C245" s="278">
        <v>2400</v>
      </c>
      <c r="D245" s="278">
        <v>900</v>
      </c>
      <c r="E245" s="278" t="s">
        <v>940</v>
      </c>
      <c r="F245" s="278"/>
      <c r="G245" s="278" t="s">
        <v>5</v>
      </c>
      <c r="H245" s="290">
        <v>4</v>
      </c>
      <c r="I245" s="280">
        <f t="shared" si="22"/>
        <v>322.48</v>
      </c>
      <c r="J245" s="281">
        <f t="shared" si="23"/>
        <v>365.72</v>
      </c>
      <c r="K245" s="282">
        <f>IF(Notes!$B$9="Domestic",I245, IF(Notes!$B$9="Commercial",J245))*$K$195</f>
        <v>365.72</v>
      </c>
      <c r="L245" s="283">
        <f>(SUM(O245:Q245)+(K245+SUM(M245:Q245))*(INDEX($U$195:$AB$195,MATCH(Notes!$C$16,$U$3:$AB$3,0))-100%))*$L$195</f>
        <v>1182.4104</v>
      </c>
      <c r="M245" s="286"/>
      <c r="N245" s="286"/>
      <c r="O245" s="311">
        <f>O210</f>
        <v>900.66</v>
      </c>
      <c r="P245" s="311">
        <f t="shared" si="20"/>
        <v>281.75039999999996</v>
      </c>
      <c r="Q245" s="285"/>
      <c r="R245" s="278"/>
      <c r="S245" s="278"/>
      <c r="T245" s="278"/>
      <c r="U245" s="304"/>
    </row>
    <row r="246" spans="1:21" s="305" customFormat="1" ht="21.75" hidden="1" customHeight="1" outlineLevel="1" x14ac:dyDescent="0.25">
      <c r="A246" s="278"/>
      <c r="B246" s="279" t="str">
        <f t="shared" si="21"/>
        <v>24001200AL/CMW</v>
      </c>
      <c r="C246" s="278">
        <v>2400</v>
      </c>
      <c r="D246" s="278">
        <v>1200</v>
      </c>
      <c r="E246" s="278" t="s">
        <v>940</v>
      </c>
      <c r="F246" s="278"/>
      <c r="G246" s="278" t="s">
        <v>5</v>
      </c>
      <c r="H246" s="290">
        <v>4</v>
      </c>
      <c r="I246" s="280">
        <f t="shared" si="22"/>
        <v>322.48</v>
      </c>
      <c r="J246" s="281">
        <f t="shared" si="23"/>
        <v>365.72</v>
      </c>
      <c r="K246" s="282">
        <f>IF(Notes!$B$9="Domestic",I246, IF(Notes!$B$9="Commercial",J246))*$K$195</f>
        <v>365.72</v>
      </c>
      <c r="L246" s="283">
        <f>(SUM(O246:Q246)+(K246+SUM(M246:Q246))*(INDEX($U$195:$AB$195,MATCH(Notes!$C$16,$U$3:$AB$3,0))-100%))*$L$195</f>
        <v>1410.8672000000001</v>
      </c>
      <c r="M246" s="286"/>
      <c r="N246" s="286"/>
      <c r="O246" s="311">
        <f>O218</f>
        <v>1035.2</v>
      </c>
      <c r="P246" s="311">
        <f t="shared" si="20"/>
        <v>375.66719999999998</v>
      </c>
      <c r="Q246" s="285"/>
      <c r="R246" s="278"/>
      <c r="S246" s="278"/>
      <c r="T246" s="278"/>
      <c r="U246" s="304"/>
    </row>
    <row r="247" spans="1:21" s="305" customFormat="1" ht="21.75" hidden="1" customHeight="1" outlineLevel="1" x14ac:dyDescent="0.25">
      <c r="A247" s="278"/>
      <c r="B247" s="279" t="str">
        <f t="shared" si="21"/>
        <v>24001500AL/CMW</v>
      </c>
      <c r="C247" s="278">
        <v>2400</v>
      </c>
      <c r="D247" s="278">
        <v>1500</v>
      </c>
      <c r="E247" s="278" t="s">
        <v>940</v>
      </c>
      <c r="F247" s="278"/>
      <c r="G247" s="278" t="s">
        <v>5</v>
      </c>
      <c r="H247" s="290">
        <v>4</v>
      </c>
      <c r="I247" s="280">
        <f t="shared" si="22"/>
        <v>322.48</v>
      </c>
      <c r="J247" s="281">
        <f t="shared" si="23"/>
        <v>365.72</v>
      </c>
      <c r="K247" s="282">
        <f>IF(Notes!$B$9="Domestic",I247, IF(Notes!$B$9="Commercial",J247))*$K$195</f>
        <v>365.72</v>
      </c>
      <c r="L247" s="283">
        <f>(SUM(O247:Q247)+(K247+SUM(M247:Q247))*(INDEX($U$195:$AB$195,MATCH(Notes!$C$16,$U$3:$AB$3,0))-100%))*$L$195</f>
        <v>1618.0840000000001</v>
      </c>
      <c r="M247" s="286"/>
      <c r="N247" s="286"/>
      <c r="O247" s="311">
        <f>O226</f>
        <v>1148.5</v>
      </c>
      <c r="P247" s="311">
        <f t="shared" si="20"/>
        <v>469.584</v>
      </c>
      <c r="Q247" s="285"/>
      <c r="R247" s="278"/>
      <c r="S247" s="278"/>
      <c r="T247" s="278"/>
      <c r="U247" s="304"/>
    </row>
    <row r="248" spans="1:21" s="305" customFormat="1" ht="21.75" hidden="1" customHeight="1" outlineLevel="1" x14ac:dyDescent="0.25">
      <c r="A248" s="278"/>
      <c r="B248" s="279" t="str">
        <f t="shared" si="21"/>
        <v>24001800AL/CMW</v>
      </c>
      <c r="C248" s="278">
        <v>2400</v>
      </c>
      <c r="D248" s="278">
        <v>1800</v>
      </c>
      <c r="E248" s="278" t="s">
        <v>940</v>
      </c>
      <c r="F248" s="278"/>
      <c r="G248" s="278" t="s">
        <v>5</v>
      </c>
      <c r="H248" s="290">
        <v>5</v>
      </c>
      <c r="I248" s="280">
        <f t="shared" si="22"/>
        <v>403.1</v>
      </c>
      <c r="J248" s="281">
        <f t="shared" si="23"/>
        <v>457.15000000000003</v>
      </c>
      <c r="K248" s="282">
        <f>IF(Notes!$B$9="Domestic",I248, IF(Notes!$B$9="Commercial",J248))*$K$195</f>
        <v>457.15000000000003</v>
      </c>
      <c r="L248" s="283">
        <f>(SUM(O248:Q248)+(K248+SUM(M248:Q248))*(INDEX($U$195:$AB$195,MATCH(Notes!$C$16,$U$3:$AB$3,0))-100%))*$L$195</f>
        <v>2054.5407999999998</v>
      </c>
      <c r="M248" s="286"/>
      <c r="N248" s="286"/>
      <c r="O248" s="311">
        <f>O234</f>
        <v>1491.04</v>
      </c>
      <c r="P248" s="311">
        <f t="shared" si="20"/>
        <v>563.50079999999991</v>
      </c>
      <c r="Q248" s="285"/>
      <c r="R248" s="278"/>
      <c r="S248" s="278"/>
      <c r="T248" s="278"/>
      <c r="U248" s="304"/>
    </row>
    <row r="249" spans="1:21" s="305" customFormat="1" ht="21.75" hidden="1" customHeight="1" outlineLevel="1" x14ac:dyDescent="0.25">
      <c r="A249" s="278"/>
      <c r="B249" s="279" t="str">
        <f t="shared" si="21"/>
        <v>24002100AL/CMW</v>
      </c>
      <c r="C249" s="278">
        <v>2400</v>
      </c>
      <c r="D249" s="278">
        <v>2100</v>
      </c>
      <c r="E249" s="278" t="s">
        <v>940</v>
      </c>
      <c r="F249" s="278"/>
      <c r="G249" s="278" t="s">
        <v>5</v>
      </c>
      <c r="H249" s="290">
        <v>5</v>
      </c>
      <c r="I249" s="280">
        <f t="shared" si="22"/>
        <v>403.1</v>
      </c>
      <c r="J249" s="281">
        <f t="shared" si="23"/>
        <v>457.15000000000003</v>
      </c>
      <c r="K249" s="282">
        <f>IF(Notes!$B$9="Domestic",I249, IF(Notes!$B$9="Commercial",J249))*$K$195</f>
        <v>457.15000000000003</v>
      </c>
      <c r="L249" s="283">
        <f>(SUM(O249:Q249)+(K249+SUM(M249:Q249))*(INDEX($U$195:$AB$195,MATCH(Notes!$C$16,$U$3:$AB$3,0))-100%))*$L$195</f>
        <v>2298.2775999999999</v>
      </c>
      <c r="M249" s="286"/>
      <c r="N249" s="286"/>
      <c r="O249" s="311">
        <f>O242</f>
        <v>1640.86</v>
      </c>
      <c r="P249" s="311">
        <f t="shared" si="20"/>
        <v>657.41759999999999</v>
      </c>
      <c r="Q249" s="285"/>
      <c r="R249" s="278"/>
      <c r="S249" s="278"/>
      <c r="T249" s="278"/>
      <c r="U249" s="304"/>
    </row>
    <row r="250" spans="1:21" s="305" customFormat="1" ht="21.75" hidden="1" customHeight="1" outlineLevel="1" x14ac:dyDescent="0.25">
      <c r="A250" s="278"/>
      <c r="B250" s="279" t="str">
        <f t="shared" si="21"/>
        <v>24002400AL/CMW</v>
      </c>
      <c r="C250" s="278">
        <v>2400</v>
      </c>
      <c r="D250" s="278">
        <v>2400</v>
      </c>
      <c r="E250" s="278" t="s">
        <v>940</v>
      </c>
      <c r="F250" s="278"/>
      <c r="G250" s="278" t="s">
        <v>5</v>
      </c>
      <c r="H250" s="290">
        <v>6</v>
      </c>
      <c r="I250" s="280">
        <f t="shared" si="22"/>
        <v>483.72</v>
      </c>
      <c r="J250" s="281">
        <f t="shared" si="23"/>
        <v>548.58000000000004</v>
      </c>
      <c r="K250" s="282">
        <f>IF(Notes!$B$9="Domestic",I250, IF(Notes!$B$9="Commercial",J250))*$K$195</f>
        <v>548.58000000000004</v>
      </c>
      <c r="L250" s="283">
        <f>(SUM(O250:Q250)+(K250+SUM(M250:Q250))*(INDEX($U$195:$AB$195,MATCH(Notes!$C$16,$U$3:$AB$3,0))-100%))*$L$195</f>
        <v>2542.0144</v>
      </c>
      <c r="M250" s="286"/>
      <c r="N250" s="286"/>
      <c r="O250" s="311">
        <f>O242+O242-O234</f>
        <v>1790.6799999999998</v>
      </c>
      <c r="P250" s="311">
        <f t="shared" si="20"/>
        <v>751.33439999999996</v>
      </c>
      <c r="Q250" s="285"/>
      <c r="R250" s="278"/>
      <c r="S250" s="278"/>
      <c r="T250" s="278"/>
      <c r="U250" s="304"/>
    </row>
    <row r="251" spans="1:21" s="305" customFormat="1" ht="21.75" hidden="1" customHeight="1" outlineLevel="1" x14ac:dyDescent="0.25">
      <c r="A251" s="278"/>
      <c r="B251" s="279" t="str">
        <f t="shared" si="21"/>
        <v>24002700AL/CMW</v>
      </c>
      <c r="C251" s="278">
        <v>2400</v>
      </c>
      <c r="D251" s="278">
        <v>2700</v>
      </c>
      <c r="E251" s="278" t="s">
        <v>940</v>
      </c>
      <c r="F251" s="278"/>
      <c r="G251" s="278" t="s">
        <v>5</v>
      </c>
      <c r="H251" s="290">
        <v>6</v>
      </c>
      <c r="I251" s="280">
        <f t="shared" si="22"/>
        <v>483.72</v>
      </c>
      <c r="J251" s="281">
        <f t="shared" si="23"/>
        <v>548.58000000000004</v>
      </c>
      <c r="K251" s="282">
        <f>IF(Notes!$B$9="Domestic",I251, IF(Notes!$B$9="Commercial",J251))*$K$195</f>
        <v>548.58000000000004</v>
      </c>
      <c r="L251" s="283">
        <f>(SUM(O251:Q251)+(K251+SUM(M251:Q251))*(INDEX($U$195:$AB$195,MATCH(Notes!$C$16,$U$3:$AB$3,0))-100%))*$L$195</f>
        <v>2814.9992000000002</v>
      </c>
      <c r="M251" s="286"/>
      <c r="N251" s="286"/>
      <c r="O251" s="311">
        <f>O243+O243-O235</f>
        <v>1969.7480000000003</v>
      </c>
      <c r="P251" s="311">
        <f t="shared" si="20"/>
        <v>845.25119999999993</v>
      </c>
      <c r="Q251" s="285"/>
      <c r="R251" s="278"/>
      <c r="S251" s="278"/>
      <c r="T251" s="278"/>
      <c r="U251" s="304"/>
    </row>
    <row r="252" spans="1:21" s="305" customFormat="1" ht="21.75" hidden="1" customHeight="1" outlineLevel="1" x14ac:dyDescent="0.25">
      <c r="A252" s="278"/>
      <c r="B252" s="279" t="str">
        <f t="shared" si="21"/>
        <v>2700600AL/CMW</v>
      </c>
      <c r="C252" s="278">
        <v>2700</v>
      </c>
      <c r="D252" s="278">
        <v>600</v>
      </c>
      <c r="E252" s="278" t="s">
        <v>940</v>
      </c>
      <c r="F252" s="278"/>
      <c r="G252" s="278" t="s">
        <v>5</v>
      </c>
      <c r="H252" s="290">
        <v>4</v>
      </c>
      <c r="I252" s="280">
        <f t="shared" si="22"/>
        <v>322.48</v>
      </c>
      <c r="J252" s="281">
        <f t="shared" si="23"/>
        <v>365.72</v>
      </c>
      <c r="K252" s="282">
        <f>IF(Notes!$B$9="Domestic",I252, IF(Notes!$B$9="Commercial",J252))*$K$195</f>
        <v>365.72</v>
      </c>
      <c r="L252" s="283">
        <f>(SUM(O252:Q252)+(K252+SUM(M252:Q252))*(INDEX($U$195:$AB$195,MATCH(Notes!$C$16,$U$3:$AB$3,0))-100%))*$L$195</f>
        <v>1029.4488000000001</v>
      </c>
      <c r="M252" s="286"/>
      <c r="N252" s="286"/>
      <c r="O252" s="311">
        <f>O203</f>
        <v>818.13600000000008</v>
      </c>
      <c r="P252" s="311">
        <f t="shared" si="20"/>
        <v>211.31279999999998</v>
      </c>
      <c r="Q252" s="285"/>
      <c r="R252" s="278"/>
      <c r="S252" s="278"/>
      <c r="T252" s="278"/>
      <c r="U252" s="304"/>
    </row>
    <row r="253" spans="1:21" s="305" customFormat="1" ht="21.75" hidden="1" customHeight="1" outlineLevel="1" x14ac:dyDescent="0.25">
      <c r="A253" s="278"/>
      <c r="B253" s="279" t="str">
        <f t="shared" si="21"/>
        <v>2700900AL/CMW</v>
      </c>
      <c r="C253" s="278">
        <v>2700</v>
      </c>
      <c r="D253" s="278">
        <v>900</v>
      </c>
      <c r="E253" s="278" t="s">
        <v>940</v>
      </c>
      <c r="F253" s="278"/>
      <c r="G253" s="278" t="s">
        <v>5</v>
      </c>
      <c r="H253" s="290">
        <v>4</v>
      </c>
      <c r="I253" s="280">
        <f t="shared" si="22"/>
        <v>322.48</v>
      </c>
      <c r="J253" s="281">
        <f t="shared" si="23"/>
        <v>365.72</v>
      </c>
      <c r="K253" s="282">
        <f>IF(Notes!$B$9="Domestic",I253, IF(Notes!$B$9="Commercial",J253))*$K$195</f>
        <v>365.72</v>
      </c>
      <c r="L253" s="283">
        <f>(SUM(O253:Q253)+(K253+SUM(M253:Q253))*(INDEX($U$195:$AB$195,MATCH(Notes!$C$16,$U$3:$AB$3,0))-100%))*$L$195</f>
        <v>1307.6952000000001</v>
      </c>
      <c r="M253" s="286"/>
      <c r="N253" s="286"/>
      <c r="O253" s="311">
        <f>O211</f>
        <v>990.726</v>
      </c>
      <c r="P253" s="311">
        <f t="shared" si="20"/>
        <v>316.9692</v>
      </c>
      <c r="Q253" s="285"/>
      <c r="R253" s="278"/>
      <c r="S253" s="278"/>
      <c r="T253" s="278"/>
      <c r="U253" s="304"/>
    </row>
    <row r="254" spans="1:21" s="305" customFormat="1" ht="21.75" hidden="1" customHeight="1" outlineLevel="1" x14ac:dyDescent="0.25">
      <c r="A254" s="278"/>
      <c r="B254" s="279" t="str">
        <f t="shared" si="21"/>
        <v>27001200AL/CMW</v>
      </c>
      <c r="C254" s="278">
        <v>2700</v>
      </c>
      <c r="D254" s="278">
        <v>1200</v>
      </c>
      <c r="E254" s="278" t="s">
        <v>940</v>
      </c>
      <c r="F254" s="278"/>
      <c r="G254" s="278" t="s">
        <v>5</v>
      </c>
      <c r="H254" s="290">
        <v>4</v>
      </c>
      <c r="I254" s="280">
        <f t="shared" si="22"/>
        <v>322.48</v>
      </c>
      <c r="J254" s="281">
        <f t="shared" si="23"/>
        <v>365.72</v>
      </c>
      <c r="K254" s="282">
        <f>IF(Notes!$B$9="Domestic",I254, IF(Notes!$B$9="Commercial",J254))*$K$195</f>
        <v>365.72</v>
      </c>
      <c r="L254" s="283">
        <f>(SUM(O254:Q254)+(K254+SUM(M254:Q254))*(INDEX($U$195:$AB$195,MATCH(Notes!$C$16,$U$3:$AB$3,0))-100%))*$L$195</f>
        <v>1561.3456000000001</v>
      </c>
      <c r="M254" s="286"/>
      <c r="N254" s="286"/>
      <c r="O254" s="311">
        <f>O219</f>
        <v>1138.7200000000003</v>
      </c>
      <c r="P254" s="311">
        <f t="shared" si="20"/>
        <v>422.62559999999996</v>
      </c>
      <c r="Q254" s="285"/>
      <c r="R254" s="278"/>
      <c r="S254" s="278"/>
      <c r="T254" s="278"/>
      <c r="U254" s="304"/>
    </row>
    <row r="255" spans="1:21" s="305" customFormat="1" ht="21.75" hidden="1" customHeight="1" outlineLevel="1" x14ac:dyDescent="0.25">
      <c r="A255" s="278"/>
      <c r="B255" s="279" t="str">
        <f t="shared" si="21"/>
        <v>27001500AL/CMW</v>
      </c>
      <c r="C255" s="278">
        <v>2700</v>
      </c>
      <c r="D255" s="278">
        <v>1500</v>
      </c>
      <c r="E255" s="278" t="s">
        <v>940</v>
      </c>
      <c r="F255" s="278"/>
      <c r="G255" s="278" t="s">
        <v>5</v>
      </c>
      <c r="H255" s="290">
        <v>5</v>
      </c>
      <c r="I255" s="280">
        <f t="shared" si="22"/>
        <v>403.1</v>
      </c>
      <c r="J255" s="281">
        <f t="shared" si="23"/>
        <v>457.15000000000003</v>
      </c>
      <c r="K255" s="282">
        <f>IF(Notes!$B$9="Domestic",I255, IF(Notes!$B$9="Commercial",J255))*$K$195</f>
        <v>457.15000000000003</v>
      </c>
      <c r="L255" s="283">
        <f>(SUM(O255:Q255)+(K255+SUM(M255:Q255))*(INDEX($U$195:$AB$195,MATCH(Notes!$C$16,$U$3:$AB$3,0))-100%))*$L$195</f>
        <v>1791.6320000000001</v>
      </c>
      <c r="M255" s="286"/>
      <c r="N255" s="286"/>
      <c r="O255" s="311">
        <f>O227</f>
        <v>1263.3500000000001</v>
      </c>
      <c r="P255" s="311">
        <f t="shared" si="20"/>
        <v>528.28200000000004</v>
      </c>
      <c r="Q255" s="285"/>
      <c r="R255" s="278"/>
      <c r="S255" s="278"/>
      <c r="T255" s="278"/>
      <c r="U255" s="304"/>
    </row>
    <row r="256" spans="1:21" s="305" customFormat="1" ht="21.75" hidden="1" customHeight="1" outlineLevel="1" x14ac:dyDescent="0.25">
      <c r="A256" s="278"/>
      <c r="B256" s="279" t="str">
        <f t="shared" si="21"/>
        <v>27001800AL/CMW</v>
      </c>
      <c r="C256" s="278">
        <v>2700</v>
      </c>
      <c r="D256" s="278">
        <v>1800</v>
      </c>
      <c r="E256" s="278" t="s">
        <v>940</v>
      </c>
      <c r="F256" s="278"/>
      <c r="G256" s="278" t="s">
        <v>5</v>
      </c>
      <c r="H256" s="290">
        <v>5</v>
      </c>
      <c r="I256" s="280">
        <f t="shared" si="22"/>
        <v>403.1</v>
      </c>
      <c r="J256" s="281">
        <f t="shared" si="23"/>
        <v>457.15000000000003</v>
      </c>
      <c r="K256" s="282">
        <f>IF(Notes!$B$9="Domestic",I256, IF(Notes!$B$9="Commercial",J256))*$K$195</f>
        <v>457.15000000000003</v>
      </c>
      <c r="L256" s="283">
        <f>(SUM(O256:Q256)+(K256+SUM(M256:Q256))*(INDEX($U$195:$AB$195,MATCH(Notes!$C$16,$U$3:$AB$3,0))-100%))*$L$195</f>
        <v>2274.0824000000002</v>
      </c>
      <c r="M256" s="286"/>
      <c r="N256" s="286"/>
      <c r="O256" s="311">
        <f>O235</f>
        <v>1640.144</v>
      </c>
      <c r="P256" s="311">
        <f t="shared" si="20"/>
        <v>633.9384</v>
      </c>
      <c r="Q256" s="285"/>
      <c r="R256" s="278"/>
      <c r="S256" s="278"/>
      <c r="T256" s="278"/>
      <c r="U256" s="304"/>
    </row>
    <row r="257" spans="1:28" s="305" customFormat="1" ht="21.75" hidden="1" customHeight="1" outlineLevel="1" x14ac:dyDescent="0.25">
      <c r="A257" s="278"/>
      <c r="B257" s="279" t="str">
        <f t="shared" si="21"/>
        <v>27002100AL/CMW</v>
      </c>
      <c r="C257" s="278">
        <v>2700</v>
      </c>
      <c r="D257" s="278">
        <v>2100</v>
      </c>
      <c r="E257" s="278" t="s">
        <v>940</v>
      </c>
      <c r="F257" s="278"/>
      <c r="G257" s="278" t="s">
        <v>5</v>
      </c>
      <c r="H257" s="290">
        <v>6</v>
      </c>
      <c r="I257" s="280">
        <f t="shared" si="22"/>
        <v>483.72</v>
      </c>
      <c r="J257" s="281">
        <f t="shared" si="23"/>
        <v>548.58000000000004</v>
      </c>
      <c r="K257" s="282">
        <f>IF(Notes!$B$9="Domestic",I257, IF(Notes!$B$9="Commercial",J257))*$K$195</f>
        <v>548.58000000000004</v>
      </c>
      <c r="L257" s="283">
        <f>(SUM(O257:Q257)+(K257+SUM(M257:Q257))*(INDEX($U$195:$AB$195,MATCH(Notes!$C$16,$U$3:$AB$3,0))-100%))*$L$195</f>
        <v>2544.5408000000002</v>
      </c>
      <c r="M257" s="286"/>
      <c r="N257" s="286"/>
      <c r="O257" s="311">
        <f>O243</f>
        <v>1804.9460000000001</v>
      </c>
      <c r="P257" s="311">
        <f t="shared" si="20"/>
        <v>739.59479999999996</v>
      </c>
      <c r="Q257" s="285"/>
      <c r="R257" s="278"/>
      <c r="S257" s="278"/>
      <c r="T257" s="278"/>
      <c r="U257" s="304"/>
    </row>
    <row r="258" spans="1:28" s="305" customFormat="1" ht="21.75" hidden="1" customHeight="1" outlineLevel="1" x14ac:dyDescent="0.25">
      <c r="A258" s="278"/>
      <c r="B258" s="279" t="str">
        <f t="shared" si="21"/>
        <v>27002400AL/CMW</v>
      </c>
      <c r="C258" s="278">
        <v>2700</v>
      </c>
      <c r="D258" s="278">
        <v>2400</v>
      </c>
      <c r="E258" s="278" t="s">
        <v>940</v>
      </c>
      <c r="F258" s="278"/>
      <c r="G258" s="278" t="s">
        <v>5</v>
      </c>
      <c r="H258" s="290">
        <v>6</v>
      </c>
      <c r="I258" s="280">
        <f t="shared" si="22"/>
        <v>483.72</v>
      </c>
      <c r="J258" s="281">
        <f t="shared" si="23"/>
        <v>548.58000000000004</v>
      </c>
      <c r="K258" s="282">
        <f>IF(Notes!$B$9="Domestic",I258, IF(Notes!$B$9="Commercial",J258))*$K$195</f>
        <v>548.58000000000004</v>
      </c>
      <c r="L258" s="283">
        <f>(SUM(O258:Q258)+(K258+SUM(M258:Q258))*(INDEX($U$195:$AB$195,MATCH(Notes!$C$16,$U$3:$AB$3,0))-100%))*$L$195</f>
        <v>2814.9992000000002</v>
      </c>
      <c r="M258" s="286"/>
      <c r="N258" s="286"/>
      <c r="O258" s="311">
        <f>O251</f>
        <v>1969.7480000000003</v>
      </c>
      <c r="P258" s="311">
        <f t="shared" si="20"/>
        <v>845.25119999999993</v>
      </c>
      <c r="Q258" s="285"/>
      <c r="R258" s="278"/>
      <c r="S258" s="278"/>
      <c r="T258" s="278"/>
      <c r="U258" s="304"/>
    </row>
    <row r="259" spans="1:28" s="305" customFormat="1" ht="21.75" hidden="1" customHeight="1" outlineLevel="1" x14ac:dyDescent="0.25">
      <c r="A259" s="278"/>
      <c r="B259" s="279" t="str">
        <f t="shared" si="21"/>
        <v>27002700AL/CMW</v>
      </c>
      <c r="C259" s="278">
        <v>2700</v>
      </c>
      <c r="D259" s="278">
        <v>2700</v>
      </c>
      <c r="E259" s="278" t="s">
        <v>940</v>
      </c>
      <c r="F259" s="278"/>
      <c r="G259" s="278" t="s">
        <v>5</v>
      </c>
      <c r="H259" s="290">
        <v>6</v>
      </c>
      <c r="I259" s="280">
        <f t="shared" si="22"/>
        <v>483.72</v>
      </c>
      <c r="J259" s="281">
        <f t="shared" si="23"/>
        <v>548.58000000000004</v>
      </c>
      <c r="K259" s="282">
        <f>IF(Notes!$B$9="Domestic",I259, IF(Notes!$B$9="Commercial",J259))*$K$195</f>
        <v>548.58000000000004</v>
      </c>
      <c r="L259" s="283">
        <f>(SUM(O259:Q259)+(K259+SUM(M259:Q259))*(INDEX($U$195:$AB$195,MATCH(Notes!$C$16,$U$3:$AB$3,0))-100%))*$L$195</f>
        <v>3085.4576000000002</v>
      </c>
      <c r="M259" s="286"/>
      <c r="N259" s="286"/>
      <c r="O259" s="311">
        <f>O251+O251-O243</f>
        <v>2134.5500000000002</v>
      </c>
      <c r="P259" s="311">
        <f t="shared" si="20"/>
        <v>950.9076</v>
      </c>
      <c r="Q259" s="285"/>
      <c r="R259" s="278"/>
      <c r="S259" s="278"/>
      <c r="T259" s="278"/>
      <c r="U259" s="304"/>
    </row>
    <row r="260" spans="1:28" ht="21" hidden="1" outlineLevel="1" x14ac:dyDescent="0.25">
      <c r="A260" s="299" t="s">
        <v>142</v>
      </c>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row>
    <row r="261" spans="1:28" ht="15.75" hidden="1" outlineLevel="1" x14ac:dyDescent="0.25">
      <c r="A261" s="291"/>
      <c r="B261" s="291"/>
      <c r="C261" s="291"/>
      <c r="D261" s="291"/>
      <c r="E261" s="291"/>
      <c r="F261" s="291"/>
      <c r="G261" s="291"/>
      <c r="H261" s="291"/>
      <c r="I261" s="291"/>
      <c r="J261" s="291"/>
      <c r="K261" s="291">
        <f>K$2</f>
        <v>1</v>
      </c>
      <c r="L261" s="291">
        <f>L$2</f>
        <v>1</v>
      </c>
      <c r="M261" s="291"/>
      <c r="N261" s="291"/>
      <c r="O261" s="303"/>
      <c r="P261" s="303"/>
      <c r="Q261" s="303"/>
      <c r="R261" s="291"/>
      <c r="S261" s="291"/>
      <c r="T261" s="291"/>
      <c r="U261" s="291">
        <f>U$2</f>
        <v>0.89965397923875434</v>
      </c>
      <c r="V261" s="291">
        <f>V$2</f>
        <v>1</v>
      </c>
      <c r="W261" s="291">
        <f t="shared" ref="W261:AB261" si="24">W$2</f>
        <v>0.92214532871972321</v>
      </c>
      <c r="X261" s="291">
        <f t="shared" si="24"/>
        <v>0.89965397923875434</v>
      </c>
      <c r="Y261" s="291">
        <f t="shared" si="24"/>
        <v>1.0069204152249136</v>
      </c>
      <c r="Z261" s="291">
        <f t="shared" si="24"/>
        <v>0.856401384083045</v>
      </c>
      <c r="AA261" s="291">
        <f t="shared" si="24"/>
        <v>0.856401384083045</v>
      </c>
      <c r="AB261" s="291">
        <f t="shared" si="24"/>
        <v>1.0121107266435987</v>
      </c>
    </row>
    <row r="262" spans="1:28" s="305" customFormat="1" ht="21.75" hidden="1" customHeight="1" outlineLevel="1" x14ac:dyDescent="0.25">
      <c r="A262" s="278"/>
      <c r="B262" s="279" t="str">
        <f>C262&amp;D262&amp;E262&amp;F262</f>
        <v>900900AL/BFW</v>
      </c>
      <c r="C262" s="278">
        <v>900</v>
      </c>
      <c r="D262" s="278">
        <v>900</v>
      </c>
      <c r="E262" s="278" t="s">
        <v>941</v>
      </c>
      <c r="F262" s="278"/>
      <c r="G262" s="278" t="s">
        <v>5</v>
      </c>
      <c r="H262" s="290">
        <v>1</v>
      </c>
      <c r="I262" s="280">
        <f>$I$2*H262</f>
        <v>80.62</v>
      </c>
      <c r="J262" s="281">
        <f>$J$2*H262</f>
        <v>91.43</v>
      </c>
      <c r="K262" s="282">
        <f>IF(Notes!$B$9="Domestic",I262, IF(Notes!$B$9="Commercial",J262))*$K$261</f>
        <v>91.43</v>
      </c>
      <c r="L262" s="283">
        <f>(SUM(O262:Q262)+(K262+SUM(M262:Q262))*(INDEX($U$261:$AB$261,MATCH(Notes!$C$16,$U$3:$AB$3,0))-100%))*$L$261</f>
        <v>1564.4764</v>
      </c>
      <c r="M262" s="286"/>
      <c r="N262" s="286"/>
      <c r="O262" s="285">
        <v>1458.82</v>
      </c>
      <c r="P262" s="311">
        <f t="shared" ref="P262:P289" si="25">$P$2*C262/1000*D262/1000</f>
        <v>105.65639999999999</v>
      </c>
      <c r="Q262" s="285"/>
      <c r="R262" s="278">
        <v>900</v>
      </c>
      <c r="S262" s="278">
        <v>900</v>
      </c>
      <c r="T262" s="278" t="s">
        <v>941</v>
      </c>
      <c r="U262" s="304"/>
    </row>
    <row r="263" spans="1:28" s="305" customFormat="1" ht="21.75" hidden="1" customHeight="1" outlineLevel="1" x14ac:dyDescent="0.25">
      <c r="A263" s="278"/>
      <c r="B263" s="279" t="str">
        <f t="shared" ref="B263:B289" si="26">C263&amp;D263&amp;E263&amp;F263</f>
        <v>9001200AL/BFW</v>
      </c>
      <c r="C263" s="278">
        <v>900</v>
      </c>
      <c r="D263" s="278">
        <v>1200</v>
      </c>
      <c r="E263" s="278" t="s">
        <v>941</v>
      </c>
      <c r="F263" s="278"/>
      <c r="G263" s="278" t="s">
        <v>5</v>
      </c>
      <c r="H263" s="290">
        <v>1</v>
      </c>
      <c r="I263" s="280">
        <f t="shared" ref="I263:I289" si="27">$I$2*H263</f>
        <v>80.62</v>
      </c>
      <c r="J263" s="281">
        <f t="shared" ref="J263:J289" si="28">$J$2*H263</f>
        <v>91.43</v>
      </c>
      <c r="K263" s="282">
        <f>IF(Notes!$B$9="Domestic",I263, IF(Notes!$B$9="Commercial",J263))*$K$261</f>
        <v>91.43</v>
      </c>
      <c r="L263" s="283">
        <f>(SUM(O263:Q263)+(K263+SUM(M263:Q263))*(INDEX($U$261:$AB$261,MATCH(Notes!$C$16,$U$3:$AB$3,0))-100%))*$L$261</f>
        <v>1667.6751999999999</v>
      </c>
      <c r="M263" s="286"/>
      <c r="N263" s="286"/>
      <c r="O263" s="285">
        <v>1526.8</v>
      </c>
      <c r="P263" s="311">
        <f t="shared" si="25"/>
        <v>140.87520000000001</v>
      </c>
      <c r="Q263" s="285"/>
      <c r="R263" s="278">
        <v>1200</v>
      </c>
      <c r="S263" s="278">
        <v>1200</v>
      </c>
      <c r="T263" s="278"/>
      <c r="U263" s="304"/>
    </row>
    <row r="264" spans="1:28" s="305" customFormat="1" ht="21.75" hidden="1" customHeight="1" outlineLevel="1" x14ac:dyDescent="0.25">
      <c r="A264" s="278"/>
      <c r="B264" s="279" t="str">
        <f t="shared" si="26"/>
        <v>9001500AL/BFW</v>
      </c>
      <c r="C264" s="278">
        <v>900</v>
      </c>
      <c r="D264" s="278">
        <v>1500</v>
      </c>
      <c r="E264" s="278" t="s">
        <v>941</v>
      </c>
      <c r="F264" s="278"/>
      <c r="G264" s="278" t="s">
        <v>5</v>
      </c>
      <c r="H264" s="290">
        <v>2</v>
      </c>
      <c r="I264" s="280">
        <f t="shared" si="27"/>
        <v>161.24</v>
      </c>
      <c r="J264" s="281">
        <f t="shared" si="28"/>
        <v>182.86</v>
      </c>
      <c r="K264" s="282">
        <f>IF(Notes!$B$9="Domestic",I264, IF(Notes!$B$9="Commercial",J264))*$K$261</f>
        <v>182.86</v>
      </c>
      <c r="L264" s="283">
        <f>(SUM(O264:Q264)+(K264+SUM(M264:Q264))*(INDEX($U$261:$AB$261,MATCH(Notes!$C$16,$U$3:$AB$3,0))-100%))*$L$261</f>
        <v>2150.5140000000001</v>
      </c>
      <c r="M264" s="286"/>
      <c r="N264" s="286"/>
      <c r="O264" s="285">
        <v>1974.42</v>
      </c>
      <c r="P264" s="311">
        <f t="shared" si="25"/>
        <v>176.09399999999999</v>
      </c>
      <c r="Q264" s="285"/>
      <c r="R264" s="278">
        <v>1500</v>
      </c>
      <c r="S264" s="278">
        <v>1500</v>
      </c>
      <c r="T264" s="278"/>
      <c r="U264" s="304"/>
    </row>
    <row r="265" spans="1:28" s="305" customFormat="1" ht="21.75" hidden="1" customHeight="1" outlineLevel="1" x14ac:dyDescent="0.25">
      <c r="A265" s="278"/>
      <c r="B265" s="279" t="str">
        <f t="shared" si="26"/>
        <v>9001800AL/BFW</v>
      </c>
      <c r="C265" s="278">
        <v>900</v>
      </c>
      <c r="D265" s="278">
        <v>1800</v>
      </c>
      <c r="E265" s="278" t="s">
        <v>941</v>
      </c>
      <c r="F265" s="278"/>
      <c r="G265" s="278" t="s">
        <v>5</v>
      </c>
      <c r="H265" s="290">
        <v>2</v>
      </c>
      <c r="I265" s="280">
        <f t="shared" si="27"/>
        <v>161.24</v>
      </c>
      <c r="J265" s="281">
        <f t="shared" si="28"/>
        <v>182.86</v>
      </c>
      <c r="K265" s="282">
        <f>IF(Notes!$B$9="Domestic",I265, IF(Notes!$B$9="Commercial",J265))*$K$261</f>
        <v>182.86</v>
      </c>
      <c r="L265" s="283">
        <f>(SUM(O265:Q265)+(K265+SUM(M265:Q265))*(INDEX($U$261:$AB$261,MATCH(Notes!$C$16,$U$3:$AB$3,0))-100%))*$L$261</f>
        <v>2223.0428000000002</v>
      </c>
      <c r="M265" s="286"/>
      <c r="N265" s="286"/>
      <c r="O265" s="285">
        <v>2011.73</v>
      </c>
      <c r="P265" s="311">
        <f t="shared" si="25"/>
        <v>211.31279999999998</v>
      </c>
      <c r="Q265" s="285"/>
      <c r="R265" s="278">
        <v>1800</v>
      </c>
      <c r="S265" s="278">
        <v>1800</v>
      </c>
      <c r="T265" s="278"/>
      <c r="U265" s="304"/>
    </row>
    <row r="266" spans="1:28" s="305" customFormat="1" ht="21.75" hidden="1" customHeight="1" outlineLevel="1" x14ac:dyDescent="0.25">
      <c r="A266" s="278"/>
      <c r="B266" s="279" t="str">
        <f t="shared" si="26"/>
        <v>9002100AL/BFW</v>
      </c>
      <c r="C266" s="278">
        <v>900</v>
      </c>
      <c r="D266" s="278">
        <v>2100</v>
      </c>
      <c r="E266" s="278" t="s">
        <v>941</v>
      </c>
      <c r="F266" s="278"/>
      <c r="G266" s="278" t="s">
        <v>5</v>
      </c>
      <c r="H266" s="290">
        <v>2</v>
      </c>
      <c r="I266" s="280">
        <f t="shared" si="27"/>
        <v>161.24</v>
      </c>
      <c r="J266" s="281">
        <f t="shared" si="28"/>
        <v>182.86</v>
      </c>
      <c r="K266" s="282">
        <f>IF(Notes!$B$9="Domestic",I266, IF(Notes!$B$9="Commercial",J266))*$K$261</f>
        <v>182.86</v>
      </c>
      <c r="L266" s="283">
        <f>(SUM(O266:Q266)+(K266+SUM(M266:Q266))*(INDEX($U$261:$AB$261,MATCH(Notes!$C$16,$U$3:$AB$3,0))-100%))*$L$261</f>
        <v>2808.6715999999997</v>
      </c>
      <c r="M266" s="286"/>
      <c r="N266" s="286"/>
      <c r="O266" s="285">
        <v>2562.14</v>
      </c>
      <c r="P266" s="311">
        <f t="shared" si="25"/>
        <v>246.5316</v>
      </c>
      <c r="Q266" s="285"/>
      <c r="R266" s="278"/>
      <c r="S266" s="278">
        <v>2100</v>
      </c>
      <c r="T266" s="278"/>
      <c r="U266" s="304"/>
    </row>
    <row r="267" spans="1:28" s="305" customFormat="1" ht="21.75" hidden="1" customHeight="1" outlineLevel="1" x14ac:dyDescent="0.25">
      <c r="A267" s="278"/>
      <c r="B267" s="279" t="str">
        <f t="shared" si="26"/>
        <v>9002400AL/BFW</v>
      </c>
      <c r="C267" s="278">
        <v>900</v>
      </c>
      <c r="D267" s="278">
        <v>2400</v>
      </c>
      <c r="E267" s="278" t="s">
        <v>941</v>
      </c>
      <c r="F267" s="278"/>
      <c r="G267" s="278" t="s">
        <v>5</v>
      </c>
      <c r="H267" s="290">
        <v>3</v>
      </c>
      <c r="I267" s="280">
        <f t="shared" si="27"/>
        <v>241.86</v>
      </c>
      <c r="J267" s="281">
        <f t="shared" si="28"/>
        <v>274.29000000000002</v>
      </c>
      <c r="K267" s="282">
        <f>IF(Notes!$B$9="Domestic",I267, IF(Notes!$B$9="Commercial",J267))*$K$261</f>
        <v>274.29000000000002</v>
      </c>
      <c r="L267" s="283">
        <f>(SUM(O267:Q267)+(K267+SUM(M267:Q267))*(INDEX($U$261:$AB$261,MATCH(Notes!$C$16,$U$3:$AB$3,0))-100%))*$L$261</f>
        <v>2946.9004</v>
      </c>
      <c r="M267" s="286"/>
      <c r="N267" s="286"/>
      <c r="O267" s="285">
        <v>2665.15</v>
      </c>
      <c r="P267" s="311">
        <f t="shared" si="25"/>
        <v>281.75040000000001</v>
      </c>
      <c r="Q267" s="285"/>
      <c r="R267" s="278"/>
      <c r="S267" s="278">
        <v>2400</v>
      </c>
      <c r="T267" s="278"/>
      <c r="U267" s="304"/>
    </row>
    <row r="268" spans="1:28" s="305" customFormat="1" ht="21.75" hidden="1" customHeight="1" outlineLevel="1" x14ac:dyDescent="0.25">
      <c r="A268" s="278"/>
      <c r="B268" s="279" t="str">
        <f t="shared" si="26"/>
        <v>9002700AL/BFW</v>
      </c>
      <c r="C268" s="278">
        <v>900</v>
      </c>
      <c r="D268" s="278">
        <v>2700</v>
      </c>
      <c r="E268" s="278" t="s">
        <v>941</v>
      </c>
      <c r="F268" s="278"/>
      <c r="G268" s="278" t="s">
        <v>5</v>
      </c>
      <c r="H268" s="290">
        <v>3</v>
      </c>
      <c r="I268" s="280">
        <f t="shared" si="27"/>
        <v>241.86</v>
      </c>
      <c r="J268" s="281">
        <f t="shared" si="28"/>
        <v>274.29000000000002</v>
      </c>
      <c r="K268" s="282">
        <f>IF(Notes!$B$9="Domestic",I268, IF(Notes!$B$9="Commercial",J268))*$K$261</f>
        <v>274.29000000000002</v>
      </c>
      <c r="L268" s="283">
        <f>(SUM(O268:Q268)+(K268+SUM(M268:Q268))*(INDEX($U$261:$AB$261,MATCH(Notes!$C$16,$U$3:$AB$3,0))-100%))*$L$261</f>
        <v>3190.2572</v>
      </c>
      <c r="M268" s="286"/>
      <c r="N268" s="286"/>
      <c r="O268" s="285">
        <v>2873.288</v>
      </c>
      <c r="P268" s="311">
        <f t="shared" si="25"/>
        <v>316.9692</v>
      </c>
      <c r="Q268" s="285"/>
      <c r="R268" s="278"/>
      <c r="S268" s="278">
        <v>2700</v>
      </c>
      <c r="T268" s="278"/>
      <c r="U268" s="304"/>
    </row>
    <row r="269" spans="1:28" s="305" customFormat="1" ht="21.75" hidden="1" customHeight="1" outlineLevel="1" x14ac:dyDescent="0.25">
      <c r="A269" s="278"/>
      <c r="B269" s="279" t="str">
        <f t="shared" si="26"/>
        <v>1200900AL/BFW</v>
      </c>
      <c r="C269" s="278">
        <v>1200</v>
      </c>
      <c r="D269" s="278">
        <v>900</v>
      </c>
      <c r="E269" s="278" t="s">
        <v>941</v>
      </c>
      <c r="F269" s="278"/>
      <c r="G269" s="278" t="s">
        <v>5</v>
      </c>
      <c r="H269" s="290">
        <v>1</v>
      </c>
      <c r="I269" s="280">
        <f t="shared" si="27"/>
        <v>80.62</v>
      </c>
      <c r="J269" s="281">
        <f t="shared" si="28"/>
        <v>91.43</v>
      </c>
      <c r="K269" s="282">
        <f>IF(Notes!$B$9="Domestic",I269, IF(Notes!$B$9="Commercial",J269))*$K$261</f>
        <v>91.43</v>
      </c>
      <c r="L269" s="283">
        <f>(SUM(O269:Q269)+(K269+SUM(M269:Q269))*(INDEX($U$261:$AB$261,MATCH(Notes!$C$16,$U$3:$AB$3,0))-100%))*$L$261</f>
        <v>1652.4351999999999</v>
      </c>
      <c r="M269" s="286"/>
      <c r="N269" s="286"/>
      <c r="O269" s="285">
        <v>1511.56</v>
      </c>
      <c r="P269" s="311">
        <f t="shared" si="25"/>
        <v>140.87519999999998</v>
      </c>
      <c r="Q269" s="285"/>
      <c r="R269" s="278"/>
      <c r="S269" s="278"/>
      <c r="T269" s="278"/>
      <c r="U269" s="304"/>
    </row>
    <row r="270" spans="1:28" s="305" customFormat="1" ht="21.75" hidden="1" customHeight="1" outlineLevel="1" x14ac:dyDescent="0.25">
      <c r="A270" s="278"/>
      <c r="B270" s="279" t="str">
        <f t="shared" si="26"/>
        <v>12001200AL/BFW</v>
      </c>
      <c r="C270" s="278">
        <v>1200</v>
      </c>
      <c r="D270" s="278">
        <v>1200</v>
      </c>
      <c r="E270" s="278" t="s">
        <v>941</v>
      </c>
      <c r="F270" s="278"/>
      <c r="G270" s="278" t="s">
        <v>5</v>
      </c>
      <c r="H270" s="290">
        <v>2</v>
      </c>
      <c r="I270" s="280">
        <f t="shared" si="27"/>
        <v>161.24</v>
      </c>
      <c r="J270" s="281">
        <f t="shared" si="28"/>
        <v>182.86</v>
      </c>
      <c r="K270" s="282">
        <f>IF(Notes!$B$9="Domestic",I270, IF(Notes!$B$9="Commercial",J270))*$K$261</f>
        <v>182.86</v>
      </c>
      <c r="L270" s="283">
        <f>(SUM(O270:Q270)+(K270+SUM(M270:Q270))*(INDEX($U$261:$AB$261,MATCH(Notes!$C$16,$U$3:$AB$3,0))-100%))*$L$261</f>
        <v>1752.3935999999999</v>
      </c>
      <c r="M270" s="286"/>
      <c r="N270" s="286"/>
      <c r="O270" s="285">
        <v>1564.56</v>
      </c>
      <c r="P270" s="311">
        <f t="shared" si="25"/>
        <v>187.83359999999999</v>
      </c>
      <c r="Q270" s="285"/>
      <c r="R270" s="278"/>
      <c r="S270" s="278"/>
      <c r="T270" s="278"/>
      <c r="U270" s="304"/>
    </row>
    <row r="271" spans="1:28" s="305" customFormat="1" ht="21.75" hidden="1" customHeight="1" outlineLevel="1" x14ac:dyDescent="0.25">
      <c r="A271" s="278"/>
      <c r="B271" s="279" t="str">
        <f t="shared" si="26"/>
        <v>12001500AL/BFW</v>
      </c>
      <c r="C271" s="278">
        <v>1200</v>
      </c>
      <c r="D271" s="278">
        <v>1500</v>
      </c>
      <c r="E271" s="278" t="s">
        <v>941</v>
      </c>
      <c r="F271" s="278"/>
      <c r="G271" s="278" t="s">
        <v>5</v>
      </c>
      <c r="H271" s="290">
        <v>2</v>
      </c>
      <c r="I271" s="280">
        <f t="shared" si="27"/>
        <v>161.24</v>
      </c>
      <c r="J271" s="281">
        <f t="shared" si="28"/>
        <v>182.86</v>
      </c>
      <c r="K271" s="282">
        <f>IF(Notes!$B$9="Domestic",I271, IF(Notes!$B$9="Commercial",J271))*$K$261</f>
        <v>182.86</v>
      </c>
      <c r="L271" s="283">
        <f>(SUM(O271:Q271)+(K271+SUM(M271:Q271))*(INDEX($U$261:$AB$261,MATCH(Notes!$C$16,$U$3:$AB$3,0))-100%))*$L$261</f>
        <v>2282.6619999999998</v>
      </c>
      <c r="M271" s="286"/>
      <c r="N271" s="286"/>
      <c r="O271" s="285">
        <v>2047.87</v>
      </c>
      <c r="P271" s="311">
        <f t="shared" si="25"/>
        <v>234.792</v>
      </c>
      <c r="Q271" s="285"/>
      <c r="R271" s="278"/>
      <c r="S271" s="278"/>
      <c r="T271" s="278"/>
      <c r="U271" s="304"/>
    </row>
    <row r="272" spans="1:28" s="305" customFormat="1" ht="21.75" hidden="1" customHeight="1" outlineLevel="1" x14ac:dyDescent="0.25">
      <c r="A272" s="278"/>
      <c r="B272" s="279" t="str">
        <f t="shared" si="26"/>
        <v>12001800AL/BFW</v>
      </c>
      <c r="C272" s="278">
        <v>1200</v>
      </c>
      <c r="D272" s="278">
        <v>1800</v>
      </c>
      <c r="E272" s="278" t="s">
        <v>941</v>
      </c>
      <c r="F272" s="278"/>
      <c r="G272" s="278" t="s">
        <v>5</v>
      </c>
      <c r="H272" s="290">
        <v>3</v>
      </c>
      <c r="I272" s="280">
        <f t="shared" si="27"/>
        <v>241.86</v>
      </c>
      <c r="J272" s="281">
        <f t="shared" si="28"/>
        <v>274.29000000000002</v>
      </c>
      <c r="K272" s="282">
        <f>IF(Notes!$B$9="Domestic",I272, IF(Notes!$B$9="Commercial",J272))*$K$261</f>
        <v>274.29000000000002</v>
      </c>
      <c r="L272" s="283">
        <f>(SUM(O272:Q272)+(K272+SUM(M272:Q272))*(INDEX($U$261:$AB$261,MATCH(Notes!$C$16,$U$3:$AB$3,0))-100%))*$L$261</f>
        <v>2402.9703999999997</v>
      </c>
      <c r="M272" s="286"/>
      <c r="N272" s="286"/>
      <c r="O272" s="285">
        <v>2121.2199999999998</v>
      </c>
      <c r="P272" s="311">
        <f t="shared" si="25"/>
        <v>281.75039999999996</v>
      </c>
      <c r="Q272" s="285"/>
      <c r="R272" s="278"/>
      <c r="S272" s="278"/>
      <c r="T272" s="278"/>
      <c r="U272" s="304"/>
    </row>
    <row r="273" spans="1:21" s="305" customFormat="1" ht="21.75" hidden="1" customHeight="1" outlineLevel="1" x14ac:dyDescent="0.25">
      <c r="A273" s="278"/>
      <c r="B273" s="279" t="str">
        <f t="shared" si="26"/>
        <v>12002100AL/BFW</v>
      </c>
      <c r="C273" s="278">
        <v>1200</v>
      </c>
      <c r="D273" s="278">
        <v>2100</v>
      </c>
      <c r="E273" s="278" t="s">
        <v>941</v>
      </c>
      <c r="F273" s="278"/>
      <c r="G273" s="278" t="s">
        <v>5</v>
      </c>
      <c r="H273" s="290">
        <v>3</v>
      </c>
      <c r="I273" s="280">
        <f t="shared" si="27"/>
        <v>241.86</v>
      </c>
      <c r="J273" s="281">
        <f t="shared" si="28"/>
        <v>274.29000000000002</v>
      </c>
      <c r="K273" s="282">
        <f>IF(Notes!$B$9="Domestic",I273, IF(Notes!$B$9="Commercial",J273))*$K$261</f>
        <v>274.29000000000002</v>
      </c>
      <c r="L273" s="283">
        <f>(SUM(O273:Q273)+(K273+SUM(M273:Q273))*(INDEX($U$261:$AB$261,MATCH(Notes!$C$16,$U$3:$AB$3,0))-100%))*$L$261</f>
        <v>3097.3287999999998</v>
      </c>
      <c r="M273" s="286"/>
      <c r="N273" s="286"/>
      <c r="O273" s="285">
        <v>2768.62</v>
      </c>
      <c r="P273" s="311">
        <f t="shared" si="25"/>
        <v>328.7088</v>
      </c>
      <c r="Q273" s="285"/>
      <c r="R273" s="278"/>
      <c r="S273" s="278"/>
      <c r="T273" s="278"/>
      <c r="U273" s="304"/>
    </row>
    <row r="274" spans="1:21" s="305" customFormat="1" ht="21.75" hidden="1" customHeight="1" outlineLevel="1" x14ac:dyDescent="0.25">
      <c r="A274" s="278"/>
      <c r="B274" s="279" t="str">
        <f t="shared" si="26"/>
        <v>12002400AL/BFW</v>
      </c>
      <c r="C274" s="278">
        <v>1200</v>
      </c>
      <c r="D274" s="278">
        <v>2400</v>
      </c>
      <c r="E274" s="278" t="s">
        <v>941</v>
      </c>
      <c r="F274" s="278"/>
      <c r="G274" s="278" t="s">
        <v>5</v>
      </c>
      <c r="H274" s="290">
        <v>3</v>
      </c>
      <c r="I274" s="280">
        <f t="shared" si="27"/>
        <v>241.86</v>
      </c>
      <c r="J274" s="281">
        <f t="shared" si="28"/>
        <v>274.29000000000002</v>
      </c>
      <c r="K274" s="282">
        <f>IF(Notes!$B$9="Domestic",I274, IF(Notes!$B$9="Commercial",J274))*$K$261</f>
        <v>274.29000000000002</v>
      </c>
      <c r="L274" s="283">
        <f>(SUM(O274:Q274)+(K274+SUM(M274:Q274))*(INDEX($U$261:$AB$261,MATCH(Notes!$C$16,$U$3:$AB$3,0))-100%))*$L$261</f>
        <v>3349.3571999999999</v>
      </c>
      <c r="M274" s="286"/>
      <c r="N274" s="286"/>
      <c r="O274" s="285">
        <v>2973.69</v>
      </c>
      <c r="P274" s="311">
        <f t="shared" si="25"/>
        <v>375.66719999999998</v>
      </c>
      <c r="Q274" s="285"/>
      <c r="R274" s="278"/>
      <c r="S274" s="278"/>
      <c r="T274" s="278"/>
      <c r="U274" s="304"/>
    </row>
    <row r="275" spans="1:21" s="305" customFormat="1" ht="21.75" hidden="1" customHeight="1" outlineLevel="1" x14ac:dyDescent="0.25">
      <c r="A275" s="278"/>
      <c r="B275" s="279" t="str">
        <f t="shared" si="26"/>
        <v>12002700AL/BFW</v>
      </c>
      <c r="C275" s="278">
        <v>1200</v>
      </c>
      <c r="D275" s="278">
        <v>2700</v>
      </c>
      <c r="E275" s="278" t="s">
        <v>941</v>
      </c>
      <c r="F275" s="278"/>
      <c r="G275" s="278" t="s">
        <v>5</v>
      </c>
      <c r="H275" s="290">
        <v>4</v>
      </c>
      <c r="I275" s="280">
        <f t="shared" si="27"/>
        <v>322.48</v>
      </c>
      <c r="J275" s="281">
        <f t="shared" si="28"/>
        <v>365.72</v>
      </c>
      <c r="K275" s="282">
        <f>IF(Notes!$B$9="Domestic",I275, IF(Notes!$B$9="Commercial",J275))*$K$261</f>
        <v>365.72</v>
      </c>
      <c r="L275" s="283">
        <f>(SUM(O275:Q275)+(K275+SUM(M275:Q275))*(INDEX($U$261:$AB$261,MATCH(Notes!$C$16,$U$3:$AB$3,0))-100%))*$L$261</f>
        <v>3627.3986</v>
      </c>
      <c r="M275" s="286"/>
      <c r="N275" s="286"/>
      <c r="O275" s="285">
        <v>3204.7730000000001</v>
      </c>
      <c r="P275" s="311">
        <f t="shared" si="25"/>
        <v>422.62559999999996</v>
      </c>
      <c r="Q275" s="285"/>
      <c r="R275" s="278"/>
      <c r="S275" s="278"/>
      <c r="T275" s="278"/>
      <c r="U275" s="304"/>
    </row>
    <row r="276" spans="1:21" s="305" customFormat="1" ht="21.75" hidden="1" customHeight="1" outlineLevel="1" x14ac:dyDescent="0.25">
      <c r="A276" s="278"/>
      <c r="B276" s="279" t="str">
        <f t="shared" si="26"/>
        <v>1500900AL/BFW</v>
      </c>
      <c r="C276" s="278">
        <v>1500</v>
      </c>
      <c r="D276" s="278">
        <v>900</v>
      </c>
      <c r="E276" s="278" t="s">
        <v>941</v>
      </c>
      <c r="F276" s="278"/>
      <c r="G276" s="278" t="s">
        <v>5</v>
      </c>
      <c r="H276" s="290">
        <v>2</v>
      </c>
      <c r="I276" s="280">
        <f t="shared" si="27"/>
        <v>161.24</v>
      </c>
      <c r="J276" s="281">
        <f t="shared" si="28"/>
        <v>182.86</v>
      </c>
      <c r="K276" s="282">
        <f>IF(Notes!$B$9="Domestic",I276, IF(Notes!$B$9="Commercial",J276))*$K$261</f>
        <v>182.86</v>
      </c>
      <c r="L276" s="283">
        <f>(SUM(O276:Q276)+(K276+SUM(M276:Q276))*(INDEX($U$261:$AB$261,MATCH(Notes!$C$16,$U$3:$AB$3,0))-100%))*$L$261</f>
        <v>1715.184</v>
      </c>
      <c r="M276" s="286"/>
      <c r="N276" s="286"/>
      <c r="O276" s="285">
        <v>1539.09</v>
      </c>
      <c r="P276" s="311">
        <f t="shared" si="25"/>
        <v>176.09399999999999</v>
      </c>
      <c r="Q276" s="285"/>
      <c r="R276" s="278"/>
      <c r="S276" s="278"/>
      <c r="T276" s="278"/>
      <c r="U276" s="304"/>
    </row>
    <row r="277" spans="1:21" s="305" customFormat="1" ht="21.75" hidden="1" customHeight="1" outlineLevel="1" x14ac:dyDescent="0.25">
      <c r="A277" s="278"/>
      <c r="B277" s="279" t="str">
        <f t="shared" si="26"/>
        <v>15001200AL/BFW</v>
      </c>
      <c r="C277" s="278">
        <v>1500</v>
      </c>
      <c r="D277" s="278">
        <v>1200</v>
      </c>
      <c r="E277" s="278" t="s">
        <v>941</v>
      </c>
      <c r="F277" s="278"/>
      <c r="G277" s="278" t="s">
        <v>5</v>
      </c>
      <c r="H277" s="290">
        <v>2</v>
      </c>
      <c r="I277" s="280">
        <f t="shared" si="27"/>
        <v>161.24</v>
      </c>
      <c r="J277" s="281">
        <f t="shared" si="28"/>
        <v>182.86</v>
      </c>
      <c r="K277" s="282">
        <f>IF(Notes!$B$9="Domestic",I277, IF(Notes!$B$9="Commercial",J277))*$K$261</f>
        <v>182.86</v>
      </c>
      <c r="L277" s="283">
        <f>(SUM(O277:Q277)+(K277+SUM(M277:Q277))*(INDEX($U$261:$AB$261,MATCH(Notes!$C$16,$U$3:$AB$3,0))-100%))*$L$261</f>
        <v>1827.3519999999999</v>
      </c>
      <c r="M277" s="286"/>
      <c r="N277" s="286"/>
      <c r="O277" s="285">
        <v>1592.56</v>
      </c>
      <c r="P277" s="311">
        <f t="shared" si="25"/>
        <v>234.792</v>
      </c>
      <c r="Q277" s="285"/>
      <c r="R277" s="278"/>
      <c r="S277" s="278"/>
      <c r="T277" s="278"/>
      <c r="U277" s="304"/>
    </row>
    <row r="278" spans="1:21" s="305" customFormat="1" ht="21.75" hidden="1" customHeight="1" outlineLevel="1" x14ac:dyDescent="0.25">
      <c r="A278" s="278"/>
      <c r="B278" s="279" t="str">
        <f t="shared" si="26"/>
        <v>15001500AL/BFW</v>
      </c>
      <c r="C278" s="278">
        <v>1500</v>
      </c>
      <c r="D278" s="278">
        <v>1500</v>
      </c>
      <c r="E278" s="278" t="s">
        <v>941</v>
      </c>
      <c r="F278" s="278"/>
      <c r="G278" s="278" t="s">
        <v>5</v>
      </c>
      <c r="H278" s="290">
        <v>3</v>
      </c>
      <c r="I278" s="280">
        <f t="shared" si="27"/>
        <v>241.86</v>
      </c>
      <c r="J278" s="281">
        <f t="shared" si="28"/>
        <v>274.29000000000002</v>
      </c>
      <c r="K278" s="282">
        <f>IF(Notes!$B$9="Domestic",I278, IF(Notes!$B$9="Commercial",J278))*$K$261</f>
        <v>274.29000000000002</v>
      </c>
      <c r="L278" s="283">
        <f>(SUM(O278:Q278)+(K278+SUM(M278:Q278))*(INDEX($U$261:$AB$261,MATCH(Notes!$C$16,$U$3:$AB$3,0))-100%))*$L$261</f>
        <v>2379.8100000000004</v>
      </c>
      <c r="M278" s="286"/>
      <c r="N278" s="286"/>
      <c r="O278" s="285">
        <v>2086.3200000000002</v>
      </c>
      <c r="P278" s="311">
        <f t="shared" si="25"/>
        <v>293.49</v>
      </c>
      <c r="Q278" s="285"/>
      <c r="R278" s="278"/>
      <c r="S278" s="278"/>
      <c r="T278" s="278"/>
      <c r="U278" s="304"/>
    </row>
    <row r="279" spans="1:21" s="305" customFormat="1" ht="21.75" hidden="1" customHeight="1" outlineLevel="1" x14ac:dyDescent="0.25">
      <c r="A279" s="278"/>
      <c r="B279" s="279" t="str">
        <f t="shared" si="26"/>
        <v>15001800AL/BFW</v>
      </c>
      <c r="C279" s="278">
        <v>1500</v>
      </c>
      <c r="D279" s="278">
        <v>1800</v>
      </c>
      <c r="E279" s="278" t="s">
        <v>941</v>
      </c>
      <c r="F279" s="278"/>
      <c r="G279" s="278" t="s">
        <v>5</v>
      </c>
      <c r="H279" s="290">
        <v>3</v>
      </c>
      <c r="I279" s="280">
        <f t="shared" si="27"/>
        <v>241.86</v>
      </c>
      <c r="J279" s="281">
        <f t="shared" si="28"/>
        <v>274.29000000000002</v>
      </c>
      <c r="K279" s="282">
        <f>IF(Notes!$B$9="Domestic",I279, IF(Notes!$B$9="Commercial",J279))*$K$261</f>
        <v>274.29000000000002</v>
      </c>
      <c r="L279" s="283">
        <f>(SUM(O279:Q279)+(K279+SUM(M279:Q279))*(INDEX($U$261:$AB$261,MATCH(Notes!$C$16,$U$3:$AB$3,0))-100%))*$L$261</f>
        <v>2512.328</v>
      </c>
      <c r="M279" s="286"/>
      <c r="N279" s="286"/>
      <c r="O279" s="285">
        <v>2160.14</v>
      </c>
      <c r="P279" s="311">
        <f t="shared" si="25"/>
        <v>352.18799999999999</v>
      </c>
      <c r="Q279" s="285"/>
      <c r="R279" s="278"/>
      <c r="S279" s="278"/>
      <c r="T279" s="278"/>
      <c r="U279" s="304"/>
    </row>
    <row r="280" spans="1:21" s="305" customFormat="1" ht="21.75" hidden="1" customHeight="1" outlineLevel="1" x14ac:dyDescent="0.25">
      <c r="A280" s="278"/>
      <c r="B280" s="279" t="str">
        <f t="shared" si="26"/>
        <v>15002100AL/BFW</v>
      </c>
      <c r="C280" s="278">
        <v>1500</v>
      </c>
      <c r="D280" s="278">
        <v>2100</v>
      </c>
      <c r="E280" s="278" t="s">
        <v>941</v>
      </c>
      <c r="F280" s="278"/>
      <c r="G280" s="278" t="s">
        <v>5</v>
      </c>
      <c r="H280" s="290">
        <v>3</v>
      </c>
      <c r="I280" s="280">
        <f t="shared" si="27"/>
        <v>241.86</v>
      </c>
      <c r="J280" s="281">
        <f t="shared" si="28"/>
        <v>274.29000000000002</v>
      </c>
      <c r="K280" s="282">
        <f>IF(Notes!$B$9="Domestic",I280, IF(Notes!$B$9="Commercial",J280))*$K$261</f>
        <v>274.29000000000002</v>
      </c>
      <c r="L280" s="283">
        <f>(SUM(O280:Q280)+(K280+SUM(M280:Q280))*(INDEX($U$261:$AB$261,MATCH(Notes!$C$16,$U$3:$AB$3,0))-100%))*$L$261</f>
        <v>3284.9259999999999</v>
      </c>
      <c r="M280" s="286"/>
      <c r="N280" s="286"/>
      <c r="O280" s="285">
        <v>2874.04</v>
      </c>
      <c r="P280" s="311">
        <f t="shared" si="25"/>
        <v>410.88600000000002</v>
      </c>
      <c r="Q280" s="285"/>
      <c r="R280" s="278"/>
      <c r="S280" s="278"/>
      <c r="T280" s="278"/>
      <c r="U280" s="304"/>
    </row>
    <row r="281" spans="1:21" s="305" customFormat="1" ht="21.75" hidden="1" customHeight="1" outlineLevel="1" x14ac:dyDescent="0.25">
      <c r="A281" s="278"/>
      <c r="B281" s="279" t="str">
        <f t="shared" si="26"/>
        <v>15002400AL/BFW</v>
      </c>
      <c r="C281" s="278">
        <v>1500</v>
      </c>
      <c r="D281" s="278">
        <v>2400</v>
      </c>
      <c r="E281" s="278" t="s">
        <v>941</v>
      </c>
      <c r="F281" s="278"/>
      <c r="G281" s="278" t="s">
        <v>5</v>
      </c>
      <c r="H281" s="290">
        <v>4</v>
      </c>
      <c r="I281" s="280">
        <f t="shared" si="27"/>
        <v>322.48</v>
      </c>
      <c r="J281" s="281">
        <f t="shared" si="28"/>
        <v>365.72</v>
      </c>
      <c r="K281" s="282">
        <f>IF(Notes!$B$9="Domestic",I281, IF(Notes!$B$9="Commercial",J281))*$K$261</f>
        <v>365.72</v>
      </c>
      <c r="L281" s="283">
        <f>(SUM(O281:Q281)+(K281+SUM(M281:Q281))*(INDEX($U$261:$AB$261,MATCH(Notes!$C$16,$U$3:$AB$3,0))-100%))*$L$261</f>
        <v>3549.154</v>
      </c>
      <c r="M281" s="286"/>
      <c r="N281" s="286"/>
      <c r="O281" s="285">
        <v>3079.57</v>
      </c>
      <c r="P281" s="311">
        <f t="shared" si="25"/>
        <v>469.584</v>
      </c>
      <c r="Q281" s="285"/>
      <c r="R281" s="278"/>
      <c r="S281" s="278"/>
      <c r="T281" s="278"/>
      <c r="U281" s="304"/>
    </row>
    <row r="282" spans="1:21" s="305" customFormat="1" ht="21.75" hidden="1" customHeight="1" outlineLevel="1" x14ac:dyDescent="0.25">
      <c r="A282" s="278"/>
      <c r="B282" s="279" t="str">
        <f t="shared" si="26"/>
        <v>15002700AL/BFW</v>
      </c>
      <c r="C282" s="278">
        <v>1500</v>
      </c>
      <c r="D282" s="278">
        <v>2700</v>
      </c>
      <c r="E282" s="278" t="s">
        <v>941</v>
      </c>
      <c r="F282" s="278"/>
      <c r="G282" s="278" t="s">
        <v>5</v>
      </c>
      <c r="H282" s="290">
        <v>4</v>
      </c>
      <c r="I282" s="280">
        <f t="shared" si="27"/>
        <v>322.48</v>
      </c>
      <c r="J282" s="281">
        <f t="shared" si="28"/>
        <v>365.72</v>
      </c>
      <c r="K282" s="282">
        <f>IF(Notes!$B$9="Domestic",I282, IF(Notes!$B$9="Commercial",J282))*$K$261</f>
        <v>365.72</v>
      </c>
      <c r="L282" s="283">
        <f>(SUM(O282:Q282)+(K282+SUM(M282:Q282))*(INDEX($U$261:$AB$261,MATCH(Notes!$C$16,$U$3:$AB$3,0))-100%))*$L$261</f>
        <v>3846.5420000000004</v>
      </c>
      <c r="M282" s="286"/>
      <c r="N282" s="286"/>
      <c r="O282" s="285">
        <v>3318.26</v>
      </c>
      <c r="P282" s="311">
        <f t="shared" si="25"/>
        <v>528.28200000000004</v>
      </c>
      <c r="Q282" s="285"/>
      <c r="R282" s="278"/>
      <c r="S282" s="278"/>
      <c r="T282" s="278"/>
      <c r="U282" s="304"/>
    </row>
    <row r="283" spans="1:21" s="305" customFormat="1" ht="21.75" hidden="1" customHeight="1" outlineLevel="1" x14ac:dyDescent="0.25">
      <c r="A283" s="278"/>
      <c r="B283" s="279" t="str">
        <f t="shared" si="26"/>
        <v>1800900AL/BFW</v>
      </c>
      <c r="C283" s="278">
        <v>1800</v>
      </c>
      <c r="D283" s="278">
        <v>900</v>
      </c>
      <c r="E283" s="278" t="s">
        <v>941</v>
      </c>
      <c r="F283" s="278"/>
      <c r="G283" s="278" t="s">
        <v>5</v>
      </c>
      <c r="H283" s="290">
        <v>2</v>
      </c>
      <c r="I283" s="280">
        <f t="shared" si="27"/>
        <v>161.24</v>
      </c>
      <c r="J283" s="281">
        <f t="shared" si="28"/>
        <v>182.86</v>
      </c>
      <c r="K283" s="282">
        <f>IF(Notes!$B$9="Domestic",I283, IF(Notes!$B$9="Commercial",J283))*$K$261</f>
        <v>182.86</v>
      </c>
      <c r="L283" s="283">
        <f>(SUM(O283:Q283)+(K283+SUM(M283:Q283))*(INDEX($U$261:$AB$261,MATCH(Notes!$C$16,$U$3:$AB$3,0))-100%))*$L$261</f>
        <v>1777.9327999999998</v>
      </c>
      <c r="M283" s="286"/>
      <c r="N283" s="286"/>
      <c r="O283" s="311">
        <f>O276+O276-O269</f>
        <v>1566.62</v>
      </c>
      <c r="P283" s="311">
        <f t="shared" si="25"/>
        <v>211.31279999999998</v>
      </c>
      <c r="Q283" s="285"/>
      <c r="R283" s="278"/>
      <c r="S283" s="278"/>
      <c r="T283" s="278"/>
      <c r="U283" s="304"/>
    </row>
    <row r="284" spans="1:21" s="305" customFormat="1" ht="21.75" hidden="1" customHeight="1" outlineLevel="1" x14ac:dyDescent="0.25">
      <c r="A284" s="278"/>
      <c r="B284" s="279" t="str">
        <f t="shared" si="26"/>
        <v>18001200AL/BFW</v>
      </c>
      <c r="C284" s="278">
        <v>1800</v>
      </c>
      <c r="D284" s="278">
        <v>1200</v>
      </c>
      <c r="E284" s="278" t="s">
        <v>941</v>
      </c>
      <c r="F284" s="278"/>
      <c r="G284" s="278" t="s">
        <v>5</v>
      </c>
      <c r="H284" s="290">
        <v>2</v>
      </c>
      <c r="I284" s="280">
        <f t="shared" si="27"/>
        <v>161.24</v>
      </c>
      <c r="J284" s="281">
        <f t="shared" si="28"/>
        <v>182.86</v>
      </c>
      <c r="K284" s="282">
        <f>IF(Notes!$B$9="Domestic",I284, IF(Notes!$B$9="Commercial",J284))*$K$261</f>
        <v>182.86</v>
      </c>
      <c r="L284" s="283">
        <f>(SUM(O284:Q284)+(K284+SUM(M284:Q284))*(INDEX($U$261:$AB$261,MATCH(Notes!$C$16,$U$3:$AB$3,0))-100%))*$L$261</f>
        <v>1902.3103999999998</v>
      </c>
      <c r="M284" s="286"/>
      <c r="N284" s="286"/>
      <c r="O284" s="311">
        <f t="shared" ref="O284:O289" si="29">O277+O277-O270</f>
        <v>1620.56</v>
      </c>
      <c r="P284" s="311">
        <f t="shared" si="25"/>
        <v>281.75040000000001</v>
      </c>
      <c r="Q284" s="285"/>
      <c r="R284" s="278"/>
      <c r="S284" s="278"/>
      <c r="T284" s="278"/>
      <c r="U284" s="304"/>
    </row>
    <row r="285" spans="1:21" s="305" customFormat="1" ht="21.75" hidden="1" customHeight="1" outlineLevel="1" x14ac:dyDescent="0.25">
      <c r="A285" s="278"/>
      <c r="B285" s="279" t="str">
        <f t="shared" si="26"/>
        <v>18001500AL/BFW</v>
      </c>
      <c r="C285" s="278">
        <v>1800</v>
      </c>
      <c r="D285" s="278">
        <v>1500</v>
      </c>
      <c r="E285" s="278" t="s">
        <v>941</v>
      </c>
      <c r="F285" s="278"/>
      <c r="G285" s="278" t="s">
        <v>5</v>
      </c>
      <c r="H285" s="290">
        <v>3</v>
      </c>
      <c r="I285" s="280">
        <f t="shared" si="27"/>
        <v>241.86</v>
      </c>
      <c r="J285" s="281">
        <f t="shared" si="28"/>
        <v>274.29000000000002</v>
      </c>
      <c r="K285" s="282">
        <f>IF(Notes!$B$9="Domestic",I285, IF(Notes!$B$9="Commercial",J285))*$K$261</f>
        <v>274.29000000000002</v>
      </c>
      <c r="L285" s="283">
        <f>(SUM(O285:Q285)+(K285+SUM(M285:Q285))*(INDEX($U$261:$AB$261,MATCH(Notes!$C$16,$U$3:$AB$3,0))-100%))*$L$261</f>
        <v>2476.9580000000005</v>
      </c>
      <c r="M285" s="286"/>
      <c r="N285" s="286"/>
      <c r="O285" s="311">
        <f t="shared" si="29"/>
        <v>2124.7700000000004</v>
      </c>
      <c r="P285" s="311">
        <f t="shared" si="25"/>
        <v>352.18799999999999</v>
      </c>
      <c r="Q285" s="285"/>
      <c r="R285" s="278"/>
      <c r="S285" s="278"/>
      <c r="T285" s="278"/>
      <c r="U285" s="304"/>
    </row>
    <row r="286" spans="1:21" s="305" customFormat="1" ht="21.75" hidden="1" customHeight="1" outlineLevel="1" x14ac:dyDescent="0.25">
      <c r="A286" s="278"/>
      <c r="B286" s="279" t="str">
        <f t="shared" si="26"/>
        <v>18001800AL/BFW</v>
      </c>
      <c r="C286" s="278">
        <v>1800</v>
      </c>
      <c r="D286" s="278">
        <v>1800</v>
      </c>
      <c r="E286" s="278" t="s">
        <v>941</v>
      </c>
      <c r="F286" s="278"/>
      <c r="G286" s="278" t="s">
        <v>5</v>
      </c>
      <c r="H286" s="290">
        <v>3</v>
      </c>
      <c r="I286" s="280">
        <f t="shared" si="27"/>
        <v>241.86</v>
      </c>
      <c r="J286" s="281">
        <f t="shared" si="28"/>
        <v>274.29000000000002</v>
      </c>
      <c r="K286" s="282">
        <f>IF(Notes!$B$9="Domestic",I286, IF(Notes!$B$9="Commercial",J286))*$K$261</f>
        <v>274.29000000000002</v>
      </c>
      <c r="L286" s="283">
        <f>(SUM(O286:Q286)+(K286+SUM(M286:Q286))*(INDEX($U$261:$AB$261,MATCH(Notes!$C$16,$U$3:$AB$3,0))-100%))*$L$261</f>
        <v>2621.6855999999998</v>
      </c>
      <c r="M286" s="286"/>
      <c r="N286" s="286"/>
      <c r="O286" s="311">
        <f t="shared" si="29"/>
        <v>2199.06</v>
      </c>
      <c r="P286" s="311">
        <f t="shared" si="25"/>
        <v>422.62559999999996</v>
      </c>
      <c r="Q286" s="285"/>
      <c r="R286" s="278"/>
      <c r="S286" s="278"/>
      <c r="T286" s="278"/>
      <c r="U286" s="304"/>
    </row>
    <row r="287" spans="1:21" s="305" customFormat="1" ht="21.75" hidden="1" customHeight="1" outlineLevel="1" x14ac:dyDescent="0.25">
      <c r="A287" s="278"/>
      <c r="B287" s="279" t="str">
        <f t="shared" si="26"/>
        <v>18002100AL/BFW</v>
      </c>
      <c r="C287" s="278">
        <v>1800</v>
      </c>
      <c r="D287" s="278">
        <v>2100</v>
      </c>
      <c r="E287" s="278" t="s">
        <v>941</v>
      </c>
      <c r="F287" s="278"/>
      <c r="G287" s="278" t="s">
        <v>5</v>
      </c>
      <c r="H287" s="290">
        <v>3</v>
      </c>
      <c r="I287" s="280">
        <f t="shared" si="27"/>
        <v>241.86</v>
      </c>
      <c r="J287" s="281">
        <f t="shared" si="28"/>
        <v>274.29000000000002</v>
      </c>
      <c r="K287" s="282">
        <f>IF(Notes!$B$9="Domestic",I287, IF(Notes!$B$9="Commercial",J287))*$K$261</f>
        <v>274.29000000000002</v>
      </c>
      <c r="L287" s="283">
        <f>(SUM(O287:Q287)+(K287+SUM(M287:Q287))*(INDEX($U$261:$AB$261,MATCH(Notes!$C$16,$U$3:$AB$3,0))-100%))*$L$261</f>
        <v>3472.5232000000001</v>
      </c>
      <c r="M287" s="286"/>
      <c r="N287" s="286"/>
      <c r="O287" s="311">
        <f t="shared" si="29"/>
        <v>2979.46</v>
      </c>
      <c r="P287" s="311">
        <f t="shared" si="25"/>
        <v>493.06319999999999</v>
      </c>
      <c r="Q287" s="285"/>
      <c r="R287" s="278"/>
      <c r="S287" s="278"/>
      <c r="T287" s="278"/>
      <c r="U287" s="304"/>
    </row>
    <row r="288" spans="1:21" s="305" customFormat="1" ht="21.75" hidden="1" customHeight="1" outlineLevel="1" x14ac:dyDescent="0.25">
      <c r="A288" s="278"/>
      <c r="B288" s="279" t="str">
        <f t="shared" si="26"/>
        <v>18002400AL/BFW</v>
      </c>
      <c r="C288" s="278">
        <v>1800</v>
      </c>
      <c r="D288" s="278">
        <v>2400</v>
      </c>
      <c r="E288" s="278" t="s">
        <v>941</v>
      </c>
      <c r="F288" s="278"/>
      <c r="G288" s="278" t="s">
        <v>5</v>
      </c>
      <c r="H288" s="290">
        <v>4</v>
      </c>
      <c r="I288" s="280">
        <f t="shared" si="27"/>
        <v>322.48</v>
      </c>
      <c r="J288" s="281">
        <f t="shared" si="28"/>
        <v>365.72</v>
      </c>
      <c r="K288" s="282">
        <f>IF(Notes!$B$9="Domestic",I288, IF(Notes!$B$9="Commercial",J288))*$K$261</f>
        <v>365.72</v>
      </c>
      <c r="L288" s="283">
        <f>(SUM(O288:Q288)+(K288+SUM(M288:Q288))*(INDEX($U$261:$AB$261,MATCH(Notes!$C$16,$U$3:$AB$3,0))-100%))*$L$261</f>
        <v>3748.9508000000005</v>
      </c>
      <c r="M288" s="286"/>
      <c r="N288" s="286"/>
      <c r="O288" s="311">
        <f t="shared" si="29"/>
        <v>3185.4500000000003</v>
      </c>
      <c r="P288" s="311">
        <f t="shared" si="25"/>
        <v>563.50080000000003</v>
      </c>
      <c r="Q288" s="285"/>
      <c r="R288" s="278"/>
      <c r="S288" s="278"/>
      <c r="T288" s="278"/>
      <c r="U288" s="304"/>
    </row>
    <row r="289" spans="1:28" s="305" customFormat="1" ht="21.75" hidden="1" customHeight="1" outlineLevel="1" x14ac:dyDescent="0.25">
      <c r="A289" s="278"/>
      <c r="B289" s="279" t="str">
        <f t="shared" si="26"/>
        <v>18002700AL/BFW</v>
      </c>
      <c r="C289" s="278">
        <v>1800</v>
      </c>
      <c r="D289" s="278">
        <v>2700</v>
      </c>
      <c r="E289" s="278" t="s">
        <v>941</v>
      </c>
      <c r="F289" s="278"/>
      <c r="G289" s="278" t="s">
        <v>5</v>
      </c>
      <c r="H289" s="290">
        <v>4</v>
      </c>
      <c r="I289" s="280">
        <f t="shared" si="27"/>
        <v>322.48</v>
      </c>
      <c r="J289" s="281">
        <f t="shared" si="28"/>
        <v>365.72</v>
      </c>
      <c r="K289" s="282">
        <f>IF(Notes!$B$9="Domestic",I289, IF(Notes!$B$9="Commercial",J289))*$K$261</f>
        <v>365.72</v>
      </c>
      <c r="L289" s="283">
        <f>(SUM(O289:Q289)+(K289+SUM(M289:Q289))*(INDEX($U$261:$AB$261,MATCH(Notes!$C$16,$U$3:$AB$3,0))-100%))*$L$261</f>
        <v>4065.6854000000003</v>
      </c>
      <c r="M289" s="286"/>
      <c r="N289" s="286"/>
      <c r="O289" s="311">
        <f t="shared" si="29"/>
        <v>3431.7470000000003</v>
      </c>
      <c r="P289" s="311">
        <f t="shared" si="25"/>
        <v>633.9384</v>
      </c>
      <c r="Q289" s="285"/>
      <c r="R289" s="278"/>
      <c r="S289" s="278"/>
      <c r="T289" s="278"/>
      <c r="U289" s="304"/>
    </row>
    <row r="290" spans="1:28" ht="21" hidden="1" outlineLevel="1" x14ac:dyDescent="0.25">
      <c r="A290" s="299" t="s">
        <v>143</v>
      </c>
      <c r="B290" s="299"/>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row>
    <row r="291" spans="1:28" ht="15.75" hidden="1" outlineLevel="1" x14ac:dyDescent="0.25">
      <c r="A291" s="291"/>
      <c r="B291" s="291"/>
      <c r="C291" s="291"/>
      <c r="D291" s="291"/>
      <c r="E291" s="291"/>
      <c r="F291" s="291"/>
      <c r="G291" s="291"/>
      <c r="H291" s="291"/>
      <c r="I291" s="291"/>
      <c r="J291" s="291"/>
      <c r="K291" s="291">
        <f>K$2</f>
        <v>1</v>
      </c>
      <c r="L291" s="291">
        <f>L$2</f>
        <v>1</v>
      </c>
      <c r="M291" s="291"/>
      <c r="N291" s="291"/>
      <c r="O291" s="303"/>
      <c r="P291" s="303"/>
      <c r="Q291" s="303"/>
      <c r="R291" s="291"/>
      <c r="S291" s="291"/>
      <c r="T291" s="291"/>
      <c r="U291" s="291">
        <f>U$2</f>
        <v>0.89965397923875434</v>
      </c>
      <c r="V291" s="291">
        <f>V$2</f>
        <v>1</v>
      </c>
      <c r="W291" s="291">
        <f t="shared" ref="W291:AB291" si="30">W$2</f>
        <v>0.92214532871972321</v>
      </c>
      <c r="X291" s="291">
        <f t="shared" si="30"/>
        <v>0.89965397923875434</v>
      </c>
      <c r="Y291" s="291">
        <f t="shared" si="30"/>
        <v>1.0069204152249136</v>
      </c>
      <c r="Z291" s="291">
        <f t="shared" si="30"/>
        <v>0.856401384083045</v>
      </c>
      <c r="AA291" s="291">
        <f t="shared" si="30"/>
        <v>0.856401384083045</v>
      </c>
      <c r="AB291" s="291">
        <f t="shared" si="30"/>
        <v>1.0121107266435987</v>
      </c>
    </row>
    <row r="292" spans="1:28" s="305" customFormat="1" ht="21.75" hidden="1" customHeight="1" outlineLevel="1" x14ac:dyDescent="0.25">
      <c r="A292" s="278"/>
      <c r="B292" s="279" t="str">
        <f>C292&amp;D292&amp;E292&amp;F292</f>
        <v>600600AL/FXW</v>
      </c>
      <c r="C292" s="278">
        <v>600</v>
      </c>
      <c r="D292" s="278">
        <v>600</v>
      </c>
      <c r="E292" s="278" t="s">
        <v>942</v>
      </c>
      <c r="F292" s="278"/>
      <c r="G292" s="278" t="s">
        <v>5</v>
      </c>
      <c r="H292" s="290">
        <v>1</v>
      </c>
      <c r="I292" s="280">
        <f>$I$2*H292</f>
        <v>80.62</v>
      </c>
      <c r="J292" s="281">
        <f>$J$2*H292</f>
        <v>91.43</v>
      </c>
      <c r="K292" s="282">
        <f>IF(Notes!$B$9="Domestic",I292, IF(Notes!$B$9="Commercial",J292))*$K$291</f>
        <v>91.43</v>
      </c>
      <c r="L292" s="283">
        <f>(SUM(O292:Q292)+(K292+SUM(M292:Q292))*(INDEX($U$291:$AB$291,MATCH(Notes!$C$16,$U$3:$AB$3,0))-100%))*$L$291</f>
        <v>169.19839999999999</v>
      </c>
      <c r="M292" s="286"/>
      <c r="N292" s="286"/>
      <c r="O292" s="285">
        <v>122.24</v>
      </c>
      <c r="P292" s="311">
        <f t="shared" ref="P292:P355" si="31">$P$2*C292/1000*D292/1000</f>
        <v>46.958399999999997</v>
      </c>
      <c r="Q292" s="285"/>
      <c r="R292" s="278">
        <v>600</v>
      </c>
      <c r="S292" s="278">
        <v>600</v>
      </c>
      <c r="T292" s="278" t="s">
        <v>942</v>
      </c>
      <c r="U292" s="304"/>
    </row>
    <row r="293" spans="1:28" s="305" customFormat="1" ht="21.75" hidden="1" customHeight="1" outlineLevel="1" x14ac:dyDescent="0.25">
      <c r="A293" s="278"/>
      <c r="B293" s="279" t="str">
        <f t="shared" ref="B293:B355" si="32">C293&amp;D293&amp;E293&amp;F293</f>
        <v>600900AL/FXW</v>
      </c>
      <c r="C293" s="278">
        <v>600</v>
      </c>
      <c r="D293" s="278">
        <v>900</v>
      </c>
      <c r="E293" s="278" t="s">
        <v>942</v>
      </c>
      <c r="F293" s="278"/>
      <c r="G293" s="278" t="s">
        <v>5</v>
      </c>
      <c r="H293" s="290">
        <v>1</v>
      </c>
      <c r="I293" s="280">
        <f t="shared" ref="I293:I355" si="33">$I$2*H293</f>
        <v>80.62</v>
      </c>
      <c r="J293" s="281">
        <f t="shared" ref="J293:J355" si="34">$J$2*H293</f>
        <v>91.43</v>
      </c>
      <c r="K293" s="282">
        <f>IF(Notes!$B$9="Domestic",I293, IF(Notes!$B$9="Commercial",J293))*$K$291</f>
        <v>91.43</v>
      </c>
      <c r="L293" s="283">
        <f>(SUM(O293:Q293)+(K293+SUM(M293:Q293))*(INDEX($U$291:$AB$291,MATCH(Notes!$C$16,$U$3:$AB$3,0))-100%))*$L$291</f>
        <v>225.29759999999999</v>
      </c>
      <c r="M293" s="286"/>
      <c r="N293" s="286"/>
      <c r="O293" s="285">
        <v>154.86000000000001</v>
      </c>
      <c r="P293" s="311">
        <f t="shared" si="31"/>
        <v>70.437599999999989</v>
      </c>
      <c r="Q293" s="285"/>
      <c r="R293" s="278">
        <v>900</v>
      </c>
      <c r="S293" s="278">
        <v>900</v>
      </c>
      <c r="T293" s="278"/>
      <c r="U293" s="304"/>
    </row>
    <row r="294" spans="1:28" s="305" customFormat="1" ht="21.75" hidden="1" customHeight="1" outlineLevel="1" x14ac:dyDescent="0.25">
      <c r="A294" s="278"/>
      <c r="B294" s="279" t="str">
        <f t="shared" si="32"/>
        <v>6001200AL/FXW</v>
      </c>
      <c r="C294" s="278">
        <v>600</v>
      </c>
      <c r="D294" s="278">
        <v>1200</v>
      </c>
      <c r="E294" s="278" t="s">
        <v>942</v>
      </c>
      <c r="F294" s="278"/>
      <c r="G294" s="278" t="s">
        <v>5</v>
      </c>
      <c r="H294" s="290">
        <v>1</v>
      </c>
      <c r="I294" s="280">
        <f t="shared" si="33"/>
        <v>80.62</v>
      </c>
      <c r="J294" s="281">
        <f t="shared" si="34"/>
        <v>91.43</v>
      </c>
      <c r="K294" s="282">
        <f>IF(Notes!$B$9="Domestic",I294, IF(Notes!$B$9="Commercial",J294))*$K$291</f>
        <v>91.43</v>
      </c>
      <c r="L294" s="283">
        <f>(SUM(O294:Q294)+(K294+SUM(M294:Q294))*(INDEX($U$291:$AB$291,MATCH(Notes!$C$16,$U$3:$AB$3,0))-100%))*$L$291</f>
        <v>296.70679999999999</v>
      </c>
      <c r="M294" s="286"/>
      <c r="N294" s="286"/>
      <c r="O294" s="285">
        <v>202.79</v>
      </c>
      <c r="P294" s="311">
        <f t="shared" si="31"/>
        <v>93.916799999999995</v>
      </c>
      <c r="Q294" s="285"/>
      <c r="R294" s="278">
        <v>1200</v>
      </c>
      <c r="S294" s="278">
        <v>1200</v>
      </c>
      <c r="T294" s="278"/>
      <c r="U294" s="304"/>
    </row>
    <row r="295" spans="1:28" s="305" customFormat="1" ht="21.75" hidden="1" customHeight="1" outlineLevel="1" x14ac:dyDescent="0.25">
      <c r="A295" s="278"/>
      <c r="B295" s="279" t="str">
        <f t="shared" si="32"/>
        <v>6001500AL/FXW</v>
      </c>
      <c r="C295" s="278">
        <v>600</v>
      </c>
      <c r="D295" s="278">
        <v>1500</v>
      </c>
      <c r="E295" s="278" t="s">
        <v>942</v>
      </c>
      <c r="F295" s="278"/>
      <c r="G295" s="278" t="s">
        <v>5</v>
      </c>
      <c r="H295" s="290">
        <v>1</v>
      </c>
      <c r="I295" s="280">
        <f t="shared" si="33"/>
        <v>80.62</v>
      </c>
      <c r="J295" s="281">
        <f t="shared" si="34"/>
        <v>91.43</v>
      </c>
      <c r="K295" s="282">
        <f>IF(Notes!$B$9="Domestic",I295, IF(Notes!$B$9="Commercial",J295))*$K$291</f>
        <v>91.43</v>
      </c>
      <c r="L295" s="283">
        <f>(SUM(O295:Q295)+(K295+SUM(M295:Q295))*(INDEX($U$291:$AB$291,MATCH(Notes!$C$16,$U$3:$AB$3,0))-100%))*$L$291</f>
        <v>389.55600000000004</v>
      </c>
      <c r="M295" s="286"/>
      <c r="N295" s="286"/>
      <c r="O295" s="285">
        <v>272.16000000000003</v>
      </c>
      <c r="P295" s="311">
        <f t="shared" si="31"/>
        <v>117.396</v>
      </c>
      <c r="Q295" s="285"/>
      <c r="R295" s="278">
        <v>1500</v>
      </c>
      <c r="S295" s="278">
        <v>1500</v>
      </c>
      <c r="T295" s="278"/>
      <c r="U295" s="304"/>
    </row>
    <row r="296" spans="1:28" s="305" customFormat="1" ht="21.75" hidden="1" customHeight="1" outlineLevel="1" x14ac:dyDescent="0.25">
      <c r="A296" s="278"/>
      <c r="B296" s="279" t="str">
        <f t="shared" si="32"/>
        <v>6001800AL/FXW</v>
      </c>
      <c r="C296" s="278">
        <v>600</v>
      </c>
      <c r="D296" s="278">
        <v>1800</v>
      </c>
      <c r="E296" s="278" t="s">
        <v>942</v>
      </c>
      <c r="F296" s="278"/>
      <c r="G296" s="278" t="s">
        <v>5</v>
      </c>
      <c r="H296" s="290">
        <v>1</v>
      </c>
      <c r="I296" s="280">
        <f t="shared" si="33"/>
        <v>80.62</v>
      </c>
      <c r="J296" s="281">
        <f t="shared" si="34"/>
        <v>91.43</v>
      </c>
      <c r="K296" s="282">
        <f>IF(Notes!$B$9="Domestic",I296, IF(Notes!$B$9="Commercial",J296))*$K$291</f>
        <v>91.43</v>
      </c>
      <c r="L296" s="283">
        <f>(SUM(O296:Q296)+(K296+SUM(M296:Q296))*(INDEX($U$291:$AB$291,MATCH(Notes!$C$16,$U$3:$AB$3,0))-100%))*$L$291</f>
        <v>459.83519999999999</v>
      </c>
      <c r="M296" s="286"/>
      <c r="N296" s="286"/>
      <c r="O296" s="285">
        <v>318.95999999999998</v>
      </c>
      <c r="P296" s="311">
        <f t="shared" si="31"/>
        <v>140.87519999999998</v>
      </c>
      <c r="Q296" s="285"/>
      <c r="R296" s="278">
        <v>1800</v>
      </c>
      <c r="S296" s="278">
        <v>1800</v>
      </c>
      <c r="T296" s="278"/>
      <c r="U296" s="304"/>
    </row>
    <row r="297" spans="1:28" s="305" customFormat="1" ht="21.75" hidden="1" customHeight="1" outlineLevel="1" x14ac:dyDescent="0.25">
      <c r="A297" s="278"/>
      <c r="B297" s="279" t="str">
        <f t="shared" si="32"/>
        <v>6002100AL/FXW</v>
      </c>
      <c r="C297" s="278">
        <v>600</v>
      </c>
      <c r="D297" s="278">
        <v>2100</v>
      </c>
      <c r="E297" s="278" t="s">
        <v>942</v>
      </c>
      <c r="F297" s="278"/>
      <c r="G297" s="278" t="s">
        <v>5</v>
      </c>
      <c r="H297" s="290">
        <v>2</v>
      </c>
      <c r="I297" s="280">
        <f t="shared" si="33"/>
        <v>161.24</v>
      </c>
      <c r="J297" s="281">
        <f t="shared" si="34"/>
        <v>182.86</v>
      </c>
      <c r="K297" s="282">
        <f>IF(Notes!$B$9="Domestic",I297, IF(Notes!$B$9="Commercial",J297))*$K$291</f>
        <v>182.86</v>
      </c>
      <c r="L297" s="283">
        <f>(SUM(O297:Q297)+(K297+SUM(M297:Q297))*(INDEX($U$291:$AB$291,MATCH(Notes!$C$16,$U$3:$AB$3,0))-100%))*$L$291</f>
        <v>499.77440000000001</v>
      </c>
      <c r="M297" s="286"/>
      <c r="N297" s="286"/>
      <c r="O297" s="285">
        <v>335.42</v>
      </c>
      <c r="P297" s="311">
        <f t="shared" si="31"/>
        <v>164.3544</v>
      </c>
      <c r="Q297" s="285"/>
      <c r="R297" s="278">
        <v>2100</v>
      </c>
      <c r="S297" s="278">
        <v>2100</v>
      </c>
      <c r="T297" s="278"/>
      <c r="U297" s="304"/>
    </row>
    <row r="298" spans="1:28" s="305" customFormat="1" ht="21.75" hidden="1" customHeight="1" outlineLevel="1" x14ac:dyDescent="0.25">
      <c r="A298" s="278"/>
      <c r="B298" s="279" t="str">
        <f t="shared" si="32"/>
        <v>6002400AL/FXW</v>
      </c>
      <c r="C298" s="278">
        <v>600</v>
      </c>
      <c r="D298" s="278">
        <v>2400</v>
      </c>
      <c r="E298" s="278" t="s">
        <v>942</v>
      </c>
      <c r="F298" s="278"/>
      <c r="G298" s="278" t="s">
        <v>5</v>
      </c>
      <c r="H298" s="290">
        <v>2</v>
      </c>
      <c r="I298" s="280">
        <f t="shared" si="33"/>
        <v>161.24</v>
      </c>
      <c r="J298" s="281">
        <f t="shared" si="34"/>
        <v>182.86</v>
      </c>
      <c r="K298" s="282">
        <f>IF(Notes!$B$9="Domestic",I298, IF(Notes!$B$9="Commercial",J298))*$K$291</f>
        <v>182.86</v>
      </c>
      <c r="L298" s="283">
        <f>(SUM(O298:Q298)+(K298+SUM(M298:Q298))*(INDEX($U$291:$AB$291,MATCH(Notes!$C$16,$U$3:$AB$3,0))-100%))*$L$291</f>
        <v>569.70360000000005</v>
      </c>
      <c r="M298" s="286"/>
      <c r="N298" s="286"/>
      <c r="O298" s="285">
        <v>381.87</v>
      </c>
      <c r="P298" s="311">
        <f t="shared" si="31"/>
        <v>187.83359999999999</v>
      </c>
      <c r="Q298" s="285"/>
      <c r="R298" s="278">
        <v>2400</v>
      </c>
      <c r="S298" s="278">
        <v>2400</v>
      </c>
      <c r="T298" s="278"/>
      <c r="U298" s="304"/>
    </row>
    <row r="299" spans="1:28" s="305" customFormat="1" ht="21.75" hidden="1" customHeight="1" outlineLevel="1" x14ac:dyDescent="0.25">
      <c r="A299" s="278"/>
      <c r="B299" s="279" t="str">
        <f t="shared" si="32"/>
        <v>6002700AL/FXW</v>
      </c>
      <c r="C299" s="278">
        <v>600</v>
      </c>
      <c r="D299" s="278">
        <v>2700</v>
      </c>
      <c r="E299" s="278" t="s">
        <v>942</v>
      </c>
      <c r="F299" s="278"/>
      <c r="G299" s="278" t="s">
        <v>5</v>
      </c>
      <c r="H299" s="290">
        <v>2</v>
      </c>
      <c r="I299" s="280">
        <f t="shared" si="33"/>
        <v>161.24</v>
      </c>
      <c r="J299" s="281">
        <f t="shared" si="34"/>
        <v>182.86</v>
      </c>
      <c r="K299" s="282">
        <f>IF(Notes!$B$9="Domestic",I299, IF(Notes!$B$9="Commercial",J299))*$K$291</f>
        <v>182.86</v>
      </c>
      <c r="L299" s="283">
        <f>(SUM(O299:Q299)+(K299+SUM(M299:Q299))*(INDEX($U$291:$AB$291,MATCH(Notes!$C$16,$U$3:$AB$3,0))-100%))*$L$291</f>
        <v>1086.9628</v>
      </c>
      <c r="M299" s="286"/>
      <c r="N299" s="286"/>
      <c r="O299" s="285">
        <v>875.65</v>
      </c>
      <c r="P299" s="311">
        <f t="shared" si="31"/>
        <v>211.31279999999998</v>
      </c>
      <c r="Q299" s="285"/>
      <c r="R299" s="278">
        <v>2700</v>
      </c>
      <c r="S299" s="278">
        <v>2700</v>
      </c>
      <c r="T299" s="278"/>
      <c r="U299" s="304"/>
    </row>
    <row r="300" spans="1:28" s="305" customFormat="1" ht="21.75" hidden="1" customHeight="1" outlineLevel="1" x14ac:dyDescent="0.25">
      <c r="A300" s="278"/>
      <c r="B300" s="279" t="str">
        <f t="shared" si="32"/>
        <v>900600AL/FXW</v>
      </c>
      <c r="C300" s="278">
        <v>900</v>
      </c>
      <c r="D300" s="278">
        <v>600</v>
      </c>
      <c r="E300" s="278" t="s">
        <v>942</v>
      </c>
      <c r="F300" s="278"/>
      <c r="G300" s="278" t="s">
        <v>5</v>
      </c>
      <c r="H300" s="290">
        <v>1</v>
      </c>
      <c r="I300" s="280">
        <f t="shared" si="33"/>
        <v>80.62</v>
      </c>
      <c r="J300" s="281">
        <f t="shared" si="34"/>
        <v>91.43</v>
      </c>
      <c r="K300" s="282">
        <f>IF(Notes!$B$9="Domestic",I300, IF(Notes!$B$9="Commercial",J300))*$K$291</f>
        <v>91.43</v>
      </c>
      <c r="L300" s="283">
        <f>(SUM(O300:Q300)+(K300+SUM(M300:Q300))*(INDEX($U$291:$AB$291,MATCH(Notes!$C$16,$U$3:$AB$3,0))-100%))*$L$291</f>
        <v>225.49760000000001</v>
      </c>
      <c r="M300" s="286"/>
      <c r="N300" s="286"/>
      <c r="O300" s="285">
        <v>155.06</v>
      </c>
      <c r="P300" s="311">
        <f t="shared" si="31"/>
        <v>70.437600000000003</v>
      </c>
      <c r="Q300" s="285"/>
      <c r="R300" s="278"/>
      <c r="S300" s="278"/>
      <c r="T300" s="278"/>
      <c r="U300" s="304"/>
    </row>
    <row r="301" spans="1:28" s="305" customFormat="1" ht="21.75" hidden="1" customHeight="1" outlineLevel="1" x14ac:dyDescent="0.25">
      <c r="A301" s="278"/>
      <c r="B301" s="279" t="str">
        <f t="shared" si="32"/>
        <v>900900AL/FXW</v>
      </c>
      <c r="C301" s="278">
        <v>900</v>
      </c>
      <c r="D301" s="278">
        <v>900</v>
      </c>
      <c r="E301" s="278" t="s">
        <v>942</v>
      </c>
      <c r="F301" s="278"/>
      <c r="G301" s="278" t="s">
        <v>5</v>
      </c>
      <c r="H301" s="290">
        <v>1</v>
      </c>
      <c r="I301" s="280">
        <f t="shared" si="33"/>
        <v>80.62</v>
      </c>
      <c r="J301" s="281">
        <f t="shared" si="34"/>
        <v>91.43</v>
      </c>
      <c r="K301" s="282">
        <f>IF(Notes!$B$9="Domestic",I301, IF(Notes!$B$9="Commercial",J301))*$K$291</f>
        <v>91.43</v>
      </c>
      <c r="L301" s="283">
        <f>(SUM(O301:Q301)+(K301+SUM(M301:Q301))*(INDEX($U$291:$AB$291,MATCH(Notes!$C$16,$U$3:$AB$3,0))-100%))*$L$291</f>
        <v>332.76639999999998</v>
      </c>
      <c r="M301" s="286"/>
      <c r="N301" s="286"/>
      <c r="O301" s="285">
        <v>227.11</v>
      </c>
      <c r="P301" s="311">
        <f t="shared" si="31"/>
        <v>105.65639999999999</v>
      </c>
      <c r="Q301" s="285"/>
      <c r="R301" s="278"/>
      <c r="S301" s="278"/>
      <c r="T301" s="278"/>
      <c r="U301" s="304"/>
    </row>
    <row r="302" spans="1:28" s="305" customFormat="1" ht="21.75" hidden="1" customHeight="1" outlineLevel="1" x14ac:dyDescent="0.25">
      <c r="A302" s="278"/>
      <c r="B302" s="279" t="str">
        <f t="shared" si="32"/>
        <v>9001200AL/FXW</v>
      </c>
      <c r="C302" s="278">
        <v>900</v>
      </c>
      <c r="D302" s="278">
        <v>1200</v>
      </c>
      <c r="E302" s="278" t="s">
        <v>942</v>
      </c>
      <c r="F302" s="278"/>
      <c r="G302" s="278" t="s">
        <v>5</v>
      </c>
      <c r="H302" s="290">
        <v>1</v>
      </c>
      <c r="I302" s="280">
        <f t="shared" si="33"/>
        <v>80.62</v>
      </c>
      <c r="J302" s="281">
        <f t="shared" si="34"/>
        <v>91.43</v>
      </c>
      <c r="K302" s="282">
        <f>IF(Notes!$B$9="Domestic",I302, IF(Notes!$B$9="Commercial",J302))*$K$291</f>
        <v>91.43</v>
      </c>
      <c r="L302" s="283">
        <f>(SUM(O302:Q302)+(K302+SUM(M302:Q302))*(INDEX($U$291:$AB$291,MATCH(Notes!$C$16,$U$3:$AB$3,0))-100%))*$L$291</f>
        <v>432.23520000000002</v>
      </c>
      <c r="M302" s="286"/>
      <c r="N302" s="286"/>
      <c r="O302" s="285">
        <v>291.36</v>
      </c>
      <c r="P302" s="311">
        <f t="shared" si="31"/>
        <v>140.87520000000001</v>
      </c>
      <c r="Q302" s="285"/>
      <c r="R302" s="278"/>
      <c r="S302" s="278"/>
      <c r="T302" s="278"/>
      <c r="U302" s="304"/>
    </row>
    <row r="303" spans="1:28" s="305" customFormat="1" ht="21.75" hidden="1" customHeight="1" outlineLevel="1" x14ac:dyDescent="0.25">
      <c r="A303" s="278"/>
      <c r="B303" s="279" t="str">
        <f t="shared" si="32"/>
        <v>9001500AL/FXW</v>
      </c>
      <c r="C303" s="278">
        <v>900</v>
      </c>
      <c r="D303" s="278">
        <v>1500</v>
      </c>
      <c r="E303" s="278" t="s">
        <v>942</v>
      </c>
      <c r="F303" s="278"/>
      <c r="G303" s="278" t="s">
        <v>5</v>
      </c>
      <c r="H303" s="290">
        <v>2</v>
      </c>
      <c r="I303" s="280">
        <f t="shared" si="33"/>
        <v>161.24</v>
      </c>
      <c r="J303" s="281">
        <f t="shared" si="34"/>
        <v>182.86</v>
      </c>
      <c r="K303" s="282">
        <f>IF(Notes!$B$9="Domestic",I303, IF(Notes!$B$9="Commercial",J303))*$K$291</f>
        <v>182.86</v>
      </c>
      <c r="L303" s="283">
        <f>(SUM(O303:Q303)+(K303+SUM(M303:Q303))*(INDEX($U$291:$AB$291,MATCH(Notes!$C$16,$U$3:$AB$3,0))-100%))*$L$291</f>
        <v>526.99399999999991</v>
      </c>
      <c r="M303" s="286"/>
      <c r="N303" s="286"/>
      <c r="O303" s="285">
        <v>350.9</v>
      </c>
      <c r="P303" s="311">
        <f t="shared" si="31"/>
        <v>176.09399999999999</v>
      </c>
      <c r="Q303" s="285"/>
      <c r="R303" s="278"/>
      <c r="S303" s="278"/>
      <c r="T303" s="278"/>
      <c r="U303" s="304"/>
    </row>
    <row r="304" spans="1:28" s="305" customFormat="1" ht="21.75" hidden="1" customHeight="1" outlineLevel="1" x14ac:dyDescent="0.25">
      <c r="A304" s="278"/>
      <c r="B304" s="279" t="str">
        <f t="shared" si="32"/>
        <v>9001800AL/FXW</v>
      </c>
      <c r="C304" s="278">
        <v>900</v>
      </c>
      <c r="D304" s="278">
        <v>1800</v>
      </c>
      <c r="E304" s="278" t="s">
        <v>942</v>
      </c>
      <c r="F304" s="278"/>
      <c r="G304" s="278" t="s">
        <v>5</v>
      </c>
      <c r="H304" s="290">
        <v>2</v>
      </c>
      <c r="I304" s="280">
        <f t="shared" si="33"/>
        <v>161.24</v>
      </c>
      <c r="J304" s="281">
        <f t="shared" si="34"/>
        <v>182.86</v>
      </c>
      <c r="K304" s="282">
        <f>IF(Notes!$B$9="Domestic",I304, IF(Notes!$B$9="Commercial",J304))*$K$291</f>
        <v>182.86</v>
      </c>
      <c r="L304" s="283">
        <f>(SUM(O304:Q304)+(K304+SUM(M304:Q304))*(INDEX($U$291:$AB$291,MATCH(Notes!$C$16,$U$3:$AB$3,0))-100%))*$L$291</f>
        <v>639.82279999999992</v>
      </c>
      <c r="M304" s="286"/>
      <c r="N304" s="286"/>
      <c r="O304" s="285">
        <v>428.51</v>
      </c>
      <c r="P304" s="311">
        <f t="shared" si="31"/>
        <v>211.31279999999998</v>
      </c>
      <c r="Q304" s="285"/>
      <c r="R304" s="278"/>
      <c r="S304" s="278"/>
      <c r="T304" s="278"/>
      <c r="U304" s="304"/>
    </row>
    <row r="305" spans="1:21" s="305" customFormat="1" ht="21.75" hidden="1" customHeight="1" outlineLevel="1" x14ac:dyDescent="0.25">
      <c r="A305" s="278"/>
      <c r="B305" s="279" t="str">
        <f t="shared" si="32"/>
        <v>9002100AL/FXW</v>
      </c>
      <c r="C305" s="278">
        <v>900</v>
      </c>
      <c r="D305" s="278">
        <v>2100</v>
      </c>
      <c r="E305" s="278" t="s">
        <v>942</v>
      </c>
      <c r="F305" s="278"/>
      <c r="G305" s="278" t="s">
        <v>5</v>
      </c>
      <c r="H305" s="290">
        <v>2</v>
      </c>
      <c r="I305" s="280">
        <f t="shared" si="33"/>
        <v>161.24</v>
      </c>
      <c r="J305" s="281">
        <f t="shared" si="34"/>
        <v>182.86</v>
      </c>
      <c r="K305" s="282">
        <f>IF(Notes!$B$9="Domestic",I305, IF(Notes!$B$9="Commercial",J305))*$K$291</f>
        <v>182.86</v>
      </c>
      <c r="L305" s="283">
        <f>(SUM(O305:Q305)+(K305+SUM(M305:Q305))*(INDEX($U$291:$AB$291,MATCH(Notes!$C$16,$U$3:$AB$3,0))-100%))*$L$291</f>
        <v>737.48159999999996</v>
      </c>
      <c r="M305" s="286"/>
      <c r="N305" s="286"/>
      <c r="O305" s="285">
        <v>490.95</v>
      </c>
      <c r="P305" s="311">
        <f t="shared" si="31"/>
        <v>246.5316</v>
      </c>
      <c r="Q305" s="285"/>
      <c r="R305" s="278"/>
      <c r="S305" s="278"/>
      <c r="T305" s="278"/>
      <c r="U305" s="304"/>
    </row>
    <row r="306" spans="1:21" s="305" customFormat="1" ht="21.75" hidden="1" customHeight="1" outlineLevel="1" x14ac:dyDescent="0.25">
      <c r="A306" s="278"/>
      <c r="B306" s="279" t="str">
        <f t="shared" si="32"/>
        <v>9002400AL/FXW</v>
      </c>
      <c r="C306" s="278">
        <v>900</v>
      </c>
      <c r="D306" s="278">
        <v>2400</v>
      </c>
      <c r="E306" s="278" t="s">
        <v>942</v>
      </c>
      <c r="F306" s="278"/>
      <c r="G306" s="278" t="s">
        <v>5</v>
      </c>
      <c r="H306" s="290">
        <v>3</v>
      </c>
      <c r="I306" s="280">
        <f t="shared" si="33"/>
        <v>241.86</v>
      </c>
      <c r="J306" s="281">
        <f t="shared" si="34"/>
        <v>274.29000000000002</v>
      </c>
      <c r="K306" s="282">
        <f>IF(Notes!$B$9="Domestic",I306, IF(Notes!$B$9="Commercial",J306))*$K$291</f>
        <v>274.29000000000002</v>
      </c>
      <c r="L306" s="283">
        <f>(SUM(O306:Q306)+(K306+SUM(M306:Q306))*(INDEX($U$291:$AB$291,MATCH(Notes!$C$16,$U$3:$AB$3,0))-100%))*$L$291</f>
        <v>819.62040000000002</v>
      </c>
      <c r="M306" s="286"/>
      <c r="N306" s="286"/>
      <c r="O306" s="285">
        <v>537.87</v>
      </c>
      <c r="P306" s="311">
        <f t="shared" si="31"/>
        <v>281.75040000000001</v>
      </c>
      <c r="Q306" s="285"/>
      <c r="R306" s="278"/>
      <c r="S306" s="278"/>
      <c r="T306" s="278"/>
      <c r="U306" s="304"/>
    </row>
    <row r="307" spans="1:21" s="305" customFormat="1" ht="21.75" hidden="1" customHeight="1" outlineLevel="1" x14ac:dyDescent="0.25">
      <c r="A307" s="278"/>
      <c r="B307" s="279" t="str">
        <f t="shared" si="32"/>
        <v>9002700AL/FXW</v>
      </c>
      <c r="C307" s="278">
        <v>900</v>
      </c>
      <c r="D307" s="278">
        <v>2700</v>
      </c>
      <c r="E307" s="278" t="s">
        <v>942</v>
      </c>
      <c r="F307" s="278"/>
      <c r="G307" s="278" t="s">
        <v>5</v>
      </c>
      <c r="H307" s="290">
        <v>3</v>
      </c>
      <c r="I307" s="280">
        <f t="shared" si="33"/>
        <v>241.86</v>
      </c>
      <c r="J307" s="281">
        <f t="shared" si="34"/>
        <v>274.29000000000002</v>
      </c>
      <c r="K307" s="282">
        <f>IF(Notes!$B$9="Domestic",I307, IF(Notes!$B$9="Commercial",J307))*$K$291</f>
        <v>274.29000000000002</v>
      </c>
      <c r="L307" s="283">
        <f>(SUM(O307:Q307)+(K307+SUM(M307:Q307))*(INDEX($U$291:$AB$291,MATCH(Notes!$C$16,$U$3:$AB$3,0))-100%))*$L$291</f>
        <v>1222.7791999999999</v>
      </c>
      <c r="M307" s="286"/>
      <c r="N307" s="286"/>
      <c r="O307" s="285">
        <v>905.81</v>
      </c>
      <c r="P307" s="311">
        <f t="shared" si="31"/>
        <v>316.9692</v>
      </c>
      <c r="Q307" s="285"/>
      <c r="R307" s="278"/>
      <c r="S307" s="278"/>
      <c r="T307" s="278"/>
      <c r="U307" s="304"/>
    </row>
    <row r="308" spans="1:21" s="305" customFormat="1" ht="21.75" hidden="1" customHeight="1" outlineLevel="1" x14ac:dyDescent="0.25">
      <c r="A308" s="278"/>
      <c r="B308" s="279" t="str">
        <f t="shared" si="32"/>
        <v>1200600AL/FXW</v>
      </c>
      <c r="C308" s="278">
        <v>1200</v>
      </c>
      <c r="D308" s="278">
        <v>600</v>
      </c>
      <c r="E308" s="278" t="s">
        <v>942</v>
      </c>
      <c r="F308" s="278"/>
      <c r="G308" s="278" t="s">
        <v>5</v>
      </c>
      <c r="H308" s="290">
        <v>1</v>
      </c>
      <c r="I308" s="280">
        <f t="shared" si="33"/>
        <v>80.62</v>
      </c>
      <c r="J308" s="281">
        <f t="shared" si="34"/>
        <v>91.43</v>
      </c>
      <c r="K308" s="282">
        <f>IF(Notes!$B$9="Domestic",I308, IF(Notes!$B$9="Commercial",J308))*$K$291</f>
        <v>91.43</v>
      </c>
      <c r="L308" s="283">
        <f>(SUM(O308:Q308)+(K308+SUM(M308:Q308))*(INDEX($U$291:$AB$291,MATCH(Notes!$C$16,$U$3:$AB$3,0))-100%))*$L$291</f>
        <v>296.90679999999998</v>
      </c>
      <c r="M308" s="286"/>
      <c r="N308" s="286"/>
      <c r="O308" s="285">
        <v>202.99</v>
      </c>
      <c r="P308" s="311">
        <f t="shared" si="31"/>
        <v>93.916799999999995</v>
      </c>
      <c r="Q308" s="285"/>
      <c r="R308" s="278"/>
      <c r="S308" s="278"/>
      <c r="T308" s="278"/>
      <c r="U308" s="304"/>
    </row>
    <row r="309" spans="1:21" s="305" customFormat="1" ht="21.75" hidden="1" customHeight="1" outlineLevel="1" x14ac:dyDescent="0.25">
      <c r="A309" s="278"/>
      <c r="B309" s="279" t="str">
        <f t="shared" si="32"/>
        <v>1200900AL/FXW</v>
      </c>
      <c r="C309" s="278">
        <v>1200</v>
      </c>
      <c r="D309" s="278">
        <v>900</v>
      </c>
      <c r="E309" s="278" t="s">
        <v>942</v>
      </c>
      <c r="F309" s="278"/>
      <c r="G309" s="278" t="s">
        <v>5</v>
      </c>
      <c r="H309" s="290">
        <v>1</v>
      </c>
      <c r="I309" s="280">
        <f t="shared" si="33"/>
        <v>80.62</v>
      </c>
      <c r="J309" s="281">
        <f t="shared" si="34"/>
        <v>91.43</v>
      </c>
      <c r="K309" s="282">
        <f>IF(Notes!$B$9="Domestic",I309, IF(Notes!$B$9="Commercial",J309))*$K$291</f>
        <v>91.43</v>
      </c>
      <c r="L309" s="283">
        <f>(SUM(O309:Q309)+(K309+SUM(M309:Q309))*(INDEX($U$291:$AB$291,MATCH(Notes!$C$16,$U$3:$AB$3,0))-100%))*$L$291</f>
        <v>432.23519999999996</v>
      </c>
      <c r="M309" s="286"/>
      <c r="N309" s="286"/>
      <c r="O309" s="285">
        <v>291.36</v>
      </c>
      <c r="P309" s="311">
        <f t="shared" si="31"/>
        <v>140.87519999999998</v>
      </c>
      <c r="Q309" s="285"/>
      <c r="R309" s="278"/>
      <c r="S309" s="278"/>
      <c r="T309" s="278"/>
      <c r="U309" s="304"/>
    </row>
    <row r="310" spans="1:21" s="305" customFormat="1" ht="21.75" hidden="1" customHeight="1" outlineLevel="1" x14ac:dyDescent="0.25">
      <c r="A310" s="278"/>
      <c r="B310" s="279" t="str">
        <f t="shared" si="32"/>
        <v>12001200AL/FXW</v>
      </c>
      <c r="C310" s="278">
        <v>1200</v>
      </c>
      <c r="D310" s="278">
        <v>1200</v>
      </c>
      <c r="E310" s="278" t="s">
        <v>942</v>
      </c>
      <c r="F310" s="278"/>
      <c r="G310" s="278" t="s">
        <v>5</v>
      </c>
      <c r="H310" s="290">
        <v>2</v>
      </c>
      <c r="I310" s="280">
        <f t="shared" si="33"/>
        <v>161.24</v>
      </c>
      <c r="J310" s="281">
        <f t="shared" si="34"/>
        <v>182.86</v>
      </c>
      <c r="K310" s="282">
        <f>IF(Notes!$B$9="Domestic",I310, IF(Notes!$B$9="Commercial",J310))*$K$291</f>
        <v>182.86</v>
      </c>
      <c r="L310" s="283">
        <f>(SUM(O310:Q310)+(K310+SUM(M310:Q310))*(INDEX($U$291:$AB$291,MATCH(Notes!$C$16,$U$3:$AB$3,0))-100%))*$L$291</f>
        <v>528.04359999999997</v>
      </c>
      <c r="M310" s="286"/>
      <c r="N310" s="286"/>
      <c r="O310" s="285">
        <v>340.21</v>
      </c>
      <c r="P310" s="311">
        <f t="shared" si="31"/>
        <v>187.83359999999999</v>
      </c>
      <c r="Q310" s="285"/>
      <c r="R310" s="278"/>
      <c r="S310" s="278"/>
      <c r="T310" s="278"/>
      <c r="U310" s="304"/>
    </row>
    <row r="311" spans="1:21" s="305" customFormat="1" ht="21.75" hidden="1" customHeight="1" outlineLevel="1" x14ac:dyDescent="0.25">
      <c r="A311" s="278"/>
      <c r="B311" s="279" t="str">
        <f t="shared" si="32"/>
        <v>12001500AL/FXW</v>
      </c>
      <c r="C311" s="278">
        <v>1200</v>
      </c>
      <c r="D311" s="278">
        <v>1500</v>
      </c>
      <c r="E311" s="278" t="s">
        <v>942</v>
      </c>
      <c r="F311" s="278"/>
      <c r="G311" s="278" t="s">
        <v>5</v>
      </c>
      <c r="H311" s="290">
        <v>2</v>
      </c>
      <c r="I311" s="280">
        <f t="shared" si="33"/>
        <v>161.24</v>
      </c>
      <c r="J311" s="281">
        <f t="shared" si="34"/>
        <v>182.86</v>
      </c>
      <c r="K311" s="282">
        <f>IF(Notes!$B$9="Domestic",I311, IF(Notes!$B$9="Commercial",J311))*$K$291</f>
        <v>182.86</v>
      </c>
      <c r="L311" s="283">
        <f>(SUM(O311:Q311)+(K311+SUM(M311:Q311))*(INDEX($U$291:$AB$291,MATCH(Notes!$C$16,$U$3:$AB$3,0))-100%))*$L$291</f>
        <v>694.22199999999998</v>
      </c>
      <c r="M311" s="286"/>
      <c r="N311" s="286"/>
      <c r="O311" s="285">
        <v>459.43</v>
      </c>
      <c r="P311" s="311">
        <f t="shared" si="31"/>
        <v>234.792</v>
      </c>
      <c r="Q311" s="285"/>
      <c r="R311" s="278"/>
      <c r="S311" s="278"/>
      <c r="T311" s="278"/>
      <c r="U311" s="304"/>
    </row>
    <row r="312" spans="1:21" s="305" customFormat="1" ht="21.75" hidden="1" customHeight="1" outlineLevel="1" x14ac:dyDescent="0.25">
      <c r="A312" s="278"/>
      <c r="B312" s="279" t="str">
        <f t="shared" si="32"/>
        <v>12001800AL/FXW</v>
      </c>
      <c r="C312" s="278">
        <v>1200</v>
      </c>
      <c r="D312" s="278">
        <v>1800</v>
      </c>
      <c r="E312" s="278" t="s">
        <v>942</v>
      </c>
      <c r="F312" s="278"/>
      <c r="G312" s="278" t="s">
        <v>5</v>
      </c>
      <c r="H312" s="290">
        <v>3</v>
      </c>
      <c r="I312" s="280">
        <f t="shared" si="33"/>
        <v>241.86</v>
      </c>
      <c r="J312" s="281">
        <f t="shared" si="34"/>
        <v>274.29000000000002</v>
      </c>
      <c r="K312" s="282">
        <f>IF(Notes!$B$9="Domestic",I312, IF(Notes!$B$9="Commercial",J312))*$K$291</f>
        <v>274.29000000000002</v>
      </c>
      <c r="L312" s="283">
        <f>(SUM(O312:Q312)+(K312+SUM(M312:Q312))*(INDEX($U$291:$AB$291,MATCH(Notes!$C$16,$U$3:$AB$3,0))-100%))*$L$291</f>
        <v>819.26039999999989</v>
      </c>
      <c r="M312" s="286"/>
      <c r="N312" s="286"/>
      <c r="O312" s="285">
        <v>537.51</v>
      </c>
      <c r="P312" s="311">
        <f t="shared" si="31"/>
        <v>281.75039999999996</v>
      </c>
      <c r="Q312" s="285"/>
      <c r="R312" s="278"/>
      <c r="S312" s="278"/>
      <c r="T312" s="278"/>
      <c r="U312" s="304"/>
    </row>
    <row r="313" spans="1:21" s="305" customFormat="1" ht="21.75" hidden="1" customHeight="1" outlineLevel="1" x14ac:dyDescent="0.25">
      <c r="A313" s="278"/>
      <c r="B313" s="279" t="str">
        <f t="shared" si="32"/>
        <v>12002100AL/FXW</v>
      </c>
      <c r="C313" s="278">
        <v>1200</v>
      </c>
      <c r="D313" s="278">
        <v>2100</v>
      </c>
      <c r="E313" s="278" t="s">
        <v>942</v>
      </c>
      <c r="F313" s="278"/>
      <c r="G313" s="278" t="s">
        <v>5</v>
      </c>
      <c r="H313" s="290">
        <v>3</v>
      </c>
      <c r="I313" s="280">
        <f t="shared" si="33"/>
        <v>241.86</v>
      </c>
      <c r="J313" s="281">
        <f t="shared" si="34"/>
        <v>274.29000000000002</v>
      </c>
      <c r="K313" s="282">
        <f>IF(Notes!$B$9="Domestic",I313, IF(Notes!$B$9="Commercial",J313))*$K$291</f>
        <v>274.29000000000002</v>
      </c>
      <c r="L313" s="283">
        <f>(SUM(O313:Q313)+(K313+SUM(M313:Q313))*(INDEX($U$291:$AB$291,MATCH(Notes!$C$16,$U$3:$AB$3,0))-100%))*$L$291</f>
        <v>929.11879999999996</v>
      </c>
      <c r="M313" s="286"/>
      <c r="N313" s="286"/>
      <c r="O313" s="285">
        <v>600.41</v>
      </c>
      <c r="P313" s="311">
        <f t="shared" si="31"/>
        <v>328.7088</v>
      </c>
      <c r="Q313" s="285"/>
      <c r="R313" s="278"/>
      <c r="S313" s="278"/>
      <c r="T313" s="278"/>
      <c r="U313" s="304"/>
    </row>
    <row r="314" spans="1:21" s="305" customFormat="1" ht="21.75" hidden="1" customHeight="1" outlineLevel="1" x14ac:dyDescent="0.25">
      <c r="A314" s="278"/>
      <c r="B314" s="279" t="str">
        <f t="shared" si="32"/>
        <v>12002400AL/FXW</v>
      </c>
      <c r="C314" s="278">
        <v>1200</v>
      </c>
      <c r="D314" s="278">
        <v>2400</v>
      </c>
      <c r="E314" s="278" t="s">
        <v>942</v>
      </c>
      <c r="F314" s="278"/>
      <c r="G314" s="278" t="s">
        <v>5</v>
      </c>
      <c r="H314" s="290">
        <v>3</v>
      </c>
      <c r="I314" s="280">
        <f t="shared" si="33"/>
        <v>241.86</v>
      </c>
      <c r="J314" s="281">
        <f t="shared" si="34"/>
        <v>274.29000000000002</v>
      </c>
      <c r="K314" s="282">
        <f>IF(Notes!$B$9="Domestic",I314, IF(Notes!$B$9="Commercial",J314))*$K$291</f>
        <v>274.29000000000002</v>
      </c>
      <c r="L314" s="283">
        <f>(SUM(O314:Q314)+(K314+SUM(M314:Q314))*(INDEX($U$291:$AB$291,MATCH(Notes!$C$16,$U$3:$AB$3,0))-100%))*$L$291</f>
        <v>1038.6071999999999</v>
      </c>
      <c r="M314" s="286"/>
      <c r="N314" s="286"/>
      <c r="O314" s="285">
        <v>662.94</v>
      </c>
      <c r="P314" s="311">
        <f t="shared" si="31"/>
        <v>375.66719999999998</v>
      </c>
      <c r="Q314" s="285"/>
      <c r="R314" s="278"/>
      <c r="S314" s="278"/>
      <c r="T314" s="278"/>
      <c r="U314" s="304"/>
    </row>
    <row r="315" spans="1:21" s="305" customFormat="1" ht="21.75" hidden="1" customHeight="1" outlineLevel="1" x14ac:dyDescent="0.25">
      <c r="A315" s="278"/>
      <c r="B315" s="279" t="str">
        <f t="shared" si="32"/>
        <v>12002700AL/FXW</v>
      </c>
      <c r="C315" s="278">
        <v>1200</v>
      </c>
      <c r="D315" s="278">
        <v>2700</v>
      </c>
      <c r="E315" s="278" t="s">
        <v>942</v>
      </c>
      <c r="F315" s="278"/>
      <c r="G315" s="278" t="s">
        <v>5</v>
      </c>
      <c r="H315" s="290">
        <v>4</v>
      </c>
      <c r="I315" s="280">
        <f t="shared" si="33"/>
        <v>322.48</v>
      </c>
      <c r="J315" s="281">
        <f t="shared" si="34"/>
        <v>365.72</v>
      </c>
      <c r="K315" s="282">
        <f>IF(Notes!$B$9="Domestic",I315, IF(Notes!$B$9="Commercial",J315))*$K$291</f>
        <v>365.72</v>
      </c>
      <c r="L315" s="283">
        <f>(SUM(O315:Q315)+(K315+SUM(M315:Q315))*(INDEX($U$291:$AB$291,MATCH(Notes!$C$16,$U$3:$AB$3,0))-100%))*$L$291</f>
        <v>1358.0255999999999</v>
      </c>
      <c r="M315" s="286"/>
      <c r="N315" s="286"/>
      <c r="O315" s="285">
        <v>935.4</v>
      </c>
      <c r="P315" s="311">
        <f t="shared" si="31"/>
        <v>422.62559999999996</v>
      </c>
      <c r="Q315" s="285"/>
      <c r="R315" s="278"/>
      <c r="S315" s="278"/>
      <c r="T315" s="278"/>
      <c r="U315" s="304"/>
    </row>
    <row r="316" spans="1:21" s="305" customFormat="1" ht="21.75" hidden="1" customHeight="1" outlineLevel="1" x14ac:dyDescent="0.25">
      <c r="A316" s="278"/>
      <c r="B316" s="279" t="str">
        <f t="shared" si="32"/>
        <v>1500600AL/FXW</v>
      </c>
      <c r="C316" s="278">
        <v>1500</v>
      </c>
      <c r="D316" s="278">
        <v>600</v>
      </c>
      <c r="E316" s="278" t="s">
        <v>942</v>
      </c>
      <c r="F316" s="278"/>
      <c r="G316" s="278" t="s">
        <v>5</v>
      </c>
      <c r="H316" s="290">
        <v>1</v>
      </c>
      <c r="I316" s="280">
        <f t="shared" si="33"/>
        <v>80.62</v>
      </c>
      <c r="J316" s="281">
        <f t="shared" si="34"/>
        <v>91.43</v>
      </c>
      <c r="K316" s="282">
        <f>IF(Notes!$B$9="Domestic",I316, IF(Notes!$B$9="Commercial",J316))*$K$291</f>
        <v>91.43</v>
      </c>
      <c r="L316" s="283">
        <f>(SUM(O316:Q316)+(K316+SUM(M316:Q316))*(INDEX($U$291:$AB$291,MATCH(Notes!$C$16,$U$3:$AB$3,0))-100%))*$L$291</f>
        <v>361.02600000000001</v>
      </c>
      <c r="M316" s="286"/>
      <c r="N316" s="286"/>
      <c r="O316" s="285">
        <v>243.63</v>
      </c>
      <c r="P316" s="311">
        <f t="shared" si="31"/>
        <v>117.396</v>
      </c>
      <c r="Q316" s="285"/>
      <c r="R316" s="278"/>
      <c r="S316" s="278"/>
      <c r="T316" s="278"/>
      <c r="U316" s="304"/>
    </row>
    <row r="317" spans="1:21" s="305" customFormat="1" ht="21.75" hidden="1" customHeight="1" outlineLevel="1" x14ac:dyDescent="0.25">
      <c r="A317" s="278"/>
      <c r="B317" s="279" t="str">
        <f t="shared" si="32"/>
        <v>1500900AL/FXW</v>
      </c>
      <c r="C317" s="278">
        <v>1500</v>
      </c>
      <c r="D317" s="278">
        <v>900</v>
      </c>
      <c r="E317" s="278" t="s">
        <v>942</v>
      </c>
      <c r="F317" s="278"/>
      <c r="G317" s="278" t="s">
        <v>5</v>
      </c>
      <c r="H317" s="290">
        <v>2</v>
      </c>
      <c r="I317" s="280">
        <f t="shared" si="33"/>
        <v>161.24</v>
      </c>
      <c r="J317" s="281">
        <f t="shared" si="34"/>
        <v>182.86</v>
      </c>
      <c r="K317" s="282">
        <f>IF(Notes!$B$9="Domestic",I317, IF(Notes!$B$9="Commercial",J317))*$K$291</f>
        <v>182.86</v>
      </c>
      <c r="L317" s="283">
        <f>(SUM(O317:Q317)+(K317+SUM(M317:Q317))*(INDEX($U$291:$AB$291,MATCH(Notes!$C$16,$U$3:$AB$3,0))-100%))*$L$291</f>
        <v>500.73399999999998</v>
      </c>
      <c r="M317" s="286"/>
      <c r="N317" s="286"/>
      <c r="O317" s="285">
        <v>324.64</v>
      </c>
      <c r="P317" s="311">
        <f t="shared" si="31"/>
        <v>176.09399999999999</v>
      </c>
      <c r="Q317" s="285"/>
      <c r="R317" s="278"/>
      <c r="S317" s="278"/>
      <c r="T317" s="278"/>
      <c r="U317" s="304"/>
    </row>
    <row r="318" spans="1:21" s="305" customFormat="1" ht="21.75" hidden="1" customHeight="1" outlineLevel="1" x14ac:dyDescent="0.25">
      <c r="A318" s="278"/>
      <c r="B318" s="279" t="str">
        <f t="shared" si="32"/>
        <v>15001200AL/FXW</v>
      </c>
      <c r="C318" s="278">
        <v>1500</v>
      </c>
      <c r="D318" s="278">
        <v>1200</v>
      </c>
      <c r="E318" s="278" t="s">
        <v>942</v>
      </c>
      <c r="F318" s="278"/>
      <c r="G318" s="278" t="s">
        <v>5</v>
      </c>
      <c r="H318" s="290">
        <v>2</v>
      </c>
      <c r="I318" s="280">
        <f t="shared" si="33"/>
        <v>161.24</v>
      </c>
      <c r="J318" s="281">
        <f t="shared" si="34"/>
        <v>182.86</v>
      </c>
      <c r="K318" s="282">
        <f>IF(Notes!$B$9="Domestic",I318, IF(Notes!$B$9="Commercial",J318))*$K$291</f>
        <v>182.86</v>
      </c>
      <c r="L318" s="283">
        <f>(SUM(O318:Q318)+(K318+SUM(M318:Q318))*(INDEX($U$291:$AB$291,MATCH(Notes!$C$16,$U$3:$AB$3,0))-100%))*$L$291</f>
        <v>632.26200000000006</v>
      </c>
      <c r="M318" s="286"/>
      <c r="N318" s="286"/>
      <c r="O318" s="285">
        <v>397.47</v>
      </c>
      <c r="P318" s="311">
        <f t="shared" si="31"/>
        <v>234.792</v>
      </c>
      <c r="Q318" s="285"/>
      <c r="R318" s="278"/>
      <c r="S318" s="278"/>
      <c r="T318" s="278"/>
      <c r="U318" s="304"/>
    </row>
    <row r="319" spans="1:21" s="305" customFormat="1" ht="21.75" hidden="1" customHeight="1" outlineLevel="1" x14ac:dyDescent="0.25">
      <c r="A319" s="278"/>
      <c r="B319" s="279" t="str">
        <f t="shared" si="32"/>
        <v>15001500AL/FXW</v>
      </c>
      <c r="C319" s="278">
        <v>1500</v>
      </c>
      <c r="D319" s="278">
        <v>1500</v>
      </c>
      <c r="E319" s="278" t="s">
        <v>942</v>
      </c>
      <c r="F319" s="278"/>
      <c r="G319" s="278" t="s">
        <v>5</v>
      </c>
      <c r="H319" s="290">
        <v>3</v>
      </c>
      <c r="I319" s="280">
        <f t="shared" si="33"/>
        <v>241.86</v>
      </c>
      <c r="J319" s="281">
        <f t="shared" si="34"/>
        <v>274.29000000000002</v>
      </c>
      <c r="K319" s="282">
        <f>IF(Notes!$B$9="Domestic",I319, IF(Notes!$B$9="Commercial",J319))*$K$291</f>
        <v>274.29000000000002</v>
      </c>
      <c r="L319" s="283">
        <f>(SUM(O319:Q319)+(K319+SUM(M319:Q319))*(INDEX($U$291:$AB$291,MATCH(Notes!$C$16,$U$3:$AB$3,0))-100%))*$L$291</f>
        <v>846.83</v>
      </c>
      <c r="M319" s="286"/>
      <c r="N319" s="286"/>
      <c r="O319" s="285">
        <v>553.34</v>
      </c>
      <c r="P319" s="311">
        <f t="shared" si="31"/>
        <v>293.49</v>
      </c>
      <c r="Q319" s="285"/>
      <c r="R319" s="278"/>
      <c r="S319" s="278"/>
      <c r="T319" s="278"/>
      <c r="U319" s="304"/>
    </row>
    <row r="320" spans="1:21" s="305" customFormat="1" ht="21.75" hidden="1" customHeight="1" outlineLevel="1" x14ac:dyDescent="0.25">
      <c r="A320" s="278"/>
      <c r="B320" s="279" t="str">
        <f t="shared" si="32"/>
        <v>15001800AL/FXW</v>
      </c>
      <c r="C320" s="278">
        <v>1500</v>
      </c>
      <c r="D320" s="278">
        <v>1800</v>
      </c>
      <c r="E320" s="278" t="s">
        <v>942</v>
      </c>
      <c r="F320" s="278"/>
      <c r="G320" s="278" t="s">
        <v>5</v>
      </c>
      <c r="H320" s="290">
        <v>3</v>
      </c>
      <c r="I320" s="280">
        <f t="shared" si="33"/>
        <v>241.86</v>
      </c>
      <c r="J320" s="281">
        <f t="shared" si="34"/>
        <v>274.29000000000002</v>
      </c>
      <c r="K320" s="282">
        <f>IF(Notes!$B$9="Domestic",I320, IF(Notes!$B$9="Commercial",J320))*$K$291</f>
        <v>274.29000000000002</v>
      </c>
      <c r="L320" s="283">
        <f>(SUM(O320:Q320)+(K320+SUM(M320:Q320))*(INDEX($U$291:$AB$291,MATCH(Notes!$C$16,$U$3:$AB$3,0))-100%))*$L$291</f>
        <v>968.89800000000002</v>
      </c>
      <c r="M320" s="286"/>
      <c r="N320" s="286"/>
      <c r="O320" s="285">
        <v>616.71</v>
      </c>
      <c r="P320" s="311">
        <f t="shared" si="31"/>
        <v>352.18799999999999</v>
      </c>
      <c r="Q320" s="285"/>
      <c r="R320" s="278"/>
      <c r="S320" s="278"/>
      <c r="T320" s="278"/>
      <c r="U320" s="304"/>
    </row>
    <row r="321" spans="1:21" s="305" customFormat="1" ht="21.75" hidden="1" customHeight="1" outlineLevel="1" x14ac:dyDescent="0.25">
      <c r="A321" s="278"/>
      <c r="B321" s="279" t="str">
        <f t="shared" si="32"/>
        <v>15002100AL/FXW</v>
      </c>
      <c r="C321" s="278">
        <v>1500</v>
      </c>
      <c r="D321" s="278">
        <v>2100</v>
      </c>
      <c r="E321" s="278" t="s">
        <v>942</v>
      </c>
      <c r="F321" s="278"/>
      <c r="G321" s="278" t="s">
        <v>5</v>
      </c>
      <c r="H321" s="290">
        <v>4</v>
      </c>
      <c r="I321" s="280">
        <f t="shared" si="33"/>
        <v>322.48</v>
      </c>
      <c r="J321" s="281">
        <f t="shared" si="34"/>
        <v>365.72</v>
      </c>
      <c r="K321" s="282">
        <f>IF(Notes!$B$9="Domestic",I321, IF(Notes!$B$9="Commercial",J321))*$K$291</f>
        <v>365.72</v>
      </c>
      <c r="L321" s="283">
        <f>(SUM(O321:Q321)+(K321+SUM(M321:Q321))*(INDEX($U$291:$AB$291,MATCH(Notes!$C$16,$U$3:$AB$3,0))-100%))*$L$291</f>
        <v>1136.4760000000001</v>
      </c>
      <c r="M321" s="286"/>
      <c r="N321" s="286"/>
      <c r="O321" s="285">
        <v>725.59</v>
      </c>
      <c r="P321" s="311">
        <f t="shared" si="31"/>
        <v>410.88600000000002</v>
      </c>
      <c r="Q321" s="285"/>
      <c r="R321" s="278"/>
      <c r="S321" s="278"/>
      <c r="T321" s="278"/>
      <c r="U321" s="304"/>
    </row>
    <row r="322" spans="1:21" s="305" customFormat="1" ht="21.75" hidden="1" customHeight="1" outlineLevel="1" x14ac:dyDescent="0.25">
      <c r="A322" s="278"/>
      <c r="B322" s="279" t="str">
        <f t="shared" si="32"/>
        <v>15002400AL/FXW</v>
      </c>
      <c r="C322" s="278">
        <v>1500</v>
      </c>
      <c r="D322" s="278">
        <v>2400</v>
      </c>
      <c r="E322" s="278" t="s">
        <v>942</v>
      </c>
      <c r="F322" s="278"/>
      <c r="G322" s="278" t="s">
        <v>5</v>
      </c>
      <c r="H322" s="290">
        <v>4</v>
      </c>
      <c r="I322" s="280">
        <f t="shared" si="33"/>
        <v>322.48</v>
      </c>
      <c r="J322" s="281">
        <f t="shared" si="34"/>
        <v>365.72</v>
      </c>
      <c r="K322" s="282">
        <f>IF(Notes!$B$9="Domestic",I322, IF(Notes!$B$9="Commercial",J322))*$K$291</f>
        <v>365.72</v>
      </c>
      <c r="L322" s="283">
        <f>(SUM(O322:Q322)+(K322+SUM(M322:Q322))*(INDEX($U$291:$AB$291,MATCH(Notes!$C$16,$U$3:$AB$3,0))-100%))*$L$291</f>
        <v>1227.8440000000001</v>
      </c>
      <c r="M322" s="286"/>
      <c r="N322" s="286"/>
      <c r="O322" s="285">
        <v>758.26</v>
      </c>
      <c r="P322" s="311">
        <f t="shared" si="31"/>
        <v>469.584</v>
      </c>
      <c r="Q322" s="285"/>
      <c r="R322" s="278"/>
      <c r="S322" s="278"/>
      <c r="T322" s="278"/>
      <c r="U322" s="304"/>
    </row>
    <row r="323" spans="1:21" s="305" customFormat="1" ht="21.75" hidden="1" customHeight="1" outlineLevel="1" x14ac:dyDescent="0.25">
      <c r="A323" s="278"/>
      <c r="B323" s="279" t="str">
        <f t="shared" si="32"/>
        <v>15002700AL/FXW</v>
      </c>
      <c r="C323" s="278">
        <v>1500</v>
      </c>
      <c r="D323" s="278">
        <v>2700</v>
      </c>
      <c r="E323" s="278" t="s">
        <v>942</v>
      </c>
      <c r="F323" s="278"/>
      <c r="G323" s="278" t="s">
        <v>5</v>
      </c>
      <c r="H323" s="290">
        <v>4</v>
      </c>
      <c r="I323" s="280">
        <f t="shared" si="33"/>
        <v>322.48</v>
      </c>
      <c r="J323" s="281">
        <f t="shared" si="34"/>
        <v>365.72</v>
      </c>
      <c r="K323" s="282">
        <f>IF(Notes!$B$9="Domestic",I323, IF(Notes!$B$9="Commercial",J323))*$K$291</f>
        <v>365.72</v>
      </c>
      <c r="L323" s="283">
        <f>(SUM(O323:Q323)+(K323+SUM(M323:Q323))*(INDEX($U$291:$AB$291,MATCH(Notes!$C$16,$U$3:$AB$3,0))-100%))*$L$291</f>
        <v>1493.8420000000001</v>
      </c>
      <c r="M323" s="286"/>
      <c r="N323" s="286"/>
      <c r="O323" s="285">
        <v>965.56</v>
      </c>
      <c r="P323" s="311">
        <f t="shared" si="31"/>
        <v>528.28200000000004</v>
      </c>
      <c r="Q323" s="285"/>
      <c r="R323" s="278"/>
      <c r="S323" s="278"/>
      <c r="T323" s="278"/>
      <c r="U323" s="304"/>
    </row>
    <row r="324" spans="1:21" s="305" customFormat="1" ht="21.75" hidden="1" customHeight="1" outlineLevel="1" x14ac:dyDescent="0.25">
      <c r="A324" s="278"/>
      <c r="B324" s="279" t="str">
        <f t="shared" si="32"/>
        <v>1800600AL/FXW</v>
      </c>
      <c r="C324" s="278">
        <v>1800</v>
      </c>
      <c r="D324" s="278">
        <v>600</v>
      </c>
      <c r="E324" s="278" t="s">
        <v>942</v>
      </c>
      <c r="F324" s="278"/>
      <c r="G324" s="278" t="s">
        <v>5</v>
      </c>
      <c r="H324" s="290">
        <v>1</v>
      </c>
      <c r="I324" s="280">
        <f t="shared" si="33"/>
        <v>80.62</v>
      </c>
      <c r="J324" s="281">
        <f t="shared" si="34"/>
        <v>91.43</v>
      </c>
      <c r="K324" s="282">
        <f>IF(Notes!$B$9="Domestic",I324, IF(Notes!$B$9="Commercial",J324))*$K$291</f>
        <v>91.43</v>
      </c>
      <c r="L324" s="283">
        <f>(SUM(O324:Q324)+(K324+SUM(M324:Q324))*(INDEX($U$291:$AB$291,MATCH(Notes!$C$16,$U$3:$AB$3,0))-100%))*$L$291</f>
        <v>432.99520000000001</v>
      </c>
      <c r="M324" s="286"/>
      <c r="N324" s="286"/>
      <c r="O324" s="285">
        <v>292.12</v>
      </c>
      <c r="P324" s="311">
        <f t="shared" si="31"/>
        <v>140.87520000000001</v>
      </c>
      <c r="Q324" s="285"/>
      <c r="R324" s="278"/>
      <c r="S324" s="278"/>
      <c r="T324" s="278"/>
      <c r="U324" s="304"/>
    </row>
    <row r="325" spans="1:21" s="305" customFormat="1" ht="21.75" hidden="1" customHeight="1" outlineLevel="1" x14ac:dyDescent="0.25">
      <c r="A325" s="278"/>
      <c r="B325" s="279" t="str">
        <f t="shared" si="32"/>
        <v>1800900AL/FXW</v>
      </c>
      <c r="C325" s="278">
        <v>1800</v>
      </c>
      <c r="D325" s="278">
        <v>900</v>
      </c>
      <c r="E325" s="278" t="s">
        <v>942</v>
      </c>
      <c r="F325" s="278"/>
      <c r="G325" s="278" t="s">
        <v>5</v>
      </c>
      <c r="H325" s="290">
        <v>2</v>
      </c>
      <c r="I325" s="280">
        <f t="shared" si="33"/>
        <v>161.24</v>
      </c>
      <c r="J325" s="281">
        <f t="shared" si="34"/>
        <v>182.86</v>
      </c>
      <c r="K325" s="282">
        <f>IF(Notes!$B$9="Domestic",I325, IF(Notes!$B$9="Commercial",J325))*$K$291</f>
        <v>182.86</v>
      </c>
      <c r="L325" s="283">
        <f>(SUM(O325:Q325)+(K325+SUM(M325:Q325))*(INDEX($U$291:$AB$291,MATCH(Notes!$C$16,$U$3:$AB$3,0))-100%))*$L$291</f>
        <v>592.74279999999999</v>
      </c>
      <c r="M325" s="286"/>
      <c r="N325" s="286"/>
      <c r="O325" s="285">
        <v>381.43</v>
      </c>
      <c r="P325" s="311">
        <f t="shared" si="31"/>
        <v>211.31279999999998</v>
      </c>
      <c r="Q325" s="285"/>
      <c r="R325" s="278"/>
      <c r="S325" s="278"/>
      <c r="T325" s="278"/>
      <c r="U325" s="304"/>
    </row>
    <row r="326" spans="1:21" s="305" customFormat="1" ht="21.75" hidden="1" customHeight="1" outlineLevel="1" x14ac:dyDescent="0.25">
      <c r="A326" s="278"/>
      <c r="B326" s="279" t="str">
        <f t="shared" si="32"/>
        <v>18001200AL/FXW</v>
      </c>
      <c r="C326" s="278">
        <v>1800</v>
      </c>
      <c r="D326" s="278">
        <v>1200</v>
      </c>
      <c r="E326" s="278" t="s">
        <v>942</v>
      </c>
      <c r="F326" s="278"/>
      <c r="G326" s="278" t="s">
        <v>5</v>
      </c>
      <c r="H326" s="290">
        <v>3</v>
      </c>
      <c r="I326" s="280">
        <f t="shared" si="33"/>
        <v>241.86</v>
      </c>
      <c r="J326" s="281">
        <f t="shared" si="34"/>
        <v>274.29000000000002</v>
      </c>
      <c r="K326" s="282">
        <f>IF(Notes!$B$9="Domestic",I326, IF(Notes!$B$9="Commercial",J326))*$K$291</f>
        <v>274.29000000000002</v>
      </c>
      <c r="L326" s="283">
        <f>(SUM(O326:Q326)+(K326+SUM(M326:Q326))*(INDEX($U$291:$AB$291,MATCH(Notes!$C$16,$U$3:$AB$3,0))-100%))*$L$291</f>
        <v>712.97040000000004</v>
      </c>
      <c r="M326" s="286"/>
      <c r="N326" s="286"/>
      <c r="O326" s="285">
        <v>431.22</v>
      </c>
      <c r="P326" s="311">
        <f t="shared" si="31"/>
        <v>281.75040000000001</v>
      </c>
      <c r="Q326" s="285"/>
      <c r="R326" s="278"/>
      <c r="S326" s="278"/>
      <c r="T326" s="278"/>
      <c r="U326" s="304"/>
    </row>
    <row r="327" spans="1:21" s="305" customFormat="1" ht="21.75" hidden="1" customHeight="1" outlineLevel="1" x14ac:dyDescent="0.25">
      <c r="A327" s="278"/>
      <c r="B327" s="279" t="str">
        <f t="shared" si="32"/>
        <v>18001500AL/FXW</v>
      </c>
      <c r="C327" s="278">
        <v>1800</v>
      </c>
      <c r="D327" s="278">
        <v>1500</v>
      </c>
      <c r="E327" s="278" t="s">
        <v>942</v>
      </c>
      <c r="F327" s="278"/>
      <c r="G327" s="278" t="s">
        <v>5</v>
      </c>
      <c r="H327" s="290">
        <v>3</v>
      </c>
      <c r="I327" s="280">
        <f t="shared" si="33"/>
        <v>241.86</v>
      </c>
      <c r="J327" s="281">
        <f t="shared" si="34"/>
        <v>274.29000000000002</v>
      </c>
      <c r="K327" s="282">
        <f>IF(Notes!$B$9="Domestic",I327, IF(Notes!$B$9="Commercial",J327))*$K$291</f>
        <v>274.29000000000002</v>
      </c>
      <c r="L327" s="283">
        <f>(SUM(O327:Q327)+(K327+SUM(M327:Q327))*(INDEX($U$291:$AB$291,MATCH(Notes!$C$16,$U$3:$AB$3,0))-100%))*$L$291</f>
        <v>969.09799999999996</v>
      </c>
      <c r="M327" s="286"/>
      <c r="N327" s="286"/>
      <c r="O327" s="285">
        <v>616.91</v>
      </c>
      <c r="P327" s="311">
        <f t="shared" si="31"/>
        <v>352.18799999999999</v>
      </c>
      <c r="Q327" s="285"/>
      <c r="R327" s="278"/>
      <c r="S327" s="278"/>
      <c r="T327" s="278"/>
      <c r="U327" s="304"/>
    </row>
    <row r="328" spans="1:21" s="305" customFormat="1" ht="21.75" hidden="1" customHeight="1" outlineLevel="1" x14ac:dyDescent="0.25">
      <c r="A328" s="278"/>
      <c r="B328" s="279" t="str">
        <f t="shared" si="32"/>
        <v>18001800AL/FXW</v>
      </c>
      <c r="C328" s="278">
        <v>1800</v>
      </c>
      <c r="D328" s="278">
        <v>1800</v>
      </c>
      <c r="E328" s="278" t="s">
        <v>942</v>
      </c>
      <c r="F328" s="278"/>
      <c r="G328" s="278" t="s">
        <v>5</v>
      </c>
      <c r="H328" s="290">
        <v>4</v>
      </c>
      <c r="I328" s="280">
        <f t="shared" si="33"/>
        <v>322.48</v>
      </c>
      <c r="J328" s="281">
        <f t="shared" si="34"/>
        <v>365.72</v>
      </c>
      <c r="K328" s="282">
        <f>IF(Notes!$B$9="Domestic",I328, IF(Notes!$B$9="Commercial",J328))*$K$291</f>
        <v>365.72</v>
      </c>
      <c r="L328" s="283">
        <f>(SUM(O328:Q328)+(K328+SUM(M328:Q328))*(INDEX($U$291:$AB$291,MATCH(Notes!$C$16,$U$3:$AB$3,0))-100%))*$L$291</f>
        <v>1164.0555999999999</v>
      </c>
      <c r="M328" s="286"/>
      <c r="N328" s="286"/>
      <c r="O328" s="285">
        <v>741.43</v>
      </c>
      <c r="P328" s="311">
        <f t="shared" si="31"/>
        <v>422.62559999999996</v>
      </c>
      <c r="Q328" s="285"/>
      <c r="R328" s="278"/>
      <c r="S328" s="278"/>
      <c r="T328" s="278"/>
      <c r="U328" s="304"/>
    </row>
    <row r="329" spans="1:21" s="305" customFormat="1" ht="21.75" hidden="1" customHeight="1" outlineLevel="1" x14ac:dyDescent="0.25">
      <c r="A329" s="278"/>
      <c r="B329" s="279" t="str">
        <f t="shared" si="32"/>
        <v>18002100AL/FXW</v>
      </c>
      <c r="C329" s="278">
        <v>1800</v>
      </c>
      <c r="D329" s="278">
        <v>2100</v>
      </c>
      <c r="E329" s="278" t="s">
        <v>942</v>
      </c>
      <c r="F329" s="278"/>
      <c r="G329" s="278" t="s">
        <v>5</v>
      </c>
      <c r="H329" s="290">
        <v>4</v>
      </c>
      <c r="I329" s="280">
        <f t="shared" si="33"/>
        <v>322.48</v>
      </c>
      <c r="J329" s="281">
        <f t="shared" si="34"/>
        <v>365.72</v>
      </c>
      <c r="K329" s="282">
        <f>IF(Notes!$B$9="Domestic",I329, IF(Notes!$B$9="Commercial",J329))*$K$291</f>
        <v>365.72</v>
      </c>
      <c r="L329" s="283">
        <f>(SUM(O329:Q329)+(K329+SUM(M329:Q329))*(INDEX($U$291:$AB$291,MATCH(Notes!$C$16,$U$3:$AB$3,0))-100%))*$L$291</f>
        <v>1267.9831999999999</v>
      </c>
      <c r="M329" s="286"/>
      <c r="N329" s="286"/>
      <c r="O329" s="285">
        <v>774.92</v>
      </c>
      <c r="P329" s="311">
        <f t="shared" si="31"/>
        <v>493.06319999999999</v>
      </c>
      <c r="Q329" s="285"/>
      <c r="R329" s="278"/>
      <c r="S329" s="278"/>
      <c r="T329" s="278"/>
      <c r="U329" s="304"/>
    </row>
    <row r="330" spans="1:21" s="305" customFormat="1" ht="21.75" hidden="1" customHeight="1" outlineLevel="1" x14ac:dyDescent="0.25">
      <c r="A330" s="278"/>
      <c r="B330" s="279" t="str">
        <f t="shared" si="32"/>
        <v>18002400AL/FXW</v>
      </c>
      <c r="C330" s="278">
        <v>1800</v>
      </c>
      <c r="D330" s="278">
        <v>2400</v>
      </c>
      <c r="E330" s="278" t="s">
        <v>942</v>
      </c>
      <c r="F330" s="278"/>
      <c r="G330" s="278" t="s">
        <v>5</v>
      </c>
      <c r="H330" s="290">
        <v>5</v>
      </c>
      <c r="I330" s="280">
        <f t="shared" si="33"/>
        <v>403.1</v>
      </c>
      <c r="J330" s="281">
        <f t="shared" si="34"/>
        <v>457.15000000000003</v>
      </c>
      <c r="K330" s="282">
        <f>IF(Notes!$B$9="Domestic",I330, IF(Notes!$B$9="Commercial",J330))*$K$291</f>
        <v>457.15000000000003</v>
      </c>
      <c r="L330" s="283">
        <f>(SUM(O330:Q330)+(K330+SUM(M330:Q330))*(INDEX($U$291:$AB$291,MATCH(Notes!$C$16,$U$3:$AB$3,0))-100%))*$L$291</f>
        <v>1371.5508</v>
      </c>
      <c r="M330" s="286"/>
      <c r="N330" s="286"/>
      <c r="O330" s="285">
        <v>808.05</v>
      </c>
      <c r="P330" s="311">
        <f t="shared" si="31"/>
        <v>563.50080000000003</v>
      </c>
      <c r="Q330" s="285"/>
      <c r="R330" s="278"/>
      <c r="S330" s="278"/>
      <c r="T330" s="278"/>
      <c r="U330" s="304"/>
    </row>
    <row r="331" spans="1:21" s="305" customFormat="1" ht="21.75" hidden="1" customHeight="1" outlineLevel="1" x14ac:dyDescent="0.25">
      <c r="A331" s="278"/>
      <c r="B331" s="279" t="str">
        <f t="shared" si="32"/>
        <v>18002700AL/FXW</v>
      </c>
      <c r="C331" s="278">
        <v>1800</v>
      </c>
      <c r="D331" s="278">
        <v>2700</v>
      </c>
      <c r="E331" s="278" t="s">
        <v>942</v>
      </c>
      <c r="F331" s="278"/>
      <c r="G331" s="278" t="s">
        <v>5</v>
      </c>
      <c r="H331" s="290">
        <v>5</v>
      </c>
      <c r="I331" s="280">
        <f t="shared" si="33"/>
        <v>403.1</v>
      </c>
      <c r="J331" s="281">
        <f t="shared" si="34"/>
        <v>457.15000000000003</v>
      </c>
      <c r="K331" s="282">
        <f>IF(Notes!$B$9="Domestic",I331, IF(Notes!$B$9="Commercial",J331))*$K$291</f>
        <v>457.15000000000003</v>
      </c>
      <c r="L331" s="283">
        <f>(SUM(O331:Q331)+(K331+SUM(M331:Q331))*(INDEX($U$291:$AB$291,MATCH(Notes!$C$16,$U$3:$AB$3,0))-100%))*$L$291</f>
        <v>1616.9584</v>
      </c>
      <c r="M331" s="286"/>
      <c r="N331" s="286"/>
      <c r="O331" s="285">
        <v>983.02</v>
      </c>
      <c r="P331" s="311">
        <f t="shared" si="31"/>
        <v>633.9384</v>
      </c>
      <c r="Q331" s="285"/>
      <c r="R331" s="278"/>
      <c r="S331" s="278"/>
      <c r="T331" s="278"/>
      <c r="U331" s="304"/>
    </row>
    <row r="332" spans="1:21" s="305" customFormat="1" ht="21.75" hidden="1" customHeight="1" outlineLevel="1" x14ac:dyDescent="0.25">
      <c r="A332" s="278"/>
      <c r="B332" s="279" t="str">
        <f t="shared" si="32"/>
        <v>2100600AL/FXW</v>
      </c>
      <c r="C332" s="278">
        <v>2100</v>
      </c>
      <c r="D332" s="278">
        <v>600</v>
      </c>
      <c r="E332" s="278" t="s">
        <v>942</v>
      </c>
      <c r="F332" s="278"/>
      <c r="G332" s="278" t="s">
        <v>5</v>
      </c>
      <c r="H332" s="290">
        <v>2</v>
      </c>
      <c r="I332" s="280">
        <f t="shared" si="33"/>
        <v>161.24</v>
      </c>
      <c r="J332" s="281">
        <f t="shared" si="34"/>
        <v>182.86</v>
      </c>
      <c r="K332" s="282">
        <f>IF(Notes!$B$9="Domestic",I332, IF(Notes!$B$9="Commercial",J332))*$K$291</f>
        <v>182.86</v>
      </c>
      <c r="L332" s="283">
        <f>(SUM(O332:Q332)+(K332+SUM(M332:Q332))*(INDEX($U$291:$AB$291,MATCH(Notes!$C$16,$U$3:$AB$3,0))-100%))*$L$291</f>
        <v>473.63439999999997</v>
      </c>
      <c r="M332" s="286"/>
      <c r="N332" s="286"/>
      <c r="O332" s="285">
        <v>309.27999999999997</v>
      </c>
      <c r="P332" s="311">
        <f t="shared" si="31"/>
        <v>164.3544</v>
      </c>
      <c r="Q332" s="285"/>
      <c r="R332" s="278"/>
      <c r="S332" s="278"/>
      <c r="T332" s="278"/>
      <c r="U332" s="304"/>
    </row>
    <row r="333" spans="1:21" s="305" customFormat="1" ht="21.75" hidden="1" customHeight="1" outlineLevel="1" x14ac:dyDescent="0.25">
      <c r="A333" s="278"/>
      <c r="B333" s="279" t="str">
        <f t="shared" si="32"/>
        <v>2100900AL/FXW</v>
      </c>
      <c r="C333" s="278">
        <v>2100</v>
      </c>
      <c r="D333" s="278">
        <v>900</v>
      </c>
      <c r="E333" s="278" t="s">
        <v>942</v>
      </c>
      <c r="F333" s="278"/>
      <c r="G333" s="278" t="s">
        <v>5</v>
      </c>
      <c r="H333" s="290">
        <v>2</v>
      </c>
      <c r="I333" s="280">
        <f t="shared" si="33"/>
        <v>161.24</v>
      </c>
      <c r="J333" s="281">
        <f t="shared" si="34"/>
        <v>182.86</v>
      </c>
      <c r="K333" s="282">
        <f>IF(Notes!$B$9="Domestic",I333, IF(Notes!$B$9="Commercial",J333))*$K$291</f>
        <v>182.86</v>
      </c>
      <c r="L333" s="283">
        <f>(SUM(O333:Q333)+(K333+SUM(M333:Q333))*(INDEX($U$291:$AB$291,MATCH(Notes!$C$16,$U$3:$AB$3,0))-100%))*$L$291</f>
        <v>653.41159999999991</v>
      </c>
      <c r="M333" s="286"/>
      <c r="N333" s="286"/>
      <c r="O333" s="285">
        <v>406.88</v>
      </c>
      <c r="P333" s="311">
        <f t="shared" si="31"/>
        <v>246.53159999999997</v>
      </c>
      <c r="Q333" s="285"/>
      <c r="R333" s="278"/>
      <c r="S333" s="278"/>
      <c r="T333" s="278"/>
      <c r="U333" s="304"/>
    </row>
    <row r="334" spans="1:21" s="305" customFormat="1" ht="21.75" hidden="1" customHeight="1" outlineLevel="1" x14ac:dyDescent="0.25">
      <c r="A334" s="278"/>
      <c r="B334" s="279" t="str">
        <f t="shared" si="32"/>
        <v>21001200AL/FXW</v>
      </c>
      <c r="C334" s="278">
        <v>2100</v>
      </c>
      <c r="D334" s="278">
        <v>1200</v>
      </c>
      <c r="E334" s="278" t="s">
        <v>942</v>
      </c>
      <c r="F334" s="278"/>
      <c r="G334" s="278" t="s">
        <v>5</v>
      </c>
      <c r="H334" s="290">
        <v>3</v>
      </c>
      <c r="I334" s="280">
        <f t="shared" si="33"/>
        <v>241.86</v>
      </c>
      <c r="J334" s="281">
        <f t="shared" si="34"/>
        <v>274.29000000000002</v>
      </c>
      <c r="K334" s="282">
        <f>IF(Notes!$B$9="Domestic",I334, IF(Notes!$B$9="Commercial",J334))*$K$291</f>
        <v>274.29000000000002</v>
      </c>
      <c r="L334" s="283">
        <f>(SUM(O334:Q334)+(K334+SUM(M334:Q334))*(INDEX($U$291:$AB$291,MATCH(Notes!$C$16,$U$3:$AB$3,0))-100%))*$L$291</f>
        <v>778.01880000000006</v>
      </c>
      <c r="M334" s="286"/>
      <c r="N334" s="286"/>
      <c r="O334" s="285">
        <v>449.31</v>
      </c>
      <c r="P334" s="311">
        <f t="shared" si="31"/>
        <v>328.7088</v>
      </c>
      <c r="Q334" s="285"/>
      <c r="R334" s="278"/>
      <c r="S334" s="278"/>
      <c r="T334" s="278"/>
      <c r="U334" s="304"/>
    </row>
    <row r="335" spans="1:21" s="305" customFormat="1" ht="21.75" hidden="1" customHeight="1" outlineLevel="1" x14ac:dyDescent="0.25">
      <c r="A335" s="278"/>
      <c r="B335" s="279" t="str">
        <f t="shared" si="32"/>
        <v>21001500AL/FXW</v>
      </c>
      <c r="C335" s="278">
        <v>2100</v>
      </c>
      <c r="D335" s="278">
        <v>1500</v>
      </c>
      <c r="E335" s="278" t="s">
        <v>942</v>
      </c>
      <c r="F335" s="278"/>
      <c r="G335" s="278" t="s">
        <v>5</v>
      </c>
      <c r="H335" s="290">
        <v>4</v>
      </c>
      <c r="I335" s="280">
        <f t="shared" si="33"/>
        <v>322.48</v>
      </c>
      <c r="J335" s="281">
        <f t="shared" si="34"/>
        <v>365.72</v>
      </c>
      <c r="K335" s="282">
        <f>IF(Notes!$B$9="Domestic",I335, IF(Notes!$B$9="Commercial",J335))*$K$291</f>
        <v>365.72</v>
      </c>
      <c r="L335" s="283">
        <f>(SUM(O335:Q335)+(K335+SUM(M335:Q335))*(INDEX($U$291:$AB$291,MATCH(Notes!$C$16,$U$3:$AB$3,0))-100%))*$L$291</f>
        <v>1136.876</v>
      </c>
      <c r="M335" s="286"/>
      <c r="N335" s="286"/>
      <c r="O335" s="285">
        <v>725.99</v>
      </c>
      <c r="P335" s="311">
        <f t="shared" si="31"/>
        <v>410.88599999999997</v>
      </c>
      <c r="Q335" s="285"/>
      <c r="R335" s="278"/>
      <c r="S335" s="278"/>
      <c r="T335" s="278"/>
      <c r="U335" s="304"/>
    </row>
    <row r="336" spans="1:21" s="305" customFormat="1" ht="21.75" hidden="1" customHeight="1" outlineLevel="1" x14ac:dyDescent="0.25">
      <c r="A336" s="278"/>
      <c r="B336" s="279" t="str">
        <f t="shared" si="32"/>
        <v>21001800AL/FXW</v>
      </c>
      <c r="C336" s="278">
        <v>2100</v>
      </c>
      <c r="D336" s="278">
        <v>1800</v>
      </c>
      <c r="E336" s="278" t="s">
        <v>942</v>
      </c>
      <c r="F336" s="278"/>
      <c r="G336" s="278" t="s">
        <v>5</v>
      </c>
      <c r="H336" s="290">
        <v>4</v>
      </c>
      <c r="I336" s="280">
        <f t="shared" si="33"/>
        <v>322.48</v>
      </c>
      <c r="J336" s="281">
        <f t="shared" si="34"/>
        <v>365.72</v>
      </c>
      <c r="K336" s="282">
        <f>IF(Notes!$B$9="Domestic",I336, IF(Notes!$B$9="Commercial",J336))*$K$291</f>
        <v>365.72</v>
      </c>
      <c r="L336" s="283">
        <f>(SUM(O336:Q336)+(K336+SUM(M336:Q336))*(INDEX($U$291:$AB$291,MATCH(Notes!$C$16,$U$3:$AB$3,0))-100%))*$L$291</f>
        <v>1268.1831999999999</v>
      </c>
      <c r="M336" s="286"/>
      <c r="N336" s="286"/>
      <c r="O336" s="285">
        <v>775.12</v>
      </c>
      <c r="P336" s="311">
        <f t="shared" si="31"/>
        <v>493.06319999999994</v>
      </c>
      <c r="Q336" s="285"/>
      <c r="R336" s="278"/>
      <c r="S336" s="278"/>
      <c r="T336" s="278"/>
      <c r="U336" s="304"/>
    </row>
    <row r="337" spans="1:21" s="305" customFormat="1" ht="21.75" hidden="1" customHeight="1" outlineLevel="1" x14ac:dyDescent="0.25">
      <c r="A337" s="278"/>
      <c r="B337" s="279" t="str">
        <f t="shared" si="32"/>
        <v>21002100AL/FXW</v>
      </c>
      <c r="C337" s="278">
        <v>2100</v>
      </c>
      <c r="D337" s="278">
        <v>2100</v>
      </c>
      <c r="E337" s="278" t="s">
        <v>942</v>
      </c>
      <c r="F337" s="278"/>
      <c r="G337" s="278" t="s">
        <v>5</v>
      </c>
      <c r="H337" s="290">
        <v>5</v>
      </c>
      <c r="I337" s="280">
        <f t="shared" si="33"/>
        <v>403.1</v>
      </c>
      <c r="J337" s="281">
        <f t="shared" si="34"/>
        <v>457.15000000000003</v>
      </c>
      <c r="K337" s="282">
        <f>IF(Notes!$B$9="Domestic",I337, IF(Notes!$B$9="Commercial",J337))*$K$291</f>
        <v>457.15000000000003</v>
      </c>
      <c r="L337" s="283">
        <f>(SUM(O337:Q337)+(K337+SUM(M337:Q337))*(INDEX($U$291:$AB$291,MATCH(Notes!$C$16,$U$3:$AB$3,0))-100%))*$L$291</f>
        <v>1399.4903999999999</v>
      </c>
      <c r="M337" s="286"/>
      <c r="N337" s="286"/>
      <c r="O337" s="285">
        <v>824.25</v>
      </c>
      <c r="P337" s="311">
        <f t="shared" si="31"/>
        <v>575.24039999999991</v>
      </c>
      <c r="Q337" s="285"/>
      <c r="R337" s="278"/>
      <c r="S337" s="278"/>
      <c r="T337" s="278"/>
      <c r="U337" s="304"/>
    </row>
    <row r="338" spans="1:21" s="305" customFormat="1" ht="21.75" hidden="1" customHeight="1" outlineLevel="1" x14ac:dyDescent="0.25">
      <c r="A338" s="278"/>
      <c r="B338" s="279" t="str">
        <f t="shared" si="32"/>
        <v>21002400AL/FXW</v>
      </c>
      <c r="C338" s="278">
        <v>2100</v>
      </c>
      <c r="D338" s="278">
        <v>2400</v>
      </c>
      <c r="E338" s="278" t="s">
        <v>942</v>
      </c>
      <c r="F338" s="278"/>
      <c r="G338" s="278" t="s">
        <v>5</v>
      </c>
      <c r="H338" s="290">
        <v>5</v>
      </c>
      <c r="I338" s="280">
        <f t="shared" si="33"/>
        <v>403.1</v>
      </c>
      <c r="J338" s="281">
        <f t="shared" si="34"/>
        <v>457.15000000000003</v>
      </c>
      <c r="K338" s="282">
        <f>IF(Notes!$B$9="Domestic",I338, IF(Notes!$B$9="Commercial",J338))*$K$291</f>
        <v>457.15000000000003</v>
      </c>
      <c r="L338" s="283">
        <f>(SUM(O338:Q338)+(K338+SUM(M338:Q338))*(INDEX($U$291:$AB$291,MATCH(Notes!$C$16,$U$3:$AB$3,0))-100%))*$L$291</f>
        <v>1639.6676</v>
      </c>
      <c r="M338" s="286"/>
      <c r="N338" s="286"/>
      <c r="O338" s="285">
        <v>982.25</v>
      </c>
      <c r="P338" s="311">
        <f t="shared" si="31"/>
        <v>657.41759999999999</v>
      </c>
      <c r="Q338" s="285"/>
      <c r="R338" s="278"/>
      <c r="S338" s="278"/>
      <c r="T338" s="278"/>
      <c r="U338" s="304"/>
    </row>
    <row r="339" spans="1:21" s="305" customFormat="1" ht="21.75" hidden="1" customHeight="1" outlineLevel="1" x14ac:dyDescent="0.25">
      <c r="A339" s="278"/>
      <c r="B339" s="279" t="str">
        <f t="shared" si="32"/>
        <v>21002700AL/FXW</v>
      </c>
      <c r="C339" s="278">
        <v>2100</v>
      </c>
      <c r="D339" s="278">
        <v>2700</v>
      </c>
      <c r="E339" s="278" t="s">
        <v>942</v>
      </c>
      <c r="F339" s="278"/>
      <c r="G339" s="278" t="s">
        <v>5</v>
      </c>
      <c r="H339" s="290">
        <v>6</v>
      </c>
      <c r="I339" s="280">
        <f t="shared" si="33"/>
        <v>483.72</v>
      </c>
      <c r="J339" s="281">
        <f t="shared" si="34"/>
        <v>548.58000000000004</v>
      </c>
      <c r="K339" s="282">
        <f>IF(Notes!$B$9="Domestic",I339, IF(Notes!$B$9="Commercial",J339))*$K$291</f>
        <v>548.58000000000004</v>
      </c>
      <c r="L339" s="283">
        <f>(SUM(O339:Q339)+(K339+SUM(M339:Q339))*(INDEX($U$291:$AB$291,MATCH(Notes!$C$16,$U$3:$AB$3,0))-100%))*$L$291</f>
        <v>1828.1747999999998</v>
      </c>
      <c r="M339" s="286"/>
      <c r="N339" s="286"/>
      <c r="O339" s="285">
        <v>1088.58</v>
      </c>
      <c r="P339" s="311">
        <f t="shared" si="31"/>
        <v>739.59479999999996</v>
      </c>
      <c r="Q339" s="285"/>
      <c r="R339" s="278"/>
      <c r="S339" s="278"/>
      <c r="T339" s="278"/>
      <c r="U339" s="304"/>
    </row>
    <row r="340" spans="1:21" s="305" customFormat="1" ht="21.75" hidden="1" customHeight="1" outlineLevel="1" x14ac:dyDescent="0.25">
      <c r="A340" s="278"/>
      <c r="B340" s="279" t="str">
        <f t="shared" si="32"/>
        <v>2400600AL/FXW</v>
      </c>
      <c r="C340" s="278">
        <v>2400</v>
      </c>
      <c r="D340" s="278">
        <v>600</v>
      </c>
      <c r="E340" s="278" t="s">
        <v>942</v>
      </c>
      <c r="F340" s="278"/>
      <c r="G340" s="278" t="s">
        <v>5</v>
      </c>
      <c r="H340" s="290">
        <v>2</v>
      </c>
      <c r="I340" s="280">
        <f t="shared" si="33"/>
        <v>161.24</v>
      </c>
      <c r="J340" s="281">
        <f t="shared" si="34"/>
        <v>182.86</v>
      </c>
      <c r="K340" s="282">
        <f>IF(Notes!$B$9="Domestic",I340, IF(Notes!$B$9="Commercial",J340))*$K$291</f>
        <v>182.86</v>
      </c>
      <c r="L340" s="283">
        <f>(SUM(O340:Q340)+(K340+SUM(M340:Q340))*(INDEX($U$291:$AB$291,MATCH(Notes!$C$16,$U$3:$AB$3,0))-100%))*$L$291</f>
        <v>569.70360000000005</v>
      </c>
      <c r="M340" s="286"/>
      <c r="N340" s="286"/>
      <c r="O340" s="311">
        <f>O298</f>
        <v>381.87</v>
      </c>
      <c r="P340" s="311">
        <f t="shared" si="31"/>
        <v>187.83359999999999</v>
      </c>
      <c r="Q340" s="285"/>
      <c r="R340" s="278"/>
      <c r="S340" s="278"/>
      <c r="T340" s="278"/>
      <c r="U340" s="304"/>
    </row>
    <row r="341" spans="1:21" s="305" customFormat="1" ht="21.75" hidden="1" customHeight="1" outlineLevel="1" x14ac:dyDescent="0.25">
      <c r="A341" s="278"/>
      <c r="B341" s="279" t="str">
        <f t="shared" si="32"/>
        <v>2400900AL/FXW</v>
      </c>
      <c r="C341" s="278">
        <v>2400</v>
      </c>
      <c r="D341" s="278">
        <v>900</v>
      </c>
      <c r="E341" s="278" t="s">
        <v>942</v>
      </c>
      <c r="F341" s="278"/>
      <c r="G341" s="278" t="s">
        <v>5</v>
      </c>
      <c r="H341" s="290">
        <v>4</v>
      </c>
      <c r="I341" s="280">
        <f t="shared" si="33"/>
        <v>322.48</v>
      </c>
      <c r="J341" s="281">
        <f t="shared" si="34"/>
        <v>365.72</v>
      </c>
      <c r="K341" s="282">
        <f>IF(Notes!$B$9="Domestic",I341, IF(Notes!$B$9="Commercial",J341))*$K$291</f>
        <v>365.72</v>
      </c>
      <c r="L341" s="283">
        <f>(SUM(O341:Q341)+(K341+SUM(M341:Q341))*(INDEX($U$291:$AB$291,MATCH(Notes!$C$16,$U$3:$AB$3,0))-100%))*$L$291</f>
        <v>819.62040000000002</v>
      </c>
      <c r="M341" s="286"/>
      <c r="N341" s="286"/>
      <c r="O341" s="311">
        <f>O306</f>
        <v>537.87</v>
      </c>
      <c r="P341" s="311">
        <f t="shared" si="31"/>
        <v>281.75039999999996</v>
      </c>
      <c r="Q341" s="285"/>
      <c r="R341" s="278"/>
      <c r="S341" s="278"/>
      <c r="T341" s="278"/>
      <c r="U341" s="304"/>
    </row>
    <row r="342" spans="1:21" s="305" customFormat="1" ht="21.75" hidden="1" customHeight="1" outlineLevel="1" x14ac:dyDescent="0.25">
      <c r="A342" s="278"/>
      <c r="B342" s="279" t="str">
        <f t="shared" si="32"/>
        <v>24001200AL/FXW</v>
      </c>
      <c r="C342" s="278">
        <v>2400</v>
      </c>
      <c r="D342" s="278">
        <v>1200</v>
      </c>
      <c r="E342" s="278" t="s">
        <v>942</v>
      </c>
      <c r="F342" s="278"/>
      <c r="G342" s="278" t="s">
        <v>5</v>
      </c>
      <c r="H342" s="290">
        <v>4</v>
      </c>
      <c r="I342" s="280">
        <f t="shared" si="33"/>
        <v>322.48</v>
      </c>
      <c r="J342" s="281">
        <f t="shared" si="34"/>
        <v>365.72</v>
      </c>
      <c r="K342" s="282">
        <f>IF(Notes!$B$9="Domestic",I342, IF(Notes!$B$9="Commercial",J342))*$K$291</f>
        <v>365.72</v>
      </c>
      <c r="L342" s="283">
        <f>(SUM(O342:Q342)+(K342+SUM(M342:Q342))*(INDEX($U$291:$AB$291,MATCH(Notes!$C$16,$U$3:$AB$3,0))-100%))*$L$291</f>
        <v>1038.6071999999999</v>
      </c>
      <c r="M342" s="286"/>
      <c r="N342" s="286"/>
      <c r="O342" s="311">
        <f>O314</f>
        <v>662.94</v>
      </c>
      <c r="P342" s="311">
        <f t="shared" si="31"/>
        <v>375.66719999999998</v>
      </c>
      <c r="Q342" s="285"/>
      <c r="R342" s="278"/>
      <c r="S342" s="278"/>
      <c r="T342" s="278"/>
      <c r="U342" s="304"/>
    </row>
    <row r="343" spans="1:21" s="305" customFormat="1" ht="21.75" hidden="1" customHeight="1" outlineLevel="1" x14ac:dyDescent="0.25">
      <c r="A343" s="278"/>
      <c r="B343" s="279" t="str">
        <f t="shared" si="32"/>
        <v>24001500AL/FXW</v>
      </c>
      <c r="C343" s="278">
        <v>2400</v>
      </c>
      <c r="D343" s="278">
        <v>1500</v>
      </c>
      <c r="E343" s="278" t="s">
        <v>942</v>
      </c>
      <c r="F343" s="278"/>
      <c r="G343" s="278" t="s">
        <v>5</v>
      </c>
      <c r="H343" s="290">
        <v>4</v>
      </c>
      <c r="I343" s="280">
        <f t="shared" si="33"/>
        <v>322.48</v>
      </c>
      <c r="J343" s="281">
        <f t="shared" si="34"/>
        <v>365.72</v>
      </c>
      <c r="K343" s="282">
        <f>IF(Notes!$B$9="Domestic",I343, IF(Notes!$B$9="Commercial",J343))*$K$291</f>
        <v>365.72</v>
      </c>
      <c r="L343" s="283">
        <f>(SUM(O343:Q343)+(K343+SUM(M343:Q343))*(INDEX($U$291:$AB$291,MATCH(Notes!$C$16,$U$3:$AB$3,0))-100%))*$L$291</f>
        <v>1227.8440000000001</v>
      </c>
      <c r="M343" s="286"/>
      <c r="N343" s="286"/>
      <c r="O343" s="311">
        <f>O322</f>
        <v>758.26</v>
      </c>
      <c r="P343" s="311">
        <f t="shared" si="31"/>
        <v>469.584</v>
      </c>
      <c r="Q343" s="285"/>
      <c r="R343" s="278"/>
      <c r="S343" s="278"/>
      <c r="T343" s="278"/>
      <c r="U343" s="304"/>
    </row>
    <row r="344" spans="1:21" s="305" customFormat="1" ht="21.75" hidden="1" customHeight="1" outlineLevel="1" x14ac:dyDescent="0.25">
      <c r="A344" s="278"/>
      <c r="B344" s="279" t="str">
        <f t="shared" si="32"/>
        <v>24001800AL/FXW</v>
      </c>
      <c r="C344" s="278">
        <v>2400</v>
      </c>
      <c r="D344" s="278">
        <v>1800</v>
      </c>
      <c r="E344" s="278" t="s">
        <v>942</v>
      </c>
      <c r="F344" s="278"/>
      <c r="G344" s="278" t="s">
        <v>5</v>
      </c>
      <c r="H344" s="290">
        <v>5</v>
      </c>
      <c r="I344" s="280">
        <f t="shared" si="33"/>
        <v>403.1</v>
      </c>
      <c r="J344" s="281">
        <f t="shared" si="34"/>
        <v>457.15000000000003</v>
      </c>
      <c r="K344" s="282">
        <f>IF(Notes!$B$9="Domestic",I344, IF(Notes!$B$9="Commercial",J344))*$K$291</f>
        <v>457.15000000000003</v>
      </c>
      <c r="L344" s="283">
        <f>(SUM(O344:Q344)+(K344+SUM(M344:Q344))*(INDEX($U$291:$AB$291,MATCH(Notes!$C$16,$U$3:$AB$3,0))-100%))*$L$291</f>
        <v>1371.5508</v>
      </c>
      <c r="M344" s="286"/>
      <c r="N344" s="286"/>
      <c r="O344" s="311">
        <f>O330</f>
        <v>808.05</v>
      </c>
      <c r="P344" s="311">
        <f t="shared" si="31"/>
        <v>563.50079999999991</v>
      </c>
      <c r="Q344" s="285"/>
      <c r="R344" s="278"/>
      <c r="S344" s="278"/>
      <c r="T344" s="278"/>
      <c r="U344" s="304"/>
    </row>
    <row r="345" spans="1:21" s="305" customFormat="1" ht="21.75" hidden="1" customHeight="1" outlineLevel="1" x14ac:dyDescent="0.25">
      <c r="A345" s="278"/>
      <c r="B345" s="279" t="str">
        <f t="shared" si="32"/>
        <v>24002100AL/FXW</v>
      </c>
      <c r="C345" s="278">
        <v>2400</v>
      </c>
      <c r="D345" s="278">
        <v>2100</v>
      </c>
      <c r="E345" s="278" t="s">
        <v>942</v>
      </c>
      <c r="F345" s="278"/>
      <c r="G345" s="278" t="s">
        <v>5</v>
      </c>
      <c r="H345" s="290">
        <v>5</v>
      </c>
      <c r="I345" s="280">
        <f t="shared" si="33"/>
        <v>403.1</v>
      </c>
      <c r="J345" s="281">
        <f t="shared" si="34"/>
        <v>457.15000000000003</v>
      </c>
      <c r="K345" s="282">
        <f>IF(Notes!$B$9="Domestic",I345, IF(Notes!$B$9="Commercial",J345))*$K$291</f>
        <v>457.15000000000003</v>
      </c>
      <c r="L345" s="283">
        <f>(SUM(O345:Q345)+(K345+SUM(M345:Q345))*(INDEX($U$291:$AB$291,MATCH(Notes!$C$16,$U$3:$AB$3,0))-100%))*$L$291</f>
        <v>1639.6676</v>
      </c>
      <c r="M345" s="286"/>
      <c r="N345" s="286"/>
      <c r="O345" s="311">
        <f>O338</f>
        <v>982.25</v>
      </c>
      <c r="P345" s="311">
        <f t="shared" si="31"/>
        <v>657.41759999999999</v>
      </c>
      <c r="Q345" s="285"/>
      <c r="R345" s="278"/>
      <c r="S345" s="278"/>
      <c r="T345" s="278"/>
      <c r="U345" s="304"/>
    </row>
    <row r="346" spans="1:21" s="305" customFormat="1" ht="21.75" hidden="1" customHeight="1" outlineLevel="1" x14ac:dyDescent="0.25">
      <c r="A346" s="278"/>
      <c r="B346" s="279" t="str">
        <f t="shared" si="32"/>
        <v>24002400AL/FXW</v>
      </c>
      <c r="C346" s="278">
        <v>2400</v>
      </c>
      <c r="D346" s="278">
        <v>2400</v>
      </c>
      <c r="E346" s="278" t="s">
        <v>942</v>
      </c>
      <c r="F346" s="278"/>
      <c r="G346" s="278" t="s">
        <v>5</v>
      </c>
      <c r="H346" s="290">
        <v>6</v>
      </c>
      <c r="I346" s="280">
        <f t="shared" si="33"/>
        <v>483.72</v>
      </c>
      <c r="J346" s="281">
        <f t="shared" si="34"/>
        <v>548.58000000000004</v>
      </c>
      <c r="K346" s="282">
        <f>IF(Notes!$B$9="Domestic",I346, IF(Notes!$B$9="Commercial",J346))*$K$291</f>
        <v>548.58000000000004</v>
      </c>
      <c r="L346" s="283">
        <f>(SUM(O346:Q346)+(K346+SUM(M346:Q346))*(INDEX($U$291:$AB$291,MATCH(Notes!$C$16,$U$3:$AB$3,0))-100%))*$L$291</f>
        <v>1907.7844</v>
      </c>
      <c r="M346" s="286"/>
      <c r="N346" s="286"/>
      <c r="O346" s="311">
        <f>O338+O338-O330</f>
        <v>1156.45</v>
      </c>
      <c r="P346" s="311">
        <f t="shared" si="31"/>
        <v>751.33439999999996</v>
      </c>
      <c r="Q346" s="285"/>
      <c r="R346" s="278"/>
      <c r="S346" s="278"/>
      <c r="T346" s="278"/>
      <c r="U346" s="304"/>
    </row>
    <row r="347" spans="1:21" s="305" customFormat="1" ht="21.75" hidden="1" customHeight="1" outlineLevel="1" x14ac:dyDescent="0.25">
      <c r="A347" s="278"/>
      <c r="B347" s="279" t="str">
        <f t="shared" si="32"/>
        <v>24002700AL/FXW</v>
      </c>
      <c r="C347" s="278">
        <v>2400</v>
      </c>
      <c r="D347" s="278">
        <v>2700</v>
      </c>
      <c r="E347" s="278" t="s">
        <v>942</v>
      </c>
      <c r="F347" s="278"/>
      <c r="G347" s="278" t="s">
        <v>5</v>
      </c>
      <c r="H347" s="290">
        <v>6</v>
      </c>
      <c r="I347" s="280">
        <f t="shared" si="33"/>
        <v>483.72</v>
      </c>
      <c r="J347" s="281">
        <f t="shared" si="34"/>
        <v>548.58000000000004</v>
      </c>
      <c r="K347" s="282">
        <f>IF(Notes!$B$9="Domestic",I347, IF(Notes!$B$9="Commercial",J347))*$K$291</f>
        <v>548.58000000000004</v>
      </c>
      <c r="L347" s="283">
        <f>(SUM(O347:Q347)+(K347+SUM(M347:Q347))*(INDEX($U$291:$AB$291,MATCH(Notes!$C$16,$U$3:$AB$3,0))-100%))*$L$291</f>
        <v>2039.3911999999998</v>
      </c>
      <c r="M347" s="286"/>
      <c r="N347" s="286"/>
      <c r="O347" s="311">
        <f>O339+O339-O331</f>
        <v>1194.1399999999999</v>
      </c>
      <c r="P347" s="311">
        <f t="shared" si="31"/>
        <v>845.25119999999993</v>
      </c>
      <c r="Q347" s="285"/>
      <c r="R347" s="278"/>
      <c r="S347" s="278"/>
      <c r="T347" s="278"/>
      <c r="U347" s="304"/>
    </row>
    <row r="348" spans="1:21" s="305" customFormat="1" ht="21.75" hidden="1" customHeight="1" outlineLevel="1" x14ac:dyDescent="0.25">
      <c r="A348" s="278"/>
      <c r="B348" s="279" t="str">
        <f t="shared" si="32"/>
        <v>2700600AL/FXW</v>
      </c>
      <c r="C348" s="278">
        <v>2700</v>
      </c>
      <c r="D348" s="278">
        <v>600</v>
      </c>
      <c r="E348" s="278" t="s">
        <v>942</v>
      </c>
      <c r="F348" s="278"/>
      <c r="G348" s="278" t="s">
        <v>5</v>
      </c>
      <c r="H348" s="290">
        <v>4</v>
      </c>
      <c r="I348" s="280">
        <f t="shared" si="33"/>
        <v>322.48</v>
      </c>
      <c r="J348" s="281">
        <f t="shared" si="34"/>
        <v>365.72</v>
      </c>
      <c r="K348" s="282">
        <f>IF(Notes!$B$9="Domestic",I348, IF(Notes!$B$9="Commercial",J348))*$K$291</f>
        <v>365.72</v>
      </c>
      <c r="L348" s="283">
        <f>(SUM(O348:Q348)+(K348+SUM(M348:Q348))*(INDEX($U$291:$AB$291,MATCH(Notes!$C$16,$U$3:$AB$3,0))-100%))*$L$291</f>
        <v>1086.9628</v>
      </c>
      <c r="M348" s="286"/>
      <c r="N348" s="286"/>
      <c r="O348" s="311">
        <f>O299</f>
        <v>875.65</v>
      </c>
      <c r="P348" s="311">
        <f t="shared" si="31"/>
        <v>211.31279999999998</v>
      </c>
      <c r="Q348" s="285"/>
      <c r="R348" s="278"/>
      <c r="S348" s="278"/>
      <c r="T348" s="278"/>
      <c r="U348" s="304"/>
    </row>
    <row r="349" spans="1:21" s="305" customFormat="1" ht="21.75" hidden="1" customHeight="1" outlineLevel="1" x14ac:dyDescent="0.25">
      <c r="A349" s="278"/>
      <c r="B349" s="279" t="str">
        <f t="shared" si="32"/>
        <v>2700900AL/FXW</v>
      </c>
      <c r="C349" s="278">
        <v>2700</v>
      </c>
      <c r="D349" s="278">
        <v>900</v>
      </c>
      <c r="E349" s="278" t="s">
        <v>942</v>
      </c>
      <c r="F349" s="278"/>
      <c r="G349" s="278" t="s">
        <v>5</v>
      </c>
      <c r="H349" s="290">
        <v>4</v>
      </c>
      <c r="I349" s="280">
        <f t="shared" si="33"/>
        <v>322.48</v>
      </c>
      <c r="J349" s="281">
        <f t="shared" si="34"/>
        <v>365.72</v>
      </c>
      <c r="K349" s="282">
        <f>IF(Notes!$B$9="Domestic",I349, IF(Notes!$B$9="Commercial",J349))*$K$291</f>
        <v>365.72</v>
      </c>
      <c r="L349" s="283">
        <f>(SUM(O349:Q349)+(K349+SUM(M349:Q349))*(INDEX($U$291:$AB$291,MATCH(Notes!$C$16,$U$3:$AB$3,0))-100%))*$L$291</f>
        <v>1222.7791999999999</v>
      </c>
      <c r="M349" s="286"/>
      <c r="N349" s="286"/>
      <c r="O349" s="311">
        <f>O307</f>
        <v>905.81</v>
      </c>
      <c r="P349" s="311">
        <f t="shared" si="31"/>
        <v>316.9692</v>
      </c>
      <c r="Q349" s="285"/>
      <c r="R349" s="278"/>
      <c r="S349" s="278"/>
      <c r="T349" s="278"/>
      <c r="U349" s="304"/>
    </row>
    <row r="350" spans="1:21" s="305" customFormat="1" ht="21.75" hidden="1" customHeight="1" outlineLevel="1" x14ac:dyDescent="0.25">
      <c r="A350" s="278"/>
      <c r="B350" s="279" t="str">
        <f t="shared" si="32"/>
        <v>27001200AL/FXW</v>
      </c>
      <c r="C350" s="278">
        <v>2700</v>
      </c>
      <c r="D350" s="278">
        <v>1200</v>
      </c>
      <c r="E350" s="278" t="s">
        <v>942</v>
      </c>
      <c r="F350" s="278"/>
      <c r="G350" s="278" t="s">
        <v>5</v>
      </c>
      <c r="H350" s="290">
        <v>4</v>
      </c>
      <c r="I350" s="280">
        <f t="shared" si="33"/>
        <v>322.48</v>
      </c>
      <c r="J350" s="281">
        <f t="shared" si="34"/>
        <v>365.72</v>
      </c>
      <c r="K350" s="282">
        <f>IF(Notes!$B$9="Domestic",I350, IF(Notes!$B$9="Commercial",J350))*$K$291</f>
        <v>365.72</v>
      </c>
      <c r="L350" s="283">
        <f>(SUM(O350:Q350)+(K350+SUM(M350:Q350))*(INDEX($U$291:$AB$291,MATCH(Notes!$C$16,$U$3:$AB$3,0))-100%))*$L$291</f>
        <v>1358.0255999999999</v>
      </c>
      <c r="M350" s="286"/>
      <c r="N350" s="286"/>
      <c r="O350" s="311">
        <f>O315</f>
        <v>935.4</v>
      </c>
      <c r="P350" s="311">
        <f t="shared" si="31"/>
        <v>422.62559999999996</v>
      </c>
      <c r="Q350" s="285"/>
      <c r="R350" s="278"/>
      <c r="S350" s="278"/>
      <c r="T350" s="278"/>
      <c r="U350" s="304"/>
    </row>
    <row r="351" spans="1:21" s="305" customFormat="1" ht="21.75" hidden="1" customHeight="1" outlineLevel="1" x14ac:dyDescent="0.25">
      <c r="A351" s="278"/>
      <c r="B351" s="279" t="str">
        <f t="shared" si="32"/>
        <v>27001500AL/FXW</v>
      </c>
      <c r="C351" s="278">
        <v>2700</v>
      </c>
      <c r="D351" s="278">
        <v>1500</v>
      </c>
      <c r="E351" s="278" t="s">
        <v>942</v>
      </c>
      <c r="F351" s="278"/>
      <c r="G351" s="278" t="s">
        <v>5</v>
      </c>
      <c r="H351" s="290">
        <v>5</v>
      </c>
      <c r="I351" s="280">
        <f t="shared" si="33"/>
        <v>403.1</v>
      </c>
      <c r="J351" s="281">
        <f t="shared" si="34"/>
        <v>457.15000000000003</v>
      </c>
      <c r="K351" s="282">
        <f>IF(Notes!$B$9="Domestic",I351, IF(Notes!$B$9="Commercial",J351))*$K$291</f>
        <v>457.15000000000003</v>
      </c>
      <c r="L351" s="283">
        <f>(SUM(O351:Q351)+(K351+SUM(M351:Q351))*(INDEX($U$291:$AB$291,MATCH(Notes!$C$16,$U$3:$AB$3,0))-100%))*$L$291</f>
        <v>1493.8420000000001</v>
      </c>
      <c r="M351" s="286"/>
      <c r="N351" s="286"/>
      <c r="O351" s="311">
        <f>O323</f>
        <v>965.56</v>
      </c>
      <c r="P351" s="311">
        <f t="shared" si="31"/>
        <v>528.28200000000004</v>
      </c>
      <c r="Q351" s="285"/>
      <c r="R351" s="278"/>
      <c r="S351" s="278"/>
      <c r="T351" s="278"/>
      <c r="U351" s="304"/>
    </row>
    <row r="352" spans="1:21" s="305" customFormat="1" ht="21.75" hidden="1" customHeight="1" outlineLevel="1" x14ac:dyDescent="0.25">
      <c r="A352" s="278"/>
      <c r="B352" s="279" t="str">
        <f t="shared" si="32"/>
        <v>27001800AL/FXW</v>
      </c>
      <c r="C352" s="278">
        <v>2700</v>
      </c>
      <c r="D352" s="278">
        <v>1800</v>
      </c>
      <c r="E352" s="278" t="s">
        <v>942</v>
      </c>
      <c r="F352" s="278"/>
      <c r="G352" s="278" t="s">
        <v>5</v>
      </c>
      <c r="H352" s="290">
        <v>5</v>
      </c>
      <c r="I352" s="280">
        <f t="shared" si="33"/>
        <v>403.1</v>
      </c>
      <c r="J352" s="281">
        <f t="shared" si="34"/>
        <v>457.15000000000003</v>
      </c>
      <c r="K352" s="282">
        <f>IF(Notes!$B$9="Domestic",I352, IF(Notes!$B$9="Commercial",J352))*$K$291</f>
        <v>457.15000000000003</v>
      </c>
      <c r="L352" s="283">
        <f>(SUM(O352:Q352)+(K352+SUM(M352:Q352))*(INDEX($U$291:$AB$291,MATCH(Notes!$C$16,$U$3:$AB$3,0))-100%))*$L$291</f>
        <v>1616.9584</v>
      </c>
      <c r="M352" s="286"/>
      <c r="N352" s="286"/>
      <c r="O352" s="311">
        <f>O331</f>
        <v>983.02</v>
      </c>
      <c r="P352" s="311">
        <f t="shared" si="31"/>
        <v>633.9384</v>
      </c>
      <c r="Q352" s="285"/>
      <c r="R352" s="278"/>
      <c r="S352" s="278"/>
      <c r="T352" s="278"/>
      <c r="U352" s="304"/>
    </row>
    <row r="353" spans="1:28" s="305" customFormat="1" ht="21.75" hidden="1" customHeight="1" outlineLevel="1" x14ac:dyDescent="0.25">
      <c r="A353" s="278"/>
      <c r="B353" s="279" t="str">
        <f t="shared" si="32"/>
        <v>27002100AL/FXW</v>
      </c>
      <c r="C353" s="278">
        <v>2700</v>
      </c>
      <c r="D353" s="278">
        <v>2100</v>
      </c>
      <c r="E353" s="278" t="s">
        <v>942</v>
      </c>
      <c r="F353" s="278"/>
      <c r="G353" s="278" t="s">
        <v>5</v>
      </c>
      <c r="H353" s="290">
        <v>6</v>
      </c>
      <c r="I353" s="280">
        <f t="shared" si="33"/>
        <v>483.72</v>
      </c>
      <c r="J353" s="281">
        <f t="shared" si="34"/>
        <v>548.58000000000004</v>
      </c>
      <c r="K353" s="282">
        <f>IF(Notes!$B$9="Domestic",I353, IF(Notes!$B$9="Commercial",J353))*$K$291</f>
        <v>548.58000000000004</v>
      </c>
      <c r="L353" s="283">
        <f>(SUM(O353:Q353)+(K353+SUM(M353:Q353))*(INDEX($U$291:$AB$291,MATCH(Notes!$C$16,$U$3:$AB$3,0))-100%))*$L$291</f>
        <v>1828.1747999999998</v>
      </c>
      <c r="M353" s="286"/>
      <c r="N353" s="286"/>
      <c r="O353" s="311">
        <f>O339</f>
        <v>1088.58</v>
      </c>
      <c r="P353" s="311">
        <f t="shared" si="31"/>
        <v>739.59479999999996</v>
      </c>
      <c r="Q353" s="285"/>
      <c r="R353" s="278"/>
      <c r="S353" s="278"/>
      <c r="T353" s="278"/>
      <c r="U353" s="304"/>
    </row>
    <row r="354" spans="1:28" s="305" customFormat="1" ht="21.75" hidden="1" customHeight="1" outlineLevel="1" x14ac:dyDescent="0.25">
      <c r="A354" s="278"/>
      <c r="B354" s="279" t="str">
        <f t="shared" si="32"/>
        <v>27002400AL/FXW</v>
      </c>
      <c r="C354" s="278">
        <v>2700</v>
      </c>
      <c r="D354" s="278">
        <v>2400</v>
      </c>
      <c r="E354" s="278" t="s">
        <v>942</v>
      </c>
      <c r="F354" s="278"/>
      <c r="G354" s="278" t="s">
        <v>5</v>
      </c>
      <c r="H354" s="290">
        <v>6</v>
      </c>
      <c r="I354" s="280">
        <f t="shared" si="33"/>
        <v>483.72</v>
      </c>
      <c r="J354" s="281">
        <f t="shared" si="34"/>
        <v>548.58000000000004</v>
      </c>
      <c r="K354" s="282">
        <f>IF(Notes!$B$9="Domestic",I354, IF(Notes!$B$9="Commercial",J354))*$K$291</f>
        <v>548.58000000000004</v>
      </c>
      <c r="L354" s="283">
        <f>(SUM(O354:Q354)+(K354+SUM(M354:Q354))*(INDEX($U$291:$AB$291,MATCH(Notes!$C$16,$U$3:$AB$3,0))-100%))*$L$291</f>
        <v>2001.7012</v>
      </c>
      <c r="M354" s="286"/>
      <c r="N354" s="286"/>
      <c r="O354" s="311">
        <f>O346</f>
        <v>1156.45</v>
      </c>
      <c r="P354" s="311">
        <f t="shared" si="31"/>
        <v>845.25119999999993</v>
      </c>
      <c r="Q354" s="285"/>
      <c r="R354" s="278"/>
      <c r="S354" s="278"/>
      <c r="T354" s="278"/>
      <c r="U354" s="304"/>
    </row>
    <row r="355" spans="1:28" s="305" customFormat="1" ht="21.75" hidden="1" customHeight="1" outlineLevel="1" x14ac:dyDescent="0.25">
      <c r="A355" s="278"/>
      <c r="B355" s="279" t="str">
        <f t="shared" si="32"/>
        <v>27002700AL/FXW</v>
      </c>
      <c r="C355" s="278">
        <v>2700</v>
      </c>
      <c r="D355" s="278">
        <v>2700</v>
      </c>
      <c r="E355" s="278" t="s">
        <v>942</v>
      </c>
      <c r="F355" s="278"/>
      <c r="G355" s="278" t="s">
        <v>5</v>
      </c>
      <c r="H355" s="290">
        <v>6</v>
      </c>
      <c r="I355" s="280">
        <f t="shared" si="33"/>
        <v>483.72</v>
      </c>
      <c r="J355" s="281">
        <f t="shared" si="34"/>
        <v>548.58000000000004</v>
      </c>
      <c r="K355" s="282">
        <f>IF(Notes!$B$9="Domestic",I355, IF(Notes!$B$9="Commercial",J355))*$K$291</f>
        <v>548.58000000000004</v>
      </c>
      <c r="L355" s="283">
        <f>(SUM(O355:Q355)+(K355+SUM(M355:Q355))*(INDEX($U$291:$AB$291,MATCH(Notes!$C$16,$U$3:$AB$3,0))-100%))*$L$291</f>
        <v>2250.6075999999998</v>
      </c>
      <c r="M355" s="286"/>
      <c r="N355" s="286"/>
      <c r="O355" s="311">
        <f>O347+O347-O339</f>
        <v>1299.6999999999998</v>
      </c>
      <c r="P355" s="311">
        <f t="shared" si="31"/>
        <v>950.9076</v>
      </c>
      <c r="Q355" s="285"/>
      <c r="R355" s="278"/>
      <c r="S355" s="278"/>
      <c r="T355" s="278"/>
      <c r="U355" s="304"/>
    </row>
    <row r="356" spans="1:28" ht="21" hidden="1" outlineLevel="1" x14ac:dyDescent="0.25">
      <c r="A356" s="299" t="s">
        <v>144</v>
      </c>
      <c r="B356" s="299"/>
      <c r="C356" s="299"/>
      <c r="D356" s="299"/>
      <c r="E356" s="299"/>
      <c r="F356" s="299"/>
      <c r="G356" s="299"/>
      <c r="H356" s="299"/>
      <c r="I356" s="299"/>
      <c r="J356" s="299"/>
      <c r="K356" s="299"/>
      <c r="L356" s="299"/>
      <c r="M356" s="299"/>
      <c r="N356" s="299"/>
      <c r="O356" s="299"/>
      <c r="P356" s="299"/>
      <c r="Q356" s="299"/>
      <c r="R356" s="299"/>
      <c r="S356" s="299"/>
      <c r="T356" s="299"/>
      <c r="U356" s="299"/>
      <c r="V356" s="299"/>
      <c r="W356" s="299"/>
      <c r="X356" s="299"/>
      <c r="Y356" s="299"/>
      <c r="Z356" s="299"/>
      <c r="AA356" s="299"/>
      <c r="AB356" s="299"/>
    </row>
    <row r="357" spans="1:28" ht="15.75" hidden="1" outlineLevel="1" x14ac:dyDescent="0.25">
      <c r="A357" s="291"/>
      <c r="B357" s="291"/>
      <c r="C357" s="291"/>
      <c r="D357" s="291"/>
      <c r="E357" s="291"/>
      <c r="F357" s="291"/>
      <c r="G357" s="291"/>
      <c r="H357" s="291"/>
      <c r="I357" s="291"/>
      <c r="J357" s="291"/>
      <c r="K357" s="291">
        <f>K$2</f>
        <v>1</v>
      </c>
      <c r="L357" s="291">
        <f>L$2</f>
        <v>1</v>
      </c>
      <c r="M357" s="291"/>
      <c r="N357" s="291"/>
      <c r="O357" s="303"/>
      <c r="P357" s="303"/>
      <c r="Q357" s="303"/>
      <c r="R357" s="291"/>
      <c r="S357" s="291"/>
      <c r="T357" s="291"/>
      <c r="U357" s="291">
        <f>U$2</f>
        <v>0.89965397923875434</v>
      </c>
      <c r="V357" s="291">
        <f>V$2</f>
        <v>1</v>
      </c>
      <c r="W357" s="291">
        <f t="shared" ref="W357:AB357" si="35">W$2</f>
        <v>0.92214532871972321</v>
      </c>
      <c r="X357" s="291">
        <f t="shared" si="35"/>
        <v>0.89965397923875434</v>
      </c>
      <c r="Y357" s="291">
        <f t="shared" si="35"/>
        <v>1.0069204152249136</v>
      </c>
      <c r="Z357" s="291">
        <f t="shared" si="35"/>
        <v>0.856401384083045</v>
      </c>
      <c r="AA357" s="291">
        <f t="shared" si="35"/>
        <v>0.856401384083045</v>
      </c>
      <c r="AB357" s="291">
        <f t="shared" si="35"/>
        <v>1.0121107266435987</v>
      </c>
    </row>
    <row r="358" spans="1:28" s="305" customFormat="1" hidden="1" outlineLevel="1" x14ac:dyDescent="0.25">
      <c r="A358" s="278"/>
      <c r="B358" s="279" t="str">
        <f t="shared" ref="B358:B421" si="36">C358&amp;D358&amp;E358&amp;F358</f>
        <v>600600AL/LVW</v>
      </c>
      <c r="C358" s="278">
        <v>600</v>
      </c>
      <c r="D358" s="278">
        <v>600</v>
      </c>
      <c r="E358" s="278" t="s">
        <v>943</v>
      </c>
      <c r="F358" s="278"/>
      <c r="G358" s="278" t="s">
        <v>5</v>
      </c>
      <c r="H358" s="290">
        <v>1</v>
      </c>
      <c r="I358" s="280">
        <f>$I$2*H358</f>
        <v>80.62</v>
      </c>
      <c r="J358" s="281">
        <f t="shared" ref="J358:J421" si="37">$J$2*H358</f>
        <v>91.43</v>
      </c>
      <c r="K358" s="282">
        <f>IF(Notes!$B$9="Domestic",I358, IF(Notes!$B$9="Commercial",J358))*$K$357</f>
        <v>91.43</v>
      </c>
      <c r="L358" s="283">
        <f>(SUM(O358:Q358)+(K358+SUM(M358:Q358))*(INDEX($U$357:$AB$357,MATCH(Notes!$C$16,$U$3:$AB$3,0))-100%))*$L$357</f>
        <v>381.77839999999998</v>
      </c>
      <c r="M358" s="286"/>
      <c r="N358" s="286"/>
      <c r="O358" s="285">
        <v>334.82</v>
      </c>
      <c r="P358" s="311">
        <f t="shared" ref="P358:P421" si="38">$P$2*C358/1000*D358/1000</f>
        <v>46.958399999999997</v>
      </c>
      <c r="Q358" s="285"/>
      <c r="R358" s="278">
        <v>600</v>
      </c>
      <c r="S358" s="278">
        <v>600</v>
      </c>
      <c r="T358" s="278" t="s">
        <v>943</v>
      </c>
    </row>
    <row r="359" spans="1:28" s="305" customFormat="1" hidden="1" outlineLevel="1" x14ac:dyDescent="0.25">
      <c r="A359" s="278"/>
      <c r="B359" s="279" t="str">
        <f t="shared" si="36"/>
        <v>600900AL/LVW</v>
      </c>
      <c r="C359" s="278">
        <v>600</v>
      </c>
      <c r="D359" s="278">
        <v>900</v>
      </c>
      <c r="E359" s="278" t="s">
        <v>943</v>
      </c>
      <c r="F359" s="278"/>
      <c r="G359" s="278" t="s">
        <v>5</v>
      </c>
      <c r="H359" s="290">
        <v>1</v>
      </c>
      <c r="I359" s="280">
        <f t="shared" ref="I359:I421" si="39">$I$2*H359</f>
        <v>80.62</v>
      </c>
      <c r="J359" s="281">
        <f t="shared" si="37"/>
        <v>91.43</v>
      </c>
      <c r="K359" s="282">
        <f>IF(Notes!$B$9="Domestic",I359, IF(Notes!$B$9="Commercial",J359))*$K$357</f>
        <v>91.43</v>
      </c>
      <c r="L359" s="283">
        <f>(SUM(O359:Q359)+(K359+SUM(M359:Q359))*(INDEX($U$357:$AB$357,MATCH(Notes!$C$16,$U$3:$AB$3,0))-100%))*$L$357</f>
        <v>590.9076</v>
      </c>
      <c r="M359" s="286"/>
      <c r="N359" s="286"/>
      <c r="O359" s="285">
        <v>520.47</v>
      </c>
      <c r="P359" s="311">
        <f t="shared" si="38"/>
        <v>70.437599999999989</v>
      </c>
      <c r="Q359" s="285"/>
      <c r="R359" s="278">
        <v>900</v>
      </c>
      <c r="S359" s="278">
        <v>900</v>
      </c>
      <c r="T359" s="278"/>
    </row>
    <row r="360" spans="1:28" s="305" customFormat="1" hidden="1" outlineLevel="1" x14ac:dyDescent="0.25">
      <c r="A360" s="278"/>
      <c r="B360" s="279" t="str">
        <f t="shared" si="36"/>
        <v>6001200AL/LVW</v>
      </c>
      <c r="C360" s="278">
        <v>600</v>
      </c>
      <c r="D360" s="278">
        <v>1200</v>
      </c>
      <c r="E360" s="278" t="s">
        <v>943</v>
      </c>
      <c r="F360" s="278"/>
      <c r="G360" s="278" t="s">
        <v>5</v>
      </c>
      <c r="H360" s="290">
        <v>1</v>
      </c>
      <c r="I360" s="280">
        <f t="shared" si="39"/>
        <v>80.62</v>
      </c>
      <c r="J360" s="281">
        <f t="shared" si="37"/>
        <v>91.43</v>
      </c>
      <c r="K360" s="282">
        <f>IF(Notes!$B$9="Domestic",I360, IF(Notes!$B$9="Commercial",J360))*$K$357</f>
        <v>91.43</v>
      </c>
      <c r="L360" s="283">
        <f>(SUM(O360:Q360)+(K360+SUM(M360:Q360))*(INDEX($U$357:$AB$357,MATCH(Notes!$C$16,$U$3:$AB$3,0))-100%))*$L$357</f>
        <v>763.55679999999995</v>
      </c>
      <c r="M360" s="286"/>
      <c r="N360" s="286"/>
      <c r="O360" s="311">
        <f>O358*2</f>
        <v>669.64</v>
      </c>
      <c r="P360" s="311">
        <f t="shared" si="38"/>
        <v>93.916799999999995</v>
      </c>
      <c r="Q360" s="285"/>
      <c r="R360" s="278">
        <v>1200</v>
      </c>
      <c r="S360" s="278">
        <v>1200</v>
      </c>
      <c r="T360" s="278"/>
    </row>
    <row r="361" spans="1:28" s="305" customFormat="1" hidden="1" outlineLevel="1" x14ac:dyDescent="0.25">
      <c r="A361" s="278"/>
      <c r="B361" s="279" t="str">
        <f t="shared" si="36"/>
        <v>6001500AL/LVW</v>
      </c>
      <c r="C361" s="278">
        <v>600</v>
      </c>
      <c r="D361" s="278">
        <v>1500</v>
      </c>
      <c r="E361" s="278" t="s">
        <v>943</v>
      </c>
      <c r="F361" s="278"/>
      <c r="G361" s="278" t="s">
        <v>5</v>
      </c>
      <c r="H361" s="290">
        <v>1</v>
      </c>
      <c r="I361" s="280">
        <f t="shared" si="39"/>
        <v>80.62</v>
      </c>
      <c r="J361" s="281">
        <f t="shared" si="37"/>
        <v>91.43</v>
      </c>
      <c r="K361" s="282">
        <f>IF(Notes!$B$9="Domestic",I361, IF(Notes!$B$9="Commercial",J361))*$K$357</f>
        <v>91.43</v>
      </c>
      <c r="L361" s="283">
        <f>(SUM(O361:Q361)+(K361+SUM(M361:Q361))*(INDEX($U$357:$AB$357,MATCH(Notes!$C$16,$U$3:$AB$3,0))-100%))*$L$357</f>
        <v>972.68599999999992</v>
      </c>
      <c r="M361" s="286"/>
      <c r="N361" s="286"/>
      <c r="O361" s="311">
        <f>O358+O359</f>
        <v>855.29</v>
      </c>
      <c r="P361" s="311">
        <f t="shared" si="38"/>
        <v>117.396</v>
      </c>
      <c r="Q361" s="285"/>
      <c r="R361" s="278">
        <v>1500</v>
      </c>
      <c r="S361" s="278">
        <v>1500</v>
      </c>
      <c r="T361" s="278"/>
    </row>
    <row r="362" spans="1:28" s="305" customFormat="1" hidden="1" outlineLevel="1" x14ac:dyDescent="0.25">
      <c r="A362" s="278"/>
      <c r="B362" s="279" t="str">
        <f t="shared" si="36"/>
        <v>6001800AL/LVW</v>
      </c>
      <c r="C362" s="278">
        <v>600</v>
      </c>
      <c r="D362" s="278">
        <v>1800</v>
      </c>
      <c r="E362" s="278" t="s">
        <v>943</v>
      </c>
      <c r="F362" s="278"/>
      <c r="G362" s="278" t="s">
        <v>5</v>
      </c>
      <c r="H362" s="290">
        <v>1</v>
      </c>
      <c r="I362" s="280">
        <f t="shared" si="39"/>
        <v>80.62</v>
      </c>
      <c r="J362" s="281">
        <f t="shared" si="37"/>
        <v>91.43</v>
      </c>
      <c r="K362" s="282">
        <f>IF(Notes!$B$9="Domestic",I362, IF(Notes!$B$9="Commercial",J362))*$K$357</f>
        <v>91.43</v>
      </c>
      <c r="L362" s="283">
        <f>(SUM(O362:Q362)+(K362+SUM(M362:Q362))*(INDEX($U$357:$AB$357,MATCH(Notes!$C$16,$U$3:$AB$3,0))-100%))*$L$357</f>
        <v>1181.8152</v>
      </c>
      <c r="M362" s="286"/>
      <c r="N362" s="286"/>
      <c r="O362" s="311">
        <f>O359*2</f>
        <v>1040.94</v>
      </c>
      <c r="P362" s="311">
        <f t="shared" si="38"/>
        <v>140.87519999999998</v>
      </c>
      <c r="Q362" s="285"/>
      <c r="R362" s="278">
        <v>1800</v>
      </c>
      <c r="S362" s="278">
        <v>1800</v>
      </c>
      <c r="T362" s="278"/>
    </row>
    <row r="363" spans="1:28" s="305" customFormat="1" hidden="1" outlineLevel="1" x14ac:dyDescent="0.25">
      <c r="A363" s="278"/>
      <c r="B363" s="279" t="str">
        <f t="shared" si="36"/>
        <v>6002100AL/LVW</v>
      </c>
      <c r="C363" s="278">
        <v>600</v>
      </c>
      <c r="D363" s="278">
        <v>2100</v>
      </c>
      <c r="E363" s="278" t="s">
        <v>943</v>
      </c>
      <c r="F363" s="278"/>
      <c r="G363" s="278" t="s">
        <v>5</v>
      </c>
      <c r="H363" s="290">
        <v>2</v>
      </c>
      <c r="I363" s="280">
        <f t="shared" si="39"/>
        <v>161.24</v>
      </c>
      <c r="J363" s="281">
        <f t="shared" si="37"/>
        <v>182.86</v>
      </c>
      <c r="K363" s="282">
        <f>IF(Notes!$B$9="Domestic",I363, IF(Notes!$B$9="Commercial",J363))*$K$357</f>
        <v>182.86</v>
      </c>
      <c r="L363" s="283">
        <f>(SUM(O363:Q363)+(K363+SUM(M363:Q363))*(INDEX($U$357:$AB$357,MATCH(Notes!$C$16,$U$3:$AB$3,0))-100%))*$L$357</f>
        <v>1354.4643999999998</v>
      </c>
      <c r="M363" s="286"/>
      <c r="N363" s="286"/>
      <c r="O363" s="311">
        <f>O358+O361</f>
        <v>1190.1099999999999</v>
      </c>
      <c r="P363" s="311">
        <f t="shared" si="38"/>
        <v>164.3544</v>
      </c>
      <c r="Q363" s="285"/>
      <c r="R363" s="278">
        <v>2100</v>
      </c>
      <c r="S363" s="278">
        <v>2100</v>
      </c>
      <c r="T363" s="278"/>
    </row>
    <row r="364" spans="1:28" s="305" customFormat="1" hidden="1" outlineLevel="1" x14ac:dyDescent="0.25">
      <c r="A364" s="278"/>
      <c r="B364" s="279" t="str">
        <f t="shared" si="36"/>
        <v>6002400AL/LVW</v>
      </c>
      <c r="C364" s="278">
        <v>600</v>
      </c>
      <c r="D364" s="278">
        <v>2400</v>
      </c>
      <c r="E364" s="278" t="s">
        <v>943</v>
      </c>
      <c r="F364" s="278"/>
      <c r="G364" s="278" t="s">
        <v>5</v>
      </c>
      <c r="H364" s="290">
        <v>2</v>
      </c>
      <c r="I364" s="280">
        <f t="shared" si="39"/>
        <v>161.24</v>
      </c>
      <c r="J364" s="281">
        <f t="shared" si="37"/>
        <v>182.86</v>
      </c>
      <c r="K364" s="282">
        <f>IF(Notes!$B$9="Domestic",I364, IF(Notes!$B$9="Commercial",J364))*$K$357</f>
        <v>182.86</v>
      </c>
      <c r="L364" s="283">
        <f>(SUM(O364:Q364)+(K364+SUM(M364:Q364))*(INDEX($U$357:$AB$357,MATCH(Notes!$C$16,$U$3:$AB$3,0))-100%))*$L$357</f>
        <v>1527.1135999999999</v>
      </c>
      <c r="M364" s="286"/>
      <c r="N364" s="286"/>
      <c r="O364" s="311">
        <f>O360*2</f>
        <v>1339.28</v>
      </c>
      <c r="P364" s="311">
        <f t="shared" si="38"/>
        <v>187.83359999999999</v>
      </c>
      <c r="Q364" s="285"/>
      <c r="R364" s="278">
        <v>2400</v>
      </c>
      <c r="S364" s="278">
        <v>2400</v>
      </c>
      <c r="T364" s="278"/>
    </row>
    <row r="365" spans="1:28" s="305" customFormat="1" hidden="1" outlineLevel="1" x14ac:dyDescent="0.25">
      <c r="A365" s="278"/>
      <c r="B365" s="279" t="str">
        <f t="shared" si="36"/>
        <v>6002700AL/LVW</v>
      </c>
      <c r="C365" s="278">
        <v>600</v>
      </c>
      <c r="D365" s="278">
        <v>2700</v>
      </c>
      <c r="E365" s="278" t="s">
        <v>943</v>
      </c>
      <c r="F365" s="278"/>
      <c r="G365" s="278" t="s">
        <v>5</v>
      </c>
      <c r="H365" s="290">
        <v>2</v>
      </c>
      <c r="I365" s="280">
        <f t="shared" si="39"/>
        <v>161.24</v>
      </c>
      <c r="J365" s="281">
        <f t="shared" si="37"/>
        <v>182.86</v>
      </c>
      <c r="K365" s="282">
        <f>IF(Notes!$B$9="Domestic",I365, IF(Notes!$B$9="Commercial",J365))*$K$357</f>
        <v>182.86</v>
      </c>
      <c r="L365" s="283">
        <f>(SUM(O365:Q365)+(K365+SUM(M365:Q365))*(INDEX($U$357:$AB$357,MATCH(Notes!$C$16,$U$3:$AB$3,0))-100%))*$L$357</f>
        <v>1736.2427999999998</v>
      </c>
      <c r="M365" s="286"/>
      <c r="N365" s="286"/>
      <c r="O365" s="311">
        <f>O360+O361</f>
        <v>1524.9299999999998</v>
      </c>
      <c r="P365" s="311">
        <f t="shared" si="38"/>
        <v>211.31279999999998</v>
      </c>
      <c r="Q365" s="285"/>
      <c r="R365" s="278">
        <v>2700</v>
      </c>
      <c r="S365" s="278">
        <v>2700</v>
      </c>
      <c r="T365" s="278"/>
    </row>
    <row r="366" spans="1:28" s="305" customFormat="1" hidden="1" outlineLevel="1" x14ac:dyDescent="0.25">
      <c r="A366" s="278"/>
      <c r="B366" s="279" t="str">
        <f t="shared" si="36"/>
        <v>900600AL/LVW</v>
      </c>
      <c r="C366" s="278">
        <v>900</v>
      </c>
      <c r="D366" s="278">
        <v>600</v>
      </c>
      <c r="E366" s="278" t="s">
        <v>943</v>
      </c>
      <c r="F366" s="278"/>
      <c r="G366" s="278" t="s">
        <v>5</v>
      </c>
      <c r="H366" s="290">
        <v>1</v>
      </c>
      <c r="I366" s="280">
        <f t="shared" si="39"/>
        <v>80.62</v>
      </c>
      <c r="J366" s="281">
        <f t="shared" si="37"/>
        <v>91.43</v>
      </c>
      <c r="K366" s="282">
        <f>IF(Notes!$B$9="Domestic",I366, IF(Notes!$B$9="Commercial",J366))*$K$357</f>
        <v>91.43</v>
      </c>
      <c r="L366" s="283">
        <f>(SUM(O366:Q366)+(K366+SUM(M366:Q366))*(INDEX($U$357:$AB$357,MATCH(Notes!$C$16,$U$3:$AB$3,0))-100%))*$L$357</f>
        <v>481.04759999999999</v>
      </c>
      <c r="M366" s="286"/>
      <c r="N366" s="286"/>
      <c r="O366" s="285">
        <v>410.61</v>
      </c>
      <c r="P366" s="311">
        <f t="shared" si="38"/>
        <v>70.437600000000003</v>
      </c>
      <c r="Q366" s="285"/>
      <c r="R366" s="278"/>
      <c r="S366" s="278"/>
      <c r="T366" s="278"/>
    </row>
    <row r="367" spans="1:28" s="305" customFormat="1" hidden="1" outlineLevel="1" x14ac:dyDescent="0.25">
      <c r="A367" s="278"/>
      <c r="B367" s="279" t="str">
        <f t="shared" si="36"/>
        <v>900900AL/LVW</v>
      </c>
      <c r="C367" s="278">
        <v>900</v>
      </c>
      <c r="D367" s="278">
        <v>900</v>
      </c>
      <c r="E367" s="278" t="s">
        <v>943</v>
      </c>
      <c r="F367" s="278"/>
      <c r="G367" s="278" t="s">
        <v>5</v>
      </c>
      <c r="H367" s="290">
        <v>1</v>
      </c>
      <c r="I367" s="280">
        <f t="shared" si="39"/>
        <v>80.62</v>
      </c>
      <c r="J367" s="281">
        <f t="shared" si="37"/>
        <v>91.43</v>
      </c>
      <c r="K367" s="282">
        <f>IF(Notes!$B$9="Domestic",I367, IF(Notes!$B$9="Commercial",J367))*$K$357</f>
        <v>91.43</v>
      </c>
      <c r="L367" s="283">
        <f>(SUM(O367:Q367)+(K367+SUM(M367:Q367))*(INDEX($U$357:$AB$357,MATCH(Notes!$C$16,$U$3:$AB$3,0))-100%))*$L$357</f>
        <v>734.87639999999999</v>
      </c>
      <c r="M367" s="286"/>
      <c r="N367" s="286"/>
      <c r="O367" s="285">
        <v>629.22</v>
      </c>
      <c r="P367" s="311">
        <f t="shared" si="38"/>
        <v>105.65639999999999</v>
      </c>
      <c r="Q367" s="285"/>
      <c r="R367" s="278"/>
      <c r="S367" s="278"/>
      <c r="T367" s="278"/>
    </row>
    <row r="368" spans="1:28" s="305" customFormat="1" hidden="1" outlineLevel="1" x14ac:dyDescent="0.25">
      <c r="A368" s="278"/>
      <c r="B368" s="279" t="str">
        <f t="shared" si="36"/>
        <v>9001200AL/LVW</v>
      </c>
      <c r="C368" s="278">
        <v>900</v>
      </c>
      <c r="D368" s="278">
        <v>1200</v>
      </c>
      <c r="E368" s="278" t="s">
        <v>943</v>
      </c>
      <c r="F368" s="278"/>
      <c r="G368" s="278" t="s">
        <v>5</v>
      </c>
      <c r="H368" s="290">
        <v>1</v>
      </c>
      <c r="I368" s="280">
        <f t="shared" si="39"/>
        <v>80.62</v>
      </c>
      <c r="J368" s="281">
        <f t="shared" si="37"/>
        <v>91.43</v>
      </c>
      <c r="K368" s="282">
        <f>IF(Notes!$B$9="Domestic",I368, IF(Notes!$B$9="Commercial",J368))*$K$357</f>
        <v>91.43</v>
      </c>
      <c r="L368" s="283">
        <f>(SUM(O368:Q368)+(K368+SUM(M368:Q368))*(INDEX($U$357:$AB$357,MATCH(Notes!$C$16,$U$3:$AB$3,0))-100%))*$L$357</f>
        <v>962.09519999999998</v>
      </c>
      <c r="M368" s="286"/>
      <c r="N368" s="286"/>
      <c r="O368" s="311">
        <f>O366*2</f>
        <v>821.22</v>
      </c>
      <c r="P368" s="311">
        <f t="shared" si="38"/>
        <v>140.87520000000001</v>
      </c>
      <c r="Q368" s="285"/>
      <c r="R368" s="278"/>
      <c r="S368" s="278"/>
      <c r="T368" s="278"/>
    </row>
    <row r="369" spans="1:20" s="305" customFormat="1" hidden="1" outlineLevel="1" x14ac:dyDescent="0.25">
      <c r="A369" s="278"/>
      <c r="B369" s="279" t="str">
        <f t="shared" si="36"/>
        <v>9001500AL/LVW</v>
      </c>
      <c r="C369" s="278">
        <v>900</v>
      </c>
      <c r="D369" s="278">
        <v>1500</v>
      </c>
      <c r="E369" s="278" t="s">
        <v>943</v>
      </c>
      <c r="F369" s="278"/>
      <c r="G369" s="278" t="s">
        <v>5</v>
      </c>
      <c r="H369" s="290">
        <v>2</v>
      </c>
      <c r="I369" s="280">
        <f t="shared" si="39"/>
        <v>161.24</v>
      </c>
      <c r="J369" s="281">
        <f t="shared" si="37"/>
        <v>182.86</v>
      </c>
      <c r="K369" s="282">
        <f>IF(Notes!$B$9="Domestic",I369, IF(Notes!$B$9="Commercial",J369))*$K$357</f>
        <v>182.86</v>
      </c>
      <c r="L369" s="283">
        <f>(SUM(O369:Q369)+(K369+SUM(M369:Q369))*(INDEX($U$357:$AB$357,MATCH(Notes!$C$16,$U$3:$AB$3,0))-100%))*$L$357</f>
        <v>1215.924</v>
      </c>
      <c r="M369" s="286"/>
      <c r="N369" s="286"/>
      <c r="O369" s="311">
        <f>O366+O367</f>
        <v>1039.83</v>
      </c>
      <c r="P369" s="311">
        <f t="shared" si="38"/>
        <v>176.09399999999999</v>
      </c>
      <c r="Q369" s="285"/>
      <c r="R369" s="278"/>
      <c r="S369" s="278"/>
      <c r="T369" s="278"/>
    </row>
    <row r="370" spans="1:20" s="305" customFormat="1" hidden="1" outlineLevel="1" x14ac:dyDescent="0.25">
      <c r="A370" s="278"/>
      <c r="B370" s="279" t="str">
        <f t="shared" si="36"/>
        <v>9001800AL/LVW</v>
      </c>
      <c r="C370" s="278">
        <v>900</v>
      </c>
      <c r="D370" s="278">
        <v>1800</v>
      </c>
      <c r="E370" s="278" t="s">
        <v>943</v>
      </c>
      <c r="F370" s="278"/>
      <c r="G370" s="278" t="s">
        <v>5</v>
      </c>
      <c r="H370" s="290">
        <v>2</v>
      </c>
      <c r="I370" s="280">
        <f t="shared" si="39"/>
        <v>161.24</v>
      </c>
      <c r="J370" s="281">
        <f t="shared" si="37"/>
        <v>182.86</v>
      </c>
      <c r="K370" s="282">
        <f>IF(Notes!$B$9="Domestic",I370, IF(Notes!$B$9="Commercial",J370))*$K$357</f>
        <v>182.86</v>
      </c>
      <c r="L370" s="283">
        <f>(SUM(O370:Q370)+(K370+SUM(M370:Q370))*(INDEX($U$357:$AB$357,MATCH(Notes!$C$16,$U$3:$AB$3,0))-100%))*$L$357</f>
        <v>1469.7528</v>
      </c>
      <c r="M370" s="286"/>
      <c r="N370" s="286"/>
      <c r="O370" s="311">
        <f>O367*2</f>
        <v>1258.44</v>
      </c>
      <c r="P370" s="311">
        <f t="shared" si="38"/>
        <v>211.31279999999998</v>
      </c>
      <c r="Q370" s="285"/>
      <c r="R370" s="278"/>
      <c r="S370" s="278"/>
      <c r="T370" s="278"/>
    </row>
    <row r="371" spans="1:20" s="305" customFormat="1" hidden="1" outlineLevel="1" x14ac:dyDescent="0.25">
      <c r="A371" s="278"/>
      <c r="B371" s="279" t="str">
        <f t="shared" si="36"/>
        <v>9002100AL/LVW</v>
      </c>
      <c r="C371" s="278">
        <v>900</v>
      </c>
      <c r="D371" s="278">
        <v>2100</v>
      </c>
      <c r="E371" s="278" t="s">
        <v>943</v>
      </c>
      <c r="F371" s="278"/>
      <c r="G371" s="278" t="s">
        <v>5</v>
      </c>
      <c r="H371" s="290">
        <v>2</v>
      </c>
      <c r="I371" s="280">
        <f t="shared" si="39"/>
        <v>161.24</v>
      </c>
      <c r="J371" s="281">
        <f t="shared" si="37"/>
        <v>182.86</v>
      </c>
      <c r="K371" s="282">
        <f>IF(Notes!$B$9="Domestic",I371, IF(Notes!$B$9="Commercial",J371))*$K$357</f>
        <v>182.86</v>
      </c>
      <c r="L371" s="283">
        <f>(SUM(O371:Q371)+(K371+SUM(M371:Q371))*(INDEX($U$357:$AB$357,MATCH(Notes!$C$16,$U$3:$AB$3,0))-100%))*$L$357</f>
        <v>1696.9716000000001</v>
      </c>
      <c r="M371" s="286"/>
      <c r="N371" s="286"/>
      <c r="O371" s="311">
        <f>O366+O369</f>
        <v>1450.44</v>
      </c>
      <c r="P371" s="311">
        <f t="shared" si="38"/>
        <v>246.5316</v>
      </c>
      <c r="Q371" s="285"/>
      <c r="R371" s="278"/>
      <c r="S371" s="278"/>
      <c r="T371" s="278"/>
    </row>
    <row r="372" spans="1:20" s="305" customFormat="1" hidden="1" outlineLevel="1" x14ac:dyDescent="0.25">
      <c r="A372" s="278"/>
      <c r="B372" s="279" t="str">
        <f t="shared" si="36"/>
        <v>9002400AL/LVW</v>
      </c>
      <c r="C372" s="278">
        <v>900</v>
      </c>
      <c r="D372" s="278">
        <v>2400</v>
      </c>
      <c r="E372" s="278" t="s">
        <v>943</v>
      </c>
      <c r="F372" s="278"/>
      <c r="G372" s="278" t="s">
        <v>5</v>
      </c>
      <c r="H372" s="290">
        <v>3</v>
      </c>
      <c r="I372" s="280">
        <f t="shared" si="39"/>
        <v>241.86</v>
      </c>
      <c r="J372" s="281">
        <f t="shared" si="37"/>
        <v>274.29000000000002</v>
      </c>
      <c r="K372" s="282">
        <f>IF(Notes!$B$9="Domestic",I372, IF(Notes!$B$9="Commercial",J372))*$K$357</f>
        <v>274.29000000000002</v>
      </c>
      <c r="L372" s="283">
        <f>(SUM(O372:Q372)+(K372+SUM(M372:Q372))*(INDEX($U$357:$AB$357,MATCH(Notes!$C$16,$U$3:$AB$3,0))-100%))*$L$357</f>
        <v>1924.1904</v>
      </c>
      <c r="M372" s="286"/>
      <c r="N372" s="286"/>
      <c r="O372" s="311">
        <f>O368*2</f>
        <v>1642.44</v>
      </c>
      <c r="P372" s="311">
        <f t="shared" si="38"/>
        <v>281.75040000000001</v>
      </c>
      <c r="Q372" s="285"/>
      <c r="R372" s="278"/>
      <c r="S372" s="278"/>
      <c r="T372" s="278"/>
    </row>
    <row r="373" spans="1:20" s="305" customFormat="1" hidden="1" outlineLevel="1" x14ac:dyDescent="0.25">
      <c r="A373" s="278"/>
      <c r="B373" s="279" t="str">
        <f t="shared" si="36"/>
        <v>9002700AL/LVW</v>
      </c>
      <c r="C373" s="278">
        <v>900</v>
      </c>
      <c r="D373" s="278">
        <v>2700</v>
      </c>
      <c r="E373" s="278" t="s">
        <v>943</v>
      </c>
      <c r="F373" s="278"/>
      <c r="G373" s="278" t="s">
        <v>5</v>
      </c>
      <c r="H373" s="290">
        <v>3</v>
      </c>
      <c r="I373" s="280">
        <f t="shared" si="39"/>
        <v>241.86</v>
      </c>
      <c r="J373" s="281">
        <f t="shared" si="37"/>
        <v>274.29000000000002</v>
      </c>
      <c r="K373" s="282">
        <f>IF(Notes!$B$9="Domestic",I373, IF(Notes!$B$9="Commercial",J373))*$K$357</f>
        <v>274.29000000000002</v>
      </c>
      <c r="L373" s="283">
        <f>(SUM(O373:Q373)+(K373+SUM(M373:Q373))*(INDEX($U$357:$AB$357,MATCH(Notes!$C$16,$U$3:$AB$3,0))-100%))*$L$357</f>
        <v>2178.0191999999997</v>
      </c>
      <c r="M373" s="286"/>
      <c r="N373" s="286"/>
      <c r="O373" s="311">
        <f>O368+O369</f>
        <v>1861.05</v>
      </c>
      <c r="P373" s="311">
        <f t="shared" si="38"/>
        <v>316.9692</v>
      </c>
      <c r="Q373" s="285"/>
      <c r="R373" s="278"/>
      <c r="S373" s="278"/>
      <c r="T373" s="278"/>
    </row>
    <row r="374" spans="1:20" s="305" customFormat="1" hidden="1" outlineLevel="1" x14ac:dyDescent="0.25">
      <c r="A374" s="278"/>
      <c r="B374" s="279" t="str">
        <f t="shared" si="36"/>
        <v>1200600AL/LVW</v>
      </c>
      <c r="C374" s="278">
        <v>1200</v>
      </c>
      <c r="D374" s="278">
        <v>600</v>
      </c>
      <c r="E374" s="278" t="s">
        <v>943</v>
      </c>
      <c r="F374" s="278"/>
      <c r="G374" s="278" t="s">
        <v>5</v>
      </c>
      <c r="H374" s="290">
        <v>1</v>
      </c>
      <c r="I374" s="280">
        <f t="shared" si="39"/>
        <v>80.62</v>
      </c>
      <c r="J374" s="281">
        <f t="shared" si="37"/>
        <v>91.43</v>
      </c>
      <c r="K374" s="282">
        <f>IF(Notes!$B$9="Domestic",I374, IF(Notes!$B$9="Commercial",J374))*$K$357</f>
        <v>91.43</v>
      </c>
      <c r="L374" s="283">
        <f>(SUM(O374:Q374)+(K374+SUM(M374:Q374))*(INDEX($U$357:$AB$357,MATCH(Notes!$C$16,$U$3:$AB$3,0))-100%))*$L$357</f>
        <v>596.58680000000004</v>
      </c>
      <c r="M374" s="286"/>
      <c r="N374" s="286"/>
      <c r="O374" s="285">
        <v>502.67</v>
      </c>
      <c r="P374" s="311">
        <f t="shared" si="38"/>
        <v>93.916799999999995</v>
      </c>
      <c r="Q374" s="285"/>
      <c r="R374" s="278"/>
      <c r="S374" s="278"/>
      <c r="T374" s="278"/>
    </row>
    <row r="375" spans="1:20" s="305" customFormat="1" hidden="1" outlineLevel="1" x14ac:dyDescent="0.25">
      <c r="A375" s="278"/>
      <c r="B375" s="279" t="str">
        <f t="shared" si="36"/>
        <v>1200900AL/LVW</v>
      </c>
      <c r="C375" s="278">
        <v>1200</v>
      </c>
      <c r="D375" s="278">
        <v>900</v>
      </c>
      <c r="E375" s="278" t="s">
        <v>943</v>
      </c>
      <c r="F375" s="278"/>
      <c r="G375" s="278" t="s">
        <v>5</v>
      </c>
      <c r="H375" s="290">
        <v>1</v>
      </c>
      <c r="I375" s="280">
        <f t="shared" si="39"/>
        <v>80.62</v>
      </c>
      <c r="J375" s="281">
        <f t="shared" si="37"/>
        <v>91.43</v>
      </c>
      <c r="K375" s="282">
        <f>IF(Notes!$B$9="Domestic",I375, IF(Notes!$B$9="Commercial",J375))*$K$357</f>
        <v>91.43</v>
      </c>
      <c r="L375" s="283">
        <f>(SUM(O375:Q375)+(K375+SUM(M375:Q375))*(INDEX($U$357:$AB$357,MATCH(Notes!$C$16,$U$3:$AB$3,0))-100%))*$L$357</f>
        <v>876.02519999999993</v>
      </c>
      <c r="M375" s="286"/>
      <c r="N375" s="286"/>
      <c r="O375" s="285">
        <v>735.15</v>
      </c>
      <c r="P375" s="311">
        <f t="shared" si="38"/>
        <v>140.87519999999998</v>
      </c>
      <c r="Q375" s="285"/>
      <c r="R375" s="278"/>
      <c r="S375" s="278"/>
      <c r="T375" s="278"/>
    </row>
    <row r="376" spans="1:20" s="305" customFormat="1" hidden="1" outlineLevel="1" x14ac:dyDescent="0.25">
      <c r="A376" s="278"/>
      <c r="B376" s="279" t="str">
        <f t="shared" si="36"/>
        <v>12001200AL/LVW</v>
      </c>
      <c r="C376" s="278">
        <v>1200</v>
      </c>
      <c r="D376" s="278">
        <v>1200</v>
      </c>
      <c r="E376" s="278" t="s">
        <v>943</v>
      </c>
      <c r="F376" s="278"/>
      <c r="G376" s="278" t="s">
        <v>5</v>
      </c>
      <c r="H376" s="290">
        <v>2</v>
      </c>
      <c r="I376" s="280">
        <f t="shared" si="39"/>
        <v>161.24</v>
      </c>
      <c r="J376" s="281">
        <f t="shared" si="37"/>
        <v>182.86</v>
      </c>
      <c r="K376" s="282">
        <f>IF(Notes!$B$9="Domestic",I376, IF(Notes!$B$9="Commercial",J376))*$K$357</f>
        <v>182.86</v>
      </c>
      <c r="L376" s="283">
        <f>(SUM(O376:Q376)+(K376+SUM(M376:Q376))*(INDEX($U$357:$AB$357,MATCH(Notes!$C$16,$U$3:$AB$3,0))-100%))*$L$357</f>
        <v>1193.1736000000001</v>
      </c>
      <c r="M376" s="286"/>
      <c r="N376" s="286"/>
      <c r="O376" s="311">
        <f>O374*2</f>
        <v>1005.34</v>
      </c>
      <c r="P376" s="311">
        <f t="shared" si="38"/>
        <v>187.83359999999999</v>
      </c>
      <c r="Q376" s="285"/>
      <c r="R376" s="278"/>
      <c r="S376" s="278"/>
      <c r="T376" s="278"/>
    </row>
    <row r="377" spans="1:20" s="305" customFormat="1" hidden="1" outlineLevel="1" x14ac:dyDescent="0.25">
      <c r="A377" s="278"/>
      <c r="B377" s="279" t="str">
        <f t="shared" si="36"/>
        <v>12001500AL/LVW</v>
      </c>
      <c r="C377" s="278">
        <v>1200</v>
      </c>
      <c r="D377" s="278">
        <v>1500</v>
      </c>
      <c r="E377" s="278" t="s">
        <v>943</v>
      </c>
      <c r="F377" s="278"/>
      <c r="G377" s="278" t="s">
        <v>5</v>
      </c>
      <c r="H377" s="290">
        <v>2</v>
      </c>
      <c r="I377" s="280">
        <f t="shared" si="39"/>
        <v>161.24</v>
      </c>
      <c r="J377" s="281">
        <f t="shared" si="37"/>
        <v>182.86</v>
      </c>
      <c r="K377" s="282">
        <f>IF(Notes!$B$9="Domestic",I377, IF(Notes!$B$9="Commercial",J377))*$K$357</f>
        <v>182.86</v>
      </c>
      <c r="L377" s="283">
        <f>(SUM(O377:Q377)+(K377+SUM(M377:Q377))*(INDEX($U$357:$AB$357,MATCH(Notes!$C$16,$U$3:$AB$3,0))-100%))*$L$357</f>
        <v>1472.6119999999999</v>
      </c>
      <c r="M377" s="286"/>
      <c r="N377" s="286"/>
      <c r="O377" s="311">
        <f>O374+O375</f>
        <v>1237.82</v>
      </c>
      <c r="P377" s="311">
        <f t="shared" si="38"/>
        <v>234.792</v>
      </c>
      <c r="Q377" s="285"/>
      <c r="R377" s="278"/>
      <c r="S377" s="278"/>
      <c r="T377" s="278"/>
    </row>
    <row r="378" spans="1:20" s="305" customFormat="1" hidden="1" outlineLevel="1" x14ac:dyDescent="0.25">
      <c r="A378" s="278"/>
      <c r="B378" s="279" t="str">
        <f t="shared" si="36"/>
        <v>12001800AL/LVW</v>
      </c>
      <c r="C378" s="278">
        <v>1200</v>
      </c>
      <c r="D378" s="278">
        <v>1800</v>
      </c>
      <c r="E378" s="278" t="s">
        <v>943</v>
      </c>
      <c r="F378" s="278"/>
      <c r="G378" s="278" t="s">
        <v>5</v>
      </c>
      <c r="H378" s="290">
        <v>3</v>
      </c>
      <c r="I378" s="280">
        <f t="shared" si="39"/>
        <v>241.86</v>
      </c>
      <c r="J378" s="281">
        <f t="shared" si="37"/>
        <v>274.29000000000002</v>
      </c>
      <c r="K378" s="282">
        <f>IF(Notes!$B$9="Domestic",I378, IF(Notes!$B$9="Commercial",J378))*$K$357</f>
        <v>274.29000000000002</v>
      </c>
      <c r="L378" s="283">
        <f>(SUM(O378:Q378)+(K378+SUM(M378:Q378))*(INDEX($U$357:$AB$357,MATCH(Notes!$C$16,$U$3:$AB$3,0))-100%))*$L$357</f>
        <v>1752.0503999999999</v>
      </c>
      <c r="M378" s="286"/>
      <c r="N378" s="286"/>
      <c r="O378" s="311">
        <f>O375*2</f>
        <v>1470.3</v>
      </c>
      <c r="P378" s="311">
        <f t="shared" si="38"/>
        <v>281.75039999999996</v>
      </c>
      <c r="Q378" s="285"/>
      <c r="R378" s="278"/>
      <c r="S378" s="278"/>
      <c r="T378" s="278"/>
    </row>
    <row r="379" spans="1:20" s="305" customFormat="1" hidden="1" outlineLevel="1" x14ac:dyDescent="0.25">
      <c r="A379" s="278"/>
      <c r="B379" s="279" t="str">
        <f t="shared" si="36"/>
        <v>12002100AL/LVW</v>
      </c>
      <c r="C379" s="278">
        <v>1200</v>
      </c>
      <c r="D379" s="278">
        <v>2100</v>
      </c>
      <c r="E379" s="278" t="s">
        <v>943</v>
      </c>
      <c r="F379" s="278"/>
      <c r="G379" s="278" t="s">
        <v>5</v>
      </c>
      <c r="H379" s="290">
        <v>3</v>
      </c>
      <c r="I379" s="280">
        <f t="shared" si="39"/>
        <v>241.86</v>
      </c>
      <c r="J379" s="281">
        <f t="shared" si="37"/>
        <v>274.29000000000002</v>
      </c>
      <c r="K379" s="282">
        <f>IF(Notes!$B$9="Domestic",I379, IF(Notes!$B$9="Commercial",J379))*$K$357</f>
        <v>274.29000000000002</v>
      </c>
      <c r="L379" s="283">
        <f>(SUM(O379:Q379)+(K379+SUM(M379:Q379))*(INDEX($U$357:$AB$357,MATCH(Notes!$C$16,$U$3:$AB$3,0))-100%))*$L$357</f>
        <v>2069.1988000000001</v>
      </c>
      <c r="M379" s="286"/>
      <c r="N379" s="286"/>
      <c r="O379" s="311">
        <f>O374+O377</f>
        <v>1740.49</v>
      </c>
      <c r="P379" s="311">
        <f t="shared" si="38"/>
        <v>328.7088</v>
      </c>
      <c r="Q379" s="285"/>
      <c r="R379" s="278"/>
      <c r="S379" s="278"/>
      <c r="T379" s="278"/>
    </row>
    <row r="380" spans="1:20" s="305" customFormat="1" hidden="1" outlineLevel="1" x14ac:dyDescent="0.25">
      <c r="A380" s="278"/>
      <c r="B380" s="279" t="str">
        <f t="shared" si="36"/>
        <v>12002400AL/LVW</v>
      </c>
      <c r="C380" s="278">
        <v>1200</v>
      </c>
      <c r="D380" s="278">
        <v>2400</v>
      </c>
      <c r="E380" s="278" t="s">
        <v>943</v>
      </c>
      <c r="F380" s="278"/>
      <c r="G380" s="278" t="s">
        <v>5</v>
      </c>
      <c r="H380" s="290">
        <v>3</v>
      </c>
      <c r="I380" s="280">
        <f t="shared" si="39"/>
        <v>241.86</v>
      </c>
      <c r="J380" s="281">
        <f t="shared" si="37"/>
        <v>274.29000000000002</v>
      </c>
      <c r="K380" s="282">
        <f>IF(Notes!$B$9="Domestic",I380, IF(Notes!$B$9="Commercial",J380))*$K$357</f>
        <v>274.29000000000002</v>
      </c>
      <c r="L380" s="283">
        <f>(SUM(O380:Q380)+(K380+SUM(M380:Q380))*(INDEX($U$357:$AB$357,MATCH(Notes!$C$16,$U$3:$AB$3,0))-100%))*$L$357</f>
        <v>2386.3472000000002</v>
      </c>
      <c r="M380" s="286"/>
      <c r="N380" s="286"/>
      <c r="O380" s="311">
        <f>O376*2</f>
        <v>2010.68</v>
      </c>
      <c r="P380" s="311">
        <f t="shared" si="38"/>
        <v>375.66719999999998</v>
      </c>
      <c r="Q380" s="285"/>
      <c r="R380" s="278"/>
      <c r="S380" s="278"/>
      <c r="T380" s="278"/>
    </row>
    <row r="381" spans="1:20" s="305" customFormat="1" hidden="1" outlineLevel="1" x14ac:dyDescent="0.25">
      <c r="A381" s="278"/>
      <c r="B381" s="279" t="str">
        <f t="shared" si="36"/>
        <v>12002700AL/LVW</v>
      </c>
      <c r="C381" s="278">
        <v>1200</v>
      </c>
      <c r="D381" s="278">
        <v>2700</v>
      </c>
      <c r="E381" s="278" t="s">
        <v>943</v>
      </c>
      <c r="F381" s="278"/>
      <c r="G381" s="278" t="s">
        <v>5</v>
      </c>
      <c r="H381" s="290">
        <v>4</v>
      </c>
      <c r="I381" s="280">
        <f t="shared" si="39"/>
        <v>322.48</v>
      </c>
      <c r="J381" s="281">
        <f t="shared" si="37"/>
        <v>365.72</v>
      </c>
      <c r="K381" s="282">
        <f>IF(Notes!$B$9="Domestic",I381, IF(Notes!$B$9="Commercial",J381))*$K$357</f>
        <v>365.72</v>
      </c>
      <c r="L381" s="283">
        <f>(SUM(O381:Q381)+(K381+SUM(M381:Q381))*(INDEX($U$357:$AB$357,MATCH(Notes!$C$16,$U$3:$AB$3,0))-100%))*$L$357</f>
        <v>2665.7855999999997</v>
      </c>
      <c r="M381" s="286"/>
      <c r="N381" s="286"/>
      <c r="O381" s="311">
        <f>O376+O377</f>
        <v>2243.16</v>
      </c>
      <c r="P381" s="311">
        <f t="shared" si="38"/>
        <v>422.62559999999996</v>
      </c>
      <c r="Q381" s="285"/>
      <c r="R381" s="278"/>
      <c r="S381" s="278"/>
      <c r="T381" s="278"/>
    </row>
    <row r="382" spans="1:20" s="305" customFormat="1" hidden="1" outlineLevel="1" x14ac:dyDescent="0.25">
      <c r="A382" s="278"/>
      <c r="B382" s="279" t="str">
        <f t="shared" si="36"/>
        <v>1500600AL/LVW</v>
      </c>
      <c r="C382" s="278">
        <v>1500</v>
      </c>
      <c r="D382" s="278">
        <v>600</v>
      </c>
      <c r="E382" s="278" t="s">
        <v>943</v>
      </c>
      <c r="F382" s="278"/>
      <c r="G382" s="278" t="s">
        <v>5</v>
      </c>
      <c r="H382" s="290">
        <v>1</v>
      </c>
      <c r="I382" s="280">
        <f t="shared" si="39"/>
        <v>80.62</v>
      </c>
      <c r="J382" s="281">
        <f t="shared" si="37"/>
        <v>91.43</v>
      </c>
      <c r="K382" s="282">
        <f>IF(Notes!$B$9="Domestic",I382, IF(Notes!$B$9="Commercial",J382))*$K$357</f>
        <v>91.43</v>
      </c>
      <c r="L382" s="283">
        <f>(SUM(O382:Q382)+(K382+SUM(M382:Q382))*(INDEX($U$357:$AB$357,MATCH(Notes!$C$16,$U$3:$AB$3,0))-100%))*$L$357</f>
        <v>730.50599999999997</v>
      </c>
      <c r="M382" s="286"/>
      <c r="N382" s="286"/>
      <c r="O382" s="285">
        <v>613.11</v>
      </c>
      <c r="P382" s="311">
        <f t="shared" si="38"/>
        <v>117.396</v>
      </c>
      <c r="Q382" s="285"/>
      <c r="R382" s="278"/>
      <c r="S382" s="278"/>
      <c r="T382" s="278"/>
    </row>
    <row r="383" spans="1:20" s="305" customFormat="1" hidden="1" outlineLevel="1" x14ac:dyDescent="0.25">
      <c r="A383" s="278"/>
      <c r="B383" s="279" t="str">
        <f t="shared" si="36"/>
        <v>1500900AL/LVW</v>
      </c>
      <c r="C383" s="278">
        <v>1500</v>
      </c>
      <c r="D383" s="278">
        <v>900</v>
      </c>
      <c r="E383" s="278" t="s">
        <v>943</v>
      </c>
      <c r="F383" s="278"/>
      <c r="G383" s="278" t="s">
        <v>5</v>
      </c>
      <c r="H383" s="290">
        <v>2</v>
      </c>
      <c r="I383" s="280">
        <f t="shared" si="39"/>
        <v>161.24</v>
      </c>
      <c r="J383" s="281">
        <f t="shared" si="37"/>
        <v>182.86</v>
      </c>
      <c r="K383" s="282">
        <f>IF(Notes!$B$9="Domestic",I383, IF(Notes!$B$9="Commercial",J383))*$K$357</f>
        <v>182.86</v>
      </c>
      <c r="L383" s="283">
        <f>(SUM(O383:Q383)+(K383+SUM(M383:Q383))*(INDEX($U$357:$AB$357,MATCH(Notes!$C$16,$U$3:$AB$3,0))-100%))*$L$357</f>
        <v>1021.2639999999999</v>
      </c>
      <c r="M383" s="286"/>
      <c r="N383" s="286"/>
      <c r="O383" s="285">
        <v>845.17</v>
      </c>
      <c r="P383" s="311">
        <f t="shared" si="38"/>
        <v>176.09399999999999</v>
      </c>
      <c r="Q383" s="285"/>
      <c r="R383" s="278"/>
      <c r="S383" s="278"/>
      <c r="T383" s="278"/>
    </row>
    <row r="384" spans="1:20" s="305" customFormat="1" hidden="1" outlineLevel="1" x14ac:dyDescent="0.25">
      <c r="A384" s="278"/>
      <c r="B384" s="279" t="str">
        <f t="shared" si="36"/>
        <v>15001200AL/LVW</v>
      </c>
      <c r="C384" s="278">
        <v>1500</v>
      </c>
      <c r="D384" s="278">
        <v>1200</v>
      </c>
      <c r="E384" s="278" t="s">
        <v>943</v>
      </c>
      <c r="F384" s="278"/>
      <c r="G384" s="278" t="s">
        <v>5</v>
      </c>
      <c r="H384" s="290">
        <v>2</v>
      </c>
      <c r="I384" s="280">
        <f t="shared" si="39"/>
        <v>161.24</v>
      </c>
      <c r="J384" s="281">
        <f t="shared" si="37"/>
        <v>182.86</v>
      </c>
      <c r="K384" s="282">
        <f>IF(Notes!$B$9="Domestic",I384, IF(Notes!$B$9="Commercial",J384))*$K$357</f>
        <v>182.86</v>
      </c>
      <c r="L384" s="283">
        <f>(SUM(O384:Q384)+(K384+SUM(M384:Q384))*(INDEX($U$357:$AB$357,MATCH(Notes!$C$16,$U$3:$AB$3,0))-100%))*$L$357</f>
        <v>1461.0119999999999</v>
      </c>
      <c r="M384" s="286"/>
      <c r="N384" s="286"/>
      <c r="O384" s="311">
        <f>O382*2</f>
        <v>1226.22</v>
      </c>
      <c r="P384" s="311">
        <f t="shared" si="38"/>
        <v>234.792</v>
      </c>
      <c r="Q384" s="285"/>
      <c r="R384" s="278"/>
      <c r="S384" s="278"/>
      <c r="T384" s="278"/>
    </row>
    <row r="385" spans="1:20" s="305" customFormat="1" hidden="1" outlineLevel="1" x14ac:dyDescent="0.25">
      <c r="A385" s="278"/>
      <c r="B385" s="279" t="str">
        <f t="shared" si="36"/>
        <v>15001500AL/LVW</v>
      </c>
      <c r="C385" s="278">
        <v>1500</v>
      </c>
      <c r="D385" s="278">
        <v>1500</v>
      </c>
      <c r="E385" s="278" t="s">
        <v>943</v>
      </c>
      <c r="F385" s="278"/>
      <c r="G385" s="278" t="s">
        <v>5</v>
      </c>
      <c r="H385" s="290">
        <v>3</v>
      </c>
      <c r="I385" s="280">
        <f t="shared" si="39"/>
        <v>241.86</v>
      </c>
      <c r="J385" s="281">
        <f t="shared" si="37"/>
        <v>274.29000000000002</v>
      </c>
      <c r="K385" s="282">
        <f>IF(Notes!$B$9="Domestic",I385, IF(Notes!$B$9="Commercial",J385))*$K$357</f>
        <v>274.29000000000002</v>
      </c>
      <c r="L385" s="283">
        <f>(SUM(O385:Q385)+(K385+SUM(M385:Q385))*(INDEX($U$357:$AB$357,MATCH(Notes!$C$16,$U$3:$AB$3,0))-100%))*$L$357</f>
        <v>1751.77</v>
      </c>
      <c r="M385" s="286"/>
      <c r="N385" s="286"/>
      <c r="O385" s="311">
        <f>O382+O383</f>
        <v>1458.28</v>
      </c>
      <c r="P385" s="311">
        <f t="shared" si="38"/>
        <v>293.49</v>
      </c>
      <c r="Q385" s="285"/>
      <c r="R385" s="278"/>
      <c r="S385" s="278"/>
      <c r="T385" s="278"/>
    </row>
    <row r="386" spans="1:20" s="305" customFormat="1" hidden="1" outlineLevel="1" x14ac:dyDescent="0.25">
      <c r="A386" s="278"/>
      <c r="B386" s="279" t="str">
        <f t="shared" si="36"/>
        <v>15001800AL/LVW</v>
      </c>
      <c r="C386" s="278">
        <v>1500</v>
      </c>
      <c r="D386" s="278">
        <v>1800</v>
      </c>
      <c r="E386" s="278" t="s">
        <v>943</v>
      </c>
      <c r="F386" s="278"/>
      <c r="G386" s="278" t="s">
        <v>5</v>
      </c>
      <c r="H386" s="290">
        <v>3</v>
      </c>
      <c r="I386" s="280">
        <f t="shared" si="39"/>
        <v>241.86</v>
      </c>
      <c r="J386" s="281">
        <f t="shared" si="37"/>
        <v>274.29000000000002</v>
      </c>
      <c r="K386" s="282">
        <f>IF(Notes!$B$9="Domestic",I386, IF(Notes!$B$9="Commercial",J386))*$K$357</f>
        <v>274.29000000000002</v>
      </c>
      <c r="L386" s="283">
        <f>(SUM(O386:Q386)+(K386+SUM(M386:Q386))*(INDEX($U$357:$AB$357,MATCH(Notes!$C$16,$U$3:$AB$3,0))-100%))*$L$357</f>
        <v>2042.5279999999998</v>
      </c>
      <c r="M386" s="286"/>
      <c r="N386" s="286"/>
      <c r="O386" s="311">
        <f>O383*2</f>
        <v>1690.34</v>
      </c>
      <c r="P386" s="311">
        <f t="shared" si="38"/>
        <v>352.18799999999999</v>
      </c>
      <c r="Q386" s="285"/>
      <c r="R386" s="278"/>
      <c r="S386" s="278"/>
      <c r="T386" s="278"/>
    </row>
    <row r="387" spans="1:20" s="305" customFormat="1" hidden="1" outlineLevel="1" x14ac:dyDescent="0.25">
      <c r="A387" s="278"/>
      <c r="B387" s="279" t="str">
        <f t="shared" si="36"/>
        <v>15002100AL/LVW</v>
      </c>
      <c r="C387" s="278">
        <v>1500</v>
      </c>
      <c r="D387" s="278">
        <v>2100</v>
      </c>
      <c r="E387" s="278" t="s">
        <v>943</v>
      </c>
      <c r="F387" s="278"/>
      <c r="G387" s="278" t="s">
        <v>5</v>
      </c>
      <c r="H387" s="290">
        <v>4</v>
      </c>
      <c r="I387" s="280">
        <f t="shared" si="39"/>
        <v>322.48</v>
      </c>
      <c r="J387" s="281">
        <f t="shared" si="37"/>
        <v>365.72</v>
      </c>
      <c r="K387" s="282">
        <f>IF(Notes!$B$9="Domestic",I387, IF(Notes!$B$9="Commercial",J387))*$K$357</f>
        <v>365.72</v>
      </c>
      <c r="L387" s="283">
        <f>(SUM(O387:Q387)+(K387+SUM(M387:Q387))*(INDEX($U$357:$AB$357,MATCH(Notes!$C$16,$U$3:$AB$3,0))-100%))*$L$357</f>
        <v>2482.2759999999998</v>
      </c>
      <c r="M387" s="286"/>
      <c r="N387" s="286"/>
      <c r="O387" s="311">
        <f>O382+O385</f>
        <v>2071.39</v>
      </c>
      <c r="P387" s="311">
        <f t="shared" si="38"/>
        <v>410.88600000000002</v>
      </c>
      <c r="Q387" s="285"/>
      <c r="R387" s="278"/>
      <c r="S387" s="278"/>
      <c r="T387" s="278"/>
    </row>
    <row r="388" spans="1:20" s="305" customFormat="1" hidden="1" outlineLevel="1" x14ac:dyDescent="0.25">
      <c r="A388" s="278"/>
      <c r="B388" s="279" t="str">
        <f t="shared" si="36"/>
        <v>15002400AL/LVW</v>
      </c>
      <c r="C388" s="278">
        <v>1500</v>
      </c>
      <c r="D388" s="278">
        <v>2400</v>
      </c>
      <c r="E388" s="278" t="s">
        <v>943</v>
      </c>
      <c r="F388" s="278"/>
      <c r="G388" s="278" t="s">
        <v>5</v>
      </c>
      <c r="H388" s="290">
        <v>4</v>
      </c>
      <c r="I388" s="280">
        <f t="shared" si="39"/>
        <v>322.48</v>
      </c>
      <c r="J388" s="281">
        <f t="shared" si="37"/>
        <v>365.72</v>
      </c>
      <c r="K388" s="282">
        <f>IF(Notes!$B$9="Domestic",I388, IF(Notes!$B$9="Commercial",J388))*$K$357</f>
        <v>365.72</v>
      </c>
      <c r="L388" s="283">
        <f>(SUM(O388:Q388)+(K388+SUM(M388:Q388))*(INDEX($U$357:$AB$357,MATCH(Notes!$C$16,$U$3:$AB$3,0))-100%))*$L$357</f>
        <v>2922.0239999999999</v>
      </c>
      <c r="M388" s="286"/>
      <c r="N388" s="286"/>
      <c r="O388" s="311">
        <f>O384*2</f>
        <v>2452.44</v>
      </c>
      <c r="P388" s="311">
        <f t="shared" si="38"/>
        <v>469.584</v>
      </c>
      <c r="Q388" s="285"/>
      <c r="R388" s="278"/>
      <c r="S388" s="278"/>
      <c r="T388" s="278"/>
    </row>
    <row r="389" spans="1:20" s="305" customFormat="1" hidden="1" outlineLevel="1" x14ac:dyDescent="0.25">
      <c r="A389" s="278"/>
      <c r="B389" s="279" t="str">
        <f t="shared" si="36"/>
        <v>15002700AL/LVW</v>
      </c>
      <c r="C389" s="278">
        <v>1500</v>
      </c>
      <c r="D389" s="278">
        <v>2700</v>
      </c>
      <c r="E389" s="278" t="s">
        <v>943</v>
      </c>
      <c r="F389" s="278"/>
      <c r="G389" s="278" t="s">
        <v>5</v>
      </c>
      <c r="H389" s="290">
        <v>4</v>
      </c>
      <c r="I389" s="280">
        <f t="shared" si="39"/>
        <v>322.48</v>
      </c>
      <c r="J389" s="281">
        <f t="shared" si="37"/>
        <v>365.72</v>
      </c>
      <c r="K389" s="282">
        <f>IF(Notes!$B$9="Domestic",I389, IF(Notes!$B$9="Commercial",J389))*$K$357</f>
        <v>365.72</v>
      </c>
      <c r="L389" s="283">
        <f>(SUM(O389:Q389)+(K389+SUM(M389:Q389))*(INDEX($U$357:$AB$357,MATCH(Notes!$C$16,$U$3:$AB$3,0))-100%))*$L$357</f>
        <v>3212.7820000000002</v>
      </c>
      <c r="M389" s="286"/>
      <c r="N389" s="286"/>
      <c r="O389" s="311">
        <f>O384+O385</f>
        <v>2684.5</v>
      </c>
      <c r="P389" s="311">
        <f t="shared" si="38"/>
        <v>528.28200000000004</v>
      </c>
      <c r="Q389" s="285"/>
      <c r="R389" s="278"/>
      <c r="S389" s="278"/>
      <c r="T389" s="278"/>
    </row>
    <row r="390" spans="1:20" s="305" customFormat="1" hidden="1" outlineLevel="1" x14ac:dyDescent="0.25">
      <c r="A390" s="278"/>
      <c r="B390" s="279" t="str">
        <f t="shared" si="36"/>
        <v>1800600AL/LVW</v>
      </c>
      <c r="C390" s="278">
        <v>1800</v>
      </c>
      <c r="D390" s="278">
        <v>600</v>
      </c>
      <c r="E390" s="278" t="s">
        <v>943</v>
      </c>
      <c r="F390" s="278"/>
      <c r="G390" s="278" t="s">
        <v>5</v>
      </c>
      <c r="H390" s="290">
        <v>1</v>
      </c>
      <c r="I390" s="280">
        <f t="shared" si="39"/>
        <v>80.62</v>
      </c>
      <c r="J390" s="281">
        <f t="shared" si="37"/>
        <v>91.43</v>
      </c>
      <c r="K390" s="282">
        <f>IF(Notes!$B$9="Domestic",I390, IF(Notes!$B$9="Commercial",J390))*$K$357</f>
        <v>91.43</v>
      </c>
      <c r="L390" s="283">
        <f>(SUM(O390:Q390)+(K390+SUM(M390:Q390))*(INDEX($U$357:$AB$357,MATCH(Notes!$C$16,$U$3:$AB$3,0))-100%))*$L$357</f>
        <v>824.41519999999991</v>
      </c>
      <c r="M390" s="286"/>
      <c r="N390" s="286"/>
      <c r="O390" s="285">
        <v>683.54</v>
      </c>
      <c r="P390" s="311">
        <f t="shared" si="38"/>
        <v>140.87520000000001</v>
      </c>
      <c r="Q390" s="285"/>
      <c r="R390" s="278"/>
      <c r="S390" s="278"/>
      <c r="T390" s="278"/>
    </row>
    <row r="391" spans="1:20" s="305" customFormat="1" hidden="1" outlineLevel="1" x14ac:dyDescent="0.25">
      <c r="A391" s="278"/>
      <c r="B391" s="279" t="str">
        <f t="shared" si="36"/>
        <v>1800900AL/LVW</v>
      </c>
      <c r="C391" s="278">
        <v>1800</v>
      </c>
      <c r="D391" s="278">
        <v>900</v>
      </c>
      <c r="E391" s="278" t="s">
        <v>943</v>
      </c>
      <c r="F391" s="278"/>
      <c r="G391" s="278" t="s">
        <v>5</v>
      </c>
      <c r="H391" s="290">
        <v>2</v>
      </c>
      <c r="I391" s="280">
        <f t="shared" si="39"/>
        <v>161.24</v>
      </c>
      <c r="J391" s="281">
        <f t="shared" si="37"/>
        <v>182.86</v>
      </c>
      <c r="K391" s="282">
        <f>IF(Notes!$B$9="Domestic",I391, IF(Notes!$B$9="Commercial",J391))*$K$357</f>
        <v>182.86</v>
      </c>
      <c r="L391" s="283">
        <f>(SUM(O391:Q391)+(K391+SUM(M391:Q391))*(INDEX($U$357:$AB$357,MATCH(Notes!$C$16,$U$3:$AB$3,0))-100%))*$L$357</f>
        <v>1158.8727999999999</v>
      </c>
      <c r="M391" s="286"/>
      <c r="N391" s="286"/>
      <c r="O391" s="285">
        <v>947.56</v>
      </c>
      <c r="P391" s="311">
        <f t="shared" si="38"/>
        <v>211.31279999999998</v>
      </c>
      <c r="Q391" s="285"/>
      <c r="R391" s="278"/>
      <c r="S391" s="278"/>
      <c r="T391" s="278"/>
    </row>
    <row r="392" spans="1:20" s="305" customFormat="1" hidden="1" outlineLevel="1" x14ac:dyDescent="0.25">
      <c r="A392" s="278"/>
      <c r="B392" s="279" t="str">
        <f t="shared" si="36"/>
        <v>18001200AL/LVW</v>
      </c>
      <c r="C392" s="278">
        <v>1800</v>
      </c>
      <c r="D392" s="278">
        <v>1200</v>
      </c>
      <c r="E392" s="278" t="s">
        <v>943</v>
      </c>
      <c r="F392" s="278"/>
      <c r="G392" s="278" t="s">
        <v>5</v>
      </c>
      <c r="H392" s="290">
        <v>3</v>
      </c>
      <c r="I392" s="280">
        <f t="shared" si="39"/>
        <v>241.86</v>
      </c>
      <c r="J392" s="281">
        <f t="shared" si="37"/>
        <v>274.29000000000002</v>
      </c>
      <c r="K392" s="282">
        <f>IF(Notes!$B$9="Domestic",I392, IF(Notes!$B$9="Commercial",J392))*$K$357</f>
        <v>274.29000000000002</v>
      </c>
      <c r="L392" s="283">
        <f>(SUM(O392:Q392)+(K392+SUM(M392:Q392))*(INDEX($U$357:$AB$357,MATCH(Notes!$C$16,$U$3:$AB$3,0))-100%))*$L$357</f>
        <v>1648.8303999999998</v>
      </c>
      <c r="M392" s="286"/>
      <c r="N392" s="286"/>
      <c r="O392" s="311">
        <f>O390*2</f>
        <v>1367.08</v>
      </c>
      <c r="P392" s="311">
        <f t="shared" si="38"/>
        <v>281.75040000000001</v>
      </c>
      <c r="Q392" s="285"/>
      <c r="R392" s="278"/>
      <c r="S392" s="278"/>
      <c r="T392" s="278"/>
    </row>
    <row r="393" spans="1:20" s="305" customFormat="1" hidden="1" outlineLevel="1" x14ac:dyDescent="0.25">
      <c r="A393" s="278"/>
      <c r="B393" s="279" t="str">
        <f t="shared" si="36"/>
        <v>18001500AL/LVW</v>
      </c>
      <c r="C393" s="278">
        <v>1800</v>
      </c>
      <c r="D393" s="278">
        <v>1500</v>
      </c>
      <c r="E393" s="278" t="s">
        <v>943</v>
      </c>
      <c r="F393" s="278"/>
      <c r="G393" s="278" t="s">
        <v>5</v>
      </c>
      <c r="H393" s="290">
        <v>3</v>
      </c>
      <c r="I393" s="280">
        <f t="shared" si="39"/>
        <v>241.86</v>
      </c>
      <c r="J393" s="281">
        <f t="shared" si="37"/>
        <v>274.29000000000002</v>
      </c>
      <c r="K393" s="282">
        <f>IF(Notes!$B$9="Domestic",I393, IF(Notes!$B$9="Commercial",J393))*$K$357</f>
        <v>274.29000000000002</v>
      </c>
      <c r="L393" s="283">
        <f>(SUM(O393:Q393)+(K393+SUM(M393:Q393))*(INDEX($U$357:$AB$357,MATCH(Notes!$C$16,$U$3:$AB$3,0))-100%))*$L$357</f>
        <v>1983.288</v>
      </c>
      <c r="M393" s="286"/>
      <c r="N393" s="286"/>
      <c r="O393" s="311">
        <f>O390+O391</f>
        <v>1631.1</v>
      </c>
      <c r="P393" s="311">
        <f t="shared" si="38"/>
        <v>352.18799999999999</v>
      </c>
      <c r="Q393" s="285"/>
      <c r="R393" s="278"/>
      <c r="S393" s="278"/>
      <c r="T393" s="278"/>
    </row>
    <row r="394" spans="1:20" s="305" customFormat="1" hidden="1" outlineLevel="1" x14ac:dyDescent="0.25">
      <c r="A394" s="278"/>
      <c r="B394" s="279" t="str">
        <f t="shared" si="36"/>
        <v>18001800AL/LVW</v>
      </c>
      <c r="C394" s="278">
        <v>1800</v>
      </c>
      <c r="D394" s="278">
        <v>1800</v>
      </c>
      <c r="E394" s="278" t="s">
        <v>943</v>
      </c>
      <c r="F394" s="278"/>
      <c r="G394" s="278" t="s">
        <v>5</v>
      </c>
      <c r="H394" s="290">
        <v>4</v>
      </c>
      <c r="I394" s="280">
        <f t="shared" si="39"/>
        <v>322.48</v>
      </c>
      <c r="J394" s="281">
        <f t="shared" si="37"/>
        <v>365.72</v>
      </c>
      <c r="K394" s="282">
        <f>IF(Notes!$B$9="Domestic",I394, IF(Notes!$B$9="Commercial",J394))*$K$357</f>
        <v>365.72</v>
      </c>
      <c r="L394" s="283">
        <f>(SUM(O394:Q394)+(K394+SUM(M394:Q394))*(INDEX($U$357:$AB$357,MATCH(Notes!$C$16,$U$3:$AB$3,0))-100%))*$L$357</f>
        <v>2317.7455999999997</v>
      </c>
      <c r="M394" s="286"/>
      <c r="N394" s="286"/>
      <c r="O394" s="311">
        <f>O391*2</f>
        <v>1895.12</v>
      </c>
      <c r="P394" s="311">
        <f t="shared" si="38"/>
        <v>422.62559999999996</v>
      </c>
      <c r="Q394" s="285"/>
      <c r="R394" s="278"/>
      <c r="S394" s="278"/>
      <c r="T394" s="278"/>
    </row>
    <row r="395" spans="1:20" s="305" customFormat="1" hidden="1" outlineLevel="1" x14ac:dyDescent="0.25">
      <c r="A395" s="278"/>
      <c r="B395" s="279" t="str">
        <f t="shared" si="36"/>
        <v>18002100AL/LVW</v>
      </c>
      <c r="C395" s="278">
        <v>1800</v>
      </c>
      <c r="D395" s="278">
        <v>2100</v>
      </c>
      <c r="E395" s="278" t="s">
        <v>943</v>
      </c>
      <c r="F395" s="278"/>
      <c r="G395" s="278" t="s">
        <v>5</v>
      </c>
      <c r="H395" s="290">
        <v>4</v>
      </c>
      <c r="I395" s="280">
        <f t="shared" si="39"/>
        <v>322.48</v>
      </c>
      <c r="J395" s="281">
        <f t="shared" si="37"/>
        <v>365.72</v>
      </c>
      <c r="K395" s="282">
        <f>IF(Notes!$B$9="Domestic",I395, IF(Notes!$B$9="Commercial",J395))*$K$357</f>
        <v>365.72</v>
      </c>
      <c r="L395" s="283">
        <f>(SUM(O395:Q395)+(K395+SUM(M395:Q395))*(INDEX($U$357:$AB$357,MATCH(Notes!$C$16,$U$3:$AB$3,0))-100%))*$L$357</f>
        <v>2807.7031999999999</v>
      </c>
      <c r="M395" s="286"/>
      <c r="N395" s="286"/>
      <c r="O395" s="311">
        <f>O390+O393</f>
        <v>2314.64</v>
      </c>
      <c r="P395" s="311">
        <f t="shared" si="38"/>
        <v>493.06319999999999</v>
      </c>
      <c r="Q395" s="285"/>
      <c r="R395" s="278"/>
      <c r="S395" s="278"/>
      <c r="T395" s="278"/>
    </row>
    <row r="396" spans="1:20" s="305" customFormat="1" hidden="1" outlineLevel="1" x14ac:dyDescent="0.25">
      <c r="A396" s="278"/>
      <c r="B396" s="279" t="str">
        <f t="shared" si="36"/>
        <v>18002400AL/LVW</v>
      </c>
      <c r="C396" s="278">
        <v>1800</v>
      </c>
      <c r="D396" s="278">
        <v>2400</v>
      </c>
      <c r="E396" s="278" t="s">
        <v>943</v>
      </c>
      <c r="F396" s="278"/>
      <c r="G396" s="278" t="s">
        <v>5</v>
      </c>
      <c r="H396" s="290">
        <v>5</v>
      </c>
      <c r="I396" s="280">
        <f t="shared" si="39"/>
        <v>403.1</v>
      </c>
      <c r="J396" s="281">
        <f t="shared" si="37"/>
        <v>457.15000000000003</v>
      </c>
      <c r="K396" s="282">
        <f>IF(Notes!$B$9="Domestic",I396, IF(Notes!$B$9="Commercial",J396))*$K$357</f>
        <v>457.15000000000003</v>
      </c>
      <c r="L396" s="283">
        <f>(SUM(O396:Q396)+(K396+SUM(M396:Q396))*(INDEX($U$357:$AB$357,MATCH(Notes!$C$16,$U$3:$AB$3,0))-100%))*$L$357</f>
        <v>3297.6607999999997</v>
      </c>
      <c r="M396" s="286"/>
      <c r="N396" s="286"/>
      <c r="O396" s="311">
        <f>O392*2</f>
        <v>2734.16</v>
      </c>
      <c r="P396" s="311">
        <f t="shared" si="38"/>
        <v>563.50080000000003</v>
      </c>
      <c r="Q396" s="285"/>
      <c r="R396" s="278"/>
      <c r="S396" s="278"/>
      <c r="T396" s="278"/>
    </row>
    <row r="397" spans="1:20" s="305" customFormat="1" hidden="1" outlineLevel="1" x14ac:dyDescent="0.25">
      <c r="A397" s="278"/>
      <c r="B397" s="279" t="str">
        <f t="shared" si="36"/>
        <v>18002700AL/LVW</v>
      </c>
      <c r="C397" s="278">
        <v>1800</v>
      </c>
      <c r="D397" s="278">
        <v>2700</v>
      </c>
      <c r="E397" s="278" t="s">
        <v>943</v>
      </c>
      <c r="F397" s="278"/>
      <c r="G397" s="278" t="s">
        <v>5</v>
      </c>
      <c r="H397" s="290">
        <v>5</v>
      </c>
      <c r="I397" s="280">
        <f t="shared" si="39"/>
        <v>403.1</v>
      </c>
      <c r="J397" s="281">
        <f t="shared" si="37"/>
        <v>457.15000000000003</v>
      </c>
      <c r="K397" s="282">
        <f>IF(Notes!$B$9="Domestic",I397, IF(Notes!$B$9="Commercial",J397))*$K$357</f>
        <v>457.15000000000003</v>
      </c>
      <c r="L397" s="283">
        <f>(SUM(O397:Q397)+(K397+SUM(M397:Q397))*(INDEX($U$357:$AB$357,MATCH(Notes!$C$16,$U$3:$AB$3,0))-100%))*$L$357</f>
        <v>3632.1183999999998</v>
      </c>
      <c r="M397" s="286"/>
      <c r="N397" s="286"/>
      <c r="O397" s="311">
        <f>O392+O393</f>
        <v>2998.18</v>
      </c>
      <c r="P397" s="311">
        <f t="shared" si="38"/>
        <v>633.9384</v>
      </c>
      <c r="Q397" s="285"/>
      <c r="R397" s="278"/>
      <c r="S397" s="278"/>
      <c r="T397" s="278"/>
    </row>
    <row r="398" spans="1:20" s="305" customFormat="1" hidden="1" outlineLevel="1" x14ac:dyDescent="0.25">
      <c r="A398" s="278"/>
      <c r="B398" s="279" t="str">
        <f t="shared" si="36"/>
        <v>2100600AL/LVW</v>
      </c>
      <c r="C398" s="278">
        <v>2100</v>
      </c>
      <c r="D398" s="278">
        <v>600</v>
      </c>
      <c r="E398" s="278" t="s">
        <v>943</v>
      </c>
      <c r="F398" s="278"/>
      <c r="G398" s="278" t="s">
        <v>5</v>
      </c>
      <c r="H398" s="290">
        <v>2</v>
      </c>
      <c r="I398" s="280">
        <f t="shared" si="39"/>
        <v>161.24</v>
      </c>
      <c r="J398" s="281">
        <f t="shared" si="37"/>
        <v>182.86</v>
      </c>
      <c r="K398" s="282">
        <f>IF(Notes!$B$9="Domestic",I398, IF(Notes!$B$9="Commercial",J398))*$K$357</f>
        <v>182.86</v>
      </c>
      <c r="L398" s="283">
        <f>(SUM(O398:Q398)+(K398+SUM(M398:Q398))*(INDEX($U$357:$AB$357,MATCH(Notes!$C$16,$U$3:$AB$3,0))-100%))*$L$357</f>
        <v>980.39439999999991</v>
      </c>
      <c r="M398" s="286"/>
      <c r="N398" s="286"/>
      <c r="O398" s="285">
        <v>816.04</v>
      </c>
      <c r="P398" s="311">
        <f t="shared" si="38"/>
        <v>164.3544</v>
      </c>
      <c r="Q398" s="285"/>
      <c r="R398" s="278"/>
      <c r="S398" s="278"/>
      <c r="T398" s="278"/>
    </row>
    <row r="399" spans="1:20" s="305" customFormat="1" hidden="1" outlineLevel="1" x14ac:dyDescent="0.25">
      <c r="A399" s="278"/>
      <c r="B399" s="279" t="str">
        <f t="shared" si="36"/>
        <v>2100900AL/LVW</v>
      </c>
      <c r="C399" s="278">
        <v>2100</v>
      </c>
      <c r="D399" s="278">
        <v>900</v>
      </c>
      <c r="E399" s="278" t="s">
        <v>943</v>
      </c>
      <c r="F399" s="278"/>
      <c r="G399" s="278" t="s">
        <v>5</v>
      </c>
      <c r="H399" s="290">
        <v>2</v>
      </c>
      <c r="I399" s="280">
        <f t="shared" si="39"/>
        <v>161.24</v>
      </c>
      <c r="J399" s="281">
        <f t="shared" si="37"/>
        <v>182.86</v>
      </c>
      <c r="K399" s="282">
        <f>IF(Notes!$B$9="Domestic",I399, IF(Notes!$B$9="Commercial",J399))*$K$357</f>
        <v>182.86</v>
      </c>
      <c r="L399" s="283">
        <f>(SUM(O399:Q399)+(K399+SUM(M399:Q399))*(INDEX($U$357:$AB$357,MATCH(Notes!$C$16,$U$3:$AB$3,0))-100%))*$L$357</f>
        <v>1354.8016</v>
      </c>
      <c r="M399" s="286"/>
      <c r="N399" s="286"/>
      <c r="O399" s="285">
        <v>1108.27</v>
      </c>
      <c r="P399" s="311">
        <f t="shared" si="38"/>
        <v>246.53159999999997</v>
      </c>
      <c r="Q399" s="285"/>
      <c r="R399" s="278"/>
      <c r="S399" s="278"/>
      <c r="T399" s="278"/>
    </row>
    <row r="400" spans="1:20" s="305" customFormat="1" hidden="1" outlineLevel="1" x14ac:dyDescent="0.25">
      <c r="A400" s="278"/>
      <c r="B400" s="279" t="str">
        <f t="shared" si="36"/>
        <v>21001200AL/LVW</v>
      </c>
      <c r="C400" s="278">
        <v>2100</v>
      </c>
      <c r="D400" s="278">
        <v>1200</v>
      </c>
      <c r="E400" s="278" t="s">
        <v>943</v>
      </c>
      <c r="F400" s="278"/>
      <c r="G400" s="278" t="s">
        <v>5</v>
      </c>
      <c r="H400" s="290">
        <v>3</v>
      </c>
      <c r="I400" s="280">
        <f t="shared" si="39"/>
        <v>241.86</v>
      </c>
      <c r="J400" s="281">
        <f t="shared" si="37"/>
        <v>274.29000000000002</v>
      </c>
      <c r="K400" s="282">
        <f>IF(Notes!$B$9="Domestic",I400, IF(Notes!$B$9="Commercial",J400))*$K$357</f>
        <v>274.29000000000002</v>
      </c>
      <c r="L400" s="283">
        <f>(SUM(O400:Q400)+(K400+SUM(M400:Q400))*(INDEX($U$357:$AB$357,MATCH(Notes!$C$16,$U$3:$AB$3,0))-100%))*$L$357</f>
        <v>1960.7887999999998</v>
      </c>
      <c r="M400" s="286"/>
      <c r="N400" s="286"/>
      <c r="O400" s="311">
        <f>O398*2</f>
        <v>1632.08</v>
      </c>
      <c r="P400" s="311">
        <f t="shared" si="38"/>
        <v>328.7088</v>
      </c>
      <c r="Q400" s="285"/>
      <c r="R400" s="278"/>
      <c r="S400" s="278"/>
      <c r="T400" s="278"/>
    </row>
    <row r="401" spans="1:20" s="305" customFormat="1" hidden="1" outlineLevel="1" x14ac:dyDescent="0.25">
      <c r="A401" s="278"/>
      <c r="B401" s="279" t="str">
        <f t="shared" si="36"/>
        <v>21001500AL/LVW</v>
      </c>
      <c r="C401" s="278">
        <v>2100</v>
      </c>
      <c r="D401" s="278">
        <v>1500</v>
      </c>
      <c r="E401" s="278" t="s">
        <v>943</v>
      </c>
      <c r="F401" s="278"/>
      <c r="G401" s="278" t="s">
        <v>5</v>
      </c>
      <c r="H401" s="290">
        <v>4</v>
      </c>
      <c r="I401" s="280">
        <f t="shared" si="39"/>
        <v>322.48</v>
      </c>
      <c r="J401" s="281">
        <f t="shared" si="37"/>
        <v>365.72</v>
      </c>
      <c r="K401" s="282">
        <f>IF(Notes!$B$9="Domestic",I401, IF(Notes!$B$9="Commercial",J401))*$K$357</f>
        <v>365.72</v>
      </c>
      <c r="L401" s="283">
        <f>(SUM(O401:Q401)+(K401+SUM(M401:Q401))*(INDEX($U$357:$AB$357,MATCH(Notes!$C$16,$U$3:$AB$3,0))-100%))*$L$357</f>
        <v>2335.1959999999999</v>
      </c>
      <c r="M401" s="286"/>
      <c r="N401" s="286"/>
      <c r="O401" s="311">
        <f>O398+O399</f>
        <v>1924.31</v>
      </c>
      <c r="P401" s="311">
        <f t="shared" si="38"/>
        <v>410.88599999999997</v>
      </c>
      <c r="Q401" s="285"/>
      <c r="R401" s="278"/>
      <c r="S401" s="278"/>
      <c r="T401" s="278"/>
    </row>
    <row r="402" spans="1:20" s="305" customFormat="1" hidden="1" outlineLevel="1" x14ac:dyDescent="0.25">
      <c r="A402" s="278"/>
      <c r="B402" s="279" t="str">
        <f t="shared" si="36"/>
        <v>21001800AL/LVW</v>
      </c>
      <c r="C402" s="278">
        <v>2100</v>
      </c>
      <c r="D402" s="278">
        <v>1800</v>
      </c>
      <c r="E402" s="278" t="s">
        <v>943</v>
      </c>
      <c r="F402" s="278"/>
      <c r="G402" s="278" t="s">
        <v>5</v>
      </c>
      <c r="H402" s="290">
        <v>4</v>
      </c>
      <c r="I402" s="280">
        <f t="shared" si="39"/>
        <v>322.48</v>
      </c>
      <c r="J402" s="281">
        <f t="shared" si="37"/>
        <v>365.72</v>
      </c>
      <c r="K402" s="282">
        <f>IF(Notes!$B$9="Domestic",I402, IF(Notes!$B$9="Commercial",J402))*$K$357</f>
        <v>365.72</v>
      </c>
      <c r="L402" s="283">
        <f>(SUM(O402:Q402)+(K402+SUM(M402:Q402))*(INDEX($U$357:$AB$357,MATCH(Notes!$C$16,$U$3:$AB$3,0))-100%))*$L$357</f>
        <v>2709.6032</v>
      </c>
      <c r="M402" s="286"/>
      <c r="N402" s="286"/>
      <c r="O402" s="311">
        <f>O399*2</f>
        <v>2216.54</v>
      </c>
      <c r="P402" s="311">
        <f t="shared" si="38"/>
        <v>493.06319999999994</v>
      </c>
      <c r="Q402" s="285"/>
      <c r="R402" s="278"/>
      <c r="S402" s="278"/>
      <c r="T402" s="278"/>
    </row>
    <row r="403" spans="1:20" s="305" customFormat="1" hidden="1" outlineLevel="1" x14ac:dyDescent="0.25">
      <c r="A403" s="278"/>
      <c r="B403" s="279" t="str">
        <f t="shared" si="36"/>
        <v>21002100AL/LVW</v>
      </c>
      <c r="C403" s="278">
        <v>2100</v>
      </c>
      <c r="D403" s="278">
        <v>2100</v>
      </c>
      <c r="E403" s="278" t="s">
        <v>943</v>
      </c>
      <c r="F403" s="278"/>
      <c r="G403" s="278" t="s">
        <v>5</v>
      </c>
      <c r="H403" s="290">
        <v>5</v>
      </c>
      <c r="I403" s="280">
        <f t="shared" si="39"/>
        <v>403.1</v>
      </c>
      <c r="J403" s="281">
        <f t="shared" si="37"/>
        <v>457.15000000000003</v>
      </c>
      <c r="K403" s="282">
        <f>IF(Notes!$B$9="Domestic",I403, IF(Notes!$B$9="Commercial",J403))*$K$357</f>
        <v>457.15000000000003</v>
      </c>
      <c r="L403" s="283">
        <f>(SUM(O403:Q403)+(K403+SUM(M403:Q403))*(INDEX($U$357:$AB$357,MATCH(Notes!$C$16,$U$3:$AB$3,0))-100%))*$L$357</f>
        <v>3315.5904</v>
      </c>
      <c r="M403" s="286"/>
      <c r="N403" s="286"/>
      <c r="O403" s="311">
        <f>O398+O401</f>
        <v>2740.35</v>
      </c>
      <c r="P403" s="311">
        <f t="shared" si="38"/>
        <v>575.24039999999991</v>
      </c>
      <c r="Q403" s="285"/>
      <c r="R403" s="278"/>
      <c r="S403" s="278"/>
      <c r="T403" s="278"/>
    </row>
    <row r="404" spans="1:20" s="305" customFormat="1" hidden="1" outlineLevel="1" x14ac:dyDescent="0.25">
      <c r="A404" s="278"/>
      <c r="B404" s="279" t="str">
        <f t="shared" si="36"/>
        <v>21002400AL/LVW</v>
      </c>
      <c r="C404" s="278">
        <v>2100</v>
      </c>
      <c r="D404" s="278">
        <v>2400</v>
      </c>
      <c r="E404" s="278" t="s">
        <v>943</v>
      </c>
      <c r="F404" s="278"/>
      <c r="G404" s="278" t="s">
        <v>5</v>
      </c>
      <c r="H404" s="290">
        <v>5</v>
      </c>
      <c r="I404" s="280">
        <f t="shared" si="39"/>
        <v>403.1</v>
      </c>
      <c r="J404" s="281">
        <f t="shared" si="37"/>
        <v>457.15000000000003</v>
      </c>
      <c r="K404" s="282">
        <f>IF(Notes!$B$9="Domestic",I404, IF(Notes!$B$9="Commercial",J404))*$K$357</f>
        <v>457.15000000000003</v>
      </c>
      <c r="L404" s="283">
        <f>(SUM(O404:Q404)+(K404+SUM(M404:Q404))*(INDEX($U$357:$AB$357,MATCH(Notes!$C$16,$U$3:$AB$3,0))-100%))*$L$357</f>
        <v>3921.5775999999996</v>
      </c>
      <c r="M404" s="286"/>
      <c r="N404" s="286"/>
      <c r="O404" s="311">
        <f>O400*2</f>
        <v>3264.16</v>
      </c>
      <c r="P404" s="311">
        <f t="shared" si="38"/>
        <v>657.41759999999999</v>
      </c>
      <c r="Q404" s="285"/>
      <c r="R404" s="278"/>
      <c r="S404" s="278"/>
      <c r="T404" s="278"/>
    </row>
    <row r="405" spans="1:20" s="305" customFormat="1" hidden="1" outlineLevel="1" x14ac:dyDescent="0.25">
      <c r="A405" s="278"/>
      <c r="B405" s="279" t="str">
        <f t="shared" si="36"/>
        <v>21002700AL/LVW</v>
      </c>
      <c r="C405" s="278">
        <v>2100</v>
      </c>
      <c r="D405" s="278">
        <v>2700</v>
      </c>
      <c r="E405" s="278" t="s">
        <v>943</v>
      </c>
      <c r="F405" s="278"/>
      <c r="G405" s="278" t="s">
        <v>5</v>
      </c>
      <c r="H405" s="290">
        <v>6</v>
      </c>
      <c r="I405" s="280">
        <f t="shared" si="39"/>
        <v>483.72</v>
      </c>
      <c r="J405" s="281">
        <f t="shared" si="37"/>
        <v>548.58000000000004</v>
      </c>
      <c r="K405" s="282">
        <f>IF(Notes!$B$9="Domestic",I405, IF(Notes!$B$9="Commercial",J405))*$K$357</f>
        <v>548.58000000000004</v>
      </c>
      <c r="L405" s="283">
        <f>(SUM(O405:Q405)+(K405+SUM(M405:Q405))*(INDEX($U$357:$AB$357,MATCH(Notes!$C$16,$U$3:$AB$3,0))-100%))*$L$357</f>
        <v>4295.9848000000002</v>
      </c>
      <c r="M405" s="286"/>
      <c r="N405" s="286"/>
      <c r="O405" s="311">
        <f>O400+O401</f>
        <v>3556.39</v>
      </c>
      <c r="P405" s="311">
        <f t="shared" si="38"/>
        <v>739.59479999999996</v>
      </c>
      <c r="Q405" s="285"/>
      <c r="R405" s="278"/>
      <c r="S405" s="278"/>
      <c r="T405" s="278"/>
    </row>
    <row r="406" spans="1:20" s="305" customFormat="1" hidden="1" outlineLevel="1" x14ac:dyDescent="0.25">
      <c r="A406" s="278"/>
      <c r="B406" s="279" t="str">
        <f t="shared" si="36"/>
        <v>2400600AL/LVW</v>
      </c>
      <c r="C406" s="278">
        <v>2400</v>
      </c>
      <c r="D406" s="278">
        <v>600</v>
      </c>
      <c r="E406" s="278" t="s">
        <v>943</v>
      </c>
      <c r="F406" s="278"/>
      <c r="G406" s="278" t="s">
        <v>5</v>
      </c>
      <c r="H406" s="290">
        <v>2</v>
      </c>
      <c r="I406" s="280">
        <f t="shared" si="39"/>
        <v>161.24</v>
      </c>
      <c r="J406" s="281">
        <f t="shared" si="37"/>
        <v>182.86</v>
      </c>
      <c r="K406" s="282">
        <f>IF(Notes!$B$9="Domestic",I406, IF(Notes!$B$9="Commercial",J406))*$K$357</f>
        <v>182.86</v>
      </c>
      <c r="L406" s="283">
        <f>(SUM(O406:Q406)+(K406+SUM(M406:Q406))*(INDEX($U$357:$AB$357,MATCH(Notes!$C$16,$U$3:$AB$3,0))-100%))*$L$357</f>
        <v>1193.1736000000001</v>
      </c>
      <c r="M406" s="286"/>
      <c r="N406" s="286"/>
      <c r="O406" s="311">
        <f>O374*2</f>
        <v>1005.34</v>
      </c>
      <c r="P406" s="311">
        <f t="shared" si="38"/>
        <v>187.83359999999999</v>
      </c>
      <c r="Q406" s="285"/>
      <c r="R406" s="278"/>
      <c r="S406" s="278"/>
      <c r="T406" s="278"/>
    </row>
    <row r="407" spans="1:20" s="305" customFormat="1" hidden="1" outlineLevel="1" x14ac:dyDescent="0.25">
      <c r="A407" s="278"/>
      <c r="B407" s="279" t="str">
        <f t="shared" si="36"/>
        <v>2400900AL/LVW</v>
      </c>
      <c r="C407" s="278">
        <v>2400</v>
      </c>
      <c r="D407" s="278">
        <v>900</v>
      </c>
      <c r="E407" s="278" t="s">
        <v>943</v>
      </c>
      <c r="F407" s="278"/>
      <c r="G407" s="278" t="s">
        <v>5</v>
      </c>
      <c r="H407" s="290">
        <v>4</v>
      </c>
      <c r="I407" s="280">
        <f t="shared" si="39"/>
        <v>322.48</v>
      </c>
      <c r="J407" s="281">
        <f t="shared" si="37"/>
        <v>365.72</v>
      </c>
      <c r="K407" s="282">
        <f>IF(Notes!$B$9="Domestic",I407, IF(Notes!$B$9="Commercial",J407))*$K$357</f>
        <v>365.72</v>
      </c>
      <c r="L407" s="283">
        <f>(SUM(O407:Q407)+(K407+SUM(M407:Q407))*(INDEX($U$357:$AB$357,MATCH(Notes!$C$16,$U$3:$AB$3,0))-100%))*$L$357</f>
        <v>1752.0503999999999</v>
      </c>
      <c r="M407" s="286"/>
      <c r="N407" s="286"/>
      <c r="O407" s="311">
        <f>O375*2</f>
        <v>1470.3</v>
      </c>
      <c r="P407" s="311">
        <f t="shared" si="38"/>
        <v>281.75039999999996</v>
      </c>
      <c r="Q407" s="285"/>
      <c r="R407" s="278"/>
      <c r="S407" s="278"/>
      <c r="T407" s="278"/>
    </row>
    <row r="408" spans="1:20" s="305" customFormat="1" hidden="1" outlineLevel="1" x14ac:dyDescent="0.25">
      <c r="A408" s="278"/>
      <c r="B408" s="279" t="str">
        <f t="shared" si="36"/>
        <v>24001200AL/LVW</v>
      </c>
      <c r="C408" s="278">
        <v>2400</v>
      </c>
      <c r="D408" s="278">
        <v>1200</v>
      </c>
      <c r="E408" s="278" t="s">
        <v>943</v>
      </c>
      <c r="F408" s="278"/>
      <c r="G408" s="278" t="s">
        <v>5</v>
      </c>
      <c r="H408" s="290">
        <v>4</v>
      </c>
      <c r="I408" s="280">
        <f t="shared" si="39"/>
        <v>322.48</v>
      </c>
      <c r="J408" s="281">
        <f t="shared" si="37"/>
        <v>365.72</v>
      </c>
      <c r="K408" s="282">
        <f>IF(Notes!$B$9="Domestic",I408, IF(Notes!$B$9="Commercial",J408))*$K$357</f>
        <v>365.72</v>
      </c>
      <c r="L408" s="283">
        <f>(SUM(O408:Q408)+(K408+SUM(M408:Q408))*(INDEX($U$357:$AB$357,MATCH(Notes!$C$16,$U$3:$AB$3,0))-100%))*$L$357</f>
        <v>2386.3472000000002</v>
      </c>
      <c r="M408" s="286"/>
      <c r="N408" s="286"/>
      <c r="O408" s="311">
        <f>O406*2</f>
        <v>2010.68</v>
      </c>
      <c r="P408" s="311">
        <f t="shared" si="38"/>
        <v>375.66719999999998</v>
      </c>
      <c r="Q408" s="285"/>
      <c r="R408" s="278"/>
      <c r="S408" s="278"/>
      <c r="T408" s="278"/>
    </row>
    <row r="409" spans="1:20" s="305" customFormat="1" hidden="1" outlineLevel="1" x14ac:dyDescent="0.25">
      <c r="A409" s="278"/>
      <c r="B409" s="279" t="str">
        <f t="shared" si="36"/>
        <v>24001500AL/LVW</v>
      </c>
      <c r="C409" s="278">
        <v>2400</v>
      </c>
      <c r="D409" s="278">
        <v>1500</v>
      </c>
      <c r="E409" s="278" t="s">
        <v>943</v>
      </c>
      <c r="F409" s="278"/>
      <c r="G409" s="278" t="s">
        <v>5</v>
      </c>
      <c r="H409" s="290">
        <v>4</v>
      </c>
      <c r="I409" s="280">
        <f t="shared" si="39"/>
        <v>322.48</v>
      </c>
      <c r="J409" s="281">
        <f t="shared" si="37"/>
        <v>365.72</v>
      </c>
      <c r="K409" s="282">
        <f>IF(Notes!$B$9="Domestic",I409, IF(Notes!$B$9="Commercial",J409))*$K$357</f>
        <v>365.72</v>
      </c>
      <c r="L409" s="283">
        <f>(SUM(O409:Q409)+(K409+SUM(M409:Q409))*(INDEX($U$357:$AB$357,MATCH(Notes!$C$16,$U$3:$AB$3,0))-100%))*$L$357</f>
        <v>2945.2239999999997</v>
      </c>
      <c r="M409" s="286"/>
      <c r="N409" s="286"/>
      <c r="O409" s="311">
        <f>O406+O407</f>
        <v>2475.64</v>
      </c>
      <c r="P409" s="311">
        <f t="shared" si="38"/>
        <v>469.584</v>
      </c>
      <c r="Q409" s="285"/>
      <c r="R409" s="278"/>
      <c r="S409" s="278"/>
      <c r="T409" s="278"/>
    </row>
    <row r="410" spans="1:20" s="305" customFormat="1" hidden="1" outlineLevel="1" x14ac:dyDescent="0.25">
      <c r="A410" s="278"/>
      <c r="B410" s="279" t="str">
        <f t="shared" si="36"/>
        <v>24001800AL/LVW</v>
      </c>
      <c r="C410" s="278">
        <v>2400</v>
      </c>
      <c r="D410" s="278">
        <v>1800</v>
      </c>
      <c r="E410" s="278" t="s">
        <v>943</v>
      </c>
      <c r="F410" s="278"/>
      <c r="G410" s="278" t="s">
        <v>5</v>
      </c>
      <c r="H410" s="290">
        <v>5</v>
      </c>
      <c r="I410" s="280">
        <f t="shared" si="39"/>
        <v>403.1</v>
      </c>
      <c r="J410" s="281">
        <f t="shared" si="37"/>
        <v>457.15000000000003</v>
      </c>
      <c r="K410" s="282">
        <f>IF(Notes!$B$9="Domestic",I410, IF(Notes!$B$9="Commercial",J410))*$K$357</f>
        <v>457.15000000000003</v>
      </c>
      <c r="L410" s="283">
        <f>(SUM(O410:Q410)+(K410+SUM(M410:Q410))*(INDEX($U$357:$AB$357,MATCH(Notes!$C$16,$U$3:$AB$3,0))-100%))*$L$357</f>
        <v>3504.1007999999997</v>
      </c>
      <c r="M410" s="286"/>
      <c r="N410" s="286"/>
      <c r="O410" s="311">
        <f>O407*2</f>
        <v>2940.6</v>
      </c>
      <c r="P410" s="311">
        <f t="shared" si="38"/>
        <v>563.50079999999991</v>
      </c>
      <c r="Q410" s="285"/>
      <c r="R410" s="278"/>
      <c r="S410" s="278"/>
      <c r="T410" s="278"/>
    </row>
    <row r="411" spans="1:20" s="305" customFormat="1" hidden="1" outlineLevel="1" x14ac:dyDescent="0.25">
      <c r="A411" s="278"/>
      <c r="B411" s="279" t="str">
        <f t="shared" si="36"/>
        <v>24002100AL/LVW</v>
      </c>
      <c r="C411" s="278">
        <v>2400</v>
      </c>
      <c r="D411" s="278">
        <v>2100</v>
      </c>
      <c r="E411" s="278" t="s">
        <v>943</v>
      </c>
      <c r="F411" s="278"/>
      <c r="G411" s="278" t="s">
        <v>5</v>
      </c>
      <c r="H411" s="290">
        <v>5</v>
      </c>
      <c r="I411" s="280">
        <f t="shared" si="39"/>
        <v>403.1</v>
      </c>
      <c r="J411" s="281">
        <f t="shared" si="37"/>
        <v>457.15000000000003</v>
      </c>
      <c r="K411" s="282">
        <f>IF(Notes!$B$9="Domestic",I411, IF(Notes!$B$9="Commercial",J411))*$K$357</f>
        <v>457.15000000000003</v>
      </c>
      <c r="L411" s="283">
        <f>(SUM(O411:Q411)+(K411+SUM(M411:Q411))*(INDEX($U$357:$AB$357,MATCH(Notes!$C$16,$U$3:$AB$3,0))-100%))*$L$357</f>
        <v>4138.3976000000002</v>
      </c>
      <c r="M411" s="286"/>
      <c r="N411" s="286"/>
      <c r="O411" s="311">
        <f>O406+O409</f>
        <v>3480.98</v>
      </c>
      <c r="P411" s="311">
        <f t="shared" si="38"/>
        <v>657.41759999999999</v>
      </c>
      <c r="Q411" s="285"/>
      <c r="R411" s="278"/>
      <c r="S411" s="278"/>
      <c r="T411" s="278"/>
    </row>
    <row r="412" spans="1:20" s="305" customFormat="1" hidden="1" outlineLevel="1" x14ac:dyDescent="0.25">
      <c r="A412" s="278"/>
      <c r="B412" s="279" t="str">
        <f t="shared" si="36"/>
        <v>24002400AL/LVW</v>
      </c>
      <c r="C412" s="278">
        <v>2400</v>
      </c>
      <c r="D412" s="278">
        <v>2400</v>
      </c>
      <c r="E412" s="278" t="s">
        <v>943</v>
      </c>
      <c r="F412" s="278"/>
      <c r="G412" s="278" t="s">
        <v>5</v>
      </c>
      <c r="H412" s="290">
        <v>6</v>
      </c>
      <c r="I412" s="280">
        <f t="shared" si="39"/>
        <v>483.72</v>
      </c>
      <c r="J412" s="281">
        <f t="shared" si="37"/>
        <v>548.58000000000004</v>
      </c>
      <c r="K412" s="282">
        <f>IF(Notes!$B$9="Domestic",I412, IF(Notes!$B$9="Commercial",J412))*$K$357</f>
        <v>548.58000000000004</v>
      </c>
      <c r="L412" s="283">
        <f>(SUM(O412:Q412)+(K412+SUM(M412:Q412))*(INDEX($U$357:$AB$357,MATCH(Notes!$C$16,$U$3:$AB$3,0))-100%))*$L$357</f>
        <v>4772.6944000000003</v>
      </c>
      <c r="M412" s="286"/>
      <c r="N412" s="286"/>
      <c r="O412" s="311">
        <f>O408*2</f>
        <v>4021.36</v>
      </c>
      <c r="P412" s="311">
        <f t="shared" si="38"/>
        <v>751.33439999999996</v>
      </c>
      <c r="Q412" s="285"/>
      <c r="R412" s="278"/>
      <c r="S412" s="278"/>
      <c r="T412" s="278"/>
    </row>
    <row r="413" spans="1:20" s="305" customFormat="1" hidden="1" outlineLevel="1" x14ac:dyDescent="0.25">
      <c r="A413" s="278"/>
      <c r="B413" s="279" t="str">
        <f t="shared" si="36"/>
        <v>24002700AL/LVW</v>
      </c>
      <c r="C413" s="278">
        <v>2400</v>
      </c>
      <c r="D413" s="278">
        <v>2700</v>
      </c>
      <c r="E413" s="278" t="s">
        <v>943</v>
      </c>
      <c r="F413" s="278"/>
      <c r="G413" s="278" t="s">
        <v>5</v>
      </c>
      <c r="H413" s="290">
        <v>6</v>
      </c>
      <c r="I413" s="280">
        <f t="shared" si="39"/>
        <v>483.72</v>
      </c>
      <c r="J413" s="281">
        <f t="shared" si="37"/>
        <v>548.58000000000004</v>
      </c>
      <c r="K413" s="282">
        <f>IF(Notes!$B$9="Domestic",I413, IF(Notes!$B$9="Commercial",J413))*$K$357</f>
        <v>548.58000000000004</v>
      </c>
      <c r="L413" s="283">
        <f>(SUM(O413:Q413)+(K413+SUM(M413:Q413))*(INDEX($U$357:$AB$357,MATCH(Notes!$C$16,$U$3:$AB$3,0))-100%))*$L$357</f>
        <v>5331.5711999999994</v>
      </c>
      <c r="M413" s="286"/>
      <c r="N413" s="286"/>
      <c r="O413" s="311">
        <f>O408+O409</f>
        <v>4486.32</v>
      </c>
      <c r="P413" s="311">
        <f t="shared" si="38"/>
        <v>845.25119999999993</v>
      </c>
      <c r="Q413" s="285"/>
      <c r="R413" s="278"/>
      <c r="S413" s="278"/>
      <c r="T413" s="278"/>
    </row>
    <row r="414" spans="1:20" s="305" customFormat="1" hidden="1" outlineLevel="1" x14ac:dyDescent="0.25">
      <c r="A414" s="278"/>
      <c r="B414" s="279" t="str">
        <f t="shared" si="36"/>
        <v>2700600AL/LVW</v>
      </c>
      <c r="C414" s="278">
        <v>2700</v>
      </c>
      <c r="D414" s="278">
        <v>600</v>
      </c>
      <c r="E414" s="278" t="s">
        <v>943</v>
      </c>
      <c r="F414" s="278"/>
      <c r="G414" s="278" t="s">
        <v>5</v>
      </c>
      <c r="H414" s="290">
        <v>4</v>
      </c>
      <c r="I414" s="280">
        <f t="shared" si="39"/>
        <v>322.48</v>
      </c>
      <c r="J414" s="281">
        <f t="shared" si="37"/>
        <v>365.72</v>
      </c>
      <c r="K414" s="282">
        <f>IF(Notes!$B$9="Domestic",I414, IF(Notes!$B$9="Commercial",J414))*$K$357</f>
        <v>365.72</v>
      </c>
      <c r="L414" s="283">
        <f>(SUM(O414:Q414)+(K414+SUM(M414:Q414))*(INDEX($U$357:$AB$357,MATCH(Notes!$C$16,$U$3:$AB$3,0))-100%))*$L$357</f>
        <v>1327.0927999999999</v>
      </c>
      <c r="M414" s="286"/>
      <c r="N414" s="286"/>
      <c r="O414" s="311">
        <f>O374+O382</f>
        <v>1115.78</v>
      </c>
      <c r="P414" s="311">
        <f t="shared" si="38"/>
        <v>211.31279999999998</v>
      </c>
      <c r="Q414" s="285"/>
      <c r="R414" s="278"/>
      <c r="S414" s="278"/>
      <c r="T414" s="278"/>
    </row>
    <row r="415" spans="1:20" s="305" customFormat="1" hidden="1" outlineLevel="1" x14ac:dyDescent="0.25">
      <c r="A415" s="278"/>
      <c r="B415" s="279" t="str">
        <f t="shared" si="36"/>
        <v>2700900AL/LVW</v>
      </c>
      <c r="C415" s="278">
        <v>2700</v>
      </c>
      <c r="D415" s="278">
        <v>900</v>
      </c>
      <c r="E415" s="278" t="s">
        <v>943</v>
      </c>
      <c r="F415" s="278"/>
      <c r="G415" s="278" t="s">
        <v>5</v>
      </c>
      <c r="H415" s="290">
        <v>4</v>
      </c>
      <c r="I415" s="280">
        <f t="shared" si="39"/>
        <v>322.48</v>
      </c>
      <c r="J415" s="281">
        <f t="shared" si="37"/>
        <v>365.72</v>
      </c>
      <c r="K415" s="282">
        <f>IF(Notes!$B$9="Domestic",I415, IF(Notes!$B$9="Commercial",J415))*$K$357</f>
        <v>365.72</v>
      </c>
      <c r="L415" s="283">
        <f>(SUM(O415:Q415)+(K415+SUM(M415:Q415))*(INDEX($U$357:$AB$357,MATCH(Notes!$C$16,$U$3:$AB$3,0))-100%))*$L$357</f>
        <v>1897.2891999999999</v>
      </c>
      <c r="M415" s="286"/>
      <c r="N415" s="286"/>
      <c r="O415" s="311">
        <f>O375+O383</f>
        <v>1580.32</v>
      </c>
      <c r="P415" s="311">
        <f t="shared" si="38"/>
        <v>316.9692</v>
      </c>
      <c r="Q415" s="285"/>
      <c r="R415" s="278"/>
      <c r="S415" s="278"/>
      <c r="T415" s="278"/>
    </row>
    <row r="416" spans="1:20" s="305" customFormat="1" hidden="1" outlineLevel="1" x14ac:dyDescent="0.25">
      <c r="A416" s="278"/>
      <c r="B416" s="279" t="str">
        <f t="shared" si="36"/>
        <v>27001200AL/LVW</v>
      </c>
      <c r="C416" s="278">
        <v>2700</v>
      </c>
      <c r="D416" s="278">
        <v>1200</v>
      </c>
      <c r="E416" s="278" t="s">
        <v>943</v>
      </c>
      <c r="F416" s="278"/>
      <c r="G416" s="278" t="s">
        <v>5</v>
      </c>
      <c r="H416" s="290">
        <v>4</v>
      </c>
      <c r="I416" s="280">
        <f t="shared" si="39"/>
        <v>322.48</v>
      </c>
      <c r="J416" s="281">
        <f t="shared" si="37"/>
        <v>365.72</v>
      </c>
      <c r="K416" s="282">
        <f>IF(Notes!$B$9="Domestic",I416, IF(Notes!$B$9="Commercial",J416))*$K$357</f>
        <v>365.72</v>
      </c>
      <c r="L416" s="283">
        <f>(SUM(O416:Q416)+(K416+SUM(M416:Q416))*(INDEX($U$357:$AB$357,MATCH(Notes!$C$16,$U$3:$AB$3,0))-100%))*$L$357</f>
        <v>2654.1855999999998</v>
      </c>
      <c r="M416" s="286"/>
      <c r="N416" s="286"/>
      <c r="O416" s="311">
        <f>O414*2</f>
        <v>2231.56</v>
      </c>
      <c r="P416" s="311">
        <f t="shared" si="38"/>
        <v>422.62559999999996</v>
      </c>
      <c r="Q416" s="285"/>
      <c r="R416" s="278"/>
      <c r="S416" s="278"/>
      <c r="T416" s="278"/>
    </row>
    <row r="417" spans="1:28" s="305" customFormat="1" hidden="1" outlineLevel="1" x14ac:dyDescent="0.25">
      <c r="A417" s="278"/>
      <c r="B417" s="279" t="str">
        <f t="shared" si="36"/>
        <v>27001500AL/LVW</v>
      </c>
      <c r="C417" s="278">
        <v>2700</v>
      </c>
      <c r="D417" s="278">
        <v>1500</v>
      </c>
      <c r="E417" s="278" t="s">
        <v>943</v>
      </c>
      <c r="F417" s="278"/>
      <c r="G417" s="278" t="s">
        <v>5</v>
      </c>
      <c r="H417" s="290">
        <v>5</v>
      </c>
      <c r="I417" s="280">
        <f t="shared" si="39"/>
        <v>403.1</v>
      </c>
      <c r="J417" s="281">
        <f t="shared" si="37"/>
        <v>457.15000000000003</v>
      </c>
      <c r="K417" s="282">
        <f>IF(Notes!$B$9="Domestic",I417, IF(Notes!$B$9="Commercial",J417))*$K$357</f>
        <v>457.15000000000003</v>
      </c>
      <c r="L417" s="283">
        <f>(SUM(O417:Q417)+(K417+SUM(M417:Q417))*(INDEX($U$357:$AB$357,MATCH(Notes!$C$16,$U$3:$AB$3,0))-100%))*$L$357</f>
        <v>3224.3820000000001</v>
      </c>
      <c r="M417" s="286"/>
      <c r="N417" s="286"/>
      <c r="O417" s="311">
        <f>O414+O415</f>
        <v>2696.1</v>
      </c>
      <c r="P417" s="311">
        <f t="shared" si="38"/>
        <v>528.28200000000004</v>
      </c>
      <c r="Q417" s="285"/>
      <c r="R417" s="278"/>
      <c r="S417" s="278"/>
      <c r="T417" s="278"/>
    </row>
    <row r="418" spans="1:28" s="305" customFormat="1" hidden="1" outlineLevel="1" x14ac:dyDescent="0.25">
      <c r="A418" s="278"/>
      <c r="B418" s="279" t="str">
        <f t="shared" si="36"/>
        <v>27001800AL/LVW</v>
      </c>
      <c r="C418" s="278">
        <v>2700</v>
      </c>
      <c r="D418" s="278">
        <v>1800</v>
      </c>
      <c r="E418" s="278" t="s">
        <v>943</v>
      </c>
      <c r="F418" s="278"/>
      <c r="G418" s="278" t="s">
        <v>5</v>
      </c>
      <c r="H418" s="290">
        <v>5</v>
      </c>
      <c r="I418" s="280">
        <f t="shared" si="39"/>
        <v>403.1</v>
      </c>
      <c r="J418" s="281">
        <f t="shared" si="37"/>
        <v>457.15000000000003</v>
      </c>
      <c r="K418" s="282">
        <f>IF(Notes!$B$9="Domestic",I418, IF(Notes!$B$9="Commercial",J418))*$K$357</f>
        <v>457.15000000000003</v>
      </c>
      <c r="L418" s="283">
        <f>(SUM(O418:Q418)+(K418+SUM(M418:Q418))*(INDEX($U$357:$AB$357,MATCH(Notes!$C$16,$U$3:$AB$3,0))-100%))*$L$357</f>
        <v>3794.5783999999999</v>
      </c>
      <c r="M418" s="286"/>
      <c r="N418" s="286"/>
      <c r="O418" s="311">
        <f>O415*2</f>
        <v>3160.64</v>
      </c>
      <c r="P418" s="311">
        <f t="shared" si="38"/>
        <v>633.9384</v>
      </c>
      <c r="Q418" s="285"/>
      <c r="R418" s="278"/>
      <c r="S418" s="278"/>
      <c r="T418" s="278"/>
    </row>
    <row r="419" spans="1:28" s="305" customFormat="1" hidden="1" outlineLevel="1" x14ac:dyDescent="0.25">
      <c r="A419" s="278"/>
      <c r="B419" s="279" t="str">
        <f t="shared" si="36"/>
        <v>27002100AL/LVW</v>
      </c>
      <c r="C419" s="278">
        <v>2700</v>
      </c>
      <c r="D419" s="278">
        <v>2100</v>
      </c>
      <c r="E419" s="278" t="s">
        <v>943</v>
      </c>
      <c r="F419" s="278"/>
      <c r="G419" s="278" t="s">
        <v>5</v>
      </c>
      <c r="H419" s="290">
        <v>6</v>
      </c>
      <c r="I419" s="280">
        <f t="shared" si="39"/>
        <v>483.72</v>
      </c>
      <c r="J419" s="281">
        <f t="shared" si="37"/>
        <v>548.58000000000004</v>
      </c>
      <c r="K419" s="282">
        <f>IF(Notes!$B$9="Domestic",I419, IF(Notes!$B$9="Commercial",J419))*$K$357</f>
        <v>548.58000000000004</v>
      </c>
      <c r="L419" s="283">
        <f>(SUM(O419:Q419)+(K419+SUM(M419:Q419))*(INDEX($U$357:$AB$357,MATCH(Notes!$C$16,$U$3:$AB$3,0))-100%))*$L$357</f>
        <v>4551.4748</v>
      </c>
      <c r="M419" s="286"/>
      <c r="N419" s="286"/>
      <c r="O419" s="311">
        <f>O414+O417</f>
        <v>3811.88</v>
      </c>
      <c r="P419" s="311">
        <f t="shared" si="38"/>
        <v>739.59479999999996</v>
      </c>
      <c r="Q419" s="285"/>
      <c r="R419" s="278"/>
      <c r="S419" s="278"/>
      <c r="T419" s="278"/>
    </row>
    <row r="420" spans="1:28" s="305" customFormat="1" hidden="1" outlineLevel="1" x14ac:dyDescent="0.25">
      <c r="A420" s="278"/>
      <c r="B420" s="279" t="str">
        <f t="shared" si="36"/>
        <v>27002400AL/LVW</v>
      </c>
      <c r="C420" s="278">
        <v>2700</v>
      </c>
      <c r="D420" s="278">
        <v>2400</v>
      </c>
      <c r="E420" s="278" t="s">
        <v>943</v>
      </c>
      <c r="F420" s="278"/>
      <c r="G420" s="278" t="s">
        <v>5</v>
      </c>
      <c r="H420" s="290">
        <v>6</v>
      </c>
      <c r="I420" s="280">
        <f t="shared" si="39"/>
        <v>483.72</v>
      </c>
      <c r="J420" s="281">
        <f t="shared" si="37"/>
        <v>548.58000000000004</v>
      </c>
      <c r="K420" s="282">
        <f>IF(Notes!$B$9="Domestic",I420, IF(Notes!$B$9="Commercial",J420))*$K$357</f>
        <v>548.58000000000004</v>
      </c>
      <c r="L420" s="283">
        <f>(SUM(O420:Q420)+(K420+SUM(M420:Q420))*(INDEX($U$357:$AB$357,MATCH(Notes!$C$16,$U$3:$AB$3,0))-100%))*$L$357</f>
        <v>5308.3711999999996</v>
      </c>
      <c r="M420" s="286"/>
      <c r="N420" s="286"/>
      <c r="O420" s="311">
        <f>O416*2</f>
        <v>4463.12</v>
      </c>
      <c r="P420" s="311">
        <f t="shared" si="38"/>
        <v>845.25119999999993</v>
      </c>
      <c r="Q420" s="285"/>
      <c r="R420" s="278"/>
      <c r="S420" s="278"/>
      <c r="T420" s="278"/>
    </row>
    <row r="421" spans="1:28" s="305" customFormat="1" hidden="1" outlineLevel="1" x14ac:dyDescent="0.25">
      <c r="A421" s="278"/>
      <c r="B421" s="279" t="str">
        <f t="shared" si="36"/>
        <v>27002700AL/LVW</v>
      </c>
      <c r="C421" s="278">
        <v>2700</v>
      </c>
      <c r="D421" s="278">
        <v>2700</v>
      </c>
      <c r="E421" s="278" t="s">
        <v>943</v>
      </c>
      <c r="F421" s="278"/>
      <c r="G421" s="278" t="s">
        <v>5</v>
      </c>
      <c r="H421" s="290">
        <v>6</v>
      </c>
      <c r="I421" s="280">
        <f t="shared" si="39"/>
        <v>483.72</v>
      </c>
      <c r="J421" s="281">
        <f t="shared" si="37"/>
        <v>548.58000000000004</v>
      </c>
      <c r="K421" s="282">
        <f>IF(Notes!$B$9="Domestic",I421, IF(Notes!$B$9="Commercial",J421))*$K$357</f>
        <v>548.58000000000004</v>
      </c>
      <c r="L421" s="283">
        <f>(SUM(O421:Q421)+(K421+SUM(M421:Q421))*(INDEX($U$357:$AB$357,MATCH(Notes!$C$16,$U$3:$AB$3,0))-100%))*$L$357</f>
        <v>5878.5676000000003</v>
      </c>
      <c r="M421" s="286"/>
      <c r="N421" s="286"/>
      <c r="O421" s="311">
        <f>O416+O417</f>
        <v>4927.66</v>
      </c>
      <c r="P421" s="311">
        <f t="shared" si="38"/>
        <v>950.9076</v>
      </c>
      <c r="Q421" s="285"/>
      <c r="R421" s="278"/>
      <c r="S421" s="278"/>
      <c r="T421" s="278"/>
    </row>
    <row r="422" spans="1:28" ht="21" hidden="1" outlineLevel="1" x14ac:dyDescent="0.25">
      <c r="A422" s="299" t="s">
        <v>249</v>
      </c>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row>
    <row r="423" spans="1:28" ht="15.75" hidden="1" outlineLevel="1" x14ac:dyDescent="0.25">
      <c r="A423" s="291"/>
      <c r="B423" s="291"/>
      <c r="C423" s="291"/>
      <c r="D423" s="291"/>
      <c r="E423" s="291"/>
      <c r="F423" s="291"/>
      <c r="G423" s="291"/>
      <c r="H423" s="291"/>
      <c r="I423" s="291"/>
      <c r="J423" s="291"/>
      <c r="K423" s="291">
        <f>K$2</f>
        <v>1</v>
      </c>
      <c r="L423" s="291">
        <f>L$2</f>
        <v>1</v>
      </c>
      <c r="M423" s="291"/>
      <c r="N423" s="291"/>
      <c r="O423" s="303"/>
      <c r="P423" s="303"/>
      <c r="Q423" s="303"/>
      <c r="R423" s="291"/>
      <c r="S423" s="291"/>
      <c r="T423" s="291"/>
      <c r="U423" s="291">
        <f>U$2</f>
        <v>0.89965397923875434</v>
      </c>
      <c r="V423" s="291">
        <f>V$2</f>
        <v>1</v>
      </c>
      <c r="W423" s="291">
        <f t="shared" ref="W423:AB423" si="40">W$2</f>
        <v>0.92214532871972321</v>
      </c>
      <c r="X423" s="291">
        <f t="shared" si="40"/>
        <v>0.89965397923875434</v>
      </c>
      <c r="Y423" s="291">
        <f t="shared" si="40"/>
        <v>1.0069204152249136</v>
      </c>
      <c r="Z423" s="291">
        <f t="shared" si="40"/>
        <v>0.856401384083045</v>
      </c>
      <c r="AA423" s="291">
        <f t="shared" si="40"/>
        <v>0.856401384083045</v>
      </c>
      <c r="AB423" s="291">
        <f t="shared" si="40"/>
        <v>1.0121107266435987</v>
      </c>
    </row>
    <row r="424" spans="1:28" s="305" customFormat="1" hidden="1" outlineLevel="1" x14ac:dyDescent="0.25">
      <c r="A424" s="278"/>
      <c r="B424" s="279" t="str">
        <f>C424&amp;D424&amp;E424&amp;F424</f>
        <v>21001500AL/SLD</v>
      </c>
      <c r="C424" s="278">
        <v>2100</v>
      </c>
      <c r="D424" s="278">
        <v>1500</v>
      </c>
      <c r="E424" s="278" t="s">
        <v>953</v>
      </c>
      <c r="F424" s="278"/>
      <c r="G424" s="278" t="s">
        <v>5</v>
      </c>
      <c r="H424" s="290">
        <v>2.7</v>
      </c>
      <c r="I424" s="280">
        <f>$I$2*H424</f>
        <v>217.67400000000004</v>
      </c>
      <c r="J424" s="281">
        <f>$J$2*H424</f>
        <v>246.86100000000005</v>
      </c>
      <c r="K424" s="282">
        <f>IF(Notes!$B$9="Domestic",I424, IF(Notes!$B$9="Commercial",J424))*$K$423</f>
        <v>246.86100000000005</v>
      </c>
      <c r="L424" s="283">
        <f>(SUM(O424:Q424)+(K424+SUM(M424:Q424))*(INDEX($U$423:$AB$423,MATCH(Notes!$C$16,$U$3:$AB$3,0))-100%))*$L$423</f>
        <v>1190.7495000000001</v>
      </c>
      <c r="M424" s="286"/>
      <c r="N424" s="286"/>
      <c r="O424" s="285">
        <v>896.13</v>
      </c>
      <c r="P424" s="311">
        <f>$P$2*C424/1000*D424/1000</f>
        <v>410.88599999999997</v>
      </c>
      <c r="Q424" s="311">
        <f>-$AG$13*C424/1000*D424/1000</f>
        <v>-116.26649999999999</v>
      </c>
      <c r="R424" s="278">
        <v>2100</v>
      </c>
      <c r="S424" s="278">
        <v>1500</v>
      </c>
      <c r="T424" s="278" t="s">
        <v>953</v>
      </c>
    </row>
    <row r="425" spans="1:28" s="305" customFormat="1" hidden="1" outlineLevel="1" x14ac:dyDescent="0.25">
      <c r="A425" s="278"/>
      <c r="B425" s="279" t="str">
        <f t="shared" ref="B425:B444" si="41">C425&amp;D425&amp;E425&amp;F425</f>
        <v>21001800AL/SLD</v>
      </c>
      <c r="C425" s="278">
        <v>2100</v>
      </c>
      <c r="D425" s="278">
        <v>1800</v>
      </c>
      <c r="E425" s="278" t="s">
        <v>953</v>
      </c>
      <c r="F425" s="278"/>
      <c r="G425" s="278" t="s">
        <v>5</v>
      </c>
      <c r="H425" s="290">
        <v>3.3</v>
      </c>
      <c r="I425" s="280">
        <f t="shared" ref="I425:I427" si="42">$I$2*H425</f>
        <v>266.04599999999999</v>
      </c>
      <c r="J425" s="281">
        <f t="shared" ref="J425:J444" si="43">$J$2*H425</f>
        <v>301.71899999999999</v>
      </c>
      <c r="K425" s="282">
        <f>IF(Notes!$B$9="Domestic",I425, IF(Notes!$B$9="Commercial",J425))*$K$423</f>
        <v>301.71899999999999</v>
      </c>
      <c r="L425" s="283">
        <f>(SUM(O425:Q425)+(K425+SUM(M425:Q425))*(INDEX($U$423:$AB$423,MATCH(Notes!$C$16,$U$3:$AB$3,0))-100%))*$L$423</f>
        <v>1371.0533999999998</v>
      </c>
      <c r="M425" s="286"/>
      <c r="N425" s="286"/>
      <c r="O425" s="285">
        <v>1017.51</v>
      </c>
      <c r="P425" s="311">
        <f t="shared" ref="P425:P444" si="44">$P$2*C425/1000*D425/1000</f>
        <v>493.06319999999994</v>
      </c>
      <c r="Q425" s="311">
        <f t="shared" ref="Q425:Q444" si="45">-$AG$13*C425/1000*D425/1000</f>
        <v>-139.51979999999998</v>
      </c>
      <c r="R425" s="278">
        <v>2400</v>
      </c>
      <c r="S425" s="278">
        <v>1800</v>
      </c>
      <c r="T425" s="278"/>
    </row>
    <row r="426" spans="1:28" s="305" customFormat="1" hidden="1" outlineLevel="1" x14ac:dyDescent="0.25">
      <c r="A426" s="278"/>
      <c r="B426" s="279" t="str">
        <f t="shared" si="41"/>
        <v>21002100AL/SLD</v>
      </c>
      <c r="C426" s="278">
        <v>2100</v>
      </c>
      <c r="D426" s="278">
        <v>2100</v>
      </c>
      <c r="E426" s="278" t="s">
        <v>953</v>
      </c>
      <c r="F426" s="278"/>
      <c r="G426" s="278" t="s">
        <v>5</v>
      </c>
      <c r="H426" s="290">
        <v>3.8</v>
      </c>
      <c r="I426" s="280">
        <f t="shared" si="42"/>
        <v>306.35599999999999</v>
      </c>
      <c r="J426" s="281">
        <f t="shared" si="43"/>
        <v>347.43400000000003</v>
      </c>
      <c r="K426" s="282">
        <f>IF(Notes!$B$9="Domestic",I426, IF(Notes!$B$9="Commercial",J426))*$K$423</f>
        <v>347.43400000000003</v>
      </c>
      <c r="L426" s="283">
        <f>(SUM(O426:Q426)+(K426+SUM(M426:Q426))*(INDEX($U$423:$AB$423,MATCH(Notes!$C$16,$U$3:$AB$3,0))-100%))*$L$423</f>
        <v>1590.1173000000001</v>
      </c>
      <c r="M426" s="286"/>
      <c r="N426" s="286"/>
      <c r="O426" s="285">
        <v>1177.6500000000001</v>
      </c>
      <c r="P426" s="311">
        <f t="shared" si="44"/>
        <v>575.24039999999991</v>
      </c>
      <c r="Q426" s="311">
        <f t="shared" si="45"/>
        <v>-162.77309999999997</v>
      </c>
      <c r="R426" s="278">
        <v>2700</v>
      </c>
      <c r="S426" s="278">
        <v>2100</v>
      </c>
      <c r="T426" s="278"/>
    </row>
    <row r="427" spans="1:28" s="305" customFormat="1" hidden="1" outlineLevel="1" x14ac:dyDescent="0.25">
      <c r="A427" s="278"/>
      <c r="B427" s="279" t="str">
        <f t="shared" si="41"/>
        <v>21002400AL/SLD</v>
      </c>
      <c r="C427" s="278">
        <v>2100</v>
      </c>
      <c r="D427" s="278">
        <v>2400</v>
      </c>
      <c r="E427" s="278" t="s">
        <v>953</v>
      </c>
      <c r="F427" s="278"/>
      <c r="G427" s="278" t="s">
        <v>5</v>
      </c>
      <c r="H427" s="290">
        <v>4.4000000000000004</v>
      </c>
      <c r="I427" s="280">
        <f t="shared" si="42"/>
        <v>354.72800000000007</v>
      </c>
      <c r="J427" s="281">
        <f t="shared" si="43"/>
        <v>402.29200000000009</v>
      </c>
      <c r="K427" s="282">
        <f>IF(Notes!$B$9="Domestic",I427, IF(Notes!$B$9="Commercial",J427))*$K$423</f>
        <v>402.29200000000009</v>
      </c>
      <c r="L427" s="283">
        <f>(SUM(O427:Q427)+(K427+SUM(M427:Q427))*(INDEX($U$423:$AB$423,MATCH(Notes!$C$16,$U$3:$AB$3,0))-100%))*$L$423</f>
        <v>1770.4212</v>
      </c>
      <c r="M427" s="286"/>
      <c r="N427" s="286"/>
      <c r="O427" s="285">
        <v>1299.03</v>
      </c>
      <c r="P427" s="311">
        <f t="shared" si="44"/>
        <v>657.41759999999999</v>
      </c>
      <c r="Q427" s="311">
        <f t="shared" si="45"/>
        <v>-186.0264</v>
      </c>
      <c r="R427" s="278"/>
      <c r="S427" s="278">
        <v>2400</v>
      </c>
      <c r="T427" s="278"/>
    </row>
    <row r="428" spans="1:28" s="305" customFormat="1" hidden="1" outlineLevel="1" x14ac:dyDescent="0.25">
      <c r="A428" s="278"/>
      <c r="B428" s="279" t="str">
        <f t="shared" si="41"/>
        <v>21002700AL/SLD</v>
      </c>
      <c r="C428" s="278">
        <v>2100</v>
      </c>
      <c r="D428" s="278">
        <v>2700</v>
      </c>
      <c r="E428" s="278" t="s">
        <v>953</v>
      </c>
      <c r="F428" s="278"/>
      <c r="G428" s="278" t="s">
        <v>5</v>
      </c>
      <c r="H428" s="290">
        <v>4.7</v>
      </c>
      <c r="I428" s="280">
        <f>$I$2*H428</f>
        <v>378.91400000000004</v>
      </c>
      <c r="J428" s="281">
        <f t="shared" si="43"/>
        <v>429.72100000000006</v>
      </c>
      <c r="K428" s="282">
        <f>IF(Notes!$B$9="Domestic",I428, IF(Notes!$B$9="Commercial",J428))*$K$423</f>
        <v>429.72100000000006</v>
      </c>
      <c r="L428" s="283">
        <f>(SUM(O428:Q428)+(K428+SUM(M428:Q428))*(INDEX($U$423:$AB$423,MATCH(Notes!$C$16,$U$3:$AB$3,0))-100%))*$L$423</f>
        <v>1860.5450999999998</v>
      </c>
      <c r="M428" s="286"/>
      <c r="N428" s="286"/>
      <c r="O428" s="285">
        <v>1330.23</v>
      </c>
      <c r="P428" s="311">
        <f t="shared" si="44"/>
        <v>739.59479999999996</v>
      </c>
      <c r="Q428" s="311">
        <f t="shared" si="45"/>
        <v>-209.27969999999999</v>
      </c>
      <c r="R428" s="278"/>
      <c r="S428" s="278">
        <v>2700</v>
      </c>
      <c r="T428" s="278"/>
    </row>
    <row r="429" spans="1:28" s="305" customFormat="1" hidden="1" outlineLevel="1" x14ac:dyDescent="0.25">
      <c r="A429" s="278"/>
      <c r="B429" s="279" t="str">
        <f t="shared" si="41"/>
        <v>21003000AL/SLD</v>
      </c>
      <c r="C429" s="278">
        <v>2100</v>
      </c>
      <c r="D429" s="278">
        <v>3000</v>
      </c>
      <c r="E429" s="278" t="s">
        <v>953</v>
      </c>
      <c r="F429" s="278"/>
      <c r="G429" s="278" t="s">
        <v>5</v>
      </c>
      <c r="H429" s="290">
        <v>5.8</v>
      </c>
      <c r="I429" s="280">
        <f t="shared" ref="I429:I444" si="46">$I$2*H429</f>
        <v>467.596</v>
      </c>
      <c r="J429" s="281">
        <f t="shared" si="43"/>
        <v>530.29399999999998</v>
      </c>
      <c r="K429" s="282">
        <f>IF(Notes!$B$9="Domestic",I429, IF(Notes!$B$9="Commercial",J429))*$K$423</f>
        <v>530.29399999999998</v>
      </c>
      <c r="L429" s="283">
        <f>(SUM(O429:Q429)+(K429+SUM(M429:Q429))*(INDEX($U$423:$AB$423,MATCH(Notes!$C$16,$U$3:$AB$3,0))-100%))*$L$423</f>
        <v>2422.2490000000003</v>
      </c>
      <c r="M429" s="286"/>
      <c r="N429" s="286"/>
      <c r="O429" s="285">
        <v>1833.01</v>
      </c>
      <c r="P429" s="311">
        <f t="shared" si="44"/>
        <v>821.77199999999993</v>
      </c>
      <c r="Q429" s="311">
        <f t="shared" si="45"/>
        <v>-232.53299999999999</v>
      </c>
      <c r="R429" s="278"/>
      <c r="S429" s="278">
        <v>3000</v>
      </c>
      <c r="T429" s="278"/>
    </row>
    <row r="430" spans="1:28" s="305" customFormat="1" hidden="1" outlineLevel="1" x14ac:dyDescent="0.25">
      <c r="A430" s="278"/>
      <c r="B430" s="279" t="str">
        <f t="shared" si="41"/>
        <v>21003600AL/SLD</v>
      </c>
      <c r="C430" s="278">
        <v>2100</v>
      </c>
      <c r="D430" s="278">
        <v>3600</v>
      </c>
      <c r="E430" s="278" t="s">
        <v>953</v>
      </c>
      <c r="F430" s="278"/>
      <c r="G430" s="278" t="s">
        <v>5</v>
      </c>
      <c r="H430" s="290">
        <v>6.3</v>
      </c>
      <c r="I430" s="280">
        <f t="shared" si="46"/>
        <v>507.90600000000001</v>
      </c>
      <c r="J430" s="281">
        <f t="shared" si="43"/>
        <v>576.00900000000001</v>
      </c>
      <c r="K430" s="282">
        <f>IF(Notes!$B$9="Domestic",I430, IF(Notes!$B$9="Commercial",J430))*$K$423</f>
        <v>576.00900000000001</v>
      </c>
      <c r="L430" s="283">
        <f>(SUM(O430:Q430)+(K430+SUM(M430:Q430))*(INDEX($U$423:$AB$423,MATCH(Notes!$C$16,$U$3:$AB$3,0))-100%))*$L$423</f>
        <v>2701.6467999999995</v>
      </c>
      <c r="M430" s="286"/>
      <c r="N430" s="286"/>
      <c r="O430" s="285">
        <v>1994.56</v>
      </c>
      <c r="P430" s="311">
        <f t="shared" si="44"/>
        <v>986.12639999999988</v>
      </c>
      <c r="Q430" s="311">
        <f t="shared" si="45"/>
        <v>-279.03959999999995</v>
      </c>
      <c r="R430" s="278"/>
      <c r="S430" s="278">
        <v>3600</v>
      </c>
      <c r="T430" s="278"/>
    </row>
    <row r="431" spans="1:28" s="305" customFormat="1" hidden="1" outlineLevel="1" x14ac:dyDescent="0.25">
      <c r="A431" s="278"/>
      <c r="B431" s="279" t="str">
        <f t="shared" si="41"/>
        <v>24001500AL/SLD</v>
      </c>
      <c r="C431" s="278">
        <v>2400</v>
      </c>
      <c r="D431" s="278">
        <v>1500</v>
      </c>
      <c r="E431" s="278" t="s">
        <v>953</v>
      </c>
      <c r="F431" s="278"/>
      <c r="G431" s="278" t="s">
        <v>5</v>
      </c>
      <c r="H431" s="308">
        <f>H424+0.4</f>
        <v>3.1</v>
      </c>
      <c r="I431" s="280">
        <f t="shared" si="46"/>
        <v>249.92200000000003</v>
      </c>
      <c r="J431" s="281">
        <f t="shared" si="43"/>
        <v>283.43300000000005</v>
      </c>
      <c r="K431" s="282">
        <f>IF(Notes!$B$9="Domestic",I431, IF(Notes!$B$9="Commercial",J431))*$K$423</f>
        <v>283.43300000000005</v>
      </c>
      <c r="L431" s="283">
        <f>(SUM(O431:Q431)+(K431+SUM(M431:Q431))*(INDEX($U$423:$AB$423,MATCH(Notes!$C$16,$U$3:$AB$3,0))-100%))*$L$423</f>
        <v>1315.4780000000001</v>
      </c>
      <c r="M431" s="286"/>
      <c r="N431" s="286"/>
      <c r="O431" s="285">
        <v>978.77</v>
      </c>
      <c r="P431" s="311">
        <f t="shared" si="44"/>
        <v>469.584</v>
      </c>
      <c r="Q431" s="311">
        <f t="shared" si="45"/>
        <v>-132.87599999999998</v>
      </c>
      <c r="R431" s="278"/>
      <c r="S431" s="278"/>
      <c r="T431" s="278"/>
    </row>
    <row r="432" spans="1:28" s="305" customFormat="1" hidden="1" outlineLevel="1" x14ac:dyDescent="0.25">
      <c r="A432" s="278"/>
      <c r="B432" s="279" t="str">
        <f t="shared" si="41"/>
        <v>24001800AL/SLD</v>
      </c>
      <c r="C432" s="278">
        <v>2400</v>
      </c>
      <c r="D432" s="278">
        <v>1800</v>
      </c>
      <c r="E432" s="278" t="s">
        <v>953</v>
      </c>
      <c r="F432" s="278"/>
      <c r="G432" s="278" t="s">
        <v>5</v>
      </c>
      <c r="H432" s="308">
        <f t="shared" ref="H432:H439" si="47">H425+0.4</f>
        <v>3.6999999999999997</v>
      </c>
      <c r="I432" s="280">
        <f t="shared" si="46"/>
        <v>298.29399999999998</v>
      </c>
      <c r="J432" s="281">
        <f t="shared" si="43"/>
        <v>338.291</v>
      </c>
      <c r="K432" s="282">
        <f>IF(Notes!$B$9="Domestic",I432, IF(Notes!$B$9="Commercial",J432))*$K$423</f>
        <v>338.291</v>
      </c>
      <c r="L432" s="283">
        <f>(SUM(O432:Q432)+(K432+SUM(M432:Q432))*(INDEX($U$423:$AB$423,MATCH(Notes!$C$16,$U$3:$AB$3,0))-100%))*$L$423</f>
        <v>1542.9495999999999</v>
      </c>
      <c r="M432" s="286"/>
      <c r="N432" s="286"/>
      <c r="O432" s="285">
        <v>1138.9000000000001</v>
      </c>
      <c r="P432" s="311">
        <f t="shared" si="44"/>
        <v>563.50079999999991</v>
      </c>
      <c r="Q432" s="311">
        <f t="shared" si="45"/>
        <v>-159.45119999999997</v>
      </c>
      <c r="R432" s="278"/>
      <c r="S432" s="278"/>
      <c r="T432" s="278"/>
    </row>
    <row r="433" spans="1:28" s="305" customFormat="1" hidden="1" outlineLevel="1" x14ac:dyDescent="0.25">
      <c r="A433" s="278"/>
      <c r="B433" s="279" t="str">
        <f t="shared" si="41"/>
        <v>24002100AL/SLD</v>
      </c>
      <c r="C433" s="278">
        <v>2400</v>
      </c>
      <c r="D433" s="278">
        <v>2100</v>
      </c>
      <c r="E433" s="278" t="s">
        <v>953</v>
      </c>
      <c r="F433" s="278"/>
      <c r="G433" s="278" t="s">
        <v>5</v>
      </c>
      <c r="H433" s="308">
        <f>H426+0.6</f>
        <v>4.3999999999999995</v>
      </c>
      <c r="I433" s="280">
        <f t="shared" si="46"/>
        <v>354.72799999999995</v>
      </c>
      <c r="J433" s="281">
        <f t="shared" si="43"/>
        <v>402.29199999999997</v>
      </c>
      <c r="K433" s="282">
        <f>IF(Notes!$B$9="Domestic",I433, IF(Notes!$B$9="Commercial",J433))*$K$423</f>
        <v>402.29199999999997</v>
      </c>
      <c r="L433" s="283">
        <f>(SUM(O433:Q433)+(K433+SUM(M433:Q433))*(INDEX($U$423:$AB$423,MATCH(Notes!$C$16,$U$3:$AB$3,0))-100%))*$L$423</f>
        <v>1770.4212</v>
      </c>
      <c r="M433" s="286"/>
      <c r="N433" s="286"/>
      <c r="O433" s="285">
        <v>1299.03</v>
      </c>
      <c r="P433" s="311">
        <f t="shared" si="44"/>
        <v>657.41759999999999</v>
      </c>
      <c r="Q433" s="311">
        <f t="shared" si="45"/>
        <v>-186.02639999999997</v>
      </c>
      <c r="R433" s="278"/>
      <c r="S433" s="278"/>
      <c r="T433" s="278"/>
    </row>
    <row r="434" spans="1:28" s="305" customFormat="1" hidden="1" outlineLevel="1" x14ac:dyDescent="0.25">
      <c r="A434" s="278"/>
      <c r="B434" s="279" t="str">
        <f t="shared" si="41"/>
        <v>24002400AL/SLD</v>
      </c>
      <c r="C434" s="278">
        <v>2400</v>
      </c>
      <c r="D434" s="278">
        <v>2400</v>
      </c>
      <c r="E434" s="278" t="s">
        <v>953</v>
      </c>
      <c r="F434" s="278"/>
      <c r="G434" s="278" t="s">
        <v>5</v>
      </c>
      <c r="H434" s="308">
        <f>H427+0.6</f>
        <v>5</v>
      </c>
      <c r="I434" s="280">
        <f t="shared" si="46"/>
        <v>403.1</v>
      </c>
      <c r="J434" s="281">
        <f t="shared" si="43"/>
        <v>457.15000000000003</v>
      </c>
      <c r="K434" s="282">
        <f>IF(Notes!$B$9="Domestic",I434, IF(Notes!$B$9="Commercial",J434))*$K$423</f>
        <v>457.15000000000003</v>
      </c>
      <c r="L434" s="283">
        <f>(SUM(O434:Q434)+(K434+SUM(M434:Q434))*(INDEX($U$423:$AB$423,MATCH(Notes!$C$16,$U$3:$AB$3,0))-100%))*$L$423</f>
        <v>1922.6027999999997</v>
      </c>
      <c r="M434" s="286"/>
      <c r="N434" s="286"/>
      <c r="O434" s="285">
        <v>1383.87</v>
      </c>
      <c r="P434" s="311">
        <f t="shared" si="44"/>
        <v>751.33439999999996</v>
      </c>
      <c r="Q434" s="311">
        <f t="shared" si="45"/>
        <v>-212.60159999999999</v>
      </c>
      <c r="R434" s="278"/>
      <c r="S434" s="278"/>
      <c r="T434" s="278"/>
    </row>
    <row r="435" spans="1:28" s="305" customFormat="1" hidden="1" outlineLevel="1" x14ac:dyDescent="0.25">
      <c r="A435" s="278"/>
      <c r="B435" s="279" t="str">
        <f t="shared" si="41"/>
        <v>24002700AL/SLD</v>
      </c>
      <c r="C435" s="278">
        <v>2400</v>
      </c>
      <c r="D435" s="278">
        <v>2700</v>
      </c>
      <c r="E435" s="278" t="s">
        <v>953</v>
      </c>
      <c r="F435" s="278"/>
      <c r="G435" s="278" t="s">
        <v>5</v>
      </c>
      <c r="H435" s="308">
        <f>H428+0.7</f>
        <v>5.4</v>
      </c>
      <c r="I435" s="280">
        <f t="shared" si="46"/>
        <v>435.34800000000007</v>
      </c>
      <c r="J435" s="281">
        <f t="shared" si="43"/>
        <v>493.72200000000009</v>
      </c>
      <c r="K435" s="282">
        <f>IF(Notes!$B$9="Domestic",I435, IF(Notes!$B$9="Commercial",J435))*$K$423</f>
        <v>493.72200000000009</v>
      </c>
      <c r="L435" s="283">
        <f>(SUM(O435:Q435)+(K435+SUM(M435:Q435))*(INDEX($U$423:$AB$423,MATCH(Notes!$C$16,$U$3:$AB$3,0))-100%))*$L$423</f>
        <v>2067.6743999999999</v>
      </c>
      <c r="M435" s="286"/>
      <c r="N435" s="286"/>
      <c r="O435" s="285">
        <v>1461.6</v>
      </c>
      <c r="P435" s="311">
        <f t="shared" si="44"/>
        <v>845.25119999999993</v>
      </c>
      <c r="Q435" s="311">
        <f t="shared" si="45"/>
        <v>-239.17679999999996</v>
      </c>
      <c r="R435" s="278"/>
      <c r="S435" s="278"/>
      <c r="T435" s="278"/>
    </row>
    <row r="436" spans="1:28" s="305" customFormat="1" hidden="1" outlineLevel="1" x14ac:dyDescent="0.25">
      <c r="A436" s="278"/>
      <c r="B436" s="279" t="str">
        <f t="shared" si="41"/>
        <v>24003000AL/SLD</v>
      </c>
      <c r="C436" s="278">
        <v>2400</v>
      </c>
      <c r="D436" s="278">
        <v>3000</v>
      </c>
      <c r="E436" s="278" t="s">
        <v>953</v>
      </c>
      <c r="F436" s="278"/>
      <c r="G436" s="278" t="s">
        <v>5</v>
      </c>
      <c r="H436" s="308">
        <f t="shared" ref="H436" si="48">H429+0.7</f>
        <v>6.5</v>
      </c>
      <c r="I436" s="280">
        <f t="shared" si="46"/>
        <v>524.03</v>
      </c>
      <c r="J436" s="281">
        <f t="shared" si="43"/>
        <v>594.29500000000007</v>
      </c>
      <c r="K436" s="282">
        <f>IF(Notes!$B$9="Domestic",I436, IF(Notes!$B$9="Commercial",J436))*$K$423</f>
        <v>594.29500000000007</v>
      </c>
      <c r="L436" s="283">
        <f>(SUM(O436:Q436)+(K436+SUM(M436:Q436))*(INDEX($U$423:$AB$423,MATCH(Notes!$C$16,$U$3:$AB$3,0))-100%))*$L$423</f>
        <v>2715.4859999999999</v>
      </c>
      <c r="M436" s="286"/>
      <c r="N436" s="286"/>
      <c r="O436" s="285">
        <v>2042.07</v>
      </c>
      <c r="P436" s="311">
        <f t="shared" si="44"/>
        <v>939.16800000000001</v>
      </c>
      <c r="Q436" s="311">
        <f t="shared" si="45"/>
        <v>-265.75199999999995</v>
      </c>
      <c r="R436" s="278"/>
      <c r="S436" s="278"/>
      <c r="T436" s="278"/>
    </row>
    <row r="437" spans="1:28" s="305" customFormat="1" hidden="1" outlineLevel="1" x14ac:dyDescent="0.25">
      <c r="A437" s="278"/>
      <c r="B437" s="279" t="str">
        <f t="shared" si="41"/>
        <v>24003600AL/SLD</v>
      </c>
      <c r="C437" s="278">
        <v>2400</v>
      </c>
      <c r="D437" s="278">
        <v>3600</v>
      </c>
      <c r="E437" s="278" t="s">
        <v>953</v>
      </c>
      <c r="F437" s="278"/>
      <c r="G437" s="278" t="s">
        <v>5</v>
      </c>
      <c r="H437" s="308">
        <f>H430+0.9</f>
        <v>7.2</v>
      </c>
      <c r="I437" s="280">
        <f t="shared" si="46"/>
        <v>580.46400000000006</v>
      </c>
      <c r="J437" s="281">
        <f t="shared" si="43"/>
        <v>658.29600000000005</v>
      </c>
      <c r="K437" s="282">
        <f>IF(Notes!$B$9="Domestic",I437, IF(Notes!$B$9="Commercial",J437))*$K$423</f>
        <v>658.29600000000005</v>
      </c>
      <c r="L437" s="283">
        <f>(SUM(O437:Q437)+(K437+SUM(M437:Q437))*(INDEX($U$423:$AB$423,MATCH(Notes!$C$16,$U$3:$AB$3,0))-100%))*$L$423</f>
        <v>2957.6491999999998</v>
      </c>
      <c r="M437" s="286"/>
      <c r="N437" s="286"/>
      <c r="O437" s="285">
        <v>2149.5500000000002</v>
      </c>
      <c r="P437" s="311">
        <f t="shared" si="44"/>
        <v>1127.0015999999998</v>
      </c>
      <c r="Q437" s="311">
        <f t="shared" si="45"/>
        <v>-318.90239999999994</v>
      </c>
      <c r="R437" s="278"/>
      <c r="S437" s="278"/>
      <c r="T437" s="278"/>
    </row>
    <row r="438" spans="1:28" s="305" customFormat="1" hidden="1" outlineLevel="1" x14ac:dyDescent="0.25">
      <c r="A438" s="278"/>
      <c r="B438" s="279" t="str">
        <f t="shared" si="41"/>
        <v>27001500AL/SLD</v>
      </c>
      <c r="C438" s="278">
        <v>2700</v>
      </c>
      <c r="D438" s="278">
        <v>1500</v>
      </c>
      <c r="E438" s="278" t="s">
        <v>953</v>
      </c>
      <c r="F438" s="278"/>
      <c r="G438" s="278" t="s">
        <v>5</v>
      </c>
      <c r="H438" s="308">
        <f>H431+0.4</f>
        <v>3.5</v>
      </c>
      <c r="I438" s="280">
        <f t="shared" si="46"/>
        <v>282.17</v>
      </c>
      <c r="J438" s="281">
        <f t="shared" si="43"/>
        <v>320.005</v>
      </c>
      <c r="K438" s="282">
        <f>IF(Notes!$B$9="Domestic",I438, IF(Notes!$B$9="Commercial",J438))*$K$423</f>
        <v>320.005</v>
      </c>
      <c r="L438" s="283">
        <f>(SUM(O438:Q438)+(K438+SUM(M438:Q438))*(INDEX($U$423:$AB$423,MATCH(Notes!$C$16,$U$3:$AB$3,0))-100%))*$L$423</f>
        <v>1440.2065</v>
      </c>
      <c r="M438" s="286"/>
      <c r="N438" s="286"/>
      <c r="O438" s="311">
        <f>O431+O431-O424</f>
        <v>1061.4099999999999</v>
      </c>
      <c r="P438" s="311">
        <f t="shared" si="44"/>
        <v>528.28200000000004</v>
      </c>
      <c r="Q438" s="311">
        <f t="shared" si="45"/>
        <v>-149.48549999999997</v>
      </c>
      <c r="R438" s="278"/>
      <c r="S438" s="278"/>
      <c r="T438" s="278"/>
    </row>
    <row r="439" spans="1:28" s="305" customFormat="1" hidden="1" outlineLevel="1" x14ac:dyDescent="0.25">
      <c r="A439" s="278"/>
      <c r="B439" s="279" t="str">
        <f t="shared" si="41"/>
        <v>27001800AL/SLD</v>
      </c>
      <c r="C439" s="278">
        <v>2700</v>
      </c>
      <c r="D439" s="278">
        <v>1800</v>
      </c>
      <c r="E439" s="278" t="s">
        <v>953</v>
      </c>
      <c r="F439" s="278"/>
      <c r="G439" s="278" t="s">
        <v>5</v>
      </c>
      <c r="H439" s="308">
        <f t="shared" si="47"/>
        <v>4.0999999999999996</v>
      </c>
      <c r="I439" s="280">
        <f t="shared" si="46"/>
        <v>330.54199999999997</v>
      </c>
      <c r="J439" s="281">
        <f t="shared" si="43"/>
        <v>374.863</v>
      </c>
      <c r="K439" s="282">
        <f>IF(Notes!$B$9="Domestic",I439, IF(Notes!$B$9="Commercial",J439))*$K$423</f>
        <v>374.863</v>
      </c>
      <c r="L439" s="283">
        <f>(SUM(O439:Q439)+(K439+SUM(M439:Q439))*(INDEX($U$423:$AB$423,MATCH(Notes!$C$16,$U$3:$AB$3,0))-100%))*$L$423</f>
        <v>1714.8458000000003</v>
      </c>
      <c r="M439" s="286"/>
      <c r="N439" s="286"/>
      <c r="O439" s="311">
        <f t="shared" ref="O439:O444" si="49">O432+O432-O425</f>
        <v>1260.2900000000002</v>
      </c>
      <c r="P439" s="311">
        <f t="shared" si="44"/>
        <v>633.9384</v>
      </c>
      <c r="Q439" s="311">
        <f t="shared" si="45"/>
        <v>-179.38259999999997</v>
      </c>
      <c r="R439" s="278"/>
      <c r="S439" s="278"/>
      <c r="T439" s="278"/>
    </row>
    <row r="440" spans="1:28" s="305" customFormat="1" hidden="1" outlineLevel="1" x14ac:dyDescent="0.25">
      <c r="A440" s="278"/>
      <c r="B440" s="279" t="str">
        <f t="shared" si="41"/>
        <v>27002100AL/SLD</v>
      </c>
      <c r="C440" s="278">
        <v>2700</v>
      </c>
      <c r="D440" s="278">
        <v>2100</v>
      </c>
      <c r="E440" s="278" t="s">
        <v>953</v>
      </c>
      <c r="F440" s="278"/>
      <c r="G440" s="278" t="s">
        <v>5</v>
      </c>
      <c r="H440" s="308">
        <f>H433+0.6</f>
        <v>4.9999999999999991</v>
      </c>
      <c r="I440" s="280">
        <f t="shared" si="46"/>
        <v>403.09999999999997</v>
      </c>
      <c r="J440" s="281">
        <f t="shared" si="43"/>
        <v>457.15</v>
      </c>
      <c r="K440" s="282">
        <f>IF(Notes!$B$9="Domestic",I440, IF(Notes!$B$9="Commercial",J440))*$K$423</f>
        <v>457.15</v>
      </c>
      <c r="L440" s="283">
        <f>(SUM(O440:Q440)+(K440+SUM(M440:Q440))*(INDEX($U$423:$AB$423,MATCH(Notes!$C$16,$U$3:$AB$3,0))-100%))*$L$423</f>
        <v>1950.7250999999997</v>
      </c>
      <c r="M440" s="286"/>
      <c r="N440" s="286"/>
      <c r="O440" s="311">
        <f t="shared" si="49"/>
        <v>1420.4099999999999</v>
      </c>
      <c r="P440" s="311">
        <f t="shared" si="44"/>
        <v>739.59479999999996</v>
      </c>
      <c r="Q440" s="311">
        <f t="shared" si="45"/>
        <v>-209.27969999999996</v>
      </c>
      <c r="R440" s="278"/>
      <c r="S440" s="278"/>
      <c r="T440" s="278"/>
    </row>
    <row r="441" spans="1:28" s="305" customFormat="1" hidden="1" outlineLevel="1" x14ac:dyDescent="0.25">
      <c r="A441" s="278"/>
      <c r="B441" s="279" t="str">
        <f t="shared" si="41"/>
        <v>27002400AL/SLD</v>
      </c>
      <c r="C441" s="278">
        <v>2700</v>
      </c>
      <c r="D441" s="278">
        <v>2400</v>
      </c>
      <c r="E441" s="278" t="s">
        <v>953</v>
      </c>
      <c r="F441" s="278"/>
      <c r="G441" s="278" t="s">
        <v>5</v>
      </c>
      <c r="H441" s="308">
        <f>H434+0.6</f>
        <v>5.6</v>
      </c>
      <c r="I441" s="280">
        <f t="shared" si="46"/>
        <v>451.47199999999998</v>
      </c>
      <c r="J441" s="281">
        <f t="shared" si="43"/>
        <v>512.00800000000004</v>
      </c>
      <c r="K441" s="282">
        <f>IF(Notes!$B$9="Domestic",I441, IF(Notes!$B$9="Commercial",J441))*$K$423</f>
        <v>512.00800000000004</v>
      </c>
      <c r="L441" s="283">
        <f>(SUM(O441:Q441)+(K441+SUM(M441:Q441))*(INDEX($U$423:$AB$423,MATCH(Notes!$C$16,$U$3:$AB$3,0))-100%))*$L$423</f>
        <v>2074.7843999999996</v>
      </c>
      <c r="M441" s="286"/>
      <c r="N441" s="286"/>
      <c r="O441" s="311">
        <f t="shared" si="49"/>
        <v>1468.7099999999998</v>
      </c>
      <c r="P441" s="311">
        <f t="shared" si="44"/>
        <v>845.25119999999993</v>
      </c>
      <c r="Q441" s="311">
        <f t="shared" si="45"/>
        <v>-239.17679999999996</v>
      </c>
      <c r="R441" s="278"/>
      <c r="S441" s="278"/>
      <c r="T441" s="278"/>
    </row>
    <row r="442" spans="1:28" s="305" customFormat="1" hidden="1" outlineLevel="1" x14ac:dyDescent="0.25">
      <c r="A442" s="278"/>
      <c r="B442" s="279" t="str">
        <f t="shared" si="41"/>
        <v>27002700AL/SLD</v>
      </c>
      <c r="C442" s="278">
        <v>2700</v>
      </c>
      <c r="D442" s="278">
        <v>2700</v>
      </c>
      <c r="E442" s="278" t="s">
        <v>953</v>
      </c>
      <c r="F442" s="278"/>
      <c r="G442" s="278" t="s">
        <v>5</v>
      </c>
      <c r="H442" s="308">
        <f>H435+0.7</f>
        <v>6.1000000000000005</v>
      </c>
      <c r="I442" s="280">
        <f t="shared" si="46"/>
        <v>491.7820000000001</v>
      </c>
      <c r="J442" s="281">
        <f t="shared" si="43"/>
        <v>557.72300000000007</v>
      </c>
      <c r="K442" s="282">
        <f>IF(Notes!$B$9="Domestic",I442, IF(Notes!$B$9="Commercial",J442))*$K$423</f>
        <v>557.72300000000007</v>
      </c>
      <c r="L442" s="283">
        <f>(SUM(O442:Q442)+(K442+SUM(M442:Q442))*(INDEX($U$423:$AB$423,MATCH(Notes!$C$16,$U$3:$AB$3,0))-100%))*$L$423</f>
        <v>2274.8036999999999</v>
      </c>
      <c r="M442" s="286"/>
      <c r="N442" s="286"/>
      <c r="O442" s="311">
        <f t="shared" si="49"/>
        <v>1592.9699999999998</v>
      </c>
      <c r="P442" s="311">
        <f t="shared" si="44"/>
        <v>950.9076</v>
      </c>
      <c r="Q442" s="311">
        <f t="shared" si="45"/>
        <v>-269.07389999999998</v>
      </c>
      <c r="R442" s="278"/>
      <c r="S442" s="278"/>
      <c r="T442" s="278"/>
    </row>
    <row r="443" spans="1:28" s="305" customFormat="1" hidden="1" outlineLevel="1" x14ac:dyDescent="0.25">
      <c r="A443" s="278"/>
      <c r="B443" s="279" t="str">
        <f t="shared" si="41"/>
        <v>27003000AL/SLD</v>
      </c>
      <c r="C443" s="278">
        <v>2700</v>
      </c>
      <c r="D443" s="278">
        <v>3000</v>
      </c>
      <c r="E443" s="278" t="s">
        <v>953</v>
      </c>
      <c r="F443" s="278"/>
      <c r="G443" s="278" t="s">
        <v>5</v>
      </c>
      <c r="H443" s="308">
        <f t="shared" ref="H443" si="50">H436+0.7</f>
        <v>7.2</v>
      </c>
      <c r="I443" s="280">
        <f t="shared" si="46"/>
        <v>580.46400000000006</v>
      </c>
      <c r="J443" s="281">
        <f t="shared" si="43"/>
        <v>658.29600000000005</v>
      </c>
      <c r="K443" s="282">
        <f>IF(Notes!$B$9="Domestic",I443, IF(Notes!$B$9="Commercial",J443))*$K$423</f>
        <v>658.29600000000005</v>
      </c>
      <c r="L443" s="283">
        <f>(SUM(O443:Q443)+(K443+SUM(M443:Q443))*(INDEX($U$423:$AB$423,MATCH(Notes!$C$16,$U$3:$AB$3,0))-100%))*$L$423</f>
        <v>3008.7230000000004</v>
      </c>
      <c r="M443" s="286"/>
      <c r="N443" s="286"/>
      <c r="O443" s="311">
        <f t="shared" si="49"/>
        <v>2251.13</v>
      </c>
      <c r="P443" s="311">
        <f t="shared" si="44"/>
        <v>1056.5640000000001</v>
      </c>
      <c r="Q443" s="311">
        <f t="shared" si="45"/>
        <v>-298.97099999999995</v>
      </c>
      <c r="R443" s="278"/>
      <c r="S443" s="278"/>
      <c r="T443" s="278"/>
    </row>
    <row r="444" spans="1:28" s="305" customFormat="1" hidden="1" outlineLevel="1" x14ac:dyDescent="0.25">
      <c r="A444" s="278"/>
      <c r="B444" s="279" t="str">
        <f t="shared" si="41"/>
        <v>27003600AL/SLD</v>
      </c>
      <c r="C444" s="278">
        <v>2700</v>
      </c>
      <c r="D444" s="278">
        <v>3600</v>
      </c>
      <c r="E444" s="278" t="s">
        <v>953</v>
      </c>
      <c r="F444" s="278"/>
      <c r="G444" s="278" t="s">
        <v>5</v>
      </c>
      <c r="H444" s="308">
        <f>H437+0.9</f>
        <v>8.1</v>
      </c>
      <c r="I444" s="280">
        <f t="shared" si="46"/>
        <v>653.02200000000005</v>
      </c>
      <c r="J444" s="281">
        <f t="shared" si="43"/>
        <v>740.58299999999997</v>
      </c>
      <c r="K444" s="282">
        <f>IF(Notes!$B$9="Domestic",I444, IF(Notes!$B$9="Commercial",J444))*$K$423</f>
        <v>740.58299999999997</v>
      </c>
      <c r="L444" s="283">
        <f>(SUM(O444:Q444)+(K444+SUM(M444:Q444))*(INDEX($U$423:$AB$423,MATCH(Notes!$C$16,$U$3:$AB$3,0))-100%))*$L$423</f>
        <v>3213.6516000000006</v>
      </c>
      <c r="M444" s="286"/>
      <c r="N444" s="286"/>
      <c r="O444" s="311">
        <f t="shared" si="49"/>
        <v>2304.5400000000004</v>
      </c>
      <c r="P444" s="311">
        <f t="shared" si="44"/>
        <v>1267.8768</v>
      </c>
      <c r="Q444" s="311">
        <f t="shared" si="45"/>
        <v>-358.76519999999994</v>
      </c>
      <c r="R444" s="278"/>
      <c r="S444" s="278"/>
      <c r="T444" s="278"/>
    </row>
    <row r="445" spans="1:28" ht="21" hidden="1" outlineLevel="1" x14ac:dyDescent="0.25">
      <c r="A445" s="299" t="s">
        <v>954</v>
      </c>
      <c r="B445" s="299"/>
      <c r="C445" s="299"/>
      <c r="D445" s="299"/>
      <c r="E445" s="299"/>
      <c r="F445" s="299"/>
      <c r="G445" s="299"/>
      <c r="H445" s="299"/>
      <c r="I445" s="299"/>
      <c r="J445" s="299"/>
      <c r="K445" s="299"/>
      <c r="L445" s="299"/>
      <c r="M445" s="299"/>
      <c r="N445" s="299"/>
      <c r="O445" s="299"/>
      <c r="P445" s="299"/>
      <c r="Q445" s="299"/>
      <c r="R445" s="299"/>
      <c r="S445" s="299"/>
      <c r="T445" s="299"/>
      <c r="U445" s="299"/>
      <c r="V445" s="299"/>
      <c r="W445" s="299"/>
      <c r="X445" s="299"/>
      <c r="Y445" s="299"/>
      <c r="Z445" s="299"/>
      <c r="AA445" s="299"/>
      <c r="AB445" s="299"/>
    </row>
    <row r="446" spans="1:28" ht="15.75" hidden="1" outlineLevel="1" x14ac:dyDescent="0.25">
      <c r="A446" s="291"/>
      <c r="B446" s="291"/>
      <c r="C446" s="291"/>
      <c r="D446" s="291"/>
      <c r="E446" s="291"/>
      <c r="F446" s="291"/>
      <c r="G446" s="291"/>
      <c r="H446" s="291"/>
      <c r="I446" s="291"/>
      <c r="J446" s="291"/>
      <c r="K446" s="291">
        <f>K$2</f>
        <v>1</v>
      </c>
      <c r="L446" s="291">
        <f>L$2</f>
        <v>1</v>
      </c>
      <c r="M446" s="291"/>
      <c r="N446" s="291"/>
      <c r="O446" s="303"/>
      <c r="P446" s="303"/>
      <c r="Q446" s="303"/>
      <c r="R446" s="291"/>
      <c r="S446" s="291"/>
      <c r="T446" s="291"/>
      <c r="U446" s="291">
        <f>U$2</f>
        <v>0.89965397923875434</v>
      </c>
      <c r="V446" s="291">
        <f>V$2</f>
        <v>1</v>
      </c>
      <c r="W446" s="291">
        <f t="shared" ref="W446:AB446" si="51">W$2</f>
        <v>0.92214532871972321</v>
      </c>
      <c r="X446" s="291">
        <f t="shared" si="51"/>
        <v>0.89965397923875434</v>
      </c>
      <c r="Y446" s="291">
        <f t="shared" si="51"/>
        <v>1.0069204152249136</v>
      </c>
      <c r="Z446" s="291">
        <f t="shared" si="51"/>
        <v>0.856401384083045</v>
      </c>
      <c r="AA446" s="291">
        <f t="shared" si="51"/>
        <v>0.856401384083045</v>
      </c>
      <c r="AB446" s="291">
        <f t="shared" si="51"/>
        <v>1.0121107266435987</v>
      </c>
    </row>
    <row r="447" spans="1:28" s="305" customFormat="1" hidden="1" outlineLevel="1" x14ac:dyDescent="0.25">
      <c r="A447" s="278"/>
      <c r="B447" s="279" t="str">
        <f>C447&amp;D447&amp;E447&amp;F447</f>
        <v>21002100AL/STD</v>
      </c>
      <c r="C447" s="278">
        <v>2100</v>
      </c>
      <c r="D447" s="278">
        <v>2100</v>
      </c>
      <c r="E447" s="278" t="s">
        <v>955</v>
      </c>
      <c r="F447" s="278"/>
      <c r="G447" s="278" t="s">
        <v>5</v>
      </c>
      <c r="H447" s="290">
        <v>4.0999999999999996</v>
      </c>
      <c r="I447" s="280">
        <f>$I$2*H447</f>
        <v>330.54199999999997</v>
      </c>
      <c r="J447" s="281">
        <f>$J$2*H447</f>
        <v>374.863</v>
      </c>
      <c r="K447" s="282">
        <f>IF(Notes!$B$9="Domestic",I447, IF(Notes!$B$9="Commercial",J447))*$K$446</f>
        <v>374.863</v>
      </c>
      <c r="L447" s="283">
        <f>(SUM(O447:Q447)+(K447+SUM(M447:Q447))*(INDEX($U$446:$AB$446,MATCH(Notes!$C$16,$U$3:$AB$3,0))-100%))*$L$446</f>
        <v>1610.7173</v>
      </c>
      <c r="M447" s="286"/>
      <c r="N447" s="286"/>
      <c r="O447" s="285">
        <v>1198.25</v>
      </c>
      <c r="P447" s="311">
        <f t="shared" ref="P447:P467" si="52">$P$2*C447/1000*D447/1000</f>
        <v>575.24039999999991</v>
      </c>
      <c r="Q447" s="311">
        <f t="shared" ref="Q447:Q467" si="53">-$AG$13*C447/1000*D447/1000</f>
        <v>-162.77309999999997</v>
      </c>
      <c r="R447" s="278">
        <v>2100</v>
      </c>
      <c r="S447" s="278">
        <v>2100</v>
      </c>
      <c r="T447" s="278" t="s">
        <v>955</v>
      </c>
    </row>
    <row r="448" spans="1:28" s="305" customFormat="1" hidden="1" outlineLevel="1" x14ac:dyDescent="0.25">
      <c r="A448" s="278"/>
      <c r="B448" s="279" t="str">
        <f t="shared" ref="B448:B467" si="54">C448&amp;D448&amp;E448&amp;F448</f>
        <v>21002400AL/STD</v>
      </c>
      <c r="C448" s="278">
        <v>2100</v>
      </c>
      <c r="D448" s="278">
        <v>2400</v>
      </c>
      <c r="E448" s="278" t="s">
        <v>955</v>
      </c>
      <c r="F448" s="278"/>
      <c r="G448" s="278" t="s">
        <v>5</v>
      </c>
      <c r="H448" s="290">
        <v>4.2</v>
      </c>
      <c r="I448" s="280">
        <f t="shared" ref="I448:I450" si="55">$I$2*H448</f>
        <v>338.60400000000004</v>
      </c>
      <c r="J448" s="281">
        <f t="shared" ref="J448:J450" si="56">$J$2*H448</f>
        <v>384.00600000000003</v>
      </c>
      <c r="K448" s="282">
        <f>IF(Notes!$B$9="Domestic",I448, IF(Notes!$B$9="Commercial",J448))*$K$446</f>
        <v>384.00600000000003</v>
      </c>
      <c r="L448" s="283">
        <f>(SUM(O448:Q448)+(K448+SUM(M448:Q448))*(INDEX($U$446:$AB$446,MATCH(Notes!$C$16,$U$3:$AB$3,0))-100%))*$L$446</f>
        <v>1733.3912</v>
      </c>
      <c r="M448" s="286"/>
      <c r="N448" s="286"/>
      <c r="O448" s="285">
        <v>1262</v>
      </c>
      <c r="P448" s="311">
        <f t="shared" si="52"/>
        <v>657.41759999999999</v>
      </c>
      <c r="Q448" s="311">
        <f t="shared" si="53"/>
        <v>-186.0264</v>
      </c>
      <c r="R448" s="278">
        <v>2400</v>
      </c>
      <c r="S448" s="278">
        <v>2400</v>
      </c>
      <c r="T448" s="278"/>
    </row>
    <row r="449" spans="1:20" s="305" customFormat="1" hidden="1" outlineLevel="1" x14ac:dyDescent="0.25">
      <c r="A449" s="278"/>
      <c r="B449" s="279" t="str">
        <f t="shared" si="54"/>
        <v>21002700AL/STD</v>
      </c>
      <c r="C449" s="278">
        <v>2100</v>
      </c>
      <c r="D449" s="278">
        <v>2700</v>
      </c>
      <c r="E449" s="278" t="s">
        <v>955</v>
      </c>
      <c r="F449" s="278"/>
      <c r="G449" s="278" t="s">
        <v>5</v>
      </c>
      <c r="H449" s="290">
        <v>4.7</v>
      </c>
      <c r="I449" s="280">
        <f t="shared" si="55"/>
        <v>378.91400000000004</v>
      </c>
      <c r="J449" s="281">
        <f t="shared" si="56"/>
        <v>429.72100000000006</v>
      </c>
      <c r="K449" s="282">
        <f>IF(Notes!$B$9="Domestic",I449, IF(Notes!$B$9="Commercial",J449))*$K$446</f>
        <v>429.72100000000006</v>
      </c>
      <c r="L449" s="283">
        <f>(SUM(O449:Q449)+(K449+SUM(M449:Q449))*(INDEX($U$446:$AB$446,MATCH(Notes!$C$16,$U$3:$AB$3,0))-100%))*$L$446</f>
        <v>1882.0951</v>
      </c>
      <c r="M449" s="286"/>
      <c r="N449" s="286"/>
      <c r="O449" s="285">
        <v>1351.78</v>
      </c>
      <c r="P449" s="311">
        <f t="shared" si="52"/>
        <v>739.59479999999996</v>
      </c>
      <c r="Q449" s="311">
        <f t="shared" si="53"/>
        <v>-209.27969999999999</v>
      </c>
      <c r="R449" s="278">
        <v>2700</v>
      </c>
      <c r="S449" s="278">
        <v>2700</v>
      </c>
      <c r="T449" s="278"/>
    </row>
    <row r="450" spans="1:20" s="305" customFormat="1" hidden="1" outlineLevel="1" x14ac:dyDescent="0.25">
      <c r="A450" s="278"/>
      <c r="B450" s="279" t="str">
        <f t="shared" si="54"/>
        <v>21003000AL/STD</v>
      </c>
      <c r="C450" s="278">
        <v>2100</v>
      </c>
      <c r="D450" s="278">
        <v>3000</v>
      </c>
      <c r="E450" s="278" t="s">
        <v>955</v>
      </c>
      <c r="F450" s="278"/>
      <c r="G450" s="278" t="s">
        <v>5</v>
      </c>
      <c r="H450" s="290">
        <v>5.8</v>
      </c>
      <c r="I450" s="280">
        <f t="shared" si="55"/>
        <v>467.596</v>
      </c>
      <c r="J450" s="281">
        <f t="shared" si="56"/>
        <v>530.29399999999998</v>
      </c>
      <c r="K450" s="282">
        <f>IF(Notes!$B$9="Domestic",I450, IF(Notes!$B$9="Commercial",J450))*$K$446</f>
        <v>530.29399999999998</v>
      </c>
      <c r="L450" s="283">
        <f>(SUM(O450:Q450)+(K450+SUM(M450:Q450))*(INDEX($U$446:$AB$446,MATCH(Notes!$C$16,$U$3:$AB$3,0))-100%))*$L$446</f>
        <v>2120.6089999999999</v>
      </c>
      <c r="M450" s="286"/>
      <c r="N450" s="286"/>
      <c r="O450" s="285">
        <v>1531.37</v>
      </c>
      <c r="P450" s="311">
        <f t="shared" si="52"/>
        <v>821.77199999999993</v>
      </c>
      <c r="Q450" s="311">
        <f t="shared" si="53"/>
        <v>-232.53299999999999</v>
      </c>
      <c r="R450" s="278"/>
      <c r="S450" s="278">
        <v>3000</v>
      </c>
      <c r="T450" s="278"/>
    </row>
    <row r="451" spans="1:20" s="305" customFormat="1" hidden="1" outlineLevel="1" x14ac:dyDescent="0.25">
      <c r="A451" s="278"/>
      <c r="B451" s="279" t="str">
        <f t="shared" si="54"/>
        <v>21004500AL/STD</v>
      </c>
      <c r="C451" s="278">
        <v>2100</v>
      </c>
      <c r="D451" s="278">
        <v>4500</v>
      </c>
      <c r="E451" s="278" t="s">
        <v>955</v>
      </c>
      <c r="F451" s="278"/>
      <c r="G451" s="278" t="s">
        <v>5</v>
      </c>
      <c r="H451" s="290">
        <v>8.3000000000000007</v>
      </c>
      <c r="I451" s="280">
        <f>$I$2*H451</f>
        <v>669.14600000000007</v>
      </c>
      <c r="J451" s="281">
        <f>$J$2*H451</f>
        <v>758.86900000000014</v>
      </c>
      <c r="K451" s="282">
        <f>IF(Notes!$B$9="Domestic",I451, IF(Notes!$B$9="Commercial",J451))*$K$446</f>
        <v>758.86900000000014</v>
      </c>
      <c r="L451" s="283">
        <f>(SUM(O451:Q451)+(K451+SUM(M451:Q451))*(INDEX($U$446:$AB$446,MATCH(Notes!$C$16,$U$3:$AB$3,0))-100%))*$L$446</f>
        <v>3127.1985</v>
      </c>
      <c r="M451" s="286"/>
      <c r="N451" s="286"/>
      <c r="O451" s="285">
        <v>2243.34</v>
      </c>
      <c r="P451" s="311">
        <f t="shared" si="52"/>
        <v>1232.6579999999999</v>
      </c>
      <c r="Q451" s="311">
        <f t="shared" si="53"/>
        <v>-348.79950000000002</v>
      </c>
      <c r="R451" s="278"/>
      <c r="S451" s="278">
        <v>4500</v>
      </c>
      <c r="T451" s="278"/>
    </row>
    <row r="452" spans="1:20" s="305" customFormat="1" hidden="1" outlineLevel="1" x14ac:dyDescent="0.25">
      <c r="A452" s="278"/>
      <c r="B452" s="279" t="str">
        <f t="shared" si="54"/>
        <v>21005400AL/STD</v>
      </c>
      <c r="C452" s="278">
        <v>2100</v>
      </c>
      <c r="D452" s="278">
        <v>5400</v>
      </c>
      <c r="E452" s="278" t="s">
        <v>955</v>
      </c>
      <c r="F452" s="278"/>
      <c r="G452" s="278" t="s">
        <v>5</v>
      </c>
      <c r="H452" s="290">
        <v>9.6</v>
      </c>
      <c r="I452" s="280">
        <f>$I$2*H452</f>
        <v>773.952</v>
      </c>
      <c r="J452" s="281">
        <f>$J$2*H452</f>
        <v>877.72800000000007</v>
      </c>
      <c r="K452" s="282">
        <f>IF(Notes!$B$9="Domestic",I452, IF(Notes!$B$9="Commercial",J452))*$K$446</f>
        <v>877.72800000000007</v>
      </c>
      <c r="L452" s="283">
        <f>(SUM(O452:Q452)+(K452+SUM(M452:Q452))*(INDEX($U$446:$AB$446,MATCH(Notes!$C$16,$U$3:$AB$3,0))-100%))*$L$446</f>
        <v>3522.9402</v>
      </c>
      <c r="M452" s="286"/>
      <c r="N452" s="286"/>
      <c r="O452" s="285">
        <v>2462.31</v>
      </c>
      <c r="P452" s="311">
        <f t="shared" si="52"/>
        <v>1479.1895999999999</v>
      </c>
      <c r="Q452" s="311">
        <f t="shared" si="53"/>
        <v>-418.55939999999998</v>
      </c>
      <c r="R452" s="278"/>
      <c r="S452" s="278">
        <v>5400</v>
      </c>
      <c r="T452" s="278"/>
    </row>
    <row r="453" spans="1:20" s="305" customFormat="1" hidden="1" outlineLevel="1" x14ac:dyDescent="0.25">
      <c r="A453" s="278"/>
      <c r="B453" s="279" t="str">
        <f t="shared" si="54"/>
        <v>21006000AL/STD</v>
      </c>
      <c r="C453" s="278">
        <v>2100</v>
      </c>
      <c r="D453" s="278">
        <v>6000</v>
      </c>
      <c r="E453" s="278" t="s">
        <v>955</v>
      </c>
      <c r="F453" s="278"/>
      <c r="G453" s="278" t="s">
        <v>5</v>
      </c>
      <c r="H453" s="290">
        <v>11.5</v>
      </c>
      <c r="I453" s="280">
        <f t="shared" ref="I453:I467" si="57">$I$2*H453</f>
        <v>927.13000000000011</v>
      </c>
      <c r="J453" s="281">
        <f t="shared" ref="J453:J467" si="58">$J$2*H453</f>
        <v>1051.4450000000002</v>
      </c>
      <c r="K453" s="282">
        <f>IF(Notes!$B$9="Domestic",I453, IF(Notes!$B$9="Commercial",J453))*$K$446</f>
        <v>1051.4450000000002</v>
      </c>
      <c r="L453" s="283">
        <f>(SUM(O453:Q453)+(K453+SUM(M453:Q453))*(INDEX($U$446:$AB$446,MATCH(Notes!$C$16,$U$3:$AB$3,0))-100%))*$L$446</f>
        <v>3865.1279999999997</v>
      </c>
      <c r="M453" s="286"/>
      <c r="N453" s="286"/>
      <c r="O453" s="285">
        <v>2686.65</v>
      </c>
      <c r="P453" s="311">
        <f t="shared" si="52"/>
        <v>1643.5439999999999</v>
      </c>
      <c r="Q453" s="311">
        <f t="shared" si="53"/>
        <v>-465.06599999999997</v>
      </c>
      <c r="R453" s="278"/>
      <c r="S453" s="278">
        <v>6000</v>
      </c>
      <c r="T453" s="278"/>
    </row>
    <row r="454" spans="1:20" s="305" customFormat="1" hidden="1" outlineLevel="1" x14ac:dyDescent="0.25">
      <c r="A454" s="278"/>
      <c r="B454" s="279" t="str">
        <f t="shared" si="54"/>
        <v>24002100AL/STD</v>
      </c>
      <c r="C454" s="278">
        <v>2400</v>
      </c>
      <c r="D454" s="278">
        <v>2100</v>
      </c>
      <c r="E454" s="278" t="s">
        <v>955</v>
      </c>
      <c r="F454" s="278"/>
      <c r="G454" s="278" t="s">
        <v>5</v>
      </c>
      <c r="H454" s="308">
        <f>H447+0.6</f>
        <v>4.6999999999999993</v>
      </c>
      <c r="I454" s="280">
        <f t="shared" si="57"/>
        <v>378.91399999999999</v>
      </c>
      <c r="J454" s="281">
        <f t="shared" si="58"/>
        <v>429.72099999999995</v>
      </c>
      <c r="K454" s="282">
        <f>IF(Notes!$B$9="Domestic",I454, IF(Notes!$B$9="Commercial",J454))*$K$446</f>
        <v>429.72099999999995</v>
      </c>
      <c r="L454" s="283">
        <f>(SUM(O454:Q454)+(K454+SUM(M454:Q454))*(INDEX($U$446:$AB$446,MATCH(Notes!$C$16,$U$3:$AB$3,0))-100%))*$L$446</f>
        <v>1801.7611999999999</v>
      </c>
      <c r="M454" s="286"/>
      <c r="N454" s="286"/>
      <c r="O454" s="311">
        <f>O447+O455-O448</f>
        <v>1330.37</v>
      </c>
      <c r="P454" s="311">
        <f t="shared" si="52"/>
        <v>657.41759999999999</v>
      </c>
      <c r="Q454" s="311">
        <f t="shared" si="53"/>
        <v>-186.02639999999997</v>
      </c>
      <c r="R454" s="278"/>
      <c r="S454" s="278"/>
      <c r="T454" s="278"/>
    </row>
    <row r="455" spans="1:20" s="305" customFormat="1" hidden="1" outlineLevel="1" x14ac:dyDescent="0.25">
      <c r="A455" s="278"/>
      <c r="B455" s="279" t="str">
        <f t="shared" si="54"/>
        <v>24002400AL/STD</v>
      </c>
      <c r="C455" s="278">
        <v>2400</v>
      </c>
      <c r="D455" s="278">
        <v>2400</v>
      </c>
      <c r="E455" s="278" t="s">
        <v>955</v>
      </c>
      <c r="F455" s="278"/>
      <c r="G455" s="278" t="s">
        <v>5</v>
      </c>
      <c r="H455" s="308">
        <f t="shared" ref="H455:H462" si="59">H448+0.6</f>
        <v>4.8</v>
      </c>
      <c r="I455" s="280">
        <f t="shared" si="57"/>
        <v>386.976</v>
      </c>
      <c r="J455" s="281">
        <f t="shared" si="58"/>
        <v>438.86400000000003</v>
      </c>
      <c r="K455" s="282">
        <f>IF(Notes!$B$9="Domestic",I455, IF(Notes!$B$9="Commercial",J455))*$K$446</f>
        <v>438.86400000000003</v>
      </c>
      <c r="L455" s="283">
        <f>(SUM(O455:Q455)+(K455+SUM(M455:Q455))*(INDEX($U$446:$AB$446,MATCH(Notes!$C$16,$U$3:$AB$3,0))-100%))*$L$446</f>
        <v>1932.8527999999997</v>
      </c>
      <c r="M455" s="286"/>
      <c r="N455" s="286"/>
      <c r="O455" s="285">
        <v>1394.12</v>
      </c>
      <c r="P455" s="311">
        <f t="shared" si="52"/>
        <v>751.33439999999996</v>
      </c>
      <c r="Q455" s="311">
        <f t="shared" si="53"/>
        <v>-212.60159999999999</v>
      </c>
      <c r="R455" s="278"/>
      <c r="S455" s="278"/>
      <c r="T455" s="278"/>
    </row>
    <row r="456" spans="1:20" s="305" customFormat="1" hidden="1" outlineLevel="1" x14ac:dyDescent="0.25">
      <c r="A456" s="278"/>
      <c r="B456" s="279" t="str">
        <f t="shared" si="54"/>
        <v>24002700AL/STD</v>
      </c>
      <c r="C456" s="278">
        <v>2400</v>
      </c>
      <c r="D456" s="278">
        <v>2700</v>
      </c>
      <c r="E456" s="278" t="s">
        <v>955</v>
      </c>
      <c r="F456" s="278"/>
      <c r="G456" s="278" t="s">
        <v>5</v>
      </c>
      <c r="H456" s="308">
        <f>H449+0.7</f>
        <v>5.4</v>
      </c>
      <c r="I456" s="280">
        <f t="shared" si="57"/>
        <v>435.34800000000007</v>
      </c>
      <c r="J456" s="281">
        <f t="shared" si="58"/>
        <v>493.72200000000009</v>
      </c>
      <c r="K456" s="282">
        <f>IF(Notes!$B$9="Domestic",I456, IF(Notes!$B$9="Commercial",J456))*$K$446</f>
        <v>493.72200000000009</v>
      </c>
      <c r="L456" s="283">
        <f>(SUM(O456:Q456)+(K456+SUM(M456:Q456))*(INDEX($U$446:$AB$446,MATCH(Notes!$C$16,$U$3:$AB$3,0))-100%))*$L$446</f>
        <v>2047.6543999999997</v>
      </c>
      <c r="M456" s="286"/>
      <c r="N456" s="286"/>
      <c r="O456" s="285">
        <v>1441.58</v>
      </c>
      <c r="P456" s="311">
        <f t="shared" si="52"/>
        <v>845.25119999999993</v>
      </c>
      <c r="Q456" s="311">
        <f t="shared" si="53"/>
        <v>-239.17679999999996</v>
      </c>
      <c r="R456" s="278"/>
      <c r="S456" s="278"/>
      <c r="T456" s="278"/>
    </row>
    <row r="457" spans="1:20" s="305" customFormat="1" hidden="1" outlineLevel="1" x14ac:dyDescent="0.25">
      <c r="A457" s="278"/>
      <c r="B457" s="279" t="str">
        <f t="shared" si="54"/>
        <v>24003000AL/STD</v>
      </c>
      <c r="C457" s="278">
        <v>2400</v>
      </c>
      <c r="D457" s="278">
        <v>3000</v>
      </c>
      <c r="E457" s="278" t="s">
        <v>955</v>
      </c>
      <c r="F457" s="278"/>
      <c r="G457" s="278" t="s">
        <v>5</v>
      </c>
      <c r="H457" s="308">
        <f>H450+0.8</f>
        <v>6.6</v>
      </c>
      <c r="I457" s="280">
        <f t="shared" si="57"/>
        <v>532.09199999999998</v>
      </c>
      <c r="J457" s="281">
        <f t="shared" si="58"/>
        <v>603.43799999999999</v>
      </c>
      <c r="K457" s="282">
        <f>IF(Notes!$B$9="Domestic",I457, IF(Notes!$B$9="Commercial",J457))*$K$446</f>
        <v>603.43799999999999</v>
      </c>
      <c r="L457" s="283">
        <f>(SUM(O457:Q457)+(K457+SUM(M457:Q457))*(INDEX($U$446:$AB$446,MATCH(Notes!$C$16,$U$3:$AB$3,0))-100%))*$L$446</f>
        <v>2252.2559999999999</v>
      </c>
      <c r="M457" s="286"/>
      <c r="N457" s="286"/>
      <c r="O457" s="285">
        <v>1578.84</v>
      </c>
      <c r="P457" s="311">
        <f t="shared" si="52"/>
        <v>939.16800000000001</v>
      </c>
      <c r="Q457" s="311">
        <f t="shared" si="53"/>
        <v>-265.75199999999995</v>
      </c>
      <c r="R457" s="278"/>
      <c r="S457" s="278"/>
      <c r="T457" s="278"/>
    </row>
    <row r="458" spans="1:20" s="305" customFormat="1" hidden="1" outlineLevel="1" x14ac:dyDescent="0.25">
      <c r="A458" s="278"/>
      <c r="B458" s="279" t="str">
        <f t="shared" si="54"/>
        <v>24004500AL/STD</v>
      </c>
      <c r="C458" s="278">
        <v>2400</v>
      </c>
      <c r="D458" s="278">
        <v>4500</v>
      </c>
      <c r="E458" s="278" t="s">
        <v>955</v>
      </c>
      <c r="F458" s="278"/>
      <c r="G458" s="278" t="s">
        <v>5</v>
      </c>
      <c r="H458" s="308">
        <f>H451+1.2</f>
        <v>9.5</v>
      </c>
      <c r="I458" s="280">
        <f t="shared" si="57"/>
        <v>765.8900000000001</v>
      </c>
      <c r="J458" s="281">
        <f t="shared" si="58"/>
        <v>868.58500000000004</v>
      </c>
      <c r="K458" s="282">
        <f>IF(Notes!$B$9="Domestic",I458, IF(Notes!$B$9="Commercial",J458))*$K$446</f>
        <v>868.58500000000004</v>
      </c>
      <c r="L458" s="283">
        <f>(SUM(O458:Q458)+(K458+SUM(M458:Q458))*(INDEX($U$446:$AB$446,MATCH(Notes!$C$16,$U$3:$AB$3,0))-100%))*$L$446</f>
        <v>3413.3040000000001</v>
      </c>
      <c r="M458" s="286"/>
      <c r="N458" s="286"/>
      <c r="O458" s="285">
        <v>2403.1799999999998</v>
      </c>
      <c r="P458" s="311">
        <f t="shared" si="52"/>
        <v>1408.752</v>
      </c>
      <c r="Q458" s="311">
        <f t="shared" si="53"/>
        <v>-398.62799999999993</v>
      </c>
      <c r="R458" s="278"/>
      <c r="S458" s="278"/>
      <c r="T458" s="278"/>
    </row>
    <row r="459" spans="1:20" s="305" customFormat="1" hidden="1" outlineLevel="1" x14ac:dyDescent="0.25">
      <c r="A459" s="278"/>
      <c r="B459" s="279" t="str">
        <f t="shared" si="54"/>
        <v>24005400AL/STD</v>
      </c>
      <c r="C459" s="278">
        <v>2400</v>
      </c>
      <c r="D459" s="278">
        <v>5400</v>
      </c>
      <c r="E459" s="278" t="s">
        <v>955</v>
      </c>
      <c r="F459" s="278"/>
      <c r="G459" s="278" t="s">
        <v>5</v>
      </c>
      <c r="H459" s="308">
        <f>H452+1.3</f>
        <v>10.9</v>
      </c>
      <c r="I459" s="280">
        <f t="shared" si="57"/>
        <v>878.75800000000004</v>
      </c>
      <c r="J459" s="281">
        <f t="shared" si="58"/>
        <v>996.5870000000001</v>
      </c>
      <c r="K459" s="282">
        <f>IF(Notes!$B$9="Domestic",I459, IF(Notes!$B$9="Commercial",J459))*$K$446</f>
        <v>996.5870000000001</v>
      </c>
      <c r="L459" s="283">
        <f>(SUM(O459:Q459)+(K459+SUM(M459:Q459))*(INDEX($U$446:$AB$446,MATCH(Notes!$C$16,$U$3:$AB$3,0))-100%))*$L$446</f>
        <v>3782.7287999999994</v>
      </c>
      <c r="M459" s="286"/>
      <c r="N459" s="286"/>
      <c r="O459" s="285">
        <v>2570.58</v>
      </c>
      <c r="P459" s="311">
        <f t="shared" si="52"/>
        <v>1690.5023999999999</v>
      </c>
      <c r="Q459" s="311">
        <f t="shared" si="53"/>
        <v>-478.35359999999991</v>
      </c>
      <c r="R459" s="278"/>
      <c r="S459" s="278"/>
      <c r="T459" s="278"/>
    </row>
    <row r="460" spans="1:20" s="305" customFormat="1" hidden="1" outlineLevel="1" x14ac:dyDescent="0.25">
      <c r="A460" s="278"/>
      <c r="B460" s="279" t="str">
        <f t="shared" si="54"/>
        <v>24006000AL/STD</v>
      </c>
      <c r="C460" s="278">
        <v>2400</v>
      </c>
      <c r="D460" s="278">
        <v>6000</v>
      </c>
      <c r="E460" s="278" t="s">
        <v>955</v>
      </c>
      <c r="F460" s="278"/>
      <c r="G460" s="278" t="s">
        <v>5</v>
      </c>
      <c r="H460" s="308">
        <f>H453+1.7</f>
        <v>13.2</v>
      </c>
      <c r="I460" s="280">
        <f t="shared" si="57"/>
        <v>1064.184</v>
      </c>
      <c r="J460" s="281">
        <f t="shared" si="58"/>
        <v>1206.876</v>
      </c>
      <c r="K460" s="282">
        <f>IF(Notes!$B$9="Domestic",I460, IF(Notes!$B$9="Commercial",J460))*$K$446</f>
        <v>1206.876</v>
      </c>
      <c r="L460" s="283">
        <f>(SUM(O460:Q460)+(K460+SUM(M460:Q460))*(INDEX($U$446:$AB$446,MATCH(Notes!$C$16,$U$3:$AB$3,0))-100%))*$L$446</f>
        <v>4143.9719999999998</v>
      </c>
      <c r="M460" s="286"/>
      <c r="N460" s="286"/>
      <c r="O460" s="285">
        <v>2797.14</v>
      </c>
      <c r="P460" s="311">
        <f t="shared" si="52"/>
        <v>1878.336</v>
      </c>
      <c r="Q460" s="311">
        <f t="shared" si="53"/>
        <v>-531.50399999999991</v>
      </c>
      <c r="R460" s="278"/>
      <c r="S460" s="278"/>
      <c r="T460" s="278"/>
    </row>
    <row r="461" spans="1:20" s="305" customFormat="1" hidden="1" outlineLevel="1" x14ac:dyDescent="0.25">
      <c r="A461" s="278"/>
      <c r="B461" s="279" t="str">
        <f t="shared" si="54"/>
        <v>27002100AL/STD</v>
      </c>
      <c r="C461" s="278">
        <v>2700</v>
      </c>
      <c r="D461" s="278">
        <v>2100</v>
      </c>
      <c r="E461" s="278" t="s">
        <v>955</v>
      </c>
      <c r="F461" s="278"/>
      <c r="G461" s="278" t="s">
        <v>5</v>
      </c>
      <c r="H461" s="308">
        <f>H454+0.6</f>
        <v>5.2999999999999989</v>
      </c>
      <c r="I461" s="280">
        <f t="shared" si="57"/>
        <v>427.28599999999994</v>
      </c>
      <c r="J461" s="281">
        <f t="shared" si="58"/>
        <v>484.57899999999995</v>
      </c>
      <c r="K461" s="282">
        <f>IF(Notes!$B$9="Domestic",I461, IF(Notes!$B$9="Commercial",J461))*$K$446</f>
        <v>484.57899999999995</v>
      </c>
      <c r="L461" s="283">
        <f>(SUM(O461:Q461)+(K461+SUM(M461:Q461))*(INDEX($U$446:$AB$446,MATCH(Notes!$C$16,$U$3:$AB$3,0))-100%))*$L$446</f>
        <v>1992.8050999999996</v>
      </c>
      <c r="M461" s="286"/>
      <c r="N461" s="286"/>
      <c r="O461" s="311">
        <f>O454+O454-O447</f>
        <v>1462.4899999999998</v>
      </c>
      <c r="P461" s="311">
        <f t="shared" si="52"/>
        <v>739.59479999999996</v>
      </c>
      <c r="Q461" s="311">
        <f t="shared" si="53"/>
        <v>-209.27969999999996</v>
      </c>
      <c r="R461" s="278"/>
      <c r="S461" s="278"/>
      <c r="T461" s="278"/>
    </row>
    <row r="462" spans="1:20" s="305" customFormat="1" hidden="1" outlineLevel="1" x14ac:dyDescent="0.25">
      <c r="A462" s="278"/>
      <c r="B462" s="279" t="str">
        <f t="shared" si="54"/>
        <v>27002400AL/STD</v>
      </c>
      <c r="C462" s="278">
        <v>2700</v>
      </c>
      <c r="D462" s="278">
        <v>2400</v>
      </c>
      <c r="E462" s="278" t="s">
        <v>955</v>
      </c>
      <c r="F462" s="278"/>
      <c r="G462" s="278" t="s">
        <v>5</v>
      </c>
      <c r="H462" s="308">
        <f t="shared" si="59"/>
        <v>5.3999999999999995</v>
      </c>
      <c r="I462" s="280">
        <f t="shared" si="57"/>
        <v>435.34799999999996</v>
      </c>
      <c r="J462" s="281">
        <f t="shared" si="58"/>
        <v>493.72199999999998</v>
      </c>
      <c r="K462" s="282">
        <f>IF(Notes!$B$9="Domestic",I462, IF(Notes!$B$9="Commercial",J462))*$K$446</f>
        <v>493.72199999999998</v>
      </c>
      <c r="L462" s="283">
        <f>(SUM(O462:Q462)+(K462+SUM(M462:Q462))*(INDEX($U$446:$AB$446,MATCH(Notes!$C$16,$U$3:$AB$3,0))-100%))*$L$446</f>
        <v>2132.3143999999993</v>
      </c>
      <c r="M462" s="286"/>
      <c r="N462" s="286"/>
      <c r="O462" s="311">
        <f t="shared" ref="O462:O467" si="60">O455+O455-O448</f>
        <v>1526.2399999999998</v>
      </c>
      <c r="P462" s="311">
        <f t="shared" si="52"/>
        <v>845.25119999999993</v>
      </c>
      <c r="Q462" s="311">
        <f t="shared" si="53"/>
        <v>-239.17679999999996</v>
      </c>
      <c r="R462" s="278"/>
      <c r="S462" s="278"/>
      <c r="T462" s="278"/>
    </row>
    <row r="463" spans="1:20" s="305" customFormat="1" hidden="1" outlineLevel="1" x14ac:dyDescent="0.25">
      <c r="A463" s="278"/>
      <c r="B463" s="279" t="str">
        <f t="shared" si="54"/>
        <v>27002700AL/STD</v>
      </c>
      <c r="C463" s="278">
        <v>2700</v>
      </c>
      <c r="D463" s="278">
        <v>2700</v>
      </c>
      <c r="E463" s="278" t="s">
        <v>955</v>
      </c>
      <c r="F463" s="278"/>
      <c r="G463" s="278" t="s">
        <v>5</v>
      </c>
      <c r="H463" s="308">
        <f>H456+0.7</f>
        <v>6.1000000000000005</v>
      </c>
      <c r="I463" s="280">
        <f t="shared" si="57"/>
        <v>491.7820000000001</v>
      </c>
      <c r="J463" s="281">
        <f t="shared" si="58"/>
        <v>557.72300000000007</v>
      </c>
      <c r="K463" s="282">
        <f>IF(Notes!$B$9="Domestic",I463, IF(Notes!$B$9="Commercial",J463))*$K$446</f>
        <v>557.72300000000007</v>
      </c>
      <c r="L463" s="283">
        <f>(SUM(O463:Q463)+(K463+SUM(M463:Q463))*(INDEX($U$446:$AB$446,MATCH(Notes!$C$16,$U$3:$AB$3,0))-100%))*$L$446</f>
        <v>2213.2136999999998</v>
      </c>
      <c r="M463" s="286"/>
      <c r="N463" s="286"/>
      <c r="O463" s="311">
        <f t="shared" si="60"/>
        <v>1531.3799999999999</v>
      </c>
      <c r="P463" s="311">
        <f t="shared" si="52"/>
        <v>950.9076</v>
      </c>
      <c r="Q463" s="311">
        <f t="shared" si="53"/>
        <v>-269.07389999999998</v>
      </c>
      <c r="R463" s="278"/>
      <c r="S463" s="278"/>
      <c r="T463" s="278"/>
    </row>
    <row r="464" spans="1:20" s="305" customFormat="1" hidden="1" outlineLevel="1" x14ac:dyDescent="0.25">
      <c r="A464" s="278"/>
      <c r="B464" s="279" t="str">
        <f t="shared" si="54"/>
        <v>27003000AL/STD</v>
      </c>
      <c r="C464" s="278">
        <v>2700</v>
      </c>
      <c r="D464" s="278">
        <v>3000</v>
      </c>
      <c r="E464" s="278" t="s">
        <v>955</v>
      </c>
      <c r="F464" s="278"/>
      <c r="G464" s="278" t="s">
        <v>5</v>
      </c>
      <c r="H464" s="308">
        <f>H457+0.8</f>
        <v>7.3999999999999995</v>
      </c>
      <c r="I464" s="280">
        <f t="shared" si="57"/>
        <v>596.58799999999997</v>
      </c>
      <c r="J464" s="281">
        <f t="shared" si="58"/>
        <v>676.58199999999999</v>
      </c>
      <c r="K464" s="282">
        <f>IF(Notes!$B$9="Domestic",I464, IF(Notes!$B$9="Commercial",J464))*$K$446</f>
        <v>676.58199999999999</v>
      </c>
      <c r="L464" s="283">
        <f>(SUM(O464:Q464)+(K464+SUM(M464:Q464))*(INDEX($U$446:$AB$446,MATCH(Notes!$C$16,$U$3:$AB$3,0))-100%))*$L$446</f>
        <v>2383.9029999999998</v>
      </c>
      <c r="M464" s="286"/>
      <c r="N464" s="286"/>
      <c r="O464" s="311">
        <f t="shared" si="60"/>
        <v>1626.31</v>
      </c>
      <c r="P464" s="311">
        <f t="shared" si="52"/>
        <v>1056.5640000000001</v>
      </c>
      <c r="Q464" s="311">
        <f t="shared" si="53"/>
        <v>-298.97099999999995</v>
      </c>
      <c r="R464" s="278"/>
      <c r="S464" s="278"/>
      <c r="T464" s="278"/>
    </row>
    <row r="465" spans="1:28" s="305" customFormat="1" hidden="1" outlineLevel="1" x14ac:dyDescent="0.25">
      <c r="A465" s="278"/>
      <c r="B465" s="279" t="str">
        <f t="shared" si="54"/>
        <v>27004500AL/STD</v>
      </c>
      <c r="C465" s="278">
        <v>2700</v>
      </c>
      <c r="D465" s="278">
        <v>4500</v>
      </c>
      <c r="E465" s="278" t="s">
        <v>955</v>
      </c>
      <c r="F465" s="278"/>
      <c r="G465" s="278" t="s">
        <v>5</v>
      </c>
      <c r="H465" s="308">
        <f>H458+1.2</f>
        <v>10.7</v>
      </c>
      <c r="I465" s="280">
        <f t="shared" si="57"/>
        <v>862.63400000000001</v>
      </c>
      <c r="J465" s="281">
        <f t="shared" si="58"/>
        <v>978.30100000000004</v>
      </c>
      <c r="K465" s="282">
        <f>IF(Notes!$B$9="Domestic",I465, IF(Notes!$B$9="Commercial",J465))*$K$446</f>
        <v>978.30100000000004</v>
      </c>
      <c r="L465" s="283">
        <f>(SUM(O465:Q465)+(K465+SUM(M465:Q465))*(INDEX($U$446:$AB$446,MATCH(Notes!$C$16,$U$3:$AB$3,0))-100%))*$L$446</f>
        <v>3699.4095000000002</v>
      </c>
      <c r="M465" s="286"/>
      <c r="N465" s="286"/>
      <c r="O465" s="311">
        <f t="shared" si="60"/>
        <v>2563.0199999999995</v>
      </c>
      <c r="P465" s="311">
        <f t="shared" si="52"/>
        <v>1584.846</v>
      </c>
      <c r="Q465" s="311">
        <f t="shared" si="53"/>
        <v>-448.45649999999995</v>
      </c>
      <c r="R465" s="278"/>
      <c r="S465" s="278"/>
      <c r="T465" s="278"/>
    </row>
    <row r="466" spans="1:28" s="305" customFormat="1" hidden="1" outlineLevel="1" x14ac:dyDescent="0.25">
      <c r="A466" s="278"/>
      <c r="B466" s="279" t="str">
        <f t="shared" si="54"/>
        <v>27005400AL/STD</v>
      </c>
      <c r="C466" s="278">
        <v>2700</v>
      </c>
      <c r="D466" s="278">
        <v>5400</v>
      </c>
      <c r="E466" s="278" t="s">
        <v>955</v>
      </c>
      <c r="F466" s="278"/>
      <c r="G466" s="278" t="s">
        <v>5</v>
      </c>
      <c r="H466" s="308">
        <f>H459+1.3</f>
        <v>12.200000000000001</v>
      </c>
      <c r="I466" s="280">
        <f t="shared" si="57"/>
        <v>983.56400000000019</v>
      </c>
      <c r="J466" s="281">
        <f t="shared" si="58"/>
        <v>1115.4460000000001</v>
      </c>
      <c r="K466" s="282">
        <f>IF(Notes!$B$9="Domestic",I466, IF(Notes!$B$9="Commercial",J466))*$K$446</f>
        <v>1115.4460000000001</v>
      </c>
      <c r="L466" s="283">
        <f>(SUM(O466:Q466)+(K466+SUM(M466:Q466))*(INDEX($U$446:$AB$446,MATCH(Notes!$C$16,$U$3:$AB$3,0))-100%))*$L$446</f>
        <v>4042.5173999999997</v>
      </c>
      <c r="M466" s="286"/>
      <c r="N466" s="286"/>
      <c r="O466" s="311">
        <f t="shared" si="60"/>
        <v>2678.85</v>
      </c>
      <c r="P466" s="311">
        <f t="shared" si="52"/>
        <v>1901.8152</v>
      </c>
      <c r="Q466" s="311">
        <f t="shared" si="53"/>
        <v>-538.14779999999996</v>
      </c>
      <c r="R466" s="278"/>
      <c r="S466" s="278"/>
      <c r="T466" s="278"/>
    </row>
    <row r="467" spans="1:28" s="305" customFormat="1" hidden="1" outlineLevel="1" x14ac:dyDescent="0.25">
      <c r="A467" s="278"/>
      <c r="B467" s="279" t="str">
        <f t="shared" si="54"/>
        <v>27006000AL/STD</v>
      </c>
      <c r="C467" s="278">
        <v>2700</v>
      </c>
      <c r="D467" s="278">
        <v>6000</v>
      </c>
      <c r="E467" s="278" t="s">
        <v>955</v>
      </c>
      <c r="F467" s="278"/>
      <c r="G467" s="278" t="s">
        <v>5</v>
      </c>
      <c r="H467" s="308">
        <f>H460+1.7</f>
        <v>14.899999999999999</v>
      </c>
      <c r="I467" s="280">
        <f t="shared" si="57"/>
        <v>1201.2380000000001</v>
      </c>
      <c r="J467" s="281">
        <f t="shared" si="58"/>
        <v>1362.307</v>
      </c>
      <c r="K467" s="282">
        <f>IF(Notes!$B$9="Domestic",I467, IF(Notes!$B$9="Commercial",J467))*$K$446</f>
        <v>1362.307</v>
      </c>
      <c r="L467" s="283">
        <f>(SUM(O467:Q467)+(K467+SUM(M467:Q467))*(INDEX($U$446:$AB$446,MATCH(Notes!$C$16,$U$3:$AB$3,0))-100%))*$L$446</f>
        <v>4422.8159999999998</v>
      </c>
      <c r="M467" s="286"/>
      <c r="N467" s="286"/>
      <c r="O467" s="311">
        <f t="shared" si="60"/>
        <v>2907.6299999999997</v>
      </c>
      <c r="P467" s="311">
        <f t="shared" si="52"/>
        <v>2113.1280000000002</v>
      </c>
      <c r="Q467" s="311">
        <f t="shared" si="53"/>
        <v>-597.94199999999989</v>
      </c>
      <c r="R467" s="278"/>
      <c r="S467" s="278"/>
      <c r="T467" s="278"/>
    </row>
    <row r="468" spans="1:28" ht="21" hidden="1" outlineLevel="1" x14ac:dyDescent="0.25">
      <c r="A468" s="299" t="s">
        <v>956</v>
      </c>
      <c r="B468" s="299"/>
      <c r="C468" s="299"/>
      <c r="D468" s="299"/>
      <c r="E468" s="299"/>
      <c r="F468" s="299"/>
      <c r="G468" s="299"/>
      <c r="H468" s="299"/>
      <c r="I468" s="299"/>
      <c r="J468" s="299"/>
      <c r="K468" s="299"/>
      <c r="L468" s="299"/>
      <c r="M468" s="299"/>
      <c r="N468" s="299"/>
      <c r="O468" s="299"/>
      <c r="P468" s="299"/>
      <c r="Q468" s="299"/>
      <c r="R468" s="299"/>
      <c r="S468" s="299"/>
      <c r="T468" s="299"/>
      <c r="U468" s="299"/>
      <c r="V468" s="299"/>
      <c r="W468" s="299"/>
      <c r="X468" s="299"/>
      <c r="Y468" s="299"/>
      <c r="Z468" s="299"/>
      <c r="AA468" s="299"/>
      <c r="AB468" s="299"/>
    </row>
    <row r="469" spans="1:28" ht="15.75" hidden="1" outlineLevel="1" x14ac:dyDescent="0.25">
      <c r="A469" s="291"/>
      <c r="B469" s="291"/>
      <c r="C469" s="291"/>
      <c r="D469" s="291"/>
      <c r="E469" s="291"/>
      <c r="F469" s="291"/>
      <c r="G469" s="291"/>
      <c r="H469" s="291"/>
      <c r="I469" s="291"/>
      <c r="J469" s="291"/>
      <c r="K469" s="291">
        <f>K$2</f>
        <v>1</v>
      </c>
      <c r="L469" s="291">
        <f>L$2</f>
        <v>1</v>
      </c>
      <c r="M469" s="291"/>
      <c r="N469" s="291"/>
      <c r="O469" s="303"/>
      <c r="P469" s="303"/>
      <c r="Q469" s="303"/>
      <c r="R469" s="291"/>
      <c r="S469" s="291"/>
      <c r="T469" s="291"/>
      <c r="U469" s="291">
        <f>U$2</f>
        <v>0.89965397923875434</v>
      </c>
      <c r="V469" s="291">
        <f>V$2</f>
        <v>1</v>
      </c>
      <c r="W469" s="291">
        <f t="shared" ref="W469:AB469" si="61">W$2</f>
        <v>0.92214532871972321</v>
      </c>
      <c r="X469" s="291">
        <f t="shared" si="61"/>
        <v>0.89965397923875434</v>
      </c>
      <c r="Y469" s="291">
        <f t="shared" si="61"/>
        <v>1.0069204152249136</v>
      </c>
      <c r="Z469" s="291">
        <f t="shared" si="61"/>
        <v>0.856401384083045</v>
      </c>
      <c r="AA469" s="291">
        <f t="shared" si="61"/>
        <v>0.856401384083045</v>
      </c>
      <c r="AB469" s="291">
        <f t="shared" si="61"/>
        <v>1.0121107266435987</v>
      </c>
    </row>
    <row r="470" spans="1:28" s="305" customFormat="1" hidden="1" outlineLevel="1" x14ac:dyDescent="0.25">
      <c r="A470" s="278"/>
      <c r="B470" s="279" t="str">
        <f>C470&amp;D470&amp;E470&amp;F470</f>
        <v>2100900AL/SHD</v>
      </c>
      <c r="C470" s="278">
        <v>2100</v>
      </c>
      <c r="D470" s="278">
        <v>900</v>
      </c>
      <c r="E470" s="278" t="s">
        <v>957</v>
      </c>
      <c r="F470" s="278"/>
      <c r="G470" s="278" t="s">
        <v>5</v>
      </c>
      <c r="H470" s="290">
        <v>2</v>
      </c>
      <c r="I470" s="280">
        <f>$I$2*H470</f>
        <v>161.24</v>
      </c>
      <c r="J470" s="281">
        <f>$J$2*H470</f>
        <v>182.86</v>
      </c>
      <c r="K470" s="282">
        <f>IF(Notes!$B$9="Domestic",I470, IF(Notes!$B$9="Commercial",J470))*$K$469</f>
        <v>182.86</v>
      </c>
      <c r="L470" s="283">
        <f>(SUM(O470:Q470)+(K470+SUM(M470:Q470))*(INDEX($U$469:$AB$469,MATCH(Notes!$C$16,$U$3:$AB$3,0))-100%))*$L$469</f>
        <v>1398.1416999999999</v>
      </c>
      <c r="M470" s="286"/>
      <c r="N470" s="286"/>
      <c r="O470" s="285">
        <v>1221.3699999999999</v>
      </c>
      <c r="P470" s="311">
        <f t="shared" ref="P470:P478" si="62">$P$2*C470/1000*D470/1000</f>
        <v>246.53159999999997</v>
      </c>
      <c r="Q470" s="311">
        <f t="shared" ref="Q470:Q478" si="63">-$AG$13*C470/1000*D470/1000</f>
        <v>-69.759899999999988</v>
      </c>
      <c r="R470" s="278">
        <v>2100</v>
      </c>
      <c r="S470" s="278">
        <v>900</v>
      </c>
      <c r="T470" s="278" t="s">
        <v>957</v>
      </c>
    </row>
    <row r="471" spans="1:28" s="305" customFormat="1" hidden="1" outlineLevel="1" x14ac:dyDescent="0.25">
      <c r="A471" s="278"/>
      <c r="B471" s="279" t="str">
        <f t="shared" ref="B471:B478" si="64">C471&amp;D471&amp;E471&amp;F471</f>
        <v>21001200AL/SHD</v>
      </c>
      <c r="C471" s="278">
        <v>2100</v>
      </c>
      <c r="D471" s="278">
        <v>1200</v>
      </c>
      <c r="E471" s="278" t="s">
        <v>957</v>
      </c>
      <c r="F471" s="278"/>
      <c r="G471" s="278" t="s">
        <v>5</v>
      </c>
      <c r="H471" s="290">
        <v>3</v>
      </c>
      <c r="I471" s="280">
        <f t="shared" ref="I471:I473" si="65">$I$2*H471</f>
        <v>241.86</v>
      </c>
      <c r="J471" s="281">
        <f t="shared" ref="J471:J478" si="66">$J$2*H471</f>
        <v>274.29000000000002</v>
      </c>
      <c r="K471" s="282">
        <f>IF(Notes!$B$9="Domestic",I471, IF(Notes!$B$9="Commercial",J471))*$K$469</f>
        <v>274.29000000000002</v>
      </c>
      <c r="L471" s="283">
        <f>(SUM(O471:Q471)+(K471+SUM(M471:Q471))*(INDEX($U$469:$AB$469,MATCH(Notes!$C$16,$U$3:$AB$3,0))-100%))*$L$469</f>
        <v>1579.2025999999998</v>
      </c>
      <c r="M471" s="286"/>
      <c r="N471" s="286"/>
      <c r="O471" s="311">
        <f>O470*1.1</f>
        <v>1343.5070000000001</v>
      </c>
      <c r="P471" s="311">
        <f t="shared" si="62"/>
        <v>328.7088</v>
      </c>
      <c r="Q471" s="311">
        <f t="shared" si="63"/>
        <v>-93.013199999999998</v>
      </c>
      <c r="R471" s="278">
        <v>2400</v>
      </c>
      <c r="S471" s="278">
        <v>1200</v>
      </c>
      <c r="T471" s="278"/>
    </row>
    <row r="472" spans="1:28" s="305" customFormat="1" hidden="1" outlineLevel="1" x14ac:dyDescent="0.25">
      <c r="A472" s="278"/>
      <c r="B472" s="279" t="str">
        <f t="shared" si="64"/>
        <v>21001500AL/SHD</v>
      </c>
      <c r="C472" s="278">
        <v>2100</v>
      </c>
      <c r="D472" s="278">
        <v>1500</v>
      </c>
      <c r="E472" s="278" t="s">
        <v>957</v>
      </c>
      <c r="F472" s="278"/>
      <c r="G472" s="278" t="s">
        <v>5</v>
      </c>
      <c r="H472" s="290">
        <v>4</v>
      </c>
      <c r="I472" s="280">
        <f t="shared" si="65"/>
        <v>322.48</v>
      </c>
      <c r="J472" s="281">
        <f t="shared" si="66"/>
        <v>365.72</v>
      </c>
      <c r="K472" s="282">
        <f>IF(Notes!$B$9="Domestic",I472, IF(Notes!$B$9="Commercial",J472))*$K$469</f>
        <v>365.72</v>
      </c>
      <c r="L472" s="283">
        <f>(SUM(O472:Q472)+(K472+SUM(M472:Q472))*(INDEX($U$469:$AB$469,MATCH(Notes!$C$16,$U$3:$AB$3,0))-100%))*$L$469</f>
        <v>1772.4772000000003</v>
      </c>
      <c r="M472" s="286"/>
      <c r="N472" s="286"/>
      <c r="O472" s="311">
        <f>O471*1.1</f>
        <v>1477.8577000000002</v>
      </c>
      <c r="P472" s="311">
        <f t="shared" si="62"/>
        <v>410.88599999999997</v>
      </c>
      <c r="Q472" s="311">
        <f t="shared" si="63"/>
        <v>-116.26649999999999</v>
      </c>
      <c r="R472" s="278">
        <v>2700</v>
      </c>
      <c r="S472" s="278">
        <v>1500</v>
      </c>
      <c r="T472" s="278"/>
    </row>
    <row r="473" spans="1:28" s="305" customFormat="1" hidden="1" outlineLevel="1" x14ac:dyDescent="0.25">
      <c r="A473" s="278"/>
      <c r="B473" s="279" t="str">
        <f t="shared" si="64"/>
        <v>2400900AL/SHD</v>
      </c>
      <c r="C473" s="278">
        <v>2400</v>
      </c>
      <c r="D473" s="278">
        <v>900</v>
      </c>
      <c r="E473" s="278" t="s">
        <v>957</v>
      </c>
      <c r="F473" s="278"/>
      <c r="G473" s="278" t="s">
        <v>5</v>
      </c>
      <c r="H473" s="308">
        <f>H470+0.5</f>
        <v>2.5</v>
      </c>
      <c r="I473" s="280">
        <f t="shared" si="65"/>
        <v>201.55</v>
      </c>
      <c r="J473" s="281">
        <f t="shared" si="66"/>
        <v>228.57500000000002</v>
      </c>
      <c r="K473" s="282">
        <f>IF(Notes!$B$9="Domestic",I473, IF(Notes!$B$9="Commercial",J473))*$K$469</f>
        <v>228.57500000000002</v>
      </c>
      <c r="L473" s="283">
        <f>(SUM(O473:Q473)+(K473+SUM(M473:Q473))*(INDEX($U$469:$AB$469,MATCH(Notes!$C$16,$U$3:$AB$3,0))-100%))*$L$469</f>
        <v>1545.5318</v>
      </c>
      <c r="M473" s="286"/>
      <c r="N473" s="286"/>
      <c r="O473" s="311">
        <f>O470*1.1</f>
        <v>1343.5070000000001</v>
      </c>
      <c r="P473" s="311">
        <f t="shared" si="62"/>
        <v>281.75039999999996</v>
      </c>
      <c r="Q473" s="311">
        <f t="shared" si="63"/>
        <v>-79.725599999999986</v>
      </c>
      <c r="R473" s="278"/>
      <c r="S473" s="278"/>
      <c r="T473" s="278"/>
    </row>
    <row r="474" spans="1:28" s="305" customFormat="1" hidden="1" outlineLevel="1" x14ac:dyDescent="0.25">
      <c r="A474" s="278"/>
      <c r="B474" s="279" t="str">
        <f t="shared" si="64"/>
        <v>24001200AL/SHD</v>
      </c>
      <c r="C474" s="278">
        <v>2400</v>
      </c>
      <c r="D474" s="278">
        <v>1200</v>
      </c>
      <c r="E474" s="278" t="s">
        <v>957</v>
      </c>
      <c r="F474" s="278"/>
      <c r="G474" s="278" t="s">
        <v>5</v>
      </c>
      <c r="H474" s="308">
        <f t="shared" ref="H474:H478" si="67">H471+0.5</f>
        <v>3.5</v>
      </c>
      <c r="I474" s="280">
        <f>$I$2*H474</f>
        <v>282.17</v>
      </c>
      <c r="J474" s="281">
        <f t="shared" si="66"/>
        <v>320.005</v>
      </c>
      <c r="K474" s="282">
        <f>IF(Notes!$B$9="Domestic",I474, IF(Notes!$B$9="Commercial",J474))*$K$469</f>
        <v>320.005</v>
      </c>
      <c r="L474" s="283">
        <f>(SUM(O474:Q474)+(K474+SUM(M474:Q474))*(INDEX($U$469:$AB$469,MATCH(Notes!$C$16,$U$3:$AB$3,0))-100%))*$L$469</f>
        <v>1747.2241000000004</v>
      </c>
      <c r="M474" s="286"/>
      <c r="N474" s="286"/>
      <c r="O474" s="311">
        <f t="shared" ref="O474:O477" si="68">O471*1.1</f>
        <v>1477.8577000000002</v>
      </c>
      <c r="P474" s="311">
        <f t="shared" si="62"/>
        <v>375.66719999999998</v>
      </c>
      <c r="Q474" s="311">
        <f t="shared" si="63"/>
        <v>-106.3008</v>
      </c>
      <c r="R474" s="278"/>
      <c r="S474" s="278"/>
      <c r="T474" s="278"/>
    </row>
    <row r="475" spans="1:28" s="305" customFormat="1" hidden="1" outlineLevel="1" x14ac:dyDescent="0.25">
      <c r="A475" s="278"/>
      <c r="B475" s="279" t="str">
        <f t="shared" si="64"/>
        <v>24001500AL/SHD</v>
      </c>
      <c r="C475" s="278">
        <v>2400</v>
      </c>
      <c r="D475" s="278">
        <v>1500</v>
      </c>
      <c r="E475" s="278" t="s">
        <v>957</v>
      </c>
      <c r="F475" s="278"/>
      <c r="G475" s="278" t="s">
        <v>5</v>
      </c>
      <c r="H475" s="308">
        <f t="shared" si="67"/>
        <v>4.5</v>
      </c>
      <c r="I475" s="280">
        <f t="shared" ref="I475:I478" si="69">$I$2*H475</f>
        <v>362.79</v>
      </c>
      <c r="J475" s="281">
        <f t="shared" si="66"/>
        <v>411.43500000000006</v>
      </c>
      <c r="K475" s="282">
        <f>IF(Notes!$B$9="Domestic",I475, IF(Notes!$B$9="Commercial",J475))*$K$469</f>
        <v>411.43500000000006</v>
      </c>
      <c r="L475" s="283">
        <f>(SUM(O475:Q475)+(K475+SUM(M475:Q475))*(INDEX($U$469:$AB$469,MATCH(Notes!$C$16,$U$3:$AB$3,0))-100%))*$L$469</f>
        <v>1962.3514700000003</v>
      </c>
      <c r="M475" s="286"/>
      <c r="N475" s="286"/>
      <c r="O475" s="311">
        <f t="shared" si="68"/>
        <v>1625.6434700000004</v>
      </c>
      <c r="P475" s="311">
        <f t="shared" si="62"/>
        <v>469.584</v>
      </c>
      <c r="Q475" s="311">
        <f t="shared" si="63"/>
        <v>-132.87599999999998</v>
      </c>
      <c r="R475" s="278"/>
      <c r="S475" s="278"/>
      <c r="T475" s="278"/>
    </row>
    <row r="476" spans="1:28" s="305" customFormat="1" hidden="1" outlineLevel="1" x14ac:dyDescent="0.25">
      <c r="A476" s="278"/>
      <c r="B476" s="279" t="str">
        <f t="shared" si="64"/>
        <v>2700900AL/SHD</v>
      </c>
      <c r="C476" s="278">
        <v>2700</v>
      </c>
      <c r="D476" s="278">
        <v>900</v>
      </c>
      <c r="E476" s="278" t="s">
        <v>957</v>
      </c>
      <c r="F476" s="278"/>
      <c r="G476" s="278" t="s">
        <v>5</v>
      </c>
      <c r="H476" s="308">
        <f t="shared" si="67"/>
        <v>3</v>
      </c>
      <c r="I476" s="280">
        <f t="shared" si="69"/>
        <v>241.86</v>
      </c>
      <c r="J476" s="281">
        <f t="shared" si="66"/>
        <v>274.29000000000002</v>
      </c>
      <c r="K476" s="282">
        <f>IF(Notes!$B$9="Domestic",I476, IF(Notes!$B$9="Commercial",J476))*$K$469</f>
        <v>274.29000000000002</v>
      </c>
      <c r="L476" s="283">
        <f>(SUM(O476:Q476)+(K476+SUM(M476:Q476))*(INDEX($U$469:$AB$469,MATCH(Notes!$C$16,$U$3:$AB$3,0))-100%))*$L$469</f>
        <v>1705.1356000000003</v>
      </c>
      <c r="M476" s="286"/>
      <c r="N476" s="286"/>
      <c r="O476" s="311">
        <f t="shared" si="68"/>
        <v>1477.8577000000002</v>
      </c>
      <c r="P476" s="311">
        <f t="shared" si="62"/>
        <v>316.9692</v>
      </c>
      <c r="Q476" s="311">
        <f t="shared" si="63"/>
        <v>-89.691299999999984</v>
      </c>
      <c r="R476" s="278"/>
      <c r="S476" s="278"/>
      <c r="T476" s="278"/>
    </row>
    <row r="477" spans="1:28" s="305" customFormat="1" hidden="1" outlineLevel="1" x14ac:dyDescent="0.25">
      <c r="A477" s="278"/>
      <c r="B477" s="279" t="str">
        <f t="shared" si="64"/>
        <v>27001200AL/SHD</v>
      </c>
      <c r="C477" s="278">
        <v>2700</v>
      </c>
      <c r="D477" s="278">
        <v>1200</v>
      </c>
      <c r="E477" s="278" t="s">
        <v>957</v>
      </c>
      <c r="F477" s="278"/>
      <c r="G477" s="278" t="s">
        <v>5</v>
      </c>
      <c r="H477" s="308">
        <f t="shared" si="67"/>
        <v>4</v>
      </c>
      <c r="I477" s="280">
        <f t="shared" si="69"/>
        <v>322.48</v>
      </c>
      <c r="J477" s="281">
        <f t="shared" si="66"/>
        <v>365.72</v>
      </c>
      <c r="K477" s="282">
        <f>IF(Notes!$B$9="Domestic",I477, IF(Notes!$B$9="Commercial",J477))*$K$469</f>
        <v>365.72</v>
      </c>
      <c r="L477" s="283">
        <f>(SUM(O477:Q477)+(K477+SUM(M477:Q477))*(INDEX($U$469:$AB$469,MATCH(Notes!$C$16,$U$3:$AB$3,0))-100%))*$L$469</f>
        <v>1928.6806700000002</v>
      </c>
      <c r="M477" s="286"/>
      <c r="N477" s="286"/>
      <c r="O477" s="311">
        <f t="shared" si="68"/>
        <v>1625.6434700000004</v>
      </c>
      <c r="P477" s="311">
        <f t="shared" si="62"/>
        <v>422.62559999999996</v>
      </c>
      <c r="Q477" s="311">
        <f t="shared" si="63"/>
        <v>-119.58839999999998</v>
      </c>
      <c r="R477" s="278"/>
      <c r="S477" s="278"/>
      <c r="T477" s="278"/>
    </row>
    <row r="478" spans="1:28" s="305" customFormat="1" hidden="1" outlineLevel="1" x14ac:dyDescent="0.25">
      <c r="A478" s="278"/>
      <c r="B478" s="279" t="str">
        <f t="shared" si="64"/>
        <v>27001500AL/SHD</v>
      </c>
      <c r="C478" s="278">
        <v>2700</v>
      </c>
      <c r="D478" s="278">
        <v>1500</v>
      </c>
      <c r="E478" s="278" t="s">
        <v>957</v>
      </c>
      <c r="F478" s="278"/>
      <c r="G478" s="278" t="s">
        <v>5</v>
      </c>
      <c r="H478" s="308">
        <f t="shared" si="67"/>
        <v>5</v>
      </c>
      <c r="I478" s="280">
        <f t="shared" si="69"/>
        <v>403.1</v>
      </c>
      <c r="J478" s="281">
        <f t="shared" si="66"/>
        <v>457.15000000000003</v>
      </c>
      <c r="K478" s="282">
        <f>IF(Notes!$B$9="Domestic",I478, IF(Notes!$B$9="Commercial",J478))*$K$469</f>
        <v>457.15000000000003</v>
      </c>
      <c r="L478" s="283">
        <f>(SUM(O478:Q478)+(K478+SUM(M478:Q478))*(INDEX($U$469:$AB$469,MATCH(Notes!$C$16,$U$3:$AB$3,0))-100%))*$L$469</f>
        <v>2167.0043170000008</v>
      </c>
      <c r="M478" s="286"/>
      <c r="N478" s="286"/>
      <c r="O478" s="311">
        <f>O475*1.1</f>
        <v>1788.2078170000007</v>
      </c>
      <c r="P478" s="311">
        <f t="shared" si="62"/>
        <v>528.28200000000004</v>
      </c>
      <c r="Q478" s="311">
        <f t="shared" si="63"/>
        <v>-149.48549999999997</v>
      </c>
      <c r="R478" s="278"/>
      <c r="S478" s="278"/>
      <c r="T478" s="278"/>
    </row>
    <row r="479" spans="1:28" ht="21" hidden="1" outlineLevel="1" x14ac:dyDescent="0.25">
      <c r="A479" s="299" t="s">
        <v>958</v>
      </c>
      <c r="B479" s="299"/>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row>
    <row r="480" spans="1:28" ht="15.75" hidden="1" outlineLevel="1" x14ac:dyDescent="0.25">
      <c r="A480" s="291"/>
      <c r="B480" s="291"/>
      <c r="C480" s="291"/>
      <c r="D480" s="291"/>
      <c r="E480" s="291"/>
      <c r="F480" s="291"/>
      <c r="G480" s="291"/>
      <c r="H480" s="291"/>
      <c r="I480" s="291"/>
      <c r="J480" s="291"/>
      <c r="K480" s="291">
        <f>K$2</f>
        <v>1</v>
      </c>
      <c r="L480" s="291">
        <f>L$2</f>
        <v>1</v>
      </c>
      <c r="M480" s="291"/>
      <c r="N480" s="291"/>
      <c r="O480" s="303"/>
      <c r="P480" s="303"/>
      <c r="Q480" s="303"/>
      <c r="R480" s="291"/>
      <c r="S480" s="291"/>
      <c r="T480" s="291"/>
      <c r="U480" s="291">
        <f>U$2</f>
        <v>0.89965397923875434</v>
      </c>
      <c r="V480" s="291">
        <f>V$2</f>
        <v>1</v>
      </c>
      <c r="W480" s="291">
        <f t="shared" ref="W480:AB480" si="70">W$2</f>
        <v>0.92214532871972321</v>
      </c>
      <c r="X480" s="291">
        <f t="shared" si="70"/>
        <v>0.89965397923875434</v>
      </c>
      <c r="Y480" s="291">
        <f t="shared" si="70"/>
        <v>1.0069204152249136</v>
      </c>
      <c r="Z480" s="291">
        <f t="shared" si="70"/>
        <v>0.856401384083045</v>
      </c>
      <c r="AA480" s="291">
        <f t="shared" si="70"/>
        <v>0.856401384083045</v>
      </c>
      <c r="AB480" s="291">
        <f t="shared" si="70"/>
        <v>1.0121107266435987</v>
      </c>
    </row>
    <row r="481" spans="1:28" s="305" customFormat="1" hidden="1" outlineLevel="1" x14ac:dyDescent="0.25">
      <c r="A481" s="278"/>
      <c r="B481" s="279" t="str">
        <f>C481&amp;D481&amp;E481&amp;F481</f>
        <v>21001800AL/DHD</v>
      </c>
      <c r="C481" s="278">
        <v>2100</v>
      </c>
      <c r="D481" s="278">
        <v>1800</v>
      </c>
      <c r="E481" s="278" t="s">
        <v>959</v>
      </c>
      <c r="F481" s="278"/>
      <c r="G481" s="278" t="s">
        <v>5</v>
      </c>
      <c r="H481" s="290">
        <v>3</v>
      </c>
      <c r="I481" s="280">
        <f>$I$2*H481</f>
        <v>241.86</v>
      </c>
      <c r="J481" s="281">
        <f>$J$2*H481</f>
        <v>274.29000000000002</v>
      </c>
      <c r="K481" s="282">
        <f>IF(Notes!$B$9="Domestic",I481, IF(Notes!$B$9="Commercial",J481))*$K$480</f>
        <v>274.29000000000002</v>
      </c>
      <c r="L481" s="283">
        <f>(SUM(O481:Q481)+(K481+SUM(M481:Q481))*(INDEX($U$480:$AB$480,MATCH(Notes!$C$16,$U$3:$AB$3,0))-100%))*$L$480</f>
        <v>2312.3534</v>
      </c>
      <c r="M481" s="286"/>
      <c r="N481" s="286"/>
      <c r="O481" s="285">
        <v>1958.81</v>
      </c>
      <c r="P481" s="311">
        <f t="shared" ref="P481:P489" si="71">$P$2*C481/1000*D481/1000</f>
        <v>493.06319999999994</v>
      </c>
      <c r="Q481" s="311">
        <f t="shared" ref="Q481:Q489" si="72">-$AG$13*C481/1000*D481/1000</f>
        <v>-139.51979999999998</v>
      </c>
      <c r="R481" s="278">
        <v>2100</v>
      </c>
      <c r="S481" s="278">
        <v>1800</v>
      </c>
      <c r="T481" s="278" t="s">
        <v>959</v>
      </c>
    </row>
    <row r="482" spans="1:28" s="305" customFormat="1" hidden="1" outlineLevel="1" x14ac:dyDescent="0.25">
      <c r="A482" s="278"/>
      <c r="B482" s="279" t="str">
        <f t="shared" ref="B482:B489" si="73">C482&amp;D482&amp;E482&amp;F482</f>
        <v>21002400AL/DHD</v>
      </c>
      <c r="C482" s="278">
        <v>2100</v>
      </c>
      <c r="D482" s="278">
        <v>2400</v>
      </c>
      <c r="E482" s="278" t="s">
        <v>959</v>
      </c>
      <c r="F482" s="278"/>
      <c r="G482" s="278" t="s">
        <v>5</v>
      </c>
      <c r="H482" s="290">
        <v>4</v>
      </c>
      <c r="I482" s="280">
        <f t="shared" ref="I482:I484" si="74">$I$2*H482</f>
        <v>322.48</v>
      </c>
      <c r="J482" s="281">
        <f t="shared" ref="J482:J489" si="75">$J$2*H482</f>
        <v>365.72</v>
      </c>
      <c r="K482" s="282">
        <f>IF(Notes!$B$9="Domestic",I482, IF(Notes!$B$9="Commercial",J482))*$K$480</f>
        <v>365.72</v>
      </c>
      <c r="L482" s="283">
        <f>(SUM(O482:Q482)+(K482+SUM(M482:Q482))*(INDEX($U$480:$AB$480,MATCH(Notes!$C$16,$U$3:$AB$3,0))-100%))*$L$480</f>
        <v>2626.0822000000003</v>
      </c>
      <c r="M482" s="286"/>
      <c r="N482" s="286"/>
      <c r="O482" s="311">
        <f>O481*1.1</f>
        <v>2154.6910000000003</v>
      </c>
      <c r="P482" s="311">
        <f t="shared" si="71"/>
        <v>657.41759999999999</v>
      </c>
      <c r="Q482" s="311">
        <f t="shared" si="72"/>
        <v>-186.0264</v>
      </c>
      <c r="R482" s="278">
        <v>2400</v>
      </c>
      <c r="S482" s="278">
        <v>2400</v>
      </c>
      <c r="T482" s="278"/>
    </row>
    <row r="483" spans="1:28" s="305" customFormat="1" hidden="1" outlineLevel="1" x14ac:dyDescent="0.25">
      <c r="A483" s="278"/>
      <c r="B483" s="279" t="str">
        <f t="shared" si="73"/>
        <v>21003000AL/DHD</v>
      </c>
      <c r="C483" s="278">
        <v>2100</v>
      </c>
      <c r="D483" s="278">
        <v>3000</v>
      </c>
      <c r="E483" s="278" t="s">
        <v>959</v>
      </c>
      <c r="F483" s="278"/>
      <c r="G483" s="278" t="s">
        <v>5</v>
      </c>
      <c r="H483" s="290">
        <v>5</v>
      </c>
      <c r="I483" s="280">
        <f t="shared" si="74"/>
        <v>403.1</v>
      </c>
      <c r="J483" s="281">
        <f t="shared" si="75"/>
        <v>457.15000000000003</v>
      </c>
      <c r="K483" s="282">
        <f>IF(Notes!$B$9="Domestic",I483, IF(Notes!$B$9="Commercial",J483))*$K$480</f>
        <v>457.15000000000003</v>
      </c>
      <c r="L483" s="283">
        <f>(SUM(O483:Q483)+(K483+SUM(M483:Q483))*(INDEX($U$480:$AB$480,MATCH(Notes!$C$16,$U$3:$AB$3,0))-100%))*$L$480</f>
        <v>2959.3991000000005</v>
      </c>
      <c r="M483" s="286"/>
      <c r="N483" s="286"/>
      <c r="O483" s="311">
        <f>O482*1.1</f>
        <v>2370.1601000000005</v>
      </c>
      <c r="P483" s="311">
        <f t="shared" si="71"/>
        <v>821.77199999999993</v>
      </c>
      <c r="Q483" s="311">
        <f t="shared" si="72"/>
        <v>-232.53299999999999</v>
      </c>
      <c r="R483" s="278">
        <v>2700</v>
      </c>
      <c r="S483" s="278">
        <v>3000</v>
      </c>
      <c r="T483" s="278"/>
    </row>
    <row r="484" spans="1:28" s="305" customFormat="1" hidden="1" outlineLevel="1" x14ac:dyDescent="0.25">
      <c r="A484" s="278"/>
      <c r="B484" s="279" t="str">
        <f t="shared" si="73"/>
        <v>24001800AL/DHD</v>
      </c>
      <c r="C484" s="278">
        <v>2400</v>
      </c>
      <c r="D484" s="278">
        <v>1800</v>
      </c>
      <c r="E484" s="278" t="s">
        <v>959</v>
      </c>
      <c r="F484" s="278"/>
      <c r="G484" s="278" t="s">
        <v>5</v>
      </c>
      <c r="H484" s="308">
        <f>H481+0.7</f>
        <v>3.7</v>
      </c>
      <c r="I484" s="280">
        <f t="shared" si="74"/>
        <v>298.29400000000004</v>
      </c>
      <c r="J484" s="281">
        <f t="shared" si="75"/>
        <v>338.29100000000005</v>
      </c>
      <c r="K484" s="282">
        <f>IF(Notes!$B$9="Domestic",I484, IF(Notes!$B$9="Commercial",J484))*$K$480</f>
        <v>338.29100000000005</v>
      </c>
      <c r="L484" s="283">
        <f>(SUM(O484:Q484)+(K484+SUM(M484:Q484))*(INDEX($U$480:$AB$480,MATCH(Notes!$C$16,$U$3:$AB$3,0))-100%))*$L$480</f>
        <v>2558.7406000000001</v>
      </c>
      <c r="M484" s="286"/>
      <c r="N484" s="286"/>
      <c r="O484" s="311">
        <f>O481*1.1</f>
        <v>2154.6910000000003</v>
      </c>
      <c r="P484" s="311">
        <f t="shared" si="71"/>
        <v>563.50079999999991</v>
      </c>
      <c r="Q484" s="311">
        <f t="shared" si="72"/>
        <v>-159.45119999999997</v>
      </c>
      <c r="R484" s="278"/>
      <c r="S484" s="278"/>
      <c r="T484" s="278"/>
    </row>
    <row r="485" spans="1:28" s="305" customFormat="1" hidden="1" outlineLevel="1" x14ac:dyDescent="0.25">
      <c r="A485" s="278"/>
      <c r="B485" s="279" t="str">
        <f t="shared" si="73"/>
        <v>24002400AL/DHD</v>
      </c>
      <c r="C485" s="278">
        <v>2400</v>
      </c>
      <c r="D485" s="278">
        <v>2400</v>
      </c>
      <c r="E485" s="278" t="s">
        <v>959</v>
      </c>
      <c r="F485" s="278"/>
      <c r="G485" s="278" t="s">
        <v>5</v>
      </c>
      <c r="H485" s="308">
        <f t="shared" ref="H485:H489" si="76">H482+0.7</f>
        <v>4.7</v>
      </c>
      <c r="I485" s="280">
        <f>$I$2*H485</f>
        <v>378.91400000000004</v>
      </c>
      <c r="J485" s="281">
        <f t="shared" si="75"/>
        <v>429.72100000000006</v>
      </c>
      <c r="K485" s="282">
        <f>IF(Notes!$B$9="Domestic",I485, IF(Notes!$B$9="Commercial",J485))*$K$480</f>
        <v>429.72100000000006</v>
      </c>
      <c r="L485" s="283">
        <f>(SUM(O485:Q485)+(K485+SUM(M485:Q485))*(INDEX($U$480:$AB$480,MATCH(Notes!$C$16,$U$3:$AB$3,0))-100%))*$L$480</f>
        <v>2908.8929000000007</v>
      </c>
      <c r="M485" s="286"/>
      <c r="N485" s="286"/>
      <c r="O485" s="311">
        <f t="shared" ref="O485:O488" si="77">O482*1.1</f>
        <v>2370.1601000000005</v>
      </c>
      <c r="P485" s="311">
        <f t="shared" si="71"/>
        <v>751.33439999999996</v>
      </c>
      <c r="Q485" s="311">
        <f t="shared" si="72"/>
        <v>-212.60159999999999</v>
      </c>
      <c r="R485" s="278"/>
      <c r="S485" s="278"/>
      <c r="T485" s="278"/>
    </row>
    <row r="486" spans="1:28" s="305" customFormat="1" hidden="1" outlineLevel="1" x14ac:dyDescent="0.25">
      <c r="A486" s="278"/>
      <c r="B486" s="279" t="str">
        <f t="shared" si="73"/>
        <v>24003000AL/DHD</v>
      </c>
      <c r="C486" s="278">
        <v>2400</v>
      </c>
      <c r="D486" s="278">
        <v>3000</v>
      </c>
      <c r="E486" s="278" t="s">
        <v>959</v>
      </c>
      <c r="F486" s="278"/>
      <c r="G486" s="278" t="s">
        <v>5</v>
      </c>
      <c r="H486" s="308">
        <f t="shared" si="76"/>
        <v>5.7</v>
      </c>
      <c r="I486" s="280">
        <f t="shared" ref="I486:I489" si="78">$I$2*H486</f>
        <v>459.53400000000005</v>
      </c>
      <c r="J486" s="281">
        <f t="shared" si="75"/>
        <v>521.15100000000007</v>
      </c>
      <c r="K486" s="282">
        <f>IF(Notes!$B$9="Domestic",I486, IF(Notes!$B$9="Commercial",J486))*$K$480</f>
        <v>521.15100000000007</v>
      </c>
      <c r="L486" s="283">
        <f>(SUM(O486:Q486)+(K486+SUM(M486:Q486))*(INDEX($U$480:$AB$480,MATCH(Notes!$C$16,$U$3:$AB$3,0))-100%))*$L$480</f>
        <v>3280.592110000001</v>
      </c>
      <c r="M486" s="286"/>
      <c r="N486" s="286"/>
      <c r="O486" s="311">
        <f t="shared" si="77"/>
        <v>2607.1761100000008</v>
      </c>
      <c r="P486" s="311">
        <f t="shared" si="71"/>
        <v>939.16800000000001</v>
      </c>
      <c r="Q486" s="311">
        <f t="shared" si="72"/>
        <v>-265.75199999999995</v>
      </c>
      <c r="R486" s="278"/>
      <c r="S486" s="278"/>
      <c r="T486" s="278"/>
    </row>
    <row r="487" spans="1:28" s="305" customFormat="1" hidden="1" outlineLevel="1" x14ac:dyDescent="0.25">
      <c r="A487" s="278"/>
      <c r="B487" s="279" t="str">
        <f t="shared" si="73"/>
        <v>27001800AL/DHD</v>
      </c>
      <c r="C487" s="278">
        <v>2700</v>
      </c>
      <c r="D487" s="278">
        <v>1800</v>
      </c>
      <c r="E487" s="278" t="s">
        <v>959</v>
      </c>
      <c r="F487" s="278"/>
      <c r="G487" s="278" t="s">
        <v>5</v>
      </c>
      <c r="H487" s="308">
        <f t="shared" si="76"/>
        <v>4.4000000000000004</v>
      </c>
      <c r="I487" s="280">
        <f t="shared" si="78"/>
        <v>354.72800000000007</v>
      </c>
      <c r="J487" s="281">
        <f t="shared" si="75"/>
        <v>402.29200000000009</v>
      </c>
      <c r="K487" s="282">
        <f>IF(Notes!$B$9="Domestic",I487, IF(Notes!$B$9="Commercial",J487))*$K$480</f>
        <v>402.29200000000009</v>
      </c>
      <c r="L487" s="283">
        <f>(SUM(O487:Q487)+(K487+SUM(M487:Q487))*(INDEX($U$480:$AB$480,MATCH(Notes!$C$16,$U$3:$AB$3,0))-100%))*$L$480</f>
        <v>2824.7159000000006</v>
      </c>
      <c r="M487" s="286"/>
      <c r="N487" s="286"/>
      <c r="O487" s="311">
        <f t="shared" si="77"/>
        <v>2370.1601000000005</v>
      </c>
      <c r="P487" s="311">
        <f t="shared" si="71"/>
        <v>633.9384</v>
      </c>
      <c r="Q487" s="311">
        <f t="shared" si="72"/>
        <v>-179.38259999999997</v>
      </c>
      <c r="R487" s="278"/>
      <c r="S487" s="278"/>
      <c r="T487" s="278"/>
    </row>
    <row r="488" spans="1:28" s="305" customFormat="1" hidden="1" outlineLevel="1" x14ac:dyDescent="0.25">
      <c r="A488" s="278"/>
      <c r="B488" s="279" t="str">
        <f t="shared" si="73"/>
        <v>27002400AL/DHD</v>
      </c>
      <c r="C488" s="278">
        <v>2700</v>
      </c>
      <c r="D488" s="278">
        <v>2400</v>
      </c>
      <c r="E488" s="278" t="s">
        <v>959</v>
      </c>
      <c r="F488" s="278"/>
      <c r="G488" s="278" t="s">
        <v>5</v>
      </c>
      <c r="H488" s="308">
        <f t="shared" si="76"/>
        <v>5.4</v>
      </c>
      <c r="I488" s="280">
        <f t="shared" si="78"/>
        <v>435.34800000000007</v>
      </c>
      <c r="J488" s="281">
        <f t="shared" si="75"/>
        <v>493.72200000000009</v>
      </c>
      <c r="K488" s="282">
        <f>IF(Notes!$B$9="Domestic",I488, IF(Notes!$B$9="Commercial",J488))*$K$480</f>
        <v>493.72200000000009</v>
      </c>
      <c r="L488" s="283">
        <f>(SUM(O488:Q488)+(K488+SUM(M488:Q488))*(INDEX($U$480:$AB$480,MATCH(Notes!$C$16,$U$3:$AB$3,0))-100%))*$L$480</f>
        <v>3213.2505100000008</v>
      </c>
      <c r="M488" s="286"/>
      <c r="N488" s="286"/>
      <c r="O488" s="311">
        <f t="shared" si="77"/>
        <v>2607.1761100000008</v>
      </c>
      <c r="P488" s="311">
        <f t="shared" si="71"/>
        <v>845.25119999999993</v>
      </c>
      <c r="Q488" s="311">
        <f t="shared" si="72"/>
        <v>-239.17679999999996</v>
      </c>
      <c r="R488" s="278"/>
      <c r="S488" s="278"/>
      <c r="T488" s="278"/>
    </row>
    <row r="489" spans="1:28" s="305" customFormat="1" hidden="1" outlineLevel="1" x14ac:dyDescent="0.25">
      <c r="A489" s="278"/>
      <c r="B489" s="279" t="str">
        <f t="shared" si="73"/>
        <v>27003000AL/DHD</v>
      </c>
      <c r="C489" s="278">
        <v>2700</v>
      </c>
      <c r="D489" s="278">
        <v>3000</v>
      </c>
      <c r="E489" s="278" t="s">
        <v>959</v>
      </c>
      <c r="F489" s="278"/>
      <c r="G489" s="278" t="s">
        <v>5</v>
      </c>
      <c r="H489" s="308">
        <f t="shared" si="76"/>
        <v>6.4</v>
      </c>
      <c r="I489" s="280">
        <f t="shared" si="78"/>
        <v>515.96800000000007</v>
      </c>
      <c r="J489" s="281">
        <f t="shared" si="75"/>
        <v>585.15200000000004</v>
      </c>
      <c r="K489" s="282">
        <f>IF(Notes!$B$9="Domestic",I489, IF(Notes!$B$9="Commercial",J489))*$K$480</f>
        <v>585.15200000000004</v>
      </c>
      <c r="L489" s="283">
        <f>(SUM(O489:Q489)+(K489+SUM(M489:Q489))*(INDEX($U$480:$AB$480,MATCH(Notes!$C$16,$U$3:$AB$3,0))-100%))*$L$480</f>
        <v>3625.4867210000016</v>
      </c>
      <c r="M489" s="286"/>
      <c r="N489" s="286"/>
      <c r="O489" s="311">
        <f>O486*1.1</f>
        <v>2867.8937210000013</v>
      </c>
      <c r="P489" s="311">
        <f t="shared" si="71"/>
        <v>1056.5640000000001</v>
      </c>
      <c r="Q489" s="311">
        <f t="shared" si="72"/>
        <v>-298.97099999999995</v>
      </c>
      <c r="R489" s="278"/>
      <c r="S489" s="278"/>
      <c r="T489" s="278"/>
    </row>
    <row r="490" spans="1:28" ht="21" hidden="1" outlineLevel="1" x14ac:dyDescent="0.25">
      <c r="A490" s="299" t="s">
        <v>960</v>
      </c>
      <c r="B490" s="299"/>
      <c r="C490" s="299"/>
      <c r="D490" s="299"/>
      <c r="E490" s="299"/>
      <c r="F490" s="299"/>
      <c r="G490" s="299"/>
      <c r="H490" s="299"/>
      <c r="I490" s="299"/>
      <c r="J490" s="299"/>
      <c r="K490" s="299"/>
      <c r="L490" s="299"/>
      <c r="M490" s="299"/>
      <c r="N490" s="299"/>
      <c r="O490" s="299"/>
      <c r="P490" s="299"/>
      <c r="Q490" s="299"/>
      <c r="R490" s="299"/>
      <c r="S490" s="299"/>
      <c r="T490" s="299"/>
      <c r="U490" s="299"/>
      <c r="V490" s="299"/>
      <c r="W490" s="299"/>
      <c r="X490" s="299"/>
      <c r="Y490" s="299"/>
      <c r="Z490" s="299"/>
      <c r="AA490" s="299"/>
      <c r="AB490" s="299"/>
    </row>
    <row r="491" spans="1:28" ht="15.75" hidden="1" outlineLevel="1" x14ac:dyDescent="0.25">
      <c r="A491" s="291"/>
      <c r="B491" s="291"/>
      <c r="C491" s="291"/>
      <c r="D491" s="291"/>
      <c r="E491" s="291"/>
      <c r="F491" s="291"/>
      <c r="G491" s="291"/>
      <c r="H491" s="291"/>
      <c r="I491" s="291"/>
      <c r="J491" s="291"/>
      <c r="K491" s="291">
        <f>K$2</f>
        <v>1</v>
      </c>
      <c r="L491" s="291">
        <f>L$2</f>
        <v>1</v>
      </c>
      <c r="M491" s="291"/>
      <c r="N491" s="291"/>
      <c r="O491" s="303"/>
      <c r="P491" s="303"/>
      <c r="Q491" s="303"/>
      <c r="R491" s="291"/>
      <c r="S491" s="291"/>
      <c r="T491" s="291"/>
      <c r="U491" s="291">
        <f>U$2</f>
        <v>0.89965397923875434</v>
      </c>
      <c r="V491" s="291">
        <f>V$2</f>
        <v>1</v>
      </c>
      <c r="W491" s="291">
        <f t="shared" ref="W491:AB491" si="79">W$2</f>
        <v>0.92214532871972321</v>
      </c>
      <c r="X491" s="291">
        <f t="shared" si="79"/>
        <v>0.89965397923875434</v>
      </c>
      <c r="Y491" s="291">
        <f t="shared" si="79"/>
        <v>1.0069204152249136</v>
      </c>
      <c r="Z491" s="291">
        <f t="shared" si="79"/>
        <v>0.856401384083045</v>
      </c>
      <c r="AA491" s="291">
        <f t="shared" si="79"/>
        <v>0.856401384083045</v>
      </c>
      <c r="AB491" s="291">
        <f t="shared" si="79"/>
        <v>1.0121107266435987</v>
      </c>
    </row>
    <row r="492" spans="1:28" s="305" customFormat="1" hidden="1" outlineLevel="1" x14ac:dyDescent="0.25">
      <c r="A492" s="278"/>
      <c r="B492" s="279" t="str">
        <f>C492&amp;D492&amp;E492&amp;F492</f>
        <v>21001500AL/BFD</v>
      </c>
      <c r="C492" s="278">
        <v>2100</v>
      </c>
      <c r="D492" s="278">
        <v>1500</v>
      </c>
      <c r="E492" s="278" t="s">
        <v>961</v>
      </c>
      <c r="F492" s="278"/>
      <c r="G492" s="278" t="s">
        <v>5</v>
      </c>
      <c r="H492" s="290">
        <v>2.5</v>
      </c>
      <c r="I492" s="280">
        <f>$I$2*H492</f>
        <v>201.55</v>
      </c>
      <c r="J492" s="281">
        <f>$J$2*H492</f>
        <v>228.57500000000002</v>
      </c>
      <c r="K492" s="282">
        <f>IF(Notes!$B$9="Domestic",I492, IF(Notes!$B$9="Commercial",J492))*$K$491</f>
        <v>228.57500000000002</v>
      </c>
      <c r="L492" s="283">
        <f>(SUM(O492:Q492)+(K492+SUM(M492:Q492))*(INDEX($U$491:$AB$491,MATCH(Notes!$C$16,$U$3:$AB$3,0))-100%))*$L$491</f>
        <v>2195.9694999999997</v>
      </c>
      <c r="M492" s="286"/>
      <c r="N492" s="286"/>
      <c r="O492" s="285">
        <v>1901.35</v>
      </c>
      <c r="P492" s="311">
        <f t="shared" ref="P492:P509" si="80">$P$2*C492/1000*D492/1000</f>
        <v>410.88599999999997</v>
      </c>
      <c r="Q492" s="311">
        <f t="shared" ref="Q492:Q509" si="81">-$AG$13*C492/1000*D492/1000</f>
        <v>-116.26649999999999</v>
      </c>
      <c r="R492" s="278">
        <v>2100</v>
      </c>
      <c r="S492" s="278">
        <v>1500</v>
      </c>
      <c r="T492" s="278" t="s">
        <v>961</v>
      </c>
    </row>
    <row r="493" spans="1:28" s="305" customFormat="1" hidden="1" outlineLevel="1" x14ac:dyDescent="0.25">
      <c r="A493" s="278"/>
      <c r="B493" s="279" t="str">
        <f t="shared" ref="B493:B509" si="82">C493&amp;D493&amp;E493&amp;F493</f>
        <v>21002200AL/BFD</v>
      </c>
      <c r="C493" s="278">
        <v>2100</v>
      </c>
      <c r="D493" s="278">
        <v>2200</v>
      </c>
      <c r="E493" s="278" t="s">
        <v>961</v>
      </c>
      <c r="F493" s="278"/>
      <c r="G493" s="278" t="s">
        <v>5</v>
      </c>
      <c r="H493" s="290">
        <v>3</v>
      </c>
      <c r="I493" s="280">
        <f t="shared" ref="I493:I495" si="83">$I$2*H493</f>
        <v>241.86</v>
      </c>
      <c r="J493" s="281">
        <f t="shared" ref="J493:J509" si="84">$J$2*H493</f>
        <v>274.29000000000002</v>
      </c>
      <c r="K493" s="282">
        <f>IF(Notes!$B$9="Domestic",I493, IF(Notes!$B$9="Commercial",J493))*$K$491</f>
        <v>274.29000000000002</v>
      </c>
      <c r="L493" s="283">
        <f>(SUM(O493:Q493)+(K493+SUM(M493:Q493))*(INDEX($U$491:$AB$491,MATCH(Notes!$C$16,$U$3:$AB$3,0))-100%))*$L$491</f>
        <v>3261.0286000000001</v>
      </c>
      <c r="M493" s="286"/>
      <c r="N493" s="286"/>
      <c r="O493" s="285">
        <v>2828.92</v>
      </c>
      <c r="P493" s="311">
        <f t="shared" si="80"/>
        <v>602.63279999999997</v>
      </c>
      <c r="Q493" s="311">
        <f t="shared" si="81"/>
        <v>-170.52419999999998</v>
      </c>
      <c r="R493" s="278">
        <v>2400</v>
      </c>
      <c r="S493" s="278">
        <v>2200</v>
      </c>
      <c r="T493" s="278"/>
    </row>
    <row r="494" spans="1:28" s="305" customFormat="1" hidden="1" outlineLevel="1" x14ac:dyDescent="0.25">
      <c r="A494" s="278"/>
      <c r="B494" s="279" t="str">
        <f t="shared" si="82"/>
        <v>21002900AL/BFD</v>
      </c>
      <c r="C494" s="278">
        <v>2100</v>
      </c>
      <c r="D494" s="278">
        <v>2900</v>
      </c>
      <c r="E494" s="278" t="s">
        <v>961</v>
      </c>
      <c r="F494" s="278"/>
      <c r="G494" s="278" t="s">
        <v>5</v>
      </c>
      <c r="H494" s="290">
        <v>3.5</v>
      </c>
      <c r="I494" s="280">
        <f t="shared" si="83"/>
        <v>282.17</v>
      </c>
      <c r="J494" s="281">
        <f t="shared" si="84"/>
        <v>320.005</v>
      </c>
      <c r="K494" s="282">
        <f>IF(Notes!$B$9="Domestic",I494, IF(Notes!$B$9="Commercial",J494))*$K$491</f>
        <v>320.005</v>
      </c>
      <c r="L494" s="283">
        <f>(SUM(O494:Q494)+(K494+SUM(M494:Q494))*(INDEX($U$491:$AB$491,MATCH(Notes!$C$16,$U$3:$AB$3,0))-100%))*$L$491</f>
        <v>4033.5276999999996</v>
      </c>
      <c r="M494" s="286"/>
      <c r="N494" s="286"/>
      <c r="O494" s="285">
        <v>3463.93</v>
      </c>
      <c r="P494" s="311">
        <f t="shared" si="80"/>
        <v>794.37959999999998</v>
      </c>
      <c r="Q494" s="311">
        <f t="shared" si="81"/>
        <v>-224.78190000000001</v>
      </c>
      <c r="R494" s="278">
        <v>2700</v>
      </c>
      <c r="S494" s="278">
        <v>2900</v>
      </c>
      <c r="T494" s="278"/>
    </row>
    <row r="495" spans="1:28" s="305" customFormat="1" hidden="1" outlineLevel="1" x14ac:dyDescent="0.25">
      <c r="A495" s="278"/>
      <c r="B495" s="279" t="str">
        <f t="shared" si="82"/>
        <v>21003600AL/BFD</v>
      </c>
      <c r="C495" s="278">
        <v>2100</v>
      </c>
      <c r="D495" s="278">
        <v>3600</v>
      </c>
      <c r="E495" s="278" t="s">
        <v>961</v>
      </c>
      <c r="F495" s="278"/>
      <c r="G495" s="278" t="s">
        <v>5</v>
      </c>
      <c r="H495" s="290">
        <v>4</v>
      </c>
      <c r="I495" s="280">
        <f t="shared" si="83"/>
        <v>322.48</v>
      </c>
      <c r="J495" s="281">
        <f t="shared" si="84"/>
        <v>365.72</v>
      </c>
      <c r="K495" s="282">
        <f>IF(Notes!$B$9="Domestic",I495, IF(Notes!$B$9="Commercial",J495))*$K$491</f>
        <v>365.72</v>
      </c>
      <c r="L495" s="283">
        <f>(SUM(O495:Q495)+(K495+SUM(M495:Q495))*(INDEX($U$491:$AB$491,MATCH(Notes!$C$16,$U$3:$AB$3,0))-100%))*$L$491</f>
        <v>4931.5367999999999</v>
      </c>
      <c r="M495" s="286"/>
      <c r="N495" s="286"/>
      <c r="O495" s="285">
        <v>4224.45</v>
      </c>
      <c r="P495" s="311">
        <f t="shared" si="80"/>
        <v>986.12639999999988</v>
      </c>
      <c r="Q495" s="311">
        <f t="shared" si="81"/>
        <v>-279.03959999999995</v>
      </c>
      <c r="R495" s="278"/>
      <c r="S495" s="278">
        <v>3600</v>
      </c>
      <c r="T495" s="278"/>
    </row>
    <row r="496" spans="1:28" s="305" customFormat="1" hidden="1" outlineLevel="1" x14ac:dyDescent="0.25">
      <c r="A496" s="278"/>
      <c r="B496" s="279" t="str">
        <f t="shared" si="82"/>
        <v>21004400AL/BFD</v>
      </c>
      <c r="C496" s="278">
        <v>2100</v>
      </c>
      <c r="D496" s="278">
        <v>4400</v>
      </c>
      <c r="E496" s="278" t="s">
        <v>961</v>
      </c>
      <c r="F496" s="278"/>
      <c r="G496" s="278" t="s">
        <v>5</v>
      </c>
      <c r="H496" s="290">
        <v>4.5</v>
      </c>
      <c r="I496" s="280">
        <f>$I$2*H496</f>
        <v>362.79</v>
      </c>
      <c r="J496" s="281">
        <f t="shared" si="84"/>
        <v>411.43500000000006</v>
      </c>
      <c r="K496" s="282">
        <f>IF(Notes!$B$9="Domestic",I496, IF(Notes!$B$9="Commercial",J496))*$K$491</f>
        <v>411.43500000000006</v>
      </c>
      <c r="L496" s="283">
        <f>(SUM(O496:Q496)+(K496+SUM(M496:Q496))*(INDEX($U$491:$AB$491,MATCH(Notes!$C$16,$U$3:$AB$3,0))-100%))*$L$491</f>
        <v>5784.9471999999996</v>
      </c>
      <c r="M496" s="286"/>
      <c r="N496" s="286"/>
      <c r="O496" s="285">
        <v>4920.7299999999996</v>
      </c>
      <c r="P496" s="311">
        <f t="shared" si="80"/>
        <v>1205.2655999999999</v>
      </c>
      <c r="Q496" s="311">
        <f t="shared" si="81"/>
        <v>-341.04839999999996</v>
      </c>
      <c r="R496" s="278"/>
      <c r="S496" s="278">
        <v>4400</v>
      </c>
      <c r="T496" s="278"/>
    </row>
    <row r="497" spans="1:28" s="305" customFormat="1" hidden="1" outlineLevel="1" x14ac:dyDescent="0.25">
      <c r="A497" s="278"/>
      <c r="B497" s="279" t="str">
        <f t="shared" si="82"/>
        <v>21005100AL/BFD</v>
      </c>
      <c r="C497" s="278">
        <v>2100</v>
      </c>
      <c r="D497" s="278">
        <v>5100</v>
      </c>
      <c r="E497" s="278" t="s">
        <v>961</v>
      </c>
      <c r="F497" s="278"/>
      <c r="G497" s="278" t="s">
        <v>5</v>
      </c>
      <c r="H497" s="290">
        <v>5</v>
      </c>
      <c r="I497" s="280">
        <f t="shared" ref="I497:I509" si="85">$I$2*H497</f>
        <v>403.1</v>
      </c>
      <c r="J497" s="281">
        <f t="shared" si="84"/>
        <v>457.15000000000003</v>
      </c>
      <c r="K497" s="282">
        <f>IF(Notes!$B$9="Domestic",I497, IF(Notes!$B$9="Commercial",J497))*$K$491</f>
        <v>457.15000000000003</v>
      </c>
      <c r="L497" s="283">
        <f>(SUM(O497:Q497)+(K497+SUM(M497:Q497))*(INDEX($U$491:$AB$491,MATCH(Notes!$C$16,$U$3:$AB$3,0))-100%))*$L$491</f>
        <v>6830.3762999999999</v>
      </c>
      <c r="M497" s="286"/>
      <c r="N497" s="286"/>
      <c r="O497" s="285">
        <v>5828.67</v>
      </c>
      <c r="P497" s="311">
        <f t="shared" si="80"/>
        <v>1397.0123999999998</v>
      </c>
      <c r="Q497" s="311">
        <f t="shared" si="81"/>
        <v>-395.30609999999996</v>
      </c>
      <c r="R497" s="278"/>
      <c r="S497" s="278">
        <v>5100</v>
      </c>
      <c r="T497" s="278"/>
    </row>
    <row r="498" spans="1:28" s="305" customFormat="1" hidden="1" outlineLevel="1" x14ac:dyDescent="0.25">
      <c r="A498" s="278"/>
      <c r="B498" s="279" t="str">
        <f t="shared" si="82"/>
        <v>24001500AL/BFD</v>
      </c>
      <c r="C498" s="278">
        <v>2400</v>
      </c>
      <c r="D498" s="278">
        <v>1500</v>
      </c>
      <c r="E498" s="278" t="s">
        <v>961</v>
      </c>
      <c r="F498" s="278"/>
      <c r="G498" s="278" t="s">
        <v>5</v>
      </c>
      <c r="H498" s="308">
        <f>H492+0.7</f>
        <v>3.2</v>
      </c>
      <c r="I498" s="280">
        <f t="shared" si="85"/>
        <v>257.98400000000004</v>
      </c>
      <c r="J498" s="281">
        <f t="shared" si="84"/>
        <v>292.57600000000002</v>
      </c>
      <c r="K498" s="282">
        <f>IF(Notes!$B$9="Domestic",I498, IF(Notes!$B$9="Commercial",J498))*$K$491</f>
        <v>292.57600000000002</v>
      </c>
      <c r="L498" s="283">
        <f>(SUM(O498:Q498)+(K498+SUM(M498:Q498))*(INDEX($U$491:$AB$491,MATCH(Notes!$C$16,$U$3:$AB$3,0))-100%))*$L$491</f>
        <v>2492.0680000000002</v>
      </c>
      <c r="M498" s="286"/>
      <c r="N498" s="286"/>
      <c r="O498" s="285">
        <v>2155.36</v>
      </c>
      <c r="P498" s="311">
        <f t="shared" si="80"/>
        <v>469.584</v>
      </c>
      <c r="Q498" s="311">
        <f t="shared" si="81"/>
        <v>-132.87599999999998</v>
      </c>
      <c r="R498" s="278"/>
      <c r="S498" s="278"/>
      <c r="T498" s="278"/>
    </row>
    <row r="499" spans="1:28" s="305" customFormat="1" hidden="1" outlineLevel="1" x14ac:dyDescent="0.25">
      <c r="A499" s="278"/>
      <c r="B499" s="279" t="str">
        <f t="shared" si="82"/>
        <v>24002200AL/BFD</v>
      </c>
      <c r="C499" s="278">
        <v>2400</v>
      </c>
      <c r="D499" s="278">
        <v>2200</v>
      </c>
      <c r="E499" s="278" t="s">
        <v>961</v>
      </c>
      <c r="F499" s="278"/>
      <c r="G499" s="278" t="s">
        <v>5</v>
      </c>
      <c r="H499" s="308">
        <f t="shared" ref="H499:H503" si="86">H493+0.7</f>
        <v>3.7</v>
      </c>
      <c r="I499" s="280">
        <f t="shared" si="85"/>
        <v>298.29400000000004</v>
      </c>
      <c r="J499" s="281">
        <f t="shared" si="84"/>
        <v>338.29100000000005</v>
      </c>
      <c r="K499" s="282">
        <f>IF(Notes!$B$9="Domestic",I499, IF(Notes!$B$9="Commercial",J499))*$K$491</f>
        <v>338.29100000000005</v>
      </c>
      <c r="L499" s="283">
        <f>(SUM(O499:Q499)+(K499+SUM(M499:Q499))*(INDEX($U$491:$AB$491,MATCH(Notes!$C$16,$U$3:$AB$3,0))-100%))*$L$491</f>
        <v>3697.7184000000002</v>
      </c>
      <c r="M499" s="286"/>
      <c r="N499" s="286"/>
      <c r="O499" s="285">
        <v>3203.88</v>
      </c>
      <c r="P499" s="311">
        <f t="shared" si="80"/>
        <v>688.72319999999991</v>
      </c>
      <c r="Q499" s="311">
        <f t="shared" si="81"/>
        <v>-194.88479999999998</v>
      </c>
      <c r="R499" s="278"/>
      <c r="S499" s="278"/>
      <c r="T499" s="278"/>
    </row>
    <row r="500" spans="1:28" s="305" customFormat="1" hidden="1" outlineLevel="1" x14ac:dyDescent="0.25">
      <c r="A500" s="278"/>
      <c r="B500" s="279" t="str">
        <f t="shared" si="82"/>
        <v>24002900AL/BFD</v>
      </c>
      <c r="C500" s="278">
        <v>2400</v>
      </c>
      <c r="D500" s="278">
        <v>2900</v>
      </c>
      <c r="E500" s="278" t="s">
        <v>961</v>
      </c>
      <c r="F500" s="278"/>
      <c r="G500" s="278" t="s">
        <v>5</v>
      </c>
      <c r="H500" s="308">
        <f t="shared" si="86"/>
        <v>4.2</v>
      </c>
      <c r="I500" s="280">
        <f t="shared" si="85"/>
        <v>338.60400000000004</v>
      </c>
      <c r="J500" s="281">
        <f t="shared" si="84"/>
        <v>384.00600000000003</v>
      </c>
      <c r="K500" s="282">
        <f>IF(Notes!$B$9="Domestic",I500, IF(Notes!$B$9="Commercial",J500))*$K$491</f>
        <v>384.00600000000003</v>
      </c>
      <c r="L500" s="283">
        <f>(SUM(O500:Q500)+(K500+SUM(M500:Q500))*(INDEX($U$491:$AB$491,MATCH(Notes!$C$16,$U$3:$AB$3,0))-100%))*$L$491</f>
        <v>4580.5787999999993</v>
      </c>
      <c r="M500" s="286"/>
      <c r="N500" s="286"/>
      <c r="O500" s="285">
        <v>3929.61</v>
      </c>
      <c r="P500" s="311">
        <f t="shared" si="80"/>
        <v>907.86239999999987</v>
      </c>
      <c r="Q500" s="311">
        <f t="shared" si="81"/>
        <v>-256.89359999999999</v>
      </c>
      <c r="R500" s="278"/>
      <c r="S500" s="278"/>
      <c r="T500" s="278"/>
    </row>
    <row r="501" spans="1:28" s="305" customFormat="1" hidden="1" outlineLevel="1" x14ac:dyDescent="0.25">
      <c r="A501" s="278"/>
      <c r="B501" s="279" t="str">
        <f t="shared" si="82"/>
        <v>24003600AL/BFD</v>
      </c>
      <c r="C501" s="278">
        <v>2400</v>
      </c>
      <c r="D501" s="278">
        <v>3600</v>
      </c>
      <c r="E501" s="278" t="s">
        <v>961</v>
      </c>
      <c r="F501" s="278"/>
      <c r="G501" s="278" t="s">
        <v>5</v>
      </c>
      <c r="H501" s="308">
        <f t="shared" si="86"/>
        <v>4.7</v>
      </c>
      <c r="I501" s="280">
        <f t="shared" si="85"/>
        <v>378.91400000000004</v>
      </c>
      <c r="J501" s="281">
        <f t="shared" si="84"/>
        <v>429.72100000000006</v>
      </c>
      <c r="K501" s="282">
        <f>IF(Notes!$B$9="Domestic",I501, IF(Notes!$B$9="Commercial",J501))*$K$491</f>
        <v>429.72100000000006</v>
      </c>
      <c r="L501" s="283">
        <f>(SUM(O501:Q501)+(K501+SUM(M501:Q501))*(INDEX($U$491:$AB$491,MATCH(Notes!$C$16,$U$3:$AB$3,0))-100%))*$L$491</f>
        <v>5601.0391999999993</v>
      </c>
      <c r="M501" s="286"/>
      <c r="N501" s="286"/>
      <c r="O501" s="285">
        <v>4792.9399999999996</v>
      </c>
      <c r="P501" s="311">
        <f t="shared" si="80"/>
        <v>1127.0015999999998</v>
      </c>
      <c r="Q501" s="311">
        <f t="shared" si="81"/>
        <v>-318.90239999999994</v>
      </c>
      <c r="R501" s="278"/>
      <c r="S501" s="278"/>
      <c r="T501" s="278"/>
    </row>
    <row r="502" spans="1:28" s="305" customFormat="1" hidden="1" outlineLevel="1" x14ac:dyDescent="0.25">
      <c r="A502" s="278"/>
      <c r="B502" s="279" t="str">
        <f t="shared" si="82"/>
        <v>24004400AL/BFD</v>
      </c>
      <c r="C502" s="278">
        <v>2400</v>
      </c>
      <c r="D502" s="278">
        <v>4400</v>
      </c>
      <c r="E502" s="278" t="s">
        <v>961</v>
      </c>
      <c r="F502" s="278"/>
      <c r="G502" s="278" t="s">
        <v>5</v>
      </c>
      <c r="H502" s="308">
        <f t="shared" si="86"/>
        <v>5.2</v>
      </c>
      <c r="I502" s="280">
        <f t="shared" si="85"/>
        <v>419.22400000000005</v>
      </c>
      <c r="J502" s="281">
        <f t="shared" si="84"/>
        <v>475.43600000000004</v>
      </c>
      <c r="K502" s="282">
        <f>IF(Notes!$B$9="Domestic",I502, IF(Notes!$B$9="Commercial",J502))*$K$491</f>
        <v>475.43600000000004</v>
      </c>
      <c r="L502" s="283">
        <f>(SUM(O502:Q502)+(K502+SUM(M502:Q502))*(INDEX($U$491:$AB$491,MATCH(Notes!$C$16,$U$3:$AB$3,0))-100%))*$L$491</f>
        <v>5467.5968000000003</v>
      </c>
      <c r="M502" s="286"/>
      <c r="N502" s="286"/>
      <c r="O502" s="285">
        <v>4479.92</v>
      </c>
      <c r="P502" s="311">
        <f t="shared" si="80"/>
        <v>1377.4463999999998</v>
      </c>
      <c r="Q502" s="311">
        <f t="shared" si="81"/>
        <v>-389.76959999999997</v>
      </c>
      <c r="R502" s="278"/>
      <c r="S502" s="278"/>
      <c r="T502" s="278"/>
    </row>
    <row r="503" spans="1:28" s="305" customFormat="1" hidden="1" outlineLevel="1" x14ac:dyDescent="0.25">
      <c r="A503" s="278"/>
      <c r="B503" s="279" t="str">
        <f t="shared" si="82"/>
        <v>24005100AL/BFD</v>
      </c>
      <c r="C503" s="278">
        <v>2400</v>
      </c>
      <c r="D503" s="278">
        <v>5100</v>
      </c>
      <c r="E503" s="278" t="s">
        <v>961</v>
      </c>
      <c r="F503" s="278"/>
      <c r="G503" s="278" t="s">
        <v>5</v>
      </c>
      <c r="H503" s="308">
        <f t="shared" si="86"/>
        <v>5.7</v>
      </c>
      <c r="I503" s="280">
        <f t="shared" si="85"/>
        <v>459.53400000000005</v>
      </c>
      <c r="J503" s="281">
        <f t="shared" si="84"/>
        <v>521.15100000000007</v>
      </c>
      <c r="K503" s="282">
        <f>IF(Notes!$B$9="Domestic",I503, IF(Notes!$B$9="Commercial",J503))*$K$491</f>
        <v>521.15100000000007</v>
      </c>
      <c r="L503" s="283">
        <f>(SUM(O503:Q503)+(K503+SUM(M503:Q503))*(INDEX($U$491:$AB$491,MATCH(Notes!$C$16,$U$3:$AB$3,0))-100%))*$L$491</f>
        <v>7753.6271999999999</v>
      </c>
      <c r="M503" s="286"/>
      <c r="N503" s="286"/>
      <c r="O503" s="285">
        <v>6608.82</v>
      </c>
      <c r="P503" s="311">
        <f t="shared" si="80"/>
        <v>1596.5855999999999</v>
      </c>
      <c r="Q503" s="311">
        <f t="shared" si="81"/>
        <v>-451.77839999999998</v>
      </c>
      <c r="R503" s="278"/>
      <c r="S503" s="278"/>
      <c r="T503" s="278"/>
    </row>
    <row r="504" spans="1:28" s="305" customFormat="1" hidden="1" outlineLevel="1" x14ac:dyDescent="0.25">
      <c r="A504" s="278"/>
      <c r="B504" s="279" t="str">
        <f t="shared" si="82"/>
        <v>27001500AL/BFD</v>
      </c>
      <c r="C504" s="278">
        <v>2700</v>
      </c>
      <c r="D504" s="278">
        <v>1500</v>
      </c>
      <c r="E504" s="278" t="s">
        <v>961</v>
      </c>
      <c r="F504" s="278"/>
      <c r="G504" s="278" t="s">
        <v>5</v>
      </c>
      <c r="H504" s="308">
        <f>H498+0.8</f>
        <v>4</v>
      </c>
      <c r="I504" s="280">
        <f t="shared" si="85"/>
        <v>322.48</v>
      </c>
      <c r="J504" s="281">
        <f t="shared" si="84"/>
        <v>365.72</v>
      </c>
      <c r="K504" s="282">
        <f>IF(Notes!$B$9="Domestic",I504, IF(Notes!$B$9="Commercial",J504))*$K$491</f>
        <v>365.72</v>
      </c>
      <c r="L504" s="283">
        <f>(SUM(O504:Q504)+(K504+SUM(M504:Q504))*(INDEX($U$491:$AB$491,MATCH(Notes!$C$16,$U$3:$AB$3,0))-100%))*$L$491</f>
        <v>2788.1665000000007</v>
      </c>
      <c r="M504" s="286"/>
      <c r="N504" s="286"/>
      <c r="O504" s="311">
        <f>O498+O498-O492</f>
        <v>2409.3700000000003</v>
      </c>
      <c r="P504" s="311">
        <f t="shared" si="80"/>
        <v>528.28200000000004</v>
      </c>
      <c r="Q504" s="311">
        <f t="shared" si="81"/>
        <v>-149.48549999999997</v>
      </c>
      <c r="R504" s="278"/>
      <c r="S504" s="278"/>
      <c r="T504" s="278"/>
    </row>
    <row r="505" spans="1:28" s="305" customFormat="1" hidden="1" outlineLevel="1" x14ac:dyDescent="0.25">
      <c r="A505" s="278"/>
      <c r="B505" s="279" t="str">
        <f t="shared" si="82"/>
        <v>27002200AL/BFD</v>
      </c>
      <c r="C505" s="278">
        <v>2700</v>
      </c>
      <c r="D505" s="278">
        <v>2200</v>
      </c>
      <c r="E505" s="278" t="s">
        <v>961</v>
      </c>
      <c r="F505" s="278"/>
      <c r="G505" s="278" t="s">
        <v>5</v>
      </c>
      <c r="H505" s="308">
        <f t="shared" ref="H505:H508" si="87">H499+0.8</f>
        <v>4.5</v>
      </c>
      <c r="I505" s="280">
        <f t="shared" si="85"/>
        <v>362.79</v>
      </c>
      <c r="J505" s="281">
        <f t="shared" si="84"/>
        <v>411.43500000000006</v>
      </c>
      <c r="K505" s="282">
        <f>IF(Notes!$B$9="Domestic",I505, IF(Notes!$B$9="Commercial",J505))*$K$491</f>
        <v>411.43500000000006</v>
      </c>
      <c r="L505" s="283">
        <f>(SUM(O505:Q505)+(K505+SUM(M505:Q505))*(INDEX($U$491:$AB$491,MATCH(Notes!$C$16,$U$3:$AB$3,0))-100%))*$L$491</f>
        <v>4134.4081999999999</v>
      </c>
      <c r="M505" s="286"/>
      <c r="N505" s="286"/>
      <c r="O505" s="311">
        <f t="shared" ref="O505:O509" si="88">O499+O499-O493</f>
        <v>3578.84</v>
      </c>
      <c r="P505" s="311">
        <f t="shared" si="80"/>
        <v>774.81359999999995</v>
      </c>
      <c r="Q505" s="311">
        <f t="shared" si="81"/>
        <v>-219.24539999999996</v>
      </c>
      <c r="R505" s="278"/>
      <c r="S505" s="278"/>
      <c r="T505" s="278"/>
    </row>
    <row r="506" spans="1:28" s="305" customFormat="1" hidden="1" outlineLevel="1" x14ac:dyDescent="0.25">
      <c r="A506" s="278"/>
      <c r="B506" s="279" t="str">
        <f t="shared" si="82"/>
        <v>27002900AL/BFD</v>
      </c>
      <c r="C506" s="278">
        <v>2700</v>
      </c>
      <c r="D506" s="278">
        <v>2900</v>
      </c>
      <c r="E506" s="278" t="s">
        <v>961</v>
      </c>
      <c r="F506" s="278"/>
      <c r="G506" s="278" t="s">
        <v>5</v>
      </c>
      <c r="H506" s="308">
        <f t="shared" si="87"/>
        <v>5</v>
      </c>
      <c r="I506" s="280">
        <f t="shared" si="85"/>
        <v>403.1</v>
      </c>
      <c r="J506" s="281">
        <f t="shared" si="84"/>
        <v>457.15000000000003</v>
      </c>
      <c r="K506" s="282">
        <f>IF(Notes!$B$9="Domestic",I506, IF(Notes!$B$9="Commercial",J506))*$K$491</f>
        <v>457.15000000000003</v>
      </c>
      <c r="L506" s="283">
        <f>(SUM(O506:Q506)+(K506+SUM(M506:Q506))*(INDEX($U$491:$AB$491,MATCH(Notes!$C$16,$U$3:$AB$3,0))-100%))*$L$491</f>
        <v>5127.6299000000008</v>
      </c>
      <c r="M506" s="286"/>
      <c r="N506" s="286"/>
      <c r="O506" s="311">
        <f t="shared" si="88"/>
        <v>4395.2900000000009</v>
      </c>
      <c r="P506" s="311">
        <f t="shared" si="80"/>
        <v>1021.3452</v>
      </c>
      <c r="Q506" s="311">
        <f t="shared" si="81"/>
        <v>-289.00529999999992</v>
      </c>
      <c r="R506" s="278"/>
      <c r="S506" s="278"/>
      <c r="T506" s="278"/>
    </row>
    <row r="507" spans="1:28" s="305" customFormat="1" hidden="1" outlineLevel="1" x14ac:dyDescent="0.25">
      <c r="A507" s="278"/>
      <c r="B507" s="279" t="str">
        <f t="shared" si="82"/>
        <v>27003600AL/BFD</v>
      </c>
      <c r="C507" s="278">
        <v>2700</v>
      </c>
      <c r="D507" s="278">
        <v>3600</v>
      </c>
      <c r="E507" s="278" t="s">
        <v>961</v>
      </c>
      <c r="F507" s="278"/>
      <c r="G507" s="278" t="s">
        <v>5</v>
      </c>
      <c r="H507" s="308">
        <f t="shared" si="87"/>
        <v>5.5</v>
      </c>
      <c r="I507" s="280">
        <f t="shared" si="85"/>
        <v>443.41</v>
      </c>
      <c r="J507" s="281">
        <f t="shared" si="84"/>
        <v>502.86500000000001</v>
      </c>
      <c r="K507" s="282">
        <f>IF(Notes!$B$9="Domestic",I507, IF(Notes!$B$9="Commercial",J507))*$K$491</f>
        <v>502.86500000000001</v>
      </c>
      <c r="L507" s="283">
        <f>(SUM(O507:Q507)+(K507+SUM(M507:Q507))*(INDEX($U$491:$AB$491,MATCH(Notes!$C$16,$U$3:$AB$3,0))-100%))*$L$491</f>
        <v>6270.5415999999996</v>
      </c>
      <c r="M507" s="286"/>
      <c r="N507" s="286"/>
      <c r="O507" s="311">
        <f t="shared" si="88"/>
        <v>5361.4299999999994</v>
      </c>
      <c r="P507" s="311">
        <f t="shared" si="80"/>
        <v>1267.8768</v>
      </c>
      <c r="Q507" s="311">
        <f t="shared" si="81"/>
        <v>-358.76519999999994</v>
      </c>
      <c r="R507" s="278"/>
      <c r="S507" s="278"/>
      <c r="T507" s="278"/>
    </row>
    <row r="508" spans="1:28" s="305" customFormat="1" hidden="1" outlineLevel="1" x14ac:dyDescent="0.25">
      <c r="A508" s="278"/>
      <c r="B508" s="279" t="str">
        <f t="shared" si="82"/>
        <v>27004400AL/BFD</v>
      </c>
      <c r="C508" s="278">
        <v>2700</v>
      </c>
      <c r="D508" s="278">
        <v>4400</v>
      </c>
      <c r="E508" s="278" t="s">
        <v>961</v>
      </c>
      <c r="F508" s="278"/>
      <c r="G508" s="278" t="s">
        <v>5</v>
      </c>
      <c r="H508" s="308">
        <f t="shared" si="87"/>
        <v>6</v>
      </c>
      <c r="I508" s="280">
        <f t="shared" si="85"/>
        <v>483.72</v>
      </c>
      <c r="J508" s="281">
        <f t="shared" si="84"/>
        <v>548.58000000000004</v>
      </c>
      <c r="K508" s="282">
        <f>IF(Notes!$B$9="Domestic",I508, IF(Notes!$B$9="Commercial",J508))*$K$491</f>
        <v>548.58000000000004</v>
      </c>
      <c r="L508" s="283">
        <f>(SUM(O508:Q508)+(K508+SUM(M508:Q508))*(INDEX($U$491:$AB$491,MATCH(Notes!$C$16,$U$3:$AB$3,0))-100%))*$L$491</f>
        <v>5150.2464000000009</v>
      </c>
      <c r="M508" s="286"/>
      <c r="N508" s="286"/>
      <c r="O508" s="311">
        <f t="shared" si="88"/>
        <v>4039.1100000000006</v>
      </c>
      <c r="P508" s="311">
        <f t="shared" si="80"/>
        <v>1549.6271999999999</v>
      </c>
      <c r="Q508" s="311">
        <f t="shared" si="81"/>
        <v>-438.49079999999992</v>
      </c>
      <c r="R508" s="278"/>
      <c r="S508" s="278"/>
      <c r="T508" s="278"/>
    </row>
    <row r="509" spans="1:28" s="305" customFormat="1" hidden="1" outlineLevel="1" x14ac:dyDescent="0.25">
      <c r="A509" s="278"/>
      <c r="B509" s="279" t="str">
        <f t="shared" si="82"/>
        <v>27005100AL/BFD</v>
      </c>
      <c r="C509" s="278">
        <v>2700</v>
      </c>
      <c r="D509" s="278">
        <v>5100</v>
      </c>
      <c r="E509" s="278" t="s">
        <v>961</v>
      </c>
      <c r="F509" s="278"/>
      <c r="G509" s="278" t="s">
        <v>5</v>
      </c>
      <c r="H509" s="308">
        <f>H503+0.8</f>
        <v>6.5</v>
      </c>
      <c r="I509" s="280">
        <f t="shared" si="85"/>
        <v>524.03</v>
      </c>
      <c r="J509" s="281">
        <f t="shared" si="84"/>
        <v>594.29500000000007</v>
      </c>
      <c r="K509" s="282">
        <f>IF(Notes!$B$9="Domestic",I509, IF(Notes!$B$9="Commercial",J509))*$K$491</f>
        <v>594.29500000000007</v>
      </c>
      <c r="L509" s="283">
        <f>(SUM(O509:Q509)+(K509+SUM(M509:Q509))*(INDEX($U$491:$AB$491,MATCH(Notes!$C$16,$U$3:$AB$3,0))-100%))*$L$491</f>
        <v>8676.8780999999981</v>
      </c>
      <c r="M509" s="286"/>
      <c r="N509" s="286"/>
      <c r="O509" s="311">
        <f t="shared" si="88"/>
        <v>7388.9699999999993</v>
      </c>
      <c r="P509" s="311">
        <f t="shared" si="80"/>
        <v>1796.1588000000002</v>
      </c>
      <c r="Q509" s="311">
        <f t="shared" si="81"/>
        <v>-508.25069999999988</v>
      </c>
      <c r="R509" s="278"/>
      <c r="S509" s="278"/>
      <c r="T509" s="278"/>
    </row>
    <row r="510" spans="1:28" ht="21" hidden="1" outlineLevel="1" x14ac:dyDescent="0.25">
      <c r="A510" s="299" t="s">
        <v>497</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row>
    <row r="511" spans="1:28" ht="15.75" hidden="1" outlineLevel="1" x14ac:dyDescent="0.25">
      <c r="A511" s="291"/>
      <c r="B511" s="291"/>
      <c r="C511" s="291"/>
      <c r="D511" s="291"/>
      <c r="E511" s="291"/>
      <c r="F511" s="291"/>
      <c r="G511" s="291"/>
      <c r="H511" s="291"/>
      <c r="I511" s="291"/>
      <c r="J511" s="291"/>
      <c r="K511" s="291">
        <f>K$2</f>
        <v>1</v>
      </c>
      <c r="L511" s="291">
        <f>L$2</f>
        <v>1</v>
      </c>
      <c r="M511" s="291"/>
      <c r="N511" s="291"/>
      <c r="O511" s="303"/>
      <c r="P511" s="303"/>
      <c r="Q511" s="303"/>
      <c r="R511" s="291"/>
      <c r="S511" s="291"/>
      <c r="T511" s="291"/>
      <c r="U511" s="291">
        <f>U$2</f>
        <v>0.89965397923875434</v>
      </c>
      <c r="V511" s="291">
        <f>V$2</f>
        <v>1</v>
      </c>
      <c r="W511" s="291">
        <f t="shared" ref="W511:AB511" si="89">W$2</f>
        <v>0.92214532871972321</v>
      </c>
      <c r="X511" s="291">
        <f t="shared" si="89"/>
        <v>0.89965397923875434</v>
      </c>
      <c r="Y511" s="291">
        <f t="shared" si="89"/>
        <v>1.0069204152249136</v>
      </c>
      <c r="Z511" s="291">
        <f t="shared" si="89"/>
        <v>0.856401384083045</v>
      </c>
      <c r="AA511" s="291">
        <f t="shared" si="89"/>
        <v>0.856401384083045</v>
      </c>
      <c r="AB511" s="291">
        <f t="shared" si="89"/>
        <v>1.0121107266435987</v>
      </c>
    </row>
    <row r="512" spans="1:28" s="305" customFormat="1" hidden="1" outlineLevel="1" x14ac:dyDescent="0.25">
      <c r="A512" s="278"/>
      <c r="B512" s="279" t="str">
        <f>C512&amp;D512&amp;E512&amp;F512</f>
        <v>600600TB/SLW</v>
      </c>
      <c r="C512" s="278">
        <v>600</v>
      </c>
      <c r="D512" s="278">
        <v>600</v>
      </c>
      <c r="E512" s="278" t="s">
        <v>952</v>
      </c>
      <c r="F512" s="278"/>
      <c r="G512" s="278" t="s">
        <v>5</v>
      </c>
      <c r="H512" s="290">
        <v>1</v>
      </c>
      <c r="I512" s="280">
        <f>$I$2*H512</f>
        <v>80.62</v>
      </c>
      <c r="J512" s="281">
        <f>$J$2*H512</f>
        <v>91.43</v>
      </c>
      <c r="K512" s="282">
        <f>IF(Notes!$B$9="Domestic",I512, IF(Notes!$B$9="Commercial",J512))*$K$511</f>
        <v>91.43</v>
      </c>
      <c r="L512" s="283">
        <f>(SUM(O512:Q512)+(K512+SUM(M512:Q512))*(INDEX($U$511:$AB$511,MATCH(Notes!$C$16,$U$3:$AB$3,0))-100%))*$L$511</f>
        <v>572.6884</v>
      </c>
      <c r="M512" s="286"/>
      <c r="N512" s="286"/>
      <c r="O512" s="285">
        <v>525.73</v>
      </c>
      <c r="P512" s="311">
        <f t="shared" ref="P512:P575" si="90">$P$2*C512/1000*D512/1000</f>
        <v>46.958399999999997</v>
      </c>
      <c r="Q512" s="285"/>
      <c r="R512" s="278">
        <v>600</v>
      </c>
      <c r="S512" s="278">
        <v>600</v>
      </c>
      <c r="T512" s="278" t="s">
        <v>952</v>
      </c>
    </row>
    <row r="513" spans="1:20" s="305" customFormat="1" hidden="1" outlineLevel="1" x14ac:dyDescent="0.25">
      <c r="A513" s="278"/>
      <c r="B513" s="279" t="str">
        <f t="shared" ref="B513:B575" si="91">C513&amp;D513&amp;E513&amp;F513</f>
        <v>600900TB/SLW</v>
      </c>
      <c r="C513" s="278">
        <v>600</v>
      </c>
      <c r="D513" s="278">
        <v>900</v>
      </c>
      <c r="E513" s="278" t="s">
        <v>952</v>
      </c>
      <c r="F513" s="278"/>
      <c r="G513" s="278" t="s">
        <v>5</v>
      </c>
      <c r="H513" s="290">
        <v>1</v>
      </c>
      <c r="I513" s="280">
        <f t="shared" ref="I513:I575" si="92">$I$2*H513</f>
        <v>80.62</v>
      </c>
      <c r="J513" s="281">
        <f t="shared" ref="J513:J575" si="93">$J$2*H513</f>
        <v>91.43</v>
      </c>
      <c r="K513" s="282">
        <f>IF(Notes!$B$9="Domestic",I513, IF(Notes!$B$9="Commercial",J513))*$K$511</f>
        <v>91.43</v>
      </c>
      <c r="L513" s="283">
        <f>(SUM(O513:Q513)+(K513+SUM(M513:Q513))*(INDEX($U$511:$AB$511,MATCH(Notes!$C$16,$U$3:$AB$3,0))-100%))*$L$511</f>
        <v>672.27760000000001</v>
      </c>
      <c r="M513" s="286"/>
      <c r="N513" s="286"/>
      <c r="O513" s="285">
        <v>601.84</v>
      </c>
      <c r="P513" s="311">
        <f t="shared" si="90"/>
        <v>70.437599999999989</v>
      </c>
      <c r="Q513" s="285"/>
      <c r="R513" s="278">
        <v>900</v>
      </c>
      <c r="S513" s="278">
        <v>900</v>
      </c>
      <c r="T513" s="278"/>
    </row>
    <row r="514" spans="1:20" s="305" customFormat="1" hidden="1" outlineLevel="1" x14ac:dyDescent="0.25">
      <c r="A514" s="278"/>
      <c r="B514" s="279" t="str">
        <f t="shared" si="91"/>
        <v>6001200TB/SLW</v>
      </c>
      <c r="C514" s="278">
        <v>600</v>
      </c>
      <c r="D514" s="278">
        <v>1200</v>
      </c>
      <c r="E514" s="278" t="s">
        <v>952</v>
      </c>
      <c r="F514" s="278"/>
      <c r="G514" s="278" t="s">
        <v>5</v>
      </c>
      <c r="H514" s="290">
        <v>1</v>
      </c>
      <c r="I514" s="280">
        <f t="shared" si="92"/>
        <v>80.62</v>
      </c>
      <c r="J514" s="281">
        <f t="shared" si="93"/>
        <v>91.43</v>
      </c>
      <c r="K514" s="282">
        <f>IF(Notes!$B$9="Domestic",I514, IF(Notes!$B$9="Commercial",J514))*$K$511</f>
        <v>91.43</v>
      </c>
      <c r="L514" s="283">
        <f>(SUM(O514:Q514)+(K514+SUM(M514:Q514))*(INDEX($U$511:$AB$511,MATCH(Notes!$C$16,$U$3:$AB$3,0))-100%))*$L$511</f>
        <v>791.08679999999993</v>
      </c>
      <c r="M514" s="286"/>
      <c r="N514" s="286"/>
      <c r="O514" s="285">
        <v>697.17</v>
      </c>
      <c r="P514" s="311">
        <f t="shared" si="90"/>
        <v>93.916799999999995</v>
      </c>
      <c r="Q514" s="285"/>
      <c r="R514" s="278">
        <v>1200</v>
      </c>
      <c r="S514" s="278">
        <v>1200</v>
      </c>
      <c r="T514" s="278"/>
    </row>
    <row r="515" spans="1:20" s="305" customFormat="1" hidden="1" outlineLevel="1" x14ac:dyDescent="0.25">
      <c r="A515" s="278"/>
      <c r="B515" s="279" t="str">
        <f t="shared" si="91"/>
        <v>6001500TB/SLW</v>
      </c>
      <c r="C515" s="278">
        <v>600</v>
      </c>
      <c r="D515" s="278">
        <v>1500</v>
      </c>
      <c r="E515" s="278" t="s">
        <v>952</v>
      </c>
      <c r="F515" s="278"/>
      <c r="G515" s="278" t="s">
        <v>5</v>
      </c>
      <c r="H515" s="290">
        <v>1</v>
      </c>
      <c r="I515" s="280">
        <f t="shared" si="92"/>
        <v>80.62</v>
      </c>
      <c r="J515" s="281">
        <f t="shared" si="93"/>
        <v>91.43</v>
      </c>
      <c r="K515" s="282">
        <f>IF(Notes!$B$9="Domestic",I515, IF(Notes!$B$9="Commercial",J515))*$K$511</f>
        <v>91.43</v>
      </c>
      <c r="L515" s="283">
        <f>(SUM(O515:Q515)+(K515+SUM(M515:Q515))*(INDEX($U$511:$AB$511,MATCH(Notes!$C$16,$U$3:$AB$3,0))-100%))*$L$511</f>
        <v>891.40599999999995</v>
      </c>
      <c r="M515" s="286"/>
      <c r="N515" s="286"/>
      <c r="O515" s="285">
        <v>774.01</v>
      </c>
      <c r="P515" s="311">
        <f t="shared" si="90"/>
        <v>117.396</v>
      </c>
      <c r="Q515" s="285"/>
      <c r="R515" s="278">
        <v>1500</v>
      </c>
      <c r="S515" s="278">
        <v>1500</v>
      </c>
      <c r="T515" s="278"/>
    </row>
    <row r="516" spans="1:20" s="305" customFormat="1" hidden="1" outlineLevel="1" x14ac:dyDescent="0.25">
      <c r="A516" s="278"/>
      <c r="B516" s="279" t="str">
        <f t="shared" si="91"/>
        <v>6001800TB/SLW</v>
      </c>
      <c r="C516" s="278">
        <v>600</v>
      </c>
      <c r="D516" s="278">
        <v>1800</v>
      </c>
      <c r="E516" s="278" t="s">
        <v>952</v>
      </c>
      <c r="F516" s="278"/>
      <c r="G516" s="278" t="s">
        <v>5</v>
      </c>
      <c r="H516" s="290">
        <v>1</v>
      </c>
      <c r="I516" s="280">
        <f t="shared" si="92"/>
        <v>80.62</v>
      </c>
      <c r="J516" s="281">
        <f t="shared" si="93"/>
        <v>91.43</v>
      </c>
      <c r="K516" s="282">
        <f>IF(Notes!$B$9="Domestic",I516, IF(Notes!$B$9="Commercial",J516))*$K$511</f>
        <v>91.43</v>
      </c>
      <c r="L516" s="283">
        <f>(SUM(O516:Q516)+(K516+SUM(M516:Q516))*(INDEX($U$511:$AB$511,MATCH(Notes!$C$16,$U$3:$AB$3,0))-100%))*$L$511</f>
        <v>991.72519999999997</v>
      </c>
      <c r="M516" s="286"/>
      <c r="N516" s="286"/>
      <c r="O516" s="285">
        <v>850.85</v>
      </c>
      <c r="P516" s="311">
        <f t="shared" si="90"/>
        <v>140.87519999999998</v>
      </c>
      <c r="Q516" s="285"/>
      <c r="R516" s="278">
        <v>1800</v>
      </c>
      <c r="S516" s="278">
        <v>1800</v>
      </c>
      <c r="T516" s="278"/>
    </row>
    <row r="517" spans="1:20" s="305" customFormat="1" hidden="1" outlineLevel="1" x14ac:dyDescent="0.25">
      <c r="A517" s="278"/>
      <c r="B517" s="279" t="str">
        <f t="shared" si="91"/>
        <v>6002100TB/SLW</v>
      </c>
      <c r="C517" s="278">
        <v>600</v>
      </c>
      <c r="D517" s="278">
        <v>2100</v>
      </c>
      <c r="E517" s="278" t="s">
        <v>952</v>
      </c>
      <c r="F517" s="278"/>
      <c r="G517" s="278" t="s">
        <v>5</v>
      </c>
      <c r="H517" s="290">
        <v>2</v>
      </c>
      <c r="I517" s="280">
        <f t="shared" si="92"/>
        <v>161.24</v>
      </c>
      <c r="J517" s="281">
        <f t="shared" si="93"/>
        <v>182.86</v>
      </c>
      <c r="K517" s="282">
        <f>IF(Notes!$B$9="Domestic",I517, IF(Notes!$B$9="Commercial",J517))*$K$511</f>
        <v>182.86</v>
      </c>
      <c r="L517" s="283">
        <f>(SUM(O517:Q517)+(K517+SUM(M517:Q517))*(INDEX($U$511:$AB$511,MATCH(Notes!$C$16,$U$3:$AB$3,0))-100%))*$L$511</f>
        <v>1054.3643999999999</v>
      </c>
      <c r="M517" s="286"/>
      <c r="N517" s="286"/>
      <c r="O517" s="285">
        <v>890.01</v>
      </c>
      <c r="P517" s="311">
        <f t="shared" si="90"/>
        <v>164.3544</v>
      </c>
      <c r="Q517" s="285"/>
      <c r="R517" s="278">
        <v>2100</v>
      </c>
      <c r="S517" s="278">
        <v>2100</v>
      </c>
      <c r="T517" s="278"/>
    </row>
    <row r="518" spans="1:20" s="305" customFormat="1" hidden="1" outlineLevel="1" x14ac:dyDescent="0.25">
      <c r="A518" s="278"/>
      <c r="B518" s="279" t="str">
        <f t="shared" si="91"/>
        <v>6002400TB/SLW</v>
      </c>
      <c r="C518" s="278">
        <v>600</v>
      </c>
      <c r="D518" s="278">
        <v>2400</v>
      </c>
      <c r="E518" s="278" t="s">
        <v>952</v>
      </c>
      <c r="F518" s="278"/>
      <c r="G518" s="278" t="s">
        <v>5</v>
      </c>
      <c r="H518" s="290">
        <v>2</v>
      </c>
      <c r="I518" s="280">
        <f t="shared" si="92"/>
        <v>161.24</v>
      </c>
      <c r="J518" s="281">
        <f t="shared" si="93"/>
        <v>182.86</v>
      </c>
      <c r="K518" s="282">
        <f>IF(Notes!$B$9="Domestic",I518, IF(Notes!$B$9="Commercial",J518))*$K$511</f>
        <v>182.86</v>
      </c>
      <c r="L518" s="283">
        <f>(SUM(O518:Q518)+(K518+SUM(M518:Q518))*(INDEX($U$511:$AB$511,MATCH(Notes!$C$16,$U$3:$AB$3,0))-100%))*$L$511</f>
        <v>1406.8635999999999</v>
      </c>
      <c r="M518" s="286"/>
      <c r="N518" s="286"/>
      <c r="O518" s="285">
        <v>1219.03</v>
      </c>
      <c r="P518" s="311">
        <f t="shared" si="90"/>
        <v>187.83359999999999</v>
      </c>
      <c r="Q518" s="285"/>
      <c r="R518" s="278">
        <v>2400</v>
      </c>
      <c r="S518" s="278">
        <v>2400</v>
      </c>
      <c r="T518" s="278"/>
    </row>
    <row r="519" spans="1:20" s="305" customFormat="1" hidden="1" outlineLevel="1" x14ac:dyDescent="0.25">
      <c r="A519" s="278"/>
      <c r="B519" s="279" t="str">
        <f t="shared" si="91"/>
        <v>6002700TB/SLW</v>
      </c>
      <c r="C519" s="278">
        <v>600</v>
      </c>
      <c r="D519" s="278">
        <v>2700</v>
      </c>
      <c r="E519" s="278" t="s">
        <v>952</v>
      </c>
      <c r="F519" s="278"/>
      <c r="G519" s="278" t="s">
        <v>5</v>
      </c>
      <c r="H519" s="290">
        <v>2</v>
      </c>
      <c r="I519" s="280">
        <f t="shared" si="92"/>
        <v>161.24</v>
      </c>
      <c r="J519" s="281">
        <f t="shared" si="93"/>
        <v>182.86</v>
      </c>
      <c r="K519" s="282">
        <f>IF(Notes!$B$9="Domestic",I519, IF(Notes!$B$9="Commercial",J519))*$K$511</f>
        <v>182.86</v>
      </c>
      <c r="L519" s="283">
        <f>(SUM(O519:Q519)+(K519+SUM(M519:Q519))*(INDEX($U$511:$AB$511,MATCH(Notes!$C$16,$U$3:$AB$3,0))-100%))*$L$511</f>
        <v>1472.7828</v>
      </c>
      <c r="M519" s="286"/>
      <c r="N519" s="286"/>
      <c r="O519" s="285">
        <v>1261.47</v>
      </c>
      <c r="P519" s="311">
        <f t="shared" si="90"/>
        <v>211.31279999999998</v>
      </c>
      <c r="Q519" s="285"/>
      <c r="R519" s="278">
        <v>2700</v>
      </c>
      <c r="S519" s="278">
        <v>2700</v>
      </c>
      <c r="T519" s="278"/>
    </row>
    <row r="520" spans="1:20" s="305" customFormat="1" hidden="1" outlineLevel="1" x14ac:dyDescent="0.25">
      <c r="A520" s="278"/>
      <c r="B520" s="279" t="str">
        <f t="shared" si="91"/>
        <v>900600TB/SLW</v>
      </c>
      <c r="C520" s="278">
        <v>900</v>
      </c>
      <c r="D520" s="278">
        <v>600</v>
      </c>
      <c r="E520" s="278" t="s">
        <v>952</v>
      </c>
      <c r="F520" s="278"/>
      <c r="G520" s="278" t="s">
        <v>5</v>
      </c>
      <c r="H520" s="290">
        <v>1</v>
      </c>
      <c r="I520" s="280">
        <f t="shared" si="92"/>
        <v>80.62</v>
      </c>
      <c r="J520" s="281">
        <f t="shared" si="93"/>
        <v>91.43</v>
      </c>
      <c r="K520" s="282">
        <f>IF(Notes!$B$9="Domestic",I520, IF(Notes!$B$9="Commercial",J520))*$K$511</f>
        <v>91.43</v>
      </c>
      <c r="L520" s="283">
        <f>(SUM(O520:Q520)+(K520+SUM(M520:Q520))*(INDEX($U$511:$AB$511,MATCH(Notes!$C$16,$U$3:$AB$3,0))-100%))*$L$511</f>
        <v>728.79759999999999</v>
      </c>
      <c r="M520" s="286"/>
      <c r="N520" s="286"/>
      <c r="O520" s="285">
        <v>658.36</v>
      </c>
      <c r="P520" s="311">
        <f t="shared" si="90"/>
        <v>70.437600000000003</v>
      </c>
      <c r="Q520" s="285"/>
      <c r="R520" s="278"/>
      <c r="S520" s="278"/>
      <c r="T520" s="278"/>
    </row>
    <row r="521" spans="1:20" s="305" customFormat="1" hidden="1" outlineLevel="1" x14ac:dyDescent="0.25">
      <c r="A521" s="278"/>
      <c r="B521" s="279" t="str">
        <f t="shared" si="91"/>
        <v>900900TB/SLW</v>
      </c>
      <c r="C521" s="278">
        <v>900</v>
      </c>
      <c r="D521" s="278">
        <v>900</v>
      </c>
      <c r="E521" s="278" t="s">
        <v>952</v>
      </c>
      <c r="F521" s="278"/>
      <c r="G521" s="278" t="s">
        <v>5</v>
      </c>
      <c r="H521" s="290">
        <v>1</v>
      </c>
      <c r="I521" s="280">
        <f t="shared" si="92"/>
        <v>80.62</v>
      </c>
      <c r="J521" s="281">
        <f t="shared" si="93"/>
        <v>91.43</v>
      </c>
      <c r="K521" s="282">
        <f>IF(Notes!$B$9="Domestic",I521, IF(Notes!$B$9="Commercial",J521))*$K$511</f>
        <v>91.43</v>
      </c>
      <c r="L521" s="283">
        <f>(SUM(O521:Q521)+(K521+SUM(M521:Q521))*(INDEX($U$511:$AB$511,MATCH(Notes!$C$16,$U$3:$AB$3,0))-100%))*$L$511</f>
        <v>841.33639999999991</v>
      </c>
      <c r="M521" s="286"/>
      <c r="N521" s="286"/>
      <c r="O521" s="285">
        <v>735.68</v>
      </c>
      <c r="P521" s="311">
        <f t="shared" si="90"/>
        <v>105.65639999999999</v>
      </c>
      <c r="Q521" s="285"/>
      <c r="R521" s="278"/>
      <c r="S521" s="278"/>
      <c r="T521" s="278"/>
    </row>
    <row r="522" spans="1:20" s="305" customFormat="1" hidden="1" outlineLevel="1" x14ac:dyDescent="0.25">
      <c r="A522" s="278"/>
      <c r="B522" s="279" t="str">
        <f t="shared" si="91"/>
        <v>9001200TB/SLW</v>
      </c>
      <c r="C522" s="278">
        <v>900</v>
      </c>
      <c r="D522" s="278">
        <v>1200</v>
      </c>
      <c r="E522" s="278" t="s">
        <v>952</v>
      </c>
      <c r="F522" s="278"/>
      <c r="G522" s="278" t="s">
        <v>5</v>
      </c>
      <c r="H522" s="290">
        <v>1</v>
      </c>
      <c r="I522" s="280">
        <f t="shared" si="92"/>
        <v>80.62</v>
      </c>
      <c r="J522" s="281">
        <f t="shared" si="93"/>
        <v>91.43</v>
      </c>
      <c r="K522" s="282">
        <f>IF(Notes!$B$9="Domestic",I522, IF(Notes!$B$9="Commercial",J522))*$K$511</f>
        <v>91.43</v>
      </c>
      <c r="L522" s="283">
        <f>(SUM(O522:Q522)+(K522+SUM(M522:Q522))*(INDEX($U$511:$AB$511,MATCH(Notes!$C$16,$U$3:$AB$3,0))-100%))*$L$511</f>
        <v>991.1751999999999</v>
      </c>
      <c r="M522" s="286"/>
      <c r="N522" s="286"/>
      <c r="O522" s="285">
        <v>850.3</v>
      </c>
      <c r="P522" s="311">
        <f t="shared" si="90"/>
        <v>140.87520000000001</v>
      </c>
      <c r="Q522" s="285"/>
      <c r="R522" s="278"/>
      <c r="S522" s="278"/>
      <c r="T522" s="278"/>
    </row>
    <row r="523" spans="1:20" s="305" customFormat="1" hidden="1" outlineLevel="1" x14ac:dyDescent="0.25">
      <c r="A523" s="278"/>
      <c r="B523" s="279" t="str">
        <f t="shared" si="91"/>
        <v>9001500TB/SLW</v>
      </c>
      <c r="C523" s="278">
        <v>900</v>
      </c>
      <c r="D523" s="278">
        <v>1500</v>
      </c>
      <c r="E523" s="278" t="s">
        <v>952</v>
      </c>
      <c r="F523" s="278"/>
      <c r="G523" s="278" t="s">
        <v>5</v>
      </c>
      <c r="H523" s="290">
        <v>2</v>
      </c>
      <c r="I523" s="280">
        <f t="shared" si="92"/>
        <v>161.24</v>
      </c>
      <c r="J523" s="281">
        <f t="shared" si="93"/>
        <v>182.86</v>
      </c>
      <c r="K523" s="282">
        <f>IF(Notes!$B$9="Domestic",I523, IF(Notes!$B$9="Commercial",J523))*$K$511</f>
        <v>182.86</v>
      </c>
      <c r="L523" s="283">
        <f>(SUM(O523:Q523)+(K523+SUM(M523:Q523))*(INDEX($U$511:$AB$511,MATCH(Notes!$C$16,$U$3:$AB$3,0))-100%))*$L$511</f>
        <v>1103.694</v>
      </c>
      <c r="M523" s="286"/>
      <c r="N523" s="286"/>
      <c r="O523" s="285">
        <v>927.6</v>
      </c>
      <c r="P523" s="311">
        <f t="shared" si="90"/>
        <v>176.09399999999999</v>
      </c>
      <c r="Q523" s="285"/>
      <c r="R523" s="278"/>
      <c r="S523" s="278"/>
      <c r="T523" s="278"/>
    </row>
    <row r="524" spans="1:20" s="305" customFormat="1" hidden="1" outlineLevel="1" x14ac:dyDescent="0.25">
      <c r="A524" s="278"/>
      <c r="B524" s="279" t="str">
        <f t="shared" si="91"/>
        <v>9001800TB/SLW</v>
      </c>
      <c r="C524" s="278">
        <v>900</v>
      </c>
      <c r="D524" s="278">
        <v>1800</v>
      </c>
      <c r="E524" s="278" t="s">
        <v>952</v>
      </c>
      <c r="F524" s="278"/>
      <c r="G524" s="278" t="s">
        <v>5</v>
      </c>
      <c r="H524" s="290">
        <v>2</v>
      </c>
      <c r="I524" s="280">
        <f t="shared" si="92"/>
        <v>161.24</v>
      </c>
      <c r="J524" s="281">
        <f t="shared" si="93"/>
        <v>182.86</v>
      </c>
      <c r="K524" s="282">
        <f>IF(Notes!$B$9="Domestic",I524, IF(Notes!$B$9="Commercial",J524))*$K$511</f>
        <v>182.86</v>
      </c>
      <c r="L524" s="283">
        <f>(SUM(O524:Q524)+(K524+SUM(M524:Q524))*(INDEX($U$511:$AB$511,MATCH(Notes!$C$16,$U$3:$AB$3,0))-100%))*$L$511</f>
        <v>1253.9027999999998</v>
      </c>
      <c r="M524" s="286"/>
      <c r="N524" s="286"/>
      <c r="O524" s="285">
        <v>1042.5899999999999</v>
      </c>
      <c r="P524" s="311">
        <f t="shared" si="90"/>
        <v>211.31279999999998</v>
      </c>
      <c r="Q524" s="285"/>
      <c r="R524" s="278"/>
      <c r="S524" s="278"/>
      <c r="T524" s="278"/>
    </row>
    <row r="525" spans="1:20" s="305" customFormat="1" hidden="1" outlineLevel="1" x14ac:dyDescent="0.25">
      <c r="A525" s="278"/>
      <c r="B525" s="279" t="str">
        <f t="shared" si="91"/>
        <v>9002100TB/SLW</v>
      </c>
      <c r="C525" s="278">
        <v>900</v>
      </c>
      <c r="D525" s="278">
        <v>2100</v>
      </c>
      <c r="E525" s="278" t="s">
        <v>952</v>
      </c>
      <c r="F525" s="278"/>
      <c r="G525" s="278" t="s">
        <v>5</v>
      </c>
      <c r="H525" s="290">
        <v>2</v>
      </c>
      <c r="I525" s="280">
        <f t="shared" si="92"/>
        <v>161.24</v>
      </c>
      <c r="J525" s="281">
        <f t="shared" si="93"/>
        <v>182.86</v>
      </c>
      <c r="K525" s="282">
        <f>IF(Notes!$B$9="Domestic",I525, IF(Notes!$B$9="Commercial",J525))*$K$511</f>
        <v>182.86</v>
      </c>
      <c r="L525" s="283">
        <f>(SUM(O525:Q525)+(K525+SUM(M525:Q525))*(INDEX($U$511:$AB$511,MATCH(Notes!$C$16,$U$3:$AB$3,0))-100%))*$L$511</f>
        <v>1366.4316000000001</v>
      </c>
      <c r="M525" s="286"/>
      <c r="N525" s="286"/>
      <c r="O525" s="285">
        <v>1119.9000000000001</v>
      </c>
      <c r="P525" s="311">
        <f t="shared" si="90"/>
        <v>246.5316</v>
      </c>
      <c r="Q525" s="285"/>
      <c r="R525" s="278"/>
      <c r="S525" s="278"/>
      <c r="T525" s="278"/>
    </row>
    <row r="526" spans="1:20" s="305" customFormat="1" hidden="1" outlineLevel="1" x14ac:dyDescent="0.25">
      <c r="A526" s="278"/>
      <c r="B526" s="279" t="str">
        <f t="shared" si="91"/>
        <v>9002400TB/SLW</v>
      </c>
      <c r="C526" s="278">
        <v>900</v>
      </c>
      <c r="D526" s="278">
        <v>2400</v>
      </c>
      <c r="E526" s="278" t="s">
        <v>952</v>
      </c>
      <c r="F526" s="278"/>
      <c r="G526" s="278" t="s">
        <v>5</v>
      </c>
      <c r="H526" s="290">
        <v>3</v>
      </c>
      <c r="I526" s="280">
        <f t="shared" si="92"/>
        <v>241.86</v>
      </c>
      <c r="J526" s="281">
        <f t="shared" si="93"/>
        <v>274.29000000000002</v>
      </c>
      <c r="K526" s="282">
        <f>IF(Notes!$B$9="Domestic",I526, IF(Notes!$B$9="Commercial",J526))*$K$511</f>
        <v>274.29000000000002</v>
      </c>
      <c r="L526" s="283">
        <f>(SUM(O526:Q526)+(K526+SUM(M526:Q526))*(INDEX($U$511:$AB$511,MATCH(Notes!$C$16,$U$3:$AB$3,0))-100%))*$L$511</f>
        <v>1669.1904</v>
      </c>
      <c r="M526" s="286"/>
      <c r="N526" s="286"/>
      <c r="O526" s="285">
        <v>1387.44</v>
      </c>
      <c r="P526" s="311">
        <f t="shared" si="90"/>
        <v>281.75040000000001</v>
      </c>
      <c r="Q526" s="285"/>
      <c r="R526" s="278"/>
      <c r="S526" s="278"/>
      <c r="T526" s="278"/>
    </row>
    <row r="527" spans="1:20" s="305" customFormat="1" hidden="1" outlineLevel="1" x14ac:dyDescent="0.25">
      <c r="A527" s="278"/>
      <c r="B527" s="279" t="str">
        <f t="shared" si="91"/>
        <v>9002700TB/SLW</v>
      </c>
      <c r="C527" s="278">
        <v>900</v>
      </c>
      <c r="D527" s="278">
        <v>2700</v>
      </c>
      <c r="E527" s="278" t="s">
        <v>952</v>
      </c>
      <c r="F527" s="278"/>
      <c r="G527" s="278" t="s">
        <v>5</v>
      </c>
      <c r="H527" s="290">
        <v>3</v>
      </c>
      <c r="I527" s="280">
        <f t="shared" si="92"/>
        <v>241.86</v>
      </c>
      <c r="J527" s="281">
        <f t="shared" si="93"/>
        <v>274.29000000000002</v>
      </c>
      <c r="K527" s="282">
        <f>IF(Notes!$B$9="Domestic",I527, IF(Notes!$B$9="Commercial",J527))*$K$511</f>
        <v>274.29000000000002</v>
      </c>
      <c r="L527" s="283">
        <f>(SUM(O527:Q527)+(K527+SUM(M527:Q527))*(INDEX($U$511:$AB$511,MATCH(Notes!$C$16,$U$3:$AB$3,0))-100%))*$L$511</f>
        <v>1747.3291999999999</v>
      </c>
      <c r="M527" s="286"/>
      <c r="N527" s="286"/>
      <c r="O527" s="285">
        <v>1430.36</v>
      </c>
      <c r="P527" s="311">
        <f t="shared" si="90"/>
        <v>316.9692</v>
      </c>
      <c r="Q527" s="285"/>
      <c r="R527" s="278"/>
      <c r="S527" s="278"/>
      <c r="T527" s="278"/>
    </row>
    <row r="528" spans="1:20" s="305" customFormat="1" hidden="1" outlineLevel="1" x14ac:dyDescent="0.25">
      <c r="A528" s="278"/>
      <c r="B528" s="279" t="str">
        <f t="shared" si="91"/>
        <v>1200600TB/SLW</v>
      </c>
      <c r="C528" s="278">
        <v>1200</v>
      </c>
      <c r="D528" s="278">
        <v>600</v>
      </c>
      <c r="E528" s="278" t="s">
        <v>952</v>
      </c>
      <c r="F528" s="278"/>
      <c r="G528" s="278" t="s">
        <v>5</v>
      </c>
      <c r="H528" s="290">
        <v>1</v>
      </c>
      <c r="I528" s="280">
        <f t="shared" si="92"/>
        <v>80.62</v>
      </c>
      <c r="J528" s="281">
        <f t="shared" si="93"/>
        <v>91.43</v>
      </c>
      <c r="K528" s="282">
        <f>IF(Notes!$B$9="Domestic",I528, IF(Notes!$B$9="Commercial",J528))*$K$511</f>
        <v>91.43</v>
      </c>
      <c r="L528" s="283">
        <f>(SUM(O528:Q528)+(K528+SUM(M528:Q528))*(INDEX($U$511:$AB$511,MATCH(Notes!$C$16,$U$3:$AB$3,0))-100%))*$L$511</f>
        <v>791.08679999999993</v>
      </c>
      <c r="M528" s="286"/>
      <c r="N528" s="286"/>
      <c r="O528" s="311">
        <f>O514</f>
        <v>697.17</v>
      </c>
      <c r="P528" s="311">
        <f t="shared" si="90"/>
        <v>93.916799999999995</v>
      </c>
      <c r="Q528" s="285"/>
      <c r="R528" s="278"/>
      <c r="S528" s="278"/>
      <c r="T528" s="278"/>
    </row>
    <row r="529" spans="1:20" s="305" customFormat="1" hidden="1" outlineLevel="1" x14ac:dyDescent="0.25">
      <c r="A529" s="278"/>
      <c r="B529" s="279" t="str">
        <f t="shared" si="91"/>
        <v>1200900TB/SLW</v>
      </c>
      <c r="C529" s="278">
        <v>1200</v>
      </c>
      <c r="D529" s="278">
        <v>900</v>
      </c>
      <c r="E529" s="278" t="s">
        <v>952</v>
      </c>
      <c r="F529" s="278"/>
      <c r="G529" s="278" t="s">
        <v>5</v>
      </c>
      <c r="H529" s="290">
        <v>1</v>
      </c>
      <c r="I529" s="280">
        <f t="shared" si="92"/>
        <v>80.62</v>
      </c>
      <c r="J529" s="281">
        <f t="shared" si="93"/>
        <v>91.43</v>
      </c>
      <c r="K529" s="282">
        <f>IF(Notes!$B$9="Domestic",I529, IF(Notes!$B$9="Commercial",J529))*$K$511</f>
        <v>91.43</v>
      </c>
      <c r="L529" s="283">
        <f>(SUM(O529:Q529)+(K529+SUM(M529:Q529))*(INDEX($U$511:$AB$511,MATCH(Notes!$C$16,$U$3:$AB$3,0))-100%))*$L$511</f>
        <v>990.98519999999996</v>
      </c>
      <c r="M529" s="286"/>
      <c r="N529" s="286"/>
      <c r="O529" s="285">
        <v>850.11</v>
      </c>
      <c r="P529" s="311">
        <f t="shared" si="90"/>
        <v>140.87519999999998</v>
      </c>
      <c r="Q529" s="285"/>
      <c r="R529" s="278"/>
      <c r="S529" s="278"/>
      <c r="T529" s="278"/>
    </row>
    <row r="530" spans="1:20" s="305" customFormat="1" hidden="1" outlineLevel="1" x14ac:dyDescent="0.25">
      <c r="A530" s="278"/>
      <c r="B530" s="279" t="str">
        <f t="shared" si="91"/>
        <v>12001200TB/SLW</v>
      </c>
      <c r="C530" s="278">
        <v>1200</v>
      </c>
      <c r="D530" s="278">
        <v>1200</v>
      </c>
      <c r="E530" s="278" t="s">
        <v>952</v>
      </c>
      <c r="F530" s="278"/>
      <c r="G530" s="278" t="s">
        <v>5</v>
      </c>
      <c r="H530" s="290">
        <v>2</v>
      </c>
      <c r="I530" s="280">
        <f t="shared" si="92"/>
        <v>161.24</v>
      </c>
      <c r="J530" s="281">
        <f t="shared" si="93"/>
        <v>182.86</v>
      </c>
      <c r="K530" s="282">
        <f>IF(Notes!$B$9="Domestic",I530, IF(Notes!$B$9="Commercial",J530))*$K$511</f>
        <v>182.86</v>
      </c>
      <c r="L530" s="283">
        <f>(SUM(O530:Q530)+(K530+SUM(M530:Q530))*(INDEX($U$511:$AB$511,MATCH(Notes!$C$16,$U$3:$AB$3,0))-100%))*$L$511</f>
        <v>1153.0336</v>
      </c>
      <c r="M530" s="286"/>
      <c r="N530" s="286"/>
      <c r="O530" s="285">
        <v>965.2</v>
      </c>
      <c r="P530" s="311">
        <f t="shared" si="90"/>
        <v>187.83359999999999</v>
      </c>
      <c r="Q530" s="285"/>
      <c r="R530" s="278"/>
      <c r="S530" s="278"/>
      <c r="T530" s="278"/>
    </row>
    <row r="531" spans="1:20" s="305" customFormat="1" hidden="1" outlineLevel="1" x14ac:dyDescent="0.25">
      <c r="A531" s="278"/>
      <c r="B531" s="279" t="str">
        <f t="shared" si="91"/>
        <v>12001500TB/SLW</v>
      </c>
      <c r="C531" s="278">
        <v>1200</v>
      </c>
      <c r="D531" s="278">
        <v>1500</v>
      </c>
      <c r="E531" s="278" t="s">
        <v>952</v>
      </c>
      <c r="F531" s="278"/>
      <c r="G531" s="278" t="s">
        <v>5</v>
      </c>
      <c r="H531" s="290">
        <v>2</v>
      </c>
      <c r="I531" s="280">
        <f t="shared" si="92"/>
        <v>161.24</v>
      </c>
      <c r="J531" s="281">
        <f t="shared" si="93"/>
        <v>182.86</v>
      </c>
      <c r="K531" s="282">
        <f>IF(Notes!$B$9="Domestic",I531, IF(Notes!$B$9="Commercial",J531))*$K$511</f>
        <v>182.86</v>
      </c>
      <c r="L531" s="283">
        <f>(SUM(O531:Q531)+(K531+SUM(M531:Q531))*(INDEX($U$511:$AB$511,MATCH(Notes!$C$16,$U$3:$AB$3,0))-100%))*$L$511</f>
        <v>1315.442</v>
      </c>
      <c r="M531" s="286"/>
      <c r="N531" s="286"/>
      <c r="O531" s="285">
        <v>1080.6500000000001</v>
      </c>
      <c r="P531" s="311">
        <f t="shared" si="90"/>
        <v>234.792</v>
      </c>
      <c r="Q531" s="285"/>
      <c r="R531" s="278"/>
      <c r="S531" s="278"/>
      <c r="T531" s="278"/>
    </row>
    <row r="532" spans="1:20" s="305" customFormat="1" hidden="1" outlineLevel="1" x14ac:dyDescent="0.25">
      <c r="A532" s="278"/>
      <c r="B532" s="279" t="str">
        <f t="shared" si="91"/>
        <v>12001800TB/SLW</v>
      </c>
      <c r="C532" s="278">
        <v>1200</v>
      </c>
      <c r="D532" s="278">
        <v>1800</v>
      </c>
      <c r="E532" s="278" t="s">
        <v>952</v>
      </c>
      <c r="F532" s="278"/>
      <c r="G532" s="278" t="s">
        <v>5</v>
      </c>
      <c r="H532" s="290">
        <v>3</v>
      </c>
      <c r="I532" s="280">
        <f t="shared" si="92"/>
        <v>241.86</v>
      </c>
      <c r="J532" s="281">
        <f t="shared" si="93"/>
        <v>274.29000000000002</v>
      </c>
      <c r="K532" s="282">
        <f>IF(Notes!$B$9="Domestic",I532, IF(Notes!$B$9="Commercial",J532))*$K$511</f>
        <v>274.29000000000002</v>
      </c>
      <c r="L532" s="283">
        <f>(SUM(O532:Q532)+(K532+SUM(M532:Q532))*(INDEX($U$511:$AB$511,MATCH(Notes!$C$16,$U$3:$AB$3,0))-100%))*$L$511</f>
        <v>1459.0203999999999</v>
      </c>
      <c r="M532" s="286"/>
      <c r="N532" s="286"/>
      <c r="O532" s="285">
        <v>1177.27</v>
      </c>
      <c r="P532" s="311">
        <f t="shared" si="90"/>
        <v>281.75039999999996</v>
      </c>
      <c r="Q532" s="285"/>
      <c r="R532" s="278"/>
      <c r="S532" s="278"/>
      <c r="T532" s="278"/>
    </row>
    <row r="533" spans="1:20" s="305" customFormat="1" hidden="1" outlineLevel="1" x14ac:dyDescent="0.25">
      <c r="A533" s="278"/>
      <c r="B533" s="279" t="str">
        <f t="shared" si="91"/>
        <v>12002100TB/SLW</v>
      </c>
      <c r="C533" s="278">
        <v>1200</v>
      </c>
      <c r="D533" s="278">
        <v>2100</v>
      </c>
      <c r="E533" s="278" t="s">
        <v>952</v>
      </c>
      <c r="F533" s="278"/>
      <c r="G533" s="278" t="s">
        <v>5</v>
      </c>
      <c r="H533" s="290">
        <v>3</v>
      </c>
      <c r="I533" s="280">
        <f t="shared" si="92"/>
        <v>241.86</v>
      </c>
      <c r="J533" s="281">
        <f t="shared" si="93"/>
        <v>274.29000000000002</v>
      </c>
      <c r="K533" s="282">
        <f>IF(Notes!$B$9="Domestic",I533, IF(Notes!$B$9="Commercial",J533))*$K$511</f>
        <v>274.29000000000002</v>
      </c>
      <c r="L533" s="283">
        <f>(SUM(O533:Q533)+(K533+SUM(M533:Q533))*(INDEX($U$511:$AB$511,MATCH(Notes!$C$16,$U$3:$AB$3,0))-100%))*$L$511</f>
        <v>1564.9187999999999</v>
      </c>
      <c r="M533" s="286"/>
      <c r="N533" s="286"/>
      <c r="O533" s="285">
        <v>1236.21</v>
      </c>
      <c r="P533" s="311">
        <f t="shared" si="90"/>
        <v>328.7088</v>
      </c>
      <c r="Q533" s="285"/>
      <c r="R533" s="278"/>
      <c r="S533" s="278"/>
      <c r="T533" s="278"/>
    </row>
    <row r="534" spans="1:20" s="305" customFormat="1" hidden="1" outlineLevel="1" x14ac:dyDescent="0.25">
      <c r="A534" s="278"/>
      <c r="B534" s="279" t="str">
        <f t="shared" si="91"/>
        <v>12002400TB/SLW</v>
      </c>
      <c r="C534" s="278">
        <v>1200</v>
      </c>
      <c r="D534" s="278">
        <v>2400</v>
      </c>
      <c r="E534" s="278" t="s">
        <v>952</v>
      </c>
      <c r="F534" s="278"/>
      <c r="G534" s="278" t="s">
        <v>5</v>
      </c>
      <c r="H534" s="290">
        <v>3</v>
      </c>
      <c r="I534" s="280">
        <f t="shared" si="92"/>
        <v>241.86</v>
      </c>
      <c r="J534" s="281">
        <f t="shared" si="93"/>
        <v>274.29000000000002</v>
      </c>
      <c r="K534" s="282">
        <f>IF(Notes!$B$9="Domestic",I534, IF(Notes!$B$9="Commercial",J534))*$K$511</f>
        <v>274.29000000000002</v>
      </c>
      <c r="L534" s="283">
        <f>(SUM(O534:Q534)+(K534+SUM(M534:Q534))*(INDEX($U$511:$AB$511,MATCH(Notes!$C$16,$U$3:$AB$3,0))-100%))*$L$511</f>
        <v>1930.9672</v>
      </c>
      <c r="M534" s="286"/>
      <c r="N534" s="286"/>
      <c r="O534" s="285">
        <v>1555.3</v>
      </c>
      <c r="P534" s="311">
        <f t="shared" si="90"/>
        <v>375.66719999999998</v>
      </c>
      <c r="Q534" s="285"/>
      <c r="R534" s="278"/>
      <c r="S534" s="278"/>
      <c r="T534" s="278"/>
    </row>
    <row r="535" spans="1:20" s="305" customFormat="1" hidden="1" outlineLevel="1" x14ac:dyDescent="0.25">
      <c r="A535" s="278"/>
      <c r="B535" s="279" t="str">
        <f t="shared" si="91"/>
        <v>12002700TB/SLW</v>
      </c>
      <c r="C535" s="278">
        <v>1200</v>
      </c>
      <c r="D535" s="278">
        <v>2700</v>
      </c>
      <c r="E535" s="278" t="s">
        <v>952</v>
      </c>
      <c r="F535" s="278"/>
      <c r="G535" s="278" t="s">
        <v>5</v>
      </c>
      <c r="H535" s="290">
        <v>4</v>
      </c>
      <c r="I535" s="280">
        <f t="shared" si="92"/>
        <v>322.48</v>
      </c>
      <c r="J535" s="281">
        <f t="shared" si="93"/>
        <v>365.72</v>
      </c>
      <c r="K535" s="282">
        <f>IF(Notes!$B$9="Domestic",I535, IF(Notes!$B$9="Commercial",J535))*$K$511</f>
        <v>365.72</v>
      </c>
      <c r="L535" s="283">
        <f>(SUM(O535:Q535)+(K535+SUM(M535:Q535))*(INDEX($U$511:$AB$511,MATCH(Notes!$C$16,$U$3:$AB$3,0))-100%))*$L$511</f>
        <v>2021.3755999999998</v>
      </c>
      <c r="M535" s="286"/>
      <c r="N535" s="286"/>
      <c r="O535" s="285">
        <v>1598.75</v>
      </c>
      <c r="P535" s="311">
        <f t="shared" si="90"/>
        <v>422.62559999999996</v>
      </c>
      <c r="Q535" s="285"/>
      <c r="R535" s="278"/>
      <c r="S535" s="278"/>
      <c r="T535" s="278"/>
    </row>
    <row r="536" spans="1:20" s="305" customFormat="1" hidden="1" outlineLevel="1" x14ac:dyDescent="0.25">
      <c r="A536" s="278"/>
      <c r="B536" s="279" t="str">
        <f t="shared" si="91"/>
        <v>1500600TB/SLW</v>
      </c>
      <c r="C536" s="278">
        <v>1500</v>
      </c>
      <c r="D536" s="278">
        <v>600</v>
      </c>
      <c r="E536" s="278" t="s">
        <v>952</v>
      </c>
      <c r="F536" s="278"/>
      <c r="G536" s="278" t="s">
        <v>5</v>
      </c>
      <c r="H536" s="290">
        <v>1</v>
      </c>
      <c r="I536" s="280">
        <f t="shared" si="92"/>
        <v>80.62</v>
      </c>
      <c r="J536" s="281">
        <f t="shared" si="93"/>
        <v>91.43</v>
      </c>
      <c r="K536" s="282">
        <f>IF(Notes!$B$9="Domestic",I536, IF(Notes!$B$9="Commercial",J536))*$K$511</f>
        <v>91.43</v>
      </c>
      <c r="L536" s="283">
        <f>(SUM(O536:Q536)+(K536+SUM(M536:Q536))*(INDEX($U$511:$AB$511,MATCH(Notes!$C$16,$U$3:$AB$3,0))-100%))*$L$511</f>
        <v>891.40599999999995</v>
      </c>
      <c r="M536" s="286"/>
      <c r="N536" s="286"/>
      <c r="O536" s="311">
        <f>O515</f>
        <v>774.01</v>
      </c>
      <c r="P536" s="311">
        <f t="shared" si="90"/>
        <v>117.396</v>
      </c>
      <c r="Q536" s="285"/>
      <c r="R536" s="278"/>
      <c r="S536" s="278"/>
      <c r="T536" s="278"/>
    </row>
    <row r="537" spans="1:20" s="305" customFormat="1" hidden="1" outlineLevel="1" x14ac:dyDescent="0.25">
      <c r="A537" s="278"/>
      <c r="B537" s="279" t="str">
        <f t="shared" si="91"/>
        <v>1500900TB/SLW</v>
      </c>
      <c r="C537" s="278">
        <v>1500</v>
      </c>
      <c r="D537" s="278">
        <v>900</v>
      </c>
      <c r="E537" s="278" t="s">
        <v>952</v>
      </c>
      <c r="F537" s="278"/>
      <c r="G537" s="278" t="s">
        <v>5</v>
      </c>
      <c r="H537" s="290">
        <v>1</v>
      </c>
      <c r="I537" s="280">
        <f t="shared" si="92"/>
        <v>80.62</v>
      </c>
      <c r="J537" s="281">
        <f t="shared" si="93"/>
        <v>91.43</v>
      </c>
      <c r="K537" s="282">
        <f>IF(Notes!$B$9="Domestic",I537, IF(Notes!$B$9="Commercial",J537))*$K$511</f>
        <v>91.43</v>
      </c>
      <c r="L537" s="283">
        <f>(SUM(O537:Q537)+(K537+SUM(M537:Q537))*(INDEX($U$511:$AB$511,MATCH(Notes!$C$16,$U$3:$AB$3,0))-100%))*$L$511</f>
        <v>1103.694</v>
      </c>
      <c r="M537" s="286"/>
      <c r="N537" s="286"/>
      <c r="O537" s="311">
        <f>O523</f>
        <v>927.6</v>
      </c>
      <c r="P537" s="311">
        <f t="shared" si="90"/>
        <v>176.09399999999999</v>
      </c>
      <c r="Q537" s="285"/>
      <c r="R537" s="278"/>
      <c r="S537" s="278"/>
      <c r="T537" s="278"/>
    </row>
    <row r="538" spans="1:20" s="305" customFormat="1" hidden="1" outlineLevel="1" x14ac:dyDescent="0.25">
      <c r="A538" s="278"/>
      <c r="B538" s="279" t="str">
        <f t="shared" si="91"/>
        <v>15001200TB/SLW</v>
      </c>
      <c r="C538" s="278">
        <v>1500</v>
      </c>
      <c r="D538" s="278">
        <v>1200</v>
      </c>
      <c r="E538" s="278" t="s">
        <v>952</v>
      </c>
      <c r="F538" s="278"/>
      <c r="G538" s="278" t="s">
        <v>5</v>
      </c>
      <c r="H538" s="290">
        <v>2</v>
      </c>
      <c r="I538" s="280">
        <f t="shared" si="92"/>
        <v>161.24</v>
      </c>
      <c r="J538" s="281">
        <f t="shared" si="93"/>
        <v>182.86</v>
      </c>
      <c r="K538" s="282">
        <f>IF(Notes!$B$9="Domestic",I538, IF(Notes!$B$9="Commercial",J538))*$K$511</f>
        <v>182.86</v>
      </c>
      <c r="L538" s="283">
        <f>(SUM(O538:Q538)+(K538+SUM(M538:Q538))*(INDEX($U$511:$AB$511,MATCH(Notes!$C$16,$U$3:$AB$3,0))-100%))*$L$511</f>
        <v>1315.442</v>
      </c>
      <c r="M538" s="286"/>
      <c r="N538" s="286"/>
      <c r="O538" s="285">
        <v>1080.6500000000001</v>
      </c>
      <c r="P538" s="311">
        <f t="shared" si="90"/>
        <v>234.792</v>
      </c>
      <c r="Q538" s="285"/>
      <c r="R538" s="278"/>
      <c r="S538" s="278"/>
      <c r="T538" s="278"/>
    </row>
    <row r="539" spans="1:20" s="305" customFormat="1" hidden="1" outlineLevel="1" x14ac:dyDescent="0.25">
      <c r="A539" s="278"/>
      <c r="B539" s="279" t="str">
        <f t="shared" si="91"/>
        <v>15001500TB/SLW</v>
      </c>
      <c r="C539" s="278">
        <v>1500</v>
      </c>
      <c r="D539" s="278">
        <v>1500</v>
      </c>
      <c r="E539" s="278" t="s">
        <v>952</v>
      </c>
      <c r="F539" s="278"/>
      <c r="G539" s="278" t="s">
        <v>5</v>
      </c>
      <c r="H539" s="290">
        <v>3</v>
      </c>
      <c r="I539" s="280">
        <f t="shared" si="92"/>
        <v>241.86</v>
      </c>
      <c r="J539" s="281">
        <f t="shared" si="93"/>
        <v>274.29000000000002</v>
      </c>
      <c r="K539" s="282">
        <f>IF(Notes!$B$9="Domestic",I539, IF(Notes!$B$9="Commercial",J539))*$K$511</f>
        <v>274.29000000000002</v>
      </c>
      <c r="L539" s="283">
        <f>(SUM(O539:Q539)+(K539+SUM(M539:Q539))*(INDEX($U$511:$AB$511,MATCH(Notes!$C$16,$U$3:$AB$3,0))-100%))*$L$511</f>
        <v>1490.06</v>
      </c>
      <c r="M539" s="286"/>
      <c r="N539" s="286"/>
      <c r="O539" s="285">
        <v>1196.57</v>
      </c>
      <c r="P539" s="311">
        <f t="shared" si="90"/>
        <v>293.49</v>
      </c>
      <c r="Q539" s="285"/>
      <c r="R539" s="278"/>
      <c r="S539" s="278"/>
      <c r="T539" s="278"/>
    </row>
    <row r="540" spans="1:20" s="305" customFormat="1" hidden="1" outlineLevel="1" x14ac:dyDescent="0.25">
      <c r="A540" s="278"/>
      <c r="B540" s="279" t="str">
        <f t="shared" si="91"/>
        <v>15001800TB/SLW</v>
      </c>
      <c r="C540" s="278">
        <v>1500</v>
      </c>
      <c r="D540" s="278">
        <v>1800</v>
      </c>
      <c r="E540" s="278" t="s">
        <v>952</v>
      </c>
      <c r="F540" s="278"/>
      <c r="G540" s="278" t="s">
        <v>5</v>
      </c>
      <c r="H540" s="290">
        <v>3</v>
      </c>
      <c r="I540" s="280">
        <f t="shared" si="92"/>
        <v>241.86</v>
      </c>
      <c r="J540" s="281">
        <f t="shared" si="93"/>
        <v>274.29000000000002</v>
      </c>
      <c r="K540" s="282">
        <f>IF(Notes!$B$9="Domestic",I540, IF(Notes!$B$9="Commercial",J540))*$K$511</f>
        <v>274.29000000000002</v>
      </c>
      <c r="L540" s="283">
        <f>(SUM(O540:Q540)+(K540+SUM(M540:Q540))*(INDEX($U$511:$AB$511,MATCH(Notes!$C$16,$U$3:$AB$3,0))-100%))*$L$511</f>
        <v>1608.1579999999999</v>
      </c>
      <c r="M540" s="286"/>
      <c r="N540" s="286"/>
      <c r="O540" s="285">
        <v>1255.97</v>
      </c>
      <c r="P540" s="311">
        <f t="shared" si="90"/>
        <v>352.18799999999999</v>
      </c>
      <c r="Q540" s="285"/>
      <c r="R540" s="278"/>
      <c r="S540" s="278"/>
      <c r="T540" s="278"/>
    </row>
    <row r="541" spans="1:20" s="305" customFormat="1" hidden="1" outlineLevel="1" x14ac:dyDescent="0.25">
      <c r="A541" s="278"/>
      <c r="B541" s="279" t="str">
        <f t="shared" si="91"/>
        <v>15002100TB/SLW</v>
      </c>
      <c r="C541" s="278">
        <v>1500</v>
      </c>
      <c r="D541" s="278">
        <v>2100</v>
      </c>
      <c r="E541" s="278" t="s">
        <v>952</v>
      </c>
      <c r="F541" s="278"/>
      <c r="G541" s="278" t="s">
        <v>5</v>
      </c>
      <c r="H541" s="290">
        <v>4</v>
      </c>
      <c r="I541" s="280">
        <f t="shared" si="92"/>
        <v>322.48</v>
      </c>
      <c r="J541" s="281">
        <f t="shared" si="93"/>
        <v>365.72</v>
      </c>
      <c r="K541" s="282">
        <f>IF(Notes!$B$9="Domestic",I541, IF(Notes!$B$9="Commercial",J541))*$K$511</f>
        <v>365.72</v>
      </c>
      <c r="L541" s="283">
        <f>(SUM(O541:Q541)+(K541+SUM(M541:Q541))*(INDEX($U$511:$AB$511,MATCH(Notes!$C$16,$U$3:$AB$3,0))-100%))*$L$511</f>
        <v>1707.4259999999999</v>
      </c>
      <c r="M541" s="286"/>
      <c r="N541" s="286"/>
      <c r="O541" s="285">
        <v>1296.54</v>
      </c>
      <c r="P541" s="311">
        <f t="shared" si="90"/>
        <v>410.88600000000002</v>
      </c>
      <c r="Q541" s="285"/>
      <c r="R541" s="278"/>
      <c r="S541" s="278"/>
      <c r="T541" s="278"/>
    </row>
    <row r="542" spans="1:20" s="305" customFormat="1" hidden="1" outlineLevel="1" x14ac:dyDescent="0.25">
      <c r="A542" s="278"/>
      <c r="B542" s="279" t="str">
        <f t="shared" si="91"/>
        <v>15002400TB/SLW</v>
      </c>
      <c r="C542" s="278">
        <v>1500</v>
      </c>
      <c r="D542" s="278">
        <v>2400</v>
      </c>
      <c r="E542" s="278" t="s">
        <v>952</v>
      </c>
      <c r="F542" s="278"/>
      <c r="G542" s="278" t="s">
        <v>5</v>
      </c>
      <c r="H542" s="290">
        <v>4</v>
      </c>
      <c r="I542" s="280">
        <f t="shared" si="92"/>
        <v>322.48</v>
      </c>
      <c r="J542" s="281">
        <f t="shared" si="93"/>
        <v>365.72</v>
      </c>
      <c r="K542" s="282">
        <f>IF(Notes!$B$9="Domestic",I542, IF(Notes!$B$9="Commercial",J542))*$K$511</f>
        <v>365.72</v>
      </c>
      <c r="L542" s="283">
        <f>(SUM(O542:Q542)+(K542+SUM(M542:Q542))*(INDEX($U$511:$AB$511,MATCH(Notes!$C$16,$U$3:$AB$3,0))-100%))*$L$511</f>
        <v>2193.2939999999999</v>
      </c>
      <c r="M542" s="286"/>
      <c r="N542" s="286"/>
      <c r="O542" s="285">
        <v>1723.71</v>
      </c>
      <c r="P542" s="311">
        <f t="shared" si="90"/>
        <v>469.584</v>
      </c>
      <c r="Q542" s="285"/>
      <c r="R542" s="278"/>
      <c r="S542" s="278"/>
      <c r="T542" s="278"/>
    </row>
    <row r="543" spans="1:20" s="305" customFormat="1" hidden="1" outlineLevel="1" x14ac:dyDescent="0.25">
      <c r="A543" s="278"/>
      <c r="B543" s="279" t="str">
        <f t="shared" si="91"/>
        <v>15002700TB/SLW</v>
      </c>
      <c r="C543" s="278">
        <v>1500</v>
      </c>
      <c r="D543" s="278">
        <v>2700</v>
      </c>
      <c r="E543" s="278" t="s">
        <v>952</v>
      </c>
      <c r="F543" s="278"/>
      <c r="G543" s="278" t="s">
        <v>5</v>
      </c>
      <c r="H543" s="290">
        <v>4</v>
      </c>
      <c r="I543" s="280">
        <f t="shared" si="92"/>
        <v>322.48</v>
      </c>
      <c r="J543" s="281">
        <f t="shared" si="93"/>
        <v>365.72</v>
      </c>
      <c r="K543" s="282">
        <f>IF(Notes!$B$9="Domestic",I543, IF(Notes!$B$9="Commercial",J543))*$K$511</f>
        <v>365.72</v>
      </c>
      <c r="L543" s="283">
        <f>(SUM(O543:Q543)+(K543+SUM(M543:Q543))*(INDEX($U$511:$AB$511,MATCH(Notes!$C$16,$U$3:$AB$3,0))-100%))*$L$511</f>
        <v>2295.9120000000003</v>
      </c>
      <c r="M543" s="286"/>
      <c r="N543" s="286"/>
      <c r="O543" s="285">
        <v>1767.63</v>
      </c>
      <c r="P543" s="311">
        <f t="shared" si="90"/>
        <v>528.28200000000004</v>
      </c>
      <c r="Q543" s="285"/>
      <c r="R543" s="278"/>
      <c r="S543" s="278"/>
      <c r="T543" s="278"/>
    </row>
    <row r="544" spans="1:20" s="305" customFormat="1" hidden="1" outlineLevel="1" x14ac:dyDescent="0.25">
      <c r="A544" s="278"/>
      <c r="B544" s="279" t="str">
        <f t="shared" si="91"/>
        <v>1800600TB/SLW</v>
      </c>
      <c r="C544" s="278">
        <v>1800</v>
      </c>
      <c r="D544" s="278">
        <v>600</v>
      </c>
      <c r="E544" s="278" t="s">
        <v>952</v>
      </c>
      <c r="F544" s="278"/>
      <c r="G544" s="278" t="s">
        <v>5</v>
      </c>
      <c r="H544" s="290">
        <v>1</v>
      </c>
      <c r="I544" s="280">
        <f t="shared" si="92"/>
        <v>80.62</v>
      </c>
      <c r="J544" s="281">
        <f t="shared" si="93"/>
        <v>91.43</v>
      </c>
      <c r="K544" s="282">
        <f>IF(Notes!$B$9="Domestic",I544, IF(Notes!$B$9="Commercial",J544))*$K$511</f>
        <v>91.43</v>
      </c>
      <c r="L544" s="283">
        <f>(SUM(O544:Q544)+(K544+SUM(M544:Q544))*(INDEX($U$511:$AB$511,MATCH(Notes!$C$16,$U$3:$AB$3,0))-100%))*$L$511</f>
        <v>991.72520000000009</v>
      </c>
      <c r="M544" s="286"/>
      <c r="N544" s="286"/>
      <c r="O544" s="311">
        <f>O516</f>
        <v>850.85</v>
      </c>
      <c r="P544" s="311">
        <f t="shared" si="90"/>
        <v>140.87520000000001</v>
      </c>
      <c r="Q544" s="285"/>
      <c r="R544" s="278"/>
      <c r="S544" s="278"/>
      <c r="T544" s="278"/>
    </row>
    <row r="545" spans="1:20" s="305" customFormat="1" hidden="1" outlineLevel="1" x14ac:dyDescent="0.25">
      <c r="A545" s="278"/>
      <c r="B545" s="279" t="str">
        <f t="shared" si="91"/>
        <v>1800900TB/SLW</v>
      </c>
      <c r="C545" s="278">
        <v>1800</v>
      </c>
      <c r="D545" s="278">
        <v>900</v>
      </c>
      <c r="E545" s="278" t="s">
        <v>952</v>
      </c>
      <c r="F545" s="278"/>
      <c r="G545" s="278" t="s">
        <v>5</v>
      </c>
      <c r="H545" s="290">
        <v>2</v>
      </c>
      <c r="I545" s="280">
        <f t="shared" si="92"/>
        <v>161.24</v>
      </c>
      <c r="J545" s="281">
        <f t="shared" si="93"/>
        <v>182.86</v>
      </c>
      <c r="K545" s="282">
        <f>IF(Notes!$B$9="Domestic",I545, IF(Notes!$B$9="Commercial",J545))*$K$511</f>
        <v>182.86</v>
      </c>
      <c r="L545" s="283">
        <f>(SUM(O545:Q545)+(K545+SUM(M545:Q545))*(INDEX($U$511:$AB$511,MATCH(Notes!$C$16,$U$3:$AB$3,0))-100%))*$L$511</f>
        <v>1219.2128</v>
      </c>
      <c r="M545" s="286"/>
      <c r="N545" s="286"/>
      <c r="O545" s="285">
        <v>1007.9</v>
      </c>
      <c r="P545" s="311">
        <f t="shared" si="90"/>
        <v>211.31279999999998</v>
      </c>
      <c r="Q545" s="285"/>
      <c r="R545" s="278"/>
      <c r="S545" s="278"/>
      <c r="T545" s="278"/>
    </row>
    <row r="546" spans="1:20" s="305" customFormat="1" hidden="1" outlineLevel="1" x14ac:dyDescent="0.25">
      <c r="A546" s="278"/>
      <c r="B546" s="279" t="str">
        <f t="shared" si="91"/>
        <v>18001200TB/SLW</v>
      </c>
      <c r="C546" s="278">
        <v>1800</v>
      </c>
      <c r="D546" s="278">
        <v>1200</v>
      </c>
      <c r="E546" s="278" t="s">
        <v>952</v>
      </c>
      <c r="F546" s="278"/>
      <c r="G546" s="278" t="s">
        <v>5</v>
      </c>
      <c r="H546" s="290">
        <v>3</v>
      </c>
      <c r="I546" s="280">
        <f t="shared" si="92"/>
        <v>241.86</v>
      </c>
      <c r="J546" s="281">
        <f t="shared" si="93"/>
        <v>274.29000000000002</v>
      </c>
      <c r="K546" s="282">
        <f>IF(Notes!$B$9="Domestic",I546, IF(Notes!$B$9="Commercial",J546))*$K$511</f>
        <v>274.29000000000002</v>
      </c>
      <c r="L546" s="283">
        <f>(SUM(O546:Q546)+(K546+SUM(M546:Q546))*(INDEX($U$511:$AB$511,MATCH(Notes!$C$16,$U$3:$AB$3,0))-100%))*$L$511</f>
        <v>1471.5203999999999</v>
      </c>
      <c r="M546" s="286"/>
      <c r="N546" s="286"/>
      <c r="O546" s="285">
        <v>1189.77</v>
      </c>
      <c r="P546" s="311">
        <f t="shared" si="90"/>
        <v>281.75040000000001</v>
      </c>
      <c r="Q546" s="285"/>
      <c r="R546" s="278"/>
      <c r="S546" s="278"/>
      <c r="T546" s="278"/>
    </row>
    <row r="547" spans="1:20" s="305" customFormat="1" hidden="1" outlineLevel="1" x14ac:dyDescent="0.25">
      <c r="A547" s="278"/>
      <c r="B547" s="279" t="str">
        <f t="shared" si="91"/>
        <v>18001500TB/SLW</v>
      </c>
      <c r="C547" s="278">
        <v>1800</v>
      </c>
      <c r="D547" s="278">
        <v>1500</v>
      </c>
      <c r="E547" s="278" t="s">
        <v>952</v>
      </c>
      <c r="F547" s="278"/>
      <c r="G547" s="278" t="s">
        <v>5</v>
      </c>
      <c r="H547" s="290">
        <v>3</v>
      </c>
      <c r="I547" s="280">
        <f t="shared" si="92"/>
        <v>241.86</v>
      </c>
      <c r="J547" s="281">
        <f t="shared" si="93"/>
        <v>274.29000000000002</v>
      </c>
      <c r="K547" s="282">
        <f>IF(Notes!$B$9="Domestic",I547, IF(Notes!$B$9="Commercial",J547))*$K$511</f>
        <v>274.29000000000002</v>
      </c>
      <c r="L547" s="283">
        <f>(SUM(O547:Q547)+(K547+SUM(M547:Q547))*(INDEX($U$511:$AB$511,MATCH(Notes!$C$16,$U$3:$AB$3,0))-100%))*$L$511</f>
        <v>1679.4479999999999</v>
      </c>
      <c r="M547" s="286"/>
      <c r="N547" s="286"/>
      <c r="O547" s="285">
        <v>1327.26</v>
      </c>
      <c r="P547" s="311">
        <f t="shared" si="90"/>
        <v>352.18799999999999</v>
      </c>
      <c r="Q547" s="285"/>
      <c r="R547" s="278"/>
      <c r="S547" s="278"/>
      <c r="T547" s="278"/>
    </row>
    <row r="548" spans="1:20" s="305" customFormat="1" hidden="1" outlineLevel="1" x14ac:dyDescent="0.25">
      <c r="A548" s="278"/>
      <c r="B548" s="279" t="str">
        <f t="shared" si="91"/>
        <v>18001800TB/SLW</v>
      </c>
      <c r="C548" s="278">
        <v>1800</v>
      </c>
      <c r="D548" s="278">
        <v>1800</v>
      </c>
      <c r="E548" s="278" t="s">
        <v>952</v>
      </c>
      <c r="F548" s="278"/>
      <c r="G548" s="278" t="s">
        <v>5</v>
      </c>
      <c r="H548" s="290">
        <v>4</v>
      </c>
      <c r="I548" s="280">
        <f t="shared" si="92"/>
        <v>322.48</v>
      </c>
      <c r="J548" s="281">
        <f t="shared" si="93"/>
        <v>365.72</v>
      </c>
      <c r="K548" s="282">
        <f>IF(Notes!$B$9="Domestic",I548, IF(Notes!$B$9="Commercial",J548))*$K$511</f>
        <v>365.72</v>
      </c>
      <c r="L548" s="283">
        <f>(SUM(O548:Q548)+(K548+SUM(M548:Q548))*(INDEX($U$511:$AB$511,MATCH(Notes!$C$16,$U$3:$AB$3,0))-100%))*$L$511</f>
        <v>1976.8056000000001</v>
      </c>
      <c r="M548" s="286"/>
      <c r="N548" s="286"/>
      <c r="O548" s="285">
        <v>1554.18</v>
      </c>
      <c r="P548" s="311">
        <f t="shared" si="90"/>
        <v>422.62559999999996</v>
      </c>
      <c r="Q548" s="285"/>
      <c r="R548" s="278"/>
      <c r="S548" s="278"/>
      <c r="T548" s="278"/>
    </row>
    <row r="549" spans="1:20" s="305" customFormat="1" hidden="1" outlineLevel="1" x14ac:dyDescent="0.25">
      <c r="A549" s="278"/>
      <c r="B549" s="279" t="str">
        <f t="shared" si="91"/>
        <v>18002100TB/SLW</v>
      </c>
      <c r="C549" s="278">
        <v>1800</v>
      </c>
      <c r="D549" s="278">
        <v>2100</v>
      </c>
      <c r="E549" s="278" t="s">
        <v>952</v>
      </c>
      <c r="F549" s="278"/>
      <c r="G549" s="278" t="s">
        <v>5</v>
      </c>
      <c r="H549" s="290">
        <v>4</v>
      </c>
      <c r="I549" s="280">
        <f t="shared" si="92"/>
        <v>322.48</v>
      </c>
      <c r="J549" s="281">
        <f t="shared" si="93"/>
        <v>365.72</v>
      </c>
      <c r="K549" s="282">
        <f>IF(Notes!$B$9="Domestic",I549, IF(Notes!$B$9="Commercial",J549))*$K$511</f>
        <v>365.72</v>
      </c>
      <c r="L549" s="283">
        <f>(SUM(O549:Q549)+(K549+SUM(M549:Q549))*(INDEX($U$511:$AB$511,MATCH(Notes!$C$16,$U$3:$AB$3,0))-100%))*$L$511</f>
        <v>2140.0331999999999</v>
      </c>
      <c r="M549" s="286"/>
      <c r="N549" s="286"/>
      <c r="O549" s="285">
        <v>1646.97</v>
      </c>
      <c r="P549" s="311">
        <f t="shared" si="90"/>
        <v>493.06319999999999</v>
      </c>
      <c r="Q549" s="285"/>
      <c r="R549" s="278"/>
      <c r="S549" s="278"/>
      <c r="T549" s="278"/>
    </row>
    <row r="550" spans="1:20" s="305" customFormat="1" hidden="1" outlineLevel="1" x14ac:dyDescent="0.25">
      <c r="A550" s="278"/>
      <c r="B550" s="279" t="str">
        <f t="shared" si="91"/>
        <v>18002400TB/SLW</v>
      </c>
      <c r="C550" s="278">
        <v>1800</v>
      </c>
      <c r="D550" s="278">
        <v>2400</v>
      </c>
      <c r="E550" s="278" t="s">
        <v>952</v>
      </c>
      <c r="F550" s="278"/>
      <c r="G550" s="278" t="s">
        <v>5</v>
      </c>
      <c r="H550" s="290">
        <v>5</v>
      </c>
      <c r="I550" s="280">
        <f t="shared" si="92"/>
        <v>403.1</v>
      </c>
      <c r="J550" s="281">
        <f t="shared" si="93"/>
        <v>457.15000000000003</v>
      </c>
      <c r="K550" s="282">
        <f>IF(Notes!$B$9="Domestic",I550, IF(Notes!$B$9="Commercial",J550))*$K$511</f>
        <v>457.15000000000003</v>
      </c>
      <c r="L550" s="283">
        <f>(SUM(O550:Q550)+(K550+SUM(M550:Q550))*(INDEX($U$511:$AB$511,MATCH(Notes!$C$16,$U$3:$AB$3,0))-100%))*$L$511</f>
        <v>2548.4308000000001</v>
      </c>
      <c r="M550" s="286"/>
      <c r="N550" s="286"/>
      <c r="O550" s="285">
        <v>1984.93</v>
      </c>
      <c r="P550" s="311">
        <f t="shared" si="90"/>
        <v>563.50080000000003</v>
      </c>
      <c r="Q550" s="285"/>
      <c r="R550" s="278"/>
      <c r="S550" s="278"/>
      <c r="T550" s="278"/>
    </row>
    <row r="551" spans="1:20" s="305" customFormat="1" hidden="1" outlineLevel="1" x14ac:dyDescent="0.25">
      <c r="A551" s="278"/>
      <c r="B551" s="279" t="str">
        <f t="shared" si="91"/>
        <v>18002700TB/SLW</v>
      </c>
      <c r="C551" s="278">
        <v>1800</v>
      </c>
      <c r="D551" s="278">
        <v>2700</v>
      </c>
      <c r="E551" s="278" t="s">
        <v>952</v>
      </c>
      <c r="F551" s="278"/>
      <c r="G551" s="278" t="s">
        <v>5</v>
      </c>
      <c r="H551" s="290">
        <v>5</v>
      </c>
      <c r="I551" s="280">
        <f t="shared" si="92"/>
        <v>403.1</v>
      </c>
      <c r="J551" s="281">
        <f t="shared" si="93"/>
        <v>457.15000000000003</v>
      </c>
      <c r="K551" s="282">
        <f>IF(Notes!$B$9="Domestic",I551, IF(Notes!$B$9="Commercial",J551))*$K$511</f>
        <v>457.15000000000003</v>
      </c>
      <c r="L551" s="283">
        <f>(SUM(O551:Q551)+(K551+SUM(M551:Q551))*(INDEX($U$511:$AB$511,MATCH(Notes!$C$16,$U$3:$AB$3,0))-100%))*$L$511</f>
        <v>2685.6583999999998</v>
      </c>
      <c r="M551" s="286"/>
      <c r="N551" s="286"/>
      <c r="O551" s="285">
        <v>2051.7199999999998</v>
      </c>
      <c r="P551" s="311">
        <f t="shared" si="90"/>
        <v>633.9384</v>
      </c>
      <c r="Q551" s="285"/>
      <c r="R551" s="278"/>
      <c r="S551" s="278"/>
      <c r="T551" s="278"/>
    </row>
    <row r="552" spans="1:20" s="305" customFormat="1" hidden="1" outlineLevel="1" x14ac:dyDescent="0.25">
      <c r="A552" s="278"/>
      <c r="B552" s="279" t="str">
        <f t="shared" si="91"/>
        <v>2100600TB/SLW</v>
      </c>
      <c r="C552" s="278">
        <v>2100</v>
      </c>
      <c r="D552" s="278">
        <v>600</v>
      </c>
      <c r="E552" s="278" t="s">
        <v>952</v>
      </c>
      <c r="F552" s="278"/>
      <c r="G552" s="278" t="s">
        <v>5</v>
      </c>
      <c r="H552" s="290">
        <v>2</v>
      </c>
      <c r="I552" s="280">
        <f t="shared" si="92"/>
        <v>161.24</v>
      </c>
      <c r="J552" s="281">
        <f t="shared" si="93"/>
        <v>182.86</v>
      </c>
      <c r="K552" s="282">
        <f>IF(Notes!$B$9="Domestic",I552, IF(Notes!$B$9="Commercial",J552))*$K$511</f>
        <v>182.86</v>
      </c>
      <c r="L552" s="283">
        <f>(SUM(O552:Q552)+(K552+SUM(M552:Q552))*(INDEX($U$511:$AB$511,MATCH(Notes!$C$16,$U$3:$AB$3,0))-100%))*$L$511</f>
        <v>1054.3643999999999</v>
      </c>
      <c r="M552" s="286"/>
      <c r="N552" s="286"/>
      <c r="O552" s="311">
        <f>O517</f>
        <v>890.01</v>
      </c>
      <c r="P552" s="311">
        <f t="shared" si="90"/>
        <v>164.3544</v>
      </c>
      <c r="Q552" s="285"/>
      <c r="R552" s="278"/>
      <c r="S552" s="278"/>
      <c r="T552" s="278"/>
    </row>
    <row r="553" spans="1:20" s="305" customFormat="1" hidden="1" outlineLevel="1" x14ac:dyDescent="0.25">
      <c r="A553" s="278"/>
      <c r="B553" s="279" t="str">
        <f t="shared" si="91"/>
        <v>2100900TB/SLW</v>
      </c>
      <c r="C553" s="278">
        <v>2100</v>
      </c>
      <c r="D553" s="278">
        <v>900</v>
      </c>
      <c r="E553" s="278" t="s">
        <v>952</v>
      </c>
      <c r="F553" s="278"/>
      <c r="G553" s="278" t="s">
        <v>5</v>
      </c>
      <c r="H553" s="290">
        <v>2</v>
      </c>
      <c r="I553" s="280">
        <f t="shared" si="92"/>
        <v>161.24</v>
      </c>
      <c r="J553" s="281">
        <f t="shared" si="93"/>
        <v>182.86</v>
      </c>
      <c r="K553" s="282">
        <f>IF(Notes!$B$9="Domestic",I553, IF(Notes!$B$9="Commercial",J553))*$K$511</f>
        <v>182.86</v>
      </c>
      <c r="L553" s="283">
        <f>(SUM(O553:Q553)+(K553+SUM(M553:Q553))*(INDEX($U$511:$AB$511,MATCH(Notes!$C$16,$U$3:$AB$3,0))-100%))*$L$511</f>
        <v>1366.4316000000001</v>
      </c>
      <c r="M553" s="286"/>
      <c r="N553" s="286"/>
      <c r="O553" s="311">
        <f>O525</f>
        <v>1119.9000000000001</v>
      </c>
      <c r="P553" s="311">
        <f t="shared" si="90"/>
        <v>246.53159999999997</v>
      </c>
      <c r="Q553" s="285"/>
      <c r="R553" s="278"/>
      <c r="S553" s="278"/>
      <c r="T553" s="278"/>
    </row>
    <row r="554" spans="1:20" s="305" customFormat="1" hidden="1" outlineLevel="1" x14ac:dyDescent="0.25">
      <c r="A554" s="278"/>
      <c r="B554" s="279" t="str">
        <f t="shared" si="91"/>
        <v>21001200TB/SLW</v>
      </c>
      <c r="C554" s="278">
        <v>2100</v>
      </c>
      <c r="D554" s="278">
        <v>1200</v>
      </c>
      <c r="E554" s="278" t="s">
        <v>952</v>
      </c>
      <c r="F554" s="278"/>
      <c r="G554" s="278" t="s">
        <v>5</v>
      </c>
      <c r="H554" s="290">
        <v>3</v>
      </c>
      <c r="I554" s="280">
        <f t="shared" si="92"/>
        <v>241.86</v>
      </c>
      <c r="J554" s="281">
        <f t="shared" si="93"/>
        <v>274.29000000000002</v>
      </c>
      <c r="K554" s="282">
        <f>IF(Notes!$B$9="Domestic",I554, IF(Notes!$B$9="Commercial",J554))*$K$511</f>
        <v>274.29000000000002</v>
      </c>
      <c r="L554" s="283">
        <f>(SUM(O554:Q554)+(K554+SUM(M554:Q554))*(INDEX($U$511:$AB$511,MATCH(Notes!$C$16,$U$3:$AB$3,0))-100%))*$L$511</f>
        <v>1610.3287999999998</v>
      </c>
      <c r="M554" s="286"/>
      <c r="N554" s="286"/>
      <c r="O554" s="285">
        <v>1281.6199999999999</v>
      </c>
      <c r="P554" s="311">
        <f t="shared" si="90"/>
        <v>328.7088</v>
      </c>
      <c r="Q554" s="285"/>
      <c r="R554" s="278"/>
      <c r="S554" s="278"/>
      <c r="T554" s="278"/>
    </row>
    <row r="555" spans="1:20" s="305" customFormat="1" hidden="1" outlineLevel="1" x14ac:dyDescent="0.25">
      <c r="A555" s="278"/>
      <c r="B555" s="279" t="str">
        <f t="shared" si="91"/>
        <v>21001500TB/SLW</v>
      </c>
      <c r="C555" s="278">
        <v>2100</v>
      </c>
      <c r="D555" s="278">
        <v>1500</v>
      </c>
      <c r="E555" s="278" t="s">
        <v>952</v>
      </c>
      <c r="F555" s="278"/>
      <c r="G555" s="278" t="s">
        <v>5</v>
      </c>
      <c r="H555" s="290">
        <v>4</v>
      </c>
      <c r="I555" s="280">
        <f t="shared" si="92"/>
        <v>322.48</v>
      </c>
      <c r="J555" s="281">
        <f t="shared" si="93"/>
        <v>365.72</v>
      </c>
      <c r="K555" s="282">
        <f>IF(Notes!$B$9="Domestic",I555, IF(Notes!$B$9="Commercial",J555))*$K$511</f>
        <v>365.72</v>
      </c>
      <c r="L555" s="283">
        <f>(SUM(O555:Q555)+(K555+SUM(M555:Q555))*(INDEX($U$511:$AB$511,MATCH(Notes!$C$16,$U$3:$AB$3,0))-100%))*$L$511</f>
        <v>1919.896</v>
      </c>
      <c r="M555" s="286"/>
      <c r="N555" s="286"/>
      <c r="O555" s="285">
        <v>1509.01</v>
      </c>
      <c r="P555" s="311">
        <f t="shared" si="90"/>
        <v>410.88599999999997</v>
      </c>
      <c r="Q555" s="285"/>
      <c r="R555" s="278"/>
      <c r="S555" s="278"/>
      <c r="T555" s="278"/>
    </row>
    <row r="556" spans="1:20" s="305" customFormat="1" hidden="1" outlineLevel="1" x14ac:dyDescent="0.25">
      <c r="A556" s="278"/>
      <c r="B556" s="279" t="str">
        <f t="shared" si="91"/>
        <v>21001800TB/SLW</v>
      </c>
      <c r="C556" s="278">
        <v>2100</v>
      </c>
      <c r="D556" s="278">
        <v>1800</v>
      </c>
      <c r="E556" s="278" t="s">
        <v>952</v>
      </c>
      <c r="F556" s="278"/>
      <c r="G556" s="278" t="s">
        <v>5</v>
      </c>
      <c r="H556" s="290">
        <v>4</v>
      </c>
      <c r="I556" s="280">
        <f t="shared" si="92"/>
        <v>322.48</v>
      </c>
      <c r="J556" s="281">
        <f t="shared" si="93"/>
        <v>365.72</v>
      </c>
      <c r="K556" s="282">
        <f>IF(Notes!$B$9="Domestic",I556, IF(Notes!$B$9="Commercial",J556))*$K$511</f>
        <v>365.72</v>
      </c>
      <c r="L556" s="283">
        <f>(SUM(O556:Q556)+(K556+SUM(M556:Q556))*(INDEX($U$511:$AB$511,MATCH(Notes!$C$16,$U$3:$AB$3,0))-100%))*$L$511</f>
        <v>2140.0432000000001</v>
      </c>
      <c r="M556" s="286"/>
      <c r="N556" s="286"/>
      <c r="O556" s="285">
        <v>1646.98</v>
      </c>
      <c r="P556" s="311">
        <f t="shared" si="90"/>
        <v>493.06319999999994</v>
      </c>
      <c r="Q556" s="285"/>
      <c r="R556" s="278"/>
      <c r="S556" s="278"/>
      <c r="T556" s="278"/>
    </row>
    <row r="557" spans="1:20" s="305" customFormat="1" hidden="1" outlineLevel="1" x14ac:dyDescent="0.25">
      <c r="A557" s="278"/>
      <c r="B557" s="279" t="str">
        <f t="shared" si="91"/>
        <v>21002100TB/SLW</v>
      </c>
      <c r="C557" s="278">
        <v>2100</v>
      </c>
      <c r="D557" s="278">
        <v>2100</v>
      </c>
      <c r="E557" s="278" t="s">
        <v>952</v>
      </c>
      <c r="F557" s="278"/>
      <c r="G557" s="278" t="s">
        <v>5</v>
      </c>
      <c r="H557" s="290">
        <v>5</v>
      </c>
      <c r="I557" s="280">
        <f t="shared" si="92"/>
        <v>403.1</v>
      </c>
      <c r="J557" s="281">
        <f t="shared" si="93"/>
        <v>457.15000000000003</v>
      </c>
      <c r="K557" s="282">
        <f>IF(Notes!$B$9="Domestic",I557, IF(Notes!$B$9="Commercial",J557))*$K$511</f>
        <v>457.15000000000003</v>
      </c>
      <c r="L557" s="283">
        <f>(SUM(O557:Q557)+(K557+SUM(M557:Q557))*(INDEX($U$511:$AB$511,MATCH(Notes!$C$16,$U$3:$AB$3,0))-100%))*$L$511</f>
        <v>2315.4704000000002</v>
      </c>
      <c r="M557" s="286"/>
      <c r="N557" s="286"/>
      <c r="O557" s="285">
        <v>1740.23</v>
      </c>
      <c r="P557" s="311">
        <f t="shared" si="90"/>
        <v>575.24039999999991</v>
      </c>
      <c r="Q557" s="285"/>
      <c r="R557" s="278"/>
      <c r="S557" s="278"/>
      <c r="T557" s="278"/>
    </row>
    <row r="558" spans="1:20" s="305" customFormat="1" hidden="1" outlineLevel="1" x14ac:dyDescent="0.25">
      <c r="A558" s="278"/>
      <c r="B558" s="279" t="str">
        <f t="shared" si="91"/>
        <v>21002400TB/SLW</v>
      </c>
      <c r="C558" s="278">
        <v>2100</v>
      </c>
      <c r="D558" s="278">
        <v>2400</v>
      </c>
      <c r="E558" s="278" t="s">
        <v>952</v>
      </c>
      <c r="F558" s="278"/>
      <c r="G558" s="278" t="s">
        <v>5</v>
      </c>
      <c r="H558" s="290">
        <v>5</v>
      </c>
      <c r="I558" s="280">
        <f t="shared" si="92"/>
        <v>403.1</v>
      </c>
      <c r="J558" s="281">
        <f t="shared" si="93"/>
        <v>457.15000000000003</v>
      </c>
      <c r="K558" s="282">
        <f>IF(Notes!$B$9="Domestic",I558, IF(Notes!$B$9="Commercial",J558))*$K$511</f>
        <v>457.15000000000003</v>
      </c>
      <c r="L558" s="283">
        <f>(SUM(O558:Q558)+(K558+SUM(M558:Q558))*(INDEX($U$511:$AB$511,MATCH(Notes!$C$16,$U$3:$AB$3,0))-100%))*$L$511</f>
        <v>2900.6476000000002</v>
      </c>
      <c r="M558" s="286"/>
      <c r="N558" s="286"/>
      <c r="O558" s="285">
        <v>2243.23</v>
      </c>
      <c r="P558" s="311">
        <f t="shared" si="90"/>
        <v>657.41759999999999</v>
      </c>
      <c r="Q558" s="285"/>
      <c r="R558" s="278"/>
      <c r="S558" s="278"/>
      <c r="T558" s="278"/>
    </row>
    <row r="559" spans="1:20" s="305" customFormat="1" hidden="1" outlineLevel="1" x14ac:dyDescent="0.25">
      <c r="A559" s="278"/>
      <c r="B559" s="279" t="str">
        <f t="shared" si="91"/>
        <v>21002700TB/SLW</v>
      </c>
      <c r="C559" s="278">
        <v>2100</v>
      </c>
      <c r="D559" s="278">
        <v>2700</v>
      </c>
      <c r="E559" s="278" t="s">
        <v>952</v>
      </c>
      <c r="F559" s="278"/>
      <c r="G559" s="278" t="s">
        <v>5</v>
      </c>
      <c r="H559" s="290">
        <v>6</v>
      </c>
      <c r="I559" s="280">
        <f t="shared" si="92"/>
        <v>483.72</v>
      </c>
      <c r="J559" s="281">
        <f t="shared" si="93"/>
        <v>548.58000000000004</v>
      </c>
      <c r="K559" s="282">
        <f>IF(Notes!$B$9="Domestic",I559, IF(Notes!$B$9="Commercial",J559))*$K$511</f>
        <v>548.58000000000004</v>
      </c>
      <c r="L559" s="283">
        <f>(SUM(O559:Q559)+(K559+SUM(M559:Q559))*(INDEX($U$511:$AB$511,MATCH(Notes!$C$16,$U$3:$AB$3,0))-100%))*$L$511</f>
        <v>3050.0847999999996</v>
      </c>
      <c r="M559" s="286"/>
      <c r="N559" s="286"/>
      <c r="O559" s="285">
        <v>2310.4899999999998</v>
      </c>
      <c r="P559" s="311">
        <f t="shared" si="90"/>
        <v>739.59479999999996</v>
      </c>
      <c r="Q559" s="285"/>
      <c r="R559" s="278"/>
      <c r="S559" s="278"/>
      <c r="T559" s="278"/>
    </row>
    <row r="560" spans="1:20" s="305" customFormat="1" hidden="1" outlineLevel="1" x14ac:dyDescent="0.25">
      <c r="A560" s="278"/>
      <c r="B560" s="279" t="str">
        <f t="shared" si="91"/>
        <v>2400600TB/SLW</v>
      </c>
      <c r="C560" s="278">
        <v>2400</v>
      </c>
      <c r="D560" s="278">
        <v>600</v>
      </c>
      <c r="E560" s="278" t="s">
        <v>952</v>
      </c>
      <c r="F560" s="278"/>
      <c r="G560" s="278" t="s">
        <v>5</v>
      </c>
      <c r="H560" s="290">
        <v>2</v>
      </c>
      <c r="I560" s="280">
        <f t="shared" si="92"/>
        <v>161.24</v>
      </c>
      <c r="J560" s="281">
        <f t="shared" si="93"/>
        <v>182.86</v>
      </c>
      <c r="K560" s="282">
        <f>IF(Notes!$B$9="Domestic",I560, IF(Notes!$B$9="Commercial",J560))*$K$511</f>
        <v>182.86</v>
      </c>
      <c r="L560" s="283">
        <f>(SUM(O560:Q560)+(K560+SUM(M560:Q560))*(INDEX($U$511:$AB$511,MATCH(Notes!$C$16,$U$3:$AB$3,0))-100%))*$L$511</f>
        <v>1406.8635999999999</v>
      </c>
      <c r="M560" s="286"/>
      <c r="N560" s="286"/>
      <c r="O560" s="311">
        <f>O518</f>
        <v>1219.03</v>
      </c>
      <c r="P560" s="311">
        <f t="shared" si="90"/>
        <v>187.83359999999999</v>
      </c>
      <c r="Q560" s="285"/>
      <c r="R560" s="278"/>
      <c r="S560" s="278"/>
      <c r="T560" s="278"/>
    </row>
    <row r="561" spans="1:28" s="305" customFormat="1" hidden="1" outlineLevel="1" x14ac:dyDescent="0.25">
      <c r="A561" s="278"/>
      <c r="B561" s="279" t="str">
        <f t="shared" si="91"/>
        <v>2400900TB/SLW</v>
      </c>
      <c r="C561" s="278">
        <v>2400</v>
      </c>
      <c r="D561" s="278">
        <v>900</v>
      </c>
      <c r="E561" s="278" t="s">
        <v>952</v>
      </c>
      <c r="F561" s="278"/>
      <c r="G561" s="278" t="s">
        <v>5</v>
      </c>
      <c r="H561" s="290">
        <v>3</v>
      </c>
      <c r="I561" s="280">
        <f t="shared" si="92"/>
        <v>241.86</v>
      </c>
      <c r="J561" s="281">
        <f t="shared" si="93"/>
        <v>274.29000000000002</v>
      </c>
      <c r="K561" s="282">
        <f>IF(Notes!$B$9="Domestic",I561, IF(Notes!$B$9="Commercial",J561))*$K$511</f>
        <v>274.29000000000002</v>
      </c>
      <c r="L561" s="283">
        <f>(SUM(O561:Q561)+(K561+SUM(M561:Q561))*(INDEX($U$511:$AB$511,MATCH(Notes!$C$16,$U$3:$AB$3,0))-100%))*$L$511</f>
        <v>1669.1904</v>
      </c>
      <c r="M561" s="286"/>
      <c r="N561" s="286"/>
      <c r="O561" s="311">
        <f>O526</f>
        <v>1387.44</v>
      </c>
      <c r="P561" s="311">
        <f t="shared" si="90"/>
        <v>281.75039999999996</v>
      </c>
      <c r="Q561" s="285"/>
      <c r="R561" s="278"/>
      <c r="S561" s="278"/>
      <c r="T561" s="278"/>
    </row>
    <row r="562" spans="1:28" s="305" customFormat="1" hidden="1" outlineLevel="1" x14ac:dyDescent="0.25">
      <c r="A562" s="278"/>
      <c r="B562" s="279" t="str">
        <f t="shared" si="91"/>
        <v>24001200TB/SLW</v>
      </c>
      <c r="C562" s="278">
        <v>2400</v>
      </c>
      <c r="D562" s="278">
        <v>1200</v>
      </c>
      <c r="E562" s="278" t="s">
        <v>952</v>
      </c>
      <c r="F562" s="278"/>
      <c r="G562" s="278" t="s">
        <v>5</v>
      </c>
      <c r="H562" s="290">
        <v>3</v>
      </c>
      <c r="I562" s="280">
        <f t="shared" si="92"/>
        <v>241.86</v>
      </c>
      <c r="J562" s="281">
        <f t="shared" si="93"/>
        <v>274.29000000000002</v>
      </c>
      <c r="K562" s="282">
        <f>IF(Notes!$B$9="Domestic",I562, IF(Notes!$B$9="Commercial",J562))*$K$511</f>
        <v>274.29000000000002</v>
      </c>
      <c r="L562" s="283">
        <f>(SUM(O562:Q562)+(K562+SUM(M562:Q562))*(INDEX($U$511:$AB$511,MATCH(Notes!$C$16,$U$3:$AB$3,0))-100%))*$L$511</f>
        <v>1930.9672</v>
      </c>
      <c r="M562" s="286"/>
      <c r="N562" s="286"/>
      <c r="O562" s="311">
        <f>O534</f>
        <v>1555.3</v>
      </c>
      <c r="P562" s="311">
        <f t="shared" si="90"/>
        <v>375.66719999999998</v>
      </c>
      <c r="Q562" s="285"/>
      <c r="R562" s="278"/>
      <c r="S562" s="278"/>
      <c r="T562" s="278"/>
    </row>
    <row r="563" spans="1:28" s="305" customFormat="1" hidden="1" outlineLevel="1" x14ac:dyDescent="0.25">
      <c r="A563" s="278"/>
      <c r="B563" s="279" t="str">
        <f t="shared" si="91"/>
        <v>24001500TB/SLW</v>
      </c>
      <c r="C563" s="278">
        <v>2400</v>
      </c>
      <c r="D563" s="278">
        <v>1500</v>
      </c>
      <c r="E563" s="278" t="s">
        <v>952</v>
      </c>
      <c r="F563" s="278"/>
      <c r="G563" s="278" t="s">
        <v>5</v>
      </c>
      <c r="H563" s="290">
        <v>4</v>
      </c>
      <c r="I563" s="280">
        <f t="shared" si="92"/>
        <v>322.48</v>
      </c>
      <c r="J563" s="281">
        <f t="shared" si="93"/>
        <v>365.72</v>
      </c>
      <c r="K563" s="282">
        <f>IF(Notes!$B$9="Domestic",I563, IF(Notes!$B$9="Commercial",J563))*$K$511</f>
        <v>365.72</v>
      </c>
      <c r="L563" s="283">
        <f>(SUM(O563:Q563)+(K563+SUM(M563:Q563))*(INDEX($U$511:$AB$511,MATCH(Notes!$C$16,$U$3:$AB$3,0))-100%))*$L$511</f>
        <v>2193.2939999999999</v>
      </c>
      <c r="M563" s="286"/>
      <c r="N563" s="286"/>
      <c r="O563" s="311">
        <f>O542</f>
        <v>1723.71</v>
      </c>
      <c r="P563" s="311">
        <f t="shared" si="90"/>
        <v>469.584</v>
      </c>
      <c r="Q563" s="285"/>
      <c r="R563" s="278"/>
      <c r="S563" s="278"/>
      <c r="T563" s="278"/>
    </row>
    <row r="564" spans="1:28" s="305" customFormat="1" hidden="1" outlineLevel="1" x14ac:dyDescent="0.25">
      <c r="A564" s="278"/>
      <c r="B564" s="279" t="str">
        <f t="shared" si="91"/>
        <v>24001800TB/SLW</v>
      </c>
      <c r="C564" s="278">
        <v>2400</v>
      </c>
      <c r="D564" s="278">
        <v>1800</v>
      </c>
      <c r="E564" s="278" t="s">
        <v>952</v>
      </c>
      <c r="F564" s="278"/>
      <c r="G564" s="278" t="s">
        <v>5</v>
      </c>
      <c r="H564" s="290">
        <v>5</v>
      </c>
      <c r="I564" s="280">
        <f t="shared" si="92"/>
        <v>403.1</v>
      </c>
      <c r="J564" s="281">
        <f t="shared" si="93"/>
        <v>457.15000000000003</v>
      </c>
      <c r="K564" s="282">
        <f>IF(Notes!$B$9="Domestic",I564, IF(Notes!$B$9="Commercial",J564))*$K$511</f>
        <v>457.15000000000003</v>
      </c>
      <c r="L564" s="283">
        <f>(SUM(O564:Q564)+(K564+SUM(M564:Q564))*(INDEX($U$511:$AB$511,MATCH(Notes!$C$16,$U$3:$AB$3,0))-100%))*$L$511</f>
        <v>2548.4308000000001</v>
      </c>
      <c r="M564" s="286"/>
      <c r="N564" s="286"/>
      <c r="O564" s="311">
        <f>O550</f>
        <v>1984.93</v>
      </c>
      <c r="P564" s="311">
        <f t="shared" si="90"/>
        <v>563.50079999999991</v>
      </c>
      <c r="Q564" s="285"/>
      <c r="R564" s="278"/>
      <c r="S564" s="278"/>
      <c r="T564" s="278"/>
    </row>
    <row r="565" spans="1:28" s="305" customFormat="1" hidden="1" outlineLevel="1" x14ac:dyDescent="0.25">
      <c r="A565" s="278"/>
      <c r="B565" s="279" t="str">
        <f t="shared" si="91"/>
        <v>24002100TB/SLW</v>
      </c>
      <c r="C565" s="278">
        <v>2400</v>
      </c>
      <c r="D565" s="278">
        <v>2100</v>
      </c>
      <c r="E565" s="278" t="s">
        <v>952</v>
      </c>
      <c r="F565" s="278"/>
      <c r="G565" s="278" t="s">
        <v>5</v>
      </c>
      <c r="H565" s="290">
        <v>5</v>
      </c>
      <c r="I565" s="280">
        <f t="shared" si="92"/>
        <v>403.1</v>
      </c>
      <c r="J565" s="281">
        <f t="shared" si="93"/>
        <v>457.15000000000003</v>
      </c>
      <c r="K565" s="282">
        <f>IF(Notes!$B$9="Domestic",I565, IF(Notes!$B$9="Commercial",J565))*$K$511</f>
        <v>457.15000000000003</v>
      </c>
      <c r="L565" s="283">
        <f>(SUM(O565:Q565)+(K565+SUM(M565:Q565))*(INDEX($U$511:$AB$511,MATCH(Notes!$C$16,$U$3:$AB$3,0))-100%))*$L$511</f>
        <v>2900.6476000000002</v>
      </c>
      <c r="M565" s="286"/>
      <c r="N565" s="286"/>
      <c r="O565" s="311">
        <f>O558</f>
        <v>2243.23</v>
      </c>
      <c r="P565" s="311">
        <f t="shared" si="90"/>
        <v>657.41759999999999</v>
      </c>
      <c r="Q565" s="285"/>
      <c r="R565" s="278"/>
      <c r="S565" s="278"/>
      <c r="T565" s="278"/>
    </row>
    <row r="566" spans="1:28" s="305" customFormat="1" hidden="1" outlineLevel="1" x14ac:dyDescent="0.25">
      <c r="A566" s="278"/>
      <c r="B566" s="279" t="str">
        <f t="shared" si="91"/>
        <v>24002400TB/SLW</v>
      </c>
      <c r="C566" s="278">
        <v>2400</v>
      </c>
      <c r="D566" s="278">
        <v>2400</v>
      </c>
      <c r="E566" s="278" t="s">
        <v>952</v>
      </c>
      <c r="F566" s="278"/>
      <c r="G566" s="278" t="s">
        <v>5</v>
      </c>
      <c r="H566" s="290">
        <v>6</v>
      </c>
      <c r="I566" s="280">
        <f t="shared" si="92"/>
        <v>483.72</v>
      </c>
      <c r="J566" s="281">
        <f t="shared" si="93"/>
        <v>548.58000000000004</v>
      </c>
      <c r="K566" s="282">
        <f>IF(Notes!$B$9="Domestic",I566, IF(Notes!$B$9="Commercial",J566))*$K$511</f>
        <v>548.58000000000004</v>
      </c>
      <c r="L566" s="283">
        <f>(SUM(O566:Q566)+(K566+SUM(M566:Q566))*(INDEX($U$511:$AB$511,MATCH(Notes!$C$16,$U$3:$AB$3,0))-100%))*$L$511</f>
        <v>3861.9344000000001</v>
      </c>
      <c r="M566" s="286"/>
      <c r="N566" s="286"/>
      <c r="O566" s="311">
        <f>O534*2</f>
        <v>3110.6</v>
      </c>
      <c r="P566" s="311">
        <f t="shared" si="90"/>
        <v>751.33439999999996</v>
      </c>
      <c r="Q566" s="285"/>
      <c r="R566" s="278"/>
      <c r="S566" s="278"/>
      <c r="T566" s="278"/>
    </row>
    <row r="567" spans="1:28" s="305" customFormat="1" hidden="1" outlineLevel="1" x14ac:dyDescent="0.25">
      <c r="A567" s="278"/>
      <c r="B567" s="279" t="str">
        <f t="shared" si="91"/>
        <v>24002700TB/SLW</v>
      </c>
      <c r="C567" s="278">
        <v>2400</v>
      </c>
      <c r="D567" s="278">
        <v>2700</v>
      </c>
      <c r="E567" s="278" t="s">
        <v>952</v>
      </c>
      <c r="F567" s="278"/>
      <c r="G567" s="278" t="s">
        <v>5</v>
      </c>
      <c r="H567" s="290">
        <v>6</v>
      </c>
      <c r="I567" s="280">
        <f t="shared" si="92"/>
        <v>483.72</v>
      </c>
      <c r="J567" s="281">
        <f t="shared" si="93"/>
        <v>548.58000000000004</v>
      </c>
      <c r="K567" s="282">
        <f>IF(Notes!$B$9="Domestic",I567, IF(Notes!$B$9="Commercial",J567))*$K$511</f>
        <v>548.58000000000004</v>
      </c>
      <c r="L567" s="283">
        <f>(SUM(O567:Q567)+(K567+SUM(M567:Q567))*(INDEX($U$511:$AB$511,MATCH(Notes!$C$16,$U$3:$AB$3,0))-100%))*$L$511</f>
        <v>4042.7511999999997</v>
      </c>
      <c r="M567" s="286"/>
      <c r="N567" s="286"/>
      <c r="O567" s="311">
        <f>O535*2</f>
        <v>3197.5</v>
      </c>
      <c r="P567" s="311">
        <f t="shared" si="90"/>
        <v>845.25119999999993</v>
      </c>
      <c r="Q567" s="285"/>
      <c r="R567" s="278"/>
      <c r="S567" s="278"/>
      <c r="T567" s="278"/>
    </row>
    <row r="568" spans="1:28" s="305" customFormat="1" hidden="1" outlineLevel="1" x14ac:dyDescent="0.25">
      <c r="A568" s="278"/>
      <c r="B568" s="279" t="str">
        <f t="shared" si="91"/>
        <v>2700600TB/SLW</v>
      </c>
      <c r="C568" s="278">
        <v>2700</v>
      </c>
      <c r="D568" s="278">
        <v>600</v>
      </c>
      <c r="E568" s="278" t="s">
        <v>952</v>
      </c>
      <c r="F568" s="278"/>
      <c r="G568" s="278" t="s">
        <v>5</v>
      </c>
      <c r="H568" s="290">
        <v>2</v>
      </c>
      <c r="I568" s="280">
        <f t="shared" si="92"/>
        <v>161.24</v>
      </c>
      <c r="J568" s="281">
        <f t="shared" si="93"/>
        <v>182.86</v>
      </c>
      <c r="K568" s="282">
        <f>IF(Notes!$B$9="Domestic",I568, IF(Notes!$B$9="Commercial",J568))*$K$511</f>
        <v>182.86</v>
      </c>
      <c r="L568" s="283">
        <f>(SUM(O568:Q568)+(K568+SUM(M568:Q568))*(INDEX($U$511:$AB$511,MATCH(Notes!$C$16,$U$3:$AB$3,0))-100%))*$L$511</f>
        <v>1472.7828</v>
      </c>
      <c r="M568" s="286"/>
      <c r="N568" s="286"/>
      <c r="O568" s="311">
        <f>O519</f>
        <v>1261.47</v>
      </c>
      <c r="P568" s="311">
        <f t="shared" si="90"/>
        <v>211.31279999999998</v>
      </c>
      <c r="Q568" s="285"/>
      <c r="R568" s="278"/>
      <c r="S568" s="278"/>
      <c r="T568" s="278"/>
    </row>
    <row r="569" spans="1:28" s="305" customFormat="1" hidden="1" outlineLevel="1" x14ac:dyDescent="0.25">
      <c r="A569" s="278"/>
      <c r="B569" s="279" t="str">
        <f t="shared" si="91"/>
        <v>2700900TB/SLW</v>
      </c>
      <c r="C569" s="278">
        <v>2700</v>
      </c>
      <c r="D569" s="278">
        <v>900</v>
      </c>
      <c r="E569" s="278" t="s">
        <v>952</v>
      </c>
      <c r="F569" s="278"/>
      <c r="G569" s="278" t="s">
        <v>5</v>
      </c>
      <c r="H569" s="290">
        <v>3</v>
      </c>
      <c r="I569" s="280">
        <f t="shared" si="92"/>
        <v>241.86</v>
      </c>
      <c r="J569" s="281">
        <f t="shared" si="93"/>
        <v>274.29000000000002</v>
      </c>
      <c r="K569" s="282">
        <f>IF(Notes!$B$9="Domestic",I569, IF(Notes!$B$9="Commercial",J569))*$K$511</f>
        <v>274.29000000000002</v>
      </c>
      <c r="L569" s="283">
        <f>(SUM(O569:Q569)+(K569+SUM(M569:Q569))*(INDEX($U$511:$AB$511,MATCH(Notes!$C$16,$U$3:$AB$3,0))-100%))*$L$511</f>
        <v>1747.3291999999999</v>
      </c>
      <c r="M569" s="286"/>
      <c r="N569" s="286"/>
      <c r="O569" s="311">
        <f>O527</f>
        <v>1430.36</v>
      </c>
      <c r="P569" s="311">
        <f t="shared" si="90"/>
        <v>316.9692</v>
      </c>
      <c r="Q569" s="285"/>
      <c r="R569" s="278"/>
      <c r="S569" s="278"/>
      <c r="T569" s="278"/>
    </row>
    <row r="570" spans="1:28" s="305" customFormat="1" hidden="1" outlineLevel="1" x14ac:dyDescent="0.25">
      <c r="A570" s="278"/>
      <c r="B570" s="279" t="str">
        <f t="shared" si="91"/>
        <v>27001200TB/SLW</v>
      </c>
      <c r="C570" s="278">
        <v>2700</v>
      </c>
      <c r="D570" s="278">
        <v>1200</v>
      </c>
      <c r="E570" s="278" t="s">
        <v>952</v>
      </c>
      <c r="F570" s="278"/>
      <c r="G570" s="278" t="s">
        <v>5</v>
      </c>
      <c r="H570" s="290">
        <v>3</v>
      </c>
      <c r="I570" s="280">
        <f t="shared" si="92"/>
        <v>241.86</v>
      </c>
      <c r="J570" s="281">
        <f t="shared" si="93"/>
        <v>274.29000000000002</v>
      </c>
      <c r="K570" s="282">
        <f>IF(Notes!$B$9="Domestic",I570, IF(Notes!$B$9="Commercial",J570))*$K$511</f>
        <v>274.29000000000002</v>
      </c>
      <c r="L570" s="283">
        <f>(SUM(O570:Q570)+(K570+SUM(M570:Q570))*(INDEX($U$511:$AB$511,MATCH(Notes!$C$16,$U$3:$AB$3,0))-100%))*$L$511</f>
        <v>2021.3755999999998</v>
      </c>
      <c r="M570" s="286"/>
      <c r="N570" s="286"/>
      <c r="O570" s="311">
        <f>O535</f>
        <v>1598.75</v>
      </c>
      <c r="P570" s="311">
        <f t="shared" si="90"/>
        <v>422.62559999999996</v>
      </c>
      <c r="Q570" s="285"/>
      <c r="R570" s="278"/>
      <c r="S570" s="278"/>
      <c r="T570" s="278"/>
    </row>
    <row r="571" spans="1:28" s="305" customFormat="1" hidden="1" outlineLevel="1" x14ac:dyDescent="0.25">
      <c r="A571" s="278"/>
      <c r="B571" s="279" t="str">
        <f t="shared" si="91"/>
        <v>27001500TB/SLW</v>
      </c>
      <c r="C571" s="278">
        <v>2700</v>
      </c>
      <c r="D571" s="278">
        <v>1500</v>
      </c>
      <c r="E571" s="278" t="s">
        <v>952</v>
      </c>
      <c r="F571" s="278"/>
      <c r="G571" s="278" t="s">
        <v>5</v>
      </c>
      <c r="H571" s="290">
        <v>4</v>
      </c>
      <c r="I571" s="280">
        <f t="shared" si="92"/>
        <v>322.48</v>
      </c>
      <c r="J571" s="281">
        <f t="shared" si="93"/>
        <v>365.72</v>
      </c>
      <c r="K571" s="282">
        <f>IF(Notes!$B$9="Domestic",I571, IF(Notes!$B$9="Commercial",J571))*$K$511</f>
        <v>365.72</v>
      </c>
      <c r="L571" s="283">
        <f>(SUM(O571:Q571)+(K571+SUM(M571:Q571))*(INDEX($U$511:$AB$511,MATCH(Notes!$C$16,$U$3:$AB$3,0))-100%))*$L$511</f>
        <v>2295.9120000000003</v>
      </c>
      <c r="M571" s="286"/>
      <c r="N571" s="286"/>
      <c r="O571" s="311">
        <f>O543</f>
        <v>1767.63</v>
      </c>
      <c r="P571" s="311">
        <f t="shared" si="90"/>
        <v>528.28200000000004</v>
      </c>
      <c r="Q571" s="285"/>
      <c r="R571" s="278"/>
      <c r="S571" s="278"/>
      <c r="T571" s="278"/>
    </row>
    <row r="572" spans="1:28" s="305" customFormat="1" hidden="1" outlineLevel="1" x14ac:dyDescent="0.25">
      <c r="A572" s="278"/>
      <c r="B572" s="279" t="str">
        <f t="shared" si="91"/>
        <v>27001800TB/SLW</v>
      </c>
      <c r="C572" s="278">
        <v>2700</v>
      </c>
      <c r="D572" s="278">
        <v>1800</v>
      </c>
      <c r="E572" s="278" t="s">
        <v>952</v>
      </c>
      <c r="F572" s="278"/>
      <c r="G572" s="278" t="s">
        <v>5</v>
      </c>
      <c r="H572" s="290">
        <v>5</v>
      </c>
      <c r="I572" s="280">
        <f t="shared" si="92"/>
        <v>403.1</v>
      </c>
      <c r="J572" s="281">
        <f t="shared" si="93"/>
        <v>457.15000000000003</v>
      </c>
      <c r="K572" s="282">
        <f>IF(Notes!$B$9="Domestic",I572, IF(Notes!$B$9="Commercial",J572))*$K$511</f>
        <v>457.15000000000003</v>
      </c>
      <c r="L572" s="283">
        <f>(SUM(O572:Q572)+(K572+SUM(M572:Q572))*(INDEX($U$511:$AB$511,MATCH(Notes!$C$16,$U$3:$AB$3,0))-100%))*$L$511</f>
        <v>2685.6583999999998</v>
      </c>
      <c r="M572" s="286"/>
      <c r="N572" s="286"/>
      <c r="O572" s="311">
        <f>O551</f>
        <v>2051.7199999999998</v>
      </c>
      <c r="P572" s="311">
        <f t="shared" si="90"/>
        <v>633.9384</v>
      </c>
      <c r="Q572" s="285"/>
      <c r="R572" s="278"/>
      <c r="S572" s="278"/>
      <c r="T572" s="278"/>
    </row>
    <row r="573" spans="1:28" s="305" customFormat="1" hidden="1" outlineLevel="1" x14ac:dyDescent="0.25">
      <c r="A573" s="278"/>
      <c r="B573" s="279" t="str">
        <f t="shared" si="91"/>
        <v>27002100TB/SLW</v>
      </c>
      <c r="C573" s="278">
        <v>2700</v>
      </c>
      <c r="D573" s="278">
        <v>2100</v>
      </c>
      <c r="E573" s="278" t="s">
        <v>952</v>
      </c>
      <c r="F573" s="278"/>
      <c r="G573" s="278" t="s">
        <v>5</v>
      </c>
      <c r="H573" s="290">
        <v>5</v>
      </c>
      <c r="I573" s="280">
        <f t="shared" si="92"/>
        <v>403.1</v>
      </c>
      <c r="J573" s="281">
        <f t="shared" si="93"/>
        <v>457.15000000000003</v>
      </c>
      <c r="K573" s="282">
        <f>IF(Notes!$B$9="Domestic",I573, IF(Notes!$B$9="Commercial",J573))*$K$511</f>
        <v>457.15000000000003</v>
      </c>
      <c r="L573" s="283">
        <f>(SUM(O573:Q573)+(K573+SUM(M573:Q573))*(INDEX($U$511:$AB$511,MATCH(Notes!$C$16,$U$3:$AB$3,0))-100%))*$L$511</f>
        <v>3050.0847999999996</v>
      </c>
      <c r="M573" s="286"/>
      <c r="N573" s="286"/>
      <c r="O573" s="311">
        <f>O559</f>
        <v>2310.4899999999998</v>
      </c>
      <c r="P573" s="311">
        <f t="shared" si="90"/>
        <v>739.59479999999996</v>
      </c>
      <c r="Q573" s="285"/>
      <c r="R573" s="278"/>
      <c r="S573" s="278"/>
      <c r="T573" s="278"/>
    </row>
    <row r="574" spans="1:28" s="305" customFormat="1" hidden="1" outlineLevel="1" x14ac:dyDescent="0.25">
      <c r="A574" s="278"/>
      <c r="B574" s="279" t="str">
        <f t="shared" si="91"/>
        <v>27002400TB/SLW</v>
      </c>
      <c r="C574" s="278">
        <v>2700</v>
      </c>
      <c r="D574" s="278">
        <v>2400</v>
      </c>
      <c r="E574" s="278" t="s">
        <v>952</v>
      </c>
      <c r="F574" s="278"/>
      <c r="G574" s="278" t="s">
        <v>5</v>
      </c>
      <c r="H574" s="290">
        <v>6</v>
      </c>
      <c r="I574" s="280">
        <f t="shared" si="92"/>
        <v>483.72</v>
      </c>
      <c r="J574" s="281">
        <f t="shared" si="93"/>
        <v>548.58000000000004</v>
      </c>
      <c r="K574" s="282">
        <f>IF(Notes!$B$9="Domestic",I574, IF(Notes!$B$9="Commercial",J574))*$K$511</f>
        <v>548.58000000000004</v>
      </c>
      <c r="L574" s="283">
        <f>(SUM(O574:Q574)+(K574+SUM(M574:Q574))*(INDEX($U$511:$AB$511,MATCH(Notes!$C$16,$U$3:$AB$3,0))-100%))*$L$511</f>
        <v>4042.7511999999997</v>
      </c>
      <c r="M574" s="286"/>
      <c r="N574" s="286"/>
      <c r="O574" s="311">
        <f>O567</f>
        <v>3197.5</v>
      </c>
      <c r="P574" s="311">
        <f t="shared" si="90"/>
        <v>845.25119999999993</v>
      </c>
      <c r="Q574" s="285"/>
      <c r="R574" s="278"/>
      <c r="S574" s="278"/>
      <c r="T574" s="278"/>
    </row>
    <row r="575" spans="1:28" s="305" customFormat="1" hidden="1" outlineLevel="1" x14ac:dyDescent="0.25">
      <c r="A575" s="278"/>
      <c r="B575" s="279" t="str">
        <f t="shared" si="91"/>
        <v>27002700TB/SLW</v>
      </c>
      <c r="C575" s="278">
        <v>2700</v>
      </c>
      <c r="D575" s="278">
        <v>2700</v>
      </c>
      <c r="E575" s="278" t="s">
        <v>952</v>
      </c>
      <c r="F575" s="278"/>
      <c r="G575" s="278" t="s">
        <v>5</v>
      </c>
      <c r="H575" s="290">
        <v>6</v>
      </c>
      <c r="I575" s="280">
        <f t="shared" si="92"/>
        <v>483.72</v>
      </c>
      <c r="J575" s="281">
        <f t="shared" si="93"/>
        <v>548.58000000000004</v>
      </c>
      <c r="K575" s="282">
        <f>IF(Notes!$B$9="Domestic",I575, IF(Notes!$B$9="Commercial",J575))*$K$511</f>
        <v>548.58000000000004</v>
      </c>
      <c r="L575" s="283">
        <f>(SUM(O575:Q575)+(K575+SUM(M575:Q575))*(INDEX($U$511:$AB$511,MATCH(Notes!$C$16,$U$3:$AB$3,0))-100%))*$L$511</f>
        <v>4486.1676000000007</v>
      </c>
      <c r="M575" s="286"/>
      <c r="N575" s="286"/>
      <c r="O575" s="311">
        <f>O543*2</f>
        <v>3535.26</v>
      </c>
      <c r="P575" s="311">
        <f t="shared" si="90"/>
        <v>950.9076</v>
      </c>
      <c r="Q575" s="285"/>
      <c r="R575" s="278"/>
      <c r="S575" s="278"/>
      <c r="T575" s="278"/>
    </row>
    <row r="576" spans="1:28" ht="21" hidden="1" outlineLevel="1" x14ac:dyDescent="0.25">
      <c r="A576" s="299" t="s">
        <v>498</v>
      </c>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row>
    <row r="577" spans="1:28" ht="15.75" hidden="1" outlineLevel="1" x14ac:dyDescent="0.25">
      <c r="A577" s="291"/>
      <c r="B577" s="291"/>
      <c r="C577" s="291"/>
      <c r="D577" s="291"/>
      <c r="E577" s="291"/>
      <c r="F577" s="291"/>
      <c r="G577" s="291"/>
      <c r="H577" s="291"/>
      <c r="I577" s="291"/>
      <c r="J577" s="291"/>
      <c r="K577" s="291">
        <f>K$2</f>
        <v>1</v>
      </c>
      <c r="L577" s="291">
        <f>L$2</f>
        <v>1</v>
      </c>
      <c r="M577" s="291"/>
      <c r="N577" s="291"/>
      <c r="O577" s="303"/>
      <c r="P577" s="303"/>
      <c r="Q577" s="303"/>
      <c r="R577" s="291"/>
      <c r="S577" s="291"/>
      <c r="T577" s="291"/>
      <c r="U577" s="291">
        <f>U$2</f>
        <v>0.89965397923875434</v>
      </c>
      <c r="V577" s="291">
        <f>V$2</f>
        <v>1</v>
      </c>
      <c r="W577" s="291">
        <f t="shared" ref="W577:AB577" si="94">W$2</f>
        <v>0.92214532871972321</v>
      </c>
      <c r="X577" s="291">
        <f t="shared" si="94"/>
        <v>0.89965397923875434</v>
      </c>
      <c r="Y577" s="291">
        <f t="shared" si="94"/>
        <v>1.0069204152249136</v>
      </c>
      <c r="Z577" s="291">
        <f t="shared" si="94"/>
        <v>0.856401384083045</v>
      </c>
      <c r="AA577" s="291">
        <f t="shared" si="94"/>
        <v>0.856401384083045</v>
      </c>
      <c r="AB577" s="291">
        <f t="shared" si="94"/>
        <v>1.0121107266435987</v>
      </c>
    </row>
    <row r="578" spans="1:28" s="305" customFormat="1" hidden="1" outlineLevel="1" x14ac:dyDescent="0.25">
      <c r="A578" s="278"/>
      <c r="B578" s="279" t="str">
        <f>C578&amp;D578&amp;E578&amp;F578</f>
        <v>900600TB/DHW</v>
      </c>
      <c r="C578" s="278">
        <v>900</v>
      </c>
      <c r="D578" s="278">
        <v>600</v>
      </c>
      <c r="E578" s="278" t="s">
        <v>944</v>
      </c>
      <c r="F578" s="278"/>
      <c r="G578" s="278" t="s">
        <v>5</v>
      </c>
      <c r="H578" s="290">
        <v>1</v>
      </c>
      <c r="I578" s="280">
        <f>$I$2*H578</f>
        <v>80.62</v>
      </c>
      <c r="J578" s="281">
        <f>$J$2*H578</f>
        <v>91.43</v>
      </c>
      <c r="K578" s="282">
        <f>IF(Notes!$B$9="Domestic",I578, IF(Notes!$B$9="Commercial",J578))*$K$577</f>
        <v>91.43</v>
      </c>
      <c r="L578" s="283">
        <f>(SUM(O578:Q578)+(K578+SUM(M578:Q578))*(INDEX($U$577:$AB$577,MATCH(Notes!$C$16,$U$3:$AB$3,0))-100%))*$L$577</f>
        <v>662.96759999999995</v>
      </c>
      <c r="M578" s="286"/>
      <c r="N578" s="286"/>
      <c r="O578" s="285">
        <v>592.53</v>
      </c>
      <c r="P578" s="311">
        <f t="shared" ref="P578:P633" si="95">$P$2*C578/1000*D578/1000</f>
        <v>70.437600000000003</v>
      </c>
      <c r="Q578" s="285"/>
      <c r="R578" s="278">
        <v>900</v>
      </c>
      <c r="S578" s="278">
        <v>600</v>
      </c>
      <c r="T578" s="278" t="s">
        <v>944</v>
      </c>
    </row>
    <row r="579" spans="1:28" s="305" customFormat="1" hidden="1" outlineLevel="1" x14ac:dyDescent="0.25">
      <c r="A579" s="278"/>
      <c r="B579" s="279" t="str">
        <f t="shared" ref="B579:B633" si="96">C579&amp;D579&amp;E579&amp;F579</f>
        <v>900900TB/DHW</v>
      </c>
      <c r="C579" s="278">
        <v>900</v>
      </c>
      <c r="D579" s="278">
        <v>900</v>
      </c>
      <c r="E579" s="278" t="s">
        <v>944</v>
      </c>
      <c r="F579" s="278"/>
      <c r="G579" s="278" t="s">
        <v>5</v>
      </c>
      <c r="H579" s="290">
        <v>1</v>
      </c>
      <c r="I579" s="280">
        <f t="shared" ref="I579:I633" si="97">$I$2*H579</f>
        <v>80.62</v>
      </c>
      <c r="J579" s="281">
        <f t="shared" ref="J579:J633" si="98">$J$2*H579</f>
        <v>91.43</v>
      </c>
      <c r="K579" s="282">
        <f>IF(Notes!$B$9="Domestic",I579, IF(Notes!$B$9="Commercial",J579))*$K$577</f>
        <v>91.43</v>
      </c>
      <c r="L579" s="283">
        <f>(SUM(O579:Q579)+(K579+SUM(M579:Q579))*(INDEX($U$577:$AB$577,MATCH(Notes!$C$16,$U$3:$AB$3,0))-100%))*$L$577</f>
        <v>829.84640000000002</v>
      </c>
      <c r="M579" s="286"/>
      <c r="N579" s="286"/>
      <c r="O579" s="285">
        <v>724.19</v>
      </c>
      <c r="P579" s="311">
        <f t="shared" si="95"/>
        <v>105.65639999999999</v>
      </c>
      <c r="Q579" s="285"/>
      <c r="R579" s="278">
        <v>1200</v>
      </c>
      <c r="S579" s="278">
        <v>900</v>
      </c>
      <c r="T579" s="278"/>
    </row>
    <row r="580" spans="1:28" s="305" customFormat="1" hidden="1" outlineLevel="1" x14ac:dyDescent="0.25">
      <c r="A580" s="278"/>
      <c r="B580" s="279" t="str">
        <f t="shared" si="96"/>
        <v>9001200TB/DHW</v>
      </c>
      <c r="C580" s="278">
        <v>900</v>
      </c>
      <c r="D580" s="278">
        <v>1200</v>
      </c>
      <c r="E580" s="278" t="s">
        <v>944</v>
      </c>
      <c r="F580" s="278"/>
      <c r="G580" s="278" t="s">
        <v>5</v>
      </c>
      <c r="H580" s="290">
        <v>1</v>
      </c>
      <c r="I580" s="280">
        <f t="shared" si="97"/>
        <v>80.62</v>
      </c>
      <c r="J580" s="281">
        <f t="shared" si="98"/>
        <v>91.43</v>
      </c>
      <c r="K580" s="282">
        <f>IF(Notes!$B$9="Domestic",I580, IF(Notes!$B$9="Commercial",J580))*$K$577</f>
        <v>91.43</v>
      </c>
      <c r="L580" s="283">
        <f>(SUM(O580:Q580)+(K580+SUM(M580:Q580))*(INDEX($U$577:$AB$577,MATCH(Notes!$C$16,$U$3:$AB$3,0))-100%))*$L$577</f>
        <v>1014.3652</v>
      </c>
      <c r="M580" s="286"/>
      <c r="N580" s="286"/>
      <c r="O580" s="285">
        <v>873.49</v>
      </c>
      <c r="P580" s="311">
        <f t="shared" si="95"/>
        <v>140.87520000000001</v>
      </c>
      <c r="Q580" s="285"/>
      <c r="R580" s="278">
        <v>1500</v>
      </c>
      <c r="S580" s="278">
        <v>1200</v>
      </c>
      <c r="T580" s="278"/>
    </row>
    <row r="581" spans="1:28" s="305" customFormat="1" hidden="1" outlineLevel="1" x14ac:dyDescent="0.25">
      <c r="A581" s="278"/>
      <c r="B581" s="279" t="str">
        <f t="shared" si="96"/>
        <v>9001500TB/DHW</v>
      </c>
      <c r="C581" s="278">
        <v>900</v>
      </c>
      <c r="D581" s="278">
        <v>1500</v>
      </c>
      <c r="E581" s="278" t="s">
        <v>944</v>
      </c>
      <c r="F581" s="278"/>
      <c r="G581" s="278" t="s">
        <v>5</v>
      </c>
      <c r="H581" s="290">
        <v>2</v>
      </c>
      <c r="I581" s="280">
        <f t="shared" si="97"/>
        <v>161.24</v>
      </c>
      <c r="J581" s="281">
        <f t="shared" si="98"/>
        <v>182.86</v>
      </c>
      <c r="K581" s="282">
        <f>IF(Notes!$B$9="Domestic",I581, IF(Notes!$B$9="Commercial",J581))*$K$577</f>
        <v>182.86</v>
      </c>
      <c r="L581" s="283">
        <f>(SUM(O581:Q581)+(K581+SUM(M581:Q581))*(INDEX($U$577:$AB$577,MATCH(Notes!$C$16,$U$3:$AB$3,0))-100%))*$L$577</f>
        <v>945.56400000000008</v>
      </c>
      <c r="M581" s="286"/>
      <c r="N581" s="286"/>
      <c r="O581" s="285">
        <v>769.47</v>
      </c>
      <c r="P581" s="311">
        <f t="shared" si="95"/>
        <v>176.09399999999999</v>
      </c>
      <c r="Q581" s="285"/>
      <c r="R581" s="278">
        <v>1800</v>
      </c>
      <c r="S581" s="278">
        <v>1500</v>
      </c>
      <c r="T581" s="278"/>
    </row>
    <row r="582" spans="1:28" s="305" customFormat="1" hidden="1" outlineLevel="1" x14ac:dyDescent="0.25">
      <c r="A582" s="278"/>
      <c r="B582" s="279" t="str">
        <f t="shared" si="96"/>
        <v>9001800TB/DHW</v>
      </c>
      <c r="C582" s="278">
        <v>900</v>
      </c>
      <c r="D582" s="278">
        <v>1800</v>
      </c>
      <c r="E582" s="278" t="s">
        <v>944</v>
      </c>
      <c r="F582" s="278"/>
      <c r="G582" s="278" t="s">
        <v>5</v>
      </c>
      <c r="H582" s="290">
        <v>2</v>
      </c>
      <c r="I582" s="280">
        <f t="shared" si="97"/>
        <v>161.24</v>
      </c>
      <c r="J582" s="281">
        <f t="shared" si="98"/>
        <v>182.86</v>
      </c>
      <c r="K582" s="282">
        <f>IF(Notes!$B$9="Domestic",I582, IF(Notes!$B$9="Commercial",J582))*$K$577</f>
        <v>182.86</v>
      </c>
      <c r="L582" s="283">
        <f>(SUM(O582:Q582)+(K582+SUM(M582:Q582))*(INDEX($U$577:$AB$577,MATCH(Notes!$C$16,$U$3:$AB$3,0))-100%))*$L$577</f>
        <v>1072.8828000000001</v>
      </c>
      <c r="M582" s="286"/>
      <c r="N582" s="286"/>
      <c r="O582" s="285">
        <v>861.57</v>
      </c>
      <c r="P582" s="311">
        <f t="shared" si="95"/>
        <v>211.31279999999998</v>
      </c>
      <c r="Q582" s="285"/>
      <c r="R582" s="278">
        <v>2100</v>
      </c>
      <c r="S582" s="278">
        <v>1800</v>
      </c>
      <c r="T582" s="278"/>
    </row>
    <row r="583" spans="1:28" s="305" customFormat="1" hidden="1" outlineLevel="1" x14ac:dyDescent="0.25">
      <c r="A583" s="278"/>
      <c r="B583" s="279" t="str">
        <f t="shared" si="96"/>
        <v>9002100TB/DHW</v>
      </c>
      <c r="C583" s="278">
        <v>900</v>
      </c>
      <c r="D583" s="278">
        <v>2100</v>
      </c>
      <c r="E583" s="278" t="s">
        <v>944</v>
      </c>
      <c r="F583" s="278"/>
      <c r="G583" s="278" t="s">
        <v>5</v>
      </c>
      <c r="H583" s="290">
        <v>2</v>
      </c>
      <c r="I583" s="280">
        <f t="shared" si="97"/>
        <v>161.24</v>
      </c>
      <c r="J583" s="281">
        <f t="shared" si="98"/>
        <v>182.86</v>
      </c>
      <c r="K583" s="282">
        <f>IF(Notes!$B$9="Domestic",I583, IF(Notes!$B$9="Commercial",J583))*$K$577</f>
        <v>182.86</v>
      </c>
      <c r="L583" s="283">
        <f>(SUM(O583:Q583)+(K583+SUM(M583:Q583))*(INDEX($U$577:$AB$577,MATCH(Notes!$C$16,$U$3:$AB$3,0))-100%))*$L$577</f>
        <v>1230.2115999999999</v>
      </c>
      <c r="M583" s="286"/>
      <c r="N583" s="286"/>
      <c r="O583" s="285">
        <v>983.68</v>
      </c>
      <c r="P583" s="311">
        <f t="shared" si="95"/>
        <v>246.5316</v>
      </c>
      <c r="Q583" s="285"/>
      <c r="R583" s="278">
        <v>2400</v>
      </c>
      <c r="S583" s="278">
        <v>2100</v>
      </c>
      <c r="T583" s="278"/>
    </row>
    <row r="584" spans="1:28" s="305" customFormat="1" hidden="1" outlineLevel="1" x14ac:dyDescent="0.25">
      <c r="A584" s="278"/>
      <c r="B584" s="279" t="str">
        <f t="shared" si="96"/>
        <v>9002400TB/DHW</v>
      </c>
      <c r="C584" s="278">
        <v>900</v>
      </c>
      <c r="D584" s="278">
        <v>2400</v>
      </c>
      <c r="E584" s="278" t="s">
        <v>944</v>
      </c>
      <c r="F584" s="278"/>
      <c r="G584" s="278" t="s">
        <v>5</v>
      </c>
      <c r="H584" s="290">
        <v>3</v>
      </c>
      <c r="I584" s="280">
        <f t="shared" si="97"/>
        <v>241.86</v>
      </c>
      <c r="J584" s="281">
        <f t="shared" si="98"/>
        <v>274.29000000000002</v>
      </c>
      <c r="K584" s="282">
        <f>IF(Notes!$B$9="Domestic",I584, IF(Notes!$B$9="Commercial",J584))*$K$577</f>
        <v>274.29000000000002</v>
      </c>
      <c r="L584" s="283">
        <f>(SUM(O584:Q584)+(K584+SUM(M584:Q584))*(INDEX($U$577:$AB$577,MATCH(Notes!$C$16,$U$3:$AB$3,0))-100%))*$L$577</f>
        <v>1357.1704</v>
      </c>
      <c r="M584" s="286"/>
      <c r="N584" s="286"/>
      <c r="O584" s="285">
        <v>1075.42</v>
      </c>
      <c r="P584" s="311">
        <f t="shared" si="95"/>
        <v>281.75040000000001</v>
      </c>
      <c r="Q584" s="285"/>
      <c r="R584" s="278">
        <v>2700</v>
      </c>
      <c r="S584" s="278">
        <v>2400</v>
      </c>
      <c r="T584" s="278"/>
    </row>
    <row r="585" spans="1:28" s="305" customFormat="1" hidden="1" outlineLevel="1" x14ac:dyDescent="0.25">
      <c r="A585" s="278"/>
      <c r="B585" s="279" t="str">
        <f t="shared" si="96"/>
        <v>9002700TB/DHW</v>
      </c>
      <c r="C585" s="278">
        <v>900</v>
      </c>
      <c r="D585" s="278">
        <v>2700</v>
      </c>
      <c r="E585" s="278" t="s">
        <v>944</v>
      </c>
      <c r="F585" s="278"/>
      <c r="G585" s="278" t="s">
        <v>5</v>
      </c>
      <c r="H585" s="290">
        <v>3</v>
      </c>
      <c r="I585" s="280">
        <f t="shared" si="97"/>
        <v>241.86</v>
      </c>
      <c r="J585" s="281">
        <f t="shared" si="98"/>
        <v>274.29000000000002</v>
      </c>
      <c r="K585" s="282">
        <f>IF(Notes!$B$9="Domestic",I585, IF(Notes!$B$9="Commercial",J585))*$K$577</f>
        <v>274.29000000000002</v>
      </c>
      <c r="L585" s="283">
        <f>(SUM(O585:Q585)+(K585+SUM(M585:Q585))*(INDEX($U$577:$AB$577,MATCH(Notes!$C$16,$U$3:$AB$3,0))-100%))*$L$577</f>
        <v>1681.8692000000001</v>
      </c>
      <c r="M585" s="286"/>
      <c r="N585" s="286"/>
      <c r="O585" s="285">
        <v>1364.9</v>
      </c>
      <c r="P585" s="311">
        <f t="shared" si="95"/>
        <v>316.9692</v>
      </c>
      <c r="Q585" s="285"/>
      <c r="R585" s="278"/>
      <c r="S585" s="278">
        <v>2700</v>
      </c>
      <c r="T585" s="278"/>
    </row>
    <row r="586" spans="1:28" s="305" customFormat="1" hidden="1" outlineLevel="1" x14ac:dyDescent="0.25">
      <c r="A586" s="278"/>
      <c r="B586" s="279" t="str">
        <f t="shared" si="96"/>
        <v>1200600TB/DHW</v>
      </c>
      <c r="C586" s="278">
        <v>1200</v>
      </c>
      <c r="D586" s="278">
        <v>600</v>
      </c>
      <c r="E586" s="278" t="s">
        <v>944</v>
      </c>
      <c r="F586" s="278"/>
      <c r="G586" s="278" t="s">
        <v>5</v>
      </c>
      <c r="H586" s="290">
        <v>1</v>
      </c>
      <c r="I586" s="280">
        <f t="shared" si="97"/>
        <v>80.62</v>
      </c>
      <c r="J586" s="281">
        <f t="shared" si="98"/>
        <v>91.43</v>
      </c>
      <c r="K586" s="282">
        <f>IF(Notes!$B$9="Domestic",I586, IF(Notes!$B$9="Commercial",J586))*$K$577</f>
        <v>91.43</v>
      </c>
      <c r="L586" s="283">
        <f>(SUM(O586:Q586)+(K586+SUM(M586:Q586))*(INDEX($U$577:$AB$577,MATCH(Notes!$C$16,$U$3:$AB$3,0))-100%))*$L$577</f>
        <v>761.3768</v>
      </c>
      <c r="M586" s="286"/>
      <c r="N586" s="286"/>
      <c r="O586" s="285">
        <v>667.46</v>
      </c>
      <c r="P586" s="311">
        <f t="shared" si="95"/>
        <v>93.916799999999995</v>
      </c>
      <c r="Q586" s="285"/>
      <c r="R586" s="278"/>
      <c r="S586" s="278"/>
      <c r="T586" s="278"/>
    </row>
    <row r="587" spans="1:28" s="305" customFormat="1" hidden="1" outlineLevel="1" x14ac:dyDescent="0.25">
      <c r="A587" s="278"/>
      <c r="B587" s="279" t="str">
        <f t="shared" si="96"/>
        <v>1200900TB/DHW</v>
      </c>
      <c r="C587" s="278">
        <v>1200</v>
      </c>
      <c r="D587" s="278">
        <v>900</v>
      </c>
      <c r="E587" s="278" t="s">
        <v>944</v>
      </c>
      <c r="F587" s="278"/>
      <c r="G587" s="278" t="s">
        <v>5</v>
      </c>
      <c r="H587" s="290">
        <v>1</v>
      </c>
      <c r="I587" s="280">
        <f t="shared" si="97"/>
        <v>80.62</v>
      </c>
      <c r="J587" s="281">
        <f t="shared" si="98"/>
        <v>91.43</v>
      </c>
      <c r="K587" s="282">
        <f>IF(Notes!$B$9="Domestic",I587, IF(Notes!$B$9="Commercial",J587))*$K$577</f>
        <v>91.43</v>
      </c>
      <c r="L587" s="283">
        <f>(SUM(O587:Q587)+(K587+SUM(M587:Q587))*(INDEX($U$577:$AB$577,MATCH(Notes!$C$16,$U$3:$AB$3,0))-100%))*$L$577</f>
        <v>1014.1751999999999</v>
      </c>
      <c r="M587" s="286"/>
      <c r="N587" s="286"/>
      <c r="O587" s="285">
        <v>873.3</v>
      </c>
      <c r="P587" s="311">
        <f t="shared" si="95"/>
        <v>140.87519999999998</v>
      </c>
      <c r="Q587" s="285"/>
      <c r="R587" s="278"/>
      <c r="S587" s="278"/>
      <c r="T587" s="278"/>
    </row>
    <row r="588" spans="1:28" s="305" customFormat="1" hidden="1" outlineLevel="1" x14ac:dyDescent="0.25">
      <c r="A588" s="278"/>
      <c r="B588" s="279" t="str">
        <f t="shared" si="96"/>
        <v>12001200TB/DHW</v>
      </c>
      <c r="C588" s="278">
        <v>1200</v>
      </c>
      <c r="D588" s="278">
        <v>1200</v>
      </c>
      <c r="E588" s="278" t="s">
        <v>944</v>
      </c>
      <c r="F588" s="278"/>
      <c r="G588" s="278" t="s">
        <v>5</v>
      </c>
      <c r="H588" s="290">
        <v>2</v>
      </c>
      <c r="I588" s="280">
        <f t="shared" si="97"/>
        <v>161.24</v>
      </c>
      <c r="J588" s="281">
        <f t="shared" si="98"/>
        <v>182.86</v>
      </c>
      <c r="K588" s="282">
        <f>IF(Notes!$B$9="Domestic",I588, IF(Notes!$B$9="Commercial",J588))*$K$577</f>
        <v>182.86</v>
      </c>
      <c r="L588" s="283">
        <f>(SUM(O588:Q588)+(K588+SUM(M588:Q588))*(INDEX($U$577:$AB$577,MATCH(Notes!$C$16,$U$3:$AB$3,0))-100%))*$L$577</f>
        <v>1174.1636000000001</v>
      </c>
      <c r="M588" s="286"/>
      <c r="N588" s="286"/>
      <c r="O588" s="285">
        <v>986.33</v>
      </c>
      <c r="P588" s="311">
        <f t="shared" si="95"/>
        <v>187.83359999999999</v>
      </c>
      <c r="Q588" s="285"/>
      <c r="R588" s="278"/>
      <c r="S588" s="278"/>
      <c r="T588" s="278"/>
    </row>
    <row r="589" spans="1:28" s="305" customFormat="1" hidden="1" outlineLevel="1" x14ac:dyDescent="0.25">
      <c r="A589" s="278"/>
      <c r="B589" s="279" t="str">
        <f t="shared" si="96"/>
        <v>12001500TB/DHW</v>
      </c>
      <c r="C589" s="278">
        <v>1200</v>
      </c>
      <c r="D589" s="278">
        <v>1500</v>
      </c>
      <c r="E589" s="278" t="s">
        <v>944</v>
      </c>
      <c r="F589" s="278"/>
      <c r="G589" s="278" t="s">
        <v>5</v>
      </c>
      <c r="H589" s="290">
        <v>2</v>
      </c>
      <c r="I589" s="280">
        <f t="shared" si="97"/>
        <v>161.24</v>
      </c>
      <c r="J589" s="281">
        <f t="shared" si="98"/>
        <v>182.86</v>
      </c>
      <c r="K589" s="282">
        <f>IF(Notes!$B$9="Domestic",I589, IF(Notes!$B$9="Commercial",J589))*$K$577</f>
        <v>182.86</v>
      </c>
      <c r="L589" s="283">
        <f>(SUM(O589:Q589)+(K589+SUM(M589:Q589))*(INDEX($U$577:$AB$577,MATCH(Notes!$C$16,$U$3:$AB$3,0))-100%))*$L$577</f>
        <v>1156.8219999999999</v>
      </c>
      <c r="M589" s="286"/>
      <c r="N589" s="286"/>
      <c r="O589" s="285">
        <v>922.03</v>
      </c>
      <c r="P589" s="311">
        <f t="shared" si="95"/>
        <v>234.792</v>
      </c>
      <c r="Q589" s="285"/>
      <c r="R589" s="278"/>
      <c r="S589" s="278"/>
      <c r="T589" s="278"/>
    </row>
    <row r="590" spans="1:28" s="305" customFormat="1" hidden="1" outlineLevel="1" x14ac:dyDescent="0.25">
      <c r="A590" s="278"/>
      <c r="B590" s="279" t="str">
        <f t="shared" si="96"/>
        <v>12001800TB/DHW</v>
      </c>
      <c r="C590" s="278">
        <v>1200</v>
      </c>
      <c r="D590" s="278">
        <v>1800</v>
      </c>
      <c r="E590" s="278" t="s">
        <v>944</v>
      </c>
      <c r="F590" s="278"/>
      <c r="G590" s="278" t="s">
        <v>5</v>
      </c>
      <c r="H590" s="290">
        <v>3</v>
      </c>
      <c r="I590" s="280">
        <f t="shared" si="97"/>
        <v>241.86</v>
      </c>
      <c r="J590" s="281">
        <f t="shared" si="98"/>
        <v>274.29000000000002</v>
      </c>
      <c r="K590" s="282">
        <f>IF(Notes!$B$9="Domestic",I590, IF(Notes!$B$9="Commercial",J590))*$K$577</f>
        <v>274.29000000000002</v>
      </c>
      <c r="L590" s="283">
        <f>(SUM(O590:Q590)+(K590+SUM(M590:Q590))*(INDEX($U$577:$AB$577,MATCH(Notes!$C$16,$U$3:$AB$3,0))-100%))*$L$577</f>
        <v>1356.4204</v>
      </c>
      <c r="M590" s="286"/>
      <c r="N590" s="286"/>
      <c r="O590" s="285">
        <v>1074.67</v>
      </c>
      <c r="P590" s="311">
        <f t="shared" si="95"/>
        <v>281.75039999999996</v>
      </c>
      <c r="Q590" s="285"/>
      <c r="R590" s="278"/>
      <c r="S590" s="278"/>
      <c r="T590" s="278"/>
    </row>
    <row r="591" spans="1:28" s="305" customFormat="1" hidden="1" outlineLevel="1" x14ac:dyDescent="0.25">
      <c r="A591" s="278"/>
      <c r="B591" s="279" t="str">
        <f t="shared" si="96"/>
        <v>12002100TB/DHW</v>
      </c>
      <c r="C591" s="278">
        <v>1200</v>
      </c>
      <c r="D591" s="278">
        <v>2100</v>
      </c>
      <c r="E591" s="278" t="s">
        <v>944</v>
      </c>
      <c r="F591" s="278"/>
      <c r="G591" s="278" t="s">
        <v>5</v>
      </c>
      <c r="H591" s="290">
        <v>3</v>
      </c>
      <c r="I591" s="280">
        <f t="shared" si="97"/>
        <v>241.86</v>
      </c>
      <c r="J591" s="281">
        <f t="shared" si="98"/>
        <v>274.29000000000002</v>
      </c>
      <c r="K591" s="282">
        <f>IF(Notes!$B$9="Domestic",I591, IF(Notes!$B$9="Commercial",J591))*$K$577</f>
        <v>274.29000000000002</v>
      </c>
      <c r="L591" s="283">
        <f>(SUM(O591:Q591)+(K591+SUM(M591:Q591))*(INDEX($U$577:$AB$577,MATCH(Notes!$C$16,$U$3:$AB$3,0))-100%))*$L$577</f>
        <v>1529.6088</v>
      </c>
      <c r="M591" s="286"/>
      <c r="N591" s="286"/>
      <c r="O591" s="285">
        <v>1200.9000000000001</v>
      </c>
      <c r="P591" s="311">
        <f t="shared" si="95"/>
        <v>328.7088</v>
      </c>
      <c r="Q591" s="285"/>
      <c r="R591" s="278"/>
      <c r="S591" s="278"/>
      <c r="T591" s="278"/>
    </row>
    <row r="592" spans="1:28" s="305" customFormat="1" hidden="1" outlineLevel="1" x14ac:dyDescent="0.25">
      <c r="A592" s="278"/>
      <c r="B592" s="279" t="str">
        <f t="shared" si="96"/>
        <v>12002400TB/DHW</v>
      </c>
      <c r="C592" s="278">
        <v>1200</v>
      </c>
      <c r="D592" s="278">
        <v>2400</v>
      </c>
      <c r="E592" s="278" t="s">
        <v>944</v>
      </c>
      <c r="F592" s="278"/>
      <c r="G592" s="278" t="s">
        <v>5</v>
      </c>
      <c r="H592" s="290">
        <v>3</v>
      </c>
      <c r="I592" s="280">
        <f t="shared" si="97"/>
        <v>241.86</v>
      </c>
      <c r="J592" s="281">
        <f t="shared" si="98"/>
        <v>274.29000000000002</v>
      </c>
      <c r="K592" s="282">
        <f>IF(Notes!$B$9="Domestic",I592, IF(Notes!$B$9="Commercial",J592))*$K$577</f>
        <v>274.29000000000002</v>
      </c>
      <c r="L592" s="283">
        <f>(SUM(O592:Q592)+(K592+SUM(M592:Q592))*(INDEX($U$577:$AB$577,MATCH(Notes!$C$16,$U$3:$AB$3,0))-100%))*$L$577</f>
        <v>1695.1572000000001</v>
      </c>
      <c r="M592" s="286"/>
      <c r="N592" s="286"/>
      <c r="O592" s="285">
        <v>1319.49</v>
      </c>
      <c r="P592" s="311">
        <f t="shared" si="95"/>
        <v>375.66719999999998</v>
      </c>
      <c r="Q592" s="285"/>
      <c r="R592" s="278"/>
      <c r="S592" s="278"/>
      <c r="T592" s="278"/>
    </row>
    <row r="593" spans="1:20" s="305" customFormat="1" hidden="1" outlineLevel="1" x14ac:dyDescent="0.25">
      <c r="A593" s="278"/>
      <c r="B593" s="279" t="str">
        <f t="shared" si="96"/>
        <v>12002700TB/DHW</v>
      </c>
      <c r="C593" s="278">
        <v>1200</v>
      </c>
      <c r="D593" s="278">
        <v>2700</v>
      </c>
      <c r="E593" s="278" t="s">
        <v>944</v>
      </c>
      <c r="F593" s="278"/>
      <c r="G593" s="278" t="s">
        <v>5</v>
      </c>
      <c r="H593" s="290">
        <v>4</v>
      </c>
      <c r="I593" s="280">
        <f t="shared" si="97"/>
        <v>322.48</v>
      </c>
      <c r="J593" s="281">
        <f t="shared" si="98"/>
        <v>365.72</v>
      </c>
      <c r="K593" s="282">
        <f>IF(Notes!$B$9="Domestic",I593, IF(Notes!$B$9="Commercial",J593))*$K$577</f>
        <v>365.72</v>
      </c>
      <c r="L593" s="283">
        <f>(SUM(O593:Q593)+(K593+SUM(M593:Q593))*(INDEX($U$577:$AB$577,MATCH(Notes!$C$16,$U$3:$AB$3,0))-100%))*$L$577</f>
        <v>2099.0156000000002</v>
      </c>
      <c r="M593" s="286"/>
      <c r="N593" s="286"/>
      <c r="O593" s="285">
        <v>1676.39</v>
      </c>
      <c r="P593" s="311">
        <f t="shared" si="95"/>
        <v>422.62559999999996</v>
      </c>
      <c r="Q593" s="285"/>
      <c r="R593" s="278"/>
      <c r="S593" s="278"/>
      <c r="T593" s="278"/>
    </row>
    <row r="594" spans="1:20" s="305" customFormat="1" hidden="1" outlineLevel="1" x14ac:dyDescent="0.25">
      <c r="A594" s="278"/>
      <c r="B594" s="279" t="str">
        <f t="shared" si="96"/>
        <v>1500600TB/DHW</v>
      </c>
      <c r="C594" s="278">
        <v>1500</v>
      </c>
      <c r="D594" s="278">
        <v>600</v>
      </c>
      <c r="E594" s="278" t="s">
        <v>944</v>
      </c>
      <c r="F594" s="278"/>
      <c r="G594" s="278" t="s">
        <v>5</v>
      </c>
      <c r="H594" s="290">
        <v>1</v>
      </c>
      <c r="I594" s="280">
        <f t="shared" si="97"/>
        <v>80.62</v>
      </c>
      <c r="J594" s="281">
        <f t="shared" si="98"/>
        <v>91.43</v>
      </c>
      <c r="K594" s="282">
        <f>IF(Notes!$B$9="Domestic",I594, IF(Notes!$B$9="Commercial",J594))*$K$577</f>
        <v>91.43</v>
      </c>
      <c r="L594" s="283">
        <f>(SUM(O594:Q594)+(K594+SUM(M594:Q594))*(INDEX($U$577:$AB$577,MATCH(Notes!$C$16,$U$3:$AB$3,0))-100%))*$L$577</f>
        <v>878.79599999999994</v>
      </c>
      <c r="M594" s="286"/>
      <c r="N594" s="286"/>
      <c r="O594" s="285">
        <v>761.4</v>
      </c>
      <c r="P594" s="311">
        <f t="shared" si="95"/>
        <v>117.396</v>
      </c>
      <c r="Q594" s="285"/>
      <c r="R594" s="278"/>
      <c r="S594" s="278"/>
      <c r="T594" s="278"/>
    </row>
    <row r="595" spans="1:20" s="305" customFormat="1" hidden="1" outlineLevel="1" x14ac:dyDescent="0.25">
      <c r="A595" s="278"/>
      <c r="B595" s="279" t="str">
        <f t="shared" si="96"/>
        <v>1500900TB/DHW</v>
      </c>
      <c r="C595" s="278">
        <v>1500</v>
      </c>
      <c r="D595" s="278">
        <v>900</v>
      </c>
      <c r="E595" s="278" t="s">
        <v>944</v>
      </c>
      <c r="F595" s="278"/>
      <c r="G595" s="278" t="s">
        <v>5</v>
      </c>
      <c r="H595" s="290">
        <v>2</v>
      </c>
      <c r="I595" s="280">
        <f t="shared" si="97"/>
        <v>161.24</v>
      </c>
      <c r="J595" s="281">
        <f t="shared" si="98"/>
        <v>182.86</v>
      </c>
      <c r="K595" s="282">
        <f>IF(Notes!$B$9="Domestic",I595, IF(Notes!$B$9="Commercial",J595))*$K$577</f>
        <v>182.86</v>
      </c>
      <c r="L595" s="283">
        <f>(SUM(O595:Q595)+(K595+SUM(M595:Q595))*(INDEX($U$577:$AB$577,MATCH(Notes!$C$16,$U$3:$AB$3,0))-100%))*$L$577</f>
        <v>1125.3240000000001</v>
      </c>
      <c r="M595" s="286"/>
      <c r="N595" s="286"/>
      <c r="O595" s="285">
        <v>949.23</v>
      </c>
      <c r="P595" s="311">
        <f t="shared" si="95"/>
        <v>176.09399999999999</v>
      </c>
      <c r="Q595" s="285"/>
      <c r="R595" s="278"/>
      <c r="S595" s="278"/>
      <c r="T595" s="278"/>
    </row>
    <row r="596" spans="1:20" s="305" customFormat="1" hidden="1" outlineLevel="1" x14ac:dyDescent="0.25">
      <c r="A596" s="278"/>
      <c r="B596" s="279" t="str">
        <f t="shared" si="96"/>
        <v>15001200TB/DHW</v>
      </c>
      <c r="C596" s="278">
        <v>1500</v>
      </c>
      <c r="D596" s="278">
        <v>1200</v>
      </c>
      <c r="E596" s="278" t="s">
        <v>944</v>
      </c>
      <c r="F596" s="278"/>
      <c r="G596" s="278" t="s">
        <v>5</v>
      </c>
      <c r="H596" s="290">
        <v>2</v>
      </c>
      <c r="I596" s="280">
        <f t="shared" si="97"/>
        <v>161.24</v>
      </c>
      <c r="J596" s="281">
        <f t="shared" si="98"/>
        <v>182.86</v>
      </c>
      <c r="K596" s="282">
        <f>IF(Notes!$B$9="Domestic",I596, IF(Notes!$B$9="Commercial",J596))*$K$577</f>
        <v>182.86</v>
      </c>
      <c r="L596" s="283">
        <f>(SUM(O596:Q596)+(K596+SUM(M596:Q596))*(INDEX($U$577:$AB$577,MATCH(Notes!$C$16,$U$3:$AB$3,0))-100%))*$L$577</f>
        <v>1371.492</v>
      </c>
      <c r="M596" s="286"/>
      <c r="N596" s="286"/>
      <c r="O596" s="285">
        <v>1136.7</v>
      </c>
      <c r="P596" s="311">
        <f t="shared" si="95"/>
        <v>234.792</v>
      </c>
      <c r="Q596" s="285"/>
      <c r="R596" s="278"/>
      <c r="S596" s="278"/>
      <c r="T596" s="278"/>
    </row>
    <row r="597" spans="1:20" s="305" customFormat="1" hidden="1" outlineLevel="1" x14ac:dyDescent="0.25">
      <c r="A597" s="278"/>
      <c r="B597" s="279" t="str">
        <f t="shared" si="96"/>
        <v>15001500TB/DHW</v>
      </c>
      <c r="C597" s="278">
        <v>1500</v>
      </c>
      <c r="D597" s="278">
        <v>1500</v>
      </c>
      <c r="E597" s="278" t="s">
        <v>944</v>
      </c>
      <c r="F597" s="278"/>
      <c r="G597" s="278" t="s">
        <v>5</v>
      </c>
      <c r="H597" s="290">
        <v>3</v>
      </c>
      <c r="I597" s="280">
        <f t="shared" si="97"/>
        <v>241.86</v>
      </c>
      <c r="J597" s="281">
        <f t="shared" si="98"/>
        <v>274.29000000000002</v>
      </c>
      <c r="K597" s="282">
        <f>IF(Notes!$B$9="Domestic",I597, IF(Notes!$B$9="Commercial",J597))*$K$577</f>
        <v>274.29000000000002</v>
      </c>
      <c r="L597" s="283">
        <f>(SUM(O597:Q597)+(K597+SUM(M597:Q597))*(INDEX($U$577:$AB$577,MATCH(Notes!$C$16,$U$3:$AB$3,0))-100%))*$L$577</f>
        <v>1391.49</v>
      </c>
      <c r="M597" s="286"/>
      <c r="N597" s="286"/>
      <c r="O597" s="285">
        <v>1098</v>
      </c>
      <c r="P597" s="311">
        <f t="shared" si="95"/>
        <v>293.49</v>
      </c>
      <c r="Q597" s="285"/>
      <c r="R597" s="278"/>
      <c r="S597" s="278"/>
      <c r="T597" s="278"/>
    </row>
    <row r="598" spans="1:20" s="305" customFormat="1" hidden="1" outlineLevel="1" x14ac:dyDescent="0.25">
      <c r="A598" s="278"/>
      <c r="B598" s="279" t="str">
        <f t="shared" si="96"/>
        <v>15001800TB/DHW</v>
      </c>
      <c r="C598" s="278">
        <v>1500</v>
      </c>
      <c r="D598" s="278">
        <v>1800</v>
      </c>
      <c r="E598" s="278" t="s">
        <v>944</v>
      </c>
      <c r="F598" s="278"/>
      <c r="G598" s="278" t="s">
        <v>5</v>
      </c>
      <c r="H598" s="290">
        <v>3</v>
      </c>
      <c r="I598" s="280">
        <f t="shared" si="97"/>
        <v>241.86</v>
      </c>
      <c r="J598" s="281">
        <f t="shared" si="98"/>
        <v>274.29000000000002</v>
      </c>
      <c r="K598" s="282">
        <f>IF(Notes!$B$9="Domestic",I598, IF(Notes!$B$9="Commercial",J598))*$K$577</f>
        <v>274.29000000000002</v>
      </c>
      <c r="L598" s="283">
        <f>(SUM(O598:Q598)+(K598+SUM(M598:Q598))*(INDEX($U$577:$AB$577,MATCH(Notes!$C$16,$U$3:$AB$3,0))-100%))*$L$577</f>
        <v>1572.4479999999999</v>
      </c>
      <c r="M598" s="286"/>
      <c r="N598" s="286"/>
      <c r="O598" s="285">
        <v>1220.26</v>
      </c>
      <c r="P598" s="311">
        <f t="shared" si="95"/>
        <v>352.18799999999999</v>
      </c>
      <c r="Q598" s="285"/>
      <c r="R598" s="278"/>
      <c r="S598" s="278"/>
      <c r="T598" s="278"/>
    </row>
    <row r="599" spans="1:20" s="305" customFormat="1" hidden="1" outlineLevel="1" x14ac:dyDescent="0.25">
      <c r="A599" s="278"/>
      <c r="B599" s="279" t="str">
        <f t="shared" si="96"/>
        <v>15002100TB/DHW</v>
      </c>
      <c r="C599" s="278">
        <v>1500</v>
      </c>
      <c r="D599" s="278">
        <v>2100</v>
      </c>
      <c r="E599" s="278" t="s">
        <v>944</v>
      </c>
      <c r="F599" s="278"/>
      <c r="G599" s="278" t="s">
        <v>5</v>
      </c>
      <c r="H599" s="290">
        <v>4</v>
      </c>
      <c r="I599" s="280">
        <f t="shared" si="97"/>
        <v>322.48</v>
      </c>
      <c r="J599" s="281">
        <f t="shared" si="98"/>
        <v>365.72</v>
      </c>
      <c r="K599" s="282">
        <f>IF(Notes!$B$9="Domestic",I599, IF(Notes!$B$9="Commercial",J599))*$K$577</f>
        <v>365.72</v>
      </c>
      <c r="L599" s="283">
        <f>(SUM(O599:Q599)+(K599+SUM(M599:Q599))*(INDEX($U$577:$AB$577,MATCH(Notes!$C$16,$U$3:$AB$3,0))-100%))*$L$577</f>
        <v>1852.316</v>
      </c>
      <c r="M599" s="286"/>
      <c r="N599" s="286"/>
      <c r="O599" s="285">
        <v>1441.43</v>
      </c>
      <c r="P599" s="311">
        <f t="shared" si="95"/>
        <v>410.88600000000002</v>
      </c>
      <c r="Q599" s="285"/>
      <c r="R599" s="278"/>
      <c r="S599" s="278"/>
      <c r="T599" s="278"/>
    </row>
    <row r="600" spans="1:20" s="305" customFormat="1" hidden="1" outlineLevel="1" x14ac:dyDescent="0.25">
      <c r="A600" s="278"/>
      <c r="B600" s="279" t="str">
        <f t="shared" si="96"/>
        <v>15002400TB/DHW</v>
      </c>
      <c r="C600" s="278">
        <v>1500</v>
      </c>
      <c r="D600" s="278">
        <v>2400</v>
      </c>
      <c r="E600" s="278" t="s">
        <v>944</v>
      </c>
      <c r="F600" s="278"/>
      <c r="G600" s="278" t="s">
        <v>5</v>
      </c>
      <c r="H600" s="290">
        <v>4</v>
      </c>
      <c r="I600" s="280">
        <f t="shared" si="97"/>
        <v>322.48</v>
      </c>
      <c r="J600" s="281">
        <f t="shared" si="98"/>
        <v>365.72</v>
      </c>
      <c r="K600" s="282">
        <f>IF(Notes!$B$9="Domestic",I600, IF(Notes!$B$9="Commercial",J600))*$K$577</f>
        <v>365.72</v>
      </c>
      <c r="L600" s="283">
        <f>(SUM(O600:Q600)+(K600+SUM(M600:Q600))*(INDEX($U$577:$AB$577,MATCH(Notes!$C$16,$U$3:$AB$3,0))-100%))*$L$577</f>
        <v>1973.634</v>
      </c>
      <c r="M600" s="286"/>
      <c r="N600" s="286"/>
      <c r="O600" s="285">
        <v>1504.05</v>
      </c>
      <c r="P600" s="311">
        <f t="shared" si="95"/>
        <v>469.584</v>
      </c>
      <c r="Q600" s="285"/>
      <c r="R600" s="278"/>
      <c r="S600" s="278"/>
      <c r="T600" s="278"/>
    </row>
    <row r="601" spans="1:20" s="305" customFormat="1" hidden="1" outlineLevel="1" x14ac:dyDescent="0.25">
      <c r="A601" s="278"/>
      <c r="B601" s="279" t="str">
        <f t="shared" si="96"/>
        <v>15002700TB/DHW</v>
      </c>
      <c r="C601" s="278">
        <v>1500</v>
      </c>
      <c r="D601" s="278">
        <v>2700</v>
      </c>
      <c r="E601" s="278" t="s">
        <v>944</v>
      </c>
      <c r="F601" s="278"/>
      <c r="G601" s="278" t="s">
        <v>5</v>
      </c>
      <c r="H601" s="290">
        <v>4</v>
      </c>
      <c r="I601" s="280">
        <f t="shared" si="97"/>
        <v>322.48</v>
      </c>
      <c r="J601" s="281">
        <f t="shared" si="98"/>
        <v>365.72</v>
      </c>
      <c r="K601" s="282">
        <f>IF(Notes!$B$9="Domestic",I601, IF(Notes!$B$9="Commercial",J601))*$K$577</f>
        <v>365.72</v>
      </c>
      <c r="L601" s="283">
        <f>(SUM(O601:Q601)+(K601+SUM(M601:Q601))*(INDEX($U$577:$AB$577,MATCH(Notes!$C$16,$U$3:$AB$3,0))-100%))*$L$577</f>
        <v>2516.6419999999998</v>
      </c>
      <c r="M601" s="286"/>
      <c r="N601" s="286"/>
      <c r="O601" s="285">
        <v>1988.36</v>
      </c>
      <c r="P601" s="311">
        <f t="shared" si="95"/>
        <v>528.28200000000004</v>
      </c>
      <c r="Q601" s="285"/>
      <c r="R601" s="278"/>
      <c r="S601" s="278"/>
      <c r="T601" s="278"/>
    </row>
    <row r="602" spans="1:20" s="305" customFormat="1" hidden="1" outlineLevel="1" x14ac:dyDescent="0.25">
      <c r="A602" s="278"/>
      <c r="B602" s="279" t="str">
        <f t="shared" si="96"/>
        <v>1800600TB/DHW</v>
      </c>
      <c r="C602" s="278">
        <v>1800</v>
      </c>
      <c r="D602" s="278">
        <v>600</v>
      </c>
      <c r="E602" s="278" t="s">
        <v>944</v>
      </c>
      <c r="F602" s="278"/>
      <c r="G602" s="278" t="s">
        <v>5</v>
      </c>
      <c r="H602" s="290">
        <v>1</v>
      </c>
      <c r="I602" s="280">
        <f t="shared" si="97"/>
        <v>80.62</v>
      </c>
      <c r="J602" s="281">
        <f t="shared" si="98"/>
        <v>91.43</v>
      </c>
      <c r="K602" s="282">
        <f>IF(Notes!$B$9="Domestic",I602, IF(Notes!$B$9="Commercial",J602))*$K$577</f>
        <v>91.43</v>
      </c>
      <c r="L602" s="283">
        <f>(SUM(O602:Q602)+(K602+SUM(M602:Q602))*(INDEX($U$577:$AB$577,MATCH(Notes!$C$16,$U$3:$AB$3,0))-100%))*$L$577</f>
        <v>1033.2252000000001</v>
      </c>
      <c r="M602" s="286"/>
      <c r="N602" s="286"/>
      <c r="O602" s="285">
        <v>892.35</v>
      </c>
      <c r="P602" s="311">
        <f t="shared" si="95"/>
        <v>140.87520000000001</v>
      </c>
      <c r="Q602" s="285"/>
      <c r="R602" s="278"/>
      <c r="S602" s="278"/>
      <c r="T602" s="278"/>
    </row>
    <row r="603" spans="1:20" s="305" customFormat="1" hidden="1" outlineLevel="1" x14ac:dyDescent="0.25">
      <c r="A603" s="278"/>
      <c r="B603" s="279" t="str">
        <f t="shared" si="96"/>
        <v>1800900TB/DHW</v>
      </c>
      <c r="C603" s="278">
        <v>1800</v>
      </c>
      <c r="D603" s="278">
        <v>900</v>
      </c>
      <c r="E603" s="278" t="s">
        <v>944</v>
      </c>
      <c r="F603" s="278"/>
      <c r="G603" s="278" t="s">
        <v>5</v>
      </c>
      <c r="H603" s="290">
        <v>2</v>
      </c>
      <c r="I603" s="280">
        <f t="shared" si="97"/>
        <v>161.24</v>
      </c>
      <c r="J603" s="281">
        <f t="shared" si="98"/>
        <v>182.86</v>
      </c>
      <c r="K603" s="282">
        <f>IF(Notes!$B$9="Domestic",I603, IF(Notes!$B$9="Commercial",J603))*$K$577</f>
        <v>182.86</v>
      </c>
      <c r="L603" s="283">
        <f>(SUM(O603:Q603)+(K603+SUM(M603:Q603))*(INDEX($U$577:$AB$577,MATCH(Notes!$C$16,$U$3:$AB$3,0))-100%))*$L$577</f>
        <v>1228.5228</v>
      </c>
      <c r="M603" s="286"/>
      <c r="N603" s="286"/>
      <c r="O603" s="285">
        <v>1017.21</v>
      </c>
      <c r="P603" s="311">
        <f t="shared" si="95"/>
        <v>211.31279999999998</v>
      </c>
      <c r="Q603" s="285"/>
      <c r="R603" s="278"/>
      <c r="S603" s="278"/>
      <c r="T603" s="278"/>
    </row>
    <row r="604" spans="1:20" s="305" customFormat="1" hidden="1" outlineLevel="1" x14ac:dyDescent="0.25">
      <c r="A604" s="278"/>
      <c r="B604" s="279" t="str">
        <f t="shared" si="96"/>
        <v>18001200TB/DHW</v>
      </c>
      <c r="C604" s="278">
        <v>1800</v>
      </c>
      <c r="D604" s="278">
        <v>1200</v>
      </c>
      <c r="E604" s="278" t="s">
        <v>944</v>
      </c>
      <c r="F604" s="278"/>
      <c r="G604" s="278" t="s">
        <v>5</v>
      </c>
      <c r="H604" s="290">
        <v>3</v>
      </c>
      <c r="I604" s="280">
        <f t="shared" si="97"/>
        <v>241.86</v>
      </c>
      <c r="J604" s="281">
        <f t="shared" si="98"/>
        <v>274.29000000000002</v>
      </c>
      <c r="K604" s="282">
        <f>IF(Notes!$B$9="Domestic",I604, IF(Notes!$B$9="Commercial",J604))*$K$577</f>
        <v>274.29000000000002</v>
      </c>
      <c r="L604" s="283">
        <f>(SUM(O604:Q604)+(K604+SUM(M604:Q604))*(INDEX($U$577:$AB$577,MATCH(Notes!$C$16,$U$3:$AB$3,0))-100%))*$L$577</f>
        <v>1419.6604000000002</v>
      </c>
      <c r="M604" s="286"/>
      <c r="N604" s="286"/>
      <c r="O604" s="285">
        <v>1137.9100000000001</v>
      </c>
      <c r="P604" s="311">
        <f t="shared" si="95"/>
        <v>281.75040000000001</v>
      </c>
      <c r="Q604" s="285"/>
      <c r="R604" s="278"/>
      <c r="S604" s="278"/>
      <c r="T604" s="278"/>
    </row>
    <row r="605" spans="1:20" s="305" customFormat="1" hidden="1" outlineLevel="1" x14ac:dyDescent="0.25">
      <c r="A605" s="278"/>
      <c r="B605" s="279" t="str">
        <f t="shared" si="96"/>
        <v>18001500TB/DHW</v>
      </c>
      <c r="C605" s="278">
        <v>1800</v>
      </c>
      <c r="D605" s="278">
        <v>1500</v>
      </c>
      <c r="E605" s="278" t="s">
        <v>944</v>
      </c>
      <c r="F605" s="278"/>
      <c r="G605" s="278" t="s">
        <v>5</v>
      </c>
      <c r="H605" s="290">
        <v>3</v>
      </c>
      <c r="I605" s="280">
        <f t="shared" si="97"/>
        <v>241.86</v>
      </c>
      <c r="J605" s="281">
        <f t="shared" si="98"/>
        <v>274.29000000000002</v>
      </c>
      <c r="K605" s="282">
        <f>IF(Notes!$B$9="Domestic",I605, IF(Notes!$B$9="Commercial",J605))*$K$577</f>
        <v>274.29000000000002</v>
      </c>
      <c r="L605" s="283">
        <f>(SUM(O605:Q605)+(K605+SUM(M605:Q605))*(INDEX($U$577:$AB$577,MATCH(Notes!$C$16,$U$3:$AB$3,0))-100%))*$L$577</f>
        <v>1572.4580000000001</v>
      </c>
      <c r="M605" s="286"/>
      <c r="N605" s="286"/>
      <c r="O605" s="285">
        <v>1220.27</v>
      </c>
      <c r="P605" s="311">
        <f t="shared" si="95"/>
        <v>352.18799999999999</v>
      </c>
      <c r="Q605" s="285"/>
      <c r="R605" s="278"/>
      <c r="S605" s="278"/>
      <c r="T605" s="278"/>
    </row>
    <row r="606" spans="1:20" s="305" customFormat="1" hidden="1" outlineLevel="1" x14ac:dyDescent="0.25">
      <c r="A606" s="278"/>
      <c r="B606" s="279" t="str">
        <f t="shared" si="96"/>
        <v>18001800TB/DHW</v>
      </c>
      <c r="C606" s="278">
        <v>1800</v>
      </c>
      <c r="D606" s="278">
        <v>1800</v>
      </c>
      <c r="E606" s="278" t="s">
        <v>944</v>
      </c>
      <c r="F606" s="278"/>
      <c r="G606" s="278" t="s">
        <v>5</v>
      </c>
      <c r="H606" s="290">
        <v>4</v>
      </c>
      <c r="I606" s="280">
        <f t="shared" si="97"/>
        <v>322.48</v>
      </c>
      <c r="J606" s="281">
        <f t="shared" si="98"/>
        <v>365.72</v>
      </c>
      <c r="K606" s="282">
        <f>IF(Notes!$B$9="Domestic",I606, IF(Notes!$B$9="Commercial",J606))*$K$577</f>
        <v>365.72</v>
      </c>
      <c r="L606" s="283">
        <f>(SUM(O606:Q606)+(K606+SUM(M606:Q606))*(INDEX($U$577:$AB$577,MATCH(Notes!$C$16,$U$3:$AB$3,0))-100%))*$L$577</f>
        <v>1894.5756000000001</v>
      </c>
      <c r="M606" s="286"/>
      <c r="N606" s="286"/>
      <c r="O606" s="285">
        <v>1471.95</v>
      </c>
      <c r="P606" s="311">
        <f t="shared" si="95"/>
        <v>422.62559999999996</v>
      </c>
      <c r="Q606" s="285"/>
      <c r="R606" s="278"/>
      <c r="S606" s="278"/>
      <c r="T606" s="278"/>
    </row>
    <row r="607" spans="1:20" s="305" customFormat="1" hidden="1" outlineLevel="1" x14ac:dyDescent="0.25">
      <c r="A607" s="278"/>
      <c r="B607" s="279" t="str">
        <f t="shared" si="96"/>
        <v>18002100TB/DHW</v>
      </c>
      <c r="C607" s="278">
        <v>1800</v>
      </c>
      <c r="D607" s="278">
        <v>2100</v>
      </c>
      <c r="E607" s="278" t="s">
        <v>944</v>
      </c>
      <c r="F607" s="278"/>
      <c r="G607" s="278" t="s">
        <v>5</v>
      </c>
      <c r="H607" s="290">
        <v>4</v>
      </c>
      <c r="I607" s="280">
        <f t="shared" si="97"/>
        <v>322.48</v>
      </c>
      <c r="J607" s="281">
        <f t="shared" si="98"/>
        <v>365.72</v>
      </c>
      <c r="K607" s="282">
        <f>IF(Notes!$B$9="Domestic",I607, IF(Notes!$B$9="Commercial",J607))*$K$577</f>
        <v>365.72</v>
      </c>
      <c r="L607" s="283">
        <f>(SUM(O607:Q607)+(K607+SUM(M607:Q607))*(INDEX($U$577:$AB$577,MATCH(Notes!$C$16,$U$3:$AB$3,0))-100%))*$L$577</f>
        <v>2028.4432000000002</v>
      </c>
      <c r="M607" s="286"/>
      <c r="N607" s="286"/>
      <c r="O607" s="285">
        <v>1535.38</v>
      </c>
      <c r="P607" s="311">
        <f t="shared" si="95"/>
        <v>493.06319999999999</v>
      </c>
      <c r="Q607" s="285"/>
      <c r="R607" s="278"/>
      <c r="S607" s="278"/>
      <c r="T607" s="278"/>
    </row>
    <row r="608" spans="1:20" s="305" customFormat="1" hidden="1" outlineLevel="1" x14ac:dyDescent="0.25">
      <c r="A608" s="278"/>
      <c r="B608" s="279" t="str">
        <f t="shared" si="96"/>
        <v>18002400TB/DHW</v>
      </c>
      <c r="C608" s="278">
        <v>1800</v>
      </c>
      <c r="D608" s="278">
        <v>2400</v>
      </c>
      <c r="E608" s="278" t="s">
        <v>944</v>
      </c>
      <c r="F608" s="278"/>
      <c r="G608" s="278" t="s">
        <v>5</v>
      </c>
      <c r="H608" s="290">
        <v>5</v>
      </c>
      <c r="I608" s="280">
        <f t="shared" si="97"/>
        <v>403.1</v>
      </c>
      <c r="J608" s="281">
        <f t="shared" si="98"/>
        <v>457.15000000000003</v>
      </c>
      <c r="K608" s="282">
        <f>IF(Notes!$B$9="Domestic",I608, IF(Notes!$B$9="Commercial",J608))*$K$577</f>
        <v>457.15000000000003</v>
      </c>
      <c r="L608" s="283">
        <f>(SUM(O608:Q608)+(K608+SUM(M608:Q608))*(INDEX($U$577:$AB$577,MATCH(Notes!$C$16,$U$3:$AB$3,0))-100%))*$L$577</f>
        <v>2161.9708000000001</v>
      </c>
      <c r="M608" s="286"/>
      <c r="N608" s="286"/>
      <c r="O608" s="285">
        <v>1598.47</v>
      </c>
      <c r="P608" s="311">
        <f t="shared" si="95"/>
        <v>563.50080000000003</v>
      </c>
      <c r="Q608" s="285"/>
      <c r="R608" s="278"/>
      <c r="S608" s="278"/>
      <c r="T608" s="278"/>
    </row>
    <row r="609" spans="1:20" s="305" customFormat="1" hidden="1" outlineLevel="1" x14ac:dyDescent="0.25">
      <c r="A609" s="278"/>
      <c r="B609" s="279" t="str">
        <f t="shared" si="96"/>
        <v>18002700TB/DHW</v>
      </c>
      <c r="C609" s="278">
        <v>1800</v>
      </c>
      <c r="D609" s="278">
        <v>2700</v>
      </c>
      <c r="E609" s="278" t="s">
        <v>944</v>
      </c>
      <c r="F609" s="278"/>
      <c r="G609" s="278" t="s">
        <v>5</v>
      </c>
      <c r="H609" s="290">
        <v>5</v>
      </c>
      <c r="I609" s="280">
        <f t="shared" si="97"/>
        <v>403.1</v>
      </c>
      <c r="J609" s="281">
        <f t="shared" si="98"/>
        <v>457.15000000000003</v>
      </c>
      <c r="K609" s="282">
        <f>IF(Notes!$B$9="Domestic",I609, IF(Notes!$B$9="Commercial",J609))*$K$577</f>
        <v>457.15000000000003</v>
      </c>
      <c r="L609" s="283">
        <f>(SUM(O609:Q609)+(K609+SUM(M609:Q609))*(INDEX($U$577:$AB$577,MATCH(Notes!$C$16,$U$3:$AB$3,0))-100%))*$L$577</f>
        <v>2780.6783999999998</v>
      </c>
      <c r="M609" s="286"/>
      <c r="N609" s="286"/>
      <c r="O609" s="285">
        <v>2146.7399999999998</v>
      </c>
      <c r="P609" s="311">
        <f t="shared" si="95"/>
        <v>633.9384</v>
      </c>
      <c r="Q609" s="285"/>
      <c r="R609" s="278"/>
      <c r="S609" s="278"/>
      <c r="T609" s="278"/>
    </row>
    <row r="610" spans="1:20" s="305" customFormat="1" hidden="1" outlineLevel="1" x14ac:dyDescent="0.25">
      <c r="A610" s="278"/>
      <c r="B610" s="279" t="str">
        <f t="shared" si="96"/>
        <v>2100600TB/DHW</v>
      </c>
      <c r="C610" s="278">
        <v>2100</v>
      </c>
      <c r="D610" s="278">
        <v>600</v>
      </c>
      <c r="E610" s="278" t="s">
        <v>944</v>
      </c>
      <c r="F610" s="278"/>
      <c r="G610" s="278" t="s">
        <v>5</v>
      </c>
      <c r="H610" s="290">
        <v>2</v>
      </c>
      <c r="I610" s="280">
        <f t="shared" si="97"/>
        <v>161.24</v>
      </c>
      <c r="J610" s="281">
        <f t="shared" si="98"/>
        <v>182.86</v>
      </c>
      <c r="K610" s="282">
        <f>IF(Notes!$B$9="Domestic",I610, IF(Notes!$B$9="Commercial",J610))*$K$577</f>
        <v>182.86</v>
      </c>
      <c r="L610" s="283">
        <f>(SUM(O610:Q610)+(K610+SUM(M610:Q610))*(INDEX($U$577:$AB$577,MATCH(Notes!$C$16,$U$3:$AB$3,0))-100%))*$L$577</f>
        <v>977.95440000000008</v>
      </c>
      <c r="M610" s="286"/>
      <c r="N610" s="286"/>
      <c r="O610" s="285">
        <v>813.6</v>
      </c>
      <c r="P610" s="311">
        <f t="shared" si="95"/>
        <v>164.3544</v>
      </c>
      <c r="Q610" s="285"/>
      <c r="R610" s="278"/>
      <c r="S610" s="278"/>
      <c r="T610" s="278"/>
    </row>
    <row r="611" spans="1:20" s="305" customFormat="1" hidden="1" outlineLevel="1" x14ac:dyDescent="0.25">
      <c r="A611" s="278"/>
      <c r="B611" s="279" t="str">
        <f t="shared" si="96"/>
        <v>2100900TB/DHW</v>
      </c>
      <c r="C611" s="278">
        <v>2100</v>
      </c>
      <c r="D611" s="278">
        <v>900</v>
      </c>
      <c r="E611" s="278" t="s">
        <v>944</v>
      </c>
      <c r="F611" s="278"/>
      <c r="G611" s="278" t="s">
        <v>5</v>
      </c>
      <c r="H611" s="290">
        <v>2</v>
      </c>
      <c r="I611" s="280">
        <f t="shared" si="97"/>
        <v>161.24</v>
      </c>
      <c r="J611" s="281">
        <f t="shared" si="98"/>
        <v>182.86</v>
      </c>
      <c r="K611" s="282">
        <f>IF(Notes!$B$9="Domestic",I611, IF(Notes!$B$9="Commercial",J611))*$K$577</f>
        <v>182.86</v>
      </c>
      <c r="L611" s="283">
        <f>(SUM(O611:Q611)+(K611+SUM(M611:Q611))*(INDEX($U$577:$AB$577,MATCH(Notes!$C$16,$U$3:$AB$3,0))-100%))*$L$577</f>
        <v>1316.0816</v>
      </c>
      <c r="M611" s="286"/>
      <c r="N611" s="286"/>
      <c r="O611" s="285">
        <v>1069.55</v>
      </c>
      <c r="P611" s="311">
        <f t="shared" si="95"/>
        <v>246.53159999999997</v>
      </c>
      <c r="Q611" s="285"/>
      <c r="R611" s="278"/>
      <c r="S611" s="278"/>
      <c r="T611" s="278"/>
    </row>
    <row r="612" spans="1:20" s="305" customFormat="1" hidden="1" outlineLevel="1" x14ac:dyDescent="0.25">
      <c r="A612" s="278"/>
      <c r="B612" s="279" t="str">
        <f t="shared" si="96"/>
        <v>21001200TB/DHW</v>
      </c>
      <c r="C612" s="278">
        <v>2100</v>
      </c>
      <c r="D612" s="278">
        <v>1200</v>
      </c>
      <c r="E612" s="278" t="s">
        <v>944</v>
      </c>
      <c r="F612" s="278"/>
      <c r="G612" s="278" t="s">
        <v>5</v>
      </c>
      <c r="H612" s="290">
        <v>3</v>
      </c>
      <c r="I612" s="280">
        <f t="shared" si="97"/>
        <v>241.86</v>
      </c>
      <c r="J612" s="281">
        <f t="shared" si="98"/>
        <v>274.29000000000002</v>
      </c>
      <c r="K612" s="282">
        <f>IF(Notes!$B$9="Domestic",I612, IF(Notes!$B$9="Commercial",J612))*$K$577</f>
        <v>274.29000000000002</v>
      </c>
      <c r="L612" s="283">
        <f>(SUM(O612:Q612)+(K612+SUM(M612:Q612))*(INDEX($U$577:$AB$577,MATCH(Notes!$C$16,$U$3:$AB$3,0))-100%))*$L$577</f>
        <v>1469.0387999999998</v>
      </c>
      <c r="M612" s="286"/>
      <c r="N612" s="286"/>
      <c r="O612" s="285">
        <v>1140.33</v>
      </c>
      <c r="P612" s="311">
        <f t="shared" si="95"/>
        <v>328.7088</v>
      </c>
      <c r="Q612" s="285"/>
      <c r="R612" s="278"/>
      <c r="S612" s="278"/>
      <c r="T612" s="278"/>
    </row>
    <row r="613" spans="1:20" s="305" customFormat="1" hidden="1" outlineLevel="1" x14ac:dyDescent="0.25">
      <c r="A613" s="278"/>
      <c r="B613" s="279" t="str">
        <f t="shared" si="96"/>
        <v>21001500TB/DHW</v>
      </c>
      <c r="C613" s="278">
        <v>2100</v>
      </c>
      <c r="D613" s="278">
        <v>1500</v>
      </c>
      <c r="E613" s="278" t="s">
        <v>944</v>
      </c>
      <c r="F613" s="278"/>
      <c r="G613" s="278" t="s">
        <v>5</v>
      </c>
      <c r="H613" s="290">
        <v>4</v>
      </c>
      <c r="I613" s="280">
        <f t="shared" si="97"/>
        <v>322.48</v>
      </c>
      <c r="J613" s="281">
        <f t="shared" si="98"/>
        <v>365.72</v>
      </c>
      <c r="K613" s="282">
        <f>IF(Notes!$B$9="Domestic",I613, IF(Notes!$B$9="Commercial",J613))*$K$577</f>
        <v>365.72</v>
      </c>
      <c r="L613" s="283">
        <f>(SUM(O613:Q613)+(K613+SUM(M613:Q613))*(INDEX($U$577:$AB$577,MATCH(Notes!$C$16,$U$3:$AB$3,0))-100%))*$L$577</f>
        <v>1852.326</v>
      </c>
      <c r="M613" s="286"/>
      <c r="N613" s="286"/>
      <c r="O613" s="285">
        <v>1441.44</v>
      </c>
      <c r="P613" s="311">
        <f t="shared" si="95"/>
        <v>410.88599999999997</v>
      </c>
      <c r="Q613" s="285"/>
      <c r="R613" s="278"/>
      <c r="S613" s="278"/>
      <c r="T613" s="278"/>
    </row>
    <row r="614" spans="1:20" s="305" customFormat="1" hidden="1" outlineLevel="1" x14ac:dyDescent="0.25">
      <c r="A614" s="278"/>
      <c r="B614" s="279" t="str">
        <f t="shared" si="96"/>
        <v>21001800TB/DHW</v>
      </c>
      <c r="C614" s="278">
        <v>2100</v>
      </c>
      <c r="D614" s="278">
        <v>1800</v>
      </c>
      <c r="E614" s="278" t="s">
        <v>944</v>
      </c>
      <c r="F614" s="278"/>
      <c r="G614" s="278" t="s">
        <v>5</v>
      </c>
      <c r="H614" s="290">
        <v>4</v>
      </c>
      <c r="I614" s="280">
        <f t="shared" si="97"/>
        <v>322.48</v>
      </c>
      <c r="J614" s="281">
        <f t="shared" si="98"/>
        <v>365.72</v>
      </c>
      <c r="K614" s="282">
        <f>IF(Notes!$B$9="Domestic",I614, IF(Notes!$B$9="Commercial",J614))*$K$577</f>
        <v>365.72</v>
      </c>
      <c r="L614" s="283">
        <f>(SUM(O614:Q614)+(K614+SUM(M614:Q614))*(INDEX($U$577:$AB$577,MATCH(Notes!$C$16,$U$3:$AB$3,0))-100%))*$L$577</f>
        <v>2028.4531999999999</v>
      </c>
      <c r="M614" s="286"/>
      <c r="N614" s="286"/>
      <c r="O614" s="285">
        <v>1535.39</v>
      </c>
      <c r="P614" s="311">
        <f t="shared" si="95"/>
        <v>493.06319999999994</v>
      </c>
      <c r="Q614" s="285"/>
      <c r="R614" s="278"/>
      <c r="S614" s="278"/>
      <c r="T614" s="278"/>
    </row>
    <row r="615" spans="1:20" s="305" customFormat="1" hidden="1" outlineLevel="1" x14ac:dyDescent="0.25">
      <c r="A615" s="278"/>
      <c r="B615" s="279" t="str">
        <f t="shared" si="96"/>
        <v>21002100TB/DHW</v>
      </c>
      <c r="C615" s="278">
        <v>2100</v>
      </c>
      <c r="D615" s="278">
        <v>2100</v>
      </c>
      <c r="E615" s="278" t="s">
        <v>944</v>
      </c>
      <c r="F615" s="278"/>
      <c r="G615" s="278" t="s">
        <v>5</v>
      </c>
      <c r="H615" s="290">
        <v>5</v>
      </c>
      <c r="I615" s="280">
        <f t="shared" si="97"/>
        <v>403.1</v>
      </c>
      <c r="J615" s="281">
        <f t="shared" si="98"/>
        <v>457.15000000000003</v>
      </c>
      <c r="K615" s="282">
        <f>IF(Notes!$B$9="Domestic",I615, IF(Notes!$B$9="Commercial",J615))*$K$577</f>
        <v>457.15000000000003</v>
      </c>
      <c r="L615" s="283">
        <f>(SUM(O615:Q615)+(K615+SUM(M615:Q615))*(INDEX($U$577:$AB$577,MATCH(Notes!$C$16,$U$3:$AB$3,0))-100%))*$L$577</f>
        <v>2204.5904</v>
      </c>
      <c r="M615" s="286"/>
      <c r="N615" s="286"/>
      <c r="O615" s="285">
        <v>1629.35</v>
      </c>
      <c r="P615" s="311">
        <f t="shared" si="95"/>
        <v>575.24039999999991</v>
      </c>
      <c r="Q615" s="285"/>
      <c r="R615" s="278"/>
      <c r="S615" s="278"/>
      <c r="T615" s="278"/>
    </row>
    <row r="616" spans="1:20" s="305" customFormat="1" hidden="1" outlineLevel="1" x14ac:dyDescent="0.25">
      <c r="A616" s="278"/>
      <c r="B616" s="279" t="str">
        <f t="shared" si="96"/>
        <v>21002400TB/DHW</v>
      </c>
      <c r="C616" s="278">
        <v>2100</v>
      </c>
      <c r="D616" s="278">
        <v>2400</v>
      </c>
      <c r="E616" s="278" t="s">
        <v>944</v>
      </c>
      <c r="F616" s="278"/>
      <c r="G616" s="278" t="s">
        <v>5</v>
      </c>
      <c r="H616" s="290">
        <v>5</v>
      </c>
      <c r="I616" s="280">
        <f t="shared" si="97"/>
        <v>403.1</v>
      </c>
      <c r="J616" s="281">
        <f t="shared" si="98"/>
        <v>457.15000000000003</v>
      </c>
      <c r="K616" s="282">
        <f>IF(Notes!$B$9="Domestic",I616, IF(Notes!$B$9="Commercial",J616))*$K$577</f>
        <v>457.15000000000003</v>
      </c>
      <c r="L616" s="283">
        <f>(SUM(O616:Q616)+(K616+SUM(M616:Q616))*(INDEX($U$577:$AB$577,MATCH(Notes!$C$16,$U$3:$AB$3,0))-100%))*$L$577</f>
        <v>2350.3076000000001</v>
      </c>
      <c r="M616" s="286"/>
      <c r="N616" s="286"/>
      <c r="O616" s="285">
        <v>1692.89</v>
      </c>
      <c r="P616" s="311">
        <f t="shared" si="95"/>
        <v>657.41759999999999</v>
      </c>
      <c r="Q616" s="285"/>
      <c r="R616" s="278"/>
      <c r="S616" s="278"/>
      <c r="T616" s="278"/>
    </row>
    <row r="617" spans="1:20" s="305" customFormat="1" hidden="1" outlineLevel="1" x14ac:dyDescent="0.25">
      <c r="A617" s="278"/>
      <c r="B617" s="279" t="str">
        <f t="shared" si="96"/>
        <v>21002700TB/DHW</v>
      </c>
      <c r="C617" s="278">
        <v>2100</v>
      </c>
      <c r="D617" s="278">
        <v>2700</v>
      </c>
      <c r="E617" s="278" t="s">
        <v>944</v>
      </c>
      <c r="F617" s="278"/>
      <c r="G617" s="278" t="s">
        <v>5</v>
      </c>
      <c r="H617" s="290">
        <v>6</v>
      </c>
      <c r="I617" s="280">
        <f t="shared" si="97"/>
        <v>483.72</v>
      </c>
      <c r="J617" s="281">
        <f t="shared" si="98"/>
        <v>548.58000000000004</v>
      </c>
      <c r="K617" s="282">
        <f>IF(Notes!$B$9="Domestic",I617, IF(Notes!$B$9="Commercial",J617))*$K$577</f>
        <v>548.58000000000004</v>
      </c>
      <c r="L617" s="283">
        <f>(SUM(O617:Q617)+(K617+SUM(M617:Q617))*(INDEX($U$577:$AB$577,MATCH(Notes!$C$16,$U$3:$AB$3,0))-100%))*$L$577</f>
        <v>3198.3247999999999</v>
      </c>
      <c r="M617" s="286"/>
      <c r="N617" s="286"/>
      <c r="O617" s="285">
        <v>2458.73</v>
      </c>
      <c r="P617" s="311">
        <f t="shared" si="95"/>
        <v>739.59479999999996</v>
      </c>
      <c r="Q617" s="285"/>
      <c r="R617" s="278"/>
      <c r="S617" s="278"/>
      <c r="T617" s="278"/>
    </row>
    <row r="618" spans="1:20" s="305" customFormat="1" hidden="1" outlineLevel="1" x14ac:dyDescent="0.25">
      <c r="A618" s="278"/>
      <c r="B618" s="279" t="str">
        <f t="shared" si="96"/>
        <v>2400600TB/DHW</v>
      </c>
      <c r="C618" s="278">
        <v>2400</v>
      </c>
      <c r="D618" s="278">
        <v>600</v>
      </c>
      <c r="E618" s="278" t="s">
        <v>944</v>
      </c>
      <c r="F618" s="278"/>
      <c r="G618" s="278" t="s">
        <v>5</v>
      </c>
      <c r="H618" s="290">
        <v>2</v>
      </c>
      <c r="I618" s="280">
        <f t="shared" si="97"/>
        <v>161.24</v>
      </c>
      <c r="J618" s="281">
        <f t="shared" si="98"/>
        <v>182.86</v>
      </c>
      <c r="K618" s="282">
        <f>IF(Notes!$B$9="Domestic",I618, IF(Notes!$B$9="Commercial",J618))*$K$577</f>
        <v>182.86</v>
      </c>
      <c r="L618" s="283">
        <f>(SUM(O618:Q618)+(K618+SUM(M618:Q618))*(INDEX($U$577:$AB$577,MATCH(Notes!$C$16,$U$3:$AB$3,0))-100%))*$L$577</f>
        <v>1205.0436</v>
      </c>
      <c r="M618" s="286"/>
      <c r="N618" s="286"/>
      <c r="O618" s="311">
        <f>O603</f>
        <v>1017.21</v>
      </c>
      <c r="P618" s="311">
        <f t="shared" si="95"/>
        <v>187.83359999999999</v>
      </c>
      <c r="Q618" s="285"/>
      <c r="R618" s="278"/>
      <c r="S618" s="278"/>
      <c r="T618" s="278"/>
    </row>
    <row r="619" spans="1:20" s="305" customFormat="1" hidden="1" outlineLevel="1" x14ac:dyDescent="0.25">
      <c r="A619" s="278"/>
      <c r="B619" s="279" t="str">
        <f t="shared" si="96"/>
        <v>2400900TB/DHW</v>
      </c>
      <c r="C619" s="278">
        <v>2400</v>
      </c>
      <c r="D619" s="278">
        <v>900</v>
      </c>
      <c r="E619" s="278" t="s">
        <v>944</v>
      </c>
      <c r="F619" s="278"/>
      <c r="G619" s="278" t="s">
        <v>5</v>
      </c>
      <c r="H619" s="290">
        <v>4</v>
      </c>
      <c r="I619" s="280">
        <f t="shared" si="97"/>
        <v>322.48</v>
      </c>
      <c r="J619" s="281">
        <f t="shared" si="98"/>
        <v>365.72</v>
      </c>
      <c r="K619" s="282">
        <f>IF(Notes!$B$9="Domestic",I619, IF(Notes!$B$9="Commercial",J619))*$K$577</f>
        <v>365.72</v>
      </c>
      <c r="L619" s="283">
        <f>(SUM(O619:Q619)+(K619+SUM(M619:Q619))*(INDEX($U$577:$AB$577,MATCH(Notes!$C$16,$U$3:$AB$3,0))-100%))*$L$577</f>
        <v>1357.1704</v>
      </c>
      <c r="M619" s="286"/>
      <c r="N619" s="286"/>
      <c r="O619" s="311">
        <f>O584</f>
        <v>1075.42</v>
      </c>
      <c r="P619" s="311">
        <f t="shared" si="95"/>
        <v>281.75039999999996</v>
      </c>
      <c r="Q619" s="285"/>
      <c r="R619" s="278"/>
      <c r="S619" s="278"/>
      <c r="T619" s="278"/>
    </row>
    <row r="620" spans="1:20" s="305" customFormat="1" hidden="1" outlineLevel="1" x14ac:dyDescent="0.25">
      <c r="A620" s="278"/>
      <c r="B620" s="279" t="str">
        <f t="shared" si="96"/>
        <v>24001200TB/DHW</v>
      </c>
      <c r="C620" s="278">
        <v>2400</v>
      </c>
      <c r="D620" s="278">
        <v>1200</v>
      </c>
      <c r="E620" s="278" t="s">
        <v>944</v>
      </c>
      <c r="F620" s="278"/>
      <c r="G620" s="278" t="s">
        <v>5</v>
      </c>
      <c r="H620" s="290">
        <v>4</v>
      </c>
      <c r="I620" s="280">
        <f t="shared" si="97"/>
        <v>322.48</v>
      </c>
      <c r="J620" s="281">
        <f t="shared" si="98"/>
        <v>365.72</v>
      </c>
      <c r="K620" s="282">
        <f>IF(Notes!$B$9="Domestic",I620, IF(Notes!$B$9="Commercial",J620))*$K$577</f>
        <v>365.72</v>
      </c>
      <c r="L620" s="283">
        <f>(SUM(O620:Q620)+(K620+SUM(M620:Q620))*(INDEX($U$577:$AB$577,MATCH(Notes!$C$16,$U$3:$AB$3,0))-100%))*$L$577</f>
        <v>1695.1572000000001</v>
      </c>
      <c r="M620" s="286"/>
      <c r="N620" s="286"/>
      <c r="O620" s="311">
        <f>O592</f>
        <v>1319.49</v>
      </c>
      <c r="P620" s="311">
        <f t="shared" si="95"/>
        <v>375.66719999999998</v>
      </c>
      <c r="Q620" s="285"/>
      <c r="R620" s="278"/>
      <c r="S620" s="278"/>
      <c r="T620" s="278"/>
    </row>
    <row r="621" spans="1:20" s="305" customFormat="1" hidden="1" outlineLevel="1" x14ac:dyDescent="0.25">
      <c r="A621" s="278"/>
      <c r="B621" s="279" t="str">
        <f t="shared" si="96"/>
        <v>24001500TB/DHW</v>
      </c>
      <c r="C621" s="278">
        <v>2400</v>
      </c>
      <c r="D621" s="278">
        <v>1500</v>
      </c>
      <c r="E621" s="278" t="s">
        <v>944</v>
      </c>
      <c r="F621" s="278"/>
      <c r="G621" s="278" t="s">
        <v>5</v>
      </c>
      <c r="H621" s="290">
        <v>4</v>
      </c>
      <c r="I621" s="280">
        <f t="shared" si="97"/>
        <v>322.48</v>
      </c>
      <c r="J621" s="281">
        <f t="shared" si="98"/>
        <v>365.72</v>
      </c>
      <c r="K621" s="282">
        <f>IF(Notes!$B$9="Domestic",I621, IF(Notes!$B$9="Commercial",J621))*$K$577</f>
        <v>365.72</v>
      </c>
      <c r="L621" s="283">
        <f>(SUM(O621:Q621)+(K621+SUM(M621:Q621))*(INDEX($U$577:$AB$577,MATCH(Notes!$C$16,$U$3:$AB$3,0))-100%))*$L$577</f>
        <v>1973.634</v>
      </c>
      <c r="M621" s="286"/>
      <c r="N621" s="286"/>
      <c r="O621" s="311">
        <f>O600</f>
        <v>1504.05</v>
      </c>
      <c r="P621" s="311">
        <f t="shared" si="95"/>
        <v>469.584</v>
      </c>
      <c r="Q621" s="285"/>
      <c r="R621" s="278"/>
      <c r="S621" s="278"/>
      <c r="T621" s="278"/>
    </row>
    <row r="622" spans="1:20" s="305" customFormat="1" hidden="1" outlineLevel="1" x14ac:dyDescent="0.25">
      <c r="A622" s="278"/>
      <c r="B622" s="279" t="str">
        <f t="shared" si="96"/>
        <v>24001800TB/DHW</v>
      </c>
      <c r="C622" s="278">
        <v>2400</v>
      </c>
      <c r="D622" s="278">
        <v>1800</v>
      </c>
      <c r="E622" s="278" t="s">
        <v>944</v>
      </c>
      <c r="F622" s="278"/>
      <c r="G622" s="278" t="s">
        <v>5</v>
      </c>
      <c r="H622" s="290">
        <v>5</v>
      </c>
      <c r="I622" s="280">
        <f t="shared" si="97"/>
        <v>403.1</v>
      </c>
      <c r="J622" s="281">
        <f t="shared" si="98"/>
        <v>457.15000000000003</v>
      </c>
      <c r="K622" s="282">
        <f>IF(Notes!$B$9="Domestic",I622, IF(Notes!$B$9="Commercial",J622))*$K$577</f>
        <v>457.15000000000003</v>
      </c>
      <c r="L622" s="283">
        <f>(SUM(O622:Q622)+(K622+SUM(M622:Q622))*(INDEX($U$577:$AB$577,MATCH(Notes!$C$16,$U$3:$AB$3,0))-100%))*$L$577</f>
        <v>2161.9708000000001</v>
      </c>
      <c r="M622" s="286"/>
      <c r="N622" s="286"/>
      <c r="O622" s="311">
        <f>O608</f>
        <v>1598.47</v>
      </c>
      <c r="P622" s="311">
        <f t="shared" si="95"/>
        <v>563.50079999999991</v>
      </c>
      <c r="Q622" s="285"/>
      <c r="R622" s="278"/>
      <c r="S622" s="278"/>
      <c r="T622" s="278"/>
    </row>
    <row r="623" spans="1:20" s="305" customFormat="1" hidden="1" outlineLevel="1" x14ac:dyDescent="0.25">
      <c r="A623" s="278"/>
      <c r="B623" s="279" t="str">
        <f t="shared" si="96"/>
        <v>24002100TB/DHW</v>
      </c>
      <c r="C623" s="278">
        <v>2400</v>
      </c>
      <c r="D623" s="278">
        <v>2100</v>
      </c>
      <c r="E623" s="278" t="s">
        <v>944</v>
      </c>
      <c r="F623" s="278"/>
      <c r="G623" s="278" t="s">
        <v>5</v>
      </c>
      <c r="H623" s="290">
        <v>5</v>
      </c>
      <c r="I623" s="280">
        <f t="shared" si="97"/>
        <v>403.1</v>
      </c>
      <c r="J623" s="281">
        <f t="shared" si="98"/>
        <v>457.15000000000003</v>
      </c>
      <c r="K623" s="282">
        <f>IF(Notes!$B$9="Domestic",I623, IF(Notes!$B$9="Commercial",J623))*$K$577</f>
        <v>457.15000000000003</v>
      </c>
      <c r="L623" s="283">
        <f>(SUM(O623:Q623)+(K623+SUM(M623:Q623))*(INDEX($U$577:$AB$577,MATCH(Notes!$C$16,$U$3:$AB$3,0))-100%))*$L$577</f>
        <v>2350.3076000000001</v>
      </c>
      <c r="M623" s="286"/>
      <c r="N623" s="286"/>
      <c r="O623" s="311">
        <f>O616</f>
        <v>1692.89</v>
      </c>
      <c r="P623" s="311">
        <f t="shared" si="95"/>
        <v>657.41759999999999</v>
      </c>
      <c r="Q623" s="285"/>
      <c r="R623" s="278"/>
      <c r="S623" s="278"/>
      <c r="T623" s="278"/>
    </row>
    <row r="624" spans="1:20" s="305" customFormat="1" hidden="1" outlineLevel="1" x14ac:dyDescent="0.25">
      <c r="A624" s="278"/>
      <c r="B624" s="279" t="str">
        <f t="shared" si="96"/>
        <v>24002400TB/DHW</v>
      </c>
      <c r="C624" s="278">
        <v>2400</v>
      </c>
      <c r="D624" s="278">
        <v>2400</v>
      </c>
      <c r="E624" s="278" t="s">
        <v>944</v>
      </c>
      <c r="F624" s="278"/>
      <c r="G624" s="278" t="s">
        <v>5</v>
      </c>
      <c r="H624" s="290">
        <v>6</v>
      </c>
      <c r="I624" s="280">
        <f t="shared" si="97"/>
        <v>483.72</v>
      </c>
      <c r="J624" s="281">
        <f t="shared" si="98"/>
        <v>548.58000000000004</v>
      </c>
      <c r="K624" s="282">
        <f>IF(Notes!$B$9="Domestic",I624, IF(Notes!$B$9="Commercial",J624))*$K$577</f>
        <v>548.58000000000004</v>
      </c>
      <c r="L624" s="283">
        <f>(SUM(O624:Q624)+(K624+SUM(M624:Q624))*(INDEX($U$577:$AB$577,MATCH(Notes!$C$16,$U$3:$AB$3,0))-100%))*$L$577</f>
        <v>3390.3144000000002</v>
      </c>
      <c r="M624" s="286"/>
      <c r="N624" s="286"/>
      <c r="O624" s="311">
        <f>O592*2</f>
        <v>2638.98</v>
      </c>
      <c r="P624" s="311">
        <f t="shared" si="95"/>
        <v>751.33439999999996</v>
      </c>
      <c r="Q624" s="285"/>
      <c r="R624" s="278"/>
      <c r="S624" s="278"/>
      <c r="T624" s="278"/>
    </row>
    <row r="625" spans="1:28" s="305" customFormat="1" hidden="1" outlineLevel="1" x14ac:dyDescent="0.25">
      <c r="A625" s="278"/>
      <c r="B625" s="279" t="str">
        <f t="shared" si="96"/>
        <v>24002700TB/DHW</v>
      </c>
      <c r="C625" s="278">
        <v>2400</v>
      </c>
      <c r="D625" s="278">
        <v>2700</v>
      </c>
      <c r="E625" s="278" t="s">
        <v>944</v>
      </c>
      <c r="F625" s="278"/>
      <c r="G625" s="278" t="s">
        <v>5</v>
      </c>
      <c r="H625" s="290">
        <v>6</v>
      </c>
      <c r="I625" s="280">
        <f t="shared" si="97"/>
        <v>483.72</v>
      </c>
      <c r="J625" s="281">
        <f t="shared" si="98"/>
        <v>548.58000000000004</v>
      </c>
      <c r="K625" s="282">
        <f>IF(Notes!$B$9="Domestic",I625, IF(Notes!$B$9="Commercial",J625))*$K$577</f>
        <v>548.58000000000004</v>
      </c>
      <c r="L625" s="283">
        <f>(SUM(O625:Q625)+(K625+SUM(M625:Q625))*(INDEX($U$577:$AB$577,MATCH(Notes!$C$16,$U$3:$AB$3,0))-100%))*$L$577</f>
        <v>4198.0312000000004</v>
      </c>
      <c r="M625" s="286"/>
      <c r="N625" s="286"/>
      <c r="O625" s="311">
        <f>O593*2</f>
        <v>3352.78</v>
      </c>
      <c r="P625" s="311">
        <f t="shared" si="95"/>
        <v>845.25119999999993</v>
      </c>
      <c r="Q625" s="285"/>
      <c r="R625" s="278"/>
      <c r="S625" s="278"/>
      <c r="T625" s="278"/>
    </row>
    <row r="626" spans="1:28" s="305" customFormat="1" hidden="1" outlineLevel="1" x14ac:dyDescent="0.25">
      <c r="A626" s="278"/>
      <c r="B626" s="279" t="str">
        <f t="shared" si="96"/>
        <v>2700600TB/DHW</v>
      </c>
      <c r="C626" s="278">
        <v>2700</v>
      </c>
      <c r="D626" s="278">
        <v>600</v>
      </c>
      <c r="E626" s="278" t="s">
        <v>944</v>
      </c>
      <c r="F626" s="278"/>
      <c r="G626" s="278" t="s">
        <v>5</v>
      </c>
      <c r="H626" s="290">
        <v>4</v>
      </c>
      <c r="I626" s="280">
        <f t="shared" si="97"/>
        <v>322.48</v>
      </c>
      <c r="J626" s="281">
        <f t="shared" si="98"/>
        <v>365.72</v>
      </c>
      <c r="K626" s="282">
        <f>IF(Notes!$B$9="Domestic",I626, IF(Notes!$B$9="Commercial",J626))*$K$577</f>
        <v>365.72</v>
      </c>
      <c r="L626" s="283">
        <f>(SUM(O626:Q626)+(K626+SUM(M626:Q626))*(INDEX($U$577:$AB$577,MATCH(Notes!$C$16,$U$3:$AB$3,0))-100%))*$L$577</f>
        <v>1280.8627999999999</v>
      </c>
      <c r="M626" s="286"/>
      <c r="N626" s="286"/>
      <c r="O626" s="311">
        <f>O611</f>
        <v>1069.55</v>
      </c>
      <c r="P626" s="311">
        <f t="shared" si="95"/>
        <v>211.31279999999998</v>
      </c>
      <c r="Q626" s="285"/>
      <c r="R626" s="278"/>
      <c r="S626" s="278"/>
      <c r="T626" s="278"/>
    </row>
    <row r="627" spans="1:28" s="305" customFormat="1" hidden="1" outlineLevel="1" x14ac:dyDescent="0.25">
      <c r="A627" s="278"/>
      <c r="B627" s="279" t="str">
        <f t="shared" si="96"/>
        <v>2700900TB/DHW</v>
      </c>
      <c r="C627" s="278">
        <v>2700</v>
      </c>
      <c r="D627" s="278">
        <v>900</v>
      </c>
      <c r="E627" s="278" t="s">
        <v>944</v>
      </c>
      <c r="F627" s="278"/>
      <c r="G627" s="278" t="s">
        <v>5</v>
      </c>
      <c r="H627" s="290">
        <v>4</v>
      </c>
      <c r="I627" s="280">
        <f t="shared" si="97"/>
        <v>322.48</v>
      </c>
      <c r="J627" s="281">
        <f t="shared" si="98"/>
        <v>365.72</v>
      </c>
      <c r="K627" s="282">
        <f>IF(Notes!$B$9="Domestic",I627, IF(Notes!$B$9="Commercial",J627))*$K$577</f>
        <v>365.72</v>
      </c>
      <c r="L627" s="283">
        <f>(SUM(O627:Q627)+(K627+SUM(M627:Q627))*(INDEX($U$577:$AB$577,MATCH(Notes!$C$16,$U$3:$AB$3,0))-100%))*$L$577</f>
        <v>1681.8692000000001</v>
      </c>
      <c r="M627" s="286"/>
      <c r="N627" s="286"/>
      <c r="O627" s="311">
        <f>O585</f>
        <v>1364.9</v>
      </c>
      <c r="P627" s="311">
        <f t="shared" si="95"/>
        <v>316.9692</v>
      </c>
      <c r="Q627" s="285"/>
      <c r="R627" s="278"/>
      <c r="S627" s="278"/>
      <c r="T627" s="278"/>
    </row>
    <row r="628" spans="1:28" s="305" customFormat="1" hidden="1" outlineLevel="1" x14ac:dyDescent="0.25">
      <c r="A628" s="278"/>
      <c r="B628" s="279" t="str">
        <f t="shared" si="96"/>
        <v>27001200TB/DHW</v>
      </c>
      <c r="C628" s="278">
        <v>2700</v>
      </c>
      <c r="D628" s="278">
        <v>1200</v>
      </c>
      <c r="E628" s="278" t="s">
        <v>944</v>
      </c>
      <c r="F628" s="278"/>
      <c r="G628" s="278" t="s">
        <v>5</v>
      </c>
      <c r="H628" s="290">
        <v>4</v>
      </c>
      <c r="I628" s="280">
        <f t="shared" si="97"/>
        <v>322.48</v>
      </c>
      <c r="J628" s="281">
        <f t="shared" si="98"/>
        <v>365.72</v>
      </c>
      <c r="K628" s="282">
        <f>IF(Notes!$B$9="Domestic",I628, IF(Notes!$B$9="Commercial",J628))*$K$577</f>
        <v>365.72</v>
      </c>
      <c r="L628" s="283">
        <f>(SUM(O628:Q628)+(K628+SUM(M628:Q628))*(INDEX($U$577:$AB$577,MATCH(Notes!$C$16,$U$3:$AB$3,0))-100%))*$L$577</f>
        <v>2099.0156000000002</v>
      </c>
      <c r="M628" s="286"/>
      <c r="N628" s="286"/>
      <c r="O628" s="311">
        <f>O593</f>
        <v>1676.39</v>
      </c>
      <c r="P628" s="311">
        <f t="shared" si="95"/>
        <v>422.62559999999996</v>
      </c>
      <c r="Q628" s="285"/>
      <c r="R628" s="278"/>
      <c r="S628" s="278"/>
      <c r="T628" s="278"/>
    </row>
    <row r="629" spans="1:28" s="305" customFormat="1" hidden="1" outlineLevel="1" x14ac:dyDescent="0.25">
      <c r="A629" s="278"/>
      <c r="B629" s="279" t="str">
        <f t="shared" si="96"/>
        <v>27001500TB/DHW</v>
      </c>
      <c r="C629" s="278">
        <v>2700</v>
      </c>
      <c r="D629" s="278">
        <v>1500</v>
      </c>
      <c r="E629" s="278" t="s">
        <v>944</v>
      </c>
      <c r="F629" s="278"/>
      <c r="G629" s="278" t="s">
        <v>5</v>
      </c>
      <c r="H629" s="290">
        <v>5</v>
      </c>
      <c r="I629" s="280">
        <f t="shared" si="97"/>
        <v>403.1</v>
      </c>
      <c r="J629" s="281">
        <f t="shared" si="98"/>
        <v>457.15000000000003</v>
      </c>
      <c r="K629" s="282">
        <f>IF(Notes!$B$9="Domestic",I629, IF(Notes!$B$9="Commercial",J629))*$K$577</f>
        <v>457.15000000000003</v>
      </c>
      <c r="L629" s="283">
        <f>(SUM(O629:Q629)+(K629+SUM(M629:Q629))*(INDEX($U$577:$AB$577,MATCH(Notes!$C$16,$U$3:$AB$3,0))-100%))*$L$577</f>
        <v>2516.6419999999998</v>
      </c>
      <c r="M629" s="286"/>
      <c r="N629" s="286"/>
      <c r="O629" s="311">
        <f>O601</f>
        <v>1988.36</v>
      </c>
      <c r="P629" s="311">
        <f t="shared" si="95"/>
        <v>528.28200000000004</v>
      </c>
      <c r="Q629" s="285"/>
      <c r="R629" s="278"/>
      <c r="S629" s="278"/>
      <c r="T629" s="278"/>
    </row>
    <row r="630" spans="1:28" s="305" customFormat="1" hidden="1" outlineLevel="1" x14ac:dyDescent="0.25">
      <c r="A630" s="278"/>
      <c r="B630" s="279" t="str">
        <f t="shared" si="96"/>
        <v>27001800TB/DHW</v>
      </c>
      <c r="C630" s="278">
        <v>2700</v>
      </c>
      <c r="D630" s="278">
        <v>1800</v>
      </c>
      <c r="E630" s="278" t="s">
        <v>944</v>
      </c>
      <c r="F630" s="278"/>
      <c r="G630" s="278" t="s">
        <v>5</v>
      </c>
      <c r="H630" s="290">
        <v>5</v>
      </c>
      <c r="I630" s="280">
        <f t="shared" si="97"/>
        <v>403.1</v>
      </c>
      <c r="J630" s="281">
        <f t="shared" si="98"/>
        <v>457.15000000000003</v>
      </c>
      <c r="K630" s="282">
        <f>IF(Notes!$B$9="Domestic",I630, IF(Notes!$B$9="Commercial",J630))*$K$577</f>
        <v>457.15000000000003</v>
      </c>
      <c r="L630" s="283">
        <f>(SUM(O630:Q630)+(K630+SUM(M630:Q630))*(INDEX($U$577:$AB$577,MATCH(Notes!$C$16,$U$3:$AB$3,0))-100%))*$L$577</f>
        <v>2780.6783999999998</v>
      </c>
      <c r="M630" s="286"/>
      <c r="N630" s="286"/>
      <c r="O630" s="311">
        <f>O609</f>
        <v>2146.7399999999998</v>
      </c>
      <c r="P630" s="311">
        <f t="shared" si="95"/>
        <v>633.9384</v>
      </c>
      <c r="Q630" s="285"/>
      <c r="R630" s="278"/>
      <c r="S630" s="278"/>
      <c r="T630" s="278"/>
    </row>
    <row r="631" spans="1:28" s="305" customFormat="1" hidden="1" outlineLevel="1" x14ac:dyDescent="0.25">
      <c r="A631" s="278"/>
      <c r="B631" s="279" t="str">
        <f t="shared" si="96"/>
        <v>27002100TB/DHW</v>
      </c>
      <c r="C631" s="278">
        <v>2700</v>
      </c>
      <c r="D631" s="278">
        <v>2100</v>
      </c>
      <c r="E631" s="278" t="s">
        <v>944</v>
      </c>
      <c r="F631" s="278"/>
      <c r="G631" s="278" t="s">
        <v>5</v>
      </c>
      <c r="H631" s="290">
        <v>6</v>
      </c>
      <c r="I631" s="280">
        <f t="shared" si="97"/>
        <v>483.72</v>
      </c>
      <c r="J631" s="281">
        <f t="shared" si="98"/>
        <v>548.58000000000004</v>
      </c>
      <c r="K631" s="282">
        <f>IF(Notes!$B$9="Domestic",I631, IF(Notes!$B$9="Commercial",J631))*$K$577</f>
        <v>548.58000000000004</v>
      </c>
      <c r="L631" s="283">
        <f>(SUM(O631:Q631)+(K631+SUM(M631:Q631))*(INDEX($U$577:$AB$577,MATCH(Notes!$C$16,$U$3:$AB$3,0))-100%))*$L$577</f>
        <v>3198.3247999999999</v>
      </c>
      <c r="M631" s="286"/>
      <c r="N631" s="286"/>
      <c r="O631" s="311">
        <f>O617</f>
        <v>2458.73</v>
      </c>
      <c r="P631" s="311">
        <f t="shared" si="95"/>
        <v>739.59479999999996</v>
      </c>
      <c r="Q631" s="285"/>
      <c r="R631" s="278"/>
      <c r="S631" s="278"/>
      <c r="T631" s="278"/>
    </row>
    <row r="632" spans="1:28" s="305" customFormat="1" hidden="1" outlineLevel="1" x14ac:dyDescent="0.25">
      <c r="A632" s="278"/>
      <c r="B632" s="279" t="str">
        <f t="shared" si="96"/>
        <v>27002400TB/DHW</v>
      </c>
      <c r="C632" s="278">
        <v>2700</v>
      </c>
      <c r="D632" s="278">
        <v>2400</v>
      </c>
      <c r="E632" s="278" t="s">
        <v>944</v>
      </c>
      <c r="F632" s="278"/>
      <c r="G632" s="278" t="s">
        <v>5</v>
      </c>
      <c r="H632" s="290">
        <v>6</v>
      </c>
      <c r="I632" s="280">
        <f t="shared" si="97"/>
        <v>483.72</v>
      </c>
      <c r="J632" s="281">
        <f t="shared" si="98"/>
        <v>548.58000000000004</v>
      </c>
      <c r="K632" s="282">
        <f>IF(Notes!$B$9="Domestic",I632, IF(Notes!$B$9="Commercial",J632))*$K$577</f>
        <v>548.58000000000004</v>
      </c>
      <c r="L632" s="283">
        <f>(SUM(O632:Q632)+(K632+SUM(M632:Q632))*(INDEX($U$577:$AB$577,MATCH(Notes!$C$16,$U$3:$AB$3,0))-100%))*$L$577</f>
        <v>4198.0312000000004</v>
      </c>
      <c r="M632" s="286"/>
      <c r="N632" s="286"/>
      <c r="O632" s="311">
        <f>O625</f>
        <v>3352.78</v>
      </c>
      <c r="P632" s="311">
        <f t="shared" si="95"/>
        <v>845.25119999999993</v>
      </c>
      <c r="Q632" s="285"/>
      <c r="R632" s="278"/>
      <c r="S632" s="278"/>
      <c r="T632" s="278"/>
    </row>
    <row r="633" spans="1:28" s="305" customFormat="1" hidden="1" outlineLevel="1" x14ac:dyDescent="0.25">
      <c r="A633" s="278"/>
      <c r="B633" s="279" t="str">
        <f t="shared" si="96"/>
        <v>27002700TB/DHW</v>
      </c>
      <c r="C633" s="278">
        <v>2700</v>
      </c>
      <c r="D633" s="278">
        <v>2700</v>
      </c>
      <c r="E633" s="278" t="s">
        <v>944</v>
      </c>
      <c r="F633" s="278"/>
      <c r="G633" s="278" t="s">
        <v>5</v>
      </c>
      <c r="H633" s="290">
        <v>6</v>
      </c>
      <c r="I633" s="280">
        <f t="shared" si="97"/>
        <v>483.72</v>
      </c>
      <c r="J633" s="281">
        <f t="shared" si="98"/>
        <v>548.58000000000004</v>
      </c>
      <c r="K633" s="282">
        <f>IF(Notes!$B$9="Domestic",I633, IF(Notes!$B$9="Commercial",J633))*$K$577</f>
        <v>548.58000000000004</v>
      </c>
      <c r="L633" s="283">
        <f>(SUM(O633:Q633)+(K633+SUM(M633:Q633))*(INDEX($U$577:$AB$577,MATCH(Notes!$C$16,$U$3:$AB$3,0))-100%))*$L$577</f>
        <v>4927.6275999999998</v>
      </c>
      <c r="M633" s="286"/>
      <c r="N633" s="286"/>
      <c r="O633" s="311">
        <f>O601*2</f>
        <v>3976.72</v>
      </c>
      <c r="P633" s="311">
        <f t="shared" si="95"/>
        <v>950.9076</v>
      </c>
      <c r="Q633" s="285"/>
      <c r="R633" s="278"/>
      <c r="S633" s="278"/>
      <c r="T633" s="278"/>
    </row>
    <row r="634" spans="1:28" ht="21" hidden="1" outlineLevel="1" x14ac:dyDescent="0.25">
      <c r="A634" s="299" t="s">
        <v>499</v>
      </c>
      <c r="B634" s="299"/>
      <c r="C634" s="299"/>
      <c r="D634" s="299"/>
      <c r="E634" s="299"/>
      <c r="F634" s="299"/>
      <c r="G634" s="299"/>
      <c r="H634" s="299"/>
      <c r="I634" s="299"/>
      <c r="J634" s="299"/>
      <c r="K634" s="299"/>
      <c r="L634" s="299"/>
      <c r="M634" s="299"/>
      <c r="N634" s="299"/>
      <c r="O634" s="299"/>
      <c r="P634" s="299"/>
      <c r="Q634" s="299"/>
      <c r="R634" s="299"/>
      <c r="S634" s="299"/>
      <c r="T634" s="299"/>
      <c r="U634" s="299"/>
      <c r="V634" s="299"/>
      <c r="W634" s="299"/>
      <c r="X634" s="299"/>
      <c r="Y634" s="299"/>
      <c r="Z634" s="299"/>
      <c r="AA634" s="299"/>
      <c r="AB634" s="299"/>
    </row>
    <row r="635" spans="1:28" ht="15.75" hidden="1" outlineLevel="1" x14ac:dyDescent="0.25">
      <c r="A635" s="291"/>
      <c r="B635" s="291"/>
      <c r="C635" s="291"/>
      <c r="D635" s="291"/>
      <c r="E635" s="291"/>
      <c r="F635" s="291"/>
      <c r="G635" s="291"/>
      <c r="H635" s="291"/>
      <c r="I635" s="291"/>
      <c r="J635" s="291"/>
      <c r="K635" s="291">
        <f>K$2</f>
        <v>1</v>
      </c>
      <c r="L635" s="291">
        <f>L$2</f>
        <v>1</v>
      </c>
      <c r="M635" s="291"/>
      <c r="N635" s="291"/>
      <c r="O635" s="303"/>
      <c r="P635" s="303"/>
      <c r="Q635" s="303"/>
      <c r="R635" s="291"/>
      <c r="S635" s="291"/>
      <c r="T635" s="291"/>
      <c r="U635" s="291">
        <f>U$2</f>
        <v>0.89965397923875434</v>
      </c>
      <c r="V635" s="291">
        <f>V$2</f>
        <v>1</v>
      </c>
      <c r="W635" s="291">
        <f t="shared" ref="W635:AB635" si="99">W$2</f>
        <v>0.92214532871972321</v>
      </c>
      <c r="X635" s="291">
        <f t="shared" si="99"/>
        <v>0.89965397923875434</v>
      </c>
      <c r="Y635" s="291">
        <f t="shared" si="99"/>
        <v>1.0069204152249136</v>
      </c>
      <c r="Z635" s="291">
        <f t="shared" si="99"/>
        <v>0.856401384083045</v>
      </c>
      <c r="AA635" s="291">
        <f t="shared" si="99"/>
        <v>0.856401384083045</v>
      </c>
      <c r="AB635" s="291">
        <f t="shared" si="99"/>
        <v>1.0121107266435987</v>
      </c>
    </row>
    <row r="636" spans="1:28" s="305" customFormat="1" hidden="1" outlineLevel="1" x14ac:dyDescent="0.25">
      <c r="A636" s="278"/>
      <c r="B636" s="279" t="str">
        <f>C636&amp;D636&amp;E636&amp;F636</f>
        <v>600600TB/ANW</v>
      </c>
      <c r="C636" s="278">
        <v>600</v>
      </c>
      <c r="D636" s="278">
        <v>600</v>
      </c>
      <c r="E636" s="278" t="s">
        <v>945</v>
      </c>
      <c r="F636" s="278"/>
      <c r="G636" s="278" t="s">
        <v>5</v>
      </c>
      <c r="H636" s="290">
        <v>1</v>
      </c>
      <c r="I636" s="280">
        <f>$I$2*H636</f>
        <v>80.62</v>
      </c>
      <c r="J636" s="281">
        <f>$J$2*H636</f>
        <v>91.43</v>
      </c>
      <c r="K636" s="282">
        <f>IF(Notes!$B$9="Domestic",I636, IF(Notes!$B$9="Commercial",J636))*$K$635</f>
        <v>91.43</v>
      </c>
      <c r="L636" s="283">
        <f>(SUM(O636:Q636)+(K636+SUM(M636:Q636))*(INDEX($U$635:$AB$635,MATCH(Notes!$C$16,$U$3:$AB$3,0))-100%))*$L$635</f>
        <v>372.98839999999996</v>
      </c>
      <c r="M636" s="286"/>
      <c r="N636" s="286"/>
      <c r="O636" s="285">
        <v>326.02999999999997</v>
      </c>
      <c r="P636" s="311">
        <f t="shared" ref="P636:P699" si="100">$P$2*C636/1000*D636/1000</f>
        <v>46.958399999999997</v>
      </c>
      <c r="Q636" s="285"/>
      <c r="R636" s="278">
        <v>600</v>
      </c>
      <c r="S636" s="278">
        <v>600</v>
      </c>
      <c r="T636" s="278" t="s">
        <v>945</v>
      </c>
    </row>
    <row r="637" spans="1:28" s="305" customFormat="1" hidden="1" outlineLevel="1" x14ac:dyDescent="0.25">
      <c r="A637" s="278"/>
      <c r="B637" s="279" t="str">
        <f t="shared" ref="B637:B699" si="101">C637&amp;D637&amp;E637&amp;F637</f>
        <v>600900TB/ANW</v>
      </c>
      <c r="C637" s="278">
        <v>600</v>
      </c>
      <c r="D637" s="278">
        <v>900</v>
      </c>
      <c r="E637" s="278" t="s">
        <v>945</v>
      </c>
      <c r="F637" s="278"/>
      <c r="G637" s="278" t="s">
        <v>5</v>
      </c>
      <c r="H637" s="290">
        <v>1</v>
      </c>
      <c r="I637" s="280">
        <f t="shared" ref="I637:I699" si="102">$I$2*H637</f>
        <v>80.62</v>
      </c>
      <c r="J637" s="281">
        <f t="shared" ref="J637:J699" si="103">$J$2*H637</f>
        <v>91.43</v>
      </c>
      <c r="K637" s="282">
        <f>IF(Notes!$B$9="Domestic",I637, IF(Notes!$B$9="Commercial",J637))*$K$635</f>
        <v>91.43</v>
      </c>
      <c r="L637" s="283">
        <f>(SUM(O637:Q637)+(K637+SUM(M637:Q637))*(INDEX($U$635:$AB$635,MATCH(Notes!$C$16,$U$3:$AB$3,0))-100%))*$L$635</f>
        <v>437.46759999999995</v>
      </c>
      <c r="M637" s="286"/>
      <c r="N637" s="286"/>
      <c r="O637" s="285">
        <v>367.03</v>
      </c>
      <c r="P637" s="311">
        <f t="shared" si="100"/>
        <v>70.437599999999989</v>
      </c>
      <c r="Q637" s="285"/>
      <c r="R637" s="278">
        <v>900</v>
      </c>
      <c r="S637" s="278">
        <v>900</v>
      </c>
      <c r="T637" s="278"/>
    </row>
    <row r="638" spans="1:28" s="305" customFormat="1" hidden="1" outlineLevel="1" x14ac:dyDescent="0.25">
      <c r="A638" s="278"/>
      <c r="B638" s="279" t="str">
        <f t="shared" si="101"/>
        <v>6001200TB/ANW</v>
      </c>
      <c r="C638" s="278">
        <v>600</v>
      </c>
      <c r="D638" s="278">
        <v>1200</v>
      </c>
      <c r="E638" s="278" t="s">
        <v>945</v>
      </c>
      <c r="F638" s="278"/>
      <c r="G638" s="278" t="s">
        <v>5</v>
      </c>
      <c r="H638" s="290">
        <v>1</v>
      </c>
      <c r="I638" s="280">
        <f t="shared" si="102"/>
        <v>80.62</v>
      </c>
      <c r="J638" s="281">
        <f t="shared" si="103"/>
        <v>91.43</v>
      </c>
      <c r="K638" s="282">
        <f>IF(Notes!$B$9="Domestic",I638, IF(Notes!$B$9="Commercial",J638))*$K$635</f>
        <v>91.43</v>
      </c>
      <c r="L638" s="283">
        <f>(SUM(O638:Q638)+(K638+SUM(M638:Q638))*(INDEX($U$635:$AB$635,MATCH(Notes!$C$16,$U$3:$AB$3,0))-100%))*$L$635</f>
        <v>501.59680000000003</v>
      </c>
      <c r="M638" s="286"/>
      <c r="N638" s="286"/>
      <c r="O638" s="285">
        <v>407.68</v>
      </c>
      <c r="P638" s="311">
        <f t="shared" si="100"/>
        <v>93.916799999999995</v>
      </c>
      <c r="Q638" s="285"/>
      <c r="R638" s="278">
        <v>1200</v>
      </c>
      <c r="S638" s="278">
        <v>1200</v>
      </c>
      <c r="T638" s="278"/>
    </row>
    <row r="639" spans="1:28" s="305" customFormat="1" hidden="1" outlineLevel="1" x14ac:dyDescent="0.25">
      <c r="A639" s="278"/>
      <c r="B639" s="279" t="str">
        <f t="shared" si="101"/>
        <v>6001500TB/ANW</v>
      </c>
      <c r="C639" s="278">
        <v>600</v>
      </c>
      <c r="D639" s="278">
        <v>1500</v>
      </c>
      <c r="E639" s="278" t="s">
        <v>945</v>
      </c>
      <c r="F639" s="278"/>
      <c r="G639" s="278" t="s">
        <v>5</v>
      </c>
      <c r="H639" s="290">
        <v>1</v>
      </c>
      <c r="I639" s="280">
        <f t="shared" si="102"/>
        <v>80.62</v>
      </c>
      <c r="J639" s="281">
        <f t="shared" si="103"/>
        <v>91.43</v>
      </c>
      <c r="K639" s="282">
        <f>IF(Notes!$B$9="Domestic",I639, IF(Notes!$B$9="Commercial",J639))*$K$635</f>
        <v>91.43</v>
      </c>
      <c r="L639" s="283">
        <f>(SUM(O639:Q639)+(K639+SUM(M639:Q639))*(INDEX($U$635:$AB$635,MATCH(Notes!$C$16,$U$3:$AB$3,0))-100%))*$L$635</f>
        <v>624.42599999999993</v>
      </c>
      <c r="M639" s="286"/>
      <c r="N639" s="286"/>
      <c r="O639" s="285">
        <v>507.03</v>
      </c>
      <c r="P639" s="311">
        <f t="shared" si="100"/>
        <v>117.396</v>
      </c>
      <c r="Q639" s="285"/>
      <c r="R639" s="278">
        <v>1500</v>
      </c>
      <c r="S639" s="278">
        <v>1500</v>
      </c>
      <c r="T639" s="278"/>
    </row>
    <row r="640" spans="1:28" s="305" customFormat="1" hidden="1" outlineLevel="1" x14ac:dyDescent="0.25">
      <c r="A640" s="278"/>
      <c r="B640" s="279" t="str">
        <f t="shared" si="101"/>
        <v>6001800TB/ANW</v>
      </c>
      <c r="C640" s="278">
        <v>600</v>
      </c>
      <c r="D640" s="278">
        <v>1800</v>
      </c>
      <c r="E640" s="278" t="s">
        <v>945</v>
      </c>
      <c r="F640" s="278"/>
      <c r="G640" s="278" t="s">
        <v>5</v>
      </c>
      <c r="H640" s="290">
        <v>1</v>
      </c>
      <c r="I640" s="280">
        <f t="shared" si="102"/>
        <v>80.62</v>
      </c>
      <c r="J640" s="281">
        <f t="shared" si="103"/>
        <v>91.43</v>
      </c>
      <c r="K640" s="282">
        <f>IF(Notes!$B$9="Domestic",I640, IF(Notes!$B$9="Commercial",J640))*$K$635</f>
        <v>91.43</v>
      </c>
      <c r="L640" s="283">
        <f>(SUM(O640:Q640)+(K640+SUM(M640:Q640))*(INDEX($U$635:$AB$635,MATCH(Notes!$C$16,$U$3:$AB$3,0))-100%))*$L$635</f>
        <v>697.46519999999998</v>
      </c>
      <c r="M640" s="286"/>
      <c r="N640" s="286"/>
      <c r="O640" s="285">
        <v>556.59</v>
      </c>
      <c r="P640" s="311">
        <f t="shared" si="100"/>
        <v>140.87519999999998</v>
      </c>
      <c r="Q640" s="285"/>
      <c r="R640" s="278">
        <v>1800</v>
      </c>
      <c r="S640" s="278">
        <v>1800</v>
      </c>
      <c r="T640" s="278"/>
    </row>
    <row r="641" spans="1:20" s="305" customFormat="1" hidden="1" outlineLevel="1" x14ac:dyDescent="0.25">
      <c r="A641" s="278"/>
      <c r="B641" s="279" t="str">
        <f t="shared" si="101"/>
        <v>6002100TB/ANW</v>
      </c>
      <c r="C641" s="278">
        <v>600</v>
      </c>
      <c r="D641" s="278">
        <v>2100</v>
      </c>
      <c r="E641" s="278" t="s">
        <v>945</v>
      </c>
      <c r="F641" s="278"/>
      <c r="G641" s="278" t="s">
        <v>5</v>
      </c>
      <c r="H641" s="290">
        <v>2</v>
      </c>
      <c r="I641" s="280">
        <f t="shared" si="102"/>
        <v>161.24</v>
      </c>
      <c r="J641" s="281">
        <f t="shared" si="103"/>
        <v>182.86</v>
      </c>
      <c r="K641" s="282">
        <f>IF(Notes!$B$9="Domestic",I641, IF(Notes!$B$9="Commercial",J641))*$K$635</f>
        <v>182.86</v>
      </c>
      <c r="L641" s="283">
        <f>(SUM(O641:Q641)+(K641+SUM(M641:Q641))*(INDEX($U$635:$AB$635,MATCH(Notes!$C$16,$U$3:$AB$3,0))-100%))*$L$635</f>
        <v>738.46440000000007</v>
      </c>
      <c r="M641" s="286"/>
      <c r="N641" s="286"/>
      <c r="O641" s="285">
        <v>574.11</v>
      </c>
      <c r="P641" s="311">
        <f t="shared" si="100"/>
        <v>164.3544</v>
      </c>
      <c r="Q641" s="285"/>
      <c r="R641" s="278">
        <v>2100</v>
      </c>
      <c r="S641" s="278">
        <v>2100</v>
      </c>
      <c r="T641" s="278"/>
    </row>
    <row r="642" spans="1:20" s="305" customFormat="1" hidden="1" outlineLevel="1" x14ac:dyDescent="0.25">
      <c r="A642" s="278"/>
      <c r="B642" s="279" t="str">
        <f t="shared" si="101"/>
        <v>6002400TB/ANW</v>
      </c>
      <c r="C642" s="278">
        <v>600</v>
      </c>
      <c r="D642" s="278">
        <v>2400</v>
      </c>
      <c r="E642" s="278" t="s">
        <v>945</v>
      </c>
      <c r="F642" s="278"/>
      <c r="G642" s="278" t="s">
        <v>5</v>
      </c>
      <c r="H642" s="290">
        <v>2</v>
      </c>
      <c r="I642" s="280">
        <f t="shared" si="102"/>
        <v>161.24</v>
      </c>
      <c r="J642" s="281">
        <f t="shared" si="103"/>
        <v>182.86</v>
      </c>
      <c r="K642" s="282">
        <f>IF(Notes!$B$9="Domestic",I642, IF(Notes!$B$9="Commercial",J642))*$K$635</f>
        <v>182.86</v>
      </c>
      <c r="L642" s="283">
        <f>(SUM(O642:Q642)+(K642+SUM(M642:Q642))*(INDEX($U$635:$AB$635,MATCH(Notes!$C$16,$U$3:$AB$3,0))-100%))*$L$635</f>
        <v>811.16360000000009</v>
      </c>
      <c r="M642" s="286"/>
      <c r="N642" s="286"/>
      <c r="O642" s="285">
        <v>623.33000000000004</v>
      </c>
      <c r="P642" s="311">
        <f t="shared" si="100"/>
        <v>187.83359999999999</v>
      </c>
      <c r="Q642" s="285"/>
      <c r="R642" s="278">
        <v>2400</v>
      </c>
      <c r="S642" s="278">
        <v>2400</v>
      </c>
      <c r="T642" s="278"/>
    </row>
    <row r="643" spans="1:20" s="305" customFormat="1" hidden="1" outlineLevel="1" x14ac:dyDescent="0.25">
      <c r="A643" s="278"/>
      <c r="B643" s="279" t="str">
        <f t="shared" si="101"/>
        <v>6002700TB/ANW</v>
      </c>
      <c r="C643" s="278">
        <v>600</v>
      </c>
      <c r="D643" s="278">
        <v>2700</v>
      </c>
      <c r="E643" s="278" t="s">
        <v>945</v>
      </c>
      <c r="F643" s="278"/>
      <c r="G643" s="278" t="s">
        <v>5</v>
      </c>
      <c r="H643" s="290">
        <v>2</v>
      </c>
      <c r="I643" s="280">
        <f t="shared" si="102"/>
        <v>161.24</v>
      </c>
      <c r="J643" s="281">
        <f t="shared" si="103"/>
        <v>182.86</v>
      </c>
      <c r="K643" s="282">
        <f>IF(Notes!$B$9="Domestic",I643, IF(Notes!$B$9="Commercial",J643))*$K$635</f>
        <v>182.86</v>
      </c>
      <c r="L643" s="283">
        <f>(SUM(O643:Q643)+(K643+SUM(M643:Q643))*(INDEX($U$635:$AB$635,MATCH(Notes!$C$16,$U$3:$AB$3,0))-100%))*$L$635</f>
        <v>936.50279999999998</v>
      </c>
      <c r="M643" s="286"/>
      <c r="N643" s="286"/>
      <c r="O643" s="285">
        <v>725.19</v>
      </c>
      <c r="P643" s="311">
        <f t="shared" si="100"/>
        <v>211.31279999999998</v>
      </c>
      <c r="Q643" s="285"/>
      <c r="R643" s="278">
        <v>2700</v>
      </c>
      <c r="S643" s="278">
        <v>2700</v>
      </c>
      <c r="T643" s="278"/>
    </row>
    <row r="644" spans="1:20" s="305" customFormat="1" hidden="1" outlineLevel="1" x14ac:dyDescent="0.25">
      <c r="A644" s="278"/>
      <c r="B644" s="279" t="str">
        <f t="shared" si="101"/>
        <v>900600TB/ANW</v>
      </c>
      <c r="C644" s="278">
        <v>900</v>
      </c>
      <c r="D644" s="278">
        <v>600</v>
      </c>
      <c r="E644" s="278" t="s">
        <v>945</v>
      </c>
      <c r="F644" s="278"/>
      <c r="G644" s="278" t="s">
        <v>5</v>
      </c>
      <c r="H644" s="290">
        <v>1</v>
      </c>
      <c r="I644" s="280">
        <f t="shared" si="102"/>
        <v>80.62</v>
      </c>
      <c r="J644" s="281">
        <f t="shared" si="103"/>
        <v>91.43</v>
      </c>
      <c r="K644" s="282">
        <f>IF(Notes!$B$9="Domestic",I644, IF(Notes!$B$9="Commercial",J644))*$K$635</f>
        <v>91.43</v>
      </c>
      <c r="L644" s="283">
        <f>(SUM(O644:Q644)+(K644+SUM(M644:Q644))*(INDEX($U$635:$AB$635,MATCH(Notes!$C$16,$U$3:$AB$3,0))-100%))*$L$635</f>
        <v>435.08759999999995</v>
      </c>
      <c r="M644" s="286"/>
      <c r="N644" s="286"/>
      <c r="O644" s="285">
        <v>364.65</v>
      </c>
      <c r="P644" s="311">
        <f t="shared" si="100"/>
        <v>70.437600000000003</v>
      </c>
      <c r="Q644" s="285"/>
      <c r="R644" s="278"/>
      <c r="S644" s="278"/>
      <c r="T644" s="278"/>
    </row>
    <row r="645" spans="1:20" s="305" customFormat="1" hidden="1" outlineLevel="1" x14ac:dyDescent="0.25">
      <c r="A645" s="278"/>
      <c r="B645" s="279" t="str">
        <f t="shared" si="101"/>
        <v>900900TB/ANW</v>
      </c>
      <c r="C645" s="278">
        <v>900</v>
      </c>
      <c r="D645" s="278">
        <v>900</v>
      </c>
      <c r="E645" s="278" t="s">
        <v>945</v>
      </c>
      <c r="F645" s="278"/>
      <c r="G645" s="278" t="s">
        <v>5</v>
      </c>
      <c r="H645" s="290">
        <v>1</v>
      </c>
      <c r="I645" s="280">
        <f t="shared" si="102"/>
        <v>80.62</v>
      </c>
      <c r="J645" s="281">
        <f t="shared" si="103"/>
        <v>91.43</v>
      </c>
      <c r="K645" s="282">
        <f>IF(Notes!$B$9="Domestic",I645, IF(Notes!$B$9="Commercial",J645))*$K$635</f>
        <v>91.43</v>
      </c>
      <c r="L645" s="283">
        <f>(SUM(O645:Q645)+(K645+SUM(M645:Q645))*(INDEX($U$635:$AB$635,MATCH(Notes!$C$16,$U$3:$AB$3,0))-100%))*$L$635</f>
        <v>543.79639999999995</v>
      </c>
      <c r="M645" s="286"/>
      <c r="N645" s="286"/>
      <c r="O645" s="285">
        <v>438.14</v>
      </c>
      <c r="P645" s="311">
        <f t="shared" si="100"/>
        <v>105.65639999999999</v>
      </c>
      <c r="Q645" s="285"/>
      <c r="R645" s="278"/>
      <c r="S645" s="278"/>
      <c r="T645" s="278"/>
    </row>
    <row r="646" spans="1:20" s="305" customFormat="1" hidden="1" outlineLevel="1" x14ac:dyDescent="0.25">
      <c r="A646" s="278"/>
      <c r="B646" s="279" t="str">
        <f t="shared" si="101"/>
        <v>9001200TB/ANW</v>
      </c>
      <c r="C646" s="278">
        <v>900</v>
      </c>
      <c r="D646" s="278">
        <v>1200</v>
      </c>
      <c r="E646" s="278" t="s">
        <v>945</v>
      </c>
      <c r="F646" s="278"/>
      <c r="G646" s="278" t="s">
        <v>5</v>
      </c>
      <c r="H646" s="290">
        <v>1</v>
      </c>
      <c r="I646" s="280">
        <f t="shared" si="102"/>
        <v>80.62</v>
      </c>
      <c r="J646" s="281">
        <f t="shared" si="103"/>
        <v>91.43</v>
      </c>
      <c r="K646" s="282">
        <f>IF(Notes!$B$9="Domestic",I646, IF(Notes!$B$9="Commercial",J646))*$K$635</f>
        <v>91.43</v>
      </c>
      <c r="L646" s="283">
        <f>(SUM(O646:Q646)+(K646+SUM(M646:Q646))*(INDEX($U$635:$AB$635,MATCH(Notes!$C$16,$U$3:$AB$3,0))-100%))*$L$635</f>
        <v>659.61519999999996</v>
      </c>
      <c r="M646" s="286"/>
      <c r="N646" s="286"/>
      <c r="O646" s="285">
        <v>518.74</v>
      </c>
      <c r="P646" s="311">
        <f t="shared" si="100"/>
        <v>140.87520000000001</v>
      </c>
      <c r="Q646" s="285"/>
      <c r="R646" s="278"/>
      <c r="S646" s="278"/>
      <c r="T646" s="278"/>
    </row>
    <row r="647" spans="1:20" s="305" customFormat="1" hidden="1" outlineLevel="1" x14ac:dyDescent="0.25">
      <c r="A647" s="278"/>
      <c r="B647" s="279" t="str">
        <f t="shared" si="101"/>
        <v>9001500TB/ANW</v>
      </c>
      <c r="C647" s="278">
        <v>900</v>
      </c>
      <c r="D647" s="278">
        <v>1500</v>
      </c>
      <c r="E647" s="278" t="s">
        <v>945</v>
      </c>
      <c r="F647" s="278"/>
      <c r="G647" s="278" t="s">
        <v>5</v>
      </c>
      <c r="H647" s="290">
        <v>2</v>
      </c>
      <c r="I647" s="280">
        <f t="shared" si="102"/>
        <v>161.24</v>
      </c>
      <c r="J647" s="281">
        <f t="shared" si="103"/>
        <v>182.86</v>
      </c>
      <c r="K647" s="282">
        <f>IF(Notes!$B$9="Domestic",I647, IF(Notes!$B$9="Commercial",J647))*$K$635</f>
        <v>182.86</v>
      </c>
      <c r="L647" s="283">
        <f>(SUM(O647:Q647)+(K647+SUM(M647:Q647))*(INDEX($U$635:$AB$635,MATCH(Notes!$C$16,$U$3:$AB$3,0))-100%))*$L$635</f>
        <v>766.13400000000001</v>
      </c>
      <c r="M647" s="286"/>
      <c r="N647" s="286"/>
      <c r="O647" s="285">
        <v>590.04</v>
      </c>
      <c r="P647" s="311">
        <f t="shared" si="100"/>
        <v>176.09399999999999</v>
      </c>
      <c r="Q647" s="285"/>
      <c r="R647" s="278"/>
      <c r="S647" s="278"/>
      <c r="T647" s="278"/>
    </row>
    <row r="648" spans="1:20" s="305" customFormat="1" hidden="1" outlineLevel="1" x14ac:dyDescent="0.25">
      <c r="A648" s="278"/>
      <c r="B648" s="279" t="str">
        <f t="shared" si="101"/>
        <v>9001800TB/ANW</v>
      </c>
      <c r="C648" s="278">
        <v>900</v>
      </c>
      <c r="D648" s="278">
        <v>1800</v>
      </c>
      <c r="E648" s="278" t="s">
        <v>945</v>
      </c>
      <c r="F648" s="278"/>
      <c r="G648" s="278" t="s">
        <v>5</v>
      </c>
      <c r="H648" s="290">
        <v>2</v>
      </c>
      <c r="I648" s="280">
        <f t="shared" si="102"/>
        <v>161.24</v>
      </c>
      <c r="J648" s="281">
        <f t="shared" si="103"/>
        <v>182.86</v>
      </c>
      <c r="K648" s="282">
        <f>IF(Notes!$B$9="Domestic",I648, IF(Notes!$B$9="Commercial",J648))*$K$635</f>
        <v>182.86</v>
      </c>
      <c r="L648" s="283">
        <f>(SUM(O648:Q648)+(K648+SUM(M648:Q648))*(INDEX($U$635:$AB$635,MATCH(Notes!$C$16,$U$3:$AB$3,0))-100%))*$L$635</f>
        <v>883.45280000000002</v>
      </c>
      <c r="M648" s="286"/>
      <c r="N648" s="286"/>
      <c r="O648" s="285">
        <v>672.14</v>
      </c>
      <c r="P648" s="311">
        <f t="shared" si="100"/>
        <v>211.31279999999998</v>
      </c>
      <c r="Q648" s="285"/>
      <c r="R648" s="278"/>
      <c r="S648" s="278"/>
      <c r="T648" s="278"/>
    </row>
    <row r="649" spans="1:20" s="305" customFormat="1" hidden="1" outlineLevel="1" x14ac:dyDescent="0.25">
      <c r="A649" s="278"/>
      <c r="B649" s="279" t="str">
        <f t="shared" si="101"/>
        <v>9002100TB/ANW</v>
      </c>
      <c r="C649" s="278">
        <v>900</v>
      </c>
      <c r="D649" s="278">
        <v>2100</v>
      </c>
      <c r="E649" s="278" t="s">
        <v>945</v>
      </c>
      <c r="F649" s="278"/>
      <c r="G649" s="278" t="s">
        <v>5</v>
      </c>
      <c r="H649" s="290">
        <v>2</v>
      </c>
      <c r="I649" s="280">
        <f t="shared" si="102"/>
        <v>161.24</v>
      </c>
      <c r="J649" s="281">
        <f t="shared" si="103"/>
        <v>182.86</v>
      </c>
      <c r="K649" s="282">
        <f>IF(Notes!$B$9="Domestic",I649, IF(Notes!$B$9="Commercial",J649))*$K$635</f>
        <v>182.86</v>
      </c>
      <c r="L649" s="283">
        <f>(SUM(O649:Q649)+(K649+SUM(M649:Q649))*(INDEX($U$635:$AB$635,MATCH(Notes!$C$16,$U$3:$AB$3,0))-100%))*$L$635</f>
        <v>984.73160000000007</v>
      </c>
      <c r="M649" s="286"/>
      <c r="N649" s="286"/>
      <c r="O649" s="285">
        <v>738.2</v>
      </c>
      <c r="P649" s="311">
        <f t="shared" si="100"/>
        <v>246.5316</v>
      </c>
      <c r="Q649" s="285"/>
      <c r="R649" s="278"/>
      <c r="S649" s="278"/>
      <c r="T649" s="278"/>
    </row>
    <row r="650" spans="1:20" s="305" customFormat="1" hidden="1" outlineLevel="1" x14ac:dyDescent="0.25">
      <c r="A650" s="278"/>
      <c r="B650" s="279" t="str">
        <f t="shared" si="101"/>
        <v>9002400TB/ANW</v>
      </c>
      <c r="C650" s="278">
        <v>900</v>
      </c>
      <c r="D650" s="278">
        <v>2400</v>
      </c>
      <c r="E650" s="278" t="s">
        <v>945</v>
      </c>
      <c r="F650" s="278"/>
      <c r="G650" s="278" t="s">
        <v>5</v>
      </c>
      <c r="H650" s="290">
        <v>3</v>
      </c>
      <c r="I650" s="280">
        <f t="shared" si="102"/>
        <v>241.86</v>
      </c>
      <c r="J650" s="281">
        <f t="shared" si="103"/>
        <v>274.29000000000002</v>
      </c>
      <c r="K650" s="282">
        <f>IF(Notes!$B$9="Domestic",I650, IF(Notes!$B$9="Commercial",J650))*$K$635</f>
        <v>274.29000000000002</v>
      </c>
      <c r="L650" s="283">
        <f>(SUM(O650:Q650)+(K650+SUM(M650:Q650))*(INDEX($U$635:$AB$635,MATCH(Notes!$C$16,$U$3:$AB$3,0))-100%))*$L$635</f>
        <v>1069.6204</v>
      </c>
      <c r="M650" s="286"/>
      <c r="N650" s="286"/>
      <c r="O650" s="285">
        <v>787.87</v>
      </c>
      <c r="P650" s="311">
        <f t="shared" si="100"/>
        <v>281.75040000000001</v>
      </c>
      <c r="Q650" s="285"/>
      <c r="R650" s="278"/>
      <c r="S650" s="278"/>
      <c r="T650" s="278"/>
    </row>
    <row r="651" spans="1:20" s="305" customFormat="1" hidden="1" outlineLevel="1" x14ac:dyDescent="0.25">
      <c r="A651" s="278"/>
      <c r="B651" s="279" t="str">
        <f t="shared" si="101"/>
        <v>9002700TB/ANW</v>
      </c>
      <c r="C651" s="278">
        <v>900</v>
      </c>
      <c r="D651" s="278">
        <v>2700</v>
      </c>
      <c r="E651" s="278" t="s">
        <v>945</v>
      </c>
      <c r="F651" s="278"/>
      <c r="G651" s="278" t="s">
        <v>5</v>
      </c>
      <c r="H651" s="290">
        <v>3</v>
      </c>
      <c r="I651" s="280">
        <f t="shared" si="102"/>
        <v>241.86</v>
      </c>
      <c r="J651" s="281">
        <f t="shared" si="103"/>
        <v>274.29000000000002</v>
      </c>
      <c r="K651" s="282">
        <f>IF(Notes!$B$9="Domestic",I651, IF(Notes!$B$9="Commercial",J651))*$K$635</f>
        <v>274.29000000000002</v>
      </c>
      <c r="L651" s="283">
        <f>(SUM(O651:Q651)+(K651+SUM(M651:Q651))*(INDEX($U$635:$AB$635,MATCH(Notes!$C$16,$U$3:$AB$3,0))-100%))*$L$635</f>
        <v>1241.6592000000001</v>
      </c>
      <c r="M651" s="286"/>
      <c r="N651" s="286"/>
      <c r="O651" s="285">
        <v>924.69</v>
      </c>
      <c r="P651" s="311">
        <f t="shared" si="100"/>
        <v>316.9692</v>
      </c>
      <c r="Q651" s="285"/>
      <c r="R651" s="278"/>
      <c r="S651" s="278"/>
      <c r="T651" s="278"/>
    </row>
    <row r="652" spans="1:20" s="305" customFormat="1" hidden="1" outlineLevel="1" x14ac:dyDescent="0.25">
      <c r="A652" s="278"/>
      <c r="B652" s="279" t="str">
        <f t="shared" si="101"/>
        <v>1200600TB/ANW</v>
      </c>
      <c r="C652" s="278">
        <v>1200</v>
      </c>
      <c r="D652" s="278">
        <v>600</v>
      </c>
      <c r="E652" s="278" t="s">
        <v>945</v>
      </c>
      <c r="F652" s="278"/>
      <c r="G652" s="278" t="s">
        <v>5</v>
      </c>
      <c r="H652" s="290">
        <v>1</v>
      </c>
      <c r="I652" s="280">
        <f t="shared" si="102"/>
        <v>80.62</v>
      </c>
      <c r="J652" s="281">
        <f t="shared" si="103"/>
        <v>91.43</v>
      </c>
      <c r="K652" s="282">
        <f>IF(Notes!$B$9="Domestic",I652, IF(Notes!$B$9="Commercial",J652))*$K$635</f>
        <v>91.43</v>
      </c>
      <c r="L652" s="283">
        <f>(SUM(O652:Q652)+(K652+SUM(M652:Q652))*(INDEX($U$635:$AB$635,MATCH(Notes!$C$16,$U$3:$AB$3,0))-100%))*$L$635</f>
        <v>501.40679999999998</v>
      </c>
      <c r="M652" s="286"/>
      <c r="N652" s="286"/>
      <c r="O652" s="285">
        <v>407.49</v>
      </c>
      <c r="P652" s="311">
        <f t="shared" si="100"/>
        <v>93.916799999999995</v>
      </c>
      <c r="Q652" s="285"/>
      <c r="R652" s="278"/>
      <c r="S652" s="278"/>
      <c r="T652" s="278"/>
    </row>
    <row r="653" spans="1:20" s="305" customFormat="1" hidden="1" outlineLevel="1" x14ac:dyDescent="0.25">
      <c r="A653" s="278"/>
      <c r="B653" s="279" t="str">
        <f t="shared" si="101"/>
        <v>1200900TB/ANW</v>
      </c>
      <c r="C653" s="278">
        <v>1200</v>
      </c>
      <c r="D653" s="278">
        <v>900</v>
      </c>
      <c r="E653" s="278" t="s">
        <v>945</v>
      </c>
      <c r="F653" s="278"/>
      <c r="G653" s="278" t="s">
        <v>5</v>
      </c>
      <c r="H653" s="290">
        <v>1</v>
      </c>
      <c r="I653" s="280">
        <f t="shared" si="102"/>
        <v>80.62</v>
      </c>
      <c r="J653" s="281">
        <f t="shared" si="103"/>
        <v>91.43</v>
      </c>
      <c r="K653" s="282">
        <f>IF(Notes!$B$9="Domestic",I653, IF(Notes!$B$9="Commercial",J653))*$K$635</f>
        <v>91.43</v>
      </c>
      <c r="L653" s="283">
        <f>(SUM(O653:Q653)+(K653+SUM(M653:Q653))*(INDEX($U$635:$AB$635,MATCH(Notes!$C$16,$U$3:$AB$3,0))-100%))*$L$635</f>
        <v>659.4251999999999</v>
      </c>
      <c r="M653" s="286"/>
      <c r="N653" s="286"/>
      <c r="O653" s="285">
        <v>518.54999999999995</v>
      </c>
      <c r="P653" s="311">
        <f t="shared" si="100"/>
        <v>140.87519999999998</v>
      </c>
      <c r="Q653" s="285"/>
      <c r="R653" s="278"/>
      <c r="S653" s="278"/>
      <c r="T653" s="278"/>
    </row>
    <row r="654" spans="1:20" s="305" customFormat="1" hidden="1" outlineLevel="1" x14ac:dyDescent="0.25">
      <c r="A654" s="278"/>
      <c r="B654" s="279" t="str">
        <f t="shared" si="101"/>
        <v>12001200TB/ANW</v>
      </c>
      <c r="C654" s="278">
        <v>1200</v>
      </c>
      <c r="D654" s="278">
        <v>1200</v>
      </c>
      <c r="E654" s="278" t="s">
        <v>945</v>
      </c>
      <c r="F654" s="278"/>
      <c r="G654" s="278" t="s">
        <v>5</v>
      </c>
      <c r="H654" s="290">
        <v>2</v>
      </c>
      <c r="I654" s="280">
        <f t="shared" si="102"/>
        <v>161.24</v>
      </c>
      <c r="J654" s="281">
        <f t="shared" si="103"/>
        <v>182.86</v>
      </c>
      <c r="K654" s="282">
        <f>IF(Notes!$B$9="Domestic",I654, IF(Notes!$B$9="Commercial",J654))*$K$635</f>
        <v>182.86</v>
      </c>
      <c r="L654" s="283">
        <f>(SUM(O654:Q654)+(K654+SUM(M654:Q654))*(INDEX($U$635:$AB$635,MATCH(Notes!$C$16,$U$3:$AB$3,0))-100%))*$L$635</f>
        <v>757.84359999999992</v>
      </c>
      <c r="M654" s="286"/>
      <c r="N654" s="286"/>
      <c r="O654" s="285">
        <v>570.01</v>
      </c>
      <c r="P654" s="311">
        <f t="shared" si="100"/>
        <v>187.83359999999999</v>
      </c>
      <c r="Q654" s="285"/>
      <c r="R654" s="278"/>
      <c r="S654" s="278"/>
      <c r="T654" s="278"/>
    </row>
    <row r="655" spans="1:20" s="305" customFormat="1" hidden="1" outlineLevel="1" x14ac:dyDescent="0.25">
      <c r="A655" s="278"/>
      <c r="B655" s="279" t="str">
        <f t="shared" si="101"/>
        <v>12001500TB/ANW</v>
      </c>
      <c r="C655" s="278">
        <v>1200</v>
      </c>
      <c r="D655" s="278">
        <v>1500</v>
      </c>
      <c r="E655" s="278" t="s">
        <v>945</v>
      </c>
      <c r="F655" s="278"/>
      <c r="G655" s="278" t="s">
        <v>5</v>
      </c>
      <c r="H655" s="290">
        <v>2</v>
      </c>
      <c r="I655" s="280">
        <f t="shared" si="102"/>
        <v>161.24</v>
      </c>
      <c r="J655" s="281">
        <f t="shared" si="103"/>
        <v>182.86</v>
      </c>
      <c r="K655" s="282">
        <f>IF(Notes!$B$9="Domestic",I655, IF(Notes!$B$9="Commercial",J655))*$K$635</f>
        <v>182.86</v>
      </c>
      <c r="L655" s="283">
        <f>(SUM(O655:Q655)+(K655+SUM(M655:Q655))*(INDEX($U$635:$AB$635,MATCH(Notes!$C$16,$U$3:$AB$3,0))-100%))*$L$635</f>
        <v>939.36200000000008</v>
      </c>
      <c r="M655" s="286"/>
      <c r="N655" s="286"/>
      <c r="O655" s="285">
        <v>704.57</v>
      </c>
      <c r="P655" s="311">
        <f t="shared" si="100"/>
        <v>234.792</v>
      </c>
      <c r="Q655" s="285"/>
      <c r="R655" s="278"/>
      <c r="S655" s="278"/>
      <c r="T655" s="278"/>
    </row>
    <row r="656" spans="1:20" s="305" customFormat="1" hidden="1" outlineLevel="1" x14ac:dyDescent="0.25">
      <c r="A656" s="278"/>
      <c r="B656" s="279" t="str">
        <f t="shared" si="101"/>
        <v>12001800TB/ANW</v>
      </c>
      <c r="C656" s="278">
        <v>1200</v>
      </c>
      <c r="D656" s="278">
        <v>1800</v>
      </c>
      <c r="E656" s="278" t="s">
        <v>945</v>
      </c>
      <c r="F656" s="278"/>
      <c r="G656" s="278" t="s">
        <v>5</v>
      </c>
      <c r="H656" s="290">
        <v>3</v>
      </c>
      <c r="I656" s="280">
        <f t="shared" si="102"/>
        <v>241.86</v>
      </c>
      <c r="J656" s="281">
        <f t="shared" si="103"/>
        <v>274.29000000000002</v>
      </c>
      <c r="K656" s="282">
        <f>IF(Notes!$B$9="Domestic",I656, IF(Notes!$B$9="Commercial",J656))*$K$635</f>
        <v>274.29000000000002</v>
      </c>
      <c r="L656" s="283">
        <f>(SUM(O656:Q656)+(K656+SUM(M656:Q656))*(INDEX($U$635:$AB$635,MATCH(Notes!$C$16,$U$3:$AB$3,0))-100%))*$L$635</f>
        <v>1068.8704</v>
      </c>
      <c r="M656" s="286"/>
      <c r="N656" s="286"/>
      <c r="O656" s="285">
        <v>787.12</v>
      </c>
      <c r="P656" s="311">
        <f t="shared" si="100"/>
        <v>281.75039999999996</v>
      </c>
      <c r="Q656" s="285"/>
      <c r="R656" s="278"/>
      <c r="S656" s="278"/>
      <c r="T656" s="278"/>
    </row>
    <row r="657" spans="1:20" s="305" customFormat="1" hidden="1" outlineLevel="1" x14ac:dyDescent="0.25">
      <c r="A657" s="278"/>
      <c r="B657" s="279" t="str">
        <f t="shared" si="101"/>
        <v>12002100TB/ANW</v>
      </c>
      <c r="C657" s="278">
        <v>1200</v>
      </c>
      <c r="D657" s="278">
        <v>2100</v>
      </c>
      <c r="E657" s="278" t="s">
        <v>945</v>
      </c>
      <c r="F657" s="278"/>
      <c r="G657" s="278" t="s">
        <v>5</v>
      </c>
      <c r="H657" s="290">
        <v>3</v>
      </c>
      <c r="I657" s="280">
        <f t="shared" si="102"/>
        <v>241.86</v>
      </c>
      <c r="J657" s="281">
        <f t="shared" si="103"/>
        <v>274.29000000000002</v>
      </c>
      <c r="K657" s="282">
        <f>IF(Notes!$B$9="Domestic",I657, IF(Notes!$B$9="Commercial",J657))*$K$635</f>
        <v>274.29000000000002</v>
      </c>
      <c r="L657" s="283">
        <f>(SUM(O657:Q657)+(K657+SUM(M657:Q657))*(INDEX($U$635:$AB$635,MATCH(Notes!$C$16,$U$3:$AB$3,0))-100%))*$L$635</f>
        <v>1182.3688</v>
      </c>
      <c r="M657" s="286"/>
      <c r="N657" s="286"/>
      <c r="O657" s="285">
        <v>853.66</v>
      </c>
      <c r="P657" s="311">
        <f t="shared" si="100"/>
        <v>328.7088</v>
      </c>
      <c r="Q657" s="285"/>
      <c r="R657" s="278"/>
      <c r="S657" s="278"/>
      <c r="T657" s="278"/>
    </row>
    <row r="658" spans="1:20" s="305" customFormat="1" hidden="1" outlineLevel="1" x14ac:dyDescent="0.25">
      <c r="A658" s="278"/>
      <c r="B658" s="279" t="str">
        <f t="shared" si="101"/>
        <v>12002400TB/ANW</v>
      </c>
      <c r="C658" s="278">
        <v>1200</v>
      </c>
      <c r="D658" s="278">
        <v>2400</v>
      </c>
      <c r="E658" s="278" t="s">
        <v>945</v>
      </c>
      <c r="F658" s="278"/>
      <c r="G658" s="278" t="s">
        <v>5</v>
      </c>
      <c r="H658" s="290">
        <v>3</v>
      </c>
      <c r="I658" s="280">
        <f t="shared" si="102"/>
        <v>241.86</v>
      </c>
      <c r="J658" s="281">
        <f t="shared" si="103"/>
        <v>274.29000000000002</v>
      </c>
      <c r="K658" s="282">
        <f>IF(Notes!$B$9="Domestic",I658, IF(Notes!$B$9="Commercial",J658))*$K$635</f>
        <v>274.29000000000002</v>
      </c>
      <c r="L658" s="283">
        <f>(SUM(O658:Q658)+(K658+SUM(M658:Q658))*(INDEX($U$635:$AB$635,MATCH(Notes!$C$16,$U$3:$AB$3,0))-100%))*$L$635</f>
        <v>1279.4672</v>
      </c>
      <c r="M658" s="286"/>
      <c r="N658" s="286"/>
      <c r="O658" s="285">
        <v>903.8</v>
      </c>
      <c r="P658" s="311">
        <f t="shared" si="100"/>
        <v>375.66719999999998</v>
      </c>
      <c r="Q658" s="285"/>
      <c r="R658" s="278"/>
      <c r="S658" s="278"/>
      <c r="T658" s="278"/>
    </row>
    <row r="659" spans="1:20" s="305" customFormat="1" hidden="1" outlineLevel="1" x14ac:dyDescent="0.25">
      <c r="A659" s="278"/>
      <c r="B659" s="279" t="str">
        <f t="shared" si="101"/>
        <v>12002700TB/ANW</v>
      </c>
      <c r="C659" s="278">
        <v>1200</v>
      </c>
      <c r="D659" s="278">
        <v>2700</v>
      </c>
      <c r="E659" s="278" t="s">
        <v>945</v>
      </c>
      <c r="F659" s="278"/>
      <c r="G659" s="278" t="s">
        <v>5</v>
      </c>
      <c r="H659" s="290">
        <v>4</v>
      </c>
      <c r="I659" s="280">
        <f t="shared" si="102"/>
        <v>322.48</v>
      </c>
      <c r="J659" s="281">
        <f t="shared" si="103"/>
        <v>365.72</v>
      </c>
      <c r="K659" s="282">
        <f>IF(Notes!$B$9="Domestic",I659, IF(Notes!$B$9="Commercial",J659))*$K$635</f>
        <v>365.72</v>
      </c>
      <c r="L659" s="283">
        <f>(SUM(O659:Q659)+(K659+SUM(M659:Q659))*(INDEX($U$635:$AB$635,MATCH(Notes!$C$16,$U$3:$AB$3,0))-100%))*$L$635</f>
        <v>1546.2556</v>
      </c>
      <c r="M659" s="286"/>
      <c r="N659" s="286"/>
      <c r="O659" s="285">
        <v>1123.6300000000001</v>
      </c>
      <c r="P659" s="311">
        <f t="shared" si="100"/>
        <v>422.62559999999996</v>
      </c>
      <c r="Q659" s="285"/>
      <c r="R659" s="278"/>
      <c r="S659" s="278"/>
      <c r="T659" s="278"/>
    </row>
    <row r="660" spans="1:20" s="305" customFormat="1" hidden="1" outlineLevel="1" x14ac:dyDescent="0.25">
      <c r="A660" s="278"/>
      <c r="B660" s="279" t="str">
        <f t="shared" si="101"/>
        <v>1500600TB/ANW</v>
      </c>
      <c r="C660" s="278">
        <v>1500</v>
      </c>
      <c r="D660" s="278">
        <v>600</v>
      </c>
      <c r="E660" s="278" t="s">
        <v>945</v>
      </c>
      <c r="F660" s="278"/>
      <c r="G660" s="278" t="s">
        <v>5</v>
      </c>
      <c r="H660" s="290">
        <v>1</v>
      </c>
      <c r="I660" s="280">
        <f t="shared" si="102"/>
        <v>80.62</v>
      </c>
      <c r="J660" s="281">
        <f t="shared" si="103"/>
        <v>91.43</v>
      </c>
      <c r="K660" s="282">
        <f>IF(Notes!$B$9="Domestic",I660, IF(Notes!$B$9="Commercial",J660))*$K$635</f>
        <v>91.43</v>
      </c>
      <c r="L660" s="283">
        <f>(SUM(O660:Q660)+(K660+SUM(M660:Q660))*(INDEX($U$635:$AB$635,MATCH(Notes!$C$16,$U$3:$AB$3,0))-100%))*$L$635</f>
        <v>575.75599999999997</v>
      </c>
      <c r="M660" s="286"/>
      <c r="N660" s="286"/>
      <c r="O660" s="285">
        <v>458.36</v>
      </c>
      <c r="P660" s="311">
        <f t="shared" si="100"/>
        <v>117.396</v>
      </c>
      <c r="Q660" s="285"/>
      <c r="R660" s="278"/>
      <c r="S660" s="278"/>
      <c r="T660" s="278"/>
    </row>
    <row r="661" spans="1:20" s="305" customFormat="1" hidden="1" outlineLevel="1" x14ac:dyDescent="0.25">
      <c r="A661" s="278"/>
      <c r="B661" s="279" t="str">
        <f t="shared" si="101"/>
        <v>1500900TB/ANW</v>
      </c>
      <c r="C661" s="278">
        <v>1500</v>
      </c>
      <c r="D661" s="278">
        <v>900</v>
      </c>
      <c r="E661" s="278" t="s">
        <v>945</v>
      </c>
      <c r="F661" s="278"/>
      <c r="G661" s="278" t="s">
        <v>5</v>
      </c>
      <c r="H661" s="290">
        <v>2</v>
      </c>
      <c r="I661" s="280">
        <f t="shared" si="102"/>
        <v>161.24</v>
      </c>
      <c r="J661" s="281">
        <f t="shared" si="103"/>
        <v>182.86</v>
      </c>
      <c r="K661" s="282">
        <f>IF(Notes!$B$9="Domestic",I661, IF(Notes!$B$9="Commercial",J661))*$K$635</f>
        <v>182.86</v>
      </c>
      <c r="L661" s="283">
        <f>(SUM(O661:Q661)+(K661+SUM(M661:Q661))*(INDEX($U$635:$AB$635,MATCH(Notes!$C$16,$U$3:$AB$3,0))-100%))*$L$635</f>
        <v>736.12400000000002</v>
      </c>
      <c r="M661" s="286"/>
      <c r="N661" s="286"/>
      <c r="O661" s="285">
        <v>560.03</v>
      </c>
      <c r="P661" s="311">
        <f t="shared" si="100"/>
        <v>176.09399999999999</v>
      </c>
      <c r="Q661" s="285"/>
      <c r="R661" s="278"/>
      <c r="S661" s="278"/>
      <c r="T661" s="278"/>
    </row>
    <row r="662" spans="1:20" s="305" customFormat="1" hidden="1" outlineLevel="1" x14ac:dyDescent="0.25">
      <c r="A662" s="278"/>
      <c r="B662" s="279" t="str">
        <f t="shared" si="101"/>
        <v>15001200TB/ANW</v>
      </c>
      <c r="C662" s="278">
        <v>1500</v>
      </c>
      <c r="D662" s="278">
        <v>1200</v>
      </c>
      <c r="E662" s="278" t="s">
        <v>945</v>
      </c>
      <c r="F662" s="278"/>
      <c r="G662" s="278" t="s">
        <v>5</v>
      </c>
      <c r="H662" s="290">
        <v>2</v>
      </c>
      <c r="I662" s="280">
        <f t="shared" si="102"/>
        <v>161.24</v>
      </c>
      <c r="J662" s="281">
        <f t="shared" si="103"/>
        <v>182.86</v>
      </c>
      <c r="K662" s="282">
        <f>IF(Notes!$B$9="Domestic",I662, IF(Notes!$B$9="Commercial",J662))*$K$635</f>
        <v>182.86</v>
      </c>
      <c r="L662" s="283">
        <f>(SUM(O662:Q662)+(K662+SUM(M662:Q662))*(INDEX($U$635:$AB$635,MATCH(Notes!$C$16,$U$3:$AB$3,0))-100%))*$L$635</f>
        <v>836.86200000000008</v>
      </c>
      <c r="M662" s="286"/>
      <c r="N662" s="286"/>
      <c r="O662" s="285">
        <v>602.07000000000005</v>
      </c>
      <c r="P662" s="311">
        <f t="shared" si="100"/>
        <v>234.792</v>
      </c>
      <c r="Q662" s="285"/>
      <c r="R662" s="278"/>
      <c r="S662" s="278"/>
      <c r="T662" s="278"/>
    </row>
    <row r="663" spans="1:20" s="305" customFormat="1" hidden="1" outlineLevel="1" x14ac:dyDescent="0.25">
      <c r="A663" s="278"/>
      <c r="B663" s="279" t="str">
        <f t="shared" si="101"/>
        <v>15001500TB/ANW</v>
      </c>
      <c r="C663" s="278">
        <v>1500</v>
      </c>
      <c r="D663" s="278">
        <v>1500</v>
      </c>
      <c r="E663" s="278" t="s">
        <v>945</v>
      </c>
      <c r="F663" s="278"/>
      <c r="G663" s="278" t="s">
        <v>5</v>
      </c>
      <c r="H663" s="290">
        <v>3</v>
      </c>
      <c r="I663" s="280">
        <f t="shared" si="102"/>
        <v>241.86</v>
      </c>
      <c r="J663" s="281">
        <f t="shared" si="103"/>
        <v>274.29000000000002</v>
      </c>
      <c r="K663" s="282">
        <f>IF(Notes!$B$9="Domestic",I663, IF(Notes!$B$9="Commercial",J663))*$K$635</f>
        <v>274.29000000000002</v>
      </c>
      <c r="L663" s="283">
        <f>(SUM(O663:Q663)+(K663+SUM(M663:Q663))*(INDEX($U$635:$AB$635,MATCH(Notes!$C$16,$U$3:$AB$3,0))-100%))*$L$635</f>
        <v>1097.1100000000001</v>
      </c>
      <c r="M663" s="286"/>
      <c r="N663" s="286"/>
      <c r="O663" s="285">
        <v>803.62</v>
      </c>
      <c r="P663" s="311">
        <f t="shared" si="100"/>
        <v>293.49</v>
      </c>
      <c r="Q663" s="285"/>
      <c r="R663" s="278"/>
      <c r="S663" s="278"/>
      <c r="T663" s="278"/>
    </row>
    <row r="664" spans="1:20" s="305" customFormat="1" hidden="1" outlineLevel="1" x14ac:dyDescent="0.25">
      <c r="A664" s="278"/>
      <c r="B664" s="279" t="str">
        <f t="shared" si="101"/>
        <v>15001800TB/ANW</v>
      </c>
      <c r="C664" s="278">
        <v>1500</v>
      </c>
      <c r="D664" s="278">
        <v>1800</v>
      </c>
      <c r="E664" s="278" t="s">
        <v>945</v>
      </c>
      <c r="F664" s="278"/>
      <c r="G664" s="278" t="s">
        <v>5</v>
      </c>
      <c r="H664" s="290">
        <v>3</v>
      </c>
      <c r="I664" s="280">
        <f t="shared" si="102"/>
        <v>241.86</v>
      </c>
      <c r="J664" s="281">
        <f t="shared" si="103"/>
        <v>274.29000000000002</v>
      </c>
      <c r="K664" s="282">
        <f>IF(Notes!$B$9="Domestic",I664, IF(Notes!$B$9="Commercial",J664))*$K$635</f>
        <v>274.29000000000002</v>
      </c>
      <c r="L664" s="283">
        <f>(SUM(O664:Q664)+(K664+SUM(M664:Q664))*(INDEX($U$635:$AB$635,MATCH(Notes!$C$16,$U$3:$AB$3,0))-100%))*$L$635</f>
        <v>1222.798</v>
      </c>
      <c r="M664" s="286"/>
      <c r="N664" s="286"/>
      <c r="O664" s="285">
        <v>870.61</v>
      </c>
      <c r="P664" s="311">
        <f t="shared" si="100"/>
        <v>352.18799999999999</v>
      </c>
      <c r="Q664" s="285"/>
      <c r="R664" s="278"/>
      <c r="S664" s="278"/>
      <c r="T664" s="278"/>
    </row>
    <row r="665" spans="1:20" s="305" customFormat="1" hidden="1" outlineLevel="1" x14ac:dyDescent="0.25">
      <c r="A665" s="278"/>
      <c r="B665" s="279" t="str">
        <f t="shared" si="101"/>
        <v>15002100TB/ANW</v>
      </c>
      <c r="C665" s="278">
        <v>1500</v>
      </c>
      <c r="D665" s="278">
        <v>2100</v>
      </c>
      <c r="E665" s="278" t="s">
        <v>945</v>
      </c>
      <c r="F665" s="278"/>
      <c r="G665" s="278" t="s">
        <v>5</v>
      </c>
      <c r="H665" s="290">
        <v>4</v>
      </c>
      <c r="I665" s="280">
        <f t="shared" si="102"/>
        <v>322.48</v>
      </c>
      <c r="J665" s="281">
        <f t="shared" si="103"/>
        <v>365.72</v>
      </c>
      <c r="K665" s="282">
        <f>IF(Notes!$B$9="Domestic",I665, IF(Notes!$B$9="Commercial",J665))*$K$635</f>
        <v>365.72</v>
      </c>
      <c r="L665" s="283">
        <f>(SUM(O665:Q665)+(K665+SUM(M665:Q665))*(INDEX($U$635:$AB$635,MATCH(Notes!$C$16,$U$3:$AB$3,0))-100%))*$L$635</f>
        <v>1348.4860000000001</v>
      </c>
      <c r="M665" s="286"/>
      <c r="N665" s="286"/>
      <c r="O665" s="285">
        <v>937.6</v>
      </c>
      <c r="P665" s="311">
        <f t="shared" si="100"/>
        <v>410.88600000000002</v>
      </c>
      <c r="Q665" s="285"/>
      <c r="R665" s="278"/>
      <c r="S665" s="278"/>
      <c r="T665" s="278"/>
    </row>
    <row r="666" spans="1:20" s="305" customFormat="1" hidden="1" outlineLevel="1" x14ac:dyDescent="0.25">
      <c r="A666" s="278"/>
      <c r="B666" s="279" t="str">
        <f t="shared" si="101"/>
        <v>15002400TB/ANW</v>
      </c>
      <c r="C666" s="278">
        <v>1500</v>
      </c>
      <c r="D666" s="278">
        <v>2400</v>
      </c>
      <c r="E666" s="278" t="s">
        <v>945</v>
      </c>
      <c r="F666" s="278"/>
      <c r="G666" s="278" t="s">
        <v>5</v>
      </c>
      <c r="H666" s="290">
        <v>4</v>
      </c>
      <c r="I666" s="280">
        <f t="shared" si="102"/>
        <v>322.48</v>
      </c>
      <c r="J666" s="281">
        <f t="shared" si="103"/>
        <v>365.72</v>
      </c>
      <c r="K666" s="282">
        <f>IF(Notes!$B$9="Domestic",I666, IF(Notes!$B$9="Commercial",J666))*$K$635</f>
        <v>365.72</v>
      </c>
      <c r="L666" s="283">
        <f>(SUM(O666:Q666)+(K666+SUM(M666:Q666))*(INDEX($U$635:$AB$635,MATCH(Notes!$C$16,$U$3:$AB$3,0))-100%))*$L$635</f>
        <v>1425.7439999999999</v>
      </c>
      <c r="M666" s="286"/>
      <c r="N666" s="286"/>
      <c r="O666" s="285">
        <v>956.16</v>
      </c>
      <c r="P666" s="311">
        <f t="shared" si="100"/>
        <v>469.584</v>
      </c>
      <c r="Q666" s="285"/>
      <c r="R666" s="278"/>
      <c r="S666" s="278"/>
      <c r="T666" s="278"/>
    </row>
    <row r="667" spans="1:20" s="305" customFormat="1" hidden="1" outlineLevel="1" x14ac:dyDescent="0.25">
      <c r="A667" s="278"/>
      <c r="B667" s="279" t="str">
        <f t="shared" si="101"/>
        <v>15002700TB/ANW</v>
      </c>
      <c r="C667" s="278">
        <v>1500</v>
      </c>
      <c r="D667" s="278">
        <v>2700</v>
      </c>
      <c r="E667" s="278" t="s">
        <v>945</v>
      </c>
      <c r="F667" s="278"/>
      <c r="G667" s="278" t="s">
        <v>5</v>
      </c>
      <c r="H667" s="290">
        <v>4</v>
      </c>
      <c r="I667" s="280">
        <f t="shared" si="102"/>
        <v>322.48</v>
      </c>
      <c r="J667" s="281">
        <f t="shared" si="103"/>
        <v>365.72</v>
      </c>
      <c r="K667" s="282">
        <f>IF(Notes!$B$9="Domestic",I667, IF(Notes!$B$9="Commercial",J667))*$K$635</f>
        <v>365.72</v>
      </c>
      <c r="L667" s="283">
        <f>(SUM(O667:Q667)+(K667+SUM(M667:Q667))*(INDEX($U$635:$AB$635,MATCH(Notes!$C$16,$U$3:$AB$3,0))-100%))*$L$635</f>
        <v>1851.402</v>
      </c>
      <c r="M667" s="286"/>
      <c r="N667" s="286"/>
      <c r="O667" s="285">
        <v>1323.12</v>
      </c>
      <c r="P667" s="311">
        <f t="shared" si="100"/>
        <v>528.28200000000004</v>
      </c>
      <c r="Q667" s="285"/>
      <c r="R667" s="278"/>
      <c r="S667" s="278"/>
      <c r="T667" s="278"/>
    </row>
    <row r="668" spans="1:20" s="305" customFormat="1" hidden="1" outlineLevel="1" x14ac:dyDescent="0.25">
      <c r="A668" s="278"/>
      <c r="B668" s="279" t="str">
        <f t="shared" si="101"/>
        <v>1800600TB/ANW</v>
      </c>
      <c r="C668" s="278">
        <v>1800</v>
      </c>
      <c r="D668" s="278">
        <v>600</v>
      </c>
      <c r="E668" s="278" t="s">
        <v>945</v>
      </c>
      <c r="F668" s="278"/>
      <c r="G668" s="278" t="s">
        <v>5</v>
      </c>
      <c r="H668" s="290">
        <v>1</v>
      </c>
      <c r="I668" s="280">
        <f t="shared" si="102"/>
        <v>80.62</v>
      </c>
      <c r="J668" s="281">
        <f t="shared" si="103"/>
        <v>91.43</v>
      </c>
      <c r="K668" s="282">
        <f>IF(Notes!$B$9="Domestic",I668, IF(Notes!$B$9="Commercial",J668))*$K$635</f>
        <v>91.43</v>
      </c>
      <c r="L668" s="283">
        <f>(SUM(O668:Q668)+(K668+SUM(M668:Q668))*(INDEX($U$635:$AB$635,MATCH(Notes!$C$16,$U$3:$AB$3,0))-100%))*$L$635</f>
        <v>701.02520000000004</v>
      </c>
      <c r="M668" s="286"/>
      <c r="N668" s="286"/>
      <c r="O668" s="285">
        <v>560.15</v>
      </c>
      <c r="P668" s="311">
        <f t="shared" si="100"/>
        <v>140.87520000000001</v>
      </c>
      <c r="Q668" s="285"/>
      <c r="R668" s="278"/>
      <c r="S668" s="278"/>
      <c r="T668" s="278"/>
    </row>
    <row r="669" spans="1:20" s="305" customFormat="1" hidden="1" outlineLevel="1" x14ac:dyDescent="0.25">
      <c r="A669" s="278"/>
      <c r="B669" s="279" t="str">
        <f t="shared" si="101"/>
        <v>1800900TB/ANW</v>
      </c>
      <c r="C669" s="278">
        <v>1800</v>
      </c>
      <c r="D669" s="278">
        <v>900</v>
      </c>
      <c r="E669" s="278" t="s">
        <v>945</v>
      </c>
      <c r="F669" s="278"/>
      <c r="G669" s="278" t="s">
        <v>5</v>
      </c>
      <c r="H669" s="290">
        <v>2</v>
      </c>
      <c r="I669" s="280">
        <f t="shared" si="102"/>
        <v>161.24</v>
      </c>
      <c r="J669" s="281">
        <f t="shared" si="103"/>
        <v>182.86</v>
      </c>
      <c r="K669" s="282">
        <f>IF(Notes!$B$9="Domestic",I669, IF(Notes!$B$9="Commercial",J669))*$K$635</f>
        <v>182.86</v>
      </c>
      <c r="L669" s="283">
        <f>(SUM(O669:Q669)+(K669+SUM(M669:Q669))*(INDEX($U$635:$AB$635,MATCH(Notes!$C$16,$U$3:$AB$3,0))-100%))*$L$635</f>
        <v>914.97280000000001</v>
      </c>
      <c r="M669" s="286"/>
      <c r="N669" s="286"/>
      <c r="O669" s="285">
        <v>703.66</v>
      </c>
      <c r="P669" s="311">
        <f t="shared" si="100"/>
        <v>211.31279999999998</v>
      </c>
      <c r="Q669" s="285"/>
      <c r="R669" s="278"/>
      <c r="S669" s="278"/>
      <c r="T669" s="278"/>
    </row>
    <row r="670" spans="1:20" s="305" customFormat="1" hidden="1" outlineLevel="1" x14ac:dyDescent="0.25">
      <c r="A670" s="278"/>
      <c r="B670" s="279" t="str">
        <f t="shared" si="101"/>
        <v>18001200TB/ANW</v>
      </c>
      <c r="C670" s="278">
        <v>1800</v>
      </c>
      <c r="D670" s="278">
        <v>1200</v>
      </c>
      <c r="E670" s="278" t="s">
        <v>945</v>
      </c>
      <c r="F670" s="278"/>
      <c r="G670" s="278" t="s">
        <v>5</v>
      </c>
      <c r="H670" s="290">
        <v>3</v>
      </c>
      <c r="I670" s="280">
        <f t="shared" si="102"/>
        <v>241.86</v>
      </c>
      <c r="J670" s="281">
        <f t="shared" si="103"/>
        <v>274.29000000000002</v>
      </c>
      <c r="K670" s="282">
        <f>IF(Notes!$B$9="Domestic",I670, IF(Notes!$B$9="Commercial",J670))*$K$635</f>
        <v>274.29000000000002</v>
      </c>
      <c r="L670" s="283">
        <f>(SUM(O670:Q670)+(K670+SUM(M670:Q670))*(INDEX($U$635:$AB$635,MATCH(Notes!$C$16,$U$3:$AB$3,0))-100%))*$L$635</f>
        <v>1108.6404</v>
      </c>
      <c r="M670" s="286"/>
      <c r="N670" s="286"/>
      <c r="O670" s="285">
        <v>826.89</v>
      </c>
      <c r="P670" s="311">
        <f t="shared" si="100"/>
        <v>281.75040000000001</v>
      </c>
      <c r="Q670" s="285"/>
      <c r="R670" s="278"/>
      <c r="S670" s="278"/>
      <c r="T670" s="278"/>
    </row>
    <row r="671" spans="1:20" s="305" customFormat="1" hidden="1" outlineLevel="1" x14ac:dyDescent="0.25">
      <c r="A671" s="278"/>
      <c r="B671" s="279" t="str">
        <f t="shared" si="101"/>
        <v>18001500TB/ANW</v>
      </c>
      <c r="C671" s="278">
        <v>1800</v>
      </c>
      <c r="D671" s="278">
        <v>1500</v>
      </c>
      <c r="E671" s="278" t="s">
        <v>945</v>
      </c>
      <c r="F671" s="278"/>
      <c r="G671" s="278" t="s">
        <v>5</v>
      </c>
      <c r="H671" s="290">
        <v>3</v>
      </c>
      <c r="I671" s="280">
        <f t="shared" si="102"/>
        <v>241.86</v>
      </c>
      <c r="J671" s="281">
        <f t="shared" si="103"/>
        <v>274.29000000000002</v>
      </c>
      <c r="K671" s="282">
        <f>IF(Notes!$B$9="Domestic",I671, IF(Notes!$B$9="Commercial",J671))*$K$635</f>
        <v>274.29000000000002</v>
      </c>
      <c r="L671" s="283">
        <f>(SUM(O671:Q671)+(K671+SUM(M671:Q671))*(INDEX($U$635:$AB$635,MATCH(Notes!$C$16,$U$3:$AB$3,0))-100%))*$L$635</f>
        <v>1353.7379999999998</v>
      </c>
      <c r="M671" s="286"/>
      <c r="N671" s="286"/>
      <c r="O671" s="285">
        <v>1001.55</v>
      </c>
      <c r="P671" s="311">
        <f t="shared" si="100"/>
        <v>352.18799999999999</v>
      </c>
      <c r="Q671" s="285"/>
      <c r="R671" s="278"/>
      <c r="S671" s="278"/>
      <c r="T671" s="278"/>
    </row>
    <row r="672" spans="1:20" s="305" customFormat="1" hidden="1" outlineLevel="1" x14ac:dyDescent="0.25">
      <c r="A672" s="278"/>
      <c r="B672" s="279" t="str">
        <f t="shared" si="101"/>
        <v>18001800TB/ANW</v>
      </c>
      <c r="C672" s="278">
        <v>1800</v>
      </c>
      <c r="D672" s="278">
        <v>1800</v>
      </c>
      <c r="E672" s="278" t="s">
        <v>945</v>
      </c>
      <c r="F672" s="278"/>
      <c r="G672" s="278" t="s">
        <v>5</v>
      </c>
      <c r="H672" s="290">
        <v>4</v>
      </c>
      <c r="I672" s="280">
        <f t="shared" si="102"/>
        <v>322.48</v>
      </c>
      <c r="J672" s="281">
        <f t="shared" si="103"/>
        <v>365.72</v>
      </c>
      <c r="K672" s="282">
        <f>IF(Notes!$B$9="Domestic",I672, IF(Notes!$B$9="Commercial",J672))*$K$635</f>
        <v>365.72</v>
      </c>
      <c r="L672" s="283">
        <f>(SUM(O672:Q672)+(K672+SUM(M672:Q672))*(INDEX($U$635:$AB$635,MATCH(Notes!$C$16,$U$3:$AB$3,0))-100%))*$L$635</f>
        <v>1548.1855999999998</v>
      </c>
      <c r="M672" s="286"/>
      <c r="N672" s="286"/>
      <c r="O672" s="285">
        <v>1125.56</v>
      </c>
      <c r="P672" s="311">
        <f t="shared" si="100"/>
        <v>422.62559999999996</v>
      </c>
      <c r="Q672" s="285"/>
      <c r="R672" s="278"/>
      <c r="S672" s="278"/>
      <c r="T672" s="278"/>
    </row>
    <row r="673" spans="1:20" s="305" customFormat="1" hidden="1" outlineLevel="1" x14ac:dyDescent="0.25">
      <c r="A673" s="278"/>
      <c r="B673" s="279" t="str">
        <f t="shared" si="101"/>
        <v>18002100TB/ANW</v>
      </c>
      <c r="C673" s="278">
        <v>1800</v>
      </c>
      <c r="D673" s="278">
        <v>2100</v>
      </c>
      <c r="E673" s="278" t="s">
        <v>945</v>
      </c>
      <c r="F673" s="278"/>
      <c r="G673" s="278" t="s">
        <v>5</v>
      </c>
      <c r="H673" s="290">
        <v>4</v>
      </c>
      <c r="I673" s="280">
        <f t="shared" si="102"/>
        <v>322.48</v>
      </c>
      <c r="J673" s="281">
        <f t="shared" si="103"/>
        <v>365.72</v>
      </c>
      <c r="K673" s="282">
        <f>IF(Notes!$B$9="Domestic",I673, IF(Notes!$B$9="Commercial",J673))*$K$635</f>
        <v>365.72</v>
      </c>
      <c r="L673" s="283">
        <f>(SUM(O673:Q673)+(K673+SUM(M673:Q673))*(INDEX($U$635:$AB$635,MATCH(Notes!$C$16,$U$3:$AB$3,0))-100%))*$L$635</f>
        <v>1702.4132</v>
      </c>
      <c r="M673" s="286"/>
      <c r="N673" s="286"/>
      <c r="O673" s="285">
        <v>1209.3499999999999</v>
      </c>
      <c r="P673" s="311">
        <f t="shared" si="100"/>
        <v>493.06319999999999</v>
      </c>
      <c r="Q673" s="285"/>
      <c r="R673" s="278"/>
      <c r="S673" s="278"/>
      <c r="T673" s="278"/>
    </row>
    <row r="674" spans="1:20" s="305" customFormat="1" hidden="1" outlineLevel="1" x14ac:dyDescent="0.25">
      <c r="A674" s="278"/>
      <c r="B674" s="279" t="str">
        <f t="shared" si="101"/>
        <v>18002400TB/ANW</v>
      </c>
      <c r="C674" s="278">
        <v>1800</v>
      </c>
      <c r="D674" s="278">
        <v>2400</v>
      </c>
      <c r="E674" s="278" t="s">
        <v>945</v>
      </c>
      <c r="F674" s="278"/>
      <c r="G674" s="278" t="s">
        <v>5</v>
      </c>
      <c r="H674" s="290">
        <v>5</v>
      </c>
      <c r="I674" s="280">
        <f t="shared" si="102"/>
        <v>403.1</v>
      </c>
      <c r="J674" s="281">
        <f t="shared" si="103"/>
        <v>457.15000000000003</v>
      </c>
      <c r="K674" s="282">
        <f>IF(Notes!$B$9="Domestic",I674, IF(Notes!$B$9="Commercial",J674))*$K$635</f>
        <v>457.15000000000003</v>
      </c>
      <c r="L674" s="283">
        <f>(SUM(O674:Q674)+(K674+SUM(M674:Q674))*(INDEX($U$635:$AB$635,MATCH(Notes!$C$16,$U$3:$AB$3,0))-100%))*$L$635</f>
        <v>1856.2808</v>
      </c>
      <c r="M674" s="286"/>
      <c r="N674" s="286"/>
      <c r="O674" s="285">
        <v>1292.78</v>
      </c>
      <c r="P674" s="311">
        <f t="shared" si="100"/>
        <v>563.50080000000003</v>
      </c>
      <c r="Q674" s="285"/>
      <c r="R674" s="278"/>
      <c r="S674" s="278"/>
      <c r="T674" s="278"/>
    </row>
    <row r="675" spans="1:20" s="305" customFormat="1" hidden="1" outlineLevel="1" x14ac:dyDescent="0.25">
      <c r="A675" s="278"/>
      <c r="B675" s="279" t="str">
        <f t="shared" si="101"/>
        <v>18002700TB/ANW</v>
      </c>
      <c r="C675" s="278">
        <v>1800</v>
      </c>
      <c r="D675" s="278">
        <v>2700</v>
      </c>
      <c r="E675" s="278" t="s">
        <v>945</v>
      </c>
      <c r="F675" s="278"/>
      <c r="G675" s="278" t="s">
        <v>5</v>
      </c>
      <c r="H675" s="290">
        <v>5</v>
      </c>
      <c r="I675" s="280">
        <f t="shared" si="102"/>
        <v>403.1</v>
      </c>
      <c r="J675" s="281">
        <f t="shared" si="103"/>
        <v>457.15000000000003</v>
      </c>
      <c r="K675" s="282">
        <f>IF(Notes!$B$9="Domestic",I675, IF(Notes!$B$9="Commercial",J675))*$K$635</f>
        <v>457.15000000000003</v>
      </c>
      <c r="L675" s="283">
        <f>(SUM(O675:Q675)+(K675+SUM(M675:Q675))*(INDEX($U$635:$AB$635,MATCH(Notes!$C$16,$U$3:$AB$3,0))-100%))*$L$635</f>
        <v>2105.7483999999999</v>
      </c>
      <c r="M675" s="286"/>
      <c r="N675" s="286"/>
      <c r="O675" s="285">
        <v>1471.81</v>
      </c>
      <c r="P675" s="311">
        <f t="shared" si="100"/>
        <v>633.9384</v>
      </c>
      <c r="Q675" s="285"/>
      <c r="R675" s="278"/>
      <c r="S675" s="278"/>
      <c r="T675" s="278"/>
    </row>
    <row r="676" spans="1:20" s="305" customFormat="1" hidden="1" outlineLevel="1" x14ac:dyDescent="0.25">
      <c r="A676" s="278"/>
      <c r="B676" s="279" t="str">
        <f t="shared" si="101"/>
        <v>2100600TB/ANW</v>
      </c>
      <c r="C676" s="278">
        <v>2100</v>
      </c>
      <c r="D676" s="278">
        <v>600</v>
      </c>
      <c r="E676" s="278" t="s">
        <v>945</v>
      </c>
      <c r="F676" s="278"/>
      <c r="G676" s="278" t="s">
        <v>5</v>
      </c>
      <c r="H676" s="290">
        <v>2</v>
      </c>
      <c r="I676" s="280">
        <f t="shared" si="102"/>
        <v>161.24</v>
      </c>
      <c r="J676" s="281">
        <f t="shared" si="103"/>
        <v>182.86</v>
      </c>
      <c r="K676" s="282">
        <f>IF(Notes!$B$9="Domestic",I676, IF(Notes!$B$9="Commercial",J676))*$K$635</f>
        <v>182.86</v>
      </c>
      <c r="L676" s="283">
        <f>(SUM(O676:Q676)+(K676+SUM(M676:Q676))*(INDEX($U$635:$AB$635,MATCH(Notes!$C$16,$U$3:$AB$3,0))-100%))*$L$635</f>
        <v>761.98440000000005</v>
      </c>
      <c r="M676" s="286"/>
      <c r="N676" s="286"/>
      <c r="O676" s="285">
        <v>597.63</v>
      </c>
      <c r="P676" s="311">
        <f t="shared" si="100"/>
        <v>164.3544</v>
      </c>
      <c r="Q676" s="285"/>
      <c r="R676" s="278"/>
      <c r="S676" s="278"/>
      <c r="T676" s="278"/>
    </row>
    <row r="677" spans="1:20" s="305" customFormat="1" hidden="1" outlineLevel="1" x14ac:dyDescent="0.25">
      <c r="A677" s="278"/>
      <c r="B677" s="279" t="str">
        <f t="shared" si="101"/>
        <v>2100900TB/ANW</v>
      </c>
      <c r="C677" s="278">
        <v>2100</v>
      </c>
      <c r="D677" s="278">
        <v>900</v>
      </c>
      <c r="E677" s="278" t="s">
        <v>945</v>
      </c>
      <c r="F677" s="278"/>
      <c r="G677" s="278" t="s">
        <v>5</v>
      </c>
      <c r="H677" s="290">
        <v>2</v>
      </c>
      <c r="I677" s="280">
        <f t="shared" si="102"/>
        <v>161.24</v>
      </c>
      <c r="J677" s="281">
        <f t="shared" si="103"/>
        <v>182.86</v>
      </c>
      <c r="K677" s="282">
        <f>IF(Notes!$B$9="Domestic",I677, IF(Notes!$B$9="Commercial",J677))*$K$635</f>
        <v>182.86</v>
      </c>
      <c r="L677" s="283">
        <f>(SUM(O677:Q677)+(K677+SUM(M677:Q677))*(INDEX($U$635:$AB$635,MATCH(Notes!$C$16,$U$3:$AB$3,0))-100%))*$L$635</f>
        <v>1012.2616</v>
      </c>
      <c r="M677" s="286"/>
      <c r="N677" s="286"/>
      <c r="O677" s="285">
        <v>765.73</v>
      </c>
      <c r="P677" s="311">
        <f t="shared" si="100"/>
        <v>246.53159999999997</v>
      </c>
      <c r="Q677" s="285"/>
      <c r="R677" s="278"/>
      <c r="S677" s="278"/>
      <c r="T677" s="278"/>
    </row>
    <row r="678" spans="1:20" s="305" customFormat="1" hidden="1" outlineLevel="1" x14ac:dyDescent="0.25">
      <c r="A678" s="278"/>
      <c r="B678" s="279" t="str">
        <f t="shared" si="101"/>
        <v>21001200TB/ANW</v>
      </c>
      <c r="C678" s="278">
        <v>2100</v>
      </c>
      <c r="D678" s="278">
        <v>1200</v>
      </c>
      <c r="E678" s="278" t="s">
        <v>945</v>
      </c>
      <c r="F678" s="278"/>
      <c r="G678" s="278" t="s">
        <v>5</v>
      </c>
      <c r="H678" s="290">
        <v>4</v>
      </c>
      <c r="I678" s="280">
        <f t="shared" si="102"/>
        <v>322.48</v>
      </c>
      <c r="J678" s="281">
        <f t="shared" si="103"/>
        <v>365.72</v>
      </c>
      <c r="K678" s="282">
        <f>IF(Notes!$B$9="Domestic",I678, IF(Notes!$B$9="Commercial",J678))*$K$635</f>
        <v>365.72</v>
      </c>
      <c r="L678" s="283">
        <f>(SUM(O678:Q678)+(K678+SUM(M678:Q678))*(INDEX($U$635:$AB$635,MATCH(Notes!$C$16,$U$3:$AB$3,0))-100%))*$L$635</f>
        <v>1198.0888</v>
      </c>
      <c r="M678" s="286"/>
      <c r="N678" s="286"/>
      <c r="O678" s="285">
        <v>869.38</v>
      </c>
      <c r="P678" s="311">
        <f t="shared" si="100"/>
        <v>328.7088</v>
      </c>
      <c r="Q678" s="285"/>
      <c r="R678" s="278"/>
      <c r="S678" s="278"/>
      <c r="T678" s="278"/>
    </row>
    <row r="679" spans="1:20" s="305" customFormat="1" hidden="1" outlineLevel="1" x14ac:dyDescent="0.25">
      <c r="A679" s="278"/>
      <c r="B679" s="279" t="str">
        <f t="shared" si="101"/>
        <v>21001500TB/ANW</v>
      </c>
      <c r="C679" s="278">
        <v>2100</v>
      </c>
      <c r="D679" s="278">
        <v>1500</v>
      </c>
      <c r="E679" s="278" t="s">
        <v>945</v>
      </c>
      <c r="F679" s="278"/>
      <c r="G679" s="278" t="s">
        <v>5</v>
      </c>
      <c r="H679" s="290">
        <v>4</v>
      </c>
      <c r="I679" s="280">
        <f t="shared" si="102"/>
        <v>322.48</v>
      </c>
      <c r="J679" s="281">
        <f t="shared" si="103"/>
        <v>365.72</v>
      </c>
      <c r="K679" s="282">
        <f>IF(Notes!$B$9="Domestic",I679, IF(Notes!$B$9="Commercial",J679))*$K$635</f>
        <v>365.72</v>
      </c>
      <c r="L679" s="283">
        <f>(SUM(O679:Q679)+(K679+SUM(M679:Q679))*(INDEX($U$635:$AB$635,MATCH(Notes!$C$16,$U$3:$AB$3,0))-100%))*$L$635</f>
        <v>1536.4459999999999</v>
      </c>
      <c r="M679" s="286"/>
      <c r="N679" s="286"/>
      <c r="O679" s="311">
        <f>O672</f>
        <v>1125.56</v>
      </c>
      <c r="P679" s="311">
        <f t="shared" si="100"/>
        <v>410.88599999999997</v>
      </c>
      <c r="Q679" s="285"/>
      <c r="R679" s="278"/>
      <c r="S679" s="278"/>
      <c r="T679" s="278"/>
    </row>
    <row r="680" spans="1:20" s="305" customFormat="1" hidden="1" outlineLevel="1" x14ac:dyDescent="0.25">
      <c r="A680" s="278"/>
      <c r="B680" s="279" t="str">
        <f t="shared" si="101"/>
        <v>21001800TB/ANW</v>
      </c>
      <c r="C680" s="278">
        <v>2100</v>
      </c>
      <c r="D680" s="278">
        <v>1800</v>
      </c>
      <c r="E680" s="278" t="s">
        <v>945</v>
      </c>
      <c r="F680" s="278"/>
      <c r="G680" s="278" t="s">
        <v>5</v>
      </c>
      <c r="H680" s="290">
        <v>4</v>
      </c>
      <c r="I680" s="280">
        <f t="shared" si="102"/>
        <v>322.48</v>
      </c>
      <c r="J680" s="281">
        <f t="shared" si="103"/>
        <v>365.72</v>
      </c>
      <c r="K680" s="282">
        <f>IF(Notes!$B$9="Domestic",I680, IF(Notes!$B$9="Commercial",J680))*$K$635</f>
        <v>365.72</v>
      </c>
      <c r="L680" s="283">
        <f>(SUM(O680:Q680)+(K680+SUM(M680:Q680))*(INDEX($U$635:$AB$635,MATCH(Notes!$C$16,$U$3:$AB$3,0))-100%))*$L$635</f>
        <v>1702.4231999999997</v>
      </c>
      <c r="M680" s="286"/>
      <c r="N680" s="286"/>
      <c r="O680" s="285">
        <v>1209.3599999999999</v>
      </c>
      <c r="P680" s="311">
        <f t="shared" si="100"/>
        <v>493.06319999999994</v>
      </c>
      <c r="Q680" s="285"/>
      <c r="R680" s="278"/>
      <c r="S680" s="278"/>
      <c r="T680" s="278"/>
    </row>
    <row r="681" spans="1:20" s="305" customFormat="1" hidden="1" outlineLevel="1" x14ac:dyDescent="0.25">
      <c r="A681" s="278"/>
      <c r="B681" s="279" t="str">
        <f t="shared" si="101"/>
        <v>21002100TB/ANW</v>
      </c>
      <c r="C681" s="278">
        <v>2100</v>
      </c>
      <c r="D681" s="278">
        <v>2100</v>
      </c>
      <c r="E681" s="278" t="s">
        <v>945</v>
      </c>
      <c r="F681" s="278"/>
      <c r="G681" s="278" t="s">
        <v>5</v>
      </c>
      <c r="H681" s="290">
        <v>5</v>
      </c>
      <c r="I681" s="280">
        <f t="shared" si="102"/>
        <v>403.1</v>
      </c>
      <c r="J681" s="281">
        <f t="shared" si="103"/>
        <v>457.15000000000003</v>
      </c>
      <c r="K681" s="282">
        <f>IF(Notes!$B$9="Domestic",I681, IF(Notes!$B$9="Commercial",J681))*$K$635</f>
        <v>457.15000000000003</v>
      </c>
      <c r="L681" s="283">
        <f>(SUM(O681:Q681)+(K681+SUM(M681:Q681))*(INDEX($U$635:$AB$635,MATCH(Notes!$C$16,$U$3:$AB$3,0))-100%))*$L$635</f>
        <v>1909.0603999999998</v>
      </c>
      <c r="M681" s="286"/>
      <c r="N681" s="286"/>
      <c r="O681" s="285">
        <v>1333.82</v>
      </c>
      <c r="P681" s="311">
        <f t="shared" si="100"/>
        <v>575.24039999999991</v>
      </c>
      <c r="Q681" s="285"/>
      <c r="R681" s="278"/>
      <c r="S681" s="278"/>
      <c r="T681" s="278"/>
    </row>
    <row r="682" spans="1:20" s="305" customFormat="1" hidden="1" outlineLevel="1" x14ac:dyDescent="0.25">
      <c r="A682" s="278"/>
      <c r="B682" s="279" t="str">
        <f t="shared" si="101"/>
        <v>21002400TB/ANW</v>
      </c>
      <c r="C682" s="278">
        <v>2100</v>
      </c>
      <c r="D682" s="278">
        <v>2400</v>
      </c>
      <c r="E682" s="278" t="s">
        <v>945</v>
      </c>
      <c r="F682" s="278"/>
      <c r="G682" s="278" t="s">
        <v>5</v>
      </c>
      <c r="H682" s="290">
        <v>5</v>
      </c>
      <c r="I682" s="280">
        <f t="shared" si="102"/>
        <v>403.1</v>
      </c>
      <c r="J682" s="281">
        <f t="shared" si="103"/>
        <v>457.15000000000003</v>
      </c>
      <c r="K682" s="282">
        <f>IF(Notes!$B$9="Domestic",I682, IF(Notes!$B$9="Commercial",J682))*$K$635</f>
        <v>457.15000000000003</v>
      </c>
      <c r="L682" s="283">
        <f>(SUM(O682:Q682)+(K682+SUM(M682:Q682))*(INDEX($U$635:$AB$635,MATCH(Notes!$C$16,$U$3:$AB$3,0))-100%))*$L$635</f>
        <v>2075.1376</v>
      </c>
      <c r="M682" s="286"/>
      <c r="N682" s="286"/>
      <c r="O682" s="285">
        <v>1417.72</v>
      </c>
      <c r="P682" s="311">
        <f t="shared" si="100"/>
        <v>657.41759999999999</v>
      </c>
      <c r="Q682" s="285"/>
      <c r="R682" s="278"/>
      <c r="S682" s="278"/>
      <c r="T682" s="278"/>
    </row>
    <row r="683" spans="1:20" s="305" customFormat="1" hidden="1" outlineLevel="1" x14ac:dyDescent="0.25">
      <c r="A683" s="278"/>
      <c r="B683" s="279" t="str">
        <f t="shared" si="101"/>
        <v>21002700TB/ANW</v>
      </c>
      <c r="C683" s="278">
        <v>2100</v>
      </c>
      <c r="D683" s="278">
        <v>2700</v>
      </c>
      <c r="E683" s="278" t="s">
        <v>945</v>
      </c>
      <c r="F683" s="278"/>
      <c r="G683" s="278" t="s">
        <v>5</v>
      </c>
      <c r="H683" s="290">
        <v>6</v>
      </c>
      <c r="I683" s="280">
        <f t="shared" si="102"/>
        <v>483.72</v>
      </c>
      <c r="J683" s="281">
        <f t="shared" si="103"/>
        <v>548.58000000000004</v>
      </c>
      <c r="K683" s="282">
        <f>IF(Notes!$B$9="Domestic",I683, IF(Notes!$B$9="Commercial",J683))*$K$635</f>
        <v>548.58000000000004</v>
      </c>
      <c r="L683" s="283">
        <f>(SUM(O683:Q683)+(K683+SUM(M683:Q683))*(INDEX($U$635:$AB$635,MATCH(Notes!$C$16,$U$3:$AB$3,0))-100%))*$L$635</f>
        <v>2653.8348000000001</v>
      </c>
      <c r="M683" s="286"/>
      <c r="N683" s="286"/>
      <c r="O683" s="285">
        <v>1914.24</v>
      </c>
      <c r="P683" s="311">
        <f t="shared" si="100"/>
        <v>739.59479999999996</v>
      </c>
      <c r="Q683" s="285"/>
      <c r="R683" s="278"/>
      <c r="S683" s="278"/>
      <c r="T683" s="278"/>
    </row>
    <row r="684" spans="1:20" s="305" customFormat="1" hidden="1" outlineLevel="1" x14ac:dyDescent="0.25">
      <c r="A684" s="278"/>
      <c r="B684" s="279" t="str">
        <f t="shared" si="101"/>
        <v>2400600TB/ANW</v>
      </c>
      <c r="C684" s="278">
        <v>2400</v>
      </c>
      <c r="D684" s="278">
        <v>600</v>
      </c>
      <c r="E684" s="278" t="s">
        <v>945</v>
      </c>
      <c r="F684" s="278"/>
      <c r="G684" s="278" t="s">
        <v>5</v>
      </c>
      <c r="H684" s="290">
        <v>2</v>
      </c>
      <c r="I684" s="280">
        <f t="shared" si="102"/>
        <v>161.24</v>
      </c>
      <c r="J684" s="281">
        <f t="shared" si="103"/>
        <v>182.86</v>
      </c>
      <c r="K684" s="282">
        <f>IF(Notes!$B$9="Domestic",I684, IF(Notes!$B$9="Commercial",J684))*$K$635</f>
        <v>182.86</v>
      </c>
      <c r="L684" s="283">
        <f>(SUM(O684:Q684)+(K684+SUM(M684:Q684))*(INDEX($U$635:$AB$635,MATCH(Notes!$C$16,$U$3:$AB$3,0))-100%))*$L$635</f>
        <v>811.16360000000009</v>
      </c>
      <c r="M684" s="286"/>
      <c r="N684" s="286"/>
      <c r="O684" s="311">
        <f>O642</f>
        <v>623.33000000000004</v>
      </c>
      <c r="P684" s="311">
        <f t="shared" si="100"/>
        <v>187.83359999999999</v>
      </c>
      <c r="Q684" s="285"/>
      <c r="R684" s="278"/>
      <c r="S684" s="278"/>
      <c r="T684" s="278"/>
    </row>
    <row r="685" spans="1:20" s="305" customFormat="1" hidden="1" outlineLevel="1" x14ac:dyDescent="0.25">
      <c r="A685" s="278"/>
      <c r="B685" s="279" t="str">
        <f t="shared" si="101"/>
        <v>2400900TB/ANW</v>
      </c>
      <c r="C685" s="278">
        <v>2400</v>
      </c>
      <c r="D685" s="278">
        <v>900</v>
      </c>
      <c r="E685" s="278" t="s">
        <v>945</v>
      </c>
      <c r="F685" s="278"/>
      <c r="G685" s="278" t="s">
        <v>5</v>
      </c>
      <c r="H685" s="290">
        <v>4</v>
      </c>
      <c r="I685" s="280">
        <f t="shared" si="102"/>
        <v>322.48</v>
      </c>
      <c r="J685" s="281">
        <f t="shared" si="103"/>
        <v>365.72</v>
      </c>
      <c r="K685" s="282">
        <f>IF(Notes!$B$9="Domestic",I685, IF(Notes!$B$9="Commercial",J685))*$K$635</f>
        <v>365.72</v>
      </c>
      <c r="L685" s="283">
        <f>(SUM(O685:Q685)+(K685+SUM(M685:Q685))*(INDEX($U$635:$AB$635,MATCH(Notes!$C$16,$U$3:$AB$3,0))-100%))*$L$635</f>
        <v>1069.6204</v>
      </c>
      <c r="M685" s="286"/>
      <c r="N685" s="286"/>
      <c r="O685" s="311">
        <f>O650</f>
        <v>787.87</v>
      </c>
      <c r="P685" s="311">
        <f t="shared" si="100"/>
        <v>281.75039999999996</v>
      </c>
      <c r="Q685" s="285"/>
      <c r="R685" s="278"/>
      <c r="S685" s="278"/>
      <c r="T685" s="278"/>
    </row>
    <row r="686" spans="1:20" s="305" customFormat="1" hidden="1" outlineLevel="1" x14ac:dyDescent="0.25">
      <c r="A686" s="278"/>
      <c r="B686" s="279" t="str">
        <f t="shared" si="101"/>
        <v>24001200TB/ANW</v>
      </c>
      <c r="C686" s="278">
        <v>2400</v>
      </c>
      <c r="D686" s="278">
        <v>1200</v>
      </c>
      <c r="E686" s="278" t="s">
        <v>945</v>
      </c>
      <c r="F686" s="278"/>
      <c r="G686" s="278" t="s">
        <v>5</v>
      </c>
      <c r="H686" s="290">
        <v>4</v>
      </c>
      <c r="I686" s="280">
        <f t="shared" si="102"/>
        <v>322.48</v>
      </c>
      <c r="J686" s="281">
        <f t="shared" si="103"/>
        <v>365.72</v>
      </c>
      <c r="K686" s="282">
        <f>IF(Notes!$B$9="Domestic",I686, IF(Notes!$B$9="Commercial",J686))*$K$635</f>
        <v>365.72</v>
      </c>
      <c r="L686" s="283">
        <f>(SUM(O686:Q686)+(K686+SUM(M686:Q686))*(INDEX($U$635:$AB$635,MATCH(Notes!$C$16,$U$3:$AB$3,0))-100%))*$L$635</f>
        <v>1279.4672</v>
      </c>
      <c r="M686" s="286"/>
      <c r="N686" s="286"/>
      <c r="O686" s="311">
        <f>O658</f>
        <v>903.8</v>
      </c>
      <c r="P686" s="311">
        <f t="shared" si="100"/>
        <v>375.66719999999998</v>
      </c>
      <c r="Q686" s="285"/>
      <c r="R686" s="278"/>
      <c r="S686" s="278"/>
      <c r="T686" s="278"/>
    </row>
    <row r="687" spans="1:20" s="305" customFormat="1" hidden="1" outlineLevel="1" x14ac:dyDescent="0.25">
      <c r="A687" s="278"/>
      <c r="B687" s="279" t="str">
        <f t="shared" si="101"/>
        <v>24001500TB/ANW</v>
      </c>
      <c r="C687" s="278">
        <v>2400</v>
      </c>
      <c r="D687" s="278">
        <v>1500</v>
      </c>
      <c r="E687" s="278" t="s">
        <v>945</v>
      </c>
      <c r="F687" s="278"/>
      <c r="G687" s="278" t="s">
        <v>5</v>
      </c>
      <c r="H687" s="290">
        <v>4</v>
      </c>
      <c r="I687" s="280">
        <f t="shared" si="102"/>
        <v>322.48</v>
      </c>
      <c r="J687" s="281">
        <f t="shared" si="103"/>
        <v>365.72</v>
      </c>
      <c r="K687" s="282">
        <f>IF(Notes!$B$9="Domestic",I687, IF(Notes!$B$9="Commercial",J687))*$K$635</f>
        <v>365.72</v>
      </c>
      <c r="L687" s="283">
        <f>(SUM(O687:Q687)+(K687+SUM(M687:Q687))*(INDEX($U$635:$AB$635,MATCH(Notes!$C$16,$U$3:$AB$3,0))-100%))*$L$635</f>
        <v>1425.7439999999999</v>
      </c>
      <c r="M687" s="286"/>
      <c r="N687" s="286"/>
      <c r="O687" s="311">
        <f>O666</f>
        <v>956.16</v>
      </c>
      <c r="P687" s="311">
        <f t="shared" si="100"/>
        <v>469.584</v>
      </c>
      <c r="Q687" s="285"/>
      <c r="R687" s="278"/>
      <c r="S687" s="278"/>
      <c r="T687" s="278"/>
    </row>
    <row r="688" spans="1:20" s="305" customFormat="1" hidden="1" outlineLevel="1" x14ac:dyDescent="0.25">
      <c r="A688" s="278"/>
      <c r="B688" s="279" t="str">
        <f t="shared" si="101"/>
        <v>24001800TB/ANW</v>
      </c>
      <c r="C688" s="278">
        <v>2400</v>
      </c>
      <c r="D688" s="278">
        <v>1800</v>
      </c>
      <c r="E688" s="278" t="s">
        <v>945</v>
      </c>
      <c r="F688" s="278"/>
      <c r="G688" s="278" t="s">
        <v>5</v>
      </c>
      <c r="H688" s="290">
        <v>5</v>
      </c>
      <c r="I688" s="280">
        <f t="shared" si="102"/>
        <v>403.1</v>
      </c>
      <c r="J688" s="281">
        <f t="shared" si="103"/>
        <v>457.15000000000003</v>
      </c>
      <c r="K688" s="282">
        <f>IF(Notes!$B$9="Domestic",I688, IF(Notes!$B$9="Commercial",J688))*$K$635</f>
        <v>457.15000000000003</v>
      </c>
      <c r="L688" s="283">
        <f>(SUM(O688:Q688)+(K688+SUM(M688:Q688))*(INDEX($U$635:$AB$635,MATCH(Notes!$C$16,$U$3:$AB$3,0))-100%))*$L$635</f>
        <v>1856.2808</v>
      </c>
      <c r="M688" s="286"/>
      <c r="N688" s="286"/>
      <c r="O688" s="311">
        <f>O674</f>
        <v>1292.78</v>
      </c>
      <c r="P688" s="311">
        <f t="shared" si="100"/>
        <v>563.50079999999991</v>
      </c>
      <c r="Q688" s="285"/>
      <c r="R688" s="278"/>
      <c r="S688" s="278"/>
      <c r="T688" s="278"/>
    </row>
    <row r="689" spans="1:28" s="305" customFormat="1" hidden="1" outlineLevel="1" x14ac:dyDescent="0.25">
      <c r="A689" s="278"/>
      <c r="B689" s="279" t="str">
        <f t="shared" si="101"/>
        <v>24002100TB/ANW</v>
      </c>
      <c r="C689" s="278">
        <v>2400</v>
      </c>
      <c r="D689" s="278">
        <v>2100</v>
      </c>
      <c r="E689" s="278" t="s">
        <v>945</v>
      </c>
      <c r="F689" s="278"/>
      <c r="G689" s="278" t="s">
        <v>5</v>
      </c>
      <c r="H689" s="290">
        <v>5</v>
      </c>
      <c r="I689" s="280">
        <f t="shared" si="102"/>
        <v>403.1</v>
      </c>
      <c r="J689" s="281">
        <f t="shared" si="103"/>
        <v>457.15000000000003</v>
      </c>
      <c r="K689" s="282">
        <f>IF(Notes!$B$9="Domestic",I689, IF(Notes!$B$9="Commercial",J689))*$K$635</f>
        <v>457.15000000000003</v>
      </c>
      <c r="L689" s="283">
        <f>(SUM(O689:Q689)+(K689+SUM(M689:Q689))*(INDEX($U$635:$AB$635,MATCH(Notes!$C$16,$U$3:$AB$3,0))-100%))*$L$635</f>
        <v>2075.1376</v>
      </c>
      <c r="M689" s="286"/>
      <c r="N689" s="286"/>
      <c r="O689" s="311">
        <f>O682</f>
        <v>1417.72</v>
      </c>
      <c r="P689" s="311">
        <f t="shared" si="100"/>
        <v>657.41759999999999</v>
      </c>
      <c r="Q689" s="285"/>
      <c r="R689" s="278"/>
      <c r="S689" s="278"/>
      <c r="T689" s="278"/>
    </row>
    <row r="690" spans="1:28" s="305" customFormat="1" hidden="1" outlineLevel="1" x14ac:dyDescent="0.25">
      <c r="A690" s="278"/>
      <c r="B690" s="279" t="str">
        <f t="shared" si="101"/>
        <v>24002400TB/ANW</v>
      </c>
      <c r="C690" s="278">
        <v>2400</v>
      </c>
      <c r="D690" s="278">
        <v>2400</v>
      </c>
      <c r="E690" s="278" t="s">
        <v>945</v>
      </c>
      <c r="F690" s="278"/>
      <c r="G690" s="278" t="s">
        <v>5</v>
      </c>
      <c r="H690" s="290">
        <v>6</v>
      </c>
      <c r="I690" s="280">
        <f t="shared" si="102"/>
        <v>483.72</v>
      </c>
      <c r="J690" s="281">
        <f t="shared" si="103"/>
        <v>548.58000000000004</v>
      </c>
      <c r="K690" s="282">
        <f>IF(Notes!$B$9="Domestic",I690, IF(Notes!$B$9="Commercial",J690))*$K$635</f>
        <v>548.58000000000004</v>
      </c>
      <c r="L690" s="283">
        <f>(SUM(O690:Q690)+(K690+SUM(M690:Q690))*(INDEX($U$635:$AB$635,MATCH(Notes!$C$16,$U$3:$AB$3,0))-100%))*$L$635</f>
        <v>2558.9344000000001</v>
      </c>
      <c r="M690" s="286"/>
      <c r="N690" s="286"/>
      <c r="O690" s="311">
        <f>O658*2</f>
        <v>1807.6</v>
      </c>
      <c r="P690" s="311">
        <f t="shared" si="100"/>
        <v>751.33439999999996</v>
      </c>
      <c r="Q690" s="285"/>
      <c r="R690" s="278"/>
      <c r="S690" s="278"/>
      <c r="T690" s="278"/>
    </row>
    <row r="691" spans="1:28" s="305" customFormat="1" hidden="1" outlineLevel="1" x14ac:dyDescent="0.25">
      <c r="A691" s="278"/>
      <c r="B691" s="279" t="str">
        <f t="shared" si="101"/>
        <v>24002700TB/ANW</v>
      </c>
      <c r="C691" s="278">
        <v>2400</v>
      </c>
      <c r="D691" s="278">
        <v>2700</v>
      </c>
      <c r="E691" s="278" t="s">
        <v>945</v>
      </c>
      <c r="F691" s="278"/>
      <c r="G691" s="278" t="s">
        <v>5</v>
      </c>
      <c r="H691" s="290">
        <v>6</v>
      </c>
      <c r="I691" s="280">
        <f t="shared" si="102"/>
        <v>483.72</v>
      </c>
      <c r="J691" s="281">
        <f t="shared" si="103"/>
        <v>548.58000000000004</v>
      </c>
      <c r="K691" s="282">
        <f>IF(Notes!$B$9="Domestic",I691, IF(Notes!$B$9="Commercial",J691))*$K$635</f>
        <v>548.58000000000004</v>
      </c>
      <c r="L691" s="283">
        <f>(SUM(O691:Q691)+(K691+SUM(M691:Q691))*(INDEX($U$635:$AB$635,MATCH(Notes!$C$16,$U$3:$AB$3,0))-100%))*$L$635</f>
        <v>3092.5111999999999</v>
      </c>
      <c r="M691" s="286"/>
      <c r="N691" s="286"/>
      <c r="O691" s="311">
        <f>O659*2</f>
        <v>2247.2600000000002</v>
      </c>
      <c r="P691" s="311">
        <f t="shared" si="100"/>
        <v>845.25119999999993</v>
      </c>
      <c r="Q691" s="285"/>
      <c r="R691" s="278"/>
      <c r="S691" s="278"/>
      <c r="T691" s="278"/>
    </row>
    <row r="692" spans="1:28" s="305" customFormat="1" hidden="1" outlineLevel="1" x14ac:dyDescent="0.25">
      <c r="A692" s="278"/>
      <c r="B692" s="279" t="str">
        <f t="shared" si="101"/>
        <v>2700600TB/ANW</v>
      </c>
      <c r="C692" s="278">
        <v>2700</v>
      </c>
      <c r="D692" s="278">
        <v>600</v>
      </c>
      <c r="E692" s="278" t="s">
        <v>945</v>
      </c>
      <c r="F692" s="278"/>
      <c r="G692" s="278" t="s">
        <v>5</v>
      </c>
      <c r="H692" s="290">
        <v>4</v>
      </c>
      <c r="I692" s="280">
        <f t="shared" si="102"/>
        <v>322.48</v>
      </c>
      <c r="J692" s="281">
        <f t="shared" si="103"/>
        <v>365.72</v>
      </c>
      <c r="K692" s="282">
        <f>IF(Notes!$B$9="Domestic",I692, IF(Notes!$B$9="Commercial",J692))*$K$635</f>
        <v>365.72</v>
      </c>
      <c r="L692" s="283">
        <f>(SUM(O692:Q692)+(K692+SUM(M692:Q692))*(INDEX($U$635:$AB$635,MATCH(Notes!$C$16,$U$3:$AB$3,0))-100%))*$L$635</f>
        <v>936.50279999999998</v>
      </c>
      <c r="M692" s="286"/>
      <c r="N692" s="286"/>
      <c r="O692" s="311">
        <f>O643</f>
        <v>725.19</v>
      </c>
      <c r="P692" s="311">
        <f t="shared" si="100"/>
        <v>211.31279999999998</v>
      </c>
      <c r="Q692" s="285"/>
      <c r="R692" s="278"/>
      <c r="S692" s="278"/>
      <c r="T692" s="278"/>
    </row>
    <row r="693" spans="1:28" s="305" customFormat="1" hidden="1" outlineLevel="1" x14ac:dyDescent="0.25">
      <c r="A693" s="278"/>
      <c r="B693" s="279" t="str">
        <f t="shared" si="101"/>
        <v>2700900TB/ANW</v>
      </c>
      <c r="C693" s="278">
        <v>2700</v>
      </c>
      <c r="D693" s="278">
        <v>900</v>
      </c>
      <c r="E693" s="278" t="s">
        <v>945</v>
      </c>
      <c r="F693" s="278"/>
      <c r="G693" s="278" t="s">
        <v>5</v>
      </c>
      <c r="H693" s="290">
        <v>4</v>
      </c>
      <c r="I693" s="280">
        <f t="shared" si="102"/>
        <v>322.48</v>
      </c>
      <c r="J693" s="281">
        <f t="shared" si="103"/>
        <v>365.72</v>
      </c>
      <c r="K693" s="282">
        <f>IF(Notes!$B$9="Domestic",I693, IF(Notes!$B$9="Commercial",J693))*$K$635</f>
        <v>365.72</v>
      </c>
      <c r="L693" s="283">
        <f>(SUM(O693:Q693)+(K693+SUM(M693:Q693))*(INDEX($U$635:$AB$635,MATCH(Notes!$C$16,$U$3:$AB$3,0))-100%))*$L$635</f>
        <v>1241.6592000000001</v>
      </c>
      <c r="M693" s="286"/>
      <c r="N693" s="286"/>
      <c r="O693" s="311">
        <f>O651</f>
        <v>924.69</v>
      </c>
      <c r="P693" s="311">
        <f t="shared" si="100"/>
        <v>316.9692</v>
      </c>
      <c r="Q693" s="285"/>
      <c r="R693" s="278"/>
      <c r="S693" s="278"/>
      <c r="T693" s="278"/>
    </row>
    <row r="694" spans="1:28" s="305" customFormat="1" hidden="1" outlineLevel="1" x14ac:dyDescent="0.25">
      <c r="A694" s="278"/>
      <c r="B694" s="279" t="str">
        <f t="shared" si="101"/>
        <v>27001200TB/ANW</v>
      </c>
      <c r="C694" s="278">
        <v>2700</v>
      </c>
      <c r="D694" s="278">
        <v>1200</v>
      </c>
      <c r="E694" s="278" t="s">
        <v>945</v>
      </c>
      <c r="F694" s="278"/>
      <c r="G694" s="278" t="s">
        <v>5</v>
      </c>
      <c r="H694" s="290">
        <v>4</v>
      </c>
      <c r="I694" s="280">
        <f t="shared" si="102"/>
        <v>322.48</v>
      </c>
      <c r="J694" s="281">
        <f t="shared" si="103"/>
        <v>365.72</v>
      </c>
      <c r="K694" s="282">
        <f>IF(Notes!$B$9="Domestic",I694, IF(Notes!$B$9="Commercial",J694))*$K$635</f>
        <v>365.72</v>
      </c>
      <c r="L694" s="283">
        <f>(SUM(O694:Q694)+(K694+SUM(M694:Q694))*(INDEX($U$635:$AB$635,MATCH(Notes!$C$16,$U$3:$AB$3,0))-100%))*$L$635</f>
        <v>1546.2556</v>
      </c>
      <c r="M694" s="286"/>
      <c r="N694" s="286"/>
      <c r="O694" s="311">
        <f>O659</f>
        <v>1123.6300000000001</v>
      </c>
      <c r="P694" s="311">
        <f t="shared" si="100"/>
        <v>422.62559999999996</v>
      </c>
      <c r="Q694" s="285"/>
      <c r="R694" s="278"/>
      <c r="S694" s="278"/>
      <c r="T694" s="278"/>
    </row>
    <row r="695" spans="1:28" s="305" customFormat="1" hidden="1" outlineLevel="1" x14ac:dyDescent="0.25">
      <c r="A695" s="278"/>
      <c r="B695" s="279" t="str">
        <f t="shared" si="101"/>
        <v>27001500TB/ANW</v>
      </c>
      <c r="C695" s="278">
        <v>2700</v>
      </c>
      <c r="D695" s="278">
        <v>1500</v>
      </c>
      <c r="E695" s="278" t="s">
        <v>945</v>
      </c>
      <c r="F695" s="278"/>
      <c r="G695" s="278" t="s">
        <v>5</v>
      </c>
      <c r="H695" s="290">
        <v>5</v>
      </c>
      <c r="I695" s="280">
        <f t="shared" si="102"/>
        <v>403.1</v>
      </c>
      <c r="J695" s="281">
        <f t="shared" si="103"/>
        <v>457.15000000000003</v>
      </c>
      <c r="K695" s="282">
        <f>IF(Notes!$B$9="Domestic",I695, IF(Notes!$B$9="Commercial",J695))*$K$635</f>
        <v>457.15000000000003</v>
      </c>
      <c r="L695" s="283">
        <f>(SUM(O695:Q695)+(K695+SUM(M695:Q695))*(INDEX($U$635:$AB$635,MATCH(Notes!$C$16,$U$3:$AB$3,0))-100%))*$L$635</f>
        <v>1851.402</v>
      </c>
      <c r="M695" s="286"/>
      <c r="N695" s="286"/>
      <c r="O695" s="311">
        <f>O667</f>
        <v>1323.12</v>
      </c>
      <c r="P695" s="311">
        <f t="shared" si="100"/>
        <v>528.28200000000004</v>
      </c>
      <c r="Q695" s="285"/>
      <c r="R695" s="278"/>
      <c r="S695" s="278"/>
      <c r="T695" s="278"/>
    </row>
    <row r="696" spans="1:28" s="305" customFormat="1" hidden="1" outlineLevel="1" x14ac:dyDescent="0.25">
      <c r="A696" s="278"/>
      <c r="B696" s="279" t="str">
        <f t="shared" si="101"/>
        <v>27001800TB/ANW</v>
      </c>
      <c r="C696" s="278">
        <v>2700</v>
      </c>
      <c r="D696" s="278">
        <v>1800</v>
      </c>
      <c r="E696" s="278" t="s">
        <v>945</v>
      </c>
      <c r="F696" s="278"/>
      <c r="G696" s="278" t="s">
        <v>5</v>
      </c>
      <c r="H696" s="290">
        <v>5</v>
      </c>
      <c r="I696" s="280">
        <f t="shared" si="102"/>
        <v>403.1</v>
      </c>
      <c r="J696" s="281">
        <f t="shared" si="103"/>
        <v>457.15000000000003</v>
      </c>
      <c r="K696" s="282">
        <f>IF(Notes!$B$9="Domestic",I696, IF(Notes!$B$9="Commercial",J696))*$K$635</f>
        <v>457.15000000000003</v>
      </c>
      <c r="L696" s="283">
        <f>(SUM(O696:Q696)+(K696+SUM(M696:Q696))*(INDEX($U$635:$AB$635,MATCH(Notes!$C$16,$U$3:$AB$3,0))-100%))*$L$635</f>
        <v>2105.7483999999999</v>
      </c>
      <c r="M696" s="286"/>
      <c r="N696" s="286"/>
      <c r="O696" s="311">
        <f>O675</f>
        <v>1471.81</v>
      </c>
      <c r="P696" s="311">
        <f t="shared" si="100"/>
        <v>633.9384</v>
      </c>
      <c r="Q696" s="285"/>
      <c r="R696" s="278"/>
      <c r="S696" s="278"/>
      <c r="T696" s="278"/>
    </row>
    <row r="697" spans="1:28" s="305" customFormat="1" hidden="1" outlineLevel="1" x14ac:dyDescent="0.25">
      <c r="A697" s="278"/>
      <c r="B697" s="279" t="str">
        <f t="shared" si="101"/>
        <v>27002100TB/ANW</v>
      </c>
      <c r="C697" s="278">
        <v>2700</v>
      </c>
      <c r="D697" s="278">
        <v>2100</v>
      </c>
      <c r="E697" s="278" t="s">
        <v>945</v>
      </c>
      <c r="F697" s="278"/>
      <c r="G697" s="278" t="s">
        <v>5</v>
      </c>
      <c r="H697" s="290">
        <v>6</v>
      </c>
      <c r="I697" s="280">
        <f t="shared" si="102"/>
        <v>483.72</v>
      </c>
      <c r="J697" s="281">
        <f t="shared" si="103"/>
        <v>548.58000000000004</v>
      </c>
      <c r="K697" s="282">
        <f>IF(Notes!$B$9="Domestic",I697, IF(Notes!$B$9="Commercial",J697))*$K$635</f>
        <v>548.58000000000004</v>
      </c>
      <c r="L697" s="283">
        <f>(SUM(O697:Q697)+(K697+SUM(M697:Q697))*(INDEX($U$635:$AB$635,MATCH(Notes!$C$16,$U$3:$AB$3,0))-100%))*$L$635</f>
        <v>2653.8348000000001</v>
      </c>
      <c r="M697" s="286"/>
      <c r="N697" s="286"/>
      <c r="O697" s="311">
        <f>O683</f>
        <v>1914.24</v>
      </c>
      <c r="P697" s="311">
        <f t="shared" si="100"/>
        <v>739.59479999999996</v>
      </c>
      <c r="Q697" s="285"/>
      <c r="R697" s="278"/>
      <c r="S697" s="278"/>
      <c r="T697" s="278"/>
    </row>
    <row r="698" spans="1:28" s="305" customFormat="1" hidden="1" outlineLevel="1" x14ac:dyDescent="0.25">
      <c r="A698" s="278"/>
      <c r="B698" s="279" t="str">
        <f t="shared" si="101"/>
        <v>27002400TB/ANW</v>
      </c>
      <c r="C698" s="278">
        <v>2700</v>
      </c>
      <c r="D698" s="278">
        <v>2400</v>
      </c>
      <c r="E698" s="278" t="s">
        <v>945</v>
      </c>
      <c r="F698" s="278"/>
      <c r="G698" s="278" t="s">
        <v>5</v>
      </c>
      <c r="H698" s="290">
        <v>6</v>
      </c>
      <c r="I698" s="280">
        <f t="shared" si="102"/>
        <v>483.72</v>
      </c>
      <c r="J698" s="281">
        <f t="shared" si="103"/>
        <v>548.58000000000004</v>
      </c>
      <c r="K698" s="282">
        <f>IF(Notes!$B$9="Domestic",I698, IF(Notes!$B$9="Commercial",J698))*$K$635</f>
        <v>548.58000000000004</v>
      </c>
      <c r="L698" s="283">
        <f>(SUM(O698:Q698)+(K698+SUM(M698:Q698))*(INDEX($U$635:$AB$635,MATCH(Notes!$C$16,$U$3:$AB$3,0))-100%))*$L$635</f>
        <v>3092.5111999999999</v>
      </c>
      <c r="M698" s="286"/>
      <c r="N698" s="286"/>
      <c r="O698" s="311">
        <f>O691</f>
        <v>2247.2600000000002</v>
      </c>
      <c r="P698" s="311">
        <f t="shared" si="100"/>
        <v>845.25119999999993</v>
      </c>
      <c r="Q698" s="285"/>
      <c r="R698" s="278"/>
      <c r="S698" s="278"/>
      <c r="T698" s="278"/>
    </row>
    <row r="699" spans="1:28" s="305" customFormat="1" hidden="1" outlineLevel="1" x14ac:dyDescent="0.25">
      <c r="A699" s="278"/>
      <c r="B699" s="279" t="str">
        <f t="shared" si="101"/>
        <v>27002700TB/ANW</v>
      </c>
      <c r="C699" s="278">
        <v>2700</v>
      </c>
      <c r="D699" s="278">
        <v>2700</v>
      </c>
      <c r="E699" s="278" t="s">
        <v>945</v>
      </c>
      <c r="F699" s="278"/>
      <c r="G699" s="278" t="s">
        <v>5</v>
      </c>
      <c r="H699" s="290">
        <v>6</v>
      </c>
      <c r="I699" s="280">
        <f t="shared" si="102"/>
        <v>483.72</v>
      </c>
      <c r="J699" s="281">
        <f t="shared" si="103"/>
        <v>548.58000000000004</v>
      </c>
      <c r="K699" s="282">
        <f>IF(Notes!$B$9="Domestic",I699, IF(Notes!$B$9="Commercial",J699))*$K$635</f>
        <v>548.58000000000004</v>
      </c>
      <c r="L699" s="283">
        <f>(SUM(O699:Q699)+(K699+SUM(M699:Q699))*(INDEX($U$635:$AB$635,MATCH(Notes!$C$16,$U$3:$AB$3,0))-100%))*$L$635</f>
        <v>3597.1475999999998</v>
      </c>
      <c r="M699" s="286"/>
      <c r="N699" s="286"/>
      <c r="O699" s="311">
        <f>O667*2</f>
        <v>2646.24</v>
      </c>
      <c r="P699" s="311">
        <f t="shared" si="100"/>
        <v>950.9076</v>
      </c>
      <c r="Q699" s="285"/>
      <c r="R699" s="278"/>
      <c r="S699" s="278"/>
      <c r="T699" s="278"/>
    </row>
    <row r="700" spans="1:28" ht="21" hidden="1" outlineLevel="1" x14ac:dyDescent="0.25">
      <c r="A700" s="299" t="s">
        <v>501</v>
      </c>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c r="AA700" s="299"/>
      <c r="AB700" s="299"/>
    </row>
    <row r="701" spans="1:28" ht="15.75" hidden="1" outlineLevel="1" x14ac:dyDescent="0.25">
      <c r="A701" s="291"/>
      <c r="B701" s="291"/>
      <c r="C701" s="291"/>
      <c r="D701" s="291"/>
      <c r="E701" s="291"/>
      <c r="F701" s="291"/>
      <c r="G701" s="291"/>
      <c r="H701" s="291"/>
      <c r="I701" s="291"/>
      <c r="J701" s="291"/>
      <c r="K701" s="291">
        <f>K$2</f>
        <v>1</v>
      </c>
      <c r="L701" s="291">
        <f>L$2</f>
        <v>1</v>
      </c>
      <c r="M701" s="291"/>
      <c r="N701" s="291"/>
      <c r="O701" s="303"/>
      <c r="P701" s="303"/>
      <c r="Q701" s="303"/>
      <c r="R701" s="291"/>
      <c r="S701" s="291"/>
      <c r="T701" s="291"/>
      <c r="U701" s="291">
        <f>U$2</f>
        <v>0.89965397923875434</v>
      </c>
      <c r="V701" s="291">
        <f>V$2</f>
        <v>1</v>
      </c>
      <c r="W701" s="291">
        <f t="shared" ref="W701:AB701" si="104">W$2</f>
        <v>0.92214532871972321</v>
      </c>
      <c r="X701" s="291">
        <f t="shared" si="104"/>
        <v>0.89965397923875434</v>
      </c>
      <c r="Y701" s="291">
        <f t="shared" si="104"/>
        <v>1.0069204152249136</v>
      </c>
      <c r="Z701" s="291">
        <f t="shared" si="104"/>
        <v>0.856401384083045</v>
      </c>
      <c r="AA701" s="291">
        <f t="shared" si="104"/>
        <v>0.856401384083045</v>
      </c>
      <c r="AB701" s="291">
        <f t="shared" si="104"/>
        <v>1.0121107266435987</v>
      </c>
    </row>
    <row r="702" spans="1:28" s="305" customFormat="1" hidden="1" outlineLevel="1" x14ac:dyDescent="0.25">
      <c r="A702" s="278"/>
      <c r="B702" s="279" t="str">
        <f>C702&amp;D702&amp;E702&amp;F702</f>
        <v>600600TB/CMW</v>
      </c>
      <c r="C702" s="278">
        <v>600</v>
      </c>
      <c r="D702" s="278">
        <v>600</v>
      </c>
      <c r="E702" s="278" t="s">
        <v>946</v>
      </c>
      <c r="F702" s="278"/>
      <c r="G702" s="278" t="s">
        <v>5</v>
      </c>
      <c r="H702" s="290">
        <v>1</v>
      </c>
      <c r="I702" s="280">
        <f>$I$2*H702</f>
        <v>80.62</v>
      </c>
      <c r="J702" s="281">
        <f>$J$2*H702</f>
        <v>91.43</v>
      </c>
      <c r="K702" s="282">
        <f>IF(Notes!$B$9="Domestic",I702, IF(Notes!$B$9="Commercial",J702))*$K$701</f>
        <v>91.43</v>
      </c>
      <c r="L702" s="283">
        <f>(SUM(O702:Q702)+(K702+SUM(M702:Q702))*(INDEX($U$701:$AB$701,MATCH(Notes!$C$16,$U$3:$AB$3,0))-100%))*$L$701</f>
        <v>423.78839999999997</v>
      </c>
      <c r="M702" s="286"/>
      <c r="N702" s="286"/>
      <c r="O702" s="285">
        <v>376.83</v>
      </c>
      <c r="P702" s="311">
        <f t="shared" ref="P702:P765" si="105">$P$2*C702/1000*D702/1000</f>
        <v>46.958399999999997</v>
      </c>
      <c r="Q702" s="285"/>
      <c r="R702" s="278">
        <v>600</v>
      </c>
      <c r="S702" s="278">
        <v>600</v>
      </c>
      <c r="T702" s="278" t="s">
        <v>946</v>
      </c>
    </row>
    <row r="703" spans="1:28" s="305" customFormat="1" hidden="1" outlineLevel="1" x14ac:dyDescent="0.25">
      <c r="A703" s="278"/>
      <c r="B703" s="279" t="str">
        <f t="shared" ref="B703:B765" si="106">C703&amp;D703&amp;E703&amp;F703</f>
        <v>600900TB/CMW</v>
      </c>
      <c r="C703" s="278">
        <v>600</v>
      </c>
      <c r="D703" s="278">
        <v>900</v>
      </c>
      <c r="E703" s="278" t="s">
        <v>946</v>
      </c>
      <c r="F703" s="278"/>
      <c r="G703" s="278" t="s">
        <v>5</v>
      </c>
      <c r="H703" s="290">
        <v>1</v>
      </c>
      <c r="I703" s="280">
        <f t="shared" ref="I703:I765" si="107">$I$2*H703</f>
        <v>80.62</v>
      </c>
      <c r="J703" s="281">
        <f t="shared" ref="J703:J765" si="108">$J$2*H703</f>
        <v>91.43</v>
      </c>
      <c r="K703" s="282">
        <f>IF(Notes!$B$9="Domestic",I703, IF(Notes!$B$9="Commercial",J703))*$K$701</f>
        <v>91.43</v>
      </c>
      <c r="L703" s="283">
        <f>(SUM(O703:Q703)+(K703+SUM(M703:Q703))*(INDEX($U$701:$AB$701,MATCH(Notes!$C$16,$U$3:$AB$3,0))-100%))*$L$701</f>
        <v>537.6576</v>
      </c>
      <c r="M703" s="286"/>
      <c r="N703" s="286"/>
      <c r="O703" s="285">
        <v>467.22</v>
      </c>
      <c r="P703" s="311">
        <f t="shared" si="105"/>
        <v>70.437599999999989</v>
      </c>
      <c r="Q703" s="285"/>
      <c r="R703" s="278">
        <v>900</v>
      </c>
      <c r="S703" s="278">
        <v>900</v>
      </c>
      <c r="T703" s="278"/>
    </row>
    <row r="704" spans="1:28" s="305" customFormat="1" hidden="1" outlineLevel="1" x14ac:dyDescent="0.25">
      <c r="A704" s="278"/>
      <c r="B704" s="279" t="str">
        <f t="shared" si="106"/>
        <v>6001200TB/CMW</v>
      </c>
      <c r="C704" s="278">
        <v>600</v>
      </c>
      <c r="D704" s="278">
        <v>1200</v>
      </c>
      <c r="E704" s="278" t="s">
        <v>946</v>
      </c>
      <c r="F704" s="278"/>
      <c r="G704" s="278" t="s">
        <v>5</v>
      </c>
      <c r="H704" s="290">
        <v>1</v>
      </c>
      <c r="I704" s="280">
        <f t="shared" si="107"/>
        <v>80.62</v>
      </c>
      <c r="J704" s="281">
        <f t="shared" si="108"/>
        <v>91.43</v>
      </c>
      <c r="K704" s="282">
        <f>IF(Notes!$B$9="Domestic",I704, IF(Notes!$B$9="Commercial",J704))*$K$701</f>
        <v>91.43</v>
      </c>
      <c r="L704" s="283">
        <f>(SUM(O704:Q704)+(K704+SUM(M704:Q704))*(INDEX($U$701:$AB$701,MATCH(Notes!$C$16,$U$3:$AB$3,0))-100%))*$L$701</f>
        <v>587.10680000000002</v>
      </c>
      <c r="M704" s="286"/>
      <c r="N704" s="286"/>
      <c r="O704" s="285">
        <v>493.19</v>
      </c>
      <c r="P704" s="311">
        <f t="shared" si="105"/>
        <v>93.916799999999995</v>
      </c>
      <c r="Q704" s="285"/>
      <c r="R704" s="278">
        <v>1200</v>
      </c>
      <c r="S704" s="278">
        <v>1200</v>
      </c>
      <c r="T704" s="278"/>
    </row>
    <row r="705" spans="1:20" s="305" customFormat="1" hidden="1" outlineLevel="1" x14ac:dyDescent="0.25">
      <c r="A705" s="278"/>
      <c r="B705" s="279" t="str">
        <f t="shared" si="106"/>
        <v>6001500TB/CMW</v>
      </c>
      <c r="C705" s="278">
        <v>600</v>
      </c>
      <c r="D705" s="278">
        <v>1500</v>
      </c>
      <c r="E705" s="278" t="s">
        <v>946</v>
      </c>
      <c r="F705" s="278"/>
      <c r="G705" s="278" t="s">
        <v>5</v>
      </c>
      <c r="H705" s="290">
        <v>1</v>
      </c>
      <c r="I705" s="280">
        <f t="shared" si="107"/>
        <v>80.62</v>
      </c>
      <c r="J705" s="281">
        <f t="shared" si="108"/>
        <v>91.43</v>
      </c>
      <c r="K705" s="282">
        <f>IF(Notes!$B$9="Domestic",I705, IF(Notes!$B$9="Commercial",J705))*$K$701</f>
        <v>91.43</v>
      </c>
      <c r="L705" s="283">
        <f>(SUM(O705:Q705)+(K705+SUM(M705:Q705))*(INDEX($U$701:$AB$701,MATCH(Notes!$C$16,$U$3:$AB$3,0))-100%))*$L$701</f>
        <v>636.89599999999996</v>
      </c>
      <c r="M705" s="286"/>
      <c r="N705" s="286"/>
      <c r="O705" s="285">
        <v>519.5</v>
      </c>
      <c r="P705" s="311">
        <f t="shared" si="105"/>
        <v>117.396</v>
      </c>
      <c r="Q705" s="285"/>
      <c r="R705" s="278">
        <v>1500</v>
      </c>
      <c r="S705" s="278">
        <v>1500</v>
      </c>
      <c r="T705" s="278"/>
    </row>
    <row r="706" spans="1:20" s="305" customFormat="1" hidden="1" outlineLevel="1" x14ac:dyDescent="0.25">
      <c r="A706" s="278"/>
      <c r="B706" s="279" t="str">
        <f t="shared" si="106"/>
        <v>6001800TB/CMW</v>
      </c>
      <c r="C706" s="278">
        <v>600</v>
      </c>
      <c r="D706" s="278">
        <v>1800</v>
      </c>
      <c r="E706" s="278" t="s">
        <v>946</v>
      </c>
      <c r="F706" s="278"/>
      <c r="G706" s="278" t="s">
        <v>5</v>
      </c>
      <c r="H706" s="290">
        <v>1</v>
      </c>
      <c r="I706" s="280">
        <f t="shared" si="107"/>
        <v>80.62</v>
      </c>
      <c r="J706" s="281">
        <f t="shared" si="108"/>
        <v>91.43</v>
      </c>
      <c r="K706" s="282">
        <f>IF(Notes!$B$9="Domestic",I706, IF(Notes!$B$9="Commercial",J706))*$K$701</f>
        <v>91.43</v>
      </c>
      <c r="L706" s="283">
        <f>(SUM(O706:Q706)+(K706+SUM(M706:Q706))*(INDEX($U$701:$AB$701,MATCH(Notes!$C$16,$U$3:$AB$3,0))-100%))*$L$701</f>
        <v>674.28519999999992</v>
      </c>
      <c r="M706" s="286"/>
      <c r="N706" s="286"/>
      <c r="O706" s="285">
        <v>533.41</v>
      </c>
      <c r="P706" s="311">
        <f t="shared" si="105"/>
        <v>140.87519999999998</v>
      </c>
      <c r="Q706" s="285"/>
      <c r="R706" s="278">
        <v>1800</v>
      </c>
      <c r="S706" s="278">
        <v>1800</v>
      </c>
      <c r="T706" s="278"/>
    </row>
    <row r="707" spans="1:20" s="305" customFormat="1" hidden="1" outlineLevel="1" x14ac:dyDescent="0.25">
      <c r="A707" s="278"/>
      <c r="B707" s="279" t="str">
        <f t="shared" si="106"/>
        <v>6002100TB/CMW</v>
      </c>
      <c r="C707" s="278">
        <v>600</v>
      </c>
      <c r="D707" s="278">
        <v>2100</v>
      </c>
      <c r="E707" s="278" t="s">
        <v>946</v>
      </c>
      <c r="F707" s="278"/>
      <c r="G707" s="278" t="s">
        <v>5</v>
      </c>
      <c r="H707" s="290">
        <v>2</v>
      </c>
      <c r="I707" s="280">
        <f t="shared" si="107"/>
        <v>161.24</v>
      </c>
      <c r="J707" s="281">
        <f t="shared" si="108"/>
        <v>182.86</v>
      </c>
      <c r="K707" s="282">
        <f>IF(Notes!$B$9="Domestic",I707, IF(Notes!$B$9="Commercial",J707))*$K$701</f>
        <v>182.86</v>
      </c>
      <c r="L707" s="283">
        <f>(SUM(O707:Q707)+(K707+SUM(M707:Q707))*(INDEX($U$701:$AB$701,MATCH(Notes!$C$16,$U$3:$AB$3,0))-100%))*$L$701</f>
        <v>1043.5744</v>
      </c>
      <c r="M707" s="286"/>
      <c r="N707" s="286"/>
      <c r="O707" s="285">
        <v>879.22</v>
      </c>
      <c r="P707" s="311">
        <f t="shared" si="105"/>
        <v>164.3544</v>
      </c>
      <c r="Q707" s="285"/>
      <c r="R707" s="278">
        <v>2100</v>
      </c>
      <c r="S707" s="278">
        <v>2100</v>
      </c>
      <c r="T707" s="278"/>
    </row>
    <row r="708" spans="1:20" s="305" customFormat="1" hidden="1" outlineLevel="1" x14ac:dyDescent="0.25">
      <c r="A708" s="278"/>
      <c r="B708" s="279" t="str">
        <f t="shared" si="106"/>
        <v>6002400TB/CMW</v>
      </c>
      <c r="C708" s="278">
        <v>600</v>
      </c>
      <c r="D708" s="278">
        <v>2400</v>
      </c>
      <c r="E708" s="278" t="s">
        <v>946</v>
      </c>
      <c r="F708" s="278"/>
      <c r="G708" s="278" t="s">
        <v>5</v>
      </c>
      <c r="H708" s="290">
        <v>2</v>
      </c>
      <c r="I708" s="280">
        <f t="shared" si="107"/>
        <v>161.24</v>
      </c>
      <c r="J708" s="281">
        <f t="shared" si="108"/>
        <v>182.86</v>
      </c>
      <c r="K708" s="282">
        <f>IF(Notes!$B$9="Domestic",I708, IF(Notes!$B$9="Commercial",J708))*$K$701</f>
        <v>182.86</v>
      </c>
      <c r="L708" s="283">
        <f>(SUM(O708:Q708)+(K708+SUM(M708:Q708))*(INDEX($U$701:$AB$701,MATCH(Notes!$C$16,$U$3:$AB$3,0))-100%))*$L$701</f>
        <v>1098.8835999999999</v>
      </c>
      <c r="M708" s="286"/>
      <c r="N708" s="286"/>
      <c r="O708" s="285">
        <v>911.05</v>
      </c>
      <c r="P708" s="311">
        <f t="shared" si="105"/>
        <v>187.83359999999999</v>
      </c>
      <c r="Q708" s="285"/>
      <c r="R708" s="278">
        <v>2400</v>
      </c>
      <c r="S708" s="278">
        <v>2400</v>
      </c>
      <c r="T708" s="278"/>
    </row>
    <row r="709" spans="1:20" s="305" customFormat="1" hidden="1" outlineLevel="1" x14ac:dyDescent="0.25">
      <c r="A709" s="278"/>
      <c r="B709" s="279" t="str">
        <f t="shared" si="106"/>
        <v>6002700TB/CMW</v>
      </c>
      <c r="C709" s="278">
        <v>600</v>
      </c>
      <c r="D709" s="278">
        <v>2700</v>
      </c>
      <c r="E709" s="278" t="s">
        <v>946</v>
      </c>
      <c r="F709" s="278"/>
      <c r="G709" s="278" t="s">
        <v>5</v>
      </c>
      <c r="H709" s="290">
        <v>2</v>
      </c>
      <c r="I709" s="280">
        <f t="shared" si="107"/>
        <v>161.24</v>
      </c>
      <c r="J709" s="281">
        <f t="shared" si="108"/>
        <v>182.86</v>
      </c>
      <c r="K709" s="282">
        <f>IF(Notes!$B$9="Domestic",I709, IF(Notes!$B$9="Commercial",J709))*$K$701</f>
        <v>182.86</v>
      </c>
      <c r="L709" s="283">
        <f>(SUM(O709:Q709)+(K709+SUM(M709:Q709))*(INDEX($U$701:$AB$701,MATCH(Notes!$C$16,$U$3:$AB$3,0))-100%))*$L$701</f>
        <v>1185.0827999999999</v>
      </c>
      <c r="M709" s="286"/>
      <c r="N709" s="286"/>
      <c r="O709" s="285">
        <v>973.77</v>
      </c>
      <c r="P709" s="311">
        <f t="shared" si="105"/>
        <v>211.31279999999998</v>
      </c>
      <c r="Q709" s="285"/>
      <c r="R709" s="278">
        <v>2700</v>
      </c>
      <c r="S709" s="278">
        <v>2700</v>
      </c>
      <c r="T709" s="278"/>
    </row>
    <row r="710" spans="1:20" s="305" customFormat="1" hidden="1" outlineLevel="1" x14ac:dyDescent="0.25">
      <c r="A710" s="278"/>
      <c r="B710" s="279" t="str">
        <f t="shared" si="106"/>
        <v>900600TB/CMW</v>
      </c>
      <c r="C710" s="278">
        <v>900</v>
      </c>
      <c r="D710" s="278">
        <v>600</v>
      </c>
      <c r="E710" s="278" t="s">
        <v>946</v>
      </c>
      <c r="F710" s="278"/>
      <c r="G710" s="278" t="s">
        <v>5</v>
      </c>
      <c r="H710" s="290">
        <v>1</v>
      </c>
      <c r="I710" s="280">
        <f t="shared" si="107"/>
        <v>80.62</v>
      </c>
      <c r="J710" s="281">
        <f t="shared" si="108"/>
        <v>91.43</v>
      </c>
      <c r="K710" s="282">
        <f>IF(Notes!$B$9="Domestic",I710, IF(Notes!$B$9="Commercial",J710))*$K$701</f>
        <v>91.43</v>
      </c>
      <c r="L710" s="283">
        <f>(SUM(O710:Q710)+(K710+SUM(M710:Q710))*(INDEX($U$701:$AB$701,MATCH(Notes!$C$16,$U$3:$AB$3,0))-100%))*$L$701</f>
        <v>504.26760000000002</v>
      </c>
      <c r="M710" s="286"/>
      <c r="N710" s="286"/>
      <c r="O710" s="285">
        <v>433.83</v>
      </c>
      <c r="P710" s="311">
        <f t="shared" si="105"/>
        <v>70.437600000000003</v>
      </c>
      <c r="Q710" s="285"/>
      <c r="R710" s="278"/>
      <c r="S710" s="278"/>
      <c r="T710" s="278"/>
    </row>
    <row r="711" spans="1:20" s="305" customFormat="1" hidden="1" outlineLevel="1" x14ac:dyDescent="0.25">
      <c r="A711" s="278"/>
      <c r="B711" s="279" t="str">
        <f t="shared" si="106"/>
        <v>900900TB/CMW</v>
      </c>
      <c r="C711" s="278">
        <v>900</v>
      </c>
      <c r="D711" s="278">
        <v>900</v>
      </c>
      <c r="E711" s="278" t="s">
        <v>946</v>
      </c>
      <c r="F711" s="278"/>
      <c r="G711" s="278" t="s">
        <v>5</v>
      </c>
      <c r="H711" s="290">
        <v>1</v>
      </c>
      <c r="I711" s="280">
        <f t="shared" si="107"/>
        <v>80.62</v>
      </c>
      <c r="J711" s="281">
        <f t="shared" si="108"/>
        <v>91.43</v>
      </c>
      <c r="K711" s="282">
        <f>IF(Notes!$B$9="Domestic",I711, IF(Notes!$B$9="Commercial",J711))*$K$701</f>
        <v>91.43</v>
      </c>
      <c r="L711" s="283">
        <f>(SUM(O711:Q711)+(K711+SUM(M711:Q711))*(INDEX($U$701:$AB$701,MATCH(Notes!$C$16,$U$3:$AB$3,0))-100%))*$L$701</f>
        <v>723.84640000000002</v>
      </c>
      <c r="M711" s="286"/>
      <c r="N711" s="286"/>
      <c r="O711" s="285">
        <v>618.19000000000005</v>
      </c>
      <c r="P711" s="311">
        <f t="shared" si="105"/>
        <v>105.65639999999999</v>
      </c>
      <c r="Q711" s="285"/>
      <c r="R711" s="278"/>
      <c r="S711" s="278"/>
      <c r="T711" s="278"/>
    </row>
    <row r="712" spans="1:20" s="305" customFormat="1" hidden="1" outlineLevel="1" x14ac:dyDescent="0.25">
      <c r="A712" s="278"/>
      <c r="B712" s="279" t="str">
        <f t="shared" si="106"/>
        <v>9001200TB/CMW</v>
      </c>
      <c r="C712" s="278">
        <v>900</v>
      </c>
      <c r="D712" s="278">
        <v>1200</v>
      </c>
      <c r="E712" s="278" t="s">
        <v>946</v>
      </c>
      <c r="F712" s="278"/>
      <c r="G712" s="278" t="s">
        <v>5</v>
      </c>
      <c r="H712" s="290">
        <v>1</v>
      </c>
      <c r="I712" s="280">
        <f t="shared" si="107"/>
        <v>80.62</v>
      </c>
      <c r="J712" s="281">
        <f t="shared" si="108"/>
        <v>91.43</v>
      </c>
      <c r="K712" s="282">
        <f>IF(Notes!$B$9="Domestic",I712, IF(Notes!$B$9="Commercial",J712))*$K$701</f>
        <v>91.43</v>
      </c>
      <c r="L712" s="283">
        <f>(SUM(O712:Q712)+(K712+SUM(M712:Q712))*(INDEX($U$701:$AB$701,MATCH(Notes!$C$16,$U$3:$AB$3,0))-100%))*$L$701</f>
        <v>785.50520000000006</v>
      </c>
      <c r="M712" s="286"/>
      <c r="N712" s="286"/>
      <c r="O712" s="285">
        <v>644.63</v>
      </c>
      <c r="P712" s="311">
        <f t="shared" si="105"/>
        <v>140.87520000000001</v>
      </c>
      <c r="Q712" s="285"/>
      <c r="R712" s="278"/>
      <c r="S712" s="278"/>
      <c r="T712" s="278"/>
    </row>
    <row r="713" spans="1:20" s="305" customFormat="1" hidden="1" outlineLevel="1" x14ac:dyDescent="0.25">
      <c r="A713" s="278"/>
      <c r="B713" s="279" t="str">
        <f t="shared" si="106"/>
        <v>9001500TB/CMW</v>
      </c>
      <c r="C713" s="278">
        <v>900</v>
      </c>
      <c r="D713" s="278">
        <v>1500</v>
      </c>
      <c r="E713" s="278" t="s">
        <v>946</v>
      </c>
      <c r="F713" s="278"/>
      <c r="G713" s="278" t="s">
        <v>5</v>
      </c>
      <c r="H713" s="290">
        <v>2</v>
      </c>
      <c r="I713" s="280">
        <f t="shared" si="107"/>
        <v>161.24</v>
      </c>
      <c r="J713" s="281">
        <f t="shared" si="108"/>
        <v>182.86</v>
      </c>
      <c r="K713" s="282">
        <f>IF(Notes!$B$9="Domestic",I713, IF(Notes!$B$9="Commercial",J713))*$K$701</f>
        <v>182.86</v>
      </c>
      <c r="L713" s="283">
        <f>(SUM(O713:Q713)+(K713+SUM(M713:Q713))*(INDEX($U$701:$AB$701,MATCH(Notes!$C$16,$U$3:$AB$3,0))-100%))*$L$701</f>
        <v>847.50399999999991</v>
      </c>
      <c r="M713" s="286"/>
      <c r="N713" s="286"/>
      <c r="O713" s="285">
        <v>671.41</v>
      </c>
      <c r="P713" s="311">
        <f t="shared" si="105"/>
        <v>176.09399999999999</v>
      </c>
      <c r="Q713" s="285"/>
      <c r="R713" s="278"/>
      <c r="S713" s="278"/>
      <c r="T713" s="278"/>
    </row>
    <row r="714" spans="1:20" s="305" customFormat="1" hidden="1" outlineLevel="1" x14ac:dyDescent="0.25">
      <c r="A714" s="278"/>
      <c r="B714" s="279" t="str">
        <f t="shared" si="106"/>
        <v>9001800TB/CMW</v>
      </c>
      <c r="C714" s="278">
        <v>900</v>
      </c>
      <c r="D714" s="278">
        <v>1800</v>
      </c>
      <c r="E714" s="278" t="s">
        <v>946</v>
      </c>
      <c r="F714" s="278"/>
      <c r="G714" s="278" t="s">
        <v>5</v>
      </c>
      <c r="H714" s="290">
        <v>2</v>
      </c>
      <c r="I714" s="280">
        <f t="shared" si="107"/>
        <v>161.24</v>
      </c>
      <c r="J714" s="281">
        <f t="shared" si="108"/>
        <v>182.86</v>
      </c>
      <c r="K714" s="282">
        <f>IF(Notes!$B$9="Domestic",I714, IF(Notes!$B$9="Commercial",J714))*$K$701</f>
        <v>182.86</v>
      </c>
      <c r="L714" s="283">
        <f>(SUM(O714:Q714)+(K714+SUM(M714:Q714))*(INDEX($U$701:$AB$701,MATCH(Notes!$C$16,$U$3:$AB$3,0))-100%))*$L$701</f>
        <v>897.10279999999989</v>
      </c>
      <c r="M714" s="286"/>
      <c r="N714" s="286"/>
      <c r="O714" s="285">
        <v>685.79</v>
      </c>
      <c r="P714" s="311">
        <f t="shared" si="105"/>
        <v>211.31279999999998</v>
      </c>
      <c r="Q714" s="285"/>
      <c r="R714" s="278"/>
      <c r="S714" s="278"/>
      <c r="T714" s="278"/>
    </row>
    <row r="715" spans="1:20" s="305" customFormat="1" hidden="1" outlineLevel="1" x14ac:dyDescent="0.25">
      <c r="A715" s="278"/>
      <c r="B715" s="279" t="str">
        <f t="shared" si="106"/>
        <v>9002100TB/CMW</v>
      </c>
      <c r="C715" s="278">
        <v>900</v>
      </c>
      <c r="D715" s="278">
        <v>2100</v>
      </c>
      <c r="E715" s="278" t="s">
        <v>946</v>
      </c>
      <c r="F715" s="278"/>
      <c r="G715" s="278" t="s">
        <v>5</v>
      </c>
      <c r="H715" s="290">
        <v>2</v>
      </c>
      <c r="I715" s="280">
        <f t="shared" si="107"/>
        <v>161.24</v>
      </c>
      <c r="J715" s="281">
        <f t="shared" si="108"/>
        <v>182.86</v>
      </c>
      <c r="K715" s="282">
        <f>IF(Notes!$B$9="Domestic",I715, IF(Notes!$B$9="Commercial",J715))*$K$701</f>
        <v>182.86</v>
      </c>
      <c r="L715" s="283">
        <f>(SUM(O715:Q715)+(K715+SUM(M715:Q715))*(INDEX($U$701:$AB$701,MATCH(Notes!$C$16,$U$3:$AB$3,0))-100%))*$L$701</f>
        <v>1313.7316000000001</v>
      </c>
      <c r="M715" s="286"/>
      <c r="N715" s="286"/>
      <c r="O715" s="285">
        <v>1067.2</v>
      </c>
      <c r="P715" s="311">
        <f t="shared" si="105"/>
        <v>246.5316</v>
      </c>
      <c r="Q715" s="285"/>
      <c r="R715" s="278"/>
      <c r="S715" s="278"/>
      <c r="T715" s="278"/>
    </row>
    <row r="716" spans="1:20" s="305" customFormat="1" hidden="1" outlineLevel="1" x14ac:dyDescent="0.25">
      <c r="A716" s="278"/>
      <c r="B716" s="279" t="str">
        <f t="shared" si="106"/>
        <v>9002400TB/CMW</v>
      </c>
      <c r="C716" s="278">
        <v>900</v>
      </c>
      <c r="D716" s="278">
        <v>2400</v>
      </c>
      <c r="E716" s="278" t="s">
        <v>946</v>
      </c>
      <c r="F716" s="278"/>
      <c r="G716" s="278" t="s">
        <v>5</v>
      </c>
      <c r="H716" s="290">
        <v>2</v>
      </c>
      <c r="I716" s="280">
        <f t="shared" si="107"/>
        <v>161.24</v>
      </c>
      <c r="J716" s="281">
        <f t="shared" si="108"/>
        <v>182.86</v>
      </c>
      <c r="K716" s="282">
        <f>IF(Notes!$B$9="Domestic",I716, IF(Notes!$B$9="Commercial",J716))*$K$701</f>
        <v>182.86</v>
      </c>
      <c r="L716" s="283">
        <f>(SUM(O716:Q716)+(K716+SUM(M716:Q716))*(INDEX($U$701:$AB$701,MATCH(Notes!$C$16,$U$3:$AB$3,0))-100%))*$L$701</f>
        <v>1411.9204</v>
      </c>
      <c r="M716" s="286"/>
      <c r="N716" s="286"/>
      <c r="O716" s="285">
        <v>1130.17</v>
      </c>
      <c r="P716" s="311">
        <f t="shared" si="105"/>
        <v>281.75040000000001</v>
      </c>
      <c r="Q716" s="285"/>
      <c r="R716" s="278"/>
      <c r="S716" s="278"/>
      <c r="T716" s="278"/>
    </row>
    <row r="717" spans="1:20" s="305" customFormat="1" hidden="1" outlineLevel="1" x14ac:dyDescent="0.25">
      <c r="A717" s="278"/>
      <c r="B717" s="279" t="str">
        <f t="shared" si="106"/>
        <v>9002700TB/CMW</v>
      </c>
      <c r="C717" s="278">
        <v>900</v>
      </c>
      <c r="D717" s="278">
        <v>2700</v>
      </c>
      <c r="E717" s="278" t="s">
        <v>946</v>
      </c>
      <c r="F717" s="278"/>
      <c r="G717" s="278" t="s">
        <v>5</v>
      </c>
      <c r="H717" s="290">
        <v>3</v>
      </c>
      <c r="I717" s="280">
        <f t="shared" si="107"/>
        <v>241.86</v>
      </c>
      <c r="J717" s="281">
        <f t="shared" si="108"/>
        <v>274.29000000000002</v>
      </c>
      <c r="K717" s="282">
        <f>IF(Notes!$B$9="Domestic",I717, IF(Notes!$B$9="Commercial",J717))*$K$701</f>
        <v>274.29000000000002</v>
      </c>
      <c r="L717" s="283">
        <f>(SUM(O717:Q717)+(K717+SUM(M717:Q717))*(INDEX($U$701:$AB$701,MATCH(Notes!$C$16,$U$3:$AB$3,0))-100%))*$L$701</f>
        <v>1479.6692</v>
      </c>
      <c r="M717" s="286"/>
      <c r="N717" s="286"/>
      <c r="O717" s="285">
        <v>1162.7</v>
      </c>
      <c r="P717" s="311">
        <f t="shared" si="105"/>
        <v>316.9692</v>
      </c>
      <c r="Q717" s="285"/>
      <c r="R717" s="278"/>
      <c r="S717" s="278"/>
      <c r="T717" s="278"/>
    </row>
    <row r="718" spans="1:20" s="305" customFormat="1" hidden="1" outlineLevel="1" x14ac:dyDescent="0.25">
      <c r="A718" s="278"/>
      <c r="B718" s="279" t="str">
        <f t="shared" si="106"/>
        <v>1200600TB/CMW</v>
      </c>
      <c r="C718" s="278">
        <v>1200</v>
      </c>
      <c r="D718" s="278">
        <v>600</v>
      </c>
      <c r="E718" s="278" t="s">
        <v>946</v>
      </c>
      <c r="F718" s="278"/>
      <c r="G718" s="278" t="s">
        <v>5</v>
      </c>
      <c r="H718" s="290">
        <v>1</v>
      </c>
      <c r="I718" s="280">
        <f t="shared" si="107"/>
        <v>80.62</v>
      </c>
      <c r="J718" s="281">
        <f t="shared" si="108"/>
        <v>91.43</v>
      </c>
      <c r="K718" s="282">
        <f>IF(Notes!$B$9="Domestic",I718, IF(Notes!$B$9="Commercial",J718))*$K$701</f>
        <v>91.43</v>
      </c>
      <c r="L718" s="283">
        <f>(SUM(O718:Q718)+(K718+SUM(M718:Q718))*(INDEX($U$701:$AB$701,MATCH(Notes!$C$16,$U$3:$AB$3,0))-100%))*$L$701</f>
        <v>598.07680000000005</v>
      </c>
      <c r="M718" s="286"/>
      <c r="N718" s="286"/>
      <c r="O718" s="285">
        <v>504.16</v>
      </c>
      <c r="P718" s="311">
        <f t="shared" si="105"/>
        <v>93.916799999999995</v>
      </c>
      <c r="Q718" s="285"/>
      <c r="R718" s="278"/>
      <c r="S718" s="278"/>
      <c r="T718" s="278"/>
    </row>
    <row r="719" spans="1:20" s="305" customFormat="1" hidden="1" outlineLevel="1" x14ac:dyDescent="0.25">
      <c r="A719" s="278"/>
      <c r="B719" s="279" t="str">
        <f t="shared" si="106"/>
        <v>1200900TB/CMW</v>
      </c>
      <c r="C719" s="278">
        <v>1200</v>
      </c>
      <c r="D719" s="278">
        <v>900</v>
      </c>
      <c r="E719" s="278" t="s">
        <v>946</v>
      </c>
      <c r="F719" s="278"/>
      <c r="G719" s="278" t="s">
        <v>5</v>
      </c>
      <c r="H719" s="290">
        <v>1</v>
      </c>
      <c r="I719" s="280">
        <f t="shared" si="107"/>
        <v>80.62</v>
      </c>
      <c r="J719" s="281">
        <f t="shared" si="108"/>
        <v>91.43</v>
      </c>
      <c r="K719" s="282">
        <f>IF(Notes!$B$9="Domestic",I719, IF(Notes!$B$9="Commercial",J719))*$K$701</f>
        <v>91.43</v>
      </c>
      <c r="L719" s="283">
        <f>(SUM(O719:Q719)+(K719+SUM(M719:Q719))*(INDEX($U$701:$AB$701,MATCH(Notes!$C$16,$U$3:$AB$3,0))-100%))*$L$701</f>
        <v>909.49519999999995</v>
      </c>
      <c r="M719" s="286"/>
      <c r="N719" s="286"/>
      <c r="O719" s="285">
        <v>768.62</v>
      </c>
      <c r="P719" s="311">
        <f t="shared" si="105"/>
        <v>140.87519999999998</v>
      </c>
      <c r="Q719" s="285"/>
      <c r="R719" s="278"/>
      <c r="S719" s="278"/>
      <c r="T719" s="278"/>
    </row>
    <row r="720" spans="1:20" s="305" customFormat="1" hidden="1" outlineLevel="1" x14ac:dyDescent="0.25">
      <c r="A720" s="278"/>
      <c r="B720" s="279" t="str">
        <f t="shared" si="106"/>
        <v>12001200TB/CMW</v>
      </c>
      <c r="C720" s="278">
        <v>1200</v>
      </c>
      <c r="D720" s="278">
        <v>1200</v>
      </c>
      <c r="E720" s="278" t="s">
        <v>946</v>
      </c>
      <c r="F720" s="278"/>
      <c r="G720" s="278" t="s">
        <v>5</v>
      </c>
      <c r="H720" s="290">
        <v>2</v>
      </c>
      <c r="I720" s="280">
        <f t="shared" si="107"/>
        <v>161.24</v>
      </c>
      <c r="J720" s="281">
        <f t="shared" si="108"/>
        <v>182.86</v>
      </c>
      <c r="K720" s="282">
        <f>IF(Notes!$B$9="Domestic",I720, IF(Notes!$B$9="Commercial",J720))*$K$701</f>
        <v>182.86</v>
      </c>
      <c r="L720" s="283">
        <f>(SUM(O720:Q720)+(K720+SUM(M720:Q720))*(INDEX($U$701:$AB$701,MATCH(Notes!$C$16,$U$3:$AB$3,0))-100%))*$L$701</f>
        <v>983.35359999999991</v>
      </c>
      <c r="M720" s="286"/>
      <c r="N720" s="286"/>
      <c r="O720" s="285">
        <v>795.52</v>
      </c>
      <c r="P720" s="311">
        <f t="shared" si="105"/>
        <v>187.83359999999999</v>
      </c>
      <c r="Q720" s="285"/>
      <c r="R720" s="278"/>
      <c r="S720" s="278"/>
      <c r="T720" s="278"/>
    </row>
    <row r="721" spans="1:20" s="305" customFormat="1" hidden="1" outlineLevel="1" x14ac:dyDescent="0.25">
      <c r="A721" s="278"/>
      <c r="B721" s="279" t="str">
        <f t="shared" si="106"/>
        <v>12001500TB/CMW</v>
      </c>
      <c r="C721" s="278">
        <v>1200</v>
      </c>
      <c r="D721" s="278">
        <v>1500</v>
      </c>
      <c r="E721" s="278" t="s">
        <v>946</v>
      </c>
      <c r="F721" s="278"/>
      <c r="G721" s="278" t="s">
        <v>5</v>
      </c>
      <c r="H721" s="290">
        <v>2</v>
      </c>
      <c r="I721" s="280">
        <f t="shared" si="107"/>
        <v>161.24</v>
      </c>
      <c r="J721" s="281">
        <f t="shared" si="108"/>
        <v>182.86</v>
      </c>
      <c r="K721" s="282">
        <f>IF(Notes!$B$9="Domestic",I721, IF(Notes!$B$9="Commercial",J721))*$K$701</f>
        <v>182.86</v>
      </c>
      <c r="L721" s="283">
        <f>(SUM(O721:Q721)+(K721+SUM(M721:Q721))*(INDEX($U$701:$AB$701,MATCH(Notes!$C$16,$U$3:$AB$3,0))-100%))*$L$701</f>
        <v>1057.5519999999999</v>
      </c>
      <c r="M721" s="286"/>
      <c r="N721" s="286"/>
      <c r="O721" s="285">
        <v>822.76</v>
      </c>
      <c r="P721" s="311">
        <f t="shared" si="105"/>
        <v>234.792</v>
      </c>
      <c r="Q721" s="285"/>
      <c r="R721" s="278"/>
      <c r="S721" s="278"/>
      <c r="T721" s="278"/>
    </row>
    <row r="722" spans="1:20" s="305" customFormat="1" hidden="1" outlineLevel="1" x14ac:dyDescent="0.25">
      <c r="A722" s="278"/>
      <c r="B722" s="279" t="str">
        <f t="shared" si="106"/>
        <v>12001800TB/CMW</v>
      </c>
      <c r="C722" s="278">
        <v>1200</v>
      </c>
      <c r="D722" s="278">
        <v>1800</v>
      </c>
      <c r="E722" s="278" t="s">
        <v>946</v>
      </c>
      <c r="F722" s="278"/>
      <c r="G722" s="278" t="s">
        <v>5</v>
      </c>
      <c r="H722" s="290">
        <v>3</v>
      </c>
      <c r="I722" s="280">
        <f t="shared" si="107"/>
        <v>241.86</v>
      </c>
      <c r="J722" s="281">
        <f t="shared" si="108"/>
        <v>274.29000000000002</v>
      </c>
      <c r="K722" s="282">
        <f>IF(Notes!$B$9="Domestic",I722, IF(Notes!$B$9="Commercial",J722))*$K$701</f>
        <v>274.29000000000002</v>
      </c>
      <c r="L722" s="283">
        <f>(SUM(O722:Q722)+(K722+SUM(M722:Q722))*(INDEX($U$701:$AB$701,MATCH(Notes!$C$16,$U$3:$AB$3,0))-100%))*$L$701</f>
        <v>1119.3504</v>
      </c>
      <c r="M722" s="286"/>
      <c r="N722" s="286"/>
      <c r="O722" s="285">
        <v>837.6</v>
      </c>
      <c r="P722" s="311">
        <f t="shared" si="105"/>
        <v>281.75039999999996</v>
      </c>
      <c r="Q722" s="285"/>
      <c r="R722" s="278"/>
      <c r="S722" s="278"/>
      <c r="T722" s="278"/>
    </row>
    <row r="723" spans="1:20" s="305" customFormat="1" hidden="1" outlineLevel="1" x14ac:dyDescent="0.25">
      <c r="A723" s="278"/>
      <c r="B723" s="279" t="str">
        <f t="shared" si="106"/>
        <v>12002100TB/CMW</v>
      </c>
      <c r="C723" s="278">
        <v>1200</v>
      </c>
      <c r="D723" s="278">
        <v>2100</v>
      </c>
      <c r="E723" s="278" t="s">
        <v>946</v>
      </c>
      <c r="F723" s="278"/>
      <c r="G723" s="278" t="s">
        <v>5</v>
      </c>
      <c r="H723" s="290">
        <v>3</v>
      </c>
      <c r="I723" s="280">
        <f t="shared" si="107"/>
        <v>241.86</v>
      </c>
      <c r="J723" s="281">
        <f t="shared" si="108"/>
        <v>274.29000000000002</v>
      </c>
      <c r="K723" s="282">
        <f>IF(Notes!$B$9="Domestic",I723, IF(Notes!$B$9="Commercial",J723))*$K$701</f>
        <v>274.29000000000002</v>
      </c>
      <c r="L723" s="283">
        <f>(SUM(O723:Q723)+(K723+SUM(M723:Q723))*(INDEX($U$701:$AB$701,MATCH(Notes!$C$16,$U$3:$AB$3,0))-100%))*$L$701</f>
        <v>1583.3287999999998</v>
      </c>
      <c r="M723" s="286"/>
      <c r="N723" s="286"/>
      <c r="O723" s="285">
        <v>1254.6199999999999</v>
      </c>
      <c r="P723" s="311">
        <f t="shared" si="105"/>
        <v>328.7088</v>
      </c>
      <c r="Q723" s="285"/>
      <c r="R723" s="278"/>
      <c r="S723" s="278"/>
      <c r="T723" s="278"/>
    </row>
    <row r="724" spans="1:20" s="305" customFormat="1" hidden="1" outlineLevel="1" x14ac:dyDescent="0.25">
      <c r="A724" s="278"/>
      <c r="B724" s="279" t="str">
        <f t="shared" si="106"/>
        <v>12002400TB/CMW</v>
      </c>
      <c r="C724" s="278">
        <v>1200</v>
      </c>
      <c r="D724" s="278">
        <v>2400</v>
      </c>
      <c r="E724" s="278" t="s">
        <v>946</v>
      </c>
      <c r="F724" s="278"/>
      <c r="G724" s="278" t="s">
        <v>5</v>
      </c>
      <c r="H724" s="290">
        <v>3</v>
      </c>
      <c r="I724" s="280">
        <f t="shared" si="107"/>
        <v>241.86</v>
      </c>
      <c r="J724" s="281">
        <f t="shared" si="108"/>
        <v>274.29000000000002</v>
      </c>
      <c r="K724" s="282">
        <f>IF(Notes!$B$9="Domestic",I724, IF(Notes!$B$9="Commercial",J724))*$K$701</f>
        <v>274.29000000000002</v>
      </c>
      <c r="L724" s="283">
        <f>(SUM(O724:Q724)+(K724+SUM(M724:Q724))*(INDEX($U$701:$AB$701,MATCH(Notes!$C$16,$U$3:$AB$3,0))-100%))*$L$701</f>
        <v>1693.7372</v>
      </c>
      <c r="M724" s="286"/>
      <c r="N724" s="286"/>
      <c r="O724" s="285">
        <v>1318.07</v>
      </c>
      <c r="P724" s="311">
        <f t="shared" si="105"/>
        <v>375.66719999999998</v>
      </c>
      <c r="Q724" s="285"/>
      <c r="R724" s="278"/>
      <c r="S724" s="278"/>
      <c r="T724" s="278"/>
    </row>
    <row r="725" spans="1:20" s="305" customFormat="1" hidden="1" outlineLevel="1" x14ac:dyDescent="0.25">
      <c r="A725" s="278"/>
      <c r="B725" s="279" t="str">
        <f t="shared" si="106"/>
        <v>12002700TB/CMW</v>
      </c>
      <c r="C725" s="278">
        <v>1200</v>
      </c>
      <c r="D725" s="278">
        <v>2700</v>
      </c>
      <c r="E725" s="278" t="s">
        <v>946</v>
      </c>
      <c r="F725" s="278"/>
      <c r="G725" s="278" t="s">
        <v>5</v>
      </c>
      <c r="H725" s="290">
        <v>4</v>
      </c>
      <c r="I725" s="280">
        <f t="shared" si="107"/>
        <v>322.48</v>
      </c>
      <c r="J725" s="281">
        <f t="shared" si="108"/>
        <v>365.72</v>
      </c>
      <c r="K725" s="282">
        <f>IF(Notes!$B$9="Domestic",I725, IF(Notes!$B$9="Commercial",J725))*$K$701</f>
        <v>365.72</v>
      </c>
      <c r="L725" s="283">
        <f>(SUM(O725:Q725)+(K725+SUM(M725:Q725))*(INDEX($U$701:$AB$701,MATCH(Notes!$C$16,$U$3:$AB$3,0))-100%))*$L$701</f>
        <v>1773.6655999999998</v>
      </c>
      <c r="M725" s="286"/>
      <c r="N725" s="286"/>
      <c r="O725" s="285">
        <v>1351.04</v>
      </c>
      <c r="P725" s="311">
        <f t="shared" si="105"/>
        <v>422.62559999999996</v>
      </c>
      <c r="Q725" s="285"/>
      <c r="R725" s="278"/>
      <c r="S725" s="278"/>
      <c r="T725" s="278"/>
    </row>
    <row r="726" spans="1:20" s="305" customFormat="1" hidden="1" outlineLevel="1" x14ac:dyDescent="0.25">
      <c r="A726" s="278"/>
      <c r="B726" s="279" t="str">
        <f t="shared" si="106"/>
        <v>1500600TB/CMW</v>
      </c>
      <c r="C726" s="278">
        <v>1500</v>
      </c>
      <c r="D726" s="278">
        <v>600</v>
      </c>
      <c r="E726" s="278" t="s">
        <v>946</v>
      </c>
      <c r="F726" s="278"/>
      <c r="G726" s="278" t="s">
        <v>5</v>
      </c>
      <c r="H726" s="290">
        <v>1</v>
      </c>
      <c r="I726" s="280">
        <f t="shared" si="107"/>
        <v>80.62</v>
      </c>
      <c r="J726" s="281">
        <f t="shared" si="108"/>
        <v>91.43</v>
      </c>
      <c r="K726" s="282">
        <f>IF(Notes!$B$9="Domestic",I726, IF(Notes!$B$9="Commercial",J726))*$K$701</f>
        <v>91.43</v>
      </c>
      <c r="L726" s="283">
        <f>(SUM(O726:Q726)+(K726+SUM(M726:Q726))*(INDEX($U$701:$AB$701,MATCH(Notes!$C$16,$U$3:$AB$3,0))-100%))*$L$701</f>
        <v>678.53599999999994</v>
      </c>
      <c r="M726" s="286"/>
      <c r="N726" s="286"/>
      <c r="O726" s="285">
        <v>561.14</v>
      </c>
      <c r="P726" s="311">
        <f t="shared" si="105"/>
        <v>117.396</v>
      </c>
      <c r="Q726" s="285"/>
      <c r="R726" s="278"/>
      <c r="S726" s="278"/>
      <c r="T726" s="278"/>
    </row>
    <row r="727" spans="1:20" s="305" customFormat="1" hidden="1" outlineLevel="1" x14ac:dyDescent="0.25">
      <c r="A727" s="278"/>
      <c r="B727" s="279" t="str">
        <f t="shared" si="106"/>
        <v>1500900TB/CMW</v>
      </c>
      <c r="C727" s="278">
        <v>1500</v>
      </c>
      <c r="D727" s="278">
        <v>900</v>
      </c>
      <c r="E727" s="278" t="s">
        <v>946</v>
      </c>
      <c r="F727" s="278"/>
      <c r="G727" s="278" t="s">
        <v>5</v>
      </c>
      <c r="H727" s="290">
        <v>2</v>
      </c>
      <c r="I727" s="280">
        <f t="shared" si="107"/>
        <v>161.24</v>
      </c>
      <c r="J727" s="281">
        <f t="shared" si="108"/>
        <v>182.86</v>
      </c>
      <c r="K727" s="282">
        <f>IF(Notes!$B$9="Domestic",I727, IF(Notes!$B$9="Commercial",J727))*$K$701</f>
        <v>182.86</v>
      </c>
      <c r="L727" s="283">
        <f>(SUM(O727:Q727)+(K727+SUM(M727:Q727))*(INDEX($U$701:$AB$701,MATCH(Notes!$C$16,$U$3:$AB$3,0))-100%))*$L$701</f>
        <v>1095.684</v>
      </c>
      <c r="M727" s="286"/>
      <c r="N727" s="286"/>
      <c r="O727" s="285">
        <v>919.59</v>
      </c>
      <c r="P727" s="311">
        <f t="shared" si="105"/>
        <v>176.09399999999999</v>
      </c>
      <c r="Q727" s="285"/>
      <c r="R727" s="278"/>
      <c r="S727" s="278"/>
      <c r="T727" s="278"/>
    </row>
    <row r="728" spans="1:20" s="305" customFormat="1" hidden="1" outlineLevel="1" x14ac:dyDescent="0.25">
      <c r="A728" s="278"/>
      <c r="B728" s="279" t="str">
        <f t="shared" si="106"/>
        <v>15001200TB/CMW</v>
      </c>
      <c r="C728" s="278">
        <v>1500</v>
      </c>
      <c r="D728" s="278">
        <v>1200</v>
      </c>
      <c r="E728" s="278" t="s">
        <v>946</v>
      </c>
      <c r="F728" s="278"/>
      <c r="G728" s="278" t="s">
        <v>5</v>
      </c>
      <c r="H728" s="290">
        <v>2</v>
      </c>
      <c r="I728" s="280">
        <f t="shared" si="107"/>
        <v>161.24</v>
      </c>
      <c r="J728" s="281">
        <f t="shared" si="108"/>
        <v>182.86</v>
      </c>
      <c r="K728" s="282">
        <f>IF(Notes!$B$9="Domestic",I728, IF(Notes!$B$9="Commercial",J728))*$K$701</f>
        <v>182.86</v>
      </c>
      <c r="L728" s="283">
        <f>(SUM(O728:Q728)+(K728+SUM(M728:Q728))*(INDEX($U$701:$AB$701,MATCH(Notes!$C$16,$U$3:$AB$3,0))-100%))*$L$701</f>
        <v>1181.742</v>
      </c>
      <c r="M728" s="286"/>
      <c r="N728" s="286"/>
      <c r="O728" s="285">
        <v>946.95</v>
      </c>
      <c r="P728" s="311">
        <f t="shared" si="105"/>
        <v>234.792</v>
      </c>
      <c r="Q728" s="285"/>
      <c r="R728" s="278"/>
      <c r="S728" s="278"/>
      <c r="T728" s="278"/>
    </row>
    <row r="729" spans="1:20" s="305" customFormat="1" hidden="1" outlineLevel="1" x14ac:dyDescent="0.25">
      <c r="A729" s="278"/>
      <c r="B729" s="279" t="str">
        <f t="shared" si="106"/>
        <v>15001500TB/CMW</v>
      </c>
      <c r="C729" s="278">
        <v>1500</v>
      </c>
      <c r="D729" s="278">
        <v>1500</v>
      </c>
      <c r="E729" s="278" t="s">
        <v>946</v>
      </c>
      <c r="F729" s="278"/>
      <c r="G729" s="278" t="s">
        <v>5</v>
      </c>
      <c r="H729" s="290">
        <v>3</v>
      </c>
      <c r="I729" s="280">
        <f t="shared" si="107"/>
        <v>241.86</v>
      </c>
      <c r="J729" s="281">
        <f t="shared" si="108"/>
        <v>274.29000000000002</v>
      </c>
      <c r="K729" s="282">
        <f>IF(Notes!$B$9="Domestic",I729, IF(Notes!$B$9="Commercial",J729))*$K$701</f>
        <v>274.29000000000002</v>
      </c>
      <c r="L729" s="283">
        <f>(SUM(O729:Q729)+(K729+SUM(M729:Q729))*(INDEX($U$701:$AB$701,MATCH(Notes!$C$16,$U$3:$AB$3,0))-100%))*$L$701</f>
        <v>1268.06</v>
      </c>
      <c r="M729" s="286"/>
      <c r="N729" s="286"/>
      <c r="O729" s="285">
        <v>974.57</v>
      </c>
      <c r="P729" s="311">
        <f t="shared" si="105"/>
        <v>293.49</v>
      </c>
      <c r="Q729" s="285"/>
      <c r="R729" s="278"/>
      <c r="S729" s="278"/>
      <c r="T729" s="278"/>
    </row>
    <row r="730" spans="1:20" s="305" customFormat="1" hidden="1" outlineLevel="1" x14ac:dyDescent="0.25">
      <c r="A730" s="278"/>
      <c r="B730" s="279" t="str">
        <f t="shared" si="106"/>
        <v>15001800TB/CMW</v>
      </c>
      <c r="C730" s="278">
        <v>1500</v>
      </c>
      <c r="D730" s="278">
        <v>1800</v>
      </c>
      <c r="E730" s="278" t="s">
        <v>946</v>
      </c>
      <c r="F730" s="278"/>
      <c r="G730" s="278" t="s">
        <v>5</v>
      </c>
      <c r="H730" s="290">
        <v>3</v>
      </c>
      <c r="I730" s="280">
        <f t="shared" si="107"/>
        <v>241.86</v>
      </c>
      <c r="J730" s="281">
        <f t="shared" si="108"/>
        <v>274.29000000000002</v>
      </c>
      <c r="K730" s="282">
        <f>IF(Notes!$B$9="Domestic",I730, IF(Notes!$B$9="Commercial",J730))*$K$701</f>
        <v>274.29000000000002</v>
      </c>
      <c r="L730" s="283">
        <f>(SUM(O730:Q730)+(K730+SUM(M730:Q730))*(INDEX($U$701:$AB$701,MATCH(Notes!$C$16,$U$3:$AB$3,0))-100%))*$L$701</f>
        <v>1342.1579999999999</v>
      </c>
      <c r="M730" s="286"/>
      <c r="N730" s="286"/>
      <c r="O730" s="285">
        <v>989.97</v>
      </c>
      <c r="P730" s="311">
        <f t="shared" si="105"/>
        <v>352.18799999999999</v>
      </c>
      <c r="Q730" s="285"/>
      <c r="R730" s="278"/>
      <c r="S730" s="278"/>
      <c r="T730" s="278"/>
    </row>
    <row r="731" spans="1:20" s="305" customFormat="1" hidden="1" outlineLevel="1" x14ac:dyDescent="0.25">
      <c r="A731" s="278"/>
      <c r="B731" s="279" t="str">
        <f t="shared" si="106"/>
        <v>15002100TB/CMW</v>
      </c>
      <c r="C731" s="278">
        <v>1500</v>
      </c>
      <c r="D731" s="278">
        <v>2100</v>
      </c>
      <c r="E731" s="278" t="s">
        <v>946</v>
      </c>
      <c r="F731" s="278"/>
      <c r="G731" s="278" t="s">
        <v>5</v>
      </c>
      <c r="H731" s="290">
        <v>4</v>
      </c>
      <c r="I731" s="280">
        <f t="shared" si="107"/>
        <v>322.48</v>
      </c>
      <c r="J731" s="281">
        <f t="shared" si="108"/>
        <v>365.72</v>
      </c>
      <c r="K731" s="282">
        <f>IF(Notes!$B$9="Domestic",I731, IF(Notes!$B$9="Commercial",J731))*$K$701</f>
        <v>365.72</v>
      </c>
      <c r="L731" s="283">
        <f>(SUM(O731:Q731)+(K731+SUM(M731:Q731))*(INDEX($U$701:$AB$701,MATCH(Notes!$C$16,$U$3:$AB$3,0))-100%))*$L$701</f>
        <v>1822.7860000000001</v>
      </c>
      <c r="M731" s="286"/>
      <c r="N731" s="286"/>
      <c r="O731" s="285">
        <v>1411.9</v>
      </c>
      <c r="P731" s="311">
        <f t="shared" si="105"/>
        <v>410.88600000000002</v>
      </c>
      <c r="Q731" s="285"/>
      <c r="R731" s="278"/>
      <c r="S731" s="278"/>
      <c r="T731" s="278"/>
    </row>
    <row r="732" spans="1:20" s="305" customFormat="1" hidden="1" outlineLevel="1" x14ac:dyDescent="0.25">
      <c r="A732" s="278"/>
      <c r="B732" s="279" t="str">
        <f t="shared" si="106"/>
        <v>15002400TB/CMW</v>
      </c>
      <c r="C732" s="278">
        <v>1500</v>
      </c>
      <c r="D732" s="278">
        <v>2400</v>
      </c>
      <c r="E732" s="278" t="s">
        <v>946</v>
      </c>
      <c r="F732" s="278"/>
      <c r="G732" s="278" t="s">
        <v>5</v>
      </c>
      <c r="H732" s="290">
        <v>4</v>
      </c>
      <c r="I732" s="280">
        <f t="shared" si="107"/>
        <v>322.48</v>
      </c>
      <c r="J732" s="281">
        <f t="shared" si="108"/>
        <v>365.72</v>
      </c>
      <c r="K732" s="282">
        <f>IF(Notes!$B$9="Domestic",I732, IF(Notes!$B$9="Commercial",J732))*$K$701</f>
        <v>365.72</v>
      </c>
      <c r="L732" s="283">
        <f>(SUM(O732:Q732)+(K732+SUM(M732:Q732))*(INDEX($U$701:$AB$701,MATCH(Notes!$C$16,$U$3:$AB$3,0))-100%))*$L$701</f>
        <v>1945.394</v>
      </c>
      <c r="M732" s="286"/>
      <c r="N732" s="286"/>
      <c r="O732" s="285">
        <v>1475.81</v>
      </c>
      <c r="P732" s="311">
        <f t="shared" si="105"/>
        <v>469.584</v>
      </c>
      <c r="Q732" s="285"/>
      <c r="R732" s="278"/>
      <c r="S732" s="278"/>
      <c r="T732" s="278"/>
    </row>
    <row r="733" spans="1:20" s="305" customFormat="1" hidden="1" outlineLevel="1" x14ac:dyDescent="0.25">
      <c r="A733" s="278"/>
      <c r="B733" s="279" t="str">
        <f t="shared" si="106"/>
        <v>15002700TB/CMW</v>
      </c>
      <c r="C733" s="278">
        <v>1500</v>
      </c>
      <c r="D733" s="278">
        <v>2700</v>
      </c>
      <c r="E733" s="278" t="s">
        <v>946</v>
      </c>
      <c r="F733" s="278"/>
      <c r="G733" s="278" t="s">
        <v>5</v>
      </c>
      <c r="H733" s="290">
        <v>5</v>
      </c>
      <c r="I733" s="280">
        <f t="shared" si="107"/>
        <v>403.1</v>
      </c>
      <c r="J733" s="281">
        <f t="shared" si="108"/>
        <v>457.15000000000003</v>
      </c>
      <c r="K733" s="282">
        <f>IF(Notes!$B$9="Domestic",I733, IF(Notes!$B$9="Commercial",J733))*$K$701</f>
        <v>457.15000000000003</v>
      </c>
      <c r="L733" s="283">
        <f>(SUM(O733:Q733)+(K733+SUM(M733:Q733))*(INDEX($U$701:$AB$701,MATCH(Notes!$C$16,$U$3:$AB$3,0))-100%))*$L$701</f>
        <v>2037.5419999999999</v>
      </c>
      <c r="M733" s="286"/>
      <c r="N733" s="286"/>
      <c r="O733" s="285">
        <v>1509.26</v>
      </c>
      <c r="P733" s="311">
        <f t="shared" si="105"/>
        <v>528.28200000000004</v>
      </c>
      <c r="Q733" s="285"/>
      <c r="R733" s="278"/>
      <c r="S733" s="278"/>
      <c r="T733" s="278"/>
    </row>
    <row r="734" spans="1:20" s="305" customFormat="1" hidden="1" outlineLevel="1" x14ac:dyDescent="0.25">
      <c r="A734" s="278"/>
      <c r="B734" s="279" t="str">
        <f t="shared" si="106"/>
        <v>1800600TB/CMW</v>
      </c>
      <c r="C734" s="278">
        <v>1800</v>
      </c>
      <c r="D734" s="278">
        <v>600</v>
      </c>
      <c r="E734" s="278" t="s">
        <v>946</v>
      </c>
      <c r="F734" s="278"/>
      <c r="G734" s="278" t="s">
        <v>5</v>
      </c>
      <c r="H734" s="290">
        <v>1</v>
      </c>
      <c r="I734" s="280">
        <f t="shared" si="107"/>
        <v>80.62</v>
      </c>
      <c r="J734" s="281">
        <f t="shared" si="108"/>
        <v>91.43</v>
      </c>
      <c r="K734" s="282">
        <f>IF(Notes!$B$9="Domestic",I734, IF(Notes!$B$9="Commercial",J734))*$K$701</f>
        <v>91.43</v>
      </c>
      <c r="L734" s="283">
        <f>(SUM(O734:Q734)+(K734+SUM(M734:Q734))*(INDEX($U$701:$AB$701,MATCH(Notes!$C$16,$U$3:$AB$3,0))-100%))*$L$701</f>
        <v>782.19520000000011</v>
      </c>
      <c r="M734" s="286"/>
      <c r="N734" s="286"/>
      <c r="O734" s="285">
        <v>641.32000000000005</v>
      </c>
      <c r="P734" s="311">
        <f t="shared" si="105"/>
        <v>140.87520000000001</v>
      </c>
      <c r="Q734" s="285"/>
      <c r="R734" s="278"/>
      <c r="S734" s="278"/>
      <c r="T734" s="278"/>
    </row>
    <row r="735" spans="1:20" s="305" customFormat="1" hidden="1" outlineLevel="1" x14ac:dyDescent="0.25">
      <c r="A735" s="278"/>
      <c r="B735" s="279" t="str">
        <f t="shared" si="106"/>
        <v>1800900TB/CMW</v>
      </c>
      <c r="C735" s="278">
        <v>1800</v>
      </c>
      <c r="D735" s="278">
        <v>900</v>
      </c>
      <c r="E735" s="278" t="s">
        <v>946</v>
      </c>
      <c r="F735" s="278"/>
      <c r="G735" s="278" t="s">
        <v>5</v>
      </c>
      <c r="H735" s="290">
        <v>2</v>
      </c>
      <c r="I735" s="280">
        <f t="shared" si="107"/>
        <v>161.24</v>
      </c>
      <c r="J735" s="281">
        <f t="shared" si="108"/>
        <v>182.86</v>
      </c>
      <c r="K735" s="282">
        <f>IF(Notes!$B$9="Domestic",I735, IF(Notes!$B$9="Commercial",J735))*$K$701</f>
        <v>182.86</v>
      </c>
      <c r="L735" s="283">
        <f>(SUM(O735:Q735)+(K735+SUM(M735:Q735))*(INDEX($U$701:$AB$701,MATCH(Notes!$C$16,$U$3:$AB$3,0))-100%))*$L$701</f>
        <v>1083.7428</v>
      </c>
      <c r="M735" s="286"/>
      <c r="N735" s="286"/>
      <c r="O735" s="285">
        <v>872.43</v>
      </c>
      <c r="P735" s="311">
        <f t="shared" si="105"/>
        <v>211.31279999999998</v>
      </c>
      <c r="Q735" s="285"/>
      <c r="R735" s="278"/>
      <c r="S735" s="278"/>
      <c r="T735" s="278"/>
    </row>
    <row r="736" spans="1:20" s="305" customFormat="1" hidden="1" outlineLevel="1" x14ac:dyDescent="0.25">
      <c r="A736" s="278"/>
      <c r="B736" s="279" t="str">
        <f t="shared" si="106"/>
        <v>18001200TB/CMW</v>
      </c>
      <c r="C736" s="278">
        <v>1800</v>
      </c>
      <c r="D736" s="278">
        <v>1200</v>
      </c>
      <c r="E736" s="278" t="s">
        <v>946</v>
      </c>
      <c r="F736" s="278"/>
      <c r="G736" s="278" t="s">
        <v>5</v>
      </c>
      <c r="H736" s="290">
        <v>3</v>
      </c>
      <c r="I736" s="280">
        <f t="shared" si="107"/>
        <v>241.86</v>
      </c>
      <c r="J736" s="281">
        <f t="shared" si="108"/>
        <v>274.29000000000002</v>
      </c>
      <c r="K736" s="282">
        <f>IF(Notes!$B$9="Domestic",I736, IF(Notes!$B$9="Commercial",J736))*$K$701</f>
        <v>274.29000000000002</v>
      </c>
      <c r="L736" s="283">
        <f>(SUM(O736:Q736)+(K736+SUM(M736:Q736))*(INDEX($U$701:$AB$701,MATCH(Notes!$C$16,$U$3:$AB$3,0))-100%))*$L$701</f>
        <v>1205.6204</v>
      </c>
      <c r="M736" s="286"/>
      <c r="N736" s="286"/>
      <c r="O736" s="285">
        <v>923.87</v>
      </c>
      <c r="P736" s="311">
        <f t="shared" si="105"/>
        <v>281.75040000000001</v>
      </c>
      <c r="Q736" s="285"/>
      <c r="R736" s="278"/>
      <c r="S736" s="278"/>
      <c r="T736" s="278"/>
    </row>
    <row r="737" spans="1:20" s="305" customFormat="1" hidden="1" outlineLevel="1" x14ac:dyDescent="0.25">
      <c r="A737" s="278"/>
      <c r="B737" s="279" t="str">
        <f t="shared" si="106"/>
        <v>18001500TB/CMW</v>
      </c>
      <c r="C737" s="278">
        <v>1800</v>
      </c>
      <c r="D737" s="278">
        <v>1500</v>
      </c>
      <c r="E737" s="278" t="s">
        <v>946</v>
      </c>
      <c r="F737" s="278"/>
      <c r="G737" s="278" t="s">
        <v>5</v>
      </c>
      <c r="H737" s="290">
        <v>3</v>
      </c>
      <c r="I737" s="280">
        <f t="shared" si="107"/>
        <v>241.86</v>
      </c>
      <c r="J737" s="281">
        <f t="shared" si="108"/>
        <v>274.29000000000002</v>
      </c>
      <c r="K737" s="282">
        <f>IF(Notes!$B$9="Domestic",I737, IF(Notes!$B$9="Commercial",J737))*$K$701</f>
        <v>274.29000000000002</v>
      </c>
      <c r="L737" s="283">
        <f>(SUM(O737:Q737)+(K737+SUM(M737:Q737))*(INDEX($U$701:$AB$701,MATCH(Notes!$C$16,$U$3:$AB$3,0))-100%))*$L$701</f>
        <v>1327.828</v>
      </c>
      <c r="M737" s="286"/>
      <c r="N737" s="286"/>
      <c r="O737" s="285">
        <v>975.64</v>
      </c>
      <c r="P737" s="311">
        <f t="shared" si="105"/>
        <v>352.18799999999999</v>
      </c>
      <c r="Q737" s="285"/>
      <c r="R737" s="278"/>
      <c r="S737" s="278"/>
      <c r="T737" s="278"/>
    </row>
    <row r="738" spans="1:20" s="305" customFormat="1" hidden="1" outlineLevel="1" x14ac:dyDescent="0.25">
      <c r="A738" s="278"/>
      <c r="B738" s="279" t="str">
        <f t="shared" si="106"/>
        <v>18001800TB/CMW</v>
      </c>
      <c r="C738" s="278">
        <v>1800</v>
      </c>
      <c r="D738" s="278">
        <v>1800</v>
      </c>
      <c r="E738" s="278" t="s">
        <v>946</v>
      </c>
      <c r="F738" s="278"/>
      <c r="G738" s="278" t="s">
        <v>5</v>
      </c>
      <c r="H738" s="290">
        <v>4</v>
      </c>
      <c r="I738" s="280">
        <f t="shared" si="107"/>
        <v>322.48</v>
      </c>
      <c r="J738" s="281">
        <f t="shared" si="108"/>
        <v>365.72</v>
      </c>
      <c r="K738" s="282">
        <f>IF(Notes!$B$9="Domestic",I738, IF(Notes!$B$9="Commercial",J738))*$K$701</f>
        <v>365.72</v>
      </c>
      <c r="L738" s="283">
        <f>(SUM(O738:Q738)+(K738+SUM(M738:Q738))*(INDEX($U$701:$AB$701,MATCH(Notes!$C$16,$U$3:$AB$3,0))-100%))*$L$701</f>
        <v>1425.8355999999999</v>
      </c>
      <c r="M738" s="286"/>
      <c r="N738" s="286"/>
      <c r="O738" s="285">
        <v>1003.21</v>
      </c>
      <c r="P738" s="311">
        <f t="shared" si="105"/>
        <v>422.62559999999996</v>
      </c>
      <c r="Q738" s="285"/>
      <c r="R738" s="278"/>
      <c r="S738" s="278"/>
      <c r="T738" s="278"/>
    </row>
    <row r="739" spans="1:20" s="305" customFormat="1" hidden="1" outlineLevel="1" x14ac:dyDescent="0.25">
      <c r="A739" s="278"/>
      <c r="B739" s="279" t="str">
        <f t="shared" si="106"/>
        <v>18002100TB/CMW</v>
      </c>
      <c r="C739" s="278">
        <v>1800</v>
      </c>
      <c r="D739" s="278">
        <v>2100</v>
      </c>
      <c r="E739" s="278" t="s">
        <v>946</v>
      </c>
      <c r="F739" s="278"/>
      <c r="G739" s="278" t="s">
        <v>5</v>
      </c>
      <c r="H739" s="290">
        <v>4</v>
      </c>
      <c r="I739" s="280">
        <f t="shared" si="107"/>
        <v>322.48</v>
      </c>
      <c r="J739" s="281">
        <f t="shared" si="108"/>
        <v>365.72</v>
      </c>
      <c r="K739" s="282">
        <f>IF(Notes!$B$9="Domestic",I739, IF(Notes!$B$9="Commercial",J739))*$K$701</f>
        <v>365.72</v>
      </c>
      <c r="L739" s="283">
        <f>(SUM(O739:Q739)+(K739+SUM(M739:Q739))*(INDEX($U$701:$AB$701,MATCH(Notes!$C$16,$U$3:$AB$3,0))-100%))*$L$701</f>
        <v>2030.4932000000001</v>
      </c>
      <c r="M739" s="286"/>
      <c r="N739" s="286"/>
      <c r="O739" s="285">
        <v>1537.43</v>
      </c>
      <c r="P739" s="311">
        <f t="shared" si="105"/>
        <v>493.06319999999999</v>
      </c>
      <c r="Q739" s="285"/>
      <c r="R739" s="278"/>
      <c r="S739" s="278"/>
      <c r="T739" s="278"/>
    </row>
    <row r="740" spans="1:20" s="305" customFormat="1" hidden="1" outlineLevel="1" x14ac:dyDescent="0.25">
      <c r="A740" s="278"/>
      <c r="B740" s="279" t="str">
        <f t="shared" si="106"/>
        <v>18002400TB/CMW</v>
      </c>
      <c r="C740" s="278">
        <v>1800</v>
      </c>
      <c r="D740" s="278">
        <v>2400</v>
      </c>
      <c r="E740" s="278" t="s">
        <v>946</v>
      </c>
      <c r="F740" s="278"/>
      <c r="G740" s="278" t="s">
        <v>5</v>
      </c>
      <c r="H740" s="290">
        <v>5</v>
      </c>
      <c r="I740" s="280">
        <f t="shared" si="107"/>
        <v>403.1</v>
      </c>
      <c r="J740" s="281">
        <f t="shared" si="108"/>
        <v>457.15000000000003</v>
      </c>
      <c r="K740" s="282">
        <f>IF(Notes!$B$9="Domestic",I740, IF(Notes!$B$9="Commercial",J740))*$K$701</f>
        <v>457.15000000000003</v>
      </c>
      <c r="L740" s="283">
        <f>(SUM(O740:Q740)+(K740+SUM(M740:Q740))*(INDEX($U$701:$AB$701,MATCH(Notes!$C$16,$U$3:$AB$3,0))-100%))*$L$701</f>
        <v>2233.0508</v>
      </c>
      <c r="M740" s="286"/>
      <c r="N740" s="286"/>
      <c r="O740" s="285">
        <v>1669.55</v>
      </c>
      <c r="P740" s="311">
        <f t="shared" si="105"/>
        <v>563.50080000000003</v>
      </c>
      <c r="Q740" s="285"/>
      <c r="R740" s="278"/>
      <c r="S740" s="278"/>
      <c r="T740" s="278"/>
    </row>
    <row r="741" spans="1:20" s="305" customFormat="1" hidden="1" outlineLevel="1" x14ac:dyDescent="0.25">
      <c r="A741" s="278"/>
      <c r="B741" s="279" t="str">
        <f t="shared" si="106"/>
        <v>18002700TB/CMW</v>
      </c>
      <c r="C741" s="278">
        <v>1800</v>
      </c>
      <c r="D741" s="278">
        <v>2700</v>
      </c>
      <c r="E741" s="278" t="s">
        <v>946</v>
      </c>
      <c r="F741" s="278"/>
      <c r="G741" s="278" t="s">
        <v>5</v>
      </c>
      <c r="H741" s="290">
        <v>5</v>
      </c>
      <c r="I741" s="280">
        <f t="shared" si="107"/>
        <v>403.1</v>
      </c>
      <c r="J741" s="281">
        <f t="shared" si="108"/>
        <v>457.15000000000003</v>
      </c>
      <c r="K741" s="282">
        <f>IF(Notes!$B$9="Domestic",I741, IF(Notes!$B$9="Commercial",J741))*$K$701</f>
        <v>457.15000000000003</v>
      </c>
      <c r="L741" s="283">
        <f>(SUM(O741:Q741)+(K741+SUM(M741:Q741))*(INDEX($U$701:$AB$701,MATCH(Notes!$C$16,$U$3:$AB$3,0))-100%))*$L$701</f>
        <v>2435.8284000000003</v>
      </c>
      <c r="M741" s="286"/>
      <c r="N741" s="286"/>
      <c r="O741" s="285">
        <v>1801.89</v>
      </c>
      <c r="P741" s="311">
        <f t="shared" si="105"/>
        <v>633.9384</v>
      </c>
      <c r="Q741" s="285"/>
      <c r="R741" s="278"/>
      <c r="S741" s="278"/>
      <c r="T741" s="278"/>
    </row>
    <row r="742" spans="1:20" s="305" customFormat="1" hidden="1" outlineLevel="1" x14ac:dyDescent="0.25">
      <c r="A742" s="278"/>
      <c r="B742" s="279" t="str">
        <f t="shared" si="106"/>
        <v>2100600TB/CMW</v>
      </c>
      <c r="C742" s="278">
        <v>2100</v>
      </c>
      <c r="D742" s="278">
        <v>600</v>
      </c>
      <c r="E742" s="278" t="s">
        <v>946</v>
      </c>
      <c r="F742" s="278"/>
      <c r="G742" s="278" t="s">
        <v>5</v>
      </c>
      <c r="H742" s="290">
        <v>2</v>
      </c>
      <c r="I742" s="280">
        <f t="shared" si="107"/>
        <v>161.24</v>
      </c>
      <c r="J742" s="281">
        <f t="shared" si="108"/>
        <v>182.86</v>
      </c>
      <c r="K742" s="282">
        <f>IF(Notes!$B$9="Domestic",I742, IF(Notes!$B$9="Commercial",J742))*$K$701</f>
        <v>182.86</v>
      </c>
      <c r="L742" s="283">
        <f>(SUM(O742:Q742)+(K742+SUM(M742:Q742))*(INDEX($U$701:$AB$701,MATCH(Notes!$C$16,$U$3:$AB$3,0))-100%))*$L$701</f>
        <v>884.00440000000003</v>
      </c>
      <c r="M742" s="286"/>
      <c r="N742" s="286"/>
      <c r="O742" s="285">
        <v>719.65</v>
      </c>
      <c r="P742" s="311">
        <f t="shared" si="105"/>
        <v>164.3544</v>
      </c>
      <c r="Q742" s="285"/>
      <c r="R742" s="278"/>
      <c r="S742" s="278"/>
      <c r="T742" s="278"/>
    </row>
    <row r="743" spans="1:20" s="305" customFormat="1" hidden="1" outlineLevel="1" x14ac:dyDescent="0.25">
      <c r="A743" s="278"/>
      <c r="B743" s="279" t="str">
        <f t="shared" si="106"/>
        <v>2100900TB/CMW</v>
      </c>
      <c r="C743" s="278">
        <v>2100</v>
      </c>
      <c r="D743" s="278">
        <v>900</v>
      </c>
      <c r="E743" s="278" t="s">
        <v>946</v>
      </c>
      <c r="F743" s="278"/>
      <c r="G743" s="278" t="s">
        <v>5</v>
      </c>
      <c r="H743" s="290">
        <v>2</v>
      </c>
      <c r="I743" s="280">
        <f t="shared" si="107"/>
        <v>161.24</v>
      </c>
      <c r="J743" s="281">
        <f t="shared" si="108"/>
        <v>182.86</v>
      </c>
      <c r="K743" s="282">
        <f>IF(Notes!$B$9="Domestic",I743, IF(Notes!$B$9="Commercial",J743))*$K$701</f>
        <v>182.86</v>
      </c>
      <c r="L743" s="283">
        <f>(SUM(O743:Q743)+(K743+SUM(M743:Q743))*(INDEX($U$701:$AB$701,MATCH(Notes!$C$16,$U$3:$AB$3,0))-100%))*$L$701</f>
        <v>1387.3016</v>
      </c>
      <c r="M743" s="286"/>
      <c r="N743" s="286"/>
      <c r="O743" s="285">
        <v>1140.77</v>
      </c>
      <c r="P743" s="311">
        <f t="shared" si="105"/>
        <v>246.53159999999997</v>
      </c>
      <c r="Q743" s="285"/>
      <c r="R743" s="278"/>
      <c r="S743" s="278"/>
      <c r="T743" s="278"/>
    </row>
    <row r="744" spans="1:20" s="305" customFormat="1" hidden="1" outlineLevel="1" x14ac:dyDescent="0.25">
      <c r="A744" s="278"/>
      <c r="B744" s="279" t="str">
        <f t="shared" si="106"/>
        <v>21001200TB/CMW</v>
      </c>
      <c r="C744" s="278">
        <v>2100</v>
      </c>
      <c r="D744" s="278">
        <v>1200</v>
      </c>
      <c r="E744" s="278" t="s">
        <v>946</v>
      </c>
      <c r="F744" s="278"/>
      <c r="G744" s="278" t="s">
        <v>5</v>
      </c>
      <c r="H744" s="290">
        <v>3</v>
      </c>
      <c r="I744" s="280">
        <f t="shared" si="107"/>
        <v>241.86</v>
      </c>
      <c r="J744" s="281">
        <f t="shared" si="108"/>
        <v>274.29000000000002</v>
      </c>
      <c r="K744" s="282">
        <f>IF(Notes!$B$9="Domestic",I744, IF(Notes!$B$9="Commercial",J744))*$K$701</f>
        <v>274.29000000000002</v>
      </c>
      <c r="L744" s="283">
        <f>(SUM(O744:Q744)+(K744+SUM(M744:Q744))*(INDEX($U$701:$AB$701,MATCH(Notes!$C$16,$U$3:$AB$3,0))-100%))*$L$701</f>
        <v>1497.1487999999999</v>
      </c>
      <c r="M744" s="286"/>
      <c r="N744" s="286"/>
      <c r="O744" s="285">
        <v>1168.44</v>
      </c>
      <c r="P744" s="311">
        <f t="shared" si="105"/>
        <v>328.7088</v>
      </c>
      <c r="Q744" s="285"/>
      <c r="R744" s="278"/>
      <c r="S744" s="278"/>
      <c r="T744" s="278"/>
    </row>
    <row r="745" spans="1:20" s="305" customFormat="1" hidden="1" outlineLevel="1" x14ac:dyDescent="0.25">
      <c r="A745" s="278"/>
      <c r="B745" s="279" t="str">
        <f t="shared" si="106"/>
        <v>21001500TB/CMW</v>
      </c>
      <c r="C745" s="278">
        <v>2100</v>
      </c>
      <c r="D745" s="278">
        <v>1500</v>
      </c>
      <c r="E745" s="278" t="s">
        <v>946</v>
      </c>
      <c r="F745" s="278"/>
      <c r="G745" s="278" t="s">
        <v>5</v>
      </c>
      <c r="H745" s="290">
        <v>4</v>
      </c>
      <c r="I745" s="280">
        <f t="shared" si="107"/>
        <v>322.48</v>
      </c>
      <c r="J745" s="281">
        <f t="shared" si="108"/>
        <v>365.72</v>
      </c>
      <c r="K745" s="282">
        <f>IF(Notes!$B$9="Domestic",I745, IF(Notes!$B$9="Commercial",J745))*$K$701</f>
        <v>365.72</v>
      </c>
      <c r="L745" s="283">
        <f>(SUM(O745:Q745)+(K745+SUM(M745:Q745))*(INDEX($U$701:$AB$701,MATCH(Notes!$C$16,$U$3:$AB$3,0))-100%))*$L$701</f>
        <v>1631.576</v>
      </c>
      <c r="M745" s="286"/>
      <c r="N745" s="286"/>
      <c r="O745" s="285">
        <v>1220.69</v>
      </c>
      <c r="P745" s="311">
        <f t="shared" si="105"/>
        <v>410.88599999999997</v>
      </c>
      <c r="Q745" s="285"/>
      <c r="R745" s="278"/>
      <c r="S745" s="278"/>
      <c r="T745" s="278"/>
    </row>
    <row r="746" spans="1:20" s="305" customFormat="1" hidden="1" outlineLevel="1" x14ac:dyDescent="0.25">
      <c r="A746" s="278"/>
      <c r="B746" s="279" t="str">
        <f t="shared" si="106"/>
        <v>21001800TB/CMW</v>
      </c>
      <c r="C746" s="278">
        <v>2100</v>
      </c>
      <c r="D746" s="278">
        <v>1800</v>
      </c>
      <c r="E746" s="278" t="s">
        <v>946</v>
      </c>
      <c r="F746" s="278"/>
      <c r="G746" s="278" t="s">
        <v>5</v>
      </c>
      <c r="H746" s="290">
        <v>4</v>
      </c>
      <c r="I746" s="280">
        <f t="shared" si="107"/>
        <v>322.48</v>
      </c>
      <c r="J746" s="281">
        <f t="shared" si="108"/>
        <v>365.72</v>
      </c>
      <c r="K746" s="282">
        <f>IF(Notes!$B$9="Domestic",I746, IF(Notes!$B$9="Commercial",J746))*$K$701</f>
        <v>365.72</v>
      </c>
      <c r="L746" s="283">
        <f>(SUM(O746:Q746)+(K746+SUM(M746:Q746))*(INDEX($U$701:$AB$701,MATCH(Notes!$C$16,$U$3:$AB$3,0))-100%))*$L$701</f>
        <v>1741.7932000000001</v>
      </c>
      <c r="M746" s="286"/>
      <c r="N746" s="286"/>
      <c r="O746" s="285">
        <v>1248.73</v>
      </c>
      <c r="P746" s="311">
        <f t="shared" si="105"/>
        <v>493.06319999999994</v>
      </c>
      <c r="Q746" s="285"/>
      <c r="R746" s="278"/>
      <c r="S746" s="278"/>
      <c r="T746" s="278"/>
    </row>
    <row r="747" spans="1:20" s="305" customFormat="1" hidden="1" outlineLevel="1" x14ac:dyDescent="0.25">
      <c r="A747" s="278"/>
      <c r="B747" s="279" t="str">
        <f t="shared" si="106"/>
        <v>21002100TB/CMW</v>
      </c>
      <c r="C747" s="278">
        <v>2100</v>
      </c>
      <c r="D747" s="278">
        <v>2100</v>
      </c>
      <c r="E747" s="278" t="s">
        <v>946</v>
      </c>
      <c r="F747" s="278"/>
      <c r="G747" s="278" t="s">
        <v>5</v>
      </c>
      <c r="H747" s="290">
        <v>5</v>
      </c>
      <c r="I747" s="280">
        <f t="shared" si="107"/>
        <v>403.1</v>
      </c>
      <c r="J747" s="281">
        <f t="shared" si="108"/>
        <v>457.15000000000003</v>
      </c>
      <c r="K747" s="282">
        <f>IF(Notes!$B$9="Domestic",I747, IF(Notes!$B$9="Commercial",J747))*$K$701</f>
        <v>457.15000000000003</v>
      </c>
      <c r="L747" s="283">
        <f>(SUM(O747:Q747)+(K747+SUM(M747:Q747))*(INDEX($U$701:$AB$701,MATCH(Notes!$C$16,$U$3:$AB$3,0))-100%))*$L$701</f>
        <v>2310.1704</v>
      </c>
      <c r="M747" s="286"/>
      <c r="N747" s="286"/>
      <c r="O747" s="285">
        <v>1734.93</v>
      </c>
      <c r="P747" s="311">
        <f t="shared" si="105"/>
        <v>575.24039999999991</v>
      </c>
      <c r="Q747" s="285"/>
      <c r="R747" s="278"/>
      <c r="S747" s="278"/>
      <c r="T747" s="278"/>
    </row>
    <row r="748" spans="1:20" s="305" customFormat="1" hidden="1" outlineLevel="1" x14ac:dyDescent="0.25">
      <c r="A748" s="278"/>
      <c r="B748" s="279" t="str">
        <f t="shared" si="106"/>
        <v>21002400TB/CMW</v>
      </c>
      <c r="C748" s="278">
        <v>2100</v>
      </c>
      <c r="D748" s="278">
        <v>2400</v>
      </c>
      <c r="E748" s="278" t="s">
        <v>946</v>
      </c>
      <c r="F748" s="278"/>
      <c r="G748" s="278" t="s">
        <v>5</v>
      </c>
      <c r="H748" s="290">
        <v>5</v>
      </c>
      <c r="I748" s="280">
        <f t="shared" si="107"/>
        <v>403.1</v>
      </c>
      <c r="J748" s="281">
        <f t="shared" si="108"/>
        <v>457.15000000000003</v>
      </c>
      <c r="K748" s="282">
        <f>IF(Notes!$B$9="Domestic",I748, IF(Notes!$B$9="Commercial",J748))*$K$701</f>
        <v>457.15000000000003</v>
      </c>
      <c r="L748" s="283">
        <f>(SUM(O748:Q748)+(K748+SUM(M748:Q748))*(INDEX($U$701:$AB$701,MATCH(Notes!$C$16,$U$3:$AB$3,0))-100%))*$L$701</f>
        <v>2654.0576000000001</v>
      </c>
      <c r="M748" s="286"/>
      <c r="N748" s="286"/>
      <c r="O748" s="285">
        <v>1996.64</v>
      </c>
      <c r="P748" s="311">
        <f t="shared" si="105"/>
        <v>657.41759999999999</v>
      </c>
      <c r="Q748" s="285"/>
      <c r="R748" s="278"/>
      <c r="S748" s="278"/>
      <c r="T748" s="278"/>
    </row>
    <row r="749" spans="1:20" s="305" customFormat="1" hidden="1" outlineLevel="1" x14ac:dyDescent="0.25">
      <c r="A749" s="278"/>
      <c r="B749" s="279" t="str">
        <f t="shared" si="106"/>
        <v>21002700TB/CMW</v>
      </c>
      <c r="C749" s="278">
        <v>2100</v>
      </c>
      <c r="D749" s="278">
        <v>2700</v>
      </c>
      <c r="E749" s="278" t="s">
        <v>946</v>
      </c>
      <c r="F749" s="278"/>
      <c r="G749" s="278" t="s">
        <v>5</v>
      </c>
      <c r="H749" s="290">
        <v>6</v>
      </c>
      <c r="I749" s="280">
        <f t="shared" si="107"/>
        <v>483.72</v>
      </c>
      <c r="J749" s="281">
        <f t="shared" si="108"/>
        <v>548.58000000000004</v>
      </c>
      <c r="K749" s="282">
        <f>IF(Notes!$B$9="Domestic",I749, IF(Notes!$B$9="Commercial",J749))*$K$701</f>
        <v>548.58000000000004</v>
      </c>
      <c r="L749" s="283">
        <f>(SUM(O749:Q749)+(K749+SUM(M749:Q749))*(INDEX($U$701:$AB$701,MATCH(Notes!$C$16,$U$3:$AB$3,0))-100%))*$L$701</f>
        <v>2804.4847999999997</v>
      </c>
      <c r="M749" s="286"/>
      <c r="N749" s="286"/>
      <c r="O749" s="285">
        <v>2064.89</v>
      </c>
      <c r="P749" s="311">
        <f t="shared" si="105"/>
        <v>739.59479999999996</v>
      </c>
      <c r="Q749" s="285"/>
      <c r="R749" s="278"/>
      <c r="S749" s="278"/>
      <c r="T749" s="278"/>
    </row>
    <row r="750" spans="1:20" s="305" customFormat="1" hidden="1" outlineLevel="1" x14ac:dyDescent="0.25">
      <c r="A750" s="278"/>
      <c r="B750" s="279" t="str">
        <f t="shared" si="106"/>
        <v>2400600TB/CMW</v>
      </c>
      <c r="C750" s="278">
        <v>2400</v>
      </c>
      <c r="D750" s="278">
        <v>600</v>
      </c>
      <c r="E750" s="278" t="s">
        <v>946</v>
      </c>
      <c r="F750" s="278"/>
      <c r="G750" s="278" t="s">
        <v>5</v>
      </c>
      <c r="H750" s="290">
        <v>2</v>
      </c>
      <c r="I750" s="280">
        <f t="shared" si="107"/>
        <v>161.24</v>
      </c>
      <c r="J750" s="281">
        <f t="shared" si="108"/>
        <v>182.86</v>
      </c>
      <c r="K750" s="282">
        <f>IF(Notes!$B$9="Domestic",I750, IF(Notes!$B$9="Commercial",J750))*$K$701</f>
        <v>182.86</v>
      </c>
      <c r="L750" s="283">
        <f>(SUM(O750:Q750)+(K750+SUM(M750:Q750))*(INDEX($U$701:$AB$701,MATCH(Notes!$C$16,$U$3:$AB$3,0))-100%))*$L$701</f>
        <v>1098.8835999999999</v>
      </c>
      <c r="M750" s="286"/>
      <c r="N750" s="286"/>
      <c r="O750" s="311">
        <f>O708</f>
        <v>911.05</v>
      </c>
      <c r="P750" s="311">
        <f t="shared" si="105"/>
        <v>187.83359999999999</v>
      </c>
      <c r="Q750" s="285"/>
      <c r="R750" s="278"/>
      <c r="S750" s="278"/>
      <c r="T750" s="278"/>
    </row>
    <row r="751" spans="1:20" s="305" customFormat="1" hidden="1" outlineLevel="1" x14ac:dyDescent="0.25">
      <c r="A751" s="278"/>
      <c r="B751" s="279" t="str">
        <f t="shared" si="106"/>
        <v>2400900TB/CMW</v>
      </c>
      <c r="C751" s="278">
        <v>2400</v>
      </c>
      <c r="D751" s="278">
        <v>900</v>
      </c>
      <c r="E751" s="278" t="s">
        <v>946</v>
      </c>
      <c r="F751" s="278"/>
      <c r="G751" s="278" t="s">
        <v>5</v>
      </c>
      <c r="H751" s="290">
        <v>4</v>
      </c>
      <c r="I751" s="280">
        <f t="shared" si="107"/>
        <v>322.48</v>
      </c>
      <c r="J751" s="281">
        <f t="shared" si="108"/>
        <v>365.72</v>
      </c>
      <c r="K751" s="282">
        <f>IF(Notes!$B$9="Domestic",I751, IF(Notes!$B$9="Commercial",J751))*$K$701</f>
        <v>365.72</v>
      </c>
      <c r="L751" s="283">
        <f>(SUM(O751:Q751)+(K751+SUM(M751:Q751))*(INDEX($U$701:$AB$701,MATCH(Notes!$C$16,$U$3:$AB$3,0))-100%))*$L$701</f>
        <v>1411.9204</v>
      </c>
      <c r="M751" s="286"/>
      <c r="N751" s="286"/>
      <c r="O751" s="311">
        <f>O716</f>
        <v>1130.17</v>
      </c>
      <c r="P751" s="311">
        <f t="shared" si="105"/>
        <v>281.75039999999996</v>
      </c>
      <c r="Q751" s="285"/>
      <c r="R751" s="278"/>
      <c r="S751" s="278"/>
      <c r="T751" s="278"/>
    </row>
    <row r="752" spans="1:20" s="305" customFormat="1" hidden="1" outlineLevel="1" x14ac:dyDescent="0.25">
      <c r="A752" s="278"/>
      <c r="B752" s="279" t="str">
        <f t="shared" si="106"/>
        <v>24001200TB/CMW</v>
      </c>
      <c r="C752" s="278">
        <v>2400</v>
      </c>
      <c r="D752" s="278">
        <v>1200</v>
      </c>
      <c r="E752" s="278" t="s">
        <v>946</v>
      </c>
      <c r="F752" s="278"/>
      <c r="G752" s="278" t="s">
        <v>5</v>
      </c>
      <c r="H752" s="290">
        <v>4</v>
      </c>
      <c r="I752" s="280">
        <f t="shared" si="107"/>
        <v>322.48</v>
      </c>
      <c r="J752" s="281">
        <f t="shared" si="108"/>
        <v>365.72</v>
      </c>
      <c r="K752" s="282">
        <f>IF(Notes!$B$9="Domestic",I752, IF(Notes!$B$9="Commercial",J752))*$K$701</f>
        <v>365.72</v>
      </c>
      <c r="L752" s="283">
        <f>(SUM(O752:Q752)+(K752+SUM(M752:Q752))*(INDEX($U$701:$AB$701,MATCH(Notes!$C$16,$U$3:$AB$3,0))-100%))*$L$701</f>
        <v>1693.7372</v>
      </c>
      <c r="M752" s="286"/>
      <c r="N752" s="286"/>
      <c r="O752" s="311">
        <f>O724</f>
        <v>1318.07</v>
      </c>
      <c r="P752" s="311">
        <f t="shared" si="105"/>
        <v>375.66719999999998</v>
      </c>
      <c r="Q752" s="285"/>
      <c r="R752" s="278"/>
      <c r="S752" s="278"/>
      <c r="T752" s="278"/>
    </row>
    <row r="753" spans="1:28" s="305" customFormat="1" hidden="1" outlineLevel="1" x14ac:dyDescent="0.25">
      <c r="A753" s="278"/>
      <c r="B753" s="279" t="str">
        <f t="shared" si="106"/>
        <v>24001500TB/CMW</v>
      </c>
      <c r="C753" s="278">
        <v>2400</v>
      </c>
      <c r="D753" s="278">
        <v>1500</v>
      </c>
      <c r="E753" s="278" t="s">
        <v>946</v>
      </c>
      <c r="F753" s="278"/>
      <c r="G753" s="278" t="s">
        <v>5</v>
      </c>
      <c r="H753" s="290">
        <v>4</v>
      </c>
      <c r="I753" s="280">
        <f t="shared" si="107"/>
        <v>322.48</v>
      </c>
      <c r="J753" s="281">
        <f t="shared" si="108"/>
        <v>365.72</v>
      </c>
      <c r="K753" s="282">
        <f>IF(Notes!$B$9="Domestic",I753, IF(Notes!$B$9="Commercial",J753))*$K$701</f>
        <v>365.72</v>
      </c>
      <c r="L753" s="283">
        <f>(SUM(O753:Q753)+(K753+SUM(M753:Q753))*(INDEX($U$701:$AB$701,MATCH(Notes!$C$16,$U$3:$AB$3,0))-100%))*$L$701</f>
        <v>1945.394</v>
      </c>
      <c r="M753" s="286"/>
      <c r="N753" s="286"/>
      <c r="O753" s="311">
        <f>O732</f>
        <v>1475.81</v>
      </c>
      <c r="P753" s="311">
        <f t="shared" si="105"/>
        <v>469.584</v>
      </c>
      <c r="Q753" s="285"/>
      <c r="R753" s="278"/>
      <c r="S753" s="278"/>
      <c r="T753" s="278"/>
    </row>
    <row r="754" spans="1:28" s="305" customFormat="1" hidden="1" outlineLevel="1" x14ac:dyDescent="0.25">
      <c r="A754" s="278"/>
      <c r="B754" s="279" t="str">
        <f t="shared" si="106"/>
        <v>24001800TB/CMW</v>
      </c>
      <c r="C754" s="278">
        <v>2400</v>
      </c>
      <c r="D754" s="278">
        <v>1800</v>
      </c>
      <c r="E754" s="278" t="s">
        <v>946</v>
      </c>
      <c r="F754" s="278"/>
      <c r="G754" s="278" t="s">
        <v>5</v>
      </c>
      <c r="H754" s="290">
        <v>5</v>
      </c>
      <c r="I754" s="280">
        <f t="shared" si="107"/>
        <v>403.1</v>
      </c>
      <c r="J754" s="281">
        <f t="shared" si="108"/>
        <v>457.15000000000003</v>
      </c>
      <c r="K754" s="282">
        <f>IF(Notes!$B$9="Domestic",I754, IF(Notes!$B$9="Commercial",J754))*$K$701</f>
        <v>457.15000000000003</v>
      </c>
      <c r="L754" s="283">
        <f>(SUM(O754:Q754)+(K754+SUM(M754:Q754))*(INDEX($U$701:$AB$701,MATCH(Notes!$C$16,$U$3:$AB$3,0))-100%))*$L$701</f>
        <v>2233.0508</v>
      </c>
      <c r="M754" s="286"/>
      <c r="N754" s="286"/>
      <c r="O754" s="311">
        <f>O740</f>
        <v>1669.55</v>
      </c>
      <c r="P754" s="311">
        <f t="shared" si="105"/>
        <v>563.50079999999991</v>
      </c>
      <c r="Q754" s="285"/>
      <c r="R754" s="278"/>
      <c r="S754" s="278"/>
      <c r="T754" s="278"/>
    </row>
    <row r="755" spans="1:28" s="305" customFormat="1" hidden="1" outlineLevel="1" x14ac:dyDescent="0.25">
      <c r="A755" s="278"/>
      <c r="B755" s="279" t="str">
        <f t="shared" si="106"/>
        <v>24002100TB/CMW</v>
      </c>
      <c r="C755" s="278">
        <v>2400</v>
      </c>
      <c r="D755" s="278">
        <v>2100</v>
      </c>
      <c r="E755" s="278" t="s">
        <v>946</v>
      </c>
      <c r="F755" s="278"/>
      <c r="G755" s="278" t="s">
        <v>5</v>
      </c>
      <c r="H755" s="290">
        <v>5</v>
      </c>
      <c r="I755" s="280">
        <f t="shared" si="107"/>
        <v>403.1</v>
      </c>
      <c r="J755" s="281">
        <f t="shared" si="108"/>
        <v>457.15000000000003</v>
      </c>
      <c r="K755" s="282">
        <f>IF(Notes!$B$9="Domestic",I755, IF(Notes!$B$9="Commercial",J755))*$K$701</f>
        <v>457.15000000000003</v>
      </c>
      <c r="L755" s="283">
        <f>(SUM(O755:Q755)+(K755+SUM(M755:Q755))*(INDEX($U$701:$AB$701,MATCH(Notes!$C$16,$U$3:$AB$3,0))-100%))*$L$701</f>
        <v>2654.0576000000001</v>
      </c>
      <c r="M755" s="286"/>
      <c r="N755" s="286"/>
      <c r="O755" s="311">
        <f>O748</f>
        <v>1996.64</v>
      </c>
      <c r="P755" s="311">
        <f t="shared" si="105"/>
        <v>657.41759999999999</v>
      </c>
      <c r="Q755" s="285"/>
      <c r="R755" s="278"/>
      <c r="S755" s="278"/>
      <c r="T755" s="278"/>
    </row>
    <row r="756" spans="1:28" s="305" customFormat="1" hidden="1" outlineLevel="1" x14ac:dyDescent="0.25">
      <c r="A756" s="278"/>
      <c r="B756" s="279" t="str">
        <f t="shared" si="106"/>
        <v>24002400TB/CMW</v>
      </c>
      <c r="C756" s="278">
        <v>2400</v>
      </c>
      <c r="D756" s="278">
        <v>2400</v>
      </c>
      <c r="E756" s="278" t="s">
        <v>946</v>
      </c>
      <c r="F756" s="278"/>
      <c r="G756" s="278" t="s">
        <v>5</v>
      </c>
      <c r="H756" s="290">
        <v>6</v>
      </c>
      <c r="I756" s="280">
        <f t="shared" si="107"/>
        <v>483.72</v>
      </c>
      <c r="J756" s="281">
        <f t="shared" si="108"/>
        <v>548.58000000000004</v>
      </c>
      <c r="K756" s="282">
        <f>IF(Notes!$B$9="Domestic",I756, IF(Notes!$B$9="Commercial",J756))*$K$701</f>
        <v>548.58000000000004</v>
      </c>
      <c r="L756" s="283">
        <f>(SUM(O756:Q756)+(K756+SUM(M756:Q756))*(INDEX($U$701:$AB$701,MATCH(Notes!$C$16,$U$3:$AB$3,0))-100%))*$L$701</f>
        <v>3387.4744000000001</v>
      </c>
      <c r="M756" s="286"/>
      <c r="N756" s="286"/>
      <c r="O756" s="311">
        <f>O724*2</f>
        <v>2636.14</v>
      </c>
      <c r="P756" s="311">
        <f t="shared" si="105"/>
        <v>751.33439999999996</v>
      </c>
      <c r="Q756" s="285"/>
      <c r="R756" s="278"/>
      <c r="S756" s="278"/>
      <c r="T756" s="278"/>
    </row>
    <row r="757" spans="1:28" s="305" customFormat="1" hidden="1" outlineLevel="1" x14ac:dyDescent="0.25">
      <c r="A757" s="278"/>
      <c r="B757" s="279" t="str">
        <f t="shared" si="106"/>
        <v>24002700TB/CMW</v>
      </c>
      <c r="C757" s="278">
        <v>2400</v>
      </c>
      <c r="D757" s="278">
        <v>2700</v>
      </c>
      <c r="E757" s="278" t="s">
        <v>946</v>
      </c>
      <c r="F757" s="278"/>
      <c r="G757" s="278" t="s">
        <v>5</v>
      </c>
      <c r="H757" s="290">
        <v>6</v>
      </c>
      <c r="I757" s="280">
        <f t="shared" si="107"/>
        <v>483.72</v>
      </c>
      <c r="J757" s="281">
        <f t="shared" si="108"/>
        <v>548.58000000000004</v>
      </c>
      <c r="K757" s="282">
        <f>IF(Notes!$B$9="Domestic",I757, IF(Notes!$B$9="Commercial",J757))*$K$701</f>
        <v>548.58000000000004</v>
      </c>
      <c r="L757" s="283">
        <f>(SUM(O757:Q757)+(K757+SUM(M757:Q757))*(INDEX($U$701:$AB$701,MATCH(Notes!$C$16,$U$3:$AB$3,0))-100%))*$L$701</f>
        <v>3547.3311999999996</v>
      </c>
      <c r="M757" s="286"/>
      <c r="N757" s="286"/>
      <c r="O757" s="311">
        <f>O725*2</f>
        <v>2702.08</v>
      </c>
      <c r="P757" s="311">
        <f t="shared" si="105"/>
        <v>845.25119999999993</v>
      </c>
      <c r="Q757" s="285"/>
      <c r="R757" s="278"/>
      <c r="S757" s="278"/>
      <c r="T757" s="278"/>
    </row>
    <row r="758" spans="1:28" s="305" customFormat="1" hidden="1" outlineLevel="1" x14ac:dyDescent="0.25">
      <c r="A758" s="278"/>
      <c r="B758" s="279" t="str">
        <f t="shared" si="106"/>
        <v>2700600TB/CMW</v>
      </c>
      <c r="C758" s="278">
        <v>2700</v>
      </c>
      <c r="D758" s="278">
        <v>600</v>
      </c>
      <c r="E758" s="278" t="s">
        <v>946</v>
      </c>
      <c r="F758" s="278"/>
      <c r="G758" s="278" t="s">
        <v>5</v>
      </c>
      <c r="H758" s="290">
        <v>4</v>
      </c>
      <c r="I758" s="280">
        <f t="shared" si="107"/>
        <v>322.48</v>
      </c>
      <c r="J758" s="281">
        <f t="shared" si="108"/>
        <v>365.72</v>
      </c>
      <c r="K758" s="282">
        <f>IF(Notes!$B$9="Domestic",I758, IF(Notes!$B$9="Commercial",J758))*$K$701</f>
        <v>365.72</v>
      </c>
      <c r="L758" s="283">
        <f>(SUM(O758:Q758)+(K758+SUM(M758:Q758))*(INDEX($U$701:$AB$701,MATCH(Notes!$C$16,$U$3:$AB$3,0))-100%))*$L$701</f>
        <v>1185.0827999999999</v>
      </c>
      <c r="M758" s="286"/>
      <c r="N758" s="286"/>
      <c r="O758" s="311">
        <f>O709</f>
        <v>973.77</v>
      </c>
      <c r="P758" s="311">
        <f t="shared" si="105"/>
        <v>211.31279999999998</v>
      </c>
      <c r="Q758" s="285"/>
      <c r="R758" s="278"/>
      <c r="S758" s="278"/>
      <c r="T758" s="278"/>
    </row>
    <row r="759" spans="1:28" s="305" customFormat="1" hidden="1" outlineLevel="1" x14ac:dyDescent="0.25">
      <c r="A759" s="278"/>
      <c r="B759" s="279" t="str">
        <f t="shared" si="106"/>
        <v>2700900TB/CMW</v>
      </c>
      <c r="C759" s="278">
        <v>2700</v>
      </c>
      <c r="D759" s="278">
        <v>900</v>
      </c>
      <c r="E759" s="278" t="s">
        <v>946</v>
      </c>
      <c r="F759" s="278"/>
      <c r="G759" s="278" t="s">
        <v>5</v>
      </c>
      <c r="H759" s="290">
        <v>4</v>
      </c>
      <c r="I759" s="280">
        <f t="shared" si="107"/>
        <v>322.48</v>
      </c>
      <c r="J759" s="281">
        <f t="shared" si="108"/>
        <v>365.72</v>
      </c>
      <c r="K759" s="282">
        <f>IF(Notes!$B$9="Domestic",I759, IF(Notes!$B$9="Commercial",J759))*$K$701</f>
        <v>365.72</v>
      </c>
      <c r="L759" s="283">
        <f>(SUM(O759:Q759)+(K759+SUM(M759:Q759))*(INDEX($U$701:$AB$701,MATCH(Notes!$C$16,$U$3:$AB$3,0))-100%))*$L$701</f>
        <v>1479.6692</v>
      </c>
      <c r="M759" s="286"/>
      <c r="N759" s="286"/>
      <c r="O759" s="311">
        <f>O717</f>
        <v>1162.7</v>
      </c>
      <c r="P759" s="311">
        <f t="shared" si="105"/>
        <v>316.9692</v>
      </c>
      <c r="Q759" s="285"/>
      <c r="R759" s="278"/>
      <c r="S759" s="278"/>
      <c r="T759" s="278"/>
    </row>
    <row r="760" spans="1:28" s="305" customFormat="1" hidden="1" outlineLevel="1" x14ac:dyDescent="0.25">
      <c r="A760" s="278"/>
      <c r="B760" s="279" t="str">
        <f t="shared" si="106"/>
        <v>27001200TB/CMW</v>
      </c>
      <c r="C760" s="278">
        <v>2700</v>
      </c>
      <c r="D760" s="278">
        <v>1200</v>
      </c>
      <c r="E760" s="278" t="s">
        <v>946</v>
      </c>
      <c r="F760" s="278"/>
      <c r="G760" s="278" t="s">
        <v>5</v>
      </c>
      <c r="H760" s="290">
        <v>4</v>
      </c>
      <c r="I760" s="280">
        <f t="shared" si="107"/>
        <v>322.48</v>
      </c>
      <c r="J760" s="281">
        <f t="shared" si="108"/>
        <v>365.72</v>
      </c>
      <c r="K760" s="282">
        <f>IF(Notes!$B$9="Domestic",I760, IF(Notes!$B$9="Commercial",J760))*$K$701</f>
        <v>365.72</v>
      </c>
      <c r="L760" s="283">
        <f>(SUM(O760:Q760)+(K760+SUM(M760:Q760))*(INDEX($U$701:$AB$701,MATCH(Notes!$C$16,$U$3:$AB$3,0))-100%))*$L$701</f>
        <v>1773.6655999999998</v>
      </c>
      <c r="M760" s="286"/>
      <c r="N760" s="286"/>
      <c r="O760" s="311">
        <f>O725</f>
        <v>1351.04</v>
      </c>
      <c r="P760" s="311">
        <f t="shared" si="105"/>
        <v>422.62559999999996</v>
      </c>
      <c r="Q760" s="285"/>
      <c r="R760" s="278"/>
      <c r="S760" s="278"/>
      <c r="T760" s="278"/>
    </row>
    <row r="761" spans="1:28" s="305" customFormat="1" hidden="1" outlineLevel="1" x14ac:dyDescent="0.25">
      <c r="A761" s="278"/>
      <c r="B761" s="279" t="str">
        <f t="shared" si="106"/>
        <v>27001500TB/CMW</v>
      </c>
      <c r="C761" s="278">
        <v>2700</v>
      </c>
      <c r="D761" s="278">
        <v>1500</v>
      </c>
      <c r="E761" s="278" t="s">
        <v>946</v>
      </c>
      <c r="F761" s="278"/>
      <c r="G761" s="278" t="s">
        <v>5</v>
      </c>
      <c r="H761" s="290">
        <v>5</v>
      </c>
      <c r="I761" s="280">
        <f t="shared" si="107"/>
        <v>403.1</v>
      </c>
      <c r="J761" s="281">
        <f t="shared" si="108"/>
        <v>457.15000000000003</v>
      </c>
      <c r="K761" s="282">
        <f>IF(Notes!$B$9="Domestic",I761, IF(Notes!$B$9="Commercial",J761))*$K$701</f>
        <v>457.15000000000003</v>
      </c>
      <c r="L761" s="283">
        <f>(SUM(O761:Q761)+(K761+SUM(M761:Q761))*(INDEX($U$701:$AB$701,MATCH(Notes!$C$16,$U$3:$AB$3,0))-100%))*$L$701</f>
        <v>2037.5419999999999</v>
      </c>
      <c r="M761" s="286"/>
      <c r="N761" s="286"/>
      <c r="O761" s="311">
        <f>O733</f>
        <v>1509.26</v>
      </c>
      <c r="P761" s="311">
        <f t="shared" si="105"/>
        <v>528.28200000000004</v>
      </c>
      <c r="Q761" s="285"/>
      <c r="R761" s="278"/>
      <c r="S761" s="278"/>
      <c r="T761" s="278"/>
    </row>
    <row r="762" spans="1:28" s="305" customFormat="1" hidden="1" outlineLevel="1" x14ac:dyDescent="0.25">
      <c r="A762" s="278"/>
      <c r="B762" s="279" t="str">
        <f t="shared" si="106"/>
        <v>27001800TB/CMW</v>
      </c>
      <c r="C762" s="278">
        <v>2700</v>
      </c>
      <c r="D762" s="278">
        <v>1800</v>
      </c>
      <c r="E762" s="278" t="s">
        <v>946</v>
      </c>
      <c r="F762" s="278"/>
      <c r="G762" s="278" t="s">
        <v>5</v>
      </c>
      <c r="H762" s="290">
        <v>5</v>
      </c>
      <c r="I762" s="280">
        <f t="shared" si="107"/>
        <v>403.1</v>
      </c>
      <c r="J762" s="281">
        <f t="shared" si="108"/>
        <v>457.15000000000003</v>
      </c>
      <c r="K762" s="282">
        <f>IF(Notes!$B$9="Domestic",I762, IF(Notes!$B$9="Commercial",J762))*$K$701</f>
        <v>457.15000000000003</v>
      </c>
      <c r="L762" s="283">
        <f>(SUM(O762:Q762)+(K762+SUM(M762:Q762))*(INDEX($U$701:$AB$701,MATCH(Notes!$C$16,$U$3:$AB$3,0))-100%))*$L$701</f>
        <v>2435.8284000000003</v>
      </c>
      <c r="M762" s="286"/>
      <c r="N762" s="286"/>
      <c r="O762" s="311">
        <f>O741</f>
        <v>1801.89</v>
      </c>
      <c r="P762" s="311">
        <f t="shared" si="105"/>
        <v>633.9384</v>
      </c>
      <c r="Q762" s="285"/>
      <c r="R762" s="278"/>
      <c r="S762" s="278"/>
      <c r="T762" s="278"/>
    </row>
    <row r="763" spans="1:28" s="305" customFormat="1" hidden="1" outlineLevel="1" x14ac:dyDescent="0.25">
      <c r="A763" s="278"/>
      <c r="B763" s="279" t="str">
        <f t="shared" si="106"/>
        <v>27002100TB/CMW</v>
      </c>
      <c r="C763" s="278">
        <v>2700</v>
      </c>
      <c r="D763" s="278">
        <v>2100</v>
      </c>
      <c r="E763" s="278" t="s">
        <v>946</v>
      </c>
      <c r="F763" s="278"/>
      <c r="G763" s="278" t="s">
        <v>5</v>
      </c>
      <c r="H763" s="290">
        <v>6</v>
      </c>
      <c r="I763" s="280">
        <f t="shared" si="107"/>
        <v>483.72</v>
      </c>
      <c r="J763" s="281">
        <f t="shared" si="108"/>
        <v>548.58000000000004</v>
      </c>
      <c r="K763" s="282">
        <f>IF(Notes!$B$9="Domestic",I763, IF(Notes!$B$9="Commercial",J763))*$K$701</f>
        <v>548.58000000000004</v>
      </c>
      <c r="L763" s="283">
        <f>(SUM(O763:Q763)+(K763+SUM(M763:Q763))*(INDEX($U$701:$AB$701,MATCH(Notes!$C$16,$U$3:$AB$3,0))-100%))*$L$701</f>
        <v>2804.4847999999997</v>
      </c>
      <c r="M763" s="286"/>
      <c r="N763" s="286"/>
      <c r="O763" s="311">
        <f>O749</f>
        <v>2064.89</v>
      </c>
      <c r="P763" s="311">
        <f t="shared" si="105"/>
        <v>739.59479999999996</v>
      </c>
      <c r="Q763" s="285"/>
      <c r="R763" s="278"/>
      <c r="S763" s="278"/>
      <c r="T763" s="278"/>
    </row>
    <row r="764" spans="1:28" s="305" customFormat="1" hidden="1" outlineLevel="1" x14ac:dyDescent="0.25">
      <c r="A764" s="278"/>
      <c r="B764" s="279" t="str">
        <f t="shared" si="106"/>
        <v>27002400TB/CMW</v>
      </c>
      <c r="C764" s="278">
        <v>2700</v>
      </c>
      <c r="D764" s="278">
        <v>2400</v>
      </c>
      <c r="E764" s="278" t="s">
        <v>946</v>
      </c>
      <c r="F764" s="278"/>
      <c r="G764" s="278" t="s">
        <v>5</v>
      </c>
      <c r="H764" s="290">
        <v>6</v>
      </c>
      <c r="I764" s="280">
        <f t="shared" si="107"/>
        <v>483.72</v>
      </c>
      <c r="J764" s="281">
        <f t="shared" si="108"/>
        <v>548.58000000000004</v>
      </c>
      <c r="K764" s="282">
        <f>IF(Notes!$B$9="Domestic",I764, IF(Notes!$B$9="Commercial",J764))*$K$701</f>
        <v>548.58000000000004</v>
      </c>
      <c r="L764" s="283">
        <f>(SUM(O764:Q764)+(K764+SUM(M764:Q764))*(INDEX($U$701:$AB$701,MATCH(Notes!$C$16,$U$3:$AB$3,0))-100%))*$L$701</f>
        <v>3547.3311999999996</v>
      </c>
      <c r="M764" s="286"/>
      <c r="N764" s="286"/>
      <c r="O764" s="311">
        <f>O757</f>
        <v>2702.08</v>
      </c>
      <c r="P764" s="311">
        <f t="shared" si="105"/>
        <v>845.25119999999993</v>
      </c>
      <c r="Q764" s="285"/>
      <c r="R764" s="278"/>
      <c r="S764" s="278"/>
      <c r="T764" s="278"/>
    </row>
    <row r="765" spans="1:28" s="305" customFormat="1" hidden="1" outlineLevel="1" x14ac:dyDescent="0.25">
      <c r="A765" s="278"/>
      <c r="B765" s="279" t="str">
        <f t="shared" si="106"/>
        <v>27002700TB/CMW</v>
      </c>
      <c r="C765" s="278">
        <v>2700</v>
      </c>
      <c r="D765" s="278">
        <v>2700</v>
      </c>
      <c r="E765" s="278" t="s">
        <v>946</v>
      </c>
      <c r="F765" s="278"/>
      <c r="G765" s="278" t="s">
        <v>5</v>
      </c>
      <c r="H765" s="290">
        <v>6</v>
      </c>
      <c r="I765" s="280">
        <f t="shared" si="107"/>
        <v>483.72</v>
      </c>
      <c r="J765" s="281">
        <f t="shared" si="108"/>
        <v>548.58000000000004</v>
      </c>
      <c r="K765" s="282">
        <f>IF(Notes!$B$9="Domestic",I765, IF(Notes!$B$9="Commercial",J765))*$K$701</f>
        <v>548.58000000000004</v>
      </c>
      <c r="L765" s="283">
        <f>(SUM(O765:Q765)+(K765+SUM(M765:Q765))*(INDEX($U$701:$AB$701,MATCH(Notes!$C$16,$U$3:$AB$3,0))-100%))*$L$701</f>
        <v>3969.4276</v>
      </c>
      <c r="M765" s="286"/>
      <c r="N765" s="286"/>
      <c r="O765" s="311">
        <f>O733*2</f>
        <v>3018.52</v>
      </c>
      <c r="P765" s="311">
        <f t="shared" si="105"/>
        <v>950.9076</v>
      </c>
      <c r="Q765" s="285"/>
      <c r="R765" s="278"/>
      <c r="S765" s="278"/>
      <c r="T765" s="278"/>
    </row>
    <row r="766" spans="1:28" ht="21" hidden="1" outlineLevel="1" x14ac:dyDescent="0.25">
      <c r="A766" s="299" t="s">
        <v>937</v>
      </c>
      <c r="B766" s="299"/>
      <c r="C766" s="299"/>
      <c r="D766" s="299"/>
      <c r="E766" s="299"/>
      <c r="F766" s="299"/>
      <c r="G766" s="299"/>
      <c r="H766" s="299"/>
      <c r="I766" s="299"/>
      <c r="J766" s="299"/>
      <c r="K766" s="299"/>
      <c r="L766" s="299"/>
      <c r="M766" s="299"/>
      <c r="N766" s="299"/>
      <c r="O766" s="299"/>
      <c r="P766" s="299"/>
      <c r="Q766" s="299"/>
      <c r="R766" s="299"/>
      <c r="S766" s="299"/>
      <c r="T766" s="299"/>
      <c r="U766" s="299"/>
      <c r="V766" s="299"/>
      <c r="W766" s="299"/>
      <c r="X766" s="299"/>
      <c r="Y766" s="299"/>
      <c r="Z766" s="299"/>
      <c r="AA766" s="299"/>
      <c r="AB766" s="299"/>
    </row>
    <row r="767" spans="1:28" ht="15.75" hidden="1" outlineLevel="1" x14ac:dyDescent="0.25">
      <c r="A767" s="291"/>
      <c r="B767" s="291"/>
      <c r="C767" s="291"/>
      <c r="D767" s="291"/>
      <c r="E767" s="291"/>
      <c r="F767" s="291"/>
      <c r="G767" s="291"/>
      <c r="H767" s="291"/>
      <c r="I767" s="291"/>
      <c r="J767" s="291"/>
      <c r="K767" s="291">
        <f>K$2</f>
        <v>1</v>
      </c>
      <c r="L767" s="291">
        <f>L$2</f>
        <v>1</v>
      </c>
      <c r="M767" s="291"/>
      <c r="N767" s="291"/>
      <c r="O767" s="303"/>
      <c r="P767" s="303"/>
      <c r="Q767" s="303"/>
      <c r="R767" s="291"/>
      <c r="S767" s="291"/>
      <c r="T767" s="291"/>
      <c r="U767" s="291">
        <f>U$2</f>
        <v>0.89965397923875434</v>
      </c>
      <c r="V767" s="291">
        <f>V$2</f>
        <v>1</v>
      </c>
      <c r="W767" s="291">
        <f t="shared" ref="W767:AB767" si="109">W$2</f>
        <v>0.92214532871972321</v>
      </c>
      <c r="X767" s="291">
        <f t="shared" si="109"/>
        <v>0.89965397923875434</v>
      </c>
      <c r="Y767" s="291">
        <f t="shared" si="109"/>
        <v>1.0069204152249136</v>
      </c>
      <c r="Z767" s="291">
        <f t="shared" si="109"/>
        <v>0.856401384083045</v>
      </c>
      <c r="AA767" s="291">
        <f t="shared" si="109"/>
        <v>0.856401384083045</v>
      </c>
      <c r="AB767" s="291">
        <f t="shared" si="109"/>
        <v>1.0121107266435987</v>
      </c>
    </row>
    <row r="768" spans="1:28" s="305" customFormat="1" hidden="1" outlineLevel="1" x14ac:dyDescent="0.25">
      <c r="A768" s="278"/>
      <c r="B768" s="279" t="str">
        <f>C768&amp;D768&amp;E768&amp;F768</f>
        <v>900900TB/BFW</v>
      </c>
      <c r="C768" s="278">
        <v>900</v>
      </c>
      <c r="D768" s="278">
        <v>900</v>
      </c>
      <c r="E768" s="278" t="s">
        <v>947</v>
      </c>
      <c r="F768" s="278"/>
      <c r="G768" s="278" t="s">
        <v>5</v>
      </c>
      <c r="H768" s="290">
        <v>1</v>
      </c>
      <c r="I768" s="280">
        <f>$I$2*H768</f>
        <v>80.62</v>
      </c>
      <c r="J768" s="281">
        <f>$J$2*H768</f>
        <v>91.43</v>
      </c>
      <c r="K768" s="282">
        <f>IF(Notes!$B$9="Domestic",I768, IF(Notes!$B$9="Commercial",J768))*$K$767</f>
        <v>91.43</v>
      </c>
      <c r="L768" s="283">
        <f>(SUM(O768:Q768)+(K768+SUM(M768:Q768))*(INDEX($U$767:$AB$767,MATCH(Notes!$C$16,$U$3:$AB$3,0))-100%))*$L$767</f>
        <v>2086.1664000000001</v>
      </c>
      <c r="M768" s="286"/>
      <c r="N768" s="286"/>
      <c r="O768" s="285">
        <v>1980.51</v>
      </c>
      <c r="P768" s="311">
        <f t="shared" ref="P768:P795" si="110">$P$2*C768/1000*D768/1000</f>
        <v>105.65639999999999</v>
      </c>
      <c r="Q768" s="285"/>
      <c r="R768" s="278">
        <v>900</v>
      </c>
      <c r="S768" s="278">
        <v>900</v>
      </c>
      <c r="T768" s="278" t="s">
        <v>947</v>
      </c>
    </row>
    <row r="769" spans="1:20" s="305" customFormat="1" hidden="1" outlineLevel="1" x14ac:dyDescent="0.25">
      <c r="A769" s="278"/>
      <c r="B769" s="279" t="str">
        <f t="shared" ref="B769:B795" si="111">C769&amp;D769&amp;E769&amp;F769</f>
        <v>9001200TB/BFW</v>
      </c>
      <c r="C769" s="278">
        <v>900</v>
      </c>
      <c r="D769" s="278">
        <v>1200</v>
      </c>
      <c r="E769" s="278" t="s">
        <v>947</v>
      </c>
      <c r="F769" s="278"/>
      <c r="G769" s="278" t="s">
        <v>5</v>
      </c>
      <c r="H769" s="290">
        <v>1</v>
      </c>
      <c r="I769" s="280">
        <f t="shared" ref="I769:I784" si="112">$I$2*H769</f>
        <v>80.62</v>
      </c>
      <c r="J769" s="281">
        <f t="shared" ref="J769:J783" si="113">$J$2*H769</f>
        <v>91.43</v>
      </c>
      <c r="K769" s="282">
        <f>IF(Notes!$B$9="Domestic",I769, IF(Notes!$B$9="Commercial",J769))*$K$767</f>
        <v>91.43</v>
      </c>
      <c r="L769" s="283">
        <f>(SUM(O769:Q769)+(K769+SUM(M769:Q769))*(INDEX($U$767:$AB$767,MATCH(Notes!$C$16,$U$3:$AB$3,0))-100%))*$L$767</f>
        <v>2144.7952</v>
      </c>
      <c r="M769" s="286"/>
      <c r="N769" s="286"/>
      <c r="O769" s="285">
        <v>2003.92</v>
      </c>
      <c r="P769" s="311">
        <f t="shared" si="110"/>
        <v>140.87520000000001</v>
      </c>
      <c r="Q769" s="285"/>
      <c r="R769" s="278">
        <v>1200</v>
      </c>
      <c r="S769" s="278">
        <v>1200</v>
      </c>
      <c r="T769" s="278"/>
    </row>
    <row r="770" spans="1:20" s="305" customFormat="1" hidden="1" outlineLevel="1" x14ac:dyDescent="0.25">
      <c r="A770" s="278"/>
      <c r="B770" s="279" t="str">
        <f t="shared" si="111"/>
        <v>9001500TB/BFW</v>
      </c>
      <c r="C770" s="278">
        <v>900</v>
      </c>
      <c r="D770" s="278">
        <v>1500</v>
      </c>
      <c r="E770" s="278" t="s">
        <v>947</v>
      </c>
      <c r="F770" s="278"/>
      <c r="G770" s="278" t="s">
        <v>5</v>
      </c>
      <c r="H770" s="290">
        <v>2</v>
      </c>
      <c r="I770" s="280">
        <f t="shared" si="112"/>
        <v>161.24</v>
      </c>
      <c r="J770" s="281">
        <f t="shared" si="113"/>
        <v>182.86</v>
      </c>
      <c r="K770" s="282">
        <f>IF(Notes!$B$9="Domestic",I770, IF(Notes!$B$9="Commercial",J770))*$K$767</f>
        <v>182.86</v>
      </c>
      <c r="L770" s="283">
        <f>(SUM(O770:Q770)+(K770+SUM(M770:Q770))*(INDEX($U$767:$AB$767,MATCH(Notes!$C$16,$U$3:$AB$3,0))-100%))*$L$767</f>
        <v>2422.614</v>
      </c>
      <c r="M770" s="286"/>
      <c r="N770" s="286"/>
      <c r="O770" s="285">
        <v>2246.52</v>
      </c>
      <c r="P770" s="311">
        <f>$P$2*C770/1000*D770/1000</f>
        <v>176.09399999999999</v>
      </c>
      <c r="Q770" s="285"/>
      <c r="R770" s="278">
        <v>1500</v>
      </c>
      <c r="S770" s="278">
        <v>1500</v>
      </c>
      <c r="T770" s="278"/>
    </row>
    <row r="771" spans="1:20" s="305" customFormat="1" hidden="1" outlineLevel="1" x14ac:dyDescent="0.25">
      <c r="A771" s="278"/>
      <c r="B771" s="279" t="str">
        <f t="shared" si="111"/>
        <v>9001800TB/BFW</v>
      </c>
      <c r="C771" s="278">
        <v>900</v>
      </c>
      <c r="D771" s="278">
        <v>1800</v>
      </c>
      <c r="E771" s="278" t="s">
        <v>947</v>
      </c>
      <c r="F771" s="278"/>
      <c r="G771" s="278" t="s">
        <v>5</v>
      </c>
      <c r="H771" s="290">
        <v>2</v>
      </c>
      <c r="I771" s="280">
        <f t="shared" si="112"/>
        <v>161.24</v>
      </c>
      <c r="J771" s="281">
        <f t="shared" si="113"/>
        <v>182.86</v>
      </c>
      <c r="K771" s="282">
        <f>IF(Notes!$B$9="Domestic",I771, IF(Notes!$B$9="Commercial",J771))*$K$767</f>
        <v>182.86</v>
      </c>
      <c r="L771" s="283">
        <f>(SUM(O771:Q771)+(K771+SUM(M771:Q771))*(INDEX($U$767:$AB$767,MATCH(Notes!$C$16,$U$3:$AB$3,0))-100%))*$L$767</f>
        <v>2663.8528000000001</v>
      </c>
      <c r="M771" s="286"/>
      <c r="N771" s="286"/>
      <c r="O771" s="285">
        <v>2452.54</v>
      </c>
      <c r="P771" s="311">
        <f t="shared" si="110"/>
        <v>211.31279999999998</v>
      </c>
      <c r="Q771" s="285"/>
      <c r="R771" s="278">
        <v>1800</v>
      </c>
      <c r="S771" s="278">
        <v>1800</v>
      </c>
      <c r="T771" s="278"/>
    </row>
    <row r="772" spans="1:20" s="305" customFormat="1" hidden="1" outlineLevel="1" x14ac:dyDescent="0.25">
      <c r="A772" s="278"/>
      <c r="B772" s="279" t="str">
        <f t="shared" si="111"/>
        <v>9002100TB/BFW</v>
      </c>
      <c r="C772" s="278">
        <v>900</v>
      </c>
      <c r="D772" s="278">
        <v>2100</v>
      </c>
      <c r="E772" s="278" t="s">
        <v>947</v>
      </c>
      <c r="F772" s="278"/>
      <c r="G772" s="278" t="s">
        <v>5</v>
      </c>
      <c r="H772" s="290">
        <v>2</v>
      </c>
      <c r="I772" s="280">
        <f t="shared" si="112"/>
        <v>161.24</v>
      </c>
      <c r="J772" s="281">
        <f t="shared" si="113"/>
        <v>182.86</v>
      </c>
      <c r="K772" s="282">
        <f>IF(Notes!$B$9="Domestic",I772, IF(Notes!$B$9="Commercial",J772))*$K$767</f>
        <v>182.86</v>
      </c>
      <c r="L772" s="283">
        <f>(SUM(O772:Q772)+(K772+SUM(M772:Q772))*(INDEX($U$767:$AB$767,MATCH(Notes!$C$16,$U$3:$AB$3,0))-100%))*$L$767</f>
        <v>3230.3615999999997</v>
      </c>
      <c r="M772" s="286"/>
      <c r="N772" s="286"/>
      <c r="O772" s="285">
        <v>2983.83</v>
      </c>
      <c r="P772" s="311">
        <f t="shared" si="110"/>
        <v>246.5316</v>
      </c>
      <c r="Q772" s="285"/>
      <c r="R772" s="278"/>
      <c r="S772" s="278">
        <v>2100</v>
      </c>
      <c r="T772" s="278"/>
    </row>
    <row r="773" spans="1:20" s="305" customFormat="1" hidden="1" outlineLevel="1" x14ac:dyDescent="0.25">
      <c r="A773" s="278"/>
      <c r="B773" s="279" t="str">
        <f t="shared" si="111"/>
        <v>9002400TB/BFW</v>
      </c>
      <c r="C773" s="278">
        <v>900</v>
      </c>
      <c r="D773" s="278">
        <v>2400</v>
      </c>
      <c r="E773" s="278" t="s">
        <v>947</v>
      </c>
      <c r="F773" s="278"/>
      <c r="G773" s="278" t="s">
        <v>5</v>
      </c>
      <c r="H773" s="290">
        <v>3</v>
      </c>
      <c r="I773" s="280">
        <f t="shared" si="112"/>
        <v>241.86</v>
      </c>
      <c r="J773" s="281">
        <f t="shared" si="113"/>
        <v>274.29000000000002</v>
      </c>
      <c r="K773" s="282">
        <f>IF(Notes!$B$9="Domestic",I773, IF(Notes!$B$9="Commercial",J773))*$K$767</f>
        <v>274.29000000000002</v>
      </c>
      <c r="L773" s="283">
        <f>(SUM(O773:Q773)+(K773+SUM(M773:Q773))*(INDEX($U$767:$AB$767,MATCH(Notes!$C$16,$U$3:$AB$3,0))-100%))*$L$767</f>
        <v>4289.5904</v>
      </c>
      <c r="M773" s="286"/>
      <c r="N773" s="286"/>
      <c r="O773" s="311">
        <f>O769*2</f>
        <v>4007.84</v>
      </c>
      <c r="P773" s="311">
        <f t="shared" si="110"/>
        <v>281.75040000000001</v>
      </c>
      <c r="Q773" s="285"/>
      <c r="R773" s="278"/>
      <c r="S773" s="278">
        <v>2400</v>
      </c>
      <c r="T773" s="278"/>
    </row>
    <row r="774" spans="1:20" s="305" customFormat="1" hidden="1" outlineLevel="1" x14ac:dyDescent="0.25">
      <c r="A774" s="278"/>
      <c r="B774" s="279" t="str">
        <f t="shared" si="111"/>
        <v>9002700TB/BFW</v>
      </c>
      <c r="C774" s="278">
        <v>900</v>
      </c>
      <c r="D774" s="278">
        <v>2700</v>
      </c>
      <c r="E774" s="278" t="s">
        <v>947</v>
      </c>
      <c r="F774" s="278"/>
      <c r="G774" s="278" t="s">
        <v>5</v>
      </c>
      <c r="H774" s="290">
        <v>3</v>
      </c>
      <c r="I774" s="280">
        <f t="shared" si="112"/>
        <v>241.86</v>
      </c>
      <c r="J774" s="281">
        <f t="shared" si="113"/>
        <v>274.29000000000002</v>
      </c>
      <c r="K774" s="282">
        <f>IF(Notes!$B$9="Domestic",I774, IF(Notes!$B$9="Commercial",J774))*$K$767</f>
        <v>274.29000000000002</v>
      </c>
      <c r="L774" s="283">
        <f>(SUM(O774:Q774)+(K774+SUM(M774:Q774))*(INDEX($U$767:$AB$767,MATCH(Notes!$C$16,$U$3:$AB$3,0))-100%))*$L$767</f>
        <v>4810.0092000000004</v>
      </c>
      <c r="M774" s="286"/>
      <c r="N774" s="286"/>
      <c r="O774" s="311">
        <f>O770*2</f>
        <v>4493.04</v>
      </c>
      <c r="P774" s="311">
        <f t="shared" si="110"/>
        <v>316.9692</v>
      </c>
      <c r="Q774" s="285"/>
      <c r="R774" s="278"/>
      <c r="S774" s="278">
        <v>2700</v>
      </c>
      <c r="T774" s="278"/>
    </row>
    <row r="775" spans="1:20" s="305" customFormat="1" hidden="1" outlineLevel="1" x14ac:dyDescent="0.25">
      <c r="A775" s="278"/>
      <c r="B775" s="279" t="str">
        <f t="shared" si="111"/>
        <v>1200900TB/BFW</v>
      </c>
      <c r="C775" s="278">
        <v>1200</v>
      </c>
      <c r="D775" s="278">
        <v>900</v>
      </c>
      <c r="E775" s="278" t="s">
        <v>947</v>
      </c>
      <c r="F775" s="278"/>
      <c r="G775" s="278" t="s">
        <v>5</v>
      </c>
      <c r="H775" s="290">
        <v>1</v>
      </c>
      <c r="I775" s="280">
        <f t="shared" si="112"/>
        <v>80.62</v>
      </c>
      <c r="J775" s="281">
        <f t="shared" si="113"/>
        <v>91.43</v>
      </c>
      <c r="K775" s="282">
        <f>IF(Notes!$B$9="Domestic",I775, IF(Notes!$B$9="Commercial",J775))*$K$767</f>
        <v>91.43</v>
      </c>
      <c r="L775" s="283">
        <f>(SUM(O775:Q775)+(K775+SUM(M775:Q775))*(INDEX($U$767:$AB$767,MATCH(Notes!$C$16,$U$3:$AB$3,0))-100%))*$L$767</f>
        <v>2166.8152</v>
      </c>
      <c r="M775" s="286"/>
      <c r="N775" s="286"/>
      <c r="O775" s="285">
        <v>2025.94</v>
      </c>
      <c r="P775" s="311">
        <f t="shared" si="110"/>
        <v>140.87519999999998</v>
      </c>
      <c r="Q775" s="285"/>
      <c r="R775" s="278"/>
      <c r="S775" s="278"/>
      <c r="T775" s="278"/>
    </row>
    <row r="776" spans="1:20" s="305" customFormat="1" hidden="1" outlineLevel="1" x14ac:dyDescent="0.25">
      <c r="A776" s="278"/>
      <c r="B776" s="279" t="str">
        <f t="shared" si="111"/>
        <v>12001200TB/BFW</v>
      </c>
      <c r="C776" s="278">
        <v>1200</v>
      </c>
      <c r="D776" s="278">
        <v>1200</v>
      </c>
      <c r="E776" s="278" t="s">
        <v>947</v>
      </c>
      <c r="F776" s="278"/>
      <c r="G776" s="278" t="s">
        <v>5</v>
      </c>
      <c r="H776" s="290">
        <v>2</v>
      </c>
      <c r="I776" s="280">
        <f t="shared" si="112"/>
        <v>161.24</v>
      </c>
      <c r="J776" s="281">
        <f t="shared" si="113"/>
        <v>182.86</v>
      </c>
      <c r="K776" s="282">
        <f>IF(Notes!$B$9="Domestic",I776, IF(Notes!$B$9="Commercial",J776))*$K$767</f>
        <v>182.86</v>
      </c>
      <c r="L776" s="283">
        <f>(SUM(O776:Q776)+(K776+SUM(M776:Q776))*(INDEX($U$767:$AB$767,MATCH(Notes!$C$16,$U$3:$AB$3,0))-100%))*$L$767</f>
        <v>2259.8535999999999</v>
      </c>
      <c r="M776" s="286"/>
      <c r="N776" s="286"/>
      <c r="O776" s="285">
        <v>2072.02</v>
      </c>
      <c r="P776" s="311">
        <f t="shared" si="110"/>
        <v>187.83359999999999</v>
      </c>
      <c r="Q776" s="285"/>
      <c r="R776" s="278"/>
      <c r="S776" s="278"/>
      <c r="T776" s="278"/>
    </row>
    <row r="777" spans="1:20" s="305" customFormat="1" hidden="1" outlineLevel="1" x14ac:dyDescent="0.25">
      <c r="A777" s="278"/>
      <c r="B777" s="279" t="str">
        <f t="shared" si="111"/>
        <v>12001500TB/BFW</v>
      </c>
      <c r="C777" s="278">
        <v>1200</v>
      </c>
      <c r="D777" s="278">
        <v>1500</v>
      </c>
      <c r="E777" s="278" t="s">
        <v>947</v>
      </c>
      <c r="F777" s="278"/>
      <c r="G777" s="278" t="s">
        <v>5</v>
      </c>
      <c r="H777" s="290">
        <v>2</v>
      </c>
      <c r="I777" s="280">
        <f t="shared" si="112"/>
        <v>161.24</v>
      </c>
      <c r="J777" s="281">
        <f t="shared" si="113"/>
        <v>182.86</v>
      </c>
      <c r="K777" s="282">
        <f>IF(Notes!$B$9="Domestic",I777, IF(Notes!$B$9="Commercial",J777))*$K$767</f>
        <v>182.86</v>
      </c>
      <c r="L777" s="283">
        <f>(SUM(O777:Q777)+(K777+SUM(M777:Q777))*(INDEX($U$767:$AB$767,MATCH(Notes!$C$16,$U$3:$AB$3,0))-100%))*$L$767</f>
        <v>2891.752</v>
      </c>
      <c r="M777" s="286"/>
      <c r="N777" s="286"/>
      <c r="O777" s="285">
        <v>2656.96</v>
      </c>
      <c r="P777" s="311">
        <f t="shared" si="110"/>
        <v>234.792</v>
      </c>
      <c r="Q777" s="285"/>
      <c r="R777" s="278"/>
      <c r="S777" s="278"/>
      <c r="T777" s="278"/>
    </row>
    <row r="778" spans="1:20" s="305" customFormat="1" hidden="1" outlineLevel="1" x14ac:dyDescent="0.25">
      <c r="A778" s="278"/>
      <c r="B778" s="279" t="str">
        <f t="shared" si="111"/>
        <v>12001800TB/BFW</v>
      </c>
      <c r="C778" s="278">
        <v>1200</v>
      </c>
      <c r="D778" s="278">
        <v>1800</v>
      </c>
      <c r="E778" s="278" t="s">
        <v>947</v>
      </c>
      <c r="F778" s="278"/>
      <c r="G778" s="278" t="s">
        <v>5</v>
      </c>
      <c r="H778" s="290">
        <v>3</v>
      </c>
      <c r="I778" s="280">
        <f t="shared" si="112"/>
        <v>241.86</v>
      </c>
      <c r="J778" s="281">
        <f t="shared" si="113"/>
        <v>274.29000000000002</v>
      </c>
      <c r="K778" s="282">
        <f>IF(Notes!$B$9="Domestic",I778, IF(Notes!$B$9="Commercial",J778))*$K$767</f>
        <v>274.29000000000002</v>
      </c>
      <c r="L778" s="283">
        <f>(SUM(O778:Q778)+(K778+SUM(M778:Q778))*(INDEX($U$767:$AB$767,MATCH(Notes!$C$16,$U$3:$AB$3,0))-100%))*$L$767</f>
        <v>3349.2303999999999</v>
      </c>
      <c r="M778" s="286"/>
      <c r="N778" s="286"/>
      <c r="O778" s="285">
        <v>3067.48</v>
      </c>
      <c r="P778" s="311">
        <f t="shared" si="110"/>
        <v>281.75039999999996</v>
      </c>
      <c r="Q778" s="285"/>
      <c r="R778" s="278"/>
      <c r="S778" s="278"/>
      <c r="T778" s="278"/>
    </row>
    <row r="779" spans="1:20" s="305" customFormat="1" hidden="1" outlineLevel="1" x14ac:dyDescent="0.25">
      <c r="A779" s="278"/>
      <c r="B779" s="279" t="str">
        <f t="shared" si="111"/>
        <v>12002100TB/BFW</v>
      </c>
      <c r="C779" s="278">
        <v>1200</v>
      </c>
      <c r="D779" s="278">
        <v>2100</v>
      </c>
      <c r="E779" s="278" t="s">
        <v>947</v>
      </c>
      <c r="F779" s="278"/>
      <c r="G779" s="278" t="s">
        <v>5</v>
      </c>
      <c r="H779" s="290">
        <v>3</v>
      </c>
      <c r="I779" s="280">
        <f t="shared" si="112"/>
        <v>241.86</v>
      </c>
      <c r="J779" s="281">
        <f t="shared" si="113"/>
        <v>274.29000000000002</v>
      </c>
      <c r="K779" s="282">
        <f>IF(Notes!$B$9="Domestic",I779, IF(Notes!$B$9="Commercial",J779))*$K$767</f>
        <v>274.29000000000002</v>
      </c>
      <c r="L779" s="283">
        <f>(SUM(O779:Q779)+(K779+SUM(M779:Q779))*(INDEX($U$767:$AB$767,MATCH(Notes!$C$16,$U$3:$AB$3,0))-100%))*$L$767</f>
        <v>3550.4187999999999</v>
      </c>
      <c r="M779" s="286"/>
      <c r="N779" s="286"/>
      <c r="O779" s="285">
        <v>3221.71</v>
      </c>
      <c r="P779" s="311">
        <f t="shared" si="110"/>
        <v>328.7088</v>
      </c>
      <c r="Q779" s="285"/>
      <c r="R779" s="278"/>
      <c r="S779" s="278"/>
      <c r="T779" s="278"/>
    </row>
    <row r="780" spans="1:20" s="305" customFormat="1" hidden="1" outlineLevel="1" x14ac:dyDescent="0.25">
      <c r="A780" s="278"/>
      <c r="B780" s="279" t="str">
        <f t="shared" si="111"/>
        <v>12002400TB/BFW</v>
      </c>
      <c r="C780" s="278">
        <v>1200</v>
      </c>
      <c r="D780" s="278">
        <v>2400</v>
      </c>
      <c r="E780" s="278" t="s">
        <v>947</v>
      </c>
      <c r="F780" s="278"/>
      <c r="G780" s="278" t="s">
        <v>5</v>
      </c>
      <c r="H780" s="290">
        <v>3</v>
      </c>
      <c r="I780" s="280">
        <f t="shared" si="112"/>
        <v>241.86</v>
      </c>
      <c r="J780" s="281">
        <f t="shared" si="113"/>
        <v>274.29000000000002</v>
      </c>
      <c r="K780" s="282">
        <f>IF(Notes!$B$9="Domestic",I780, IF(Notes!$B$9="Commercial",J780))*$K$767</f>
        <v>274.29000000000002</v>
      </c>
      <c r="L780" s="283">
        <f>(SUM(O780:Q780)+(K780+SUM(M780:Q780))*(INDEX($U$767:$AB$767,MATCH(Notes!$C$16,$U$3:$AB$3,0))-100%))*$L$767</f>
        <v>4519.7071999999998</v>
      </c>
      <c r="M780" s="286"/>
      <c r="N780" s="286"/>
      <c r="O780" s="311">
        <f>O776*2</f>
        <v>4144.04</v>
      </c>
      <c r="P780" s="311">
        <f t="shared" si="110"/>
        <v>375.66719999999998</v>
      </c>
      <c r="Q780" s="285"/>
      <c r="R780" s="278"/>
      <c r="S780" s="278"/>
      <c r="T780" s="278"/>
    </row>
    <row r="781" spans="1:20" s="305" customFormat="1" hidden="1" outlineLevel="1" x14ac:dyDescent="0.25">
      <c r="A781" s="278"/>
      <c r="B781" s="279" t="str">
        <f t="shared" si="111"/>
        <v>12002700TB/BFW</v>
      </c>
      <c r="C781" s="278">
        <v>1200</v>
      </c>
      <c r="D781" s="278">
        <v>2700</v>
      </c>
      <c r="E781" s="278" t="s">
        <v>947</v>
      </c>
      <c r="F781" s="278"/>
      <c r="G781" s="278" t="s">
        <v>5</v>
      </c>
      <c r="H781" s="290">
        <v>4</v>
      </c>
      <c r="I781" s="280">
        <f t="shared" si="112"/>
        <v>322.48</v>
      </c>
      <c r="J781" s="281">
        <f t="shared" si="113"/>
        <v>365.72</v>
      </c>
      <c r="K781" s="282">
        <f>IF(Notes!$B$9="Domestic",I781, IF(Notes!$B$9="Commercial",J781))*$K$767</f>
        <v>365.72</v>
      </c>
      <c r="L781" s="283">
        <f>(SUM(O781:Q781)+(K781+SUM(M781:Q781))*(INDEX($U$767:$AB$767,MATCH(Notes!$C$16,$U$3:$AB$3,0))-100%))*$L$767</f>
        <v>5736.5456000000004</v>
      </c>
      <c r="M781" s="286"/>
      <c r="N781" s="286"/>
      <c r="O781" s="311">
        <f>O777*2</f>
        <v>5313.92</v>
      </c>
      <c r="P781" s="311">
        <f t="shared" si="110"/>
        <v>422.62559999999996</v>
      </c>
      <c r="Q781" s="285"/>
      <c r="R781" s="278"/>
      <c r="S781" s="278"/>
      <c r="T781" s="278"/>
    </row>
    <row r="782" spans="1:20" s="305" customFormat="1" hidden="1" outlineLevel="1" x14ac:dyDescent="0.25">
      <c r="A782" s="278"/>
      <c r="B782" s="279" t="str">
        <f t="shared" si="111"/>
        <v>1500900TB/BFW</v>
      </c>
      <c r="C782" s="278">
        <v>1500</v>
      </c>
      <c r="D782" s="278">
        <v>900</v>
      </c>
      <c r="E782" s="278" t="s">
        <v>947</v>
      </c>
      <c r="F782" s="278"/>
      <c r="G782" s="278" t="s">
        <v>5</v>
      </c>
      <c r="H782" s="290">
        <v>2</v>
      </c>
      <c r="I782" s="280">
        <f t="shared" si="112"/>
        <v>161.24</v>
      </c>
      <c r="J782" s="281">
        <f t="shared" si="113"/>
        <v>182.86</v>
      </c>
      <c r="K782" s="282">
        <f>IF(Notes!$B$9="Domestic",I782, IF(Notes!$B$9="Commercial",J782))*$K$767</f>
        <v>182.86</v>
      </c>
      <c r="L782" s="283">
        <f>(SUM(O782:Q782)+(K782+SUM(M782:Q782))*(INDEX($U$767:$AB$767,MATCH(Notes!$C$16,$U$3:$AB$3,0))-100%))*$L$767</f>
        <v>2226.0039999999999</v>
      </c>
      <c r="M782" s="286"/>
      <c r="N782" s="286"/>
      <c r="O782" s="285">
        <v>2049.91</v>
      </c>
      <c r="P782" s="311">
        <f t="shared" si="110"/>
        <v>176.09399999999999</v>
      </c>
      <c r="Q782" s="285"/>
      <c r="R782" s="278"/>
      <c r="S782" s="278"/>
      <c r="T782" s="278"/>
    </row>
    <row r="783" spans="1:20" s="305" customFormat="1" hidden="1" outlineLevel="1" x14ac:dyDescent="0.25">
      <c r="A783" s="278"/>
      <c r="B783" s="279" t="str">
        <f t="shared" si="111"/>
        <v>15001200TB/BFW</v>
      </c>
      <c r="C783" s="278">
        <v>1500</v>
      </c>
      <c r="D783" s="278">
        <v>1200</v>
      </c>
      <c r="E783" s="278" t="s">
        <v>947</v>
      </c>
      <c r="F783" s="278"/>
      <c r="G783" s="278" t="s">
        <v>5</v>
      </c>
      <c r="H783" s="290">
        <v>2</v>
      </c>
      <c r="I783" s="280">
        <f t="shared" si="112"/>
        <v>161.24</v>
      </c>
      <c r="J783" s="281">
        <f t="shared" si="113"/>
        <v>182.86</v>
      </c>
      <c r="K783" s="282">
        <f>IF(Notes!$B$9="Domestic",I783, IF(Notes!$B$9="Commercial",J783))*$K$767</f>
        <v>182.86</v>
      </c>
      <c r="L783" s="283">
        <f>(SUM(O783:Q783)+(K783+SUM(M783:Q783))*(INDEX($U$767:$AB$767,MATCH(Notes!$C$16,$U$3:$AB$3,0))-100%))*$L$767</f>
        <v>2331.252</v>
      </c>
      <c r="M783" s="286"/>
      <c r="N783" s="286"/>
      <c r="O783" s="285">
        <v>2096.46</v>
      </c>
      <c r="P783" s="311">
        <f t="shared" si="110"/>
        <v>234.792</v>
      </c>
      <c r="Q783" s="285"/>
      <c r="R783" s="278"/>
      <c r="S783" s="278"/>
      <c r="T783" s="278"/>
    </row>
    <row r="784" spans="1:20" s="305" customFormat="1" hidden="1" outlineLevel="1" x14ac:dyDescent="0.25">
      <c r="A784" s="278"/>
      <c r="B784" s="279" t="str">
        <f t="shared" si="111"/>
        <v>15001500TB/BFW</v>
      </c>
      <c r="C784" s="278">
        <v>1500</v>
      </c>
      <c r="D784" s="278">
        <v>1500</v>
      </c>
      <c r="E784" s="278" t="s">
        <v>947</v>
      </c>
      <c r="F784" s="278"/>
      <c r="G784" s="278" t="s">
        <v>5</v>
      </c>
      <c r="H784" s="290">
        <v>3</v>
      </c>
      <c r="I784" s="280">
        <f t="shared" si="112"/>
        <v>241.86</v>
      </c>
      <c r="J784" s="281">
        <f>$J$2*H784</f>
        <v>274.29000000000002</v>
      </c>
      <c r="K784" s="282">
        <f>IF(Notes!$B$9="Domestic",I784, IF(Notes!$B$9="Commercial",J784))*$K$767</f>
        <v>274.29000000000002</v>
      </c>
      <c r="L784" s="283">
        <f>(SUM(O784:Q784)+(K784+SUM(M784:Q784))*(INDEX($U$767:$AB$767,MATCH(Notes!$C$16,$U$3:$AB$3,0))-100%))*$L$767</f>
        <v>3157.3900000000003</v>
      </c>
      <c r="M784" s="286"/>
      <c r="N784" s="286"/>
      <c r="O784" s="285">
        <v>2863.9</v>
      </c>
      <c r="P784" s="311">
        <f t="shared" si="110"/>
        <v>293.49</v>
      </c>
      <c r="Q784" s="285"/>
      <c r="R784" s="278"/>
      <c r="S784" s="278"/>
      <c r="T784" s="278"/>
    </row>
    <row r="785" spans="1:28" s="305" customFormat="1" hidden="1" outlineLevel="1" x14ac:dyDescent="0.25">
      <c r="A785" s="278"/>
      <c r="B785" s="279" t="str">
        <f t="shared" si="111"/>
        <v>15001800TB/BFW</v>
      </c>
      <c r="C785" s="278">
        <v>1500</v>
      </c>
      <c r="D785" s="278">
        <v>1800</v>
      </c>
      <c r="E785" s="278" t="s">
        <v>947</v>
      </c>
      <c r="F785" s="278"/>
      <c r="G785" s="278" t="s">
        <v>5</v>
      </c>
      <c r="H785" s="290">
        <v>3</v>
      </c>
      <c r="I785" s="280">
        <f>$I$2*H785</f>
        <v>241.86</v>
      </c>
      <c r="J785" s="281">
        <f t="shared" ref="J785:J790" si="114">$J$2*H785</f>
        <v>274.29000000000002</v>
      </c>
      <c r="K785" s="282">
        <f>IF(Notes!$B$9="Domestic",I785, IF(Notes!$B$9="Commercial",J785))*$K$767</f>
        <v>274.29000000000002</v>
      </c>
      <c r="L785" s="283">
        <f>(SUM(O785:Q785)+(K785+SUM(M785:Q785))*(INDEX($U$767:$AB$767,MATCH(Notes!$C$16,$U$3:$AB$3,0))-100%))*$L$767</f>
        <v>3627.0680000000002</v>
      </c>
      <c r="M785" s="286"/>
      <c r="N785" s="286"/>
      <c r="O785" s="285">
        <v>3274.88</v>
      </c>
      <c r="P785" s="311">
        <f t="shared" si="110"/>
        <v>352.18799999999999</v>
      </c>
      <c r="Q785" s="285"/>
      <c r="R785" s="278"/>
      <c r="S785" s="278"/>
      <c r="T785" s="278"/>
    </row>
    <row r="786" spans="1:28" s="305" customFormat="1" hidden="1" outlineLevel="1" x14ac:dyDescent="0.25">
      <c r="A786" s="278"/>
      <c r="B786" s="279" t="str">
        <f t="shared" si="111"/>
        <v>15002100TB/BFW</v>
      </c>
      <c r="C786" s="278">
        <v>1500</v>
      </c>
      <c r="D786" s="278">
        <v>2100</v>
      </c>
      <c r="E786" s="278" t="s">
        <v>947</v>
      </c>
      <c r="F786" s="278"/>
      <c r="G786" s="278" t="s">
        <v>5</v>
      </c>
      <c r="H786" s="290">
        <v>3</v>
      </c>
      <c r="I786" s="280">
        <f t="shared" ref="I786:I791" si="115">$I$2*H786</f>
        <v>241.86</v>
      </c>
      <c r="J786" s="281">
        <f t="shared" si="114"/>
        <v>274.29000000000002</v>
      </c>
      <c r="K786" s="282">
        <f>IF(Notes!$B$9="Domestic",I786, IF(Notes!$B$9="Commercial",J786))*$K$767</f>
        <v>274.29000000000002</v>
      </c>
      <c r="L786" s="283">
        <f>(SUM(O786:Q786)+(K786+SUM(M786:Q786))*(INDEX($U$767:$AB$767,MATCH(Notes!$C$16,$U$3:$AB$3,0))-100%))*$L$767</f>
        <v>3715.2359999999999</v>
      </c>
      <c r="M786" s="286"/>
      <c r="N786" s="286"/>
      <c r="O786" s="285">
        <v>3304.35</v>
      </c>
      <c r="P786" s="311">
        <f t="shared" si="110"/>
        <v>410.88600000000002</v>
      </c>
      <c r="Q786" s="285"/>
      <c r="R786" s="278"/>
      <c r="S786" s="278"/>
      <c r="T786" s="278"/>
    </row>
    <row r="787" spans="1:28" s="305" customFormat="1" hidden="1" outlineLevel="1" x14ac:dyDescent="0.25">
      <c r="A787" s="278"/>
      <c r="B787" s="279" t="str">
        <f t="shared" si="111"/>
        <v>15002400TB/BFW</v>
      </c>
      <c r="C787" s="278">
        <v>1500</v>
      </c>
      <c r="D787" s="278">
        <v>2400</v>
      </c>
      <c r="E787" s="278" t="s">
        <v>947</v>
      </c>
      <c r="F787" s="278"/>
      <c r="G787" s="278" t="s">
        <v>5</v>
      </c>
      <c r="H787" s="290">
        <v>4</v>
      </c>
      <c r="I787" s="280">
        <f t="shared" si="115"/>
        <v>322.48</v>
      </c>
      <c r="J787" s="281">
        <f t="shared" si="114"/>
        <v>365.72</v>
      </c>
      <c r="K787" s="282">
        <f>IF(Notes!$B$9="Domestic",I787, IF(Notes!$B$9="Commercial",J787))*$K$767</f>
        <v>365.72</v>
      </c>
      <c r="L787" s="283">
        <f>(SUM(O787:Q787)+(K787+SUM(M787:Q787))*(INDEX($U$767:$AB$767,MATCH(Notes!$C$16,$U$3:$AB$3,0))-100%))*$L$767</f>
        <v>4662.5039999999999</v>
      </c>
      <c r="M787" s="286"/>
      <c r="N787" s="286"/>
      <c r="O787" s="311">
        <f>O783*2</f>
        <v>4192.92</v>
      </c>
      <c r="P787" s="311">
        <f t="shared" si="110"/>
        <v>469.584</v>
      </c>
      <c r="Q787" s="285"/>
      <c r="R787" s="278"/>
      <c r="S787" s="278"/>
      <c r="T787" s="278"/>
    </row>
    <row r="788" spans="1:28" s="305" customFormat="1" hidden="1" outlineLevel="1" x14ac:dyDescent="0.25">
      <c r="A788" s="278"/>
      <c r="B788" s="279" t="str">
        <f t="shared" si="111"/>
        <v>15002700TB/BFW</v>
      </c>
      <c r="C788" s="278">
        <v>1500</v>
      </c>
      <c r="D788" s="278">
        <v>2700</v>
      </c>
      <c r="E788" s="278" t="s">
        <v>947</v>
      </c>
      <c r="F788" s="278"/>
      <c r="G788" s="278" t="s">
        <v>5</v>
      </c>
      <c r="H788" s="290">
        <v>4</v>
      </c>
      <c r="I788" s="280">
        <f t="shared" si="115"/>
        <v>322.48</v>
      </c>
      <c r="J788" s="281">
        <f t="shared" si="114"/>
        <v>365.72</v>
      </c>
      <c r="K788" s="282">
        <f>IF(Notes!$B$9="Domestic",I788, IF(Notes!$B$9="Commercial",J788))*$K$767</f>
        <v>365.72</v>
      </c>
      <c r="L788" s="283">
        <f>(SUM(O788:Q788)+(K788+SUM(M788:Q788))*(INDEX($U$767:$AB$767,MATCH(Notes!$C$16,$U$3:$AB$3,0))-100%))*$L$767</f>
        <v>6256.0820000000003</v>
      </c>
      <c r="M788" s="286"/>
      <c r="N788" s="286"/>
      <c r="O788" s="311">
        <f>O784*2</f>
        <v>5727.8</v>
      </c>
      <c r="P788" s="311">
        <f t="shared" si="110"/>
        <v>528.28200000000004</v>
      </c>
      <c r="Q788" s="285"/>
      <c r="R788" s="278"/>
      <c r="S788" s="278"/>
      <c r="T788" s="278"/>
    </row>
    <row r="789" spans="1:28" s="305" customFormat="1" hidden="1" outlineLevel="1" x14ac:dyDescent="0.25">
      <c r="A789" s="278"/>
      <c r="B789" s="279" t="str">
        <f t="shared" si="111"/>
        <v>1800900TB/BFW</v>
      </c>
      <c r="C789" s="278">
        <v>1800</v>
      </c>
      <c r="D789" s="278">
        <v>900</v>
      </c>
      <c r="E789" s="278" t="s">
        <v>947</v>
      </c>
      <c r="F789" s="278"/>
      <c r="G789" s="278" t="s">
        <v>5</v>
      </c>
      <c r="H789" s="290">
        <v>2</v>
      </c>
      <c r="I789" s="280">
        <f t="shared" si="115"/>
        <v>161.24</v>
      </c>
      <c r="J789" s="281">
        <f t="shared" si="114"/>
        <v>182.86</v>
      </c>
      <c r="K789" s="282">
        <f>IF(Notes!$B$9="Domestic",I789, IF(Notes!$B$9="Commercial",J789))*$K$767</f>
        <v>182.86</v>
      </c>
      <c r="L789" s="283">
        <f>(SUM(O789:Q789)+(K789+SUM(M789:Q789))*(INDEX($U$767:$AB$767,MATCH(Notes!$C$16,$U$3:$AB$3,0))-100%))*$L$767</f>
        <v>4172.3328000000001</v>
      </c>
      <c r="M789" s="286"/>
      <c r="N789" s="286"/>
      <c r="O789" s="311">
        <f>O768*2</f>
        <v>3961.02</v>
      </c>
      <c r="P789" s="311">
        <f t="shared" si="110"/>
        <v>211.31279999999998</v>
      </c>
      <c r="Q789" s="285"/>
      <c r="R789" s="278"/>
      <c r="S789" s="278"/>
      <c r="T789" s="278"/>
    </row>
    <row r="790" spans="1:28" s="305" customFormat="1" hidden="1" outlineLevel="1" x14ac:dyDescent="0.25">
      <c r="A790" s="278"/>
      <c r="B790" s="279" t="str">
        <f t="shared" si="111"/>
        <v>18001200TB/BFW</v>
      </c>
      <c r="C790" s="278">
        <v>1800</v>
      </c>
      <c r="D790" s="278">
        <v>1200</v>
      </c>
      <c r="E790" s="278" t="s">
        <v>947</v>
      </c>
      <c r="F790" s="278"/>
      <c r="G790" s="278" t="s">
        <v>5</v>
      </c>
      <c r="H790" s="290">
        <v>2</v>
      </c>
      <c r="I790" s="280">
        <f t="shared" si="115"/>
        <v>161.24</v>
      </c>
      <c r="J790" s="281">
        <f t="shared" si="114"/>
        <v>182.86</v>
      </c>
      <c r="K790" s="282">
        <f>IF(Notes!$B$9="Domestic",I790, IF(Notes!$B$9="Commercial",J790))*$K$767</f>
        <v>182.86</v>
      </c>
      <c r="L790" s="283">
        <f>(SUM(O790:Q790)+(K790+SUM(M790:Q790))*(INDEX($U$767:$AB$767,MATCH(Notes!$C$16,$U$3:$AB$3,0))-100%))*$L$767</f>
        <v>4289.5904</v>
      </c>
      <c r="M790" s="286"/>
      <c r="N790" s="286"/>
      <c r="O790" s="311">
        <f t="shared" ref="O790:O795" si="116">O769*2</f>
        <v>4007.84</v>
      </c>
      <c r="P790" s="311">
        <f t="shared" si="110"/>
        <v>281.75040000000001</v>
      </c>
      <c r="Q790" s="285"/>
      <c r="R790" s="278"/>
      <c r="S790" s="278"/>
      <c r="T790" s="278"/>
    </row>
    <row r="791" spans="1:28" s="305" customFormat="1" hidden="1" outlineLevel="1" x14ac:dyDescent="0.25">
      <c r="A791" s="278"/>
      <c r="B791" s="279" t="str">
        <f t="shared" si="111"/>
        <v>18001500TB/BFW</v>
      </c>
      <c r="C791" s="278">
        <v>1800</v>
      </c>
      <c r="D791" s="278">
        <v>1500</v>
      </c>
      <c r="E791" s="278" t="s">
        <v>947</v>
      </c>
      <c r="F791" s="278"/>
      <c r="G791" s="278" t="s">
        <v>5</v>
      </c>
      <c r="H791" s="290">
        <v>3</v>
      </c>
      <c r="I791" s="280">
        <f t="shared" si="115"/>
        <v>241.86</v>
      </c>
      <c r="J791" s="281">
        <f>$J$2*H791</f>
        <v>274.29000000000002</v>
      </c>
      <c r="K791" s="282">
        <f>IF(Notes!$B$9="Domestic",I791, IF(Notes!$B$9="Commercial",J791))*$K$767</f>
        <v>274.29000000000002</v>
      </c>
      <c r="L791" s="283">
        <f>(SUM(O791:Q791)+(K791+SUM(M791:Q791))*(INDEX($U$767:$AB$767,MATCH(Notes!$C$16,$U$3:$AB$3,0))-100%))*$L$767</f>
        <v>4845.2280000000001</v>
      </c>
      <c r="M791" s="286"/>
      <c r="N791" s="286"/>
      <c r="O791" s="311">
        <f t="shared" si="116"/>
        <v>4493.04</v>
      </c>
      <c r="P791" s="311">
        <f t="shared" si="110"/>
        <v>352.18799999999999</v>
      </c>
      <c r="Q791" s="285"/>
      <c r="R791" s="278"/>
      <c r="S791" s="278"/>
      <c r="T791" s="278"/>
    </row>
    <row r="792" spans="1:28" s="305" customFormat="1" hidden="1" outlineLevel="1" x14ac:dyDescent="0.25">
      <c r="A792" s="278"/>
      <c r="B792" s="279" t="str">
        <f t="shared" si="111"/>
        <v>18001800TB/BFW</v>
      </c>
      <c r="C792" s="278">
        <v>1800</v>
      </c>
      <c r="D792" s="278">
        <v>1800</v>
      </c>
      <c r="E792" s="278" t="s">
        <v>947</v>
      </c>
      <c r="F792" s="278"/>
      <c r="G792" s="278" t="s">
        <v>5</v>
      </c>
      <c r="H792" s="290">
        <v>3</v>
      </c>
      <c r="I792" s="280">
        <f>$I$2*H792</f>
        <v>241.86</v>
      </c>
      <c r="J792" s="281">
        <f t="shared" ref="J792:J795" si="117">$J$2*H792</f>
        <v>274.29000000000002</v>
      </c>
      <c r="K792" s="282">
        <f>IF(Notes!$B$9="Domestic",I792, IF(Notes!$B$9="Commercial",J792))*$K$767</f>
        <v>274.29000000000002</v>
      </c>
      <c r="L792" s="283">
        <f>(SUM(O792:Q792)+(K792+SUM(M792:Q792))*(INDEX($U$767:$AB$767,MATCH(Notes!$C$16,$U$3:$AB$3,0))-100%))*$L$767</f>
        <v>5327.7056000000002</v>
      </c>
      <c r="M792" s="286"/>
      <c r="N792" s="286"/>
      <c r="O792" s="311">
        <f t="shared" si="116"/>
        <v>4905.08</v>
      </c>
      <c r="P792" s="311">
        <f t="shared" si="110"/>
        <v>422.62559999999996</v>
      </c>
      <c r="Q792" s="285"/>
      <c r="R792" s="278"/>
      <c r="S792" s="278"/>
      <c r="T792" s="278"/>
    </row>
    <row r="793" spans="1:28" s="305" customFormat="1" hidden="1" outlineLevel="1" x14ac:dyDescent="0.25">
      <c r="A793" s="278"/>
      <c r="B793" s="279" t="str">
        <f t="shared" si="111"/>
        <v>18002100TB/BFW</v>
      </c>
      <c r="C793" s="278">
        <v>1800</v>
      </c>
      <c r="D793" s="278">
        <v>2100</v>
      </c>
      <c r="E793" s="278" t="s">
        <v>947</v>
      </c>
      <c r="F793" s="278"/>
      <c r="G793" s="278" t="s">
        <v>5</v>
      </c>
      <c r="H793" s="290">
        <v>3</v>
      </c>
      <c r="I793" s="280">
        <f t="shared" ref="I793:I795" si="118">$I$2*H793</f>
        <v>241.86</v>
      </c>
      <c r="J793" s="281">
        <f t="shared" si="117"/>
        <v>274.29000000000002</v>
      </c>
      <c r="K793" s="282">
        <f>IF(Notes!$B$9="Domestic",I793, IF(Notes!$B$9="Commercial",J793))*$K$767</f>
        <v>274.29000000000002</v>
      </c>
      <c r="L793" s="283">
        <f>(SUM(O793:Q793)+(K793+SUM(M793:Q793))*(INDEX($U$767:$AB$767,MATCH(Notes!$C$16,$U$3:$AB$3,0))-100%))*$L$767</f>
        <v>6460.7231999999995</v>
      </c>
      <c r="M793" s="286"/>
      <c r="N793" s="286"/>
      <c r="O793" s="311">
        <f t="shared" si="116"/>
        <v>5967.66</v>
      </c>
      <c r="P793" s="311">
        <f t="shared" si="110"/>
        <v>493.06319999999999</v>
      </c>
      <c r="Q793" s="285"/>
      <c r="R793" s="278"/>
      <c r="S793" s="278"/>
      <c r="T793" s="278"/>
    </row>
    <row r="794" spans="1:28" s="305" customFormat="1" hidden="1" outlineLevel="1" x14ac:dyDescent="0.25">
      <c r="A794" s="278"/>
      <c r="B794" s="279" t="str">
        <f t="shared" si="111"/>
        <v>18002400TB/BFW</v>
      </c>
      <c r="C794" s="278">
        <v>1800</v>
      </c>
      <c r="D794" s="278">
        <v>2400</v>
      </c>
      <c r="E794" s="278" t="s">
        <v>947</v>
      </c>
      <c r="F794" s="278"/>
      <c r="G794" s="278" t="s">
        <v>5</v>
      </c>
      <c r="H794" s="290">
        <v>4</v>
      </c>
      <c r="I794" s="280">
        <f t="shared" si="118"/>
        <v>322.48</v>
      </c>
      <c r="J794" s="281">
        <f t="shared" si="117"/>
        <v>365.72</v>
      </c>
      <c r="K794" s="282">
        <f>IF(Notes!$B$9="Domestic",I794, IF(Notes!$B$9="Commercial",J794))*$K$767</f>
        <v>365.72</v>
      </c>
      <c r="L794" s="283">
        <f>(SUM(O794:Q794)+(K794+SUM(M794:Q794))*(INDEX($U$767:$AB$767,MATCH(Notes!$C$16,$U$3:$AB$3,0))-100%))*$L$767</f>
        <v>8579.1808000000001</v>
      </c>
      <c r="M794" s="286"/>
      <c r="N794" s="286"/>
      <c r="O794" s="311">
        <f t="shared" si="116"/>
        <v>8015.68</v>
      </c>
      <c r="P794" s="311">
        <f t="shared" si="110"/>
        <v>563.50080000000003</v>
      </c>
      <c r="Q794" s="285"/>
      <c r="R794" s="278"/>
      <c r="S794" s="278"/>
      <c r="T794" s="278"/>
    </row>
    <row r="795" spans="1:28" s="305" customFormat="1" hidden="1" outlineLevel="1" x14ac:dyDescent="0.25">
      <c r="A795" s="278"/>
      <c r="B795" s="279" t="str">
        <f t="shared" si="111"/>
        <v>18002700TB/BFW</v>
      </c>
      <c r="C795" s="278">
        <v>1800</v>
      </c>
      <c r="D795" s="278">
        <v>2700</v>
      </c>
      <c r="E795" s="278" t="s">
        <v>947</v>
      </c>
      <c r="F795" s="278"/>
      <c r="G795" s="278" t="s">
        <v>5</v>
      </c>
      <c r="H795" s="290">
        <v>4</v>
      </c>
      <c r="I795" s="280">
        <f t="shared" si="118"/>
        <v>322.48</v>
      </c>
      <c r="J795" s="281">
        <f t="shared" si="117"/>
        <v>365.72</v>
      </c>
      <c r="K795" s="282">
        <f>IF(Notes!$B$9="Domestic",I795, IF(Notes!$B$9="Commercial",J795))*$K$767</f>
        <v>365.72</v>
      </c>
      <c r="L795" s="283">
        <f>(SUM(O795:Q795)+(K795+SUM(M795:Q795))*(INDEX($U$767:$AB$767,MATCH(Notes!$C$16,$U$3:$AB$3,0))-100%))*$L$767</f>
        <v>9620.0184000000008</v>
      </c>
      <c r="M795" s="286"/>
      <c r="N795" s="286"/>
      <c r="O795" s="311">
        <f t="shared" si="116"/>
        <v>8986.08</v>
      </c>
      <c r="P795" s="311">
        <f t="shared" si="110"/>
        <v>633.9384</v>
      </c>
      <c r="Q795" s="285"/>
      <c r="R795" s="278"/>
      <c r="S795" s="278"/>
      <c r="T795" s="278"/>
    </row>
    <row r="796" spans="1:28" ht="21" hidden="1" outlineLevel="1" x14ac:dyDescent="0.25">
      <c r="A796" s="299" t="s">
        <v>502</v>
      </c>
      <c r="B796" s="299"/>
      <c r="C796" s="299"/>
      <c r="D796" s="299"/>
      <c r="E796" s="299"/>
      <c r="F796" s="299"/>
      <c r="G796" s="299"/>
      <c r="H796" s="299"/>
      <c r="I796" s="299"/>
      <c r="J796" s="299"/>
      <c r="K796" s="299"/>
      <c r="L796" s="299"/>
      <c r="M796" s="299"/>
      <c r="N796" s="299"/>
      <c r="O796" s="299"/>
      <c r="P796" s="299"/>
      <c r="Q796" s="299"/>
      <c r="R796" s="299"/>
      <c r="S796" s="299"/>
      <c r="T796" s="299"/>
      <c r="U796" s="299"/>
      <c r="V796" s="299"/>
      <c r="W796" s="299"/>
      <c r="X796" s="299"/>
      <c r="Y796" s="299"/>
      <c r="Z796" s="299"/>
      <c r="AA796" s="299"/>
      <c r="AB796" s="299"/>
    </row>
    <row r="797" spans="1:28" ht="15.75" hidden="1" outlineLevel="1" x14ac:dyDescent="0.25">
      <c r="A797" s="291"/>
      <c r="B797" s="291"/>
      <c r="C797" s="291"/>
      <c r="D797" s="291"/>
      <c r="E797" s="291"/>
      <c r="F797" s="291"/>
      <c r="G797" s="291"/>
      <c r="H797" s="291"/>
      <c r="I797" s="291"/>
      <c r="J797" s="291"/>
      <c r="K797" s="291">
        <f>K$2</f>
        <v>1</v>
      </c>
      <c r="L797" s="291">
        <f>L$2</f>
        <v>1</v>
      </c>
      <c r="M797" s="291"/>
      <c r="N797" s="291"/>
      <c r="O797" s="303"/>
      <c r="P797" s="303"/>
      <c r="Q797" s="303"/>
      <c r="R797" s="291"/>
      <c r="S797" s="291"/>
      <c r="T797" s="291"/>
      <c r="U797" s="291">
        <f>U$2</f>
        <v>0.89965397923875434</v>
      </c>
      <c r="V797" s="291">
        <f>V$2</f>
        <v>1</v>
      </c>
      <c r="W797" s="291">
        <f t="shared" ref="W797:AB797" si="119">W$2</f>
        <v>0.92214532871972321</v>
      </c>
      <c r="X797" s="291">
        <f t="shared" si="119"/>
        <v>0.89965397923875434</v>
      </c>
      <c r="Y797" s="291">
        <f t="shared" si="119"/>
        <v>1.0069204152249136</v>
      </c>
      <c r="Z797" s="291">
        <f t="shared" si="119"/>
        <v>0.856401384083045</v>
      </c>
      <c r="AA797" s="291">
        <f t="shared" si="119"/>
        <v>0.856401384083045</v>
      </c>
      <c r="AB797" s="291">
        <f t="shared" si="119"/>
        <v>1.0121107266435987</v>
      </c>
    </row>
    <row r="798" spans="1:28" s="305" customFormat="1" hidden="1" outlineLevel="1" x14ac:dyDescent="0.25">
      <c r="A798" s="278"/>
      <c r="B798" s="279" t="str">
        <f>C798&amp;D798&amp;E798&amp;F798</f>
        <v>600600TB/FXW</v>
      </c>
      <c r="C798" s="278">
        <v>600</v>
      </c>
      <c r="D798" s="278">
        <v>600</v>
      </c>
      <c r="E798" s="278" t="s">
        <v>948</v>
      </c>
      <c r="F798" s="278"/>
      <c r="G798" s="278" t="s">
        <v>5</v>
      </c>
      <c r="H798" s="290">
        <v>1</v>
      </c>
      <c r="I798" s="280">
        <f>$I$2*H798</f>
        <v>80.62</v>
      </c>
      <c r="J798" s="281">
        <f>$J$2*H798</f>
        <v>91.43</v>
      </c>
      <c r="K798" s="282">
        <f>IF(Notes!$B$9="Domestic",I798, IF(Notes!$B$9="Commercial",J798))*$K$797</f>
        <v>91.43</v>
      </c>
      <c r="L798" s="283">
        <f>(SUM(O798:Q798)+(K798+SUM(M798:Q798))*(INDEX($U$797:$AB$797,MATCH(Notes!$C$16,$U$3:$AB$3,0))-100%))*$L$797</f>
        <v>250.21839999999997</v>
      </c>
      <c r="M798" s="286"/>
      <c r="N798" s="286"/>
      <c r="O798" s="285">
        <v>203.26</v>
      </c>
      <c r="P798" s="311">
        <f t="shared" ref="P798:P861" si="120">$P$2*C798/1000*D798/1000</f>
        <v>46.958399999999997</v>
      </c>
      <c r="Q798" s="285"/>
      <c r="R798" s="278">
        <v>600</v>
      </c>
      <c r="S798" s="278">
        <v>600</v>
      </c>
      <c r="T798" s="278" t="s">
        <v>948</v>
      </c>
    </row>
    <row r="799" spans="1:28" s="305" customFormat="1" hidden="1" outlineLevel="1" x14ac:dyDescent="0.25">
      <c r="A799" s="278"/>
      <c r="B799" s="279" t="str">
        <f t="shared" ref="B799:B861" si="121">C799&amp;D799&amp;E799&amp;F799</f>
        <v>600900TB/FXW</v>
      </c>
      <c r="C799" s="278">
        <v>600</v>
      </c>
      <c r="D799" s="278">
        <v>900</v>
      </c>
      <c r="E799" s="278" t="s">
        <v>948</v>
      </c>
      <c r="F799" s="278"/>
      <c r="G799" s="278" t="s">
        <v>5</v>
      </c>
      <c r="H799" s="290">
        <v>1</v>
      </c>
      <c r="I799" s="280">
        <f t="shared" ref="I799:I861" si="122">$I$2*H799</f>
        <v>80.62</v>
      </c>
      <c r="J799" s="281">
        <f t="shared" ref="J799:J861" si="123">$J$2*H799</f>
        <v>91.43</v>
      </c>
      <c r="K799" s="282">
        <f>IF(Notes!$B$9="Domestic",I799, IF(Notes!$B$9="Commercial",J799))*$K$797</f>
        <v>91.43</v>
      </c>
      <c r="L799" s="283">
        <f>(SUM(O799:Q799)+(K799+SUM(M799:Q799))*(INDEX($U$797:$AB$797,MATCH(Notes!$C$16,$U$3:$AB$3,0))-100%))*$L$797</f>
        <v>325.98759999999999</v>
      </c>
      <c r="M799" s="286"/>
      <c r="N799" s="286"/>
      <c r="O799" s="285">
        <v>255.55</v>
      </c>
      <c r="P799" s="311">
        <f t="shared" si="120"/>
        <v>70.437599999999989</v>
      </c>
      <c r="Q799" s="285"/>
      <c r="R799" s="278">
        <v>900</v>
      </c>
      <c r="S799" s="278">
        <v>900</v>
      </c>
      <c r="T799" s="278"/>
    </row>
    <row r="800" spans="1:28" s="305" customFormat="1" hidden="1" outlineLevel="1" x14ac:dyDescent="0.25">
      <c r="A800" s="278"/>
      <c r="B800" s="279" t="str">
        <f t="shared" si="121"/>
        <v>6001200TB/FXW</v>
      </c>
      <c r="C800" s="278">
        <v>600</v>
      </c>
      <c r="D800" s="278">
        <v>1200</v>
      </c>
      <c r="E800" s="278" t="s">
        <v>948</v>
      </c>
      <c r="F800" s="278"/>
      <c r="G800" s="278" t="s">
        <v>5</v>
      </c>
      <c r="H800" s="290">
        <v>1</v>
      </c>
      <c r="I800" s="280">
        <f t="shared" si="122"/>
        <v>80.62</v>
      </c>
      <c r="J800" s="281">
        <f t="shared" si="123"/>
        <v>91.43</v>
      </c>
      <c r="K800" s="282">
        <f>IF(Notes!$B$9="Domestic",I800, IF(Notes!$B$9="Commercial",J800))*$K$797</f>
        <v>91.43</v>
      </c>
      <c r="L800" s="283">
        <f>(SUM(O800:Q800)+(K800+SUM(M800:Q800))*(INDEX($U$797:$AB$797,MATCH(Notes!$C$16,$U$3:$AB$3,0))-100%))*$L$797</f>
        <v>425.86680000000001</v>
      </c>
      <c r="M800" s="286"/>
      <c r="N800" s="286"/>
      <c r="O800" s="285">
        <v>331.95</v>
      </c>
      <c r="P800" s="311">
        <f t="shared" si="120"/>
        <v>93.916799999999995</v>
      </c>
      <c r="Q800" s="285"/>
      <c r="R800" s="278">
        <v>1200</v>
      </c>
      <c r="S800" s="278">
        <v>1200</v>
      </c>
      <c r="T800" s="278"/>
    </row>
    <row r="801" spans="1:20" s="305" customFormat="1" hidden="1" outlineLevel="1" x14ac:dyDescent="0.25">
      <c r="A801" s="278"/>
      <c r="B801" s="279" t="str">
        <f t="shared" si="121"/>
        <v>6001500TB/FXW</v>
      </c>
      <c r="C801" s="278">
        <v>600</v>
      </c>
      <c r="D801" s="278">
        <v>1500</v>
      </c>
      <c r="E801" s="278" t="s">
        <v>948</v>
      </c>
      <c r="F801" s="278"/>
      <c r="G801" s="278" t="s">
        <v>5</v>
      </c>
      <c r="H801" s="290">
        <v>1</v>
      </c>
      <c r="I801" s="280">
        <f t="shared" si="122"/>
        <v>80.62</v>
      </c>
      <c r="J801" s="281">
        <f t="shared" si="123"/>
        <v>91.43</v>
      </c>
      <c r="K801" s="282">
        <f>IF(Notes!$B$9="Domestic",I801, IF(Notes!$B$9="Commercial",J801))*$K$797</f>
        <v>91.43</v>
      </c>
      <c r="L801" s="283">
        <f>(SUM(O801:Q801)+(K801+SUM(M801:Q801))*(INDEX($U$797:$AB$797,MATCH(Notes!$C$16,$U$3:$AB$3,0))-100%))*$L$797</f>
        <v>501.49600000000004</v>
      </c>
      <c r="M801" s="286"/>
      <c r="N801" s="286"/>
      <c r="O801" s="285">
        <v>384.1</v>
      </c>
      <c r="P801" s="311">
        <f t="shared" si="120"/>
        <v>117.396</v>
      </c>
      <c r="Q801" s="285"/>
      <c r="R801" s="278">
        <v>1500</v>
      </c>
      <c r="S801" s="278">
        <v>1500</v>
      </c>
      <c r="T801" s="278"/>
    </row>
    <row r="802" spans="1:20" s="305" customFormat="1" hidden="1" outlineLevel="1" x14ac:dyDescent="0.25">
      <c r="A802" s="278"/>
      <c r="B802" s="279" t="str">
        <f t="shared" si="121"/>
        <v>6001800TB/FXW</v>
      </c>
      <c r="C802" s="278">
        <v>600</v>
      </c>
      <c r="D802" s="278">
        <v>1800</v>
      </c>
      <c r="E802" s="278" t="s">
        <v>948</v>
      </c>
      <c r="F802" s="278"/>
      <c r="G802" s="278" t="s">
        <v>5</v>
      </c>
      <c r="H802" s="290">
        <v>1</v>
      </c>
      <c r="I802" s="280">
        <f t="shared" si="122"/>
        <v>80.62</v>
      </c>
      <c r="J802" s="281">
        <f t="shared" si="123"/>
        <v>91.43</v>
      </c>
      <c r="K802" s="282">
        <f>IF(Notes!$B$9="Domestic",I802, IF(Notes!$B$9="Commercial",J802))*$K$797</f>
        <v>91.43</v>
      </c>
      <c r="L802" s="283">
        <f>(SUM(O802:Q802)+(K802+SUM(M802:Q802))*(INDEX($U$797:$AB$797,MATCH(Notes!$C$16,$U$3:$AB$3,0))-100%))*$L$797</f>
        <v>599.49519999999995</v>
      </c>
      <c r="M802" s="286"/>
      <c r="N802" s="286"/>
      <c r="O802" s="285">
        <v>458.62</v>
      </c>
      <c r="P802" s="311">
        <f t="shared" si="120"/>
        <v>140.87519999999998</v>
      </c>
      <c r="Q802" s="285"/>
      <c r="R802" s="278">
        <v>1800</v>
      </c>
      <c r="S802" s="278">
        <v>1800</v>
      </c>
      <c r="T802" s="278"/>
    </row>
    <row r="803" spans="1:20" s="305" customFormat="1" hidden="1" outlineLevel="1" x14ac:dyDescent="0.25">
      <c r="A803" s="278"/>
      <c r="B803" s="279" t="str">
        <f t="shared" si="121"/>
        <v>6002100TB/FXW</v>
      </c>
      <c r="C803" s="278">
        <v>600</v>
      </c>
      <c r="D803" s="278">
        <v>2100</v>
      </c>
      <c r="E803" s="278" t="s">
        <v>948</v>
      </c>
      <c r="F803" s="278"/>
      <c r="G803" s="278" t="s">
        <v>5</v>
      </c>
      <c r="H803" s="290">
        <v>2</v>
      </c>
      <c r="I803" s="280">
        <f t="shared" si="122"/>
        <v>161.24</v>
      </c>
      <c r="J803" s="281">
        <f t="shared" si="123"/>
        <v>182.86</v>
      </c>
      <c r="K803" s="282">
        <f>IF(Notes!$B$9="Domestic",I803, IF(Notes!$B$9="Commercial",J803))*$K$797</f>
        <v>182.86</v>
      </c>
      <c r="L803" s="283">
        <f>(SUM(O803:Q803)+(K803+SUM(M803:Q803))*(INDEX($U$797:$AB$797,MATCH(Notes!$C$16,$U$3:$AB$3,0))-100%))*$L$797</f>
        <v>648.80439999999999</v>
      </c>
      <c r="M803" s="286"/>
      <c r="N803" s="286"/>
      <c r="O803" s="285">
        <v>484.45</v>
      </c>
      <c r="P803" s="311">
        <f t="shared" si="120"/>
        <v>164.3544</v>
      </c>
      <c r="Q803" s="285"/>
      <c r="R803" s="278">
        <v>2100</v>
      </c>
      <c r="S803" s="278">
        <v>2100</v>
      </c>
      <c r="T803" s="278"/>
    </row>
    <row r="804" spans="1:20" s="305" customFormat="1" hidden="1" outlineLevel="1" x14ac:dyDescent="0.25">
      <c r="A804" s="278"/>
      <c r="B804" s="279" t="str">
        <f t="shared" si="121"/>
        <v>6002400TB/FXW</v>
      </c>
      <c r="C804" s="278">
        <v>600</v>
      </c>
      <c r="D804" s="278">
        <v>2400</v>
      </c>
      <c r="E804" s="278" t="s">
        <v>948</v>
      </c>
      <c r="F804" s="278"/>
      <c r="G804" s="278" t="s">
        <v>5</v>
      </c>
      <c r="H804" s="290">
        <v>2</v>
      </c>
      <c r="I804" s="280">
        <f t="shared" si="122"/>
        <v>161.24</v>
      </c>
      <c r="J804" s="281">
        <f t="shared" si="123"/>
        <v>182.86</v>
      </c>
      <c r="K804" s="282">
        <f>IF(Notes!$B$9="Domestic",I804, IF(Notes!$B$9="Commercial",J804))*$K$797</f>
        <v>182.86</v>
      </c>
      <c r="L804" s="283">
        <f>(SUM(O804:Q804)+(K804+SUM(M804:Q804))*(INDEX($U$797:$AB$797,MATCH(Notes!$C$16,$U$3:$AB$3,0))-100%))*$L$797</f>
        <v>746.44360000000006</v>
      </c>
      <c r="M804" s="286"/>
      <c r="N804" s="286"/>
      <c r="O804" s="285">
        <v>558.61</v>
      </c>
      <c r="P804" s="311">
        <f t="shared" si="120"/>
        <v>187.83359999999999</v>
      </c>
      <c r="Q804" s="285"/>
      <c r="R804" s="278">
        <v>2400</v>
      </c>
      <c r="S804" s="278">
        <v>2400</v>
      </c>
      <c r="T804" s="278"/>
    </row>
    <row r="805" spans="1:20" s="305" customFormat="1" hidden="1" outlineLevel="1" x14ac:dyDescent="0.25">
      <c r="A805" s="278"/>
      <c r="B805" s="279" t="str">
        <f t="shared" si="121"/>
        <v>6002700TB/FXW</v>
      </c>
      <c r="C805" s="278">
        <v>600</v>
      </c>
      <c r="D805" s="278">
        <v>2700</v>
      </c>
      <c r="E805" s="278" t="s">
        <v>948</v>
      </c>
      <c r="F805" s="278"/>
      <c r="G805" s="278" t="s">
        <v>5</v>
      </c>
      <c r="H805" s="290">
        <v>2</v>
      </c>
      <c r="I805" s="280">
        <f t="shared" si="122"/>
        <v>161.24</v>
      </c>
      <c r="J805" s="281">
        <f t="shared" si="123"/>
        <v>182.86</v>
      </c>
      <c r="K805" s="282">
        <f>IF(Notes!$B$9="Domestic",I805, IF(Notes!$B$9="Commercial",J805))*$K$797</f>
        <v>182.86</v>
      </c>
      <c r="L805" s="283">
        <f>(SUM(O805:Q805)+(K805+SUM(M805:Q805))*(INDEX($U$797:$AB$797,MATCH(Notes!$C$16,$U$3:$AB$3,0))-100%))*$L$797</f>
        <v>1423.3427999999999</v>
      </c>
      <c r="M805" s="286"/>
      <c r="N805" s="286"/>
      <c r="O805" s="285">
        <v>1212.03</v>
      </c>
      <c r="P805" s="311">
        <f t="shared" si="120"/>
        <v>211.31279999999998</v>
      </c>
      <c r="Q805" s="285"/>
      <c r="R805" s="278">
        <v>2700</v>
      </c>
      <c r="S805" s="278">
        <v>2700</v>
      </c>
      <c r="T805" s="278"/>
    </row>
    <row r="806" spans="1:20" s="305" customFormat="1" hidden="1" outlineLevel="1" x14ac:dyDescent="0.25">
      <c r="A806" s="278"/>
      <c r="B806" s="279" t="str">
        <f t="shared" si="121"/>
        <v>900600TB/FXW</v>
      </c>
      <c r="C806" s="278">
        <v>900</v>
      </c>
      <c r="D806" s="278">
        <v>600</v>
      </c>
      <c r="E806" s="278" t="s">
        <v>948</v>
      </c>
      <c r="F806" s="278"/>
      <c r="G806" s="278" t="s">
        <v>5</v>
      </c>
      <c r="H806" s="290">
        <v>1</v>
      </c>
      <c r="I806" s="280">
        <f t="shared" si="122"/>
        <v>80.62</v>
      </c>
      <c r="J806" s="281">
        <f t="shared" si="123"/>
        <v>91.43</v>
      </c>
      <c r="K806" s="282">
        <f>IF(Notes!$B$9="Domestic",I806, IF(Notes!$B$9="Commercial",J806))*$K$797</f>
        <v>91.43</v>
      </c>
      <c r="L806" s="283">
        <f>(SUM(O806:Q806)+(K806+SUM(M806:Q806))*(INDEX($U$797:$AB$797,MATCH(Notes!$C$16,$U$3:$AB$3,0))-100%))*$L$797</f>
        <v>325.98760000000004</v>
      </c>
      <c r="M806" s="286"/>
      <c r="N806" s="286"/>
      <c r="O806" s="285">
        <v>255.55</v>
      </c>
      <c r="P806" s="311">
        <f t="shared" si="120"/>
        <v>70.437600000000003</v>
      </c>
      <c r="Q806" s="285"/>
      <c r="R806" s="278"/>
      <c r="S806" s="278"/>
      <c r="T806" s="278"/>
    </row>
    <row r="807" spans="1:20" s="305" customFormat="1" hidden="1" outlineLevel="1" x14ac:dyDescent="0.25">
      <c r="A807" s="278"/>
      <c r="B807" s="279" t="str">
        <f t="shared" si="121"/>
        <v>900900TB/FXW</v>
      </c>
      <c r="C807" s="278">
        <v>900</v>
      </c>
      <c r="D807" s="278">
        <v>900</v>
      </c>
      <c r="E807" s="278" t="s">
        <v>948</v>
      </c>
      <c r="F807" s="278"/>
      <c r="G807" s="278" t="s">
        <v>5</v>
      </c>
      <c r="H807" s="290">
        <v>1</v>
      </c>
      <c r="I807" s="280">
        <f t="shared" si="122"/>
        <v>80.62</v>
      </c>
      <c r="J807" s="281">
        <f t="shared" si="123"/>
        <v>91.43</v>
      </c>
      <c r="K807" s="282">
        <f>IF(Notes!$B$9="Domestic",I807, IF(Notes!$B$9="Commercial",J807))*$K$797</f>
        <v>91.43</v>
      </c>
      <c r="L807" s="283">
        <f>(SUM(O807:Q807)+(K807+SUM(M807:Q807))*(INDEX($U$797:$AB$797,MATCH(Notes!$C$16,$U$3:$AB$3,0))-100%))*$L$797</f>
        <v>477.46640000000002</v>
      </c>
      <c r="M807" s="286"/>
      <c r="N807" s="286"/>
      <c r="O807" s="285">
        <v>371.81</v>
      </c>
      <c r="P807" s="311">
        <f t="shared" si="120"/>
        <v>105.65639999999999</v>
      </c>
      <c r="Q807" s="285"/>
      <c r="R807" s="278"/>
      <c r="S807" s="278"/>
      <c r="T807" s="278"/>
    </row>
    <row r="808" spans="1:20" s="305" customFormat="1" hidden="1" outlineLevel="1" x14ac:dyDescent="0.25">
      <c r="A808" s="278"/>
      <c r="B808" s="279" t="str">
        <f t="shared" si="121"/>
        <v>9001200TB/FXW</v>
      </c>
      <c r="C808" s="278">
        <v>900</v>
      </c>
      <c r="D808" s="278">
        <v>1200</v>
      </c>
      <c r="E808" s="278" t="s">
        <v>948</v>
      </c>
      <c r="F808" s="278"/>
      <c r="G808" s="278" t="s">
        <v>5</v>
      </c>
      <c r="H808" s="290">
        <v>1</v>
      </c>
      <c r="I808" s="280">
        <f t="shared" si="122"/>
        <v>80.62</v>
      </c>
      <c r="J808" s="281">
        <f t="shared" si="123"/>
        <v>91.43</v>
      </c>
      <c r="K808" s="282">
        <f>IF(Notes!$B$9="Domestic",I808, IF(Notes!$B$9="Commercial",J808))*$K$797</f>
        <v>91.43</v>
      </c>
      <c r="L808" s="283">
        <f>(SUM(O808:Q808)+(K808+SUM(M808:Q808))*(INDEX($U$797:$AB$797,MATCH(Notes!$C$16,$U$3:$AB$3,0))-100%))*$L$797</f>
        <v>615.88519999999994</v>
      </c>
      <c r="M808" s="286"/>
      <c r="N808" s="286"/>
      <c r="O808" s="285">
        <v>475.01</v>
      </c>
      <c r="P808" s="311">
        <f t="shared" si="120"/>
        <v>140.87520000000001</v>
      </c>
      <c r="Q808" s="285"/>
      <c r="R808" s="278"/>
      <c r="S808" s="278"/>
      <c r="T808" s="278"/>
    </row>
    <row r="809" spans="1:20" s="305" customFormat="1" hidden="1" outlineLevel="1" x14ac:dyDescent="0.25">
      <c r="A809" s="278"/>
      <c r="B809" s="279" t="str">
        <f t="shared" si="121"/>
        <v>9001500TB/FXW</v>
      </c>
      <c r="C809" s="278">
        <v>900</v>
      </c>
      <c r="D809" s="278">
        <v>1500</v>
      </c>
      <c r="E809" s="278" t="s">
        <v>948</v>
      </c>
      <c r="F809" s="278"/>
      <c r="G809" s="278" t="s">
        <v>5</v>
      </c>
      <c r="H809" s="290">
        <v>2</v>
      </c>
      <c r="I809" s="280">
        <f t="shared" si="122"/>
        <v>161.24</v>
      </c>
      <c r="J809" s="281">
        <f t="shared" si="123"/>
        <v>182.86</v>
      </c>
      <c r="K809" s="282">
        <f>IF(Notes!$B$9="Domestic",I809, IF(Notes!$B$9="Commercial",J809))*$K$797</f>
        <v>182.86</v>
      </c>
      <c r="L809" s="283">
        <f>(SUM(O809:Q809)+(K809+SUM(M809:Q809))*(INDEX($U$797:$AB$797,MATCH(Notes!$C$16,$U$3:$AB$3,0))-100%))*$L$797</f>
        <v>684.81400000000008</v>
      </c>
      <c r="M809" s="286"/>
      <c r="N809" s="286"/>
      <c r="O809" s="285">
        <v>508.72</v>
      </c>
      <c r="P809" s="311">
        <f t="shared" si="120"/>
        <v>176.09399999999999</v>
      </c>
      <c r="Q809" s="285"/>
      <c r="R809" s="278"/>
      <c r="S809" s="278"/>
      <c r="T809" s="278"/>
    </row>
    <row r="810" spans="1:20" s="305" customFormat="1" hidden="1" outlineLevel="1" x14ac:dyDescent="0.25">
      <c r="A810" s="278"/>
      <c r="B810" s="279" t="str">
        <f t="shared" si="121"/>
        <v>9001800TB/FXW</v>
      </c>
      <c r="C810" s="278">
        <v>900</v>
      </c>
      <c r="D810" s="278">
        <v>1800</v>
      </c>
      <c r="E810" s="278" t="s">
        <v>948</v>
      </c>
      <c r="F810" s="278"/>
      <c r="G810" s="278" t="s">
        <v>5</v>
      </c>
      <c r="H810" s="290">
        <v>2</v>
      </c>
      <c r="I810" s="280">
        <f t="shared" si="122"/>
        <v>161.24</v>
      </c>
      <c r="J810" s="281">
        <f t="shared" si="123"/>
        <v>182.86</v>
      </c>
      <c r="K810" s="282">
        <f>IF(Notes!$B$9="Domestic",I810, IF(Notes!$B$9="Commercial",J810))*$K$797</f>
        <v>182.86</v>
      </c>
      <c r="L810" s="283">
        <f>(SUM(O810:Q810)+(K810+SUM(M810:Q810))*(INDEX($U$797:$AB$797,MATCH(Notes!$C$16,$U$3:$AB$3,0))-100%))*$L$797</f>
        <v>843.69280000000003</v>
      </c>
      <c r="M810" s="286"/>
      <c r="N810" s="286"/>
      <c r="O810" s="285">
        <v>632.38</v>
      </c>
      <c r="P810" s="311">
        <f t="shared" si="120"/>
        <v>211.31279999999998</v>
      </c>
      <c r="Q810" s="285"/>
      <c r="R810" s="278"/>
      <c r="S810" s="278"/>
      <c r="T810" s="278"/>
    </row>
    <row r="811" spans="1:20" s="305" customFormat="1" hidden="1" outlineLevel="1" x14ac:dyDescent="0.25">
      <c r="A811" s="278"/>
      <c r="B811" s="279" t="str">
        <f t="shared" si="121"/>
        <v>9002100TB/FXW</v>
      </c>
      <c r="C811" s="278">
        <v>900</v>
      </c>
      <c r="D811" s="278">
        <v>2100</v>
      </c>
      <c r="E811" s="278" t="s">
        <v>948</v>
      </c>
      <c r="F811" s="278"/>
      <c r="G811" s="278" t="s">
        <v>5</v>
      </c>
      <c r="H811" s="290">
        <v>2</v>
      </c>
      <c r="I811" s="280">
        <f t="shared" si="122"/>
        <v>161.24</v>
      </c>
      <c r="J811" s="281">
        <f t="shared" si="123"/>
        <v>182.86</v>
      </c>
      <c r="K811" s="282">
        <f>IF(Notes!$B$9="Domestic",I811, IF(Notes!$B$9="Commercial",J811))*$K$797</f>
        <v>182.86</v>
      </c>
      <c r="L811" s="283">
        <f>(SUM(O811:Q811)+(K811+SUM(M811:Q811))*(INDEX($U$797:$AB$797,MATCH(Notes!$C$16,$U$3:$AB$3,0))-100%))*$L$797</f>
        <v>978.22160000000008</v>
      </c>
      <c r="M811" s="286"/>
      <c r="N811" s="286"/>
      <c r="O811" s="285">
        <v>731.69</v>
      </c>
      <c r="P811" s="311">
        <f t="shared" si="120"/>
        <v>246.5316</v>
      </c>
      <c r="Q811" s="285"/>
      <c r="R811" s="278"/>
      <c r="S811" s="278"/>
      <c r="T811" s="278"/>
    </row>
    <row r="812" spans="1:20" s="305" customFormat="1" hidden="1" outlineLevel="1" x14ac:dyDescent="0.25">
      <c r="A812" s="278"/>
      <c r="B812" s="279" t="str">
        <f t="shared" si="121"/>
        <v>9002400TB/FXW</v>
      </c>
      <c r="C812" s="278">
        <v>900</v>
      </c>
      <c r="D812" s="278">
        <v>2400</v>
      </c>
      <c r="E812" s="278" t="s">
        <v>948</v>
      </c>
      <c r="F812" s="278"/>
      <c r="G812" s="278" t="s">
        <v>5</v>
      </c>
      <c r="H812" s="290">
        <v>3</v>
      </c>
      <c r="I812" s="280">
        <f t="shared" si="122"/>
        <v>241.86</v>
      </c>
      <c r="J812" s="281">
        <f t="shared" si="123"/>
        <v>274.29000000000002</v>
      </c>
      <c r="K812" s="282">
        <f>IF(Notes!$B$9="Domestic",I812, IF(Notes!$B$9="Commercial",J812))*$K$797</f>
        <v>274.29000000000002</v>
      </c>
      <c r="L812" s="283">
        <f>(SUM(O812:Q812)+(K812+SUM(M812:Q812))*(INDEX($U$797:$AB$797,MATCH(Notes!$C$16,$U$3:$AB$3,0))-100%))*$L$797</f>
        <v>1088.0804000000001</v>
      </c>
      <c r="M812" s="286"/>
      <c r="N812" s="286"/>
      <c r="O812" s="285">
        <v>806.33</v>
      </c>
      <c r="P812" s="311">
        <f t="shared" si="120"/>
        <v>281.75040000000001</v>
      </c>
      <c r="Q812" s="285"/>
      <c r="R812" s="278"/>
      <c r="S812" s="278"/>
      <c r="T812" s="278"/>
    </row>
    <row r="813" spans="1:20" s="305" customFormat="1" hidden="1" outlineLevel="1" x14ac:dyDescent="0.25">
      <c r="A813" s="278"/>
      <c r="B813" s="279" t="str">
        <f t="shared" si="121"/>
        <v>9002700TB/FXW</v>
      </c>
      <c r="C813" s="278">
        <v>900</v>
      </c>
      <c r="D813" s="278">
        <v>2700</v>
      </c>
      <c r="E813" s="278" t="s">
        <v>948</v>
      </c>
      <c r="F813" s="278"/>
      <c r="G813" s="278" t="s">
        <v>5</v>
      </c>
      <c r="H813" s="290">
        <v>3</v>
      </c>
      <c r="I813" s="280">
        <f t="shared" si="122"/>
        <v>241.86</v>
      </c>
      <c r="J813" s="281">
        <f t="shared" si="123"/>
        <v>274.29000000000002</v>
      </c>
      <c r="K813" s="282">
        <f>IF(Notes!$B$9="Domestic",I813, IF(Notes!$B$9="Commercial",J813))*$K$797</f>
        <v>274.29000000000002</v>
      </c>
      <c r="L813" s="283">
        <f>(SUM(O813:Q813)+(K813+SUM(M813:Q813))*(INDEX($U$797:$AB$797,MATCH(Notes!$C$16,$U$3:$AB$3,0))-100%))*$L$797</f>
        <v>1599.9592</v>
      </c>
      <c r="M813" s="286"/>
      <c r="N813" s="286"/>
      <c r="O813" s="285">
        <v>1282.99</v>
      </c>
      <c r="P813" s="311">
        <f t="shared" si="120"/>
        <v>316.9692</v>
      </c>
      <c r="Q813" s="285"/>
      <c r="R813" s="278"/>
      <c r="S813" s="278"/>
      <c r="T813" s="278"/>
    </row>
    <row r="814" spans="1:20" s="305" customFormat="1" hidden="1" outlineLevel="1" x14ac:dyDescent="0.25">
      <c r="A814" s="278"/>
      <c r="B814" s="279" t="str">
        <f t="shared" si="121"/>
        <v>1200600TB/FXW</v>
      </c>
      <c r="C814" s="278">
        <v>1200</v>
      </c>
      <c r="D814" s="278">
        <v>600</v>
      </c>
      <c r="E814" s="278" t="s">
        <v>948</v>
      </c>
      <c r="F814" s="278"/>
      <c r="G814" s="278" t="s">
        <v>5</v>
      </c>
      <c r="H814" s="290">
        <v>1</v>
      </c>
      <c r="I814" s="280">
        <f t="shared" si="122"/>
        <v>80.62</v>
      </c>
      <c r="J814" s="281">
        <f t="shared" si="123"/>
        <v>91.43</v>
      </c>
      <c r="K814" s="282">
        <f>IF(Notes!$B$9="Domestic",I814, IF(Notes!$B$9="Commercial",J814))*$K$797</f>
        <v>91.43</v>
      </c>
      <c r="L814" s="283">
        <f>(SUM(O814:Q814)+(K814+SUM(M814:Q814))*(INDEX($U$797:$AB$797,MATCH(Notes!$C$16,$U$3:$AB$3,0))-100%))*$L$797</f>
        <v>426.61680000000001</v>
      </c>
      <c r="M814" s="286"/>
      <c r="N814" s="286"/>
      <c r="O814" s="285">
        <v>332.7</v>
      </c>
      <c r="P814" s="311">
        <f t="shared" si="120"/>
        <v>93.916799999999995</v>
      </c>
      <c r="Q814" s="285"/>
      <c r="R814" s="278"/>
      <c r="S814" s="278"/>
      <c r="T814" s="278"/>
    </row>
    <row r="815" spans="1:20" s="305" customFormat="1" hidden="1" outlineLevel="1" x14ac:dyDescent="0.25">
      <c r="A815" s="278"/>
      <c r="B815" s="279" t="str">
        <f t="shared" si="121"/>
        <v>1200900TB/FXW</v>
      </c>
      <c r="C815" s="278">
        <v>1200</v>
      </c>
      <c r="D815" s="278">
        <v>900</v>
      </c>
      <c r="E815" s="278" t="s">
        <v>948</v>
      </c>
      <c r="F815" s="278"/>
      <c r="G815" s="278" t="s">
        <v>5</v>
      </c>
      <c r="H815" s="290">
        <v>1</v>
      </c>
      <c r="I815" s="280">
        <f t="shared" si="122"/>
        <v>80.62</v>
      </c>
      <c r="J815" s="281">
        <f t="shared" si="123"/>
        <v>91.43</v>
      </c>
      <c r="K815" s="282">
        <f>IF(Notes!$B$9="Domestic",I815, IF(Notes!$B$9="Commercial",J815))*$K$797</f>
        <v>91.43</v>
      </c>
      <c r="L815" s="283">
        <f>(SUM(O815:Q815)+(K815+SUM(M815:Q815))*(INDEX($U$797:$AB$797,MATCH(Notes!$C$16,$U$3:$AB$3,0))-100%))*$L$797</f>
        <v>615.6952</v>
      </c>
      <c r="M815" s="286"/>
      <c r="N815" s="286"/>
      <c r="O815" s="285">
        <v>474.82</v>
      </c>
      <c r="P815" s="311">
        <f t="shared" si="120"/>
        <v>140.87519999999998</v>
      </c>
      <c r="Q815" s="285"/>
      <c r="R815" s="278"/>
      <c r="S815" s="278"/>
      <c r="T815" s="278"/>
    </row>
    <row r="816" spans="1:20" s="305" customFormat="1" hidden="1" outlineLevel="1" x14ac:dyDescent="0.25">
      <c r="A816" s="278"/>
      <c r="B816" s="279" t="str">
        <f t="shared" si="121"/>
        <v>12001200TB/FXW</v>
      </c>
      <c r="C816" s="278">
        <v>1200</v>
      </c>
      <c r="D816" s="278">
        <v>1200</v>
      </c>
      <c r="E816" s="278" t="s">
        <v>948</v>
      </c>
      <c r="F816" s="278"/>
      <c r="G816" s="278" t="s">
        <v>5</v>
      </c>
      <c r="H816" s="290">
        <v>2</v>
      </c>
      <c r="I816" s="280">
        <f t="shared" si="122"/>
        <v>161.24</v>
      </c>
      <c r="J816" s="281">
        <f t="shared" si="123"/>
        <v>182.86</v>
      </c>
      <c r="K816" s="282">
        <f>IF(Notes!$B$9="Domestic",I816, IF(Notes!$B$9="Commercial",J816))*$K$797</f>
        <v>182.86</v>
      </c>
      <c r="L816" s="283">
        <f>(SUM(O816:Q816)+(K816+SUM(M816:Q816))*(INDEX($U$797:$AB$797,MATCH(Notes!$C$16,$U$3:$AB$3,0))-100%))*$L$797</f>
        <v>741.42360000000008</v>
      </c>
      <c r="M816" s="286"/>
      <c r="N816" s="286"/>
      <c r="O816" s="285">
        <v>553.59</v>
      </c>
      <c r="P816" s="311">
        <f t="shared" si="120"/>
        <v>187.83359999999999</v>
      </c>
      <c r="Q816" s="285"/>
      <c r="R816" s="278"/>
      <c r="S816" s="278"/>
      <c r="T816" s="278"/>
    </row>
    <row r="817" spans="1:20" s="305" customFormat="1" hidden="1" outlineLevel="1" x14ac:dyDescent="0.25">
      <c r="A817" s="278"/>
      <c r="B817" s="279" t="str">
        <f t="shared" si="121"/>
        <v>12001500TB/FXW</v>
      </c>
      <c r="C817" s="278">
        <v>1200</v>
      </c>
      <c r="D817" s="278">
        <v>1500</v>
      </c>
      <c r="E817" s="278" t="s">
        <v>948</v>
      </c>
      <c r="F817" s="278"/>
      <c r="G817" s="278" t="s">
        <v>5</v>
      </c>
      <c r="H817" s="290">
        <v>2</v>
      </c>
      <c r="I817" s="280">
        <f t="shared" si="122"/>
        <v>161.24</v>
      </c>
      <c r="J817" s="281">
        <f t="shared" si="123"/>
        <v>182.86</v>
      </c>
      <c r="K817" s="282">
        <f>IF(Notes!$B$9="Domestic",I817, IF(Notes!$B$9="Commercial",J817))*$K$797</f>
        <v>182.86</v>
      </c>
      <c r="L817" s="283">
        <f>(SUM(O817:Q817)+(K817+SUM(M817:Q817))*(INDEX($U$797:$AB$797,MATCH(Notes!$C$16,$U$3:$AB$3,0))-100%))*$L$797</f>
        <v>916.23200000000008</v>
      </c>
      <c r="M817" s="286"/>
      <c r="N817" s="286"/>
      <c r="O817" s="285">
        <v>681.44</v>
      </c>
      <c r="P817" s="311">
        <f t="shared" si="120"/>
        <v>234.792</v>
      </c>
      <c r="Q817" s="285"/>
      <c r="R817" s="278"/>
      <c r="S817" s="278"/>
      <c r="T817" s="278"/>
    </row>
    <row r="818" spans="1:20" s="305" customFormat="1" hidden="1" outlineLevel="1" x14ac:dyDescent="0.25">
      <c r="A818" s="278"/>
      <c r="B818" s="279" t="str">
        <f t="shared" si="121"/>
        <v>12001800TB/FXW</v>
      </c>
      <c r="C818" s="278">
        <v>1200</v>
      </c>
      <c r="D818" s="278">
        <v>1800</v>
      </c>
      <c r="E818" s="278" t="s">
        <v>948</v>
      </c>
      <c r="F818" s="278"/>
      <c r="G818" s="278" t="s">
        <v>5</v>
      </c>
      <c r="H818" s="290">
        <v>3</v>
      </c>
      <c r="I818" s="280">
        <f t="shared" si="122"/>
        <v>241.86</v>
      </c>
      <c r="J818" s="281">
        <f t="shared" si="123"/>
        <v>274.29000000000002</v>
      </c>
      <c r="K818" s="282">
        <f>IF(Notes!$B$9="Domestic",I818, IF(Notes!$B$9="Commercial",J818))*$K$797</f>
        <v>274.29000000000002</v>
      </c>
      <c r="L818" s="283">
        <f>(SUM(O818:Q818)+(K818+SUM(M818:Q818))*(INDEX($U$797:$AB$797,MATCH(Notes!$C$16,$U$3:$AB$3,0))-100%))*$L$797</f>
        <v>1087.3304000000001</v>
      </c>
      <c r="M818" s="286"/>
      <c r="N818" s="286"/>
      <c r="O818" s="285">
        <v>805.58</v>
      </c>
      <c r="P818" s="311">
        <f t="shared" si="120"/>
        <v>281.75039999999996</v>
      </c>
      <c r="Q818" s="285"/>
      <c r="R818" s="278"/>
      <c r="S818" s="278"/>
      <c r="T818" s="278"/>
    </row>
    <row r="819" spans="1:20" s="305" customFormat="1" hidden="1" outlineLevel="1" x14ac:dyDescent="0.25">
      <c r="A819" s="278"/>
      <c r="B819" s="279" t="str">
        <f t="shared" si="121"/>
        <v>12002100TB/FXW</v>
      </c>
      <c r="C819" s="278">
        <v>1200</v>
      </c>
      <c r="D819" s="278">
        <v>2100</v>
      </c>
      <c r="E819" s="278" t="s">
        <v>948</v>
      </c>
      <c r="F819" s="278"/>
      <c r="G819" s="278" t="s">
        <v>5</v>
      </c>
      <c r="H819" s="290">
        <v>3</v>
      </c>
      <c r="I819" s="280">
        <f t="shared" si="122"/>
        <v>241.86</v>
      </c>
      <c r="J819" s="281">
        <f t="shared" si="123"/>
        <v>274.29000000000002</v>
      </c>
      <c r="K819" s="282">
        <f>IF(Notes!$B$9="Domestic",I819, IF(Notes!$B$9="Commercial",J819))*$K$797</f>
        <v>274.29000000000002</v>
      </c>
      <c r="L819" s="283">
        <f>(SUM(O819:Q819)+(K819+SUM(M819:Q819))*(INDEX($U$797:$AB$797,MATCH(Notes!$C$16,$U$3:$AB$3,0))-100%))*$L$797</f>
        <v>1234.0688</v>
      </c>
      <c r="M819" s="286"/>
      <c r="N819" s="286"/>
      <c r="O819" s="285">
        <v>905.36</v>
      </c>
      <c r="P819" s="311">
        <f t="shared" si="120"/>
        <v>328.7088</v>
      </c>
      <c r="Q819" s="285"/>
      <c r="R819" s="278"/>
      <c r="S819" s="278"/>
      <c r="T819" s="278"/>
    </row>
    <row r="820" spans="1:20" s="305" customFormat="1" hidden="1" outlineLevel="1" x14ac:dyDescent="0.25">
      <c r="A820" s="278"/>
      <c r="B820" s="279" t="str">
        <f t="shared" si="121"/>
        <v>12002400TB/FXW</v>
      </c>
      <c r="C820" s="278">
        <v>1200</v>
      </c>
      <c r="D820" s="278">
        <v>2400</v>
      </c>
      <c r="E820" s="278" t="s">
        <v>948</v>
      </c>
      <c r="F820" s="278"/>
      <c r="G820" s="278" t="s">
        <v>5</v>
      </c>
      <c r="H820" s="290">
        <v>3</v>
      </c>
      <c r="I820" s="280">
        <f t="shared" si="122"/>
        <v>241.86</v>
      </c>
      <c r="J820" s="281">
        <f t="shared" si="123"/>
        <v>274.29000000000002</v>
      </c>
      <c r="K820" s="282">
        <f>IF(Notes!$B$9="Domestic",I820, IF(Notes!$B$9="Commercial",J820))*$K$797</f>
        <v>274.29000000000002</v>
      </c>
      <c r="L820" s="283">
        <f>(SUM(O820:Q820)+(K820+SUM(M820:Q820))*(INDEX($U$797:$AB$797,MATCH(Notes!$C$16,$U$3:$AB$3,0))-100%))*$L$797</f>
        <v>1380.4672</v>
      </c>
      <c r="M820" s="286"/>
      <c r="N820" s="286"/>
      <c r="O820" s="285">
        <v>1004.8</v>
      </c>
      <c r="P820" s="311">
        <f t="shared" si="120"/>
        <v>375.66719999999998</v>
      </c>
      <c r="Q820" s="285"/>
      <c r="R820" s="278"/>
      <c r="S820" s="278"/>
      <c r="T820" s="278"/>
    </row>
    <row r="821" spans="1:20" s="305" customFormat="1" hidden="1" outlineLevel="1" x14ac:dyDescent="0.25">
      <c r="A821" s="278"/>
      <c r="B821" s="279" t="str">
        <f t="shared" si="121"/>
        <v>12002700TB/FXW</v>
      </c>
      <c r="C821" s="278">
        <v>1200</v>
      </c>
      <c r="D821" s="278">
        <v>2700</v>
      </c>
      <c r="E821" s="278" t="s">
        <v>948</v>
      </c>
      <c r="F821" s="278"/>
      <c r="G821" s="278" t="s">
        <v>5</v>
      </c>
      <c r="H821" s="290">
        <v>4</v>
      </c>
      <c r="I821" s="280">
        <f t="shared" si="122"/>
        <v>322.48</v>
      </c>
      <c r="J821" s="281">
        <f t="shared" si="123"/>
        <v>365.72</v>
      </c>
      <c r="K821" s="282">
        <f>IF(Notes!$B$9="Domestic",I821, IF(Notes!$B$9="Commercial",J821))*$K$797</f>
        <v>365.72</v>
      </c>
      <c r="L821" s="283">
        <f>(SUM(O821:Q821)+(K821+SUM(M821:Q821))*(INDEX($U$797:$AB$797,MATCH(Notes!$C$16,$U$3:$AB$3,0))-100%))*$L$797</f>
        <v>1776.0056</v>
      </c>
      <c r="M821" s="286"/>
      <c r="N821" s="286"/>
      <c r="O821" s="285">
        <v>1353.38</v>
      </c>
      <c r="P821" s="311">
        <f t="shared" si="120"/>
        <v>422.62559999999996</v>
      </c>
      <c r="Q821" s="285"/>
      <c r="R821" s="278"/>
      <c r="S821" s="278"/>
      <c r="T821" s="278"/>
    </row>
    <row r="822" spans="1:20" s="305" customFormat="1" hidden="1" outlineLevel="1" x14ac:dyDescent="0.25">
      <c r="A822" s="278"/>
      <c r="B822" s="279" t="str">
        <f t="shared" si="121"/>
        <v>1500600TB/FXW</v>
      </c>
      <c r="C822" s="278">
        <v>1500</v>
      </c>
      <c r="D822" s="278">
        <v>600</v>
      </c>
      <c r="E822" s="278" t="s">
        <v>948</v>
      </c>
      <c r="F822" s="278"/>
      <c r="G822" s="278" t="s">
        <v>5</v>
      </c>
      <c r="H822" s="290">
        <v>1</v>
      </c>
      <c r="I822" s="280">
        <f t="shared" si="122"/>
        <v>80.62</v>
      </c>
      <c r="J822" s="281">
        <f t="shared" si="123"/>
        <v>91.43</v>
      </c>
      <c r="K822" s="282">
        <f>IF(Notes!$B$9="Domestic",I822, IF(Notes!$B$9="Commercial",J822))*$K$797</f>
        <v>91.43</v>
      </c>
      <c r="L822" s="283">
        <f>(SUM(O822:Q822)+(K822+SUM(M822:Q822))*(INDEX($U$797:$AB$797,MATCH(Notes!$C$16,$U$3:$AB$3,0))-100%))*$L$797</f>
        <v>515.08600000000001</v>
      </c>
      <c r="M822" s="286"/>
      <c r="N822" s="286"/>
      <c r="O822" s="285">
        <v>397.69</v>
      </c>
      <c r="P822" s="311">
        <f t="shared" si="120"/>
        <v>117.396</v>
      </c>
      <c r="Q822" s="285"/>
      <c r="R822" s="278"/>
      <c r="S822" s="278"/>
      <c r="T822" s="278"/>
    </row>
    <row r="823" spans="1:20" s="305" customFormat="1" hidden="1" outlineLevel="1" x14ac:dyDescent="0.25">
      <c r="A823" s="278"/>
      <c r="B823" s="279" t="str">
        <f t="shared" si="121"/>
        <v>1500900TB/FXW</v>
      </c>
      <c r="C823" s="278">
        <v>1500</v>
      </c>
      <c r="D823" s="278">
        <v>900</v>
      </c>
      <c r="E823" s="278" t="s">
        <v>948</v>
      </c>
      <c r="F823" s="278"/>
      <c r="G823" s="278" t="s">
        <v>5</v>
      </c>
      <c r="H823" s="290">
        <v>2</v>
      </c>
      <c r="I823" s="280">
        <f t="shared" si="122"/>
        <v>161.24</v>
      </c>
      <c r="J823" s="281">
        <f t="shared" si="123"/>
        <v>182.86</v>
      </c>
      <c r="K823" s="282">
        <f>IF(Notes!$B$9="Domestic",I823, IF(Notes!$B$9="Commercial",J823))*$K$797</f>
        <v>182.86</v>
      </c>
      <c r="L823" s="283">
        <f>(SUM(O823:Q823)+(K823+SUM(M823:Q823))*(INDEX($U$797:$AB$797,MATCH(Notes!$C$16,$U$3:$AB$3,0))-100%))*$L$797</f>
        <v>703.654</v>
      </c>
      <c r="M823" s="286"/>
      <c r="N823" s="286"/>
      <c r="O823" s="285">
        <v>527.55999999999995</v>
      </c>
      <c r="P823" s="311">
        <f t="shared" si="120"/>
        <v>176.09399999999999</v>
      </c>
      <c r="Q823" s="285"/>
      <c r="R823" s="278"/>
      <c r="S823" s="278"/>
      <c r="T823" s="278"/>
    </row>
    <row r="824" spans="1:20" s="305" customFormat="1" hidden="1" outlineLevel="1" x14ac:dyDescent="0.25">
      <c r="A824" s="278"/>
      <c r="B824" s="279" t="str">
        <f t="shared" si="121"/>
        <v>15001200TB/FXW</v>
      </c>
      <c r="C824" s="278">
        <v>1500</v>
      </c>
      <c r="D824" s="278">
        <v>1200</v>
      </c>
      <c r="E824" s="278" t="s">
        <v>948</v>
      </c>
      <c r="F824" s="278"/>
      <c r="G824" s="278" t="s">
        <v>5</v>
      </c>
      <c r="H824" s="290">
        <v>2</v>
      </c>
      <c r="I824" s="280">
        <f t="shared" si="122"/>
        <v>161.24</v>
      </c>
      <c r="J824" s="281">
        <f t="shared" si="123"/>
        <v>182.86</v>
      </c>
      <c r="K824" s="282">
        <f>IF(Notes!$B$9="Domestic",I824, IF(Notes!$B$9="Commercial",J824))*$K$797</f>
        <v>182.86</v>
      </c>
      <c r="L824" s="283">
        <f>(SUM(O824:Q824)+(K824+SUM(M824:Q824))*(INDEX($U$797:$AB$797,MATCH(Notes!$C$16,$U$3:$AB$3,0))-100%))*$L$797</f>
        <v>879.39200000000005</v>
      </c>
      <c r="M824" s="286"/>
      <c r="N824" s="286"/>
      <c r="O824" s="285">
        <v>644.6</v>
      </c>
      <c r="P824" s="311">
        <f t="shared" si="120"/>
        <v>234.792</v>
      </c>
      <c r="Q824" s="285"/>
      <c r="R824" s="278"/>
      <c r="S824" s="278"/>
      <c r="T824" s="278"/>
    </row>
    <row r="825" spans="1:20" s="305" customFormat="1" hidden="1" outlineLevel="1" x14ac:dyDescent="0.25">
      <c r="A825" s="278"/>
      <c r="B825" s="279" t="str">
        <f t="shared" si="121"/>
        <v>15001500TB/FXW</v>
      </c>
      <c r="C825" s="278">
        <v>1500</v>
      </c>
      <c r="D825" s="278">
        <v>1500</v>
      </c>
      <c r="E825" s="278" t="s">
        <v>948</v>
      </c>
      <c r="F825" s="278"/>
      <c r="G825" s="278" t="s">
        <v>5</v>
      </c>
      <c r="H825" s="290">
        <v>3</v>
      </c>
      <c r="I825" s="280">
        <f t="shared" si="122"/>
        <v>241.86</v>
      </c>
      <c r="J825" s="281">
        <f t="shared" si="123"/>
        <v>274.29000000000002</v>
      </c>
      <c r="K825" s="282">
        <f>IF(Notes!$B$9="Domestic",I825, IF(Notes!$B$9="Commercial",J825))*$K$797</f>
        <v>274.29000000000002</v>
      </c>
      <c r="L825" s="283">
        <f>(SUM(O825:Q825)+(K825+SUM(M825:Q825))*(INDEX($U$797:$AB$797,MATCH(Notes!$C$16,$U$3:$AB$3,0))-100%))*$L$797</f>
        <v>1123.8800000000001</v>
      </c>
      <c r="M825" s="286"/>
      <c r="N825" s="286"/>
      <c r="O825" s="285">
        <v>830.39</v>
      </c>
      <c r="P825" s="311">
        <f t="shared" si="120"/>
        <v>293.49</v>
      </c>
      <c r="Q825" s="285"/>
      <c r="R825" s="278"/>
      <c r="S825" s="278"/>
      <c r="T825" s="278"/>
    </row>
    <row r="826" spans="1:20" s="305" customFormat="1" hidden="1" outlineLevel="1" x14ac:dyDescent="0.25">
      <c r="A826" s="278"/>
      <c r="B826" s="279" t="str">
        <f t="shared" si="121"/>
        <v>15001800TB/FXW</v>
      </c>
      <c r="C826" s="278">
        <v>1500</v>
      </c>
      <c r="D826" s="278">
        <v>1800</v>
      </c>
      <c r="E826" s="278" t="s">
        <v>948</v>
      </c>
      <c r="F826" s="278"/>
      <c r="G826" s="278" t="s">
        <v>5</v>
      </c>
      <c r="H826" s="290">
        <v>3</v>
      </c>
      <c r="I826" s="280">
        <f t="shared" si="122"/>
        <v>241.86</v>
      </c>
      <c r="J826" s="281">
        <f t="shared" si="123"/>
        <v>274.29000000000002</v>
      </c>
      <c r="K826" s="282">
        <f>IF(Notes!$B$9="Domestic",I826, IF(Notes!$B$9="Commercial",J826))*$K$797</f>
        <v>274.29000000000002</v>
      </c>
      <c r="L826" s="283">
        <f>(SUM(O826:Q826)+(K826+SUM(M826:Q826))*(INDEX($U$797:$AB$797,MATCH(Notes!$C$16,$U$3:$AB$3,0))-100%))*$L$797</f>
        <v>1282.818</v>
      </c>
      <c r="M826" s="286"/>
      <c r="N826" s="286"/>
      <c r="O826" s="285">
        <v>930.63</v>
      </c>
      <c r="P826" s="311">
        <f t="shared" si="120"/>
        <v>352.18799999999999</v>
      </c>
      <c r="Q826" s="285"/>
      <c r="R826" s="278"/>
      <c r="S826" s="278"/>
      <c r="T826" s="278"/>
    </row>
    <row r="827" spans="1:20" s="305" customFormat="1" hidden="1" outlineLevel="1" x14ac:dyDescent="0.25">
      <c r="A827" s="278"/>
      <c r="B827" s="279" t="str">
        <f t="shared" si="121"/>
        <v>15002100TB/FXW</v>
      </c>
      <c r="C827" s="278">
        <v>1500</v>
      </c>
      <c r="D827" s="278">
        <v>2100</v>
      </c>
      <c r="E827" s="278" t="s">
        <v>948</v>
      </c>
      <c r="F827" s="278"/>
      <c r="G827" s="278" t="s">
        <v>5</v>
      </c>
      <c r="H827" s="290">
        <v>4</v>
      </c>
      <c r="I827" s="280">
        <f t="shared" si="122"/>
        <v>322.48</v>
      </c>
      <c r="J827" s="281">
        <f t="shared" si="123"/>
        <v>365.72</v>
      </c>
      <c r="K827" s="282">
        <f>IF(Notes!$B$9="Domestic",I827, IF(Notes!$B$9="Commercial",J827))*$K$797</f>
        <v>365.72</v>
      </c>
      <c r="L827" s="283">
        <f>(SUM(O827:Q827)+(K827+SUM(M827:Q827))*(INDEX($U$797:$AB$797,MATCH(Notes!$C$16,$U$3:$AB$3,0))-100%))*$L$797</f>
        <v>1514.806</v>
      </c>
      <c r="M827" s="286"/>
      <c r="N827" s="286"/>
      <c r="O827" s="285">
        <v>1103.92</v>
      </c>
      <c r="P827" s="311">
        <f t="shared" si="120"/>
        <v>410.88600000000002</v>
      </c>
      <c r="Q827" s="285"/>
      <c r="R827" s="278"/>
      <c r="S827" s="278"/>
      <c r="T827" s="278"/>
    </row>
    <row r="828" spans="1:20" s="305" customFormat="1" hidden="1" outlineLevel="1" x14ac:dyDescent="0.25">
      <c r="A828" s="278"/>
      <c r="B828" s="279" t="str">
        <f t="shared" si="121"/>
        <v>15002400TB/FXW</v>
      </c>
      <c r="C828" s="278">
        <v>1500</v>
      </c>
      <c r="D828" s="278">
        <v>2400</v>
      </c>
      <c r="E828" s="278" t="s">
        <v>948</v>
      </c>
      <c r="F828" s="278"/>
      <c r="G828" s="278" t="s">
        <v>5</v>
      </c>
      <c r="H828" s="290">
        <v>4</v>
      </c>
      <c r="I828" s="280">
        <f t="shared" si="122"/>
        <v>322.48</v>
      </c>
      <c r="J828" s="281">
        <f t="shared" si="123"/>
        <v>365.72</v>
      </c>
      <c r="K828" s="282">
        <f>IF(Notes!$B$9="Domestic",I828, IF(Notes!$B$9="Commercial",J828))*$K$797</f>
        <v>365.72</v>
      </c>
      <c r="L828" s="283">
        <f>(SUM(O828:Q828)+(K828+SUM(M828:Q828))*(INDEX($U$797:$AB$797,MATCH(Notes!$C$16,$U$3:$AB$3,0))-100%))*$L$797</f>
        <v>1624.7140000000002</v>
      </c>
      <c r="M828" s="286"/>
      <c r="N828" s="286"/>
      <c r="O828" s="285">
        <v>1155.1300000000001</v>
      </c>
      <c r="P828" s="311">
        <f t="shared" si="120"/>
        <v>469.584</v>
      </c>
      <c r="Q828" s="285"/>
      <c r="R828" s="278"/>
      <c r="S828" s="278"/>
      <c r="T828" s="278"/>
    </row>
    <row r="829" spans="1:20" s="305" customFormat="1" hidden="1" outlineLevel="1" x14ac:dyDescent="0.25">
      <c r="A829" s="278"/>
      <c r="B829" s="279" t="str">
        <f t="shared" si="121"/>
        <v>15002700TB/FXW</v>
      </c>
      <c r="C829" s="278">
        <v>1500</v>
      </c>
      <c r="D829" s="278">
        <v>2700</v>
      </c>
      <c r="E829" s="278" t="s">
        <v>948</v>
      </c>
      <c r="F829" s="278"/>
      <c r="G829" s="278" t="s">
        <v>5</v>
      </c>
      <c r="H829" s="290">
        <v>4</v>
      </c>
      <c r="I829" s="280">
        <f t="shared" si="122"/>
        <v>322.48</v>
      </c>
      <c r="J829" s="281">
        <f t="shared" si="123"/>
        <v>365.72</v>
      </c>
      <c r="K829" s="282">
        <f>IF(Notes!$B$9="Domestic",I829, IF(Notes!$B$9="Commercial",J829))*$K$797</f>
        <v>365.72</v>
      </c>
      <c r="L829" s="283">
        <f>(SUM(O829:Q829)+(K829+SUM(M829:Q829))*(INDEX($U$797:$AB$797,MATCH(Notes!$C$16,$U$3:$AB$3,0))-100%))*$L$797</f>
        <v>1952.6120000000001</v>
      </c>
      <c r="M829" s="286"/>
      <c r="N829" s="286"/>
      <c r="O829" s="285">
        <v>1424.33</v>
      </c>
      <c r="P829" s="311">
        <f t="shared" si="120"/>
        <v>528.28200000000004</v>
      </c>
      <c r="Q829" s="285"/>
      <c r="R829" s="278"/>
      <c r="S829" s="278"/>
      <c r="T829" s="278"/>
    </row>
    <row r="830" spans="1:20" s="305" customFormat="1" hidden="1" outlineLevel="1" x14ac:dyDescent="0.25">
      <c r="A830" s="278"/>
      <c r="B830" s="279" t="str">
        <f t="shared" si="121"/>
        <v>1800600TB/FXW</v>
      </c>
      <c r="C830" s="278">
        <v>1800</v>
      </c>
      <c r="D830" s="278">
        <v>600</v>
      </c>
      <c r="E830" s="278" t="s">
        <v>948</v>
      </c>
      <c r="F830" s="278"/>
      <c r="G830" s="278" t="s">
        <v>5</v>
      </c>
      <c r="H830" s="290">
        <v>1</v>
      </c>
      <c r="I830" s="280">
        <f t="shared" si="122"/>
        <v>80.62</v>
      </c>
      <c r="J830" s="281">
        <f t="shared" si="123"/>
        <v>91.43</v>
      </c>
      <c r="K830" s="282">
        <f>IF(Notes!$B$9="Domestic",I830, IF(Notes!$B$9="Commercial",J830))*$K$797</f>
        <v>91.43</v>
      </c>
      <c r="L830" s="283">
        <f>(SUM(O830:Q830)+(K830+SUM(M830:Q830))*(INDEX($U$797:$AB$797,MATCH(Notes!$C$16,$U$3:$AB$3,0))-100%))*$L$797</f>
        <v>616.25520000000006</v>
      </c>
      <c r="M830" s="286"/>
      <c r="N830" s="286"/>
      <c r="O830" s="285">
        <v>475.38</v>
      </c>
      <c r="P830" s="311">
        <f t="shared" si="120"/>
        <v>140.87520000000001</v>
      </c>
      <c r="Q830" s="285"/>
      <c r="R830" s="278"/>
      <c r="S830" s="278"/>
      <c r="T830" s="278"/>
    </row>
    <row r="831" spans="1:20" s="305" customFormat="1" hidden="1" outlineLevel="1" x14ac:dyDescent="0.25">
      <c r="A831" s="278"/>
      <c r="B831" s="279" t="str">
        <f t="shared" si="121"/>
        <v>1800900TB/FXW</v>
      </c>
      <c r="C831" s="278">
        <v>1800</v>
      </c>
      <c r="D831" s="278">
        <v>900</v>
      </c>
      <c r="E831" s="278" t="s">
        <v>948</v>
      </c>
      <c r="F831" s="278"/>
      <c r="G831" s="278" t="s">
        <v>5</v>
      </c>
      <c r="H831" s="290">
        <v>2</v>
      </c>
      <c r="I831" s="280">
        <f t="shared" si="122"/>
        <v>161.24</v>
      </c>
      <c r="J831" s="281">
        <f t="shared" si="123"/>
        <v>182.86</v>
      </c>
      <c r="K831" s="282">
        <f>IF(Notes!$B$9="Domestic",I831, IF(Notes!$B$9="Commercial",J831))*$K$797</f>
        <v>182.86</v>
      </c>
      <c r="L831" s="283">
        <f>(SUM(O831:Q831)+(K831+SUM(M831:Q831))*(INDEX($U$797:$AB$797,MATCH(Notes!$C$16,$U$3:$AB$3,0))-100%))*$L$797</f>
        <v>829.7328</v>
      </c>
      <c r="M831" s="286"/>
      <c r="N831" s="286"/>
      <c r="O831" s="285">
        <v>618.41999999999996</v>
      </c>
      <c r="P831" s="311">
        <f t="shared" si="120"/>
        <v>211.31279999999998</v>
      </c>
      <c r="Q831" s="285"/>
      <c r="R831" s="278"/>
      <c r="S831" s="278"/>
      <c r="T831" s="278"/>
    </row>
    <row r="832" spans="1:20" s="305" customFormat="1" hidden="1" outlineLevel="1" x14ac:dyDescent="0.25">
      <c r="A832" s="278"/>
      <c r="B832" s="279" t="str">
        <f t="shared" si="121"/>
        <v>18001200TB/FXW</v>
      </c>
      <c r="C832" s="278">
        <v>1800</v>
      </c>
      <c r="D832" s="278">
        <v>1200</v>
      </c>
      <c r="E832" s="278" t="s">
        <v>948</v>
      </c>
      <c r="F832" s="278"/>
      <c r="G832" s="278" t="s">
        <v>5</v>
      </c>
      <c r="H832" s="290">
        <v>3</v>
      </c>
      <c r="I832" s="280">
        <f t="shared" si="122"/>
        <v>241.86</v>
      </c>
      <c r="J832" s="281">
        <f t="shared" si="123"/>
        <v>274.29000000000002</v>
      </c>
      <c r="K832" s="282">
        <f>IF(Notes!$B$9="Domestic",I832, IF(Notes!$B$9="Commercial",J832))*$K$797</f>
        <v>274.29000000000002</v>
      </c>
      <c r="L832" s="283">
        <f>(SUM(O832:Q832)+(K832+SUM(M832:Q832))*(INDEX($U$797:$AB$797,MATCH(Notes!$C$16,$U$3:$AB$3,0))-100%))*$L$797</f>
        <v>979.38040000000001</v>
      </c>
      <c r="M832" s="286"/>
      <c r="N832" s="286"/>
      <c r="O832" s="285">
        <v>697.63</v>
      </c>
      <c r="P832" s="311">
        <f t="shared" si="120"/>
        <v>281.75040000000001</v>
      </c>
      <c r="Q832" s="285"/>
      <c r="R832" s="278"/>
      <c r="S832" s="278"/>
      <c r="T832" s="278"/>
    </row>
    <row r="833" spans="1:20" s="305" customFormat="1" hidden="1" outlineLevel="1" x14ac:dyDescent="0.25">
      <c r="A833" s="278"/>
      <c r="B833" s="279" t="str">
        <f t="shared" si="121"/>
        <v>18001500TB/FXW</v>
      </c>
      <c r="C833" s="278">
        <v>1800</v>
      </c>
      <c r="D833" s="278">
        <v>1500</v>
      </c>
      <c r="E833" s="278" t="s">
        <v>948</v>
      </c>
      <c r="F833" s="278"/>
      <c r="G833" s="278" t="s">
        <v>5</v>
      </c>
      <c r="H833" s="290">
        <v>3</v>
      </c>
      <c r="I833" s="280">
        <f t="shared" si="122"/>
        <v>241.86</v>
      </c>
      <c r="J833" s="281">
        <f t="shared" si="123"/>
        <v>274.29000000000002</v>
      </c>
      <c r="K833" s="282">
        <f>IF(Notes!$B$9="Domestic",I833, IF(Notes!$B$9="Commercial",J833))*$K$797</f>
        <v>274.29000000000002</v>
      </c>
      <c r="L833" s="283">
        <f>(SUM(O833:Q833)+(K833+SUM(M833:Q833))*(INDEX($U$797:$AB$797,MATCH(Notes!$C$16,$U$3:$AB$3,0))-100%))*$L$797</f>
        <v>1282.828</v>
      </c>
      <c r="M833" s="286"/>
      <c r="N833" s="286"/>
      <c r="O833" s="285">
        <v>930.64</v>
      </c>
      <c r="P833" s="311">
        <f t="shared" si="120"/>
        <v>352.18799999999999</v>
      </c>
      <c r="Q833" s="285"/>
      <c r="R833" s="278"/>
      <c r="S833" s="278"/>
      <c r="T833" s="278"/>
    </row>
    <row r="834" spans="1:20" s="305" customFormat="1" hidden="1" outlineLevel="1" x14ac:dyDescent="0.25">
      <c r="A834" s="278"/>
      <c r="B834" s="279" t="str">
        <f t="shared" si="121"/>
        <v>18001800TB/FXW</v>
      </c>
      <c r="C834" s="278">
        <v>1800</v>
      </c>
      <c r="D834" s="278">
        <v>1800</v>
      </c>
      <c r="E834" s="278" t="s">
        <v>948</v>
      </c>
      <c r="F834" s="278"/>
      <c r="G834" s="278" t="s">
        <v>5</v>
      </c>
      <c r="H834" s="290">
        <v>4</v>
      </c>
      <c r="I834" s="280">
        <f t="shared" si="122"/>
        <v>322.48</v>
      </c>
      <c r="J834" s="281">
        <f t="shared" si="123"/>
        <v>365.72</v>
      </c>
      <c r="K834" s="282">
        <f>IF(Notes!$B$9="Domestic",I834, IF(Notes!$B$9="Commercial",J834))*$K$797</f>
        <v>365.72</v>
      </c>
      <c r="L834" s="283">
        <f>(SUM(O834:Q834)+(K834+SUM(M834:Q834))*(INDEX($U$797:$AB$797,MATCH(Notes!$C$16,$U$3:$AB$3,0))-100%))*$L$797</f>
        <v>1551.3555999999999</v>
      </c>
      <c r="M834" s="286"/>
      <c r="N834" s="286"/>
      <c r="O834" s="285">
        <v>1128.73</v>
      </c>
      <c r="P834" s="311">
        <f t="shared" si="120"/>
        <v>422.62559999999996</v>
      </c>
      <c r="Q834" s="285"/>
      <c r="R834" s="278"/>
      <c r="S834" s="278"/>
      <c r="T834" s="278"/>
    </row>
    <row r="835" spans="1:20" s="305" customFormat="1" hidden="1" outlineLevel="1" x14ac:dyDescent="0.25">
      <c r="A835" s="278"/>
      <c r="B835" s="279" t="str">
        <f t="shared" si="121"/>
        <v>18002100TB/FXW</v>
      </c>
      <c r="C835" s="278">
        <v>1800</v>
      </c>
      <c r="D835" s="278">
        <v>2100</v>
      </c>
      <c r="E835" s="278" t="s">
        <v>948</v>
      </c>
      <c r="F835" s="278"/>
      <c r="G835" s="278" t="s">
        <v>5</v>
      </c>
      <c r="H835" s="290">
        <v>4</v>
      </c>
      <c r="I835" s="280">
        <f t="shared" si="122"/>
        <v>322.48</v>
      </c>
      <c r="J835" s="281">
        <f t="shared" si="123"/>
        <v>365.72</v>
      </c>
      <c r="K835" s="282">
        <f>IF(Notes!$B$9="Domestic",I835, IF(Notes!$B$9="Commercial",J835))*$K$797</f>
        <v>365.72</v>
      </c>
      <c r="L835" s="283">
        <f>(SUM(O835:Q835)+(K835+SUM(M835:Q835))*(INDEX($U$797:$AB$797,MATCH(Notes!$C$16,$U$3:$AB$3,0))-100%))*$L$797</f>
        <v>1673.8232</v>
      </c>
      <c r="M835" s="286"/>
      <c r="N835" s="286"/>
      <c r="O835" s="285">
        <v>1180.76</v>
      </c>
      <c r="P835" s="311">
        <f t="shared" si="120"/>
        <v>493.06319999999999</v>
      </c>
      <c r="Q835" s="285"/>
      <c r="R835" s="278"/>
      <c r="S835" s="278"/>
      <c r="T835" s="278"/>
    </row>
    <row r="836" spans="1:20" s="305" customFormat="1" hidden="1" outlineLevel="1" x14ac:dyDescent="0.25">
      <c r="A836" s="278"/>
      <c r="B836" s="279" t="str">
        <f t="shared" si="121"/>
        <v>18002400TB/FXW</v>
      </c>
      <c r="C836" s="278">
        <v>1800</v>
      </c>
      <c r="D836" s="278">
        <v>2400</v>
      </c>
      <c r="E836" s="278" t="s">
        <v>948</v>
      </c>
      <c r="F836" s="278"/>
      <c r="G836" s="278" t="s">
        <v>5</v>
      </c>
      <c r="H836" s="290">
        <v>5</v>
      </c>
      <c r="I836" s="280">
        <f t="shared" si="122"/>
        <v>403.1</v>
      </c>
      <c r="J836" s="281">
        <f t="shared" si="123"/>
        <v>457.15000000000003</v>
      </c>
      <c r="K836" s="282">
        <f>IF(Notes!$B$9="Domestic",I836, IF(Notes!$B$9="Commercial",J836))*$K$797</f>
        <v>457.15000000000003</v>
      </c>
      <c r="L836" s="283">
        <f>(SUM(O836:Q836)+(K836+SUM(M836:Q836))*(INDEX($U$797:$AB$797,MATCH(Notes!$C$16,$U$3:$AB$3,0))-100%))*$L$797</f>
        <v>1795.9508000000001</v>
      </c>
      <c r="M836" s="286"/>
      <c r="N836" s="286"/>
      <c r="O836" s="285">
        <v>1232.45</v>
      </c>
      <c r="P836" s="311">
        <f t="shared" si="120"/>
        <v>563.50080000000003</v>
      </c>
      <c r="Q836" s="285"/>
      <c r="R836" s="278"/>
      <c r="S836" s="278"/>
      <c r="T836" s="278"/>
    </row>
    <row r="837" spans="1:20" s="305" customFormat="1" hidden="1" outlineLevel="1" x14ac:dyDescent="0.25">
      <c r="A837" s="278"/>
      <c r="B837" s="279" t="str">
        <f t="shared" si="121"/>
        <v>18002700TB/FXW</v>
      </c>
      <c r="C837" s="278">
        <v>1800</v>
      </c>
      <c r="D837" s="278">
        <v>2700</v>
      </c>
      <c r="E837" s="278" t="s">
        <v>948</v>
      </c>
      <c r="F837" s="278"/>
      <c r="G837" s="278" t="s">
        <v>5</v>
      </c>
      <c r="H837" s="290">
        <v>5</v>
      </c>
      <c r="I837" s="280">
        <f t="shared" si="122"/>
        <v>403.1</v>
      </c>
      <c r="J837" s="281">
        <f t="shared" si="123"/>
        <v>457.15000000000003</v>
      </c>
      <c r="K837" s="282">
        <f>IF(Notes!$B$9="Domestic",I837, IF(Notes!$B$9="Commercial",J837))*$K$797</f>
        <v>457.15000000000003</v>
      </c>
      <c r="L837" s="283">
        <f>(SUM(O837:Q837)+(K837+SUM(M837:Q837))*(INDEX($U$797:$AB$797,MATCH(Notes!$C$16,$U$3:$AB$3,0))-100%))*$L$797</f>
        <v>2096.1383999999998</v>
      </c>
      <c r="M837" s="286"/>
      <c r="N837" s="286"/>
      <c r="O837" s="285">
        <v>1462.2</v>
      </c>
      <c r="P837" s="311">
        <f t="shared" si="120"/>
        <v>633.9384</v>
      </c>
      <c r="Q837" s="285"/>
      <c r="R837" s="278"/>
      <c r="S837" s="278"/>
      <c r="T837" s="278"/>
    </row>
    <row r="838" spans="1:20" s="305" customFormat="1" hidden="1" outlineLevel="1" x14ac:dyDescent="0.25">
      <c r="A838" s="278"/>
      <c r="B838" s="279" t="str">
        <f t="shared" si="121"/>
        <v>2100600TB/FXW</v>
      </c>
      <c r="C838" s="278">
        <v>2100</v>
      </c>
      <c r="D838" s="278">
        <v>600</v>
      </c>
      <c r="E838" s="278" t="s">
        <v>948</v>
      </c>
      <c r="F838" s="278"/>
      <c r="G838" s="278" t="s">
        <v>5</v>
      </c>
      <c r="H838" s="290">
        <v>2</v>
      </c>
      <c r="I838" s="280">
        <f t="shared" si="122"/>
        <v>161.24</v>
      </c>
      <c r="J838" s="281">
        <f t="shared" si="123"/>
        <v>182.86</v>
      </c>
      <c r="K838" s="282">
        <f>IF(Notes!$B$9="Domestic",I838, IF(Notes!$B$9="Commercial",J838))*$K$797</f>
        <v>182.86</v>
      </c>
      <c r="L838" s="283">
        <f>(SUM(O838:Q838)+(K838+SUM(M838:Q838))*(INDEX($U$797:$AB$797,MATCH(Notes!$C$16,$U$3:$AB$3,0))-100%))*$L$797</f>
        <v>666.61439999999993</v>
      </c>
      <c r="M838" s="286"/>
      <c r="N838" s="286"/>
      <c r="O838" s="285">
        <v>502.26</v>
      </c>
      <c r="P838" s="311">
        <f t="shared" si="120"/>
        <v>164.3544</v>
      </c>
      <c r="Q838" s="285"/>
      <c r="R838" s="278"/>
      <c r="S838" s="278"/>
      <c r="T838" s="278"/>
    </row>
    <row r="839" spans="1:20" s="305" customFormat="1" hidden="1" outlineLevel="1" x14ac:dyDescent="0.25">
      <c r="A839" s="278"/>
      <c r="B839" s="279" t="str">
        <f t="shared" si="121"/>
        <v>2100900TB/FXW</v>
      </c>
      <c r="C839" s="278">
        <v>2100</v>
      </c>
      <c r="D839" s="278">
        <v>900</v>
      </c>
      <c r="E839" s="278" t="s">
        <v>948</v>
      </c>
      <c r="F839" s="278"/>
      <c r="G839" s="278" t="s">
        <v>5</v>
      </c>
      <c r="H839" s="290">
        <v>2</v>
      </c>
      <c r="I839" s="280">
        <f t="shared" si="122"/>
        <v>161.24</v>
      </c>
      <c r="J839" s="281">
        <f t="shared" si="123"/>
        <v>182.86</v>
      </c>
      <c r="K839" s="282">
        <f>IF(Notes!$B$9="Domestic",I839, IF(Notes!$B$9="Commercial",J839))*$K$797</f>
        <v>182.86</v>
      </c>
      <c r="L839" s="283">
        <f>(SUM(O839:Q839)+(K839+SUM(M839:Q839))*(INDEX($U$797:$AB$797,MATCH(Notes!$C$16,$U$3:$AB$3,0))-100%))*$L$797</f>
        <v>905.02160000000003</v>
      </c>
      <c r="M839" s="286"/>
      <c r="N839" s="286"/>
      <c r="O839" s="285">
        <v>658.49</v>
      </c>
      <c r="P839" s="311">
        <f t="shared" si="120"/>
        <v>246.53159999999997</v>
      </c>
      <c r="Q839" s="285"/>
      <c r="R839" s="278"/>
      <c r="S839" s="278"/>
      <c r="T839" s="278"/>
    </row>
    <row r="840" spans="1:20" s="305" customFormat="1" hidden="1" outlineLevel="1" x14ac:dyDescent="0.25">
      <c r="A840" s="278"/>
      <c r="B840" s="279" t="str">
        <f t="shared" si="121"/>
        <v>21001200TB/FXW</v>
      </c>
      <c r="C840" s="278">
        <v>2100</v>
      </c>
      <c r="D840" s="278">
        <v>1200</v>
      </c>
      <c r="E840" s="278" t="s">
        <v>948</v>
      </c>
      <c r="F840" s="278"/>
      <c r="G840" s="278" t="s">
        <v>5</v>
      </c>
      <c r="H840" s="290">
        <v>3</v>
      </c>
      <c r="I840" s="280">
        <f t="shared" si="122"/>
        <v>241.86</v>
      </c>
      <c r="J840" s="281">
        <f t="shared" si="123"/>
        <v>274.29000000000002</v>
      </c>
      <c r="K840" s="282">
        <f>IF(Notes!$B$9="Domestic",I840, IF(Notes!$B$9="Commercial",J840))*$K$797</f>
        <v>274.29000000000002</v>
      </c>
      <c r="L840" s="283">
        <f>(SUM(O840:Q840)+(K840+SUM(M840:Q840))*(INDEX($U$797:$AB$797,MATCH(Notes!$C$16,$U$3:$AB$3,0))-100%))*$L$797</f>
        <v>1050.8987999999999</v>
      </c>
      <c r="M840" s="286"/>
      <c r="N840" s="286"/>
      <c r="O840" s="285">
        <v>722.19</v>
      </c>
      <c r="P840" s="311">
        <f t="shared" si="120"/>
        <v>328.7088</v>
      </c>
      <c r="Q840" s="285"/>
      <c r="R840" s="278"/>
      <c r="S840" s="278"/>
      <c r="T840" s="278"/>
    </row>
    <row r="841" spans="1:20" s="305" customFormat="1" hidden="1" outlineLevel="1" x14ac:dyDescent="0.25">
      <c r="A841" s="278"/>
      <c r="B841" s="279" t="str">
        <f t="shared" si="121"/>
        <v>21001500TB/FXW</v>
      </c>
      <c r="C841" s="278">
        <v>2100</v>
      </c>
      <c r="D841" s="278">
        <v>1500</v>
      </c>
      <c r="E841" s="278" t="s">
        <v>948</v>
      </c>
      <c r="F841" s="278"/>
      <c r="G841" s="278" t="s">
        <v>5</v>
      </c>
      <c r="H841" s="290">
        <v>4</v>
      </c>
      <c r="I841" s="280">
        <f t="shared" si="122"/>
        <v>322.48</v>
      </c>
      <c r="J841" s="281">
        <f t="shared" si="123"/>
        <v>365.72</v>
      </c>
      <c r="K841" s="282">
        <f>IF(Notes!$B$9="Domestic",I841, IF(Notes!$B$9="Commercial",J841))*$K$797</f>
        <v>365.72</v>
      </c>
      <c r="L841" s="283">
        <f>(SUM(O841:Q841)+(K841+SUM(M841:Q841))*(INDEX($U$797:$AB$797,MATCH(Notes!$C$16,$U$3:$AB$3,0))-100%))*$L$797</f>
        <v>1514.816</v>
      </c>
      <c r="M841" s="286"/>
      <c r="N841" s="286"/>
      <c r="O841" s="285">
        <v>1103.93</v>
      </c>
      <c r="P841" s="311">
        <f t="shared" si="120"/>
        <v>410.88599999999997</v>
      </c>
      <c r="Q841" s="285"/>
      <c r="R841" s="278"/>
      <c r="S841" s="278"/>
      <c r="T841" s="278"/>
    </row>
    <row r="842" spans="1:20" s="305" customFormat="1" hidden="1" outlineLevel="1" x14ac:dyDescent="0.25">
      <c r="A842" s="278"/>
      <c r="B842" s="279" t="str">
        <f t="shared" si="121"/>
        <v>21001800TB/FXW</v>
      </c>
      <c r="C842" s="278">
        <v>2100</v>
      </c>
      <c r="D842" s="278">
        <v>1800</v>
      </c>
      <c r="E842" s="278" t="s">
        <v>948</v>
      </c>
      <c r="F842" s="278"/>
      <c r="G842" s="278" t="s">
        <v>5</v>
      </c>
      <c r="H842" s="290">
        <v>4</v>
      </c>
      <c r="I842" s="280">
        <f t="shared" si="122"/>
        <v>322.48</v>
      </c>
      <c r="J842" s="281">
        <f t="shared" si="123"/>
        <v>365.72</v>
      </c>
      <c r="K842" s="282">
        <f>IF(Notes!$B$9="Domestic",I842, IF(Notes!$B$9="Commercial",J842))*$K$797</f>
        <v>365.72</v>
      </c>
      <c r="L842" s="283">
        <f>(SUM(O842:Q842)+(K842+SUM(M842:Q842))*(INDEX($U$797:$AB$797,MATCH(Notes!$C$16,$U$3:$AB$3,0))-100%))*$L$797</f>
        <v>1673.8332</v>
      </c>
      <c r="M842" s="286"/>
      <c r="N842" s="286"/>
      <c r="O842" s="285">
        <v>1180.77</v>
      </c>
      <c r="P842" s="311">
        <f t="shared" si="120"/>
        <v>493.06319999999994</v>
      </c>
      <c r="Q842" s="285"/>
      <c r="R842" s="278"/>
      <c r="S842" s="278"/>
      <c r="T842" s="278"/>
    </row>
    <row r="843" spans="1:20" s="305" customFormat="1" hidden="1" outlineLevel="1" x14ac:dyDescent="0.25">
      <c r="A843" s="278"/>
      <c r="B843" s="279" t="str">
        <f t="shared" si="121"/>
        <v>21002100TB/FXW</v>
      </c>
      <c r="C843" s="278">
        <v>2100</v>
      </c>
      <c r="D843" s="278">
        <v>2100</v>
      </c>
      <c r="E843" s="278" t="s">
        <v>948</v>
      </c>
      <c r="F843" s="278"/>
      <c r="G843" s="278" t="s">
        <v>5</v>
      </c>
      <c r="H843" s="290">
        <v>5</v>
      </c>
      <c r="I843" s="280">
        <f t="shared" si="122"/>
        <v>403.1</v>
      </c>
      <c r="J843" s="281">
        <f t="shared" si="123"/>
        <v>457.15000000000003</v>
      </c>
      <c r="K843" s="282">
        <f>IF(Notes!$B$9="Domestic",I843, IF(Notes!$B$9="Commercial",J843))*$K$797</f>
        <v>457.15000000000003</v>
      </c>
      <c r="L843" s="283">
        <f>(SUM(O843:Q843)+(K843+SUM(M843:Q843))*(INDEX($U$797:$AB$797,MATCH(Notes!$C$16,$U$3:$AB$3,0))-100%))*$L$797</f>
        <v>1832.8704</v>
      </c>
      <c r="M843" s="286"/>
      <c r="N843" s="286"/>
      <c r="O843" s="285">
        <v>1257.6300000000001</v>
      </c>
      <c r="P843" s="311">
        <f t="shared" si="120"/>
        <v>575.24039999999991</v>
      </c>
      <c r="Q843" s="285"/>
      <c r="R843" s="278"/>
      <c r="S843" s="278"/>
      <c r="T843" s="278"/>
    </row>
    <row r="844" spans="1:20" s="305" customFormat="1" hidden="1" outlineLevel="1" x14ac:dyDescent="0.25">
      <c r="A844" s="278"/>
      <c r="B844" s="279" t="str">
        <f t="shared" si="121"/>
        <v>21002400TB/FXW</v>
      </c>
      <c r="C844" s="278">
        <v>2100</v>
      </c>
      <c r="D844" s="278">
        <v>2400</v>
      </c>
      <c r="E844" s="278" t="s">
        <v>948</v>
      </c>
      <c r="F844" s="278"/>
      <c r="G844" s="278" t="s">
        <v>5</v>
      </c>
      <c r="H844" s="290">
        <v>5</v>
      </c>
      <c r="I844" s="280">
        <f t="shared" si="122"/>
        <v>403.1</v>
      </c>
      <c r="J844" s="281">
        <f t="shared" si="123"/>
        <v>457.15000000000003</v>
      </c>
      <c r="K844" s="282">
        <f>IF(Notes!$B$9="Domestic",I844, IF(Notes!$B$9="Commercial",J844))*$K$797</f>
        <v>457.15000000000003</v>
      </c>
      <c r="L844" s="283">
        <f>(SUM(O844:Q844)+(K844+SUM(M844:Q844))*(INDEX($U$797:$AB$797,MATCH(Notes!$C$16,$U$3:$AB$3,0))-100%))*$L$797</f>
        <v>2219.8375999999998</v>
      </c>
      <c r="M844" s="286"/>
      <c r="N844" s="286"/>
      <c r="O844" s="285">
        <v>1562.42</v>
      </c>
      <c r="P844" s="311">
        <f t="shared" si="120"/>
        <v>657.41759999999999</v>
      </c>
      <c r="Q844" s="285"/>
      <c r="R844" s="278"/>
      <c r="S844" s="278"/>
      <c r="T844" s="278"/>
    </row>
    <row r="845" spans="1:20" s="305" customFormat="1" hidden="1" outlineLevel="1" x14ac:dyDescent="0.25">
      <c r="A845" s="278"/>
      <c r="B845" s="279" t="str">
        <f t="shared" si="121"/>
        <v>21002700TB/FXW</v>
      </c>
      <c r="C845" s="278">
        <v>2100</v>
      </c>
      <c r="D845" s="278">
        <v>2700</v>
      </c>
      <c r="E845" s="278" t="s">
        <v>948</v>
      </c>
      <c r="F845" s="278"/>
      <c r="G845" s="278" t="s">
        <v>5</v>
      </c>
      <c r="H845" s="290">
        <v>6</v>
      </c>
      <c r="I845" s="280">
        <f t="shared" si="122"/>
        <v>483.72</v>
      </c>
      <c r="J845" s="281">
        <f t="shared" si="123"/>
        <v>548.58000000000004</v>
      </c>
      <c r="K845" s="282">
        <f>IF(Notes!$B$9="Domestic",I845, IF(Notes!$B$9="Commercial",J845))*$K$797</f>
        <v>548.58000000000004</v>
      </c>
      <c r="L845" s="283">
        <f>(SUM(O845:Q845)+(K845+SUM(M845:Q845))*(INDEX($U$797:$AB$797,MATCH(Notes!$C$16,$U$3:$AB$3,0))-100%))*$L$797</f>
        <v>2338.9348</v>
      </c>
      <c r="M845" s="286"/>
      <c r="N845" s="286"/>
      <c r="O845" s="285">
        <v>1599.34</v>
      </c>
      <c r="P845" s="311">
        <f t="shared" si="120"/>
        <v>739.59479999999996</v>
      </c>
      <c r="Q845" s="285"/>
      <c r="R845" s="278"/>
      <c r="S845" s="278"/>
      <c r="T845" s="278"/>
    </row>
    <row r="846" spans="1:20" s="305" customFormat="1" hidden="1" outlineLevel="1" x14ac:dyDescent="0.25">
      <c r="A846" s="278"/>
      <c r="B846" s="279" t="str">
        <f t="shared" si="121"/>
        <v>2400600TB/FXW</v>
      </c>
      <c r="C846" s="278">
        <v>2400</v>
      </c>
      <c r="D846" s="278">
        <v>600</v>
      </c>
      <c r="E846" s="278" t="s">
        <v>948</v>
      </c>
      <c r="F846" s="278"/>
      <c r="G846" s="278" t="s">
        <v>5</v>
      </c>
      <c r="H846" s="290">
        <v>2</v>
      </c>
      <c r="I846" s="280">
        <f t="shared" si="122"/>
        <v>161.24</v>
      </c>
      <c r="J846" s="281">
        <f t="shared" si="123"/>
        <v>182.86</v>
      </c>
      <c r="K846" s="282">
        <f>IF(Notes!$B$9="Domestic",I846, IF(Notes!$B$9="Commercial",J846))*$K$797</f>
        <v>182.86</v>
      </c>
      <c r="L846" s="283">
        <f>(SUM(O846:Q846)+(K846+SUM(M846:Q846))*(INDEX($U$797:$AB$797,MATCH(Notes!$C$16,$U$3:$AB$3,0))-100%))*$L$797</f>
        <v>746.44360000000006</v>
      </c>
      <c r="M846" s="286"/>
      <c r="N846" s="286"/>
      <c r="O846" s="311">
        <f>O804</f>
        <v>558.61</v>
      </c>
      <c r="P846" s="311">
        <f t="shared" si="120"/>
        <v>187.83359999999999</v>
      </c>
      <c r="Q846" s="285"/>
      <c r="R846" s="278"/>
      <c r="S846" s="278"/>
      <c r="T846" s="278"/>
    </row>
    <row r="847" spans="1:20" s="305" customFormat="1" hidden="1" outlineLevel="1" x14ac:dyDescent="0.25">
      <c r="A847" s="278"/>
      <c r="B847" s="279" t="str">
        <f t="shared" si="121"/>
        <v>2400900TB/FXW</v>
      </c>
      <c r="C847" s="278">
        <v>2400</v>
      </c>
      <c r="D847" s="278">
        <v>900</v>
      </c>
      <c r="E847" s="278" t="s">
        <v>948</v>
      </c>
      <c r="F847" s="278"/>
      <c r="G847" s="278" t="s">
        <v>5</v>
      </c>
      <c r="H847" s="290">
        <v>4</v>
      </c>
      <c r="I847" s="280">
        <f t="shared" si="122"/>
        <v>322.48</v>
      </c>
      <c r="J847" s="281">
        <f t="shared" si="123"/>
        <v>365.72</v>
      </c>
      <c r="K847" s="282">
        <f>IF(Notes!$B$9="Domestic",I847, IF(Notes!$B$9="Commercial",J847))*$K$797</f>
        <v>365.72</v>
      </c>
      <c r="L847" s="283">
        <f>(SUM(O847:Q847)+(K847+SUM(M847:Q847))*(INDEX($U$797:$AB$797,MATCH(Notes!$C$16,$U$3:$AB$3,0))-100%))*$L$797</f>
        <v>1088.0804000000001</v>
      </c>
      <c r="M847" s="286"/>
      <c r="N847" s="286"/>
      <c r="O847" s="311">
        <f>O812</f>
        <v>806.33</v>
      </c>
      <c r="P847" s="311">
        <f t="shared" si="120"/>
        <v>281.75039999999996</v>
      </c>
      <c r="Q847" s="285"/>
      <c r="R847" s="278"/>
      <c r="S847" s="278"/>
      <c r="T847" s="278"/>
    </row>
    <row r="848" spans="1:20" s="305" customFormat="1" hidden="1" outlineLevel="1" x14ac:dyDescent="0.25">
      <c r="A848" s="278"/>
      <c r="B848" s="279" t="str">
        <f t="shared" si="121"/>
        <v>24001200TB/FXW</v>
      </c>
      <c r="C848" s="278">
        <v>2400</v>
      </c>
      <c r="D848" s="278">
        <v>1200</v>
      </c>
      <c r="E848" s="278" t="s">
        <v>948</v>
      </c>
      <c r="F848" s="278"/>
      <c r="G848" s="278" t="s">
        <v>5</v>
      </c>
      <c r="H848" s="290">
        <v>4</v>
      </c>
      <c r="I848" s="280">
        <f t="shared" si="122"/>
        <v>322.48</v>
      </c>
      <c r="J848" s="281">
        <f t="shared" si="123"/>
        <v>365.72</v>
      </c>
      <c r="K848" s="282">
        <f>IF(Notes!$B$9="Domestic",I848, IF(Notes!$B$9="Commercial",J848))*$K$797</f>
        <v>365.72</v>
      </c>
      <c r="L848" s="283">
        <f>(SUM(O848:Q848)+(K848+SUM(M848:Q848))*(INDEX($U$797:$AB$797,MATCH(Notes!$C$16,$U$3:$AB$3,0))-100%))*$L$797</f>
        <v>1380.4672</v>
      </c>
      <c r="M848" s="286"/>
      <c r="N848" s="286"/>
      <c r="O848" s="311">
        <f>O820</f>
        <v>1004.8</v>
      </c>
      <c r="P848" s="311">
        <f t="shared" si="120"/>
        <v>375.66719999999998</v>
      </c>
      <c r="Q848" s="285"/>
      <c r="R848" s="278"/>
      <c r="S848" s="278"/>
      <c r="T848" s="278"/>
    </row>
    <row r="849" spans="1:28" s="305" customFormat="1" hidden="1" outlineLevel="1" x14ac:dyDescent="0.25">
      <c r="A849" s="278"/>
      <c r="B849" s="279" t="str">
        <f t="shared" si="121"/>
        <v>24001500TB/FXW</v>
      </c>
      <c r="C849" s="278">
        <v>2400</v>
      </c>
      <c r="D849" s="278">
        <v>1500</v>
      </c>
      <c r="E849" s="278" t="s">
        <v>948</v>
      </c>
      <c r="F849" s="278"/>
      <c r="G849" s="278" t="s">
        <v>5</v>
      </c>
      <c r="H849" s="290">
        <v>4</v>
      </c>
      <c r="I849" s="280">
        <f t="shared" si="122"/>
        <v>322.48</v>
      </c>
      <c r="J849" s="281">
        <f t="shared" si="123"/>
        <v>365.72</v>
      </c>
      <c r="K849" s="282">
        <f>IF(Notes!$B$9="Domestic",I849, IF(Notes!$B$9="Commercial",J849))*$K$797</f>
        <v>365.72</v>
      </c>
      <c r="L849" s="283">
        <f>(SUM(O849:Q849)+(K849+SUM(M849:Q849))*(INDEX($U$797:$AB$797,MATCH(Notes!$C$16,$U$3:$AB$3,0))-100%))*$L$797</f>
        <v>1624.7140000000002</v>
      </c>
      <c r="M849" s="286"/>
      <c r="N849" s="286"/>
      <c r="O849" s="311">
        <f>O828</f>
        <v>1155.1300000000001</v>
      </c>
      <c r="P849" s="311">
        <f t="shared" si="120"/>
        <v>469.584</v>
      </c>
      <c r="Q849" s="285"/>
      <c r="R849" s="278"/>
      <c r="S849" s="278"/>
      <c r="T849" s="278"/>
    </row>
    <row r="850" spans="1:28" s="305" customFormat="1" hidden="1" outlineLevel="1" x14ac:dyDescent="0.25">
      <c r="A850" s="278"/>
      <c r="B850" s="279" t="str">
        <f t="shared" si="121"/>
        <v>24001800TB/FXW</v>
      </c>
      <c r="C850" s="278">
        <v>2400</v>
      </c>
      <c r="D850" s="278">
        <v>1800</v>
      </c>
      <c r="E850" s="278" t="s">
        <v>948</v>
      </c>
      <c r="F850" s="278"/>
      <c r="G850" s="278" t="s">
        <v>5</v>
      </c>
      <c r="H850" s="290">
        <v>5</v>
      </c>
      <c r="I850" s="280">
        <f t="shared" si="122"/>
        <v>403.1</v>
      </c>
      <c r="J850" s="281">
        <f t="shared" si="123"/>
        <v>457.15000000000003</v>
      </c>
      <c r="K850" s="282">
        <f>IF(Notes!$B$9="Domestic",I850, IF(Notes!$B$9="Commercial",J850))*$K$797</f>
        <v>457.15000000000003</v>
      </c>
      <c r="L850" s="283">
        <f>(SUM(O850:Q850)+(K850+SUM(M850:Q850))*(INDEX($U$797:$AB$797,MATCH(Notes!$C$16,$U$3:$AB$3,0))-100%))*$L$797</f>
        <v>1795.9508000000001</v>
      </c>
      <c r="M850" s="286"/>
      <c r="N850" s="286"/>
      <c r="O850" s="311">
        <f>O836</f>
        <v>1232.45</v>
      </c>
      <c r="P850" s="311">
        <f t="shared" si="120"/>
        <v>563.50079999999991</v>
      </c>
      <c r="Q850" s="285"/>
      <c r="R850" s="278"/>
      <c r="S850" s="278"/>
      <c r="T850" s="278"/>
    </row>
    <row r="851" spans="1:28" s="305" customFormat="1" hidden="1" outlineLevel="1" x14ac:dyDescent="0.25">
      <c r="A851" s="278"/>
      <c r="B851" s="279" t="str">
        <f t="shared" si="121"/>
        <v>24002100TB/FXW</v>
      </c>
      <c r="C851" s="278">
        <v>2400</v>
      </c>
      <c r="D851" s="278">
        <v>2100</v>
      </c>
      <c r="E851" s="278" t="s">
        <v>948</v>
      </c>
      <c r="F851" s="278"/>
      <c r="G851" s="278" t="s">
        <v>5</v>
      </c>
      <c r="H851" s="290">
        <v>5</v>
      </c>
      <c r="I851" s="280">
        <f t="shared" si="122"/>
        <v>403.1</v>
      </c>
      <c r="J851" s="281">
        <f t="shared" si="123"/>
        <v>457.15000000000003</v>
      </c>
      <c r="K851" s="282">
        <f>IF(Notes!$B$9="Domestic",I851, IF(Notes!$B$9="Commercial",J851))*$K$797</f>
        <v>457.15000000000003</v>
      </c>
      <c r="L851" s="283">
        <f>(SUM(O851:Q851)+(K851+SUM(M851:Q851))*(INDEX($U$797:$AB$797,MATCH(Notes!$C$16,$U$3:$AB$3,0))-100%))*$L$797</f>
        <v>2219.8375999999998</v>
      </c>
      <c r="M851" s="286"/>
      <c r="N851" s="286"/>
      <c r="O851" s="311">
        <f>O844</f>
        <v>1562.42</v>
      </c>
      <c r="P851" s="311">
        <f t="shared" si="120"/>
        <v>657.41759999999999</v>
      </c>
      <c r="Q851" s="285"/>
      <c r="R851" s="278"/>
      <c r="S851" s="278"/>
      <c r="T851" s="278"/>
    </row>
    <row r="852" spans="1:28" s="305" customFormat="1" hidden="1" outlineLevel="1" x14ac:dyDescent="0.25">
      <c r="A852" s="278"/>
      <c r="B852" s="279" t="str">
        <f t="shared" si="121"/>
        <v>24002400TB/FXW</v>
      </c>
      <c r="C852" s="278">
        <v>2400</v>
      </c>
      <c r="D852" s="278">
        <v>2400</v>
      </c>
      <c r="E852" s="278" t="s">
        <v>948</v>
      </c>
      <c r="F852" s="278"/>
      <c r="G852" s="278" t="s">
        <v>5</v>
      </c>
      <c r="H852" s="290">
        <v>6</v>
      </c>
      <c r="I852" s="280">
        <f t="shared" si="122"/>
        <v>483.72</v>
      </c>
      <c r="J852" s="281">
        <f t="shared" si="123"/>
        <v>548.58000000000004</v>
      </c>
      <c r="K852" s="282">
        <f>IF(Notes!$B$9="Domestic",I852, IF(Notes!$B$9="Commercial",J852))*$K$797</f>
        <v>548.58000000000004</v>
      </c>
      <c r="L852" s="283">
        <f>(SUM(O852:Q852)+(K852+SUM(M852:Q852))*(INDEX($U$797:$AB$797,MATCH(Notes!$C$16,$U$3:$AB$3,0))-100%))*$L$797</f>
        <v>2760.9344000000001</v>
      </c>
      <c r="M852" s="286"/>
      <c r="N852" s="286"/>
      <c r="O852" s="311">
        <f>O820*2</f>
        <v>2009.6</v>
      </c>
      <c r="P852" s="311">
        <f t="shared" si="120"/>
        <v>751.33439999999996</v>
      </c>
      <c r="Q852" s="285"/>
      <c r="R852" s="278"/>
      <c r="S852" s="278"/>
      <c r="T852" s="278"/>
    </row>
    <row r="853" spans="1:28" s="305" customFormat="1" hidden="1" outlineLevel="1" x14ac:dyDescent="0.25">
      <c r="A853" s="278"/>
      <c r="B853" s="279" t="str">
        <f t="shared" si="121"/>
        <v>24002700TB/FXW</v>
      </c>
      <c r="C853" s="278">
        <v>2400</v>
      </c>
      <c r="D853" s="278">
        <v>2700</v>
      </c>
      <c r="E853" s="278" t="s">
        <v>948</v>
      </c>
      <c r="F853" s="278"/>
      <c r="G853" s="278" t="s">
        <v>5</v>
      </c>
      <c r="H853" s="290">
        <v>6</v>
      </c>
      <c r="I853" s="280">
        <f t="shared" si="122"/>
        <v>483.72</v>
      </c>
      <c r="J853" s="281">
        <f t="shared" si="123"/>
        <v>548.58000000000004</v>
      </c>
      <c r="K853" s="282">
        <f>IF(Notes!$B$9="Domestic",I853, IF(Notes!$B$9="Commercial",J853))*$K$797</f>
        <v>548.58000000000004</v>
      </c>
      <c r="L853" s="283">
        <f>(SUM(O853:Q853)+(K853+SUM(M853:Q853))*(INDEX($U$797:$AB$797,MATCH(Notes!$C$16,$U$3:$AB$3,0))-100%))*$L$797</f>
        <v>3552.0111999999999</v>
      </c>
      <c r="M853" s="286"/>
      <c r="N853" s="286"/>
      <c r="O853" s="311">
        <f>O821*2</f>
        <v>2706.76</v>
      </c>
      <c r="P853" s="311">
        <f t="shared" si="120"/>
        <v>845.25119999999993</v>
      </c>
      <c r="Q853" s="285"/>
      <c r="R853" s="278"/>
      <c r="S853" s="278"/>
      <c r="T853" s="278"/>
    </row>
    <row r="854" spans="1:28" s="305" customFormat="1" hidden="1" outlineLevel="1" x14ac:dyDescent="0.25">
      <c r="A854" s="278"/>
      <c r="B854" s="279" t="str">
        <f t="shared" si="121"/>
        <v>2700600TB/FXW</v>
      </c>
      <c r="C854" s="278">
        <v>2700</v>
      </c>
      <c r="D854" s="278">
        <v>600</v>
      </c>
      <c r="E854" s="278" t="s">
        <v>948</v>
      </c>
      <c r="F854" s="278"/>
      <c r="G854" s="278" t="s">
        <v>5</v>
      </c>
      <c r="H854" s="290">
        <v>4</v>
      </c>
      <c r="I854" s="280">
        <f t="shared" si="122"/>
        <v>322.48</v>
      </c>
      <c r="J854" s="281">
        <f t="shared" si="123"/>
        <v>365.72</v>
      </c>
      <c r="K854" s="282">
        <f>IF(Notes!$B$9="Domestic",I854, IF(Notes!$B$9="Commercial",J854))*$K$797</f>
        <v>365.72</v>
      </c>
      <c r="L854" s="283">
        <f>(SUM(O854:Q854)+(K854+SUM(M854:Q854))*(INDEX($U$797:$AB$797,MATCH(Notes!$C$16,$U$3:$AB$3,0))-100%))*$L$797</f>
        <v>1423.3427999999999</v>
      </c>
      <c r="M854" s="286"/>
      <c r="N854" s="286"/>
      <c r="O854" s="311">
        <f>O805</f>
        <v>1212.03</v>
      </c>
      <c r="P854" s="311">
        <f t="shared" si="120"/>
        <v>211.31279999999998</v>
      </c>
      <c r="Q854" s="285"/>
      <c r="R854" s="278"/>
      <c r="S854" s="278"/>
      <c r="T854" s="278"/>
    </row>
    <row r="855" spans="1:28" s="305" customFormat="1" hidden="1" outlineLevel="1" x14ac:dyDescent="0.25">
      <c r="A855" s="278"/>
      <c r="B855" s="279" t="str">
        <f t="shared" si="121"/>
        <v>2700900TB/FXW</v>
      </c>
      <c r="C855" s="278">
        <v>2700</v>
      </c>
      <c r="D855" s="278">
        <v>900</v>
      </c>
      <c r="E855" s="278" t="s">
        <v>948</v>
      </c>
      <c r="F855" s="278"/>
      <c r="G855" s="278" t="s">
        <v>5</v>
      </c>
      <c r="H855" s="290">
        <v>4</v>
      </c>
      <c r="I855" s="280">
        <f t="shared" si="122"/>
        <v>322.48</v>
      </c>
      <c r="J855" s="281">
        <f t="shared" si="123"/>
        <v>365.72</v>
      </c>
      <c r="K855" s="282">
        <f>IF(Notes!$B$9="Domestic",I855, IF(Notes!$B$9="Commercial",J855))*$K$797</f>
        <v>365.72</v>
      </c>
      <c r="L855" s="283">
        <f>(SUM(O855:Q855)+(K855+SUM(M855:Q855))*(INDEX($U$797:$AB$797,MATCH(Notes!$C$16,$U$3:$AB$3,0))-100%))*$L$797</f>
        <v>1599.9592</v>
      </c>
      <c r="M855" s="286"/>
      <c r="N855" s="286"/>
      <c r="O855" s="311">
        <f>O813</f>
        <v>1282.99</v>
      </c>
      <c r="P855" s="311">
        <f t="shared" si="120"/>
        <v>316.9692</v>
      </c>
      <c r="Q855" s="285"/>
      <c r="R855" s="278"/>
      <c r="S855" s="278"/>
      <c r="T855" s="278"/>
    </row>
    <row r="856" spans="1:28" s="305" customFormat="1" hidden="1" outlineLevel="1" x14ac:dyDescent="0.25">
      <c r="A856" s="278"/>
      <c r="B856" s="279" t="str">
        <f t="shared" si="121"/>
        <v>27001200TB/FXW</v>
      </c>
      <c r="C856" s="278">
        <v>2700</v>
      </c>
      <c r="D856" s="278">
        <v>1200</v>
      </c>
      <c r="E856" s="278" t="s">
        <v>948</v>
      </c>
      <c r="F856" s="278"/>
      <c r="G856" s="278" t="s">
        <v>5</v>
      </c>
      <c r="H856" s="290">
        <v>4</v>
      </c>
      <c r="I856" s="280">
        <f t="shared" si="122"/>
        <v>322.48</v>
      </c>
      <c r="J856" s="281">
        <f t="shared" si="123"/>
        <v>365.72</v>
      </c>
      <c r="K856" s="282">
        <f>IF(Notes!$B$9="Domestic",I856, IF(Notes!$B$9="Commercial",J856))*$K$797</f>
        <v>365.72</v>
      </c>
      <c r="L856" s="283">
        <f>(SUM(O856:Q856)+(K856+SUM(M856:Q856))*(INDEX($U$797:$AB$797,MATCH(Notes!$C$16,$U$3:$AB$3,0))-100%))*$L$797</f>
        <v>1776.0056</v>
      </c>
      <c r="M856" s="286"/>
      <c r="N856" s="286"/>
      <c r="O856" s="311">
        <f>O821</f>
        <v>1353.38</v>
      </c>
      <c r="P856" s="311">
        <f t="shared" si="120"/>
        <v>422.62559999999996</v>
      </c>
      <c r="Q856" s="285"/>
      <c r="R856" s="278"/>
      <c r="S856" s="278"/>
      <c r="T856" s="278"/>
    </row>
    <row r="857" spans="1:28" s="305" customFormat="1" hidden="1" outlineLevel="1" x14ac:dyDescent="0.25">
      <c r="A857" s="278"/>
      <c r="B857" s="279" t="str">
        <f t="shared" si="121"/>
        <v>27001500TB/FXW</v>
      </c>
      <c r="C857" s="278">
        <v>2700</v>
      </c>
      <c r="D857" s="278">
        <v>1500</v>
      </c>
      <c r="E857" s="278" t="s">
        <v>948</v>
      </c>
      <c r="F857" s="278"/>
      <c r="G857" s="278" t="s">
        <v>5</v>
      </c>
      <c r="H857" s="290">
        <v>5</v>
      </c>
      <c r="I857" s="280">
        <f t="shared" si="122"/>
        <v>403.1</v>
      </c>
      <c r="J857" s="281">
        <f t="shared" si="123"/>
        <v>457.15000000000003</v>
      </c>
      <c r="K857" s="282">
        <f>IF(Notes!$B$9="Domestic",I857, IF(Notes!$B$9="Commercial",J857))*$K$797</f>
        <v>457.15000000000003</v>
      </c>
      <c r="L857" s="283">
        <f>(SUM(O857:Q857)+(K857+SUM(M857:Q857))*(INDEX($U$797:$AB$797,MATCH(Notes!$C$16,$U$3:$AB$3,0))-100%))*$L$797</f>
        <v>1952.6120000000001</v>
      </c>
      <c r="M857" s="286"/>
      <c r="N857" s="286"/>
      <c r="O857" s="311">
        <f>O829</f>
        <v>1424.33</v>
      </c>
      <c r="P857" s="311">
        <f t="shared" si="120"/>
        <v>528.28200000000004</v>
      </c>
      <c r="Q857" s="285"/>
      <c r="R857" s="278"/>
      <c r="S857" s="278"/>
      <c r="T857" s="278"/>
    </row>
    <row r="858" spans="1:28" s="305" customFormat="1" hidden="1" outlineLevel="1" x14ac:dyDescent="0.25">
      <c r="A858" s="278"/>
      <c r="B858" s="279" t="str">
        <f t="shared" si="121"/>
        <v>27001800TB/FXW</v>
      </c>
      <c r="C858" s="278">
        <v>2700</v>
      </c>
      <c r="D858" s="278">
        <v>1800</v>
      </c>
      <c r="E858" s="278" t="s">
        <v>948</v>
      </c>
      <c r="F858" s="278"/>
      <c r="G858" s="278" t="s">
        <v>5</v>
      </c>
      <c r="H858" s="290">
        <v>5</v>
      </c>
      <c r="I858" s="280">
        <f t="shared" si="122"/>
        <v>403.1</v>
      </c>
      <c r="J858" s="281">
        <f t="shared" si="123"/>
        <v>457.15000000000003</v>
      </c>
      <c r="K858" s="282">
        <f>IF(Notes!$B$9="Domestic",I858, IF(Notes!$B$9="Commercial",J858))*$K$797</f>
        <v>457.15000000000003</v>
      </c>
      <c r="L858" s="283">
        <f>(SUM(O858:Q858)+(K858+SUM(M858:Q858))*(INDEX($U$797:$AB$797,MATCH(Notes!$C$16,$U$3:$AB$3,0))-100%))*$L$797</f>
        <v>2096.1383999999998</v>
      </c>
      <c r="M858" s="286"/>
      <c r="N858" s="286"/>
      <c r="O858" s="311">
        <f>O837</f>
        <v>1462.2</v>
      </c>
      <c r="P858" s="311">
        <f t="shared" si="120"/>
        <v>633.9384</v>
      </c>
      <c r="Q858" s="285"/>
      <c r="R858" s="278"/>
      <c r="S858" s="278"/>
      <c r="T858" s="278"/>
    </row>
    <row r="859" spans="1:28" s="305" customFormat="1" hidden="1" outlineLevel="1" x14ac:dyDescent="0.25">
      <c r="A859" s="278"/>
      <c r="B859" s="279" t="str">
        <f t="shared" si="121"/>
        <v>27002100TB/FXW</v>
      </c>
      <c r="C859" s="278">
        <v>2700</v>
      </c>
      <c r="D859" s="278">
        <v>2100</v>
      </c>
      <c r="E859" s="278" t="s">
        <v>948</v>
      </c>
      <c r="F859" s="278"/>
      <c r="G859" s="278" t="s">
        <v>5</v>
      </c>
      <c r="H859" s="290">
        <v>6</v>
      </c>
      <c r="I859" s="280">
        <f t="shared" si="122"/>
        <v>483.72</v>
      </c>
      <c r="J859" s="281">
        <f t="shared" si="123"/>
        <v>548.58000000000004</v>
      </c>
      <c r="K859" s="282">
        <f>IF(Notes!$B$9="Domestic",I859, IF(Notes!$B$9="Commercial",J859))*$K$797</f>
        <v>548.58000000000004</v>
      </c>
      <c r="L859" s="283">
        <f>(SUM(O859:Q859)+(K859+SUM(M859:Q859))*(INDEX($U$797:$AB$797,MATCH(Notes!$C$16,$U$3:$AB$3,0))-100%))*$L$797</f>
        <v>2338.9348</v>
      </c>
      <c r="M859" s="286"/>
      <c r="N859" s="286"/>
      <c r="O859" s="311">
        <f>O845</f>
        <v>1599.34</v>
      </c>
      <c r="P859" s="311">
        <f t="shared" si="120"/>
        <v>739.59479999999996</v>
      </c>
      <c r="Q859" s="285"/>
      <c r="R859" s="278"/>
      <c r="S859" s="278"/>
      <c r="T859" s="278"/>
    </row>
    <row r="860" spans="1:28" s="305" customFormat="1" hidden="1" outlineLevel="1" x14ac:dyDescent="0.25">
      <c r="A860" s="278"/>
      <c r="B860" s="279" t="str">
        <f t="shared" si="121"/>
        <v>27002400TB/FXW</v>
      </c>
      <c r="C860" s="278">
        <v>2700</v>
      </c>
      <c r="D860" s="278">
        <v>2400</v>
      </c>
      <c r="E860" s="278" t="s">
        <v>948</v>
      </c>
      <c r="F860" s="278"/>
      <c r="G860" s="278" t="s">
        <v>5</v>
      </c>
      <c r="H860" s="290">
        <v>6</v>
      </c>
      <c r="I860" s="280">
        <f t="shared" si="122"/>
        <v>483.72</v>
      </c>
      <c r="J860" s="281">
        <f t="shared" si="123"/>
        <v>548.58000000000004</v>
      </c>
      <c r="K860" s="282">
        <f>IF(Notes!$B$9="Domestic",I860, IF(Notes!$B$9="Commercial",J860))*$K$797</f>
        <v>548.58000000000004</v>
      </c>
      <c r="L860" s="283">
        <f>(SUM(O860:Q860)+(K860+SUM(M860:Q860))*(INDEX($U$797:$AB$797,MATCH(Notes!$C$16,$U$3:$AB$3,0))-100%))*$L$797</f>
        <v>3552.0111999999999</v>
      </c>
      <c r="M860" s="286"/>
      <c r="N860" s="286"/>
      <c r="O860" s="311">
        <f>O853</f>
        <v>2706.76</v>
      </c>
      <c r="P860" s="311">
        <f t="shared" si="120"/>
        <v>845.25119999999993</v>
      </c>
      <c r="Q860" s="285"/>
      <c r="R860" s="278"/>
      <c r="S860" s="278"/>
      <c r="T860" s="278"/>
    </row>
    <row r="861" spans="1:28" s="305" customFormat="1" hidden="1" outlineLevel="1" x14ac:dyDescent="0.25">
      <c r="A861" s="278"/>
      <c r="B861" s="279" t="str">
        <f t="shared" si="121"/>
        <v>27002700TB/FXW</v>
      </c>
      <c r="C861" s="278">
        <v>2700</v>
      </c>
      <c r="D861" s="278">
        <v>2700</v>
      </c>
      <c r="E861" s="278" t="s">
        <v>948</v>
      </c>
      <c r="F861" s="278"/>
      <c r="G861" s="278" t="s">
        <v>5</v>
      </c>
      <c r="H861" s="290">
        <v>6</v>
      </c>
      <c r="I861" s="280">
        <f t="shared" si="122"/>
        <v>483.72</v>
      </c>
      <c r="J861" s="281">
        <f t="shared" si="123"/>
        <v>548.58000000000004</v>
      </c>
      <c r="K861" s="282">
        <f>IF(Notes!$B$9="Domestic",I861, IF(Notes!$B$9="Commercial",J861))*$K$797</f>
        <v>548.58000000000004</v>
      </c>
      <c r="L861" s="283">
        <f>(SUM(O861:Q861)+(K861+SUM(M861:Q861))*(INDEX($U$797:$AB$797,MATCH(Notes!$C$16,$U$3:$AB$3,0))-100%))*$L$797</f>
        <v>3799.5675999999999</v>
      </c>
      <c r="M861" s="286"/>
      <c r="N861" s="286"/>
      <c r="O861" s="311">
        <f>O829*2</f>
        <v>2848.66</v>
      </c>
      <c r="P861" s="311">
        <f t="shared" si="120"/>
        <v>950.9076</v>
      </c>
      <c r="Q861" s="285"/>
      <c r="R861" s="278"/>
      <c r="S861" s="278"/>
      <c r="T861" s="278"/>
    </row>
    <row r="862" spans="1:28" ht="21" hidden="1" outlineLevel="1" x14ac:dyDescent="0.25">
      <c r="A862" s="299" t="s">
        <v>500</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row>
    <row r="863" spans="1:28" ht="15.75" hidden="1" outlineLevel="1" x14ac:dyDescent="0.25">
      <c r="A863" s="291"/>
      <c r="B863" s="291"/>
      <c r="C863" s="291"/>
      <c r="D863" s="291"/>
      <c r="E863" s="291"/>
      <c r="F863" s="291"/>
      <c r="G863" s="291"/>
      <c r="H863" s="291"/>
      <c r="I863" s="291"/>
      <c r="J863" s="291"/>
      <c r="K863" s="291">
        <f>K$2</f>
        <v>1</v>
      </c>
      <c r="L863" s="291">
        <f>L$2</f>
        <v>1</v>
      </c>
      <c r="M863" s="291"/>
      <c r="N863" s="291"/>
      <c r="O863" s="303"/>
      <c r="P863" s="303"/>
      <c r="Q863" s="303"/>
      <c r="R863" s="291"/>
      <c r="S863" s="291"/>
      <c r="T863" s="291"/>
      <c r="U863" s="291">
        <f>U$2</f>
        <v>0.89965397923875434</v>
      </c>
      <c r="V863" s="291">
        <f>V$2</f>
        <v>1</v>
      </c>
      <c r="W863" s="291">
        <f t="shared" ref="W863:AB863" si="124">W$2</f>
        <v>0.92214532871972321</v>
      </c>
      <c r="X863" s="291">
        <f t="shared" si="124"/>
        <v>0.89965397923875434</v>
      </c>
      <c r="Y863" s="291">
        <f t="shared" si="124"/>
        <v>1.0069204152249136</v>
      </c>
      <c r="Z863" s="291">
        <f t="shared" si="124"/>
        <v>0.856401384083045</v>
      </c>
      <c r="AA863" s="291">
        <f t="shared" si="124"/>
        <v>0.856401384083045</v>
      </c>
      <c r="AB863" s="291">
        <f t="shared" si="124"/>
        <v>1.0121107266435987</v>
      </c>
    </row>
    <row r="864" spans="1:28" s="305" customFormat="1" hidden="1" outlineLevel="1" x14ac:dyDescent="0.25">
      <c r="A864" s="278"/>
      <c r="B864" s="279" t="str">
        <f>C864&amp;D864&amp;E864&amp;F864</f>
        <v>600600TB/LVW</v>
      </c>
      <c r="C864" s="278">
        <v>600</v>
      </c>
      <c r="D864" s="278">
        <v>600</v>
      </c>
      <c r="E864" s="278" t="s">
        <v>949</v>
      </c>
      <c r="F864" s="278"/>
      <c r="G864" s="278" t="s">
        <v>5</v>
      </c>
      <c r="H864" s="290">
        <v>1</v>
      </c>
      <c r="I864" s="280">
        <f>$I$2*H864</f>
        <v>80.62</v>
      </c>
      <c r="J864" s="281">
        <f>$J$2*H864</f>
        <v>91.43</v>
      </c>
      <c r="K864" s="282">
        <f>IF(Notes!$B$9="Domestic",I864, IF(Notes!$B$9="Commercial",J864))*$K$863</f>
        <v>91.43</v>
      </c>
      <c r="L864" s="283">
        <f>(SUM(O864:Q864)+(K864+SUM(M864:Q864))*(INDEX($U$863:$AB$863,MATCH(Notes!$C$16,$U$3:$AB$3,0))-100%))*$L$863</f>
        <v>548.23839999999996</v>
      </c>
      <c r="M864" s="286"/>
      <c r="N864" s="286"/>
      <c r="O864" s="285">
        <v>501.28</v>
      </c>
      <c r="P864" s="311">
        <f t="shared" ref="P864:P927" si="125">$P$2*C864/1000*D864/1000</f>
        <v>46.958399999999997</v>
      </c>
      <c r="Q864" s="285"/>
      <c r="R864" s="278">
        <v>600</v>
      </c>
      <c r="S864" s="278">
        <v>600</v>
      </c>
      <c r="T864" s="278" t="s">
        <v>949</v>
      </c>
    </row>
    <row r="865" spans="1:20" s="305" customFormat="1" hidden="1" outlineLevel="1" x14ac:dyDescent="0.25">
      <c r="A865" s="278"/>
      <c r="B865" s="279" t="str">
        <f t="shared" ref="B865:B927" si="126">C865&amp;D865&amp;E865&amp;F865</f>
        <v>600900TB/LVW</v>
      </c>
      <c r="C865" s="278">
        <v>600</v>
      </c>
      <c r="D865" s="278">
        <v>900</v>
      </c>
      <c r="E865" s="278" t="s">
        <v>949</v>
      </c>
      <c r="F865" s="278"/>
      <c r="G865" s="278" t="s">
        <v>5</v>
      </c>
      <c r="H865" s="290">
        <v>1</v>
      </c>
      <c r="I865" s="280">
        <f t="shared" ref="I865:I927" si="127">$I$2*H865</f>
        <v>80.62</v>
      </c>
      <c r="J865" s="281">
        <f t="shared" ref="J865:J926" si="128">$J$2*H865</f>
        <v>91.43</v>
      </c>
      <c r="K865" s="282">
        <f>IF(Notes!$B$9="Domestic",I865, IF(Notes!$B$9="Commercial",J865))*$K$863</f>
        <v>91.43</v>
      </c>
      <c r="L865" s="283">
        <f>(SUM(O865:Q865)+(K865+SUM(M865:Q865))*(INDEX($U$863:$AB$863,MATCH(Notes!$C$16,$U$3:$AB$3,0))-100%))*$L$863</f>
        <v>690.38760000000002</v>
      </c>
      <c r="M865" s="286"/>
      <c r="N865" s="286"/>
      <c r="O865" s="285">
        <v>619.95000000000005</v>
      </c>
      <c r="P865" s="311">
        <f t="shared" si="125"/>
        <v>70.437599999999989</v>
      </c>
      <c r="Q865" s="285"/>
      <c r="R865" s="278">
        <v>900</v>
      </c>
      <c r="S865" s="278">
        <v>900</v>
      </c>
      <c r="T865" s="278"/>
    </row>
    <row r="866" spans="1:20" s="305" customFormat="1" hidden="1" outlineLevel="1" x14ac:dyDescent="0.25">
      <c r="A866" s="278"/>
      <c r="B866" s="279" t="str">
        <f t="shared" si="126"/>
        <v>6001200TB/LVW</v>
      </c>
      <c r="C866" s="278">
        <v>600</v>
      </c>
      <c r="D866" s="278">
        <v>1200</v>
      </c>
      <c r="E866" s="278" t="s">
        <v>949</v>
      </c>
      <c r="F866" s="278"/>
      <c r="G866" s="278" t="s">
        <v>5</v>
      </c>
      <c r="H866" s="290">
        <v>1</v>
      </c>
      <c r="I866" s="280">
        <f t="shared" si="127"/>
        <v>80.62</v>
      </c>
      <c r="J866" s="281">
        <f t="shared" si="128"/>
        <v>91.43</v>
      </c>
      <c r="K866" s="282">
        <f>IF(Notes!$B$9="Domestic",I866, IF(Notes!$B$9="Commercial",J866))*$K$863</f>
        <v>91.43</v>
      </c>
      <c r="L866" s="283">
        <f>(SUM(O866:Q866)+(K866+SUM(M866:Q866))*(INDEX($U$863:$AB$863,MATCH(Notes!$C$16,$U$3:$AB$3,0))-100%))*$L$863</f>
        <v>1096.4767999999999</v>
      </c>
      <c r="M866" s="286"/>
      <c r="N866" s="286"/>
      <c r="O866" s="311">
        <f>O864*2</f>
        <v>1002.56</v>
      </c>
      <c r="P866" s="311">
        <f t="shared" si="125"/>
        <v>93.916799999999995</v>
      </c>
      <c r="Q866" s="285"/>
      <c r="R866" s="278">
        <v>1200</v>
      </c>
      <c r="S866" s="278">
        <v>1200</v>
      </c>
      <c r="T866" s="278"/>
    </row>
    <row r="867" spans="1:20" s="305" customFormat="1" hidden="1" outlineLevel="1" x14ac:dyDescent="0.25">
      <c r="A867" s="278"/>
      <c r="B867" s="279" t="str">
        <f t="shared" si="126"/>
        <v>6001500TB/LVW</v>
      </c>
      <c r="C867" s="278">
        <v>600</v>
      </c>
      <c r="D867" s="278">
        <v>1500</v>
      </c>
      <c r="E867" s="278" t="s">
        <v>949</v>
      </c>
      <c r="F867" s="278"/>
      <c r="G867" s="278" t="s">
        <v>5</v>
      </c>
      <c r="H867" s="290">
        <v>1</v>
      </c>
      <c r="I867" s="280">
        <f t="shared" si="127"/>
        <v>80.62</v>
      </c>
      <c r="J867" s="281">
        <f t="shared" si="128"/>
        <v>91.43</v>
      </c>
      <c r="K867" s="282">
        <f>IF(Notes!$B$9="Domestic",I867, IF(Notes!$B$9="Commercial",J867))*$K$863</f>
        <v>91.43</v>
      </c>
      <c r="L867" s="283">
        <f>(SUM(O867:Q867)+(K867+SUM(M867:Q867))*(INDEX($U$863:$AB$863,MATCH(Notes!$C$16,$U$3:$AB$3,0))-100%))*$L$863</f>
        <v>1238.626</v>
      </c>
      <c r="M867" s="286"/>
      <c r="N867" s="286"/>
      <c r="O867" s="311">
        <f>O864+O865</f>
        <v>1121.23</v>
      </c>
      <c r="P867" s="311">
        <f t="shared" si="125"/>
        <v>117.396</v>
      </c>
      <c r="Q867" s="285"/>
      <c r="R867" s="278">
        <v>1500</v>
      </c>
      <c r="S867" s="278">
        <v>1500</v>
      </c>
      <c r="T867" s="278"/>
    </row>
    <row r="868" spans="1:20" s="305" customFormat="1" hidden="1" outlineLevel="1" x14ac:dyDescent="0.25">
      <c r="A868" s="278"/>
      <c r="B868" s="279" t="str">
        <f t="shared" si="126"/>
        <v>6001800TB/LVW</v>
      </c>
      <c r="C868" s="278">
        <v>600</v>
      </c>
      <c r="D868" s="278">
        <v>1800</v>
      </c>
      <c r="E868" s="278" t="s">
        <v>949</v>
      </c>
      <c r="F868" s="278"/>
      <c r="G868" s="278" t="s">
        <v>5</v>
      </c>
      <c r="H868" s="290">
        <v>1</v>
      </c>
      <c r="I868" s="280">
        <f t="shared" si="127"/>
        <v>80.62</v>
      </c>
      <c r="J868" s="281">
        <f t="shared" si="128"/>
        <v>91.43</v>
      </c>
      <c r="K868" s="282">
        <f>IF(Notes!$B$9="Domestic",I868, IF(Notes!$B$9="Commercial",J868))*$K$863</f>
        <v>91.43</v>
      </c>
      <c r="L868" s="283">
        <f>(SUM(O868:Q868)+(K868+SUM(M868:Q868))*(INDEX($U$863:$AB$863,MATCH(Notes!$C$16,$U$3:$AB$3,0))-100%))*$L$863</f>
        <v>1380.7752</v>
      </c>
      <c r="M868" s="286"/>
      <c r="N868" s="286"/>
      <c r="O868" s="311">
        <f>O865*2</f>
        <v>1239.9000000000001</v>
      </c>
      <c r="P868" s="311">
        <f t="shared" si="125"/>
        <v>140.87519999999998</v>
      </c>
      <c r="Q868" s="285"/>
      <c r="R868" s="278">
        <v>1800</v>
      </c>
      <c r="S868" s="278">
        <v>1800</v>
      </c>
      <c r="T868" s="278"/>
    </row>
    <row r="869" spans="1:20" s="305" customFormat="1" hidden="1" outlineLevel="1" x14ac:dyDescent="0.25">
      <c r="A869" s="278"/>
      <c r="B869" s="279" t="str">
        <f t="shared" si="126"/>
        <v>6002100TB/LVW</v>
      </c>
      <c r="C869" s="278">
        <v>600</v>
      </c>
      <c r="D869" s="278">
        <v>2100</v>
      </c>
      <c r="E869" s="278" t="s">
        <v>949</v>
      </c>
      <c r="F869" s="278"/>
      <c r="G869" s="278" t="s">
        <v>5</v>
      </c>
      <c r="H869" s="290">
        <v>2</v>
      </c>
      <c r="I869" s="280">
        <f t="shared" si="127"/>
        <v>161.24</v>
      </c>
      <c r="J869" s="281">
        <f t="shared" si="128"/>
        <v>182.86</v>
      </c>
      <c r="K869" s="282">
        <f>IF(Notes!$B$9="Domestic",I869, IF(Notes!$B$9="Commercial",J869))*$K$863</f>
        <v>182.86</v>
      </c>
      <c r="L869" s="283">
        <f>(SUM(O869:Q869)+(K869+SUM(M869:Q869))*(INDEX($U$863:$AB$863,MATCH(Notes!$C$16,$U$3:$AB$3,0))-100%))*$L$863</f>
        <v>1786.8643999999999</v>
      </c>
      <c r="M869" s="286"/>
      <c r="N869" s="286"/>
      <c r="O869" s="311">
        <f>O864+O867</f>
        <v>1622.51</v>
      </c>
      <c r="P869" s="311">
        <f t="shared" si="125"/>
        <v>164.3544</v>
      </c>
      <c r="Q869" s="285"/>
      <c r="R869" s="278">
        <v>2100</v>
      </c>
      <c r="S869" s="278">
        <v>2100</v>
      </c>
      <c r="T869" s="278"/>
    </row>
    <row r="870" spans="1:20" s="305" customFormat="1" hidden="1" outlineLevel="1" x14ac:dyDescent="0.25">
      <c r="A870" s="278"/>
      <c r="B870" s="279" t="str">
        <f t="shared" si="126"/>
        <v>6002400TB/LVW</v>
      </c>
      <c r="C870" s="278">
        <v>600</v>
      </c>
      <c r="D870" s="278">
        <v>2400</v>
      </c>
      <c r="E870" s="278" t="s">
        <v>949</v>
      </c>
      <c r="F870" s="278"/>
      <c r="G870" s="278" t="s">
        <v>5</v>
      </c>
      <c r="H870" s="290">
        <v>2</v>
      </c>
      <c r="I870" s="280">
        <f t="shared" si="127"/>
        <v>161.24</v>
      </c>
      <c r="J870" s="281">
        <f t="shared" si="128"/>
        <v>182.86</v>
      </c>
      <c r="K870" s="282">
        <f>IF(Notes!$B$9="Domestic",I870, IF(Notes!$B$9="Commercial",J870))*$K$863</f>
        <v>182.86</v>
      </c>
      <c r="L870" s="283">
        <f>(SUM(O870:Q870)+(K870+SUM(M870:Q870))*(INDEX($U$863:$AB$863,MATCH(Notes!$C$16,$U$3:$AB$3,0))-100%))*$L$863</f>
        <v>2192.9535999999998</v>
      </c>
      <c r="M870" s="286"/>
      <c r="N870" s="286"/>
      <c r="O870" s="311">
        <f>O866*2</f>
        <v>2005.12</v>
      </c>
      <c r="P870" s="311">
        <f t="shared" si="125"/>
        <v>187.83359999999999</v>
      </c>
      <c r="Q870" s="285"/>
      <c r="R870" s="278">
        <v>2400</v>
      </c>
      <c r="S870" s="278">
        <v>2400</v>
      </c>
      <c r="T870" s="278"/>
    </row>
    <row r="871" spans="1:20" s="305" customFormat="1" hidden="1" outlineLevel="1" x14ac:dyDescent="0.25">
      <c r="A871" s="278"/>
      <c r="B871" s="279" t="str">
        <f t="shared" si="126"/>
        <v>6002700TB/LVW</v>
      </c>
      <c r="C871" s="278">
        <v>600</v>
      </c>
      <c r="D871" s="278">
        <v>2700</v>
      </c>
      <c r="E871" s="278" t="s">
        <v>949</v>
      </c>
      <c r="F871" s="278"/>
      <c r="G871" s="278" t="s">
        <v>5</v>
      </c>
      <c r="H871" s="290">
        <v>2</v>
      </c>
      <c r="I871" s="280">
        <f t="shared" si="127"/>
        <v>161.24</v>
      </c>
      <c r="J871" s="281">
        <f t="shared" si="128"/>
        <v>182.86</v>
      </c>
      <c r="K871" s="282">
        <f>IF(Notes!$B$9="Domestic",I871, IF(Notes!$B$9="Commercial",J871))*$K$863</f>
        <v>182.86</v>
      </c>
      <c r="L871" s="283">
        <f>(SUM(O871:Q871)+(K871+SUM(M871:Q871))*(INDEX($U$863:$AB$863,MATCH(Notes!$C$16,$U$3:$AB$3,0))-100%))*$L$863</f>
        <v>2335.1028000000001</v>
      </c>
      <c r="M871" s="286"/>
      <c r="N871" s="286"/>
      <c r="O871" s="311">
        <f>O866+O867</f>
        <v>2123.79</v>
      </c>
      <c r="P871" s="311">
        <f t="shared" si="125"/>
        <v>211.31279999999998</v>
      </c>
      <c r="Q871" s="285"/>
      <c r="R871" s="278">
        <v>2700</v>
      </c>
      <c r="S871" s="278">
        <v>2700</v>
      </c>
      <c r="T871" s="278"/>
    </row>
    <row r="872" spans="1:20" s="305" customFormat="1" hidden="1" outlineLevel="1" x14ac:dyDescent="0.25">
      <c r="A872" s="278"/>
      <c r="B872" s="279" t="str">
        <f t="shared" si="126"/>
        <v>900600TB/LVW</v>
      </c>
      <c r="C872" s="278">
        <v>900</v>
      </c>
      <c r="D872" s="278">
        <v>600</v>
      </c>
      <c r="E872" s="278" t="s">
        <v>949</v>
      </c>
      <c r="F872" s="278"/>
      <c r="G872" s="278" t="s">
        <v>5</v>
      </c>
      <c r="H872" s="290">
        <v>1</v>
      </c>
      <c r="I872" s="280">
        <f t="shared" si="127"/>
        <v>80.62</v>
      </c>
      <c r="J872" s="281">
        <f t="shared" si="128"/>
        <v>91.43</v>
      </c>
      <c r="K872" s="282">
        <f>IF(Notes!$B$9="Domestic",I872, IF(Notes!$B$9="Commercial",J872))*$K$863</f>
        <v>91.43</v>
      </c>
      <c r="L872" s="283">
        <f>(SUM(O872:Q872)+(K872+SUM(M872:Q872))*(INDEX($U$863:$AB$863,MATCH(Notes!$C$16,$U$3:$AB$3,0))-100%))*$L$863</f>
        <v>674.08759999999995</v>
      </c>
      <c r="M872" s="286"/>
      <c r="N872" s="286"/>
      <c r="O872" s="285">
        <v>603.65</v>
      </c>
      <c r="P872" s="311">
        <f t="shared" si="125"/>
        <v>70.437600000000003</v>
      </c>
      <c r="Q872" s="285"/>
      <c r="R872" s="278"/>
      <c r="S872" s="278"/>
      <c r="T872" s="278"/>
    </row>
    <row r="873" spans="1:20" s="305" customFormat="1" hidden="1" outlineLevel="1" x14ac:dyDescent="0.25">
      <c r="A873" s="278"/>
      <c r="B873" s="279" t="str">
        <f t="shared" si="126"/>
        <v>900900TB/LVW</v>
      </c>
      <c r="C873" s="278">
        <v>900</v>
      </c>
      <c r="D873" s="278">
        <v>900</v>
      </c>
      <c r="E873" s="278" t="s">
        <v>949</v>
      </c>
      <c r="F873" s="278"/>
      <c r="G873" s="278" t="s">
        <v>5</v>
      </c>
      <c r="H873" s="290">
        <v>1</v>
      </c>
      <c r="I873" s="280">
        <f t="shared" si="127"/>
        <v>80.62</v>
      </c>
      <c r="J873" s="281">
        <f t="shared" si="128"/>
        <v>91.43</v>
      </c>
      <c r="K873" s="282">
        <f>IF(Notes!$B$9="Domestic",I873, IF(Notes!$B$9="Commercial",J873))*$K$863</f>
        <v>91.43</v>
      </c>
      <c r="L873" s="283">
        <f>(SUM(O873:Q873)+(K873+SUM(M873:Q873))*(INDEX($U$863:$AB$863,MATCH(Notes!$C$16,$U$3:$AB$3,0))-100%))*$L$863</f>
        <v>846.63639999999998</v>
      </c>
      <c r="M873" s="286"/>
      <c r="N873" s="286"/>
      <c r="O873" s="285">
        <v>740.98</v>
      </c>
      <c r="P873" s="311">
        <f t="shared" si="125"/>
        <v>105.65639999999999</v>
      </c>
      <c r="Q873" s="285"/>
      <c r="R873" s="278"/>
      <c r="S873" s="278"/>
      <c r="T873" s="278"/>
    </row>
    <row r="874" spans="1:20" s="305" customFormat="1" hidden="1" outlineLevel="1" x14ac:dyDescent="0.25">
      <c r="A874" s="278"/>
      <c r="B874" s="279" t="str">
        <f t="shared" si="126"/>
        <v>9001200TB/LVW</v>
      </c>
      <c r="C874" s="278">
        <v>900</v>
      </c>
      <c r="D874" s="278">
        <v>1200</v>
      </c>
      <c r="E874" s="278" t="s">
        <v>949</v>
      </c>
      <c r="F874" s="278"/>
      <c r="G874" s="278" t="s">
        <v>5</v>
      </c>
      <c r="H874" s="290">
        <v>1</v>
      </c>
      <c r="I874" s="280">
        <f t="shared" si="127"/>
        <v>80.62</v>
      </c>
      <c r="J874" s="281">
        <f t="shared" si="128"/>
        <v>91.43</v>
      </c>
      <c r="K874" s="282">
        <f>IF(Notes!$B$9="Domestic",I874, IF(Notes!$B$9="Commercial",J874))*$K$863</f>
        <v>91.43</v>
      </c>
      <c r="L874" s="283">
        <f>(SUM(O874:Q874)+(K874+SUM(M874:Q874))*(INDEX($U$863:$AB$863,MATCH(Notes!$C$16,$U$3:$AB$3,0))-100%))*$L$863</f>
        <v>1348.1751999999999</v>
      </c>
      <c r="M874" s="286"/>
      <c r="N874" s="286"/>
      <c r="O874" s="311">
        <f>O872*2</f>
        <v>1207.3</v>
      </c>
      <c r="P874" s="311">
        <f t="shared" si="125"/>
        <v>140.87520000000001</v>
      </c>
      <c r="Q874" s="285"/>
      <c r="R874" s="278"/>
      <c r="S874" s="278"/>
      <c r="T874" s="278"/>
    </row>
    <row r="875" spans="1:20" s="305" customFormat="1" hidden="1" outlineLevel="1" x14ac:dyDescent="0.25">
      <c r="A875" s="278"/>
      <c r="B875" s="279" t="str">
        <f t="shared" si="126"/>
        <v>9001500TB/LVW</v>
      </c>
      <c r="C875" s="278">
        <v>900</v>
      </c>
      <c r="D875" s="278">
        <v>1500</v>
      </c>
      <c r="E875" s="278" t="s">
        <v>949</v>
      </c>
      <c r="F875" s="278"/>
      <c r="G875" s="278" t="s">
        <v>5</v>
      </c>
      <c r="H875" s="290">
        <v>2</v>
      </c>
      <c r="I875" s="280">
        <f t="shared" si="127"/>
        <v>161.24</v>
      </c>
      <c r="J875" s="281">
        <f t="shared" si="128"/>
        <v>182.86</v>
      </c>
      <c r="K875" s="282">
        <f>IF(Notes!$B$9="Domestic",I875, IF(Notes!$B$9="Commercial",J875))*$K$863</f>
        <v>182.86</v>
      </c>
      <c r="L875" s="283">
        <f>(SUM(O875:Q875)+(K875+SUM(M875:Q875))*(INDEX($U$863:$AB$863,MATCH(Notes!$C$16,$U$3:$AB$3,0))-100%))*$L$863</f>
        <v>1520.7240000000002</v>
      </c>
      <c r="M875" s="286"/>
      <c r="N875" s="286"/>
      <c r="O875" s="311">
        <f>O872+O873</f>
        <v>1344.63</v>
      </c>
      <c r="P875" s="311">
        <f t="shared" si="125"/>
        <v>176.09399999999999</v>
      </c>
      <c r="Q875" s="285"/>
      <c r="R875" s="278"/>
      <c r="S875" s="278"/>
      <c r="T875" s="278"/>
    </row>
    <row r="876" spans="1:20" s="305" customFormat="1" hidden="1" outlineLevel="1" x14ac:dyDescent="0.25">
      <c r="A876" s="278"/>
      <c r="B876" s="279" t="str">
        <f t="shared" si="126"/>
        <v>9001800TB/LVW</v>
      </c>
      <c r="C876" s="278">
        <v>900</v>
      </c>
      <c r="D876" s="278">
        <v>1800</v>
      </c>
      <c r="E876" s="278" t="s">
        <v>949</v>
      </c>
      <c r="F876" s="278"/>
      <c r="G876" s="278" t="s">
        <v>5</v>
      </c>
      <c r="H876" s="290">
        <v>2</v>
      </c>
      <c r="I876" s="280">
        <f t="shared" si="127"/>
        <v>161.24</v>
      </c>
      <c r="J876" s="281">
        <f t="shared" si="128"/>
        <v>182.86</v>
      </c>
      <c r="K876" s="282">
        <f>IF(Notes!$B$9="Domestic",I876, IF(Notes!$B$9="Commercial",J876))*$K$863</f>
        <v>182.86</v>
      </c>
      <c r="L876" s="283">
        <f>(SUM(O876:Q876)+(K876+SUM(M876:Q876))*(INDEX($U$863:$AB$863,MATCH(Notes!$C$16,$U$3:$AB$3,0))-100%))*$L$863</f>
        <v>1693.2728</v>
      </c>
      <c r="M876" s="286"/>
      <c r="N876" s="286"/>
      <c r="O876" s="311">
        <f>O873*2</f>
        <v>1481.96</v>
      </c>
      <c r="P876" s="311">
        <f t="shared" si="125"/>
        <v>211.31279999999998</v>
      </c>
      <c r="Q876" s="285"/>
      <c r="R876" s="278"/>
      <c r="S876" s="278"/>
      <c r="T876" s="278"/>
    </row>
    <row r="877" spans="1:20" s="305" customFormat="1" hidden="1" outlineLevel="1" x14ac:dyDescent="0.25">
      <c r="A877" s="278"/>
      <c r="B877" s="279" t="str">
        <f t="shared" si="126"/>
        <v>9002100TB/LVW</v>
      </c>
      <c r="C877" s="278">
        <v>900</v>
      </c>
      <c r="D877" s="278">
        <v>2100</v>
      </c>
      <c r="E877" s="278" t="s">
        <v>949</v>
      </c>
      <c r="F877" s="278"/>
      <c r="G877" s="278" t="s">
        <v>5</v>
      </c>
      <c r="H877" s="290">
        <v>2</v>
      </c>
      <c r="I877" s="280">
        <f t="shared" si="127"/>
        <v>161.24</v>
      </c>
      <c r="J877" s="281">
        <f t="shared" si="128"/>
        <v>182.86</v>
      </c>
      <c r="K877" s="282">
        <f>IF(Notes!$B$9="Domestic",I877, IF(Notes!$B$9="Commercial",J877))*$K$863</f>
        <v>182.86</v>
      </c>
      <c r="L877" s="283">
        <f>(SUM(O877:Q877)+(K877+SUM(M877:Q877))*(INDEX($U$863:$AB$863,MATCH(Notes!$C$16,$U$3:$AB$3,0))-100%))*$L$863</f>
        <v>2194.8116</v>
      </c>
      <c r="M877" s="286"/>
      <c r="N877" s="286"/>
      <c r="O877" s="311">
        <f>O872+O875</f>
        <v>1948.2800000000002</v>
      </c>
      <c r="P877" s="311">
        <f t="shared" si="125"/>
        <v>246.5316</v>
      </c>
      <c r="Q877" s="285"/>
      <c r="R877" s="278"/>
      <c r="S877" s="278"/>
      <c r="T877" s="278"/>
    </row>
    <row r="878" spans="1:20" s="305" customFormat="1" hidden="1" outlineLevel="1" x14ac:dyDescent="0.25">
      <c r="A878" s="278"/>
      <c r="B878" s="279" t="str">
        <f t="shared" si="126"/>
        <v>9002400TB/LVW</v>
      </c>
      <c r="C878" s="278">
        <v>900</v>
      </c>
      <c r="D878" s="278">
        <v>2400</v>
      </c>
      <c r="E878" s="278" t="s">
        <v>949</v>
      </c>
      <c r="F878" s="278"/>
      <c r="G878" s="278" t="s">
        <v>5</v>
      </c>
      <c r="H878" s="290">
        <v>3</v>
      </c>
      <c r="I878" s="280">
        <f t="shared" si="127"/>
        <v>241.86</v>
      </c>
      <c r="J878" s="281">
        <f t="shared" si="128"/>
        <v>274.29000000000002</v>
      </c>
      <c r="K878" s="282">
        <f>IF(Notes!$B$9="Domestic",I878, IF(Notes!$B$9="Commercial",J878))*$K$863</f>
        <v>274.29000000000002</v>
      </c>
      <c r="L878" s="283">
        <f>(SUM(O878:Q878)+(K878+SUM(M878:Q878))*(INDEX($U$863:$AB$863,MATCH(Notes!$C$16,$U$3:$AB$3,0))-100%))*$L$863</f>
        <v>2696.3503999999998</v>
      </c>
      <c r="M878" s="286"/>
      <c r="N878" s="286"/>
      <c r="O878" s="311">
        <f>O874*2</f>
        <v>2414.6</v>
      </c>
      <c r="P878" s="311">
        <f t="shared" si="125"/>
        <v>281.75040000000001</v>
      </c>
      <c r="Q878" s="285"/>
      <c r="R878" s="278"/>
      <c r="S878" s="278"/>
      <c r="T878" s="278"/>
    </row>
    <row r="879" spans="1:20" s="305" customFormat="1" hidden="1" outlineLevel="1" x14ac:dyDescent="0.25">
      <c r="A879" s="278"/>
      <c r="B879" s="279" t="str">
        <f t="shared" si="126"/>
        <v>9002700TB/LVW</v>
      </c>
      <c r="C879" s="278">
        <v>900</v>
      </c>
      <c r="D879" s="278">
        <v>2700</v>
      </c>
      <c r="E879" s="278" t="s">
        <v>949</v>
      </c>
      <c r="F879" s="278"/>
      <c r="G879" s="278" t="s">
        <v>5</v>
      </c>
      <c r="H879" s="290">
        <v>3</v>
      </c>
      <c r="I879" s="280">
        <f t="shared" si="127"/>
        <v>241.86</v>
      </c>
      <c r="J879" s="281">
        <f t="shared" si="128"/>
        <v>274.29000000000002</v>
      </c>
      <c r="K879" s="282">
        <f>IF(Notes!$B$9="Domestic",I879, IF(Notes!$B$9="Commercial",J879))*$K$863</f>
        <v>274.29000000000002</v>
      </c>
      <c r="L879" s="283">
        <f>(SUM(O879:Q879)+(K879+SUM(M879:Q879))*(INDEX($U$863:$AB$863,MATCH(Notes!$C$16,$U$3:$AB$3,0))-100%))*$L$863</f>
        <v>2868.8992000000003</v>
      </c>
      <c r="M879" s="286"/>
      <c r="N879" s="286"/>
      <c r="O879" s="311">
        <f>O874+O875</f>
        <v>2551.9300000000003</v>
      </c>
      <c r="P879" s="311">
        <f t="shared" si="125"/>
        <v>316.9692</v>
      </c>
      <c r="Q879" s="285"/>
      <c r="R879" s="278"/>
      <c r="S879" s="278"/>
      <c r="T879" s="278"/>
    </row>
    <row r="880" spans="1:20" s="305" customFormat="1" hidden="1" outlineLevel="1" x14ac:dyDescent="0.25">
      <c r="A880" s="278"/>
      <c r="B880" s="279" t="str">
        <f t="shared" si="126"/>
        <v>1200600TB/LVW</v>
      </c>
      <c r="C880" s="278">
        <v>1200</v>
      </c>
      <c r="D880" s="278">
        <v>600</v>
      </c>
      <c r="E880" s="278" t="s">
        <v>949</v>
      </c>
      <c r="F880" s="278"/>
      <c r="G880" s="278" t="s">
        <v>5</v>
      </c>
      <c r="H880" s="290">
        <v>1</v>
      </c>
      <c r="I880" s="280">
        <f t="shared" si="127"/>
        <v>80.62</v>
      </c>
      <c r="J880" s="281">
        <f t="shared" si="128"/>
        <v>91.43</v>
      </c>
      <c r="K880" s="282">
        <f>IF(Notes!$B$9="Domestic",I880, IF(Notes!$B$9="Commercial",J880))*$K$863</f>
        <v>91.43</v>
      </c>
      <c r="L880" s="283">
        <f>(SUM(O880:Q880)+(K880+SUM(M880:Q880))*(INDEX($U$863:$AB$863,MATCH(Notes!$C$16,$U$3:$AB$3,0))-100%))*$L$863</f>
        <v>796.68679999999995</v>
      </c>
      <c r="M880" s="286"/>
      <c r="N880" s="286"/>
      <c r="O880" s="285">
        <v>702.77</v>
      </c>
      <c r="P880" s="311">
        <f t="shared" si="125"/>
        <v>93.916799999999995</v>
      </c>
      <c r="Q880" s="285"/>
      <c r="R880" s="278"/>
      <c r="S880" s="278"/>
      <c r="T880" s="278"/>
    </row>
    <row r="881" spans="1:20" s="305" customFormat="1" hidden="1" outlineLevel="1" x14ac:dyDescent="0.25">
      <c r="A881" s="278"/>
      <c r="B881" s="279" t="str">
        <f t="shared" si="126"/>
        <v>1200900TB/LVW</v>
      </c>
      <c r="C881" s="278">
        <v>1200</v>
      </c>
      <c r="D881" s="278">
        <v>900</v>
      </c>
      <c r="E881" s="278" t="s">
        <v>949</v>
      </c>
      <c r="F881" s="278"/>
      <c r="G881" s="278" t="s">
        <v>5</v>
      </c>
      <c r="H881" s="290">
        <v>1</v>
      </c>
      <c r="I881" s="280">
        <f t="shared" si="127"/>
        <v>80.62</v>
      </c>
      <c r="J881" s="281">
        <f t="shared" si="128"/>
        <v>91.43</v>
      </c>
      <c r="K881" s="282">
        <f>IF(Notes!$B$9="Domestic",I881, IF(Notes!$B$9="Commercial",J881))*$K$863</f>
        <v>91.43</v>
      </c>
      <c r="L881" s="283">
        <f>(SUM(O881:Q881)+(K881+SUM(M881:Q881))*(INDEX($U$863:$AB$863,MATCH(Notes!$C$16,$U$3:$AB$3,0))-100%))*$L$863</f>
        <v>1000.5251999999999</v>
      </c>
      <c r="M881" s="286"/>
      <c r="N881" s="286"/>
      <c r="O881" s="285">
        <v>859.65</v>
      </c>
      <c r="P881" s="311">
        <f t="shared" si="125"/>
        <v>140.87519999999998</v>
      </c>
      <c r="Q881" s="285"/>
      <c r="R881" s="278"/>
      <c r="S881" s="278"/>
      <c r="T881" s="278"/>
    </row>
    <row r="882" spans="1:20" s="305" customFormat="1" hidden="1" outlineLevel="1" x14ac:dyDescent="0.25">
      <c r="A882" s="278"/>
      <c r="B882" s="279" t="str">
        <f t="shared" si="126"/>
        <v>12001200TB/LVW</v>
      </c>
      <c r="C882" s="278">
        <v>1200</v>
      </c>
      <c r="D882" s="278">
        <v>1200</v>
      </c>
      <c r="E882" s="278" t="s">
        <v>949</v>
      </c>
      <c r="F882" s="278"/>
      <c r="G882" s="278" t="s">
        <v>5</v>
      </c>
      <c r="H882" s="290">
        <v>2</v>
      </c>
      <c r="I882" s="280">
        <f t="shared" si="127"/>
        <v>161.24</v>
      </c>
      <c r="J882" s="281">
        <f t="shared" si="128"/>
        <v>182.86</v>
      </c>
      <c r="K882" s="282">
        <f>IF(Notes!$B$9="Domestic",I882, IF(Notes!$B$9="Commercial",J882))*$K$863</f>
        <v>182.86</v>
      </c>
      <c r="L882" s="283">
        <f>(SUM(O882:Q882)+(K882+SUM(M882:Q882))*(INDEX($U$863:$AB$863,MATCH(Notes!$C$16,$U$3:$AB$3,0))-100%))*$L$863</f>
        <v>1593.3735999999999</v>
      </c>
      <c r="M882" s="286"/>
      <c r="N882" s="286"/>
      <c r="O882" s="311">
        <f>O880*2</f>
        <v>1405.54</v>
      </c>
      <c r="P882" s="311">
        <f t="shared" si="125"/>
        <v>187.83359999999999</v>
      </c>
      <c r="Q882" s="285"/>
      <c r="R882" s="278"/>
      <c r="S882" s="278"/>
      <c r="T882" s="278"/>
    </row>
    <row r="883" spans="1:20" s="305" customFormat="1" hidden="1" outlineLevel="1" x14ac:dyDescent="0.25">
      <c r="A883" s="278"/>
      <c r="B883" s="279" t="str">
        <f t="shared" si="126"/>
        <v>12001500TB/LVW</v>
      </c>
      <c r="C883" s="278">
        <v>1200</v>
      </c>
      <c r="D883" s="278">
        <v>1500</v>
      </c>
      <c r="E883" s="278" t="s">
        <v>949</v>
      </c>
      <c r="F883" s="278"/>
      <c r="G883" s="278" t="s">
        <v>5</v>
      </c>
      <c r="H883" s="290">
        <v>2</v>
      </c>
      <c r="I883" s="280">
        <f t="shared" si="127"/>
        <v>161.24</v>
      </c>
      <c r="J883" s="281">
        <f t="shared" si="128"/>
        <v>182.86</v>
      </c>
      <c r="K883" s="282">
        <f>IF(Notes!$B$9="Domestic",I883, IF(Notes!$B$9="Commercial",J883))*$K$863</f>
        <v>182.86</v>
      </c>
      <c r="L883" s="283">
        <f>(SUM(O883:Q883)+(K883+SUM(M883:Q883))*(INDEX($U$863:$AB$863,MATCH(Notes!$C$16,$U$3:$AB$3,0))-100%))*$L$863</f>
        <v>1797.212</v>
      </c>
      <c r="M883" s="286"/>
      <c r="N883" s="286"/>
      <c r="O883" s="311">
        <f>O880+O881</f>
        <v>1562.42</v>
      </c>
      <c r="P883" s="311">
        <f t="shared" si="125"/>
        <v>234.792</v>
      </c>
      <c r="Q883" s="285"/>
      <c r="R883" s="278"/>
      <c r="S883" s="278"/>
      <c r="T883" s="278"/>
    </row>
    <row r="884" spans="1:20" s="305" customFormat="1" hidden="1" outlineLevel="1" x14ac:dyDescent="0.25">
      <c r="A884" s="278"/>
      <c r="B884" s="279" t="str">
        <f t="shared" si="126"/>
        <v>12001800TB/LVW</v>
      </c>
      <c r="C884" s="278">
        <v>1200</v>
      </c>
      <c r="D884" s="278">
        <v>1800</v>
      </c>
      <c r="E884" s="278" t="s">
        <v>949</v>
      </c>
      <c r="F884" s="278"/>
      <c r="G884" s="278" t="s">
        <v>5</v>
      </c>
      <c r="H884" s="290">
        <v>3</v>
      </c>
      <c r="I884" s="280">
        <f t="shared" si="127"/>
        <v>241.86</v>
      </c>
      <c r="J884" s="281">
        <f t="shared" si="128"/>
        <v>274.29000000000002</v>
      </c>
      <c r="K884" s="282">
        <f>IF(Notes!$B$9="Domestic",I884, IF(Notes!$B$9="Commercial",J884))*$K$863</f>
        <v>274.29000000000002</v>
      </c>
      <c r="L884" s="283">
        <f>(SUM(O884:Q884)+(K884+SUM(M884:Q884))*(INDEX($U$863:$AB$863,MATCH(Notes!$C$16,$U$3:$AB$3,0))-100%))*$L$863</f>
        <v>2001.0503999999999</v>
      </c>
      <c r="M884" s="286"/>
      <c r="N884" s="286"/>
      <c r="O884" s="311">
        <f>O881*2</f>
        <v>1719.3</v>
      </c>
      <c r="P884" s="311">
        <f t="shared" si="125"/>
        <v>281.75039999999996</v>
      </c>
      <c r="Q884" s="285"/>
      <c r="R884" s="278"/>
      <c r="S884" s="278"/>
      <c r="T884" s="278"/>
    </row>
    <row r="885" spans="1:20" s="305" customFormat="1" hidden="1" outlineLevel="1" x14ac:dyDescent="0.25">
      <c r="A885" s="278"/>
      <c r="B885" s="279" t="str">
        <f t="shared" si="126"/>
        <v>12002100TB/LVW</v>
      </c>
      <c r="C885" s="278">
        <v>1200</v>
      </c>
      <c r="D885" s="278">
        <v>2100</v>
      </c>
      <c r="E885" s="278" t="s">
        <v>949</v>
      </c>
      <c r="F885" s="278"/>
      <c r="G885" s="278" t="s">
        <v>5</v>
      </c>
      <c r="H885" s="290">
        <v>3</v>
      </c>
      <c r="I885" s="280">
        <f t="shared" si="127"/>
        <v>241.86</v>
      </c>
      <c r="J885" s="281">
        <f t="shared" si="128"/>
        <v>274.29000000000002</v>
      </c>
      <c r="K885" s="282">
        <f>IF(Notes!$B$9="Domestic",I885, IF(Notes!$B$9="Commercial",J885))*$K$863</f>
        <v>274.29000000000002</v>
      </c>
      <c r="L885" s="283">
        <f>(SUM(O885:Q885)+(K885+SUM(M885:Q885))*(INDEX($U$863:$AB$863,MATCH(Notes!$C$16,$U$3:$AB$3,0))-100%))*$L$863</f>
        <v>2593.8987999999999</v>
      </c>
      <c r="M885" s="286"/>
      <c r="N885" s="286"/>
      <c r="O885" s="311">
        <f>O880+O883</f>
        <v>2265.19</v>
      </c>
      <c r="P885" s="311">
        <f t="shared" si="125"/>
        <v>328.7088</v>
      </c>
      <c r="Q885" s="285"/>
      <c r="R885" s="278"/>
      <c r="S885" s="278"/>
      <c r="T885" s="278"/>
    </row>
    <row r="886" spans="1:20" s="305" customFormat="1" hidden="1" outlineLevel="1" x14ac:dyDescent="0.25">
      <c r="A886" s="278"/>
      <c r="B886" s="279" t="str">
        <f t="shared" si="126"/>
        <v>12002400TB/LVW</v>
      </c>
      <c r="C886" s="278">
        <v>1200</v>
      </c>
      <c r="D886" s="278">
        <v>2400</v>
      </c>
      <c r="E886" s="278" t="s">
        <v>949</v>
      </c>
      <c r="F886" s="278"/>
      <c r="G886" s="278" t="s">
        <v>5</v>
      </c>
      <c r="H886" s="290">
        <v>3</v>
      </c>
      <c r="I886" s="280">
        <f t="shared" si="127"/>
        <v>241.86</v>
      </c>
      <c r="J886" s="281">
        <f t="shared" si="128"/>
        <v>274.29000000000002</v>
      </c>
      <c r="K886" s="282">
        <f>IF(Notes!$B$9="Domestic",I886, IF(Notes!$B$9="Commercial",J886))*$K$863</f>
        <v>274.29000000000002</v>
      </c>
      <c r="L886" s="283">
        <f>(SUM(O886:Q886)+(K886+SUM(M886:Q886))*(INDEX($U$863:$AB$863,MATCH(Notes!$C$16,$U$3:$AB$3,0))-100%))*$L$863</f>
        <v>3186.7471999999998</v>
      </c>
      <c r="M886" s="286"/>
      <c r="N886" s="286"/>
      <c r="O886" s="311">
        <f>O882*2</f>
        <v>2811.08</v>
      </c>
      <c r="P886" s="311">
        <f t="shared" si="125"/>
        <v>375.66719999999998</v>
      </c>
      <c r="Q886" s="285"/>
      <c r="R886" s="278"/>
      <c r="S886" s="278"/>
      <c r="T886" s="278"/>
    </row>
    <row r="887" spans="1:20" s="305" customFormat="1" hidden="1" outlineLevel="1" x14ac:dyDescent="0.25">
      <c r="A887" s="278"/>
      <c r="B887" s="279" t="str">
        <f t="shared" si="126"/>
        <v>12002700TB/LVW</v>
      </c>
      <c r="C887" s="278">
        <v>1200</v>
      </c>
      <c r="D887" s="278">
        <v>2700</v>
      </c>
      <c r="E887" s="278" t="s">
        <v>949</v>
      </c>
      <c r="F887" s="278"/>
      <c r="G887" s="278" t="s">
        <v>5</v>
      </c>
      <c r="H887" s="290">
        <v>4</v>
      </c>
      <c r="I887" s="280">
        <f t="shared" si="127"/>
        <v>322.48</v>
      </c>
      <c r="J887" s="281">
        <f t="shared" si="128"/>
        <v>365.72</v>
      </c>
      <c r="K887" s="282">
        <f>IF(Notes!$B$9="Domestic",I887, IF(Notes!$B$9="Commercial",J887))*$K$863</f>
        <v>365.72</v>
      </c>
      <c r="L887" s="283">
        <f>(SUM(O887:Q887)+(K887+SUM(M887:Q887))*(INDEX($U$863:$AB$863,MATCH(Notes!$C$16,$U$3:$AB$3,0))-100%))*$L$863</f>
        <v>3390.5855999999999</v>
      </c>
      <c r="M887" s="286"/>
      <c r="N887" s="286"/>
      <c r="O887" s="311">
        <f>O882+O883</f>
        <v>2967.96</v>
      </c>
      <c r="P887" s="311">
        <f t="shared" si="125"/>
        <v>422.62559999999996</v>
      </c>
      <c r="Q887" s="285"/>
      <c r="R887" s="278"/>
      <c r="S887" s="278"/>
      <c r="T887" s="278"/>
    </row>
    <row r="888" spans="1:20" s="305" customFormat="1" hidden="1" outlineLevel="1" x14ac:dyDescent="0.25">
      <c r="A888" s="278"/>
      <c r="B888" s="279" t="str">
        <f t="shared" si="126"/>
        <v>1500600TB/LVW</v>
      </c>
      <c r="C888" s="278">
        <v>1500</v>
      </c>
      <c r="D888" s="278">
        <v>600</v>
      </c>
      <c r="E888" s="278" t="s">
        <v>949</v>
      </c>
      <c r="F888" s="278"/>
      <c r="G888" s="278" t="s">
        <v>5</v>
      </c>
      <c r="H888" s="290">
        <v>1</v>
      </c>
      <c r="I888" s="280">
        <f t="shared" si="127"/>
        <v>80.62</v>
      </c>
      <c r="J888" s="281">
        <f t="shared" si="128"/>
        <v>91.43</v>
      </c>
      <c r="K888" s="282">
        <f>IF(Notes!$B$9="Domestic",I888, IF(Notes!$B$9="Commercial",J888))*$K$863</f>
        <v>91.43</v>
      </c>
      <c r="L888" s="283">
        <f>(SUM(O888:Q888)+(K888+SUM(M888:Q888))*(INDEX($U$863:$AB$863,MATCH(Notes!$C$16,$U$3:$AB$3,0))-100%))*$L$863</f>
        <v>928.90599999999995</v>
      </c>
      <c r="M888" s="286"/>
      <c r="N888" s="286"/>
      <c r="O888" s="285">
        <v>811.51</v>
      </c>
      <c r="P888" s="311">
        <f t="shared" si="125"/>
        <v>117.396</v>
      </c>
      <c r="Q888" s="285"/>
      <c r="R888" s="278"/>
      <c r="S888" s="278"/>
      <c r="T888" s="278"/>
    </row>
    <row r="889" spans="1:20" s="305" customFormat="1" hidden="1" outlineLevel="1" x14ac:dyDescent="0.25">
      <c r="A889" s="278"/>
      <c r="B889" s="279" t="str">
        <f t="shared" si="126"/>
        <v>1500900TB/LVW</v>
      </c>
      <c r="C889" s="278">
        <v>1500</v>
      </c>
      <c r="D889" s="278">
        <v>900</v>
      </c>
      <c r="E889" s="278" t="s">
        <v>949</v>
      </c>
      <c r="F889" s="278"/>
      <c r="G889" s="278" t="s">
        <v>5</v>
      </c>
      <c r="H889" s="290">
        <v>2</v>
      </c>
      <c r="I889" s="280">
        <f t="shared" si="127"/>
        <v>161.24</v>
      </c>
      <c r="J889" s="281">
        <f t="shared" si="128"/>
        <v>182.86</v>
      </c>
      <c r="K889" s="282">
        <f>IF(Notes!$B$9="Domestic",I889, IF(Notes!$B$9="Commercial",J889))*$K$863</f>
        <v>182.86</v>
      </c>
      <c r="L889" s="283">
        <f>(SUM(O889:Q889)+(K889+SUM(M889:Q889))*(INDEX($U$863:$AB$863,MATCH(Notes!$C$16,$U$3:$AB$3,0))-100%))*$L$863</f>
        <v>1163.144</v>
      </c>
      <c r="M889" s="286"/>
      <c r="N889" s="286"/>
      <c r="O889" s="285">
        <v>987.05</v>
      </c>
      <c r="P889" s="311">
        <f t="shared" si="125"/>
        <v>176.09399999999999</v>
      </c>
      <c r="Q889" s="285"/>
      <c r="R889" s="278"/>
      <c r="S889" s="278"/>
      <c r="T889" s="278"/>
    </row>
    <row r="890" spans="1:20" s="305" customFormat="1" hidden="1" outlineLevel="1" x14ac:dyDescent="0.25">
      <c r="A890" s="278"/>
      <c r="B890" s="279" t="str">
        <f t="shared" si="126"/>
        <v>15001200TB/LVW</v>
      </c>
      <c r="C890" s="278">
        <v>1500</v>
      </c>
      <c r="D890" s="278">
        <v>1200</v>
      </c>
      <c r="E890" s="278" t="s">
        <v>949</v>
      </c>
      <c r="F890" s="278"/>
      <c r="G890" s="278" t="s">
        <v>5</v>
      </c>
      <c r="H890" s="290">
        <v>2</v>
      </c>
      <c r="I890" s="280">
        <f t="shared" si="127"/>
        <v>161.24</v>
      </c>
      <c r="J890" s="281">
        <f t="shared" si="128"/>
        <v>182.86</v>
      </c>
      <c r="K890" s="282">
        <f>IF(Notes!$B$9="Domestic",I890, IF(Notes!$B$9="Commercial",J890))*$K$863</f>
        <v>182.86</v>
      </c>
      <c r="L890" s="283">
        <f>(SUM(O890:Q890)+(K890+SUM(M890:Q890))*(INDEX($U$863:$AB$863,MATCH(Notes!$C$16,$U$3:$AB$3,0))-100%))*$L$863</f>
        <v>1857.8119999999999</v>
      </c>
      <c r="M890" s="286"/>
      <c r="N890" s="286"/>
      <c r="O890" s="311">
        <f>O888*2</f>
        <v>1623.02</v>
      </c>
      <c r="P890" s="311">
        <f t="shared" si="125"/>
        <v>234.792</v>
      </c>
      <c r="Q890" s="285"/>
      <c r="R890" s="278"/>
      <c r="S890" s="278"/>
      <c r="T890" s="278"/>
    </row>
    <row r="891" spans="1:20" s="305" customFormat="1" hidden="1" outlineLevel="1" x14ac:dyDescent="0.25">
      <c r="A891" s="278"/>
      <c r="B891" s="279" t="str">
        <f t="shared" si="126"/>
        <v>15001500TB/LVW</v>
      </c>
      <c r="C891" s="278">
        <v>1500</v>
      </c>
      <c r="D891" s="278">
        <v>1500</v>
      </c>
      <c r="E891" s="278" t="s">
        <v>949</v>
      </c>
      <c r="F891" s="278"/>
      <c r="G891" s="278" t="s">
        <v>5</v>
      </c>
      <c r="H891" s="290">
        <v>3</v>
      </c>
      <c r="I891" s="280">
        <f t="shared" si="127"/>
        <v>241.86</v>
      </c>
      <c r="J891" s="281">
        <f t="shared" si="128"/>
        <v>274.29000000000002</v>
      </c>
      <c r="K891" s="282">
        <f>IF(Notes!$B$9="Domestic",I891, IF(Notes!$B$9="Commercial",J891))*$K$863</f>
        <v>274.29000000000002</v>
      </c>
      <c r="L891" s="283">
        <f>(SUM(O891:Q891)+(K891+SUM(M891:Q891))*(INDEX($U$863:$AB$863,MATCH(Notes!$C$16,$U$3:$AB$3,0))-100%))*$L$863</f>
        <v>2092.0500000000002</v>
      </c>
      <c r="M891" s="286"/>
      <c r="N891" s="286"/>
      <c r="O891" s="311">
        <f>O888+O889</f>
        <v>1798.56</v>
      </c>
      <c r="P891" s="311">
        <f t="shared" si="125"/>
        <v>293.49</v>
      </c>
      <c r="Q891" s="285"/>
      <c r="R891" s="278"/>
      <c r="S891" s="278"/>
      <c r="T891" s="278"/>
    </row>
    <row r="892" spans="1:20" s="305" customFormat="1" hidden="1" outlineLevel="1" x14ac:dyDescent="0.25">
      <c r="A892" s="278"/>
      <c r="B892" s="279" t="str">
        <f t="shared" si="126"/>
        <v>15001800TB/LVW</v>
      </c>
      <c r="C892" s="278">
        <v>1500</v>
      </c>
      <c r="D892" s="278">
        <v>1800</v>
      </c>
      <c r="E892" s="278" t="s">
        <v>949</v>
      </c>
      <c r="F892" s="278"/>
      <c r="G892" s="278" t="s">
        <v>5</v>
      </c>
      <c r="H892" s="290">
        <v>3</v>
      </c>
      <c r="I892" s="280">
        <f t="shared" si="127"/>
        <v>241.86</v>
      </c>
      <c r="J892" s="281">
        <f t="shared" si="128"/>
        <v>274.29000000000002</v>
      </c>
      <c r="K892" s="282">
        <f>IF(Notes!$B$9="Domestic",I892, IF(Notes!$B$9="Commercial",J892))*$K$863</f>
        <v>274.29000000000002</v>
      </c>
      <c r="L892" s="283">
        <f>(SUM(O892:Q892)+(K892+SUM(M892:Q892))*(INDEX($U$863:$AB$863,MATCH(Notes!$C$16,$U$3:$AB$3,0))-100%))*$L$863</f>
        <v>2326.288</v>
      </c>
      <c r="M892" s="286"/>
      <c r="N892" s="286"/>
      <c r="O892" s="311">
        <f>O889*2</f>
        <v>1974.1</v>
      </c>
      <c r="P892" s="311">
        <f t="shared" si="125"/>
        <v>352.18799999999999</v>
      </c>
      <c r="Q892" s="285"/>
      <c r="R892" s="278"/>
      <c r="S892" s="278"/>
      <c r="T892" s="278"/>
    </row>
    <row r="893" spans="1:20" s="305" customFormat="1" hidden="1" outlineLevel="1" x14ac:dyDescent="0.25">
      <c r="A893" s="278"/>
      <c r="B893" s="279" t="str">
        <f t="shared" si="126"/>
        <v>15002100TB/LVW</v>
      </c>
      <c r="C893" s="278">
        <v>1500</v>
      </c>
      <c r="D893" s="278">
        <v>2100</v>
      </c>
      <c r="E893" s="278" t="s">
        <v>949</v>
      </c>
      <c r="F893" s="278"/>
      <c r="G893" s="278" t="s">
        <v>5</v>
      </c>
      <c r="H893" s="290">
        <v>4</v>
      </c>
      <c r="I893" s="280">
        <f t="shared" si="127"/>
        <v>322.48</v>
      </c>
      <c r="J893" s="281">
        <f t="shared" si="128"/>
        <v>365.72</v>
      </c>
      <c r="K893" s="282">
        <f>IF(Notes!$B$9="Domestic",I893, IF(Notes!$B$9="Commercial",J893))*$K$863</f>
        <v>365.72</v>
      </c>
      <c r="L893" s="283">
        <f>(SUM(O893:Q893)+(K893+SUM(M893:Q893))*(INDEX($U$863:$AB$863,MATCH(Notes!$C$16,$U$3:$AB$3,0))-100%))*$L$863</f>
        <v>3020.9559999999997</v>
      </c>
      <c r="M893" s="286"/>
      <c r="N893" s="286"/>
      <c r="O893" s="311">
        <f>O888+O891</f>
        <v>2610.0699999999997</v>
      </c>
      <c r="P893" s="311">
        <f t="shared" si="125"/>
        <v>410.88600000000002</v>
      </c>
      <c r="Q893" s="285"/>
      <c r="R893" s="278"/>
      <c r="S893" s="278"/>
      <c r="T893" s="278"/>
    </row>
    <row r="894" spans="1:20" s="305" customFormat="1" hidden="1" outlineLevel="1" x14ac:dyDescent="0.25">
      <c r="A894" s="278"/>
      <c r="B894" s="279" t="str">
        <f t="shared" si="126"/>
        <v>15002400TB/LVW</v>
      </c>
      <c r="C894" s="278">
        <v>1500</v>
      </c>
      <c r="D894" s="278">
        <v>2400</v>
      </c>
      <c r="E894" s="278" t="s">
        <v>949</v>
      </c>
      <c r="F894" s="278"/>
      <c r="G894" s="278" t="s">
        <v>5</v>
      </c>
      <c r="H894" s="290">
        <v>4</v>
      </c>
      <c r="I894" s="280">
        <f t="shared" si="127"/>
        <v>322.48</v>
      </c>
      <c r="J894" s="281">
        <f t="shared" si="128"/>
        <v>365.72</v>
      </c>
      <c r="K894" s="282">
        <f>IF(Notes!$B$9="Domestic",I894, IF(Notes!$B$9="Commercial",J894))*$K$863</f>
        <v>365.72</v>
      </c>
      <c r="L894" s="283">
        <f>(SUM(O894:Q894)+(K894+SUM(M894:Q894))*(INDEX($U$863:$AB$863,MATCH(Notes!$C$16,$U$3:$AB$3,0))-100%))*$L$863</f>
        <v>3715.6239999999998</v>
      </c>
      <c r="M894" s="286"/>
      <c r="N894" s="286"/>
      <c r="O894" s="311">
        <f>O890*2</f>
        <v>3246.04</v>
      </c>
      <c r="P894" s="311">
        <f t="shared" si="125"/>
        <v>469.584</v>
      </c>
      <c r="Q894" s="285"/>
      <c r="R894" s="278"/>
      <c r="S894" s="278"/>
      <c r="T894" s="278"/>
    </row>
    <row r="895" spans="1:20" s="305" customFormat="1" hidden="1" outlineLevel="1" x14ac:dyDescent="0.25">
      <c r="A895" s="278"/>
      <c r="B895" s="279" t="str">
        <f t="shared" si="126"/>
        <v>15002700TB/LVW</v>
      </c>
      <c r="C895" s="278">
        <v>1500</v>
      </c>
      <c r="D895" s="278">
        <v>2700</v>
      </c>
      <c r="E895" s="278" t="s">
        <v>949</v>
      </c>
      <c r="F895" s="278"/>
      <c r="G895" s="278" t="s">
        <v>5</v>
      </c>
      <c r="H895" s="290">
        <v>4</v>
      </c>
      <c r="I895" s="280">
        <f t="shared" si="127"/>
        <v>322.48</v>
      </c>
      <c r="J895" s="281">
        <f t="shared" si="128"/>
        <v>365.72</v>
      </c>
      <c r="K895" s="282">
        <f>IF(Notes!$B$9="Domestic",I895, IF(Notes!$B$9="Commercial",J895))*$K$863</f>
        <v>365.72</v>
      </c>
      <c r="L895" s="283">
        <f>(SUM(O895:Q895)+(K895+SUM(M895:Q895))*(INDEX($U$863:$AB$863,MATCH(Notes!$C$16,$U$3:$AB$3,0))-100%))*$L$863</f>
        <v>3949.8620000000001</v>
      </c>
      <c r="M895" s="286"/>
      <c r="N895" s="286"/>
      <c r="O895" s="311">
        <f>O890+O891</f>
        <v>3421.58</v>
      </c>
      <c r="P895" s="311">
        <f t="shared" si="125"/>
        <v>528.28200000000004</v>
      </c>
      <c r="Q895" s="285"/>
      <c r="R895" s="278"/>
      <c r="S895" s="278"/>
      <c r="T895" s="278"/>
    </row>
    <row r="896" spans="1:20" s="305" customFormat="1" hidden="1" outlineLevel="1" x14ac:dyDescent="0.25">
      <c r="A896" s="278"/>
      <c r="B896" s="279" t="str">
        <f t="shared" si="126"/>
        <v>1800600TB/LVW</v>
      </c>
      <c r="C896" s="278">
        <v>1800</v>
      </c>
      <c r="D896" s="278">
        <v>600</v>
      </c>
      <c r="E896" s="278" t="s">
        <v>949</v>
      </c>
      <c r="F896" s="278"/>
      <c r="G896" s="278" t="s">
        <v>5</v>
      </c>
      <c r="H896" s="290">
        <v>1</v>
      </c>
      <c r="I896" s="280">
        <f t="shared" si="127"/>
        <v>80.62</v>
      </c>
      <c r="J896" s="281">
        <f t="shared" si="128"/>
        <v>91.43</v>
      </c>
      <c r="K896" s="282">
        <f>IF(Notes!$B$9="Domestic",I896, IF(Notes!$B$9="Commercial",J896))*$K$863</f>
        <v>91.43</v>
      </c>
      <c r="L896" s="283">
        <f>(SUM(O896:Q896)+(K896+SUM(M896:Q896))*(INDEX($U$863:$AB$863,MATCH(Notes!$C$16,$U$3:$AB$3,0))-100%))*$L$863</f>
        <v>1052.9552000000001</v>
      </c>
      <c r="M896" s="286"/>
      <c r="N896" s="286"/>
      <c r="O896" s="285">
        <v>912.08</v>
      </c>
      <c r="P896" s="311">
        <f t="shared" si="125"/>
        <v>140.87520000000001</v>
      </c>
      <c r="Q896" s="285"/>
      <c r="R896" s="278"/>
      <c r="S896" s="278"/>
      <c r="T896" s="278"/>
    </row>
    <row r="897" spans="1:20" s="305" customFormat="1" hidden="1" outlineLevel="1" x14ac:dyDescent="0.25">
      <c r="A897" s="278"/>
      <c r="B897" s="279" t="str">
        <f t="shared" si="126"/>
        <v>1800900TB/LVW</v>
      </c>
      <c r="C897" s="278">
        <v>1800</v>
      </c>
      <c r="D897" s="278">
        <v>900</v>
      </c>
      <c r="E897" s="278" t="s">
        <v>949</v>
      </c>
      <c r="F897" s="278"/>
      <c r="G897" s="278" t="s">
        <v>5</v>
      </c>
      <c r="H897" s="290">
        <v>2</v>
      </c>
      <c r="I897" s="280">
        <f t="shared" si="127"/>
        <v>161.24</v>
      </c>
      <c r="J897" s="281">
        <f t="shared" si="128"/>
        <v>182.86</v>
      </c>
      <c r="K897" s="282">
        <f>IF(Notes!$B$9="Domestic",I897, IF(Notes!$B$9="Commercial",J897))*$K$863</f>
        <v>182.86</v>
      </c>
      <c r="L897" s="283">
        <f>(SUM(O897:Q897)+(K897+SUM(M897:Q897))*(INDEX($U$863:$AB$863,MATCH(Notes!$C$16,$U$3:$AB$3,0))-100%))*$L$863</f>
        <v>1319.3827999999999</v>
      </c>
      <c r="M897" s="286"/>
      <c r="N897" s="286"/>
      <c r="O897" s="285">
        <v>1108.07</v>
      </c>
      <c r="P897" s="311">
        <f t="shared" si="125"/>
        <v>211.31279999999998</v>
      </c>
      <c r="Q897" s="285"/>
      <c r="R897" s="278"/>
      <c r="S897" s="278"/>
      <c r="T897" s="278"/>
    </row>
    <row r="898" spans="1:20" s="305" customFormat="1" hidden="1" outlineLevel="1" x14ac:dyDescent="0.25">
      <c r="A898" s="278"/>
      <c r="B898" s="279" t="str">
        <f t="shared" si="126"/>
        <v>18001200TB/LVW</v>
      </c>
      <c r="C898" s="278">
        <v>1800</v>
      </c>
      <c r="D898" s="278">
        <v>1200</v>
      </c>
      <c r="E898" s="278" t="s">
        <v>949</v>
      </c>
      <c r="F898" s="278"/>
      <c r="G898" s="278" t="s">
        <v>5</v>
      </c>
      <c r="H898" s="290">
        <v>3</v>
      </c>
      <c r="I898" s="280">
        <f t="shared" si="127"/>
        <v>241.86</v>
      </c>
      <c r="J898" s="281">
        <f t="shared" si="128"/>
        <v>274.29000000000002</v>
      </c>
      <c r="K898" s="282">
        <f>IF(Notes!$B$9="Domestic",I898, IF(Notes!$B$9="Commercial",J898))*$K$863</f>
        <v>274.29000000000002</v>
      </c>
      <c r="L898" s="283">
        <f>(SUM(O898:Q898)+(K898+SUM(M898:Q898))*(INDEX($U$863:$AB$863,MATCH(Notes!$C$16,$U$3:$AB$3,0))-100%))*$L$863</f>
        <v>2105.9104000000002</v>
      </c>
      <c r="M898" s="286"/>
      <c r="N898" s="286"/>
      <c r="O898" s="311">
        <f>O896*2</f>
        <v>1824.16</v>
      </c>
      <c r="P898" s="311">
        <f t="shared" si="125"/>
        <v>281.75040000000001</v>
      </c>
      <c r="Q898" s="285"/>
      <c r="R898" s="278"/>
      <c r="S898" s="278"/>
      <c r="T898" s="278"/>
    </row>
    <row r="899" spans="1:20" s="305" customFormat="1" hidden="1" outlineLevel="1" x14ac:dyDescent="0.25">
      <c r="A899" s="278"/>
      <c r="B899" s="279" t="str">
        <f t="shared" si="126"/>
        <v>18001500TB/LVW</v>
      </c>
      <c r="C899" s="278">
        <v>1800</v>
      </c>
      <c r="D899" s="278">
        <v>1500</v>
      </c>
      <c r="E899" s="278" t="s">
        <v>949</v>
      </c>
      <c r="F899" s="278"/>
      <c r="G899" s="278" t="s">
        <v>5</v>
      </c>
      <c r="H899" s="290">
        <v>3</v>
      </c>
      <c r="I899" s="280">
        <f t="shared" si="127"/>
        <v>241.86</v>
      </c>
      <c r="J899" s="281">
        <f t="shared" si="128"/>
        <v>274.29000000000002</v>
      </c>
      <c r="K899" s="282">
        <f>IF(Notes!$B$9="Domestic",I899, IF(Notes!$B$9="Commercial",J899))*$K$863</f>
        <v>274.29000000000002</v>
      </c>
      <c r="L899" s="283">
        <f>(SUM(O899:Q899)+(K899+SUM(M899:Q899))*(INDEX($U$863:$AB$863,MATCH(Notes!$C$16,$U$3:$AB$3,0))-100%))*$L$863</f>
        <v>2372.3380000000002</v>
      </c>
      <c r="M899" s="286"/>
      <c r="N899" s="286"/>
      <c r="O899" s="311">
        <f>O896+O897</f>
        <v>2020.15</v>
      </c>
      <c r="P899" s="311">
        <f t="shared" si="125"/>
        <v>352.18799999999999</v>
      </c>
      <c r="Q899" s="285"/>
      <c r="R899" s="278"/>
      <c r="S899" s="278"/>
      <c r="T899" s="278"/>
    </row>
    <row r="900" spans="1:20" s="305" customFormat="1" hidden="1" outlineLevel="1" x14ac:dyDescent="0.25">
      <c r="A900" s="278"/>
      <c r="B900" s="279" t="str">
        <f t="shared" si="126"/>
        <v>18001800TB/LVW</v>
      </c>
      <c r="C900" s="278">
        <v>1800</v>
      </c>
      <c r="D900" s="278">
        <v>1800</v>
      </c>
      <c r="E900" s="278" t="s">
        <v>949</v>
      </c>
      <c r="F900" s="278"/>
      <c r="G900" s="278" t="s">
        <v>5</v>
      </c>
      <c r="H900" s="290">
        <v>4</v>
      </c>
      <c r="I900" s="280">
        <f t="shared" si="127"/>
        <v>322.48</v>
      </c>
      <c r="J900" s="281">
        <f t="shared" si="128"/>
        <v>365.72</v>
      </c>
      <c r="K900" s="282">
        <f>IF(Notes!$B$9="Domestic",I900, IF(Notes!$B$9="Commercial",J900))*$K$863</f>
        <v>365.72</v>
      </c>
      <c r="L900" s="283">
        <f>(SUM(O900:Q900)+(K900+SUM(M900:Q900))*(INDEX($U$863:$AB$863,MATCH(Notes!$C$16,$U$3:$AB$3,0))-100%))*$L$863</f>
        <v>2638.7655999999997</v>
      </c>
      <c r="M900" s="286"/>
      <c r="N900" s="286"/>
      <c r="O900" s="311">
        <f>O897*2</f>
        <v>2216.14</v>
      </c>
      <c r="P900" s="311">
        <f t="shared" si="125"/>
        <v>422.62559999999996</v>
      </c>
      <c r="Q900" s="285"/>
      <c r="R900" s="278"/>
      <c r="S900" s="278"/>
      <c r="T900" s="278"/>
    </row>
    <row r="901" spans="1:20" s="305" customFormat="1" hidden="1" outlineLevel="1" x14ac:dyDescent="0.25">
      <c r="A901" s="278"/>
      <c r="B901" s="279" t="str">
        <f t="shared" si="126"/>
        <v>18002100TB/LVW</v>
      </c>
      <c r="C901" s="278">
        <v>1800</v>
      </c>
      <c r="D901" s="278">
        <v>2100</v>
      </c>
      <c r="E901" s="278" t="s">
        <v>949</v>
      </c>
      <c r="F901" s="278"/>
      <c r="G901" s="278" t="s">
        <v>5</v>
      </c>
      <c r="H901" s="290">
        <v>4</v>
      </c>
      <c r="I901" s="280">
        <f t="shared" si="127"/>
        <v>322.48</v>
      </c>
      <c r="J901" s="281">
        <f t="shared" si="128"/>
        <v>365.72</v>
      </c>
      <c r="K901" s="282">
        <f>IF(Notes!$B$9="Domestic",I901, IF(Notes!$B$9="Commercial",J901))*$K$863</f>
        <v>365.72</v>
      </c>
      <c r="L901" s="283">
        <f>(SUM(O901:Q901)+(K901+SUM(M901:Q901))*(INDEX($U$863:$AB$863,MATCH(Notes!$C$16,$U$3:$AB$3,0))-100%))*$L$863</f>
        <v>3425.2932000000001</v>
      </c>
      <c r="M901" s="286"/>
      <c r="N901" s="286"/>
      <c r="O901" s="311">
        <f>O896+O899</f>
        <v>2932.23</v>
      </c>
      <c r="P901" s="311">
        <f t="shared" si="125"/>
        <v>493.06319999999999</v>
      </c>
      <c r="Q901" s="285"/>
      <c r="R901" s="278"/>
      <c r="S901" s="278"/>
      <c r="T901" s="278"/>
    </row>
    <row r="902" spans="1:20" s="305" customFormat="1" hidden="1" outlineLevel="1" x14ac:dyDescent="0.25">
      <c r="A902" s="278"/>
      <c r="B902" s="279" t="str">
        <f t="shared" si="126"/>
        <v>18002400TB/LVW</v>
      </c>
      <c r="C902" s="278">
        <v>1800</v>
      </c>
      <c r="D902" s="278">
        <v>2400</v>
      </c>
      <c r="E902" s="278" t="s">
        <v>949</v>
      </c>
      <c r="F902" s="278"/>
      <c r="G902" s="278" t="s">
        <v>5</v>
      </c>
      <c r="H902" s="290">
        <v>5</v>
      </c>
      <c r="I902" s="280">
        <f t="shared" si="127"/>
        <v>403.1</v>
      </c>
      <c r="J902" s="281">
        <f t="shared" si="128"/>
        <v>457.15000000000003</v>
      </c>
      <c r="K902" s="282">
        <f>IF(Notes!$B$9="Domestic",I902, IF(Notes!$B$9="Commercial",J902))*$K$863</f>
        <v>457.15000000000003</v>
      </c>
      <c r="L902" s="283">
        <f>(SUM(O902:Q902)+(K902+SUM(M902:Q902))*(INDEX($U$863:$AB$863,MATCH(Notes!$C$16,$U$3:$AB$3,0))-100%))*$L$863</f>
        <v>4211.8208000000004</v>
      </c>
      <c r="M902" s="286"/>
      <c r="N902" s="286"/>
      <c r="O902" s="311">
        <f>O898*2</f>
        <v>3648.32</v>
      </c>
      <c r="P902" s="311">
        <f t="shared" si="125"/>
        <v>563.50080000000003</v>
      </c>
      <c r="Q902" s="285"/>
      <c r="R902" s="278"/>
      <c r="S902" s="278"/>
      <c r="T902" s="278"/>
    </row>
    <row r="903" spans="1:20" s="305" customFormat="1" hidden="1" outlineLevel="1" x14ac:dyDescent="0.25">
      <c r="A903" s="278"/>
      <c r="B903" s="279" t="str">
        <f t="shared" si="126"/>
        <v>18002700TB/LVW</v>
      </c>
      <c r="C903" s="278">
        <v>1800</v>
      </c>
      <c r="D903" s="278">
        <v>2700</v>
      </c>
      <c r="E903" s="278" t="s">
        <v>949</v>
      </c>
      <c r="F903" s="278"/>
      <c r="G903" s="278" t="s">
        <v>5</v>
      </c>
      <c r="H903" s="290">
        <v>5</v>
      </c>
      <c r="I903" s="280">
        <f t="shared" si="127"/>
        <v>403.1</v>
      </c>
      <c r="J903" s="281">
        <f t="shared" si="128"/>
        <v>457.15000000000003</v>
      </c>
      <c r="K903" s="282">
        <f>IF(Notes!$B$9="Domestic",I903, IF(Notes!$B$9="Commercial",J903))*$K$863</f>
        <v>457.15000000000003</v>
      </c>
      <c r="L903" s="283">
        <f>(SUM(O903:Q903)+(K903+SUM(M903:Q903))*(INDEX($U$863:$AB$863,MATCH(Notes!$C$16,$U$3:$AB$3,0))-100%))*$L$863</f>
        <v>4478.2484000000004</v>
      </c>
      <c r="M903" s="286"/>
      <c r="N903" s="286"/>
      <c r="O903" s="311">
        <f>O898+O899</f>
        <v>3844.3100000000004</v>
      </c>
      <c r="P903" s="311">
        <f t="shared" si="125"/>
        <v>633.9384</v>
      </c>
      <c r="Q903" s="285"/>
      <c r="R903" s="278"/>
      <c r="S903" s="278"/>
      <c r="T903" s="278"/>
    </row>
    <row r="904" spans="1:20" s="305" customFormat="1" hidden="1" outlineLevel="1" x14ac:dyDescent="0.25">
      <c r="A904" s="278"/>
      <c r="B904" s="279" t="str">
        <f t="shared" si="126"/>
        <v>2100600TB/LVW</v>
      </c>
      <c r="C904" s="278">
        <v>2100</v>
      </c>
      <c r="D904" s="278">
        <v>600</v>
      </c>
      <c r="E904" s="278" t="s">
        <v>949</v>
      </c>
      <c r="F904" s="278"/>
      <c r="G904" s="278" t="s">
        <v>5</v>
      </c>
      <c r="H904" s="290">
        <v>2</v>
      </c>
      <c r="I904" s="280">
        <f t="shared" si="127"/>
        <v>161.24</v>
      </c>
      <c r="J904" s="281">
        <f t="shared" si="128"/>
        <v>182.86</v>
      </c>
      <c r="K904" s="282">
        <f>IF(Notes!$B$9="Domestic",I904, IF(Notes!$B$9="Commercial",J904))*$K$863</f>
        <v>182.86</v>
      </c>
      <c r="L904" s="283">
        <f>(SUM(O904:Q904)+(K904+SUM(M904:Q904))*(INDEX($U$863:$AB$863,MATCH(Notes!$C$16,$U$3:$AB$3,0))-100%))*$L$863</f>
        <v>1179.7244000000001</v>
      </c>
      <c r="M904" s="286"/>
      <c r="N904" s="286"/>
      <c r="O904" s="285">
        <v>1015.37</v>
      </c>
      <c r="P904" s="311">
        <f t="shared" si="125"/>
        <v>164.3544</v>
      </c>
      <c r="Q904" s="285"/>
      <c r="R904" s="278"/>
      <c r="S904" s="278"/>
      <c r="T904" s="278"/>
    </row>
    <row r="905" spans="1:20" s="305" customFormat="1" hidden="1" outlineLevel="1" x14ac:dyDescent="0.25">
      <c r="A905" s="278"/>
      <c r="B905" s="279" t="str">
        <f t="shared" si="126"/>
        <v>2100900TB/LVW</v>
      </c>
      <c r="C905" s="278">
        <v>2100</v>
      </c>
      <c r="D905" s="278">
        <v>900</v>
      </c>
      <c r="E905" s="278" t="s">
        <v>949</v>
      </c>
      <c r="F905" s="278"/>
      <c r="G905" s="278" t="s">
        <v>5</v>
      </c>
      <c r="H905" s="290">
        <v>2</v>
      </c>
      <c r="I905" s="280">
        <f t="shared" si="127"/>
        <v>161.24</v>
      </c>
      <c r="J905" s="281">
        <f t="shared" si="128"/>
        <v>182.86</v>
      </c>
      <c r="K905" s="282">
        <f>IF(Notes!$B$9="Domestic",I905, IF(Notes!$B$9="Commercial",J905))*$K$863</f>
        <v>182.86</v>
      </c>
      <c r="L905" s="283">
        <f>(SUM(O905:Q905)+(K905+SUM(M905:Q905))*(INDEX($U$863:$AB$863,MATCH(Notes!$C$16,$U$3:$AB$3,0))-100%))*$L$863</f>
        <v>1475.6315999999999</v>
      </c>
      <c r="M905" s="286"/>
      <c r="N905" s="286"/>
      <c r="O905" s="285">
        <v>1229.0999999999999</v>
      </c>
      <c r="P905" s="311">
        <f t="shared" si="125"/>
        <v>246.53159999999997</v>
      </c>
      <c r="Q905" s="285"/>
      <c r="R905" s="278"/>
      <c r="S905" s="278"/>
      <c r="T905" s="278"/>
    </row>
    <row r="906" spans="1:20" s="305" customFormat="1" hidden="1" outlineLevel="1" x14ac:dyDescent="0.25">
      <c r="A906" s="278"/>
      <c r="B906" s="279" t="str">
        <f t="shared" si="126"/>
        <v>21001200TB/LVW</v>
      </c>
      <c r="C906" s="278">
        <v>2100</v>
      </c>
      <c r="D906" s="278">
        <v>1200</v>
      </c>
      <c r="E906" s="278" t="s">
        <v>949</v>
      </c>
      <c r="F906" s="278"/>
      <c r="G906" s="278" t="s">
        <v>5</v>
      </c>
      <c r="H906" s="290">
        <v>3</v>
      </c>
      <c r="I906" s="280">
        <f t="shared" si="127"/>
        <v>241.86</v>
      </c>
      <c r="J906" s="281">
        <f t="shared" si="128"/>
        <v>274.29000000000002</v>
      </c>
      <c r="K906" s="282">
        <f>IF(Notes!$B$9="Domestic",I906, IF(Notes!$B$9="Commercial",J906))*$K$863</f>
        <v>274.29000000000002</v>
      </c>
      <c r="L906" s="283">
        <f>(SUM(O906:Q906)+(K906+SUM(M906:Q906))*(INDEX($U$863:$AB$863,MATCH(Notes!$C$16,$U$3:$AB$3,0))-100%))*$L$863</f>
        <v>2359.4488000000001</v>
      </c>
      <c r="M906" s="286"/>
      <c r="N906" s="286"/>
      <c r="O906" s="311">
        <f>O904*2</f>
        <v>2030.74</v>
      </c>
      <c r="P906" s="311">
        <f t="shared" si="125"/>
        <v>328.7088</v>
      </c>
      <c r="Q906" s="285"/>
      <c r="R906" s="278"/>
      <c r="S906" s="278"/>
      <c r="T906" s="278"/>
    </row>
    <row r="907" spans="1:20" s="305" customFormat="1" hidden="1" outlineLevel="1" x14ac:dyDescent="0.25">
      <c r="A907" s="278"/>
      <c r="B907" s="279" t="str">
        <f t="shared" si="126"/>
        <v>21001500TB/LVW</v>
      </c>
      <c r="C907" s="278">
        <v>2100</v>
      </c>
      <c r="D907" s="278">
        <v>1500</v>
      </c>
      <c r="E907" s="278" t="s">
        <v>949</v>
      </c>
      <c r="F907" s="278"/>
      <c r="G907" s="278" t="s">
        <v>5</v>
      </c>
      <c r="H907" s="290">
        <v>4</v>
      </c>
      <c r="I907" s="280">
        <f t="shared" si="127"/>
        <v>322.48</v>
      </c>
      <c r="J907" s="281">
        <f t="shared" si="128"/>
        <v>365.72</v>
      </c>
      <c r="K907" s="282">
        <f>IF(Notes!$B$9="Domestic",I907, IF(Notes!$B$9="Commercial",J907))*$K$863</f>
        <v>365.72</v>
      </c>
      <c r="L907" s="283">
        <f>(SUM(O907:Q907)+(K907+SUM(M907:Q907))*(INDEX($U$863:$AB$863,MATCH(Notes!$C$16,$U$3:$AB$3,0))-100%))*$L$863</f>
        <v>2655.3559999999998</v>
      </c>
      <c r="M907" s="286"/>
      <c r="N907" s="286"/>
      <c r="O907" s="311">
        <f>O904+O905</f>
        <v>2244.4699999999998</v>
      </c>
      <c r="P907" s="311">
        <f t="shared" si="125"/>
        <v>410.88599999999997</v>
      </c>
      <c r="Q907" s="285"/>
      <c r="R907" s="278"/>
      <c r="S907" s="278"/>
      <c r="T907" s="278"/>
    </row>
    <row r="908" spans="1:20" s="305" customFormat="1" hidden="1" outlineLevel="1" x14ac:dyDescent="0.25">
      <c r="A908" s="278"/>
      <c r="B908" s="279" t="str">
        <f t="shared" si="126"/>
        <v>21001800TB/LVW</v>
      </c>
      <c r="C908" s="278">
        <v>2100</v>
      </c>
      <c r="D908" s="278">
        <v>1800</v>
      </c>
      <c r="E908" s="278" t="s">
        <v>949</v>
      </c>
      <c r="F908" s="278"/>
      <c r="G908" s="278" t="s">
        <v>5</v>
      </c>
      <c r="H908" s="290">
        <v>4</v>
      </c>
      <c r="I908" s="280">
        <f t="shared" si="127"/>
        <v>322.48</v>
      </c>
      <c r="J908" s="281">
        <f t="shared" si="128"/>
        <v>365.72</v>
      </c>
      <c r="K908" s="282">
        <f>IF(Notes!$B$9="Domestic",I908, IF(Notes!$B$9="Commercial",J908))*$K$863</f>
        <v>365.72</v>
      </c>
      <c r="L908" s="283">
        <f>(SUM(O908:Q908)+(K908+SUM(M908:Q908))*(INDEX($U$863:$AB$863,MATCH(Notes!$C$16,$U$3:$AB$3,0))-100%))*$L$863</f>
        <v>2951.2631999999999</v>
      </c>
      <c r="M908" s="286"/>
      <c r="N908" s="286"/>
      <c r="O908" s="311">
        <f>O905*2</f>
        <v>2458.1999999999998</v>
      </c>
      <c r="P908" s="311">
        <f t="shared" si="125"/>
        <v>493.06319999999994</v>
      </c>
      <c r="Q908" s="285"/>
      <c r="R908" s="278"/>
      <c r="S908" s="278"/>
      <c r="T908" s="278"/>
    </row>
    <row r="909" spans="1:20" s="305" customFormat="1" hidden="1" outlineLevel="1" x14ac:dyDescent="0.25">
      <c r="A909" s="278"/>
      <c r="B909" s="279" t="str">
        <f t="shared" si="126"/>
        <v>21002100TB/LVW</v>
      </c>
      <c r="C909" s="278">
        <v>2100</v>
      </c>
      <c r="D909" s="278">
        <v>2100</v>
      </c>
      <c r="E909" s="278" t="s">
        <v>949</v>
      </c>
      <c r="F909" s="278"/>
      <c r="G909" s="278" t="s">
        <v>5</v>
      </c>
      <c r="H909" s="290">
        <v>5</v>
      </c>
      <c r="I909" s="280">
        <f t="shared" si="127"/>
        <v>403.1</v>
      </c>
      <c r="J909" s="281">
        <f t="shared" si="128"/>
        <v>457.15000000000003</v>
      </c>
      <c r="K909" s="282">
        <f>IF(Notes!$B$9="Domestic",I909, IF(Notes!$B$9="Commercial",J909))*$K$863</f>
        <v>457.15000000000003</v>
      </c>
      <c r="L909" s="283">
        <f>(SUM(O909:Q909)+(K909+SUM(M909:Q909))*(INDEX($U$863:$AB$863,MATCH(Notes!$C$16,$U$3:$AB$3,0))-100%))*$L$863</f>
        <v>3835.0803999999998</v>
      </c>
      <c r="M909" s="286"/>
      <c r="N909" s="286"/>
      <c r="O909" s="311">
        <f>O904+O907</f>
        <v>3259.8399999999997</v>
      </c>
      <c r="P909" s="311">
        <f t="shared" si="125"/>
        <v>575.24039999999991</v>
      </c>
      <c r="Q909" s="285"/>
      <c r="R909" s="278"/>
      <c r="S909" s="278"/>
      <c r="T909" s="278"/>
    </row>
    <row r="910" spans="1:20" s="305" customFormat="1" hidden="1" outlineLevel="1" x14ac:dyDescent="0.25">
      <c r="A910" s="278"/>
      <c r="B910" s="279" t="str">
        <f t="shared" si="126"/>
        <v>21002400TB/LVW</v>
      </c>
      <c r="C910" s="278">
        <v>2100</v>
      </c>
      <c r="D910" s="278">
        <v>2400</v>
      </c>
      <c r="E910" s="278" t="s">
        <v>949</v>
      </c>
      <c r="F910" s="278"/>
      <c r="G910" s="278" t="s">
        <v>5</v>
      </c>
      <c r="H910" s="290">
        <v>5</v>
      </c>
      <c r="I910" s="280">
        <f t="shared" si="127"/>
        <v>403.1</v>
      </c>
      <c r="J910" s="281">
        <f t="shared" si="128"/>
        <v>457.15000000000003</v>
      </c>
      <c r="K910" s="282">
        <f>IF(Notes!$B$9="Domestic",I910, IF(Notes!$B$9="Commercial",J910))*$K$863</f>
        <v>457.15000000000003</v>
      </c>
      <c r="L910" s="283">
        <f>(SUM(O910:Q910)+(K910+SUM(M910:Q910))*(INDEX($U$863:$AB$863,MATCH(Notes!$C$16,$U$3:$AB$3,0))-100%))*$L$863</f>
        <v>4718.8976000000002</v>
      </c>
      <c r="M910" s="286"/>
      <c r="N910" s="286"/>
      <c r="O910" s="311">
        <f>O906*2</f>
        <v>4061.48</v>
      </c>
      <c r="P910" s="311">
        <f t="shared" si="125"/>
        <v>657.41759999999999</v>
      </c>
      <c r="Q910" s="285"/>
      <c r="R910" s="278"/>
      <c r="S910" s="278"/>
      <c r="T910" s="278"/>
    </row>
    <row r="911" spans="1:20" s="305" customFormat="1" hidden="1" outlineLevel="1" x14ac:dyDescent="0.25">
      <c r="A911" s="278"/>
      <c r="B911" s="279" t="str">
        <f t="shared" si="126"/>
        <v>21002700TB/LVW</v>
      </c>
      <c r="C911" s="278">
        <v>2100</v>
      </c>
      <c r="D911" s="278">
        <v>2700</v>
      </c>
      <c r="E911" s="278" t="s">
        <v>949</v>
      </c>
      <c r="F911" s="278"/>
      <c r="G911" s="278" t="s">
        <v>5</v>
      </c>
      <c r="H911" s="290">
        <v>6</v>
      </c>
      <c r="I911" s="280">
        <f t="shared" si="127"/>
        <v>483.72</v>
      </c>
      <c r="J911" s="281">
        <f t="shared" si="128"/>
        <v>548.58000000000004</v>
      </c>
      <c r="K911" s="282">
        <f>IF(Notes!$B$9="Domestic",I911, IF(Notes!$B$9="Commercial",J911))*$K$863</f>
        <v>548.58000000000004</v>
      </c>
      <c r="L911" s="283">
        <f>(SUM(O911:Q911)+(K911+SUM(M911:Q911))*(INDEX($U$863:$AB$863,MATCH(Notes!$C$16,$U$3:$AB$3,0))-100%))*$L$863</f>
        <v>5014.8047999999999</v>
      </c>
      <c r="M911" s="286"/>
      <c r="N911" s="286"/>
      <c r="O911" s="311">
        <f>O906+O907</f>
        <v>4275.21</v>
      </c>
      <c r="P911" s="311">
        <f t="shared" si="125"/>
        <v>739.59479999999996</v>
      </c>
      <c r="Q911" s="285"/>
      <c r="R911" s="278"/>
      <c r="S911" s="278"/>
      <c r="T911" s="278"/>
    </row>
    <row r="912" spans="1:20" s="305" customFormat="1" hidden="1" outlineLevel="1" x14ac:dyDescent="0.25">
      <c r="A912" s="278"/>
      <c r="B912" s="279" t="str">
        <f t="shared" si="126"/>
        <v>2400600TB/LVW</v>
      </c>
      <c r="C912" s="278">
        <v>2400</v>
      </c>
      <c r="D912" s="278">
        <v>600</v>
      </c>
      <c r="E912" s="278" t="s">
        <v>949</v>
      </c>
      <c r="F912" s="278"/>
      <c r="G912" s="278" t="s">
        <v>5</v>
      </c>
      <c r="H912" s="290">
        <v>2</v>
      </c>
      <c r="I912" s="280">
        <f t="shared" si="127"/>
        <v>161.24</v>
      </c>
      <c r="J912" s="281">
        <f t="shared" si="128"/>
        <v>182.86</v>
      </c>
      <c r="K912" s="282">
        <f>IF(Notes!$B$9="Domestic",I912, IF(Notes!$B$9="Commercial",J912))*$K$863</f>
        <v>182.86</v>
      </c>
      <c r="L912" s="283">
        <f>(SUM(O912:Q912)+(K912+SUM(M912:Q912))*(INDEX($U$863:$AB$863,MATCH(Notes!$C$16,$U$3:$AB$3,0))-100%))*$L$863</f>
        <v>1289.5835999999999</v>
      </c>
      <c r="M912" s="286"/>
      <c r="N912" s="286"/>
      <c r="O912" s="285">
        <v>1101.75</v>
      </c>
      <c r="P912" s="311">
        <f t="shared" si="125"/>
        <v>187.83359999999999</v>
      </c>
      <c r="Q912" s="285"/>
      <c r="R912" s="278"/>
      <c r="S912" s="278"/>
      <c r="T912" s="278"/>
    </row>
    <row r="913" spans="1:28" s="305" customFormat="1" hidden="1" outlineLevel="1" x14ac:dyDescent="0.25">
      <c r="A913" s="278"/>
      <c r="B913" s="279" t="str">
        <f t="shared" si="126"/>
        <v>2400900TB/LVW</v>
      </c>
      <c r="C913" s="278">
        <v>2400</v>
      </c>
      <c r="D913" s="278">
        <v>900</v>
      </c>
      <c r="E913" s="278" t="s">
        <v>949</v>
      </c>
      <c r="F913" s="278"/>
      <c r="G913" s="278" t="s">
        <v>5</v>
      </c>
      <c r="H913" s="290">
        <v>4</v>
      </c>
      <c r="I913" s="280">
        <f t="shared" si="127"/>
        <v>322.48</v>
      </c>
      <c r="J913" s="281">
        <f t="shared" si="128"/>
        <v>365.72</v>
      </c>
      <c r="K913" s="282">
        <f>IF(Notes!$B$9="Domestic",I913, IF(Notes!$B$9="Commercial",J913))*$K$863</f>
        <v>365.72</v>
      </c>
      <c r="L913" s="283">
        <f>(SUM(O913:Q913)+(K913+SUM(M913:Q913))*(INDEX($U$863:$AB$863,MATCH(Notes!$C$16,$U$3:$AB$3,0))-100%))*$L$863</f>
        <v>1612.2503999999999</v>
      </c>
      <c r="M913" s="286"/>
      <c r="N913" s="286"/>
      <c r="O913" s="285">
        <v>1330.5</v>
      </c>
      <c r="P913" s="311">
        <f t="shared" si="125"/>
        <v>281.75039999999996</v>
      </c>
      <c r="Q913" s="285"/>
      <c r="R913" s="278"/>
      <c r="S913" s="278"/>
      <c r="T913" s="278"/>
    </row>
    <row r="914" spans="1:28" s="305" customFormat="1" hidden="1" outlineLevel="1" x14ac:dyDescent="0.25">
      <c r="A914" s="278"/>
      <c r="B914" s="279" t="str">
        <f t="shared" si="126"/>
        <v>24001200TB/LVW</v>
      </c>
      <c r="C914" s="278">
        <v>2400</v>
      </c>
      <c r="D914" s="278">
        <v>1200</v>
      </c>
      <c r="E914" s="278" t="s">
        <v>949</v>
      </c>
      <c r="F914" s="278"/>
      <c r="G914" s="278" t="s">
        <v>5</v>
      </c>
      <c r="H914" s="290">
        <v>4</v>
      </c>
      <c r="I914" s="280">
        <f t="shared" si="127"/>
        <v>322.48</v>
      </c>
      <c r="J914" s="281">
        <f t="shared" si="128"/>
        <v>365.72</v>
      </c>
      <c r="K914" s="282">
        <f>IF(Notes!$B$9="Domestic",I914, IF(Notes!$B$9="Commercial",J914))*$K$863</f>
        <v>365.72</v>
      </c>
      <c r="L914" s="283">
        <f>(SUM(O914:Q914)+(K914+SUM(M914:Q914))*(INDEX($U$863:$AB$863,MATCH(Notes!$C$16,$U$3:$AB$3,0))-100%))*$L$863</f>
        <v>2579.1671999999999</v>
      </c>
      <c r="M914" s="286"/>
      <c r="N914" s="286"/>
      <c r="O914" s="311">
        <f>O912*2</f>
        <v>2203.5</v>
      </c>
      <c r="P914" s="311">
        <f t="shared" si="125"/>
        <v>375.66719999999998</v>
      </c>
      <c r="Q914" s="285"/>
      <c r="R914" s="278"/>
      <c r="S914" s="278"/>
      <c r="T914" s="278"/>
    </row>
    <row r="915" spans="1:28" s="305" customFormat="1" hidden="1" outlineLevel="1" x14ac:dyDescent="0.25">
      <c r="A915" s="278"/>
      <c r="B915" s="279" t="str">
        <f t="shared" si="126"/>
        <v>24001500TB/LVW</v>
      </c>
      <c r="C915" s="278">
        <v>2400</v>
      </c>
      <c r="D915" s="278">
        <v>1500</v>
      </c>
      <c r="E915" s="278" t="s">
        <v>949</v>
      </c>
      <c r="F915" s="278"/>
      <c r="G915" s="278" t="s">
        <v>5</v>
      </c>
      <c r="H915" s="290">
        <v>4</v>
      </c>
      <c r="I915" s="280">
        <f t="shared" si="127"/>
        <v>322.48</v>
      </c>
      <c r="J915" s="281">
        <f t="shared" si="128"/>
        <v>365.72</v>
      </c>
      <c r="K915" s="282">
        <f>IF(Notes!$B$9="Domestic",I915, IF(Notes!$B$9="Commercial",J915))*$K$863</f>
        <v>365.72</v>
      </c>
      <c r="L915" s="283">
        <f>(SUM(O915:Q915)+(K915+SUM(M915:Q915))*(INDEX($U$863:$AB$863,MATCH(Notes!$C$16,$U$3:$AB$3,0))-100%))*$L$863</f>
        <v>2901.8339999999998</v>
      </c>
      <c r="M915" s="286"/>
      <c r="N915" s="286"/>
      <c r="O915" s="311">
        <f>O912+O913</f>
        <v>2432.25</v>
      </c>
      <c r="P915" s="311">
        <f t="shared" si="125"/>
        <v>469.584</v>
      </c>
      <c r="Q915" s="285"/>
      <c r="R915" s="278"/>
      <c r="S915" s="278"/>
      <c r="T915" s="278"/>
    </row>
    <row r="916" spans="1:28" s="305" customFormat="1" hidden="1" outlineLevel="1" x14ac:dyDescent="0.25">
      <c r="A916" s="278"/>
      <c r="B916" s="279" t="str">
        <f t="shared" si="126"/>
        <v>24001800TB/LVW</v>
      </c>
      <c r="C916" s="278">
        <v>2400</v>
      </c>
      <c r="D916" s="278">
        <v>1800</v>
      </c>
      <c r="E916" s="278" t="s">
        <v>949</v>
      </c>
      <c r="F916" s="278"/>
      <c r="G916" s="278" t="s">
        <v>5</v>
      </c>
      <c r="H916" s="290">
        <v>5</v>
      </c>
      <c r="I916" s="280">
        <f t="shared" si="127"/>
        <v>403.1</v>
      </c>
      <c r="J916" s="281">
        <f t="shared" si="128"/>
        <v>457.15000000000003</v>
      </c>
      <c r="K916" s="282">
        <f>IF(Notes!$B$9="Domestic",I916, IF(Notes!$B$9="Commercial",J916))*$K$863</f>
        <v>457.15000000000003</v>
      </c>
      <c r="L916" s="283">
        <f>(SUM(O916:Q916)+(K916+SUM(M916:Q916))*(INDEX($U$863:$AB$863,MATCH(Notes!$C$16,$U$3:$AB$3,0))-100%))*$L$863</f>
        <v>3224.5007999999998</v>
      </c>
      <c r="M916" s="286"/>
      <c r="N916" s="286"/>
      <c r="O916" s="311">
        <f>O913*2</f>
        <v>2661</v>
      </c>
      <c r="P916" s="311">
        <f t="shared" si="125"/>
        <v>563.50079999999991</v>
      </c>
      <c r="Q916" s="285"/>
      <c r="R916" s="278"/>
      <c r="S916" s="278"/>
      <c r="T916" s="278"/>
    </row>
    <row r="917" spans="1:28" s="305" customFormat="1" hidden="1" outlineLevel="1" x14ac:dyDescent="0.25">
      <c r="A917" s="278"/>
      <c r="B917" s="279" t="str">
        <f t="shared" si="126"/>
        <v>24002100TB/LVW</v>
      </c>
      <c r="C917" s="278">
        <v>2400</v>
      </c>
      <c r="D917" s="278">
        <v>2100</v>
      </c>
      <c r="E917" s="278" t="s">
        <v>949</v>
      </c>
      <c r="F917" s="278"/>
      <c r="G917" s="278" t="s">
        <v>5</v>
      </c>
      <c r="H917" s="290">
        <v>5</v>
      </c>
      <c r="I917" s="280">
        <f t="shared" si="127"/>
        <v>403.1</v>
      </c>
      <c r="J917" s="281">
        <f t="shared" si="128"/>
        <v>457.15000000000003</v>
      </c>
      <c r="K917" s="282">
        <f>IF(Notes!$B$9="Domestic",I917, IF(Notes!$B$9="Commercial",J917))*$K$863</f>
        <v>457.15000000000003</v>
      </c>
      <c r="L917" s="283">
        <f>(SUM(O917:Q917)+(K917+SUM(M917:Q917))*(INDEX($U$863:$AB$863,MATCH(Notes!$C$16,$U$3:$AB$3,0))-100%))*$L$863</f>
        <v>4191.4175999999998</v>
      </c>
      <c r="M917" s="286"/>
      <c r="N917" s="286"/>
      <c r="O917" s="311">
        <f>O912+O915</f>
        <v>3534</v>
      </c>
      <c r="P917" s="311">
        <f t="shared" si="125"/>
        <v>657.41759999999999</v>
      </c>
      <c r="Q917" s="285"/>
      <c r="R917" s="278"/>
      <c r="S917" s="278"/>
      <c r="T917" s="278"/>
    </row>
    <row r="918" spans="1:28" s="305" customFormat="1" hidden="1" outlineLevel="1" x14ac:dyDescent="0.25">
      <c r="A918" s="278"/>
      <c r="B918" s="279" t="str">
        <f t="shared" si="126"/>
        <v>24002400TB/LVW</v>
      </c>
      <c r="C918" s="278">
        <v>2400</v>
      </c>
      <c r="D918" s="278">
        <v>2400</v>
      </c>
      <c r="E918" s="278" t="s">
        <v>949</v>
      </c>
      <c r="F918" s="278"/>
      <c r="G918" s="278" t="s">
        <v>5</v>
      </c>
      <c r="H918" s="290">
        <v>6</v>
      </c>
      <c r="I918" s="280">
        <f t="shared" si="127"/>
        <v>483.72</v>
      </c>
      <c r="J918" s="281">
        <f t="shared" si="128"/>
        <v>548.58000000000004</v>
      </c>
      <c r="K918" s="282">
        <f>IF(Notes!$B$9="Domestic",I918, IF(Notes!$B$9="Commercial",J918))*$K$863</f>
        <v>548.58000000000004</v>
      </c>
      <c r="L918" s="283">
        <f>(SUM(O918:Q918)+(K918+SUM(M918:Q918))*(INDEX($U$863:$AB$863,MATCH(Notes!$C$16,$U$3:$AB$3,0))-100%))*$L$863</f>
        <v>5158.3343999999997</v>
      </c>
      <c r="M918" s="286"/>
      <c r="N918" s="286"/>
      <c r="O918" s="311">
        <f>O914*2</f>
        <v>4407</v>
      </c>
      <c r="P918" s="311">
        <f t="shared" si="125"/>
        <v>751.33439999999996</v>
      </c>
      <c r="Q918" s="285"/>
      <c r="R918" s="278"/>
      <c r="S918" s="278"/>
      <c r="T918" s="278"/>
    </row>
    <row r="919" spans="1:28" s="305" customFormat="1" hidden="1" outlineLevel="1" x14ac:dyDescent="0.25">
      <c r="A919" s="278"/>
      <c r="B919" s="279" t="str">
        <f t="shared" si="126"/>
        <v>24002700TB/LVW</v>
      </c>
      <c r="C919" s="278">
        <v>2400</v>
      </c>
      <c r="D919" s="278">
        <v>2700</v>
      </c>
      <c r="E919" s="278" t="s">
        <v>949</v>
      </c>
      <c r="F919" s="278"/>
      <c r="G919" s="278" t="s">
        <v>5</v>
      </c>
      <c r="H919" s="290">
        <v>6</v>
      </c>
      <c r="I919" s="280">
        <f t="shared" si="127"/>
        <v>483.72</v>
      </c>
      <c r="J919" s="281">
        <f t="shared" si="128"/>
        <v>548.58000000000004</v>
      </c>
      <c r="K919" s="282">
        <f>IF(Notes!$B$9="Domestic",I919, IF(Notes!$B$9="Commercial",J919))*$K$863</f>
        <v>548.58000000000004</v>
      </c>
      <c r="L919" s="283">
        <f>(SUM(O919:Q919)+(K919+SUM(M919:Q919))*(INDEX($U$863:$AB$863,MATCH(Notes!$C$16,$U$3:$AB$3,0))-100%))*$L$863</f>
        <v>5481.0011999999997</v>
      </c>
      <c r="M919" s="286"/>
      <c r="N919" s="286"/>
      <c r="O919" s="311">
        <f>O914+O915</f>
        <v>4635.75</v>
      </c>
      <c r="P919" s="311">
        <f t="shared" si="125"/>
        <v>845.25119999999993</v>
      </c>
      <c r="Q919" s="285"/>
      <c r="R919" s="278"/>
      <c r="S919" s="278"/>
      <c r="T919" s="278"/>
    </row>
    <row r="920" spans="1:28" s="305" customFormat="1" hidden="1" outlineLevel="1" x14ac:dyDescent="0.25">
      <c r="A920" s="278"/>
      <c r="B920" s="279" t="str">
        <f t="shared" si="126"/>
        <v>2700600TB/LVW</v>
      </c>
      <c r="C920" s="278">
        <v>2700</v>
      </c>
      <c r="D920" s="278">
        <v>600</v>
      </c>
      <c r="E920" s="278" t="s">
        <v>949</v>
      </c>
      <c r="F920" s="278"/>
      <c r="G920" s="278" t="s">
        <v>5</v>
      </c>
      <c r="H920" s="290">
        <v>4</v>
      </c>
      <c r="I920" s="280">
        <f t="shared" si="127"/>
        <v>322.48</v>
      </c>
      <c r="J920" s="281">
        <f t="shared" si="128"/>
        <v>365.72</v>
      </c>
      <c r="K920" s="282">
        <f>IF(Notes!$B$9="Domestic",I920, IF(Notes!$B$9="Commercial",J920))*$K$863</f>
        <v>365.72</v>
      </c>
      <c r="L920" s="283">
        <f>(SUM(O920:Q920)+(K920+SUM(M920:Q920))*(INDEX($U$863:$AB$863,MATCH(Notes!$C$16,$U$3:$AB$3,0))-100%))*$L$863</f>
        <v>1725.5927999999999</v>
      </c>
      <c r="M920" s="286"/>
      <c r="N920" s="286"/>
      <c r="O920" s="311">
        <f>O880+O888</f>
        <v>1514.28</v>
      </c>
      <c r="P920" s="311">
        <f t="shared" si="125"/>
        <v>211.31279999999998</v>
      </c>
      <c r="Q920" s="285"/>
      <c r="R920" s="278"/>
      <c r="S920" s="278"/>
      <c r="T920" s="278"/>
    </row>
    <row r="921" spans="1:28" s="305" customFormat="1" hidden="1" outlineLevel="1" x14ac:dyDescent="0.25">
      <c r="A921" s="278"/>
      <c r="B921" s="279" t="str">
        <f t="shared" si="126"/>
        <v>2700900TB/LVW</v>
      </c>
      <c r="C921" s="278">
        <v>2700</v>
      </c>
      <c r="D921" s="278">
        <v>900</v>
      </c>
      <c r="E921" s="278" t="s">
        <v>949</v>
      </c>
      <c r="F921" s="278"/>
      <c r="G921" s="278" t="s">
        <v>5</v>
      </c>
      <c r="H921" s="290">
        <v>4</v>
      </c>
      <c r="I921" s="280">
        <f t="shared" si="127"/>
        <v>322.48</v>
      </c>
      <c r="J921" s="281">
        <f t="shared" si="128"/>
        <v>365.72</v>
      </c>
      <c r="K921" s="282">
        <f>IF(Notes!$B$9="Domestic",I921, IF(Notes!$B$9="Commercial",J921))*$K$863</f>
        <v>365.72</v>
      </c>
      <c r="L921" s="283">
        <f>(SUM(O921:Q921)+(K921+SUM(M921:Q921))*(INDEX($U$863:$AB$863,MATCH(Notes!$C$16,$U$3:$AB$3,0))-100%))*$L$863</f>
        <v>2163.6691999999998</v>
      </c>
      <c r="M921" s="286"/>
      <c r="N921" s="286"/>
      <c r="O921" s="311">
        <f>O881+O889</f>
        <v>1846.6999999999998</v>
      </c>
      <c r="P921" s="311">
        <f t="shared" si="125"/>
        <v>316.9692</v>
      </c>
      <c r="Q921" s="285"/>
      <c r="R921" s="278"/>
      <c r="S921" s="278"/>
      <c r="T921" s="278"/>
    </row>
    <row r="922" spans="1:28" s="305" customFormat="1" hidden="1" outlineLevel="1" x14ac:dyDescent="0.25">
      <c r="A922" s="278"/>
      <c r="B922" s="279" t="str">
        <f t="shared" si="126"/>
        <v>27001200TB/LVW</v>
      </c>
      <c r="C922" s="278">
        <v>2700</v>
      </c>
      <c r="D922" s="278">
        <v>1200</v>
      </c>
      <c r="E922" s="278" t="s">
        <v>949</v>
      </c>
      <c r="F922" s="278"/>
      <c r="G922" s="278" t="s">
        <v>5</v>
      </c>
      <c r="H922" s="290">
        <v>4</v>
      </c>
      <c r="I922" s="280">
        <f t="shared" si="127"/>
        <v>322.48</v>
      </c>
      <c r="J922" s="281">
        <f t="shared" si="128"/>
        <v>365.72</v>
      </c>
      <c r="K922" s="282">
        <f>IF(Notes!$B$9="Domestic",I922, IF(Notes!$B$9="Commercial",J922))*$K$863</f>
        <v>365.72</v>
      </c>
      <c r="L922" s="283">
        <f>(SUM(O922:Q922)+(K922+SUM(M922:Q922))*(INDEX($U$863:$AB$863,MATCH(Notes!$C$16,$U$3:$AB$3,0))-100%))*$L$863</f>
        <v>3451.1855999999998</v>
      </c>
      <c r="M922" s="286"/>
      <c r="N922" s="286"/>
      <c r="O922" s="311">
        <f>O920*2</f>
        <v>3028.56</v>
      </c>
      <c r="P922" s="311">
        <f t="shared" si="125"/>
        <v>422.62559999999996</v>
      </c>
      <c r="Q922" s="285"/>
      <c r="R922" s="278"/>
      <c r="S922" s="278"/>
      <c r="T922" s="278"/>
    </row>
    <row r="923" spans="1:28" s="305" customFormat="1" hidden="1" outlineLevel="1" x14ac:dyDescent="0.25">
      <c r="A923" s="278"/>
      <c r="B923" s="279" t="str">
        <f t="shared" si="126"/>
        <v>27001500TB/LVW</v>
      </c>
      <c r="C923" s="278">
        <v>2700</v>
      </c>
      <c r="D923" s="278">
        <v>1500</v>
      </c>
      <c r="E923" s="278" t="s">
        <v>949</v>
      </c>
      <c r="F923" s="278"/>
      <c r="G923" s="278" t="s">
        <v>5</v>
      </c>
      <c r="H923" s="290">
        <v>5</v>
      </c>
      <c r="I923" s="280">
        <f t="shared" si="127"/>
        <v>403.1</v>
      </c>
      <c r="J923" s="281">
        <f t="shared" si="128"/>
        <v>457.15000000000003</v>
      </c>
      <c r="K923" s="282">
        <f>IF(Notes!$B$9="Domestic",I923, IF(Notes!$B$9="Commercial",J923))*$K$863</f>
        <v>457.15000000000003</v>
      </c>
      <c r="L923" s="283">
        <f>(SUM(O923:Q923)+(K923+SUM(M923:Q923))*(INDEX($U$863:$AB$863,MATCH(Notes!$C$16,$U$3:$AB$3,0))-100%))*$L$863</f>
        <v>3889.2619999999997</v>
      </c>
      <c r="M923" s="286"/>
      <c r="N923" s="286"/>
      <c r="O923" s="311">
        <f>O920+O921</f>
        <v>3360.9799999999996</v>
      </c>
      <c r="P923" s="311">
        <f t="shared" si="125"/>
        <v>528.28200000000004</v>
      </c>
      <c r="Q923" s="285"/>
      <c r="R923" s="278"/>
      <c r="S923" s="278"/>
      <c r="T923" s="278"/>
    </row>
    <row r="924" spans="1:28" s="305" customFormat="1" hidden="1" outlineLevel="1" x14ac:dyDescent="0.25">
      <c r="A924" s="278"/>
      <c r="B924" s="279" t="str">
        <f t="shared" si="126"/>
        <v>27001800TB/LVW</v>
      </c>
      <c r="C924" s="278">
        <v>2700</v>
      </c>
      <c r="D924" s="278">
        <v>1800</v>
      </c>
      <c r="E924" s="278" t="s">
        <v>949</v>
      </c>
      <c r="F924" s="278"/>
      <c r="G924" s="278" t="s">
        <v>5</v>
      </c>
      <c r="H924" s="290">
        <v>5</v>
      </c>
      <c r="I924" s="280">
        <f t="shared" si="127"/>
        <v>403.1</v>
      </c>
      <c r="J924" s="281">
        <f t="shared" si="128"/>
        <v>457.15000000000003</v>
      </c>
      <c r="K924" s="282">
        <f>IF(Notes!$B$9="Domestic",I924, IF(Notes!$B$9="Commercial",J924))*$K$863</f>
        <v>457.15000000000003</v>
      </c>
      <c r="L924" s="283">
        <f>(SUM(O924:Q924)+(K924+SUM(M924:Q924))*(INDEX($U$863:$AB$863,MATCH(Notes!$C$16,$U$3:$AB$3,0))-100%))*$L$863</f>
        <v>4327.3383999999996</v>
      </c>
      <c r="M924" s="286"/>
      <c r="N924" s="286"/>
      <c r="O924" s="311">
        <f>O921*2</f>
        <v>3693.3999999999996</v>
      </c>
      <c r="P924" s="311">
        <f t="shared" si="125"/>
        <v>633.9384</v>
      </c>
      <c r="Q924" s="285"/>
      <c r="R924" s="278"/>
      <c r="S924" s="278"/>
      <c r="T924" s="278"/>
    </row>
    <row r="925" spans="1:28" s="305" customFormat="1" hidden="1" outlineLevel="1" x14ac:dyDescent="0.25">
      <c r="A925" s="278"/>
      <c r="B925" s="279" t="str">
        <f t="shared" si="126"/>
        <v>27002100TB/LVW</v>
      </c>
      <c r="C925" s="278">
        <v>2700</v>
      </c>
      <c r="D925" s="278">
        <v>2100</v>
      </c>
      <c r="E925" s="278" t="s">
        <v>949</v>
      </c>
      <c r="F925" s="278"/>
      <c r="G925" s="278" t="s">
        <v>5</v>
      </c>
      <c r="H925" s="290">
        <v>6</v>
      </c>
      <c r="I925" s="280">
        <f t="shared" si="127"/>
        <v>483.72</v>
      </c>
      <c r="J925" s="281">
        <f t="shared" si="128"/>
        <v>548.58000000000004</v>
      </c>
      <c r="K925" s="282">
        <f>IF(Notes!$B$9="Domestic",I925, IF(Notes!$B$9="Commercial",J925))*$K$863</f>
        <v>548.58000000000004</v>
      </c>
      <c r="L925" s="283">
        <f>(SUM(O925:Q925)+(K925+SUM(M925:Q925))*(INDEX($U$863:$AB$863,MATCH(Notes!$C$16,$U$3:$AB$3,0))-100%))*$L$863</f>
        <v>5614.8547999999992</v>
      </c>
      <c r="M925" s="286"/>
      <c r="N925" s="286"/>
      <c r="O925" s="311">
        <f>O920+O923</f>
        <v>4875.2599999999993</v>
      </c>
      <c r="P925" s="311">
        <f t="shared" si="125"/>
        <v>739.59479999999996</v>
      </c>
      <c r="Q925" s="285"/>
      <c r="R925" s="278"/>
      <c r="S925" s="278"/>
      <c r="T925" s="278"/>
    </row>
    <row r="926" spans="1:28" s="305" customFormat="1" hidden="1" outlineLevel="1" x14ac:dyDescent="0.25">
      <c r="A926" s="278"/>
      <c r="B926" s="279" t="str">
        <f t="shared" si="126"/>
        <v>27002400TB/LVW</v>
      </c>
      <c r="C926" s="278">
        <v>2700</v>
      </c>
      <c r="D926" s="278">
        <v>2400</v>
      </c>
      <c r="E926" s="278" t="s">
        <v>949</v>
      </c>
      <c r="F926" s="278"/>
      <c r="G926" s="278" t="s">
        <v>5</v>
      </c>
      <c r="H926" s="290">
        <v>6</v>
      </c>
      <c r="I926" s="280">
        <f t="shared" si="127"/>
        <v>483.72</v>
      </c>
      <c r="J926" s="281">
        <f t="shared" si="128"/>
        <v>548.58000000000004</v>
      </c>
      <c r="K926" s="282">
        <f>IF(Notes!$B$9="Domestic",I926, IF(Notes!$B$9="Commercial",J926))*$K$863</f>
        <v>548.58000000000004</v>
      </c>
      <c r="L926" s="283">
        <f>(SUM(O926:Q926)+(K926+SUM(M926:Q926))*(INDEX($U$863:$AB$863,MATCH(Notes!$C$16,$U$3:$AB$3,0))-100%))*$L$863</f>
        <v>6902.3711999999996</v>
      </c>
      <c r="M926" s="286"/>
      <c r="N926" s="286"/>
      <c r="O926" s="311">
        <f>O922*2</f>
        <v>6057.12</v>
      </c>
      <c r="P926" s="311">
        <f t="shared" si="125"/>
        <v>845.25119999999993</v>
      </c>
      <c r="Q926" s="285"/>
      <c r="R926" s="278"/>
      <c r="S926" s="278"/>
      <c r="T926" s="278"/>
    </row>
    <row r="927" spans="1:28" s="305" customFormat="1" hidden="1" outlineLevel="1" x14ac:dyDescent="0.25">
      <c r="A927" s="278"/>
      <c r="B927" s="279" t="str">
        <f t="shared" si="126"/>
        <v>27002700TB/LVW</v>
      </c>
      <c r="C927" s="278">
        <v>2700</v>
      </c>
      <c r="D927" s="278">
        <v>2700</v>
      </c>
      <c r="E927" s="278" t="s">
        <v>949</v>
      </c>
      <c r="F927" s="278"/>
      <c r="G927" s="278" t="s">
        <v>5</v>
      </c>
      <c r="H927" s="290">
        <v>6</v>
      </c>
      <c r="I927" s="280">
        <f t="shared" si="127"/>
        <v>483.72</v>
      </c>
      <c r="J927" s="281">
        <f>$J$2*H927</f>
        <v>548.58000000000004</v>
      </c>
      <c r="K927" s="282">
        <f>IF(Notes!$B$9="Domestic",I927, IF(Notes!$B$9="Commercial",J927))*$K$863</f>
        <v>548.58000000000004</v>
      </c>
      <c r="L927" s="283">
        <f>(SUM(O927:Q927)+(K927+SUM(M927:Q927))*(INDEX($U$863:$AB$863,MATCH(Notes!$C$16,$U$3:$AB$3,0))-100%))*$L$863</f>
        <v>7340.4475999999995</v>
      </c>
      <c r="M927" s="286"/>
      <c r="N927" s="286"/>
      <c r="O927" s="311">
        <f>O922+O923</f>
        <v>6389.5399999999991</v>
      </c>
      <c r="P927" s="311">
        <f t="shared" si="125"/>
        <v>950.9076</v>
      </c>
      <c r="Q927" s="285"/>
      <c r="R927" s="278"/>
      <c r="S927" s="278"/>
      <c r="T927" s="278"/>
    </row>
    <row r="928" spans="1:28" ht="21" hidden="1" outlineLevel="1" x14ac:dyDescent="0.25">
      <c r="A928" s="299"/>
      <c r="B928" s="299"/>
      <c r="C928" s="299"/>
      <c r="D928" s="299"/>
      <c r="E928" s="299"/>
      <c r="F928" s="299"/>
      <c r="G928" s="299"/>
      <c r="H928" s="299"/>
      <c r="I928" s="299"/>
      <c r="J928" s="299"/>
      <c r="K928" s="299"/>
      <c r="L928" s="299"/>
      <c r="M928" s="299"/>
      <c r="N928" s="299"/>
      <c r="O928" s="299"/>
      <c r="P928" s="299"/>
      <c r="Q928" s="299"/>
      <c r="R928" s="299"/>
      <c r="S928" s="299"/>
      <c r="T928" s="299"/>
      <c r="U928" s="299"/>
      <c r="V928" s="299"/>
      <c r="W928" s="299"/>
      <c r="X928" s="299"/>
      <c r="Y928" s="299"/>
      <c r="Z928" s="299"/>
      <c r="AA928" s="299"/>
      <c r="AB928" s="299"/>
    </row>
    <row r="929" spans="1:28" ht="15.75" hidden="1" outlineLevel="1" x14ac:dyDescent="0.25">
      <c r="A929" s="291"/>
      <c r="B929" s="291"/>
      <c r="C929" s="291"/>
      <c r="D929" s="291"/>
      <c r="E929" s="291"/>
      <c r="F929" s="291"/>
      <c r="G929" s="291"/>
      <c r="H929" s="291"/>
      <c r="I929" s="291"/>
      <c r="J929" s="291"/>
      <c r="K929" s="291">
        <f>K$2</f>
        <v>1</v>
      </c>
      <c r="L929" s="291">
        <f>L$2</f>
        <v>1</v>
      </c>
      <c r="M929" s="291"/>
      <c r="N929" s="291"/>
      <c r="O929" s="303"/>
      <c r="P929" s="303"/>
      <c r="Q929" s="303"/>
      <c r="R929" s="291"/>
      <c r="S929" s="291"/>
      <c r="T929" s="291"/>
      <c r="U929" s="291">
        <f>U$2</f>
        <v>0.89965397923875434</v>
      </c>
      <c r="V929" s="291">
        <f>V$2</f>
        <v>1</v>
      </c>
      <c r="W929" s="291">
        <f t="shared" ref="W929:AB929" si="129">W$2</f>
        <v>0.92214532871972321</v>
      </c>
      <c r="X929" s="291">
        <f t="shared" si="129"/>
        <v>0.89965397923875434</v>
      </c>
      <c r="Y929" s="291">
        <f t="shared" si="129"/>
        <v>1.0069204152249136</v>
      </c>
      <c r="Z929" s="291">
        <f t="shared" si="129"/>
        <v>0.856401384083045</v>
      </c>
      <c r="AA929" s="291">
        <f t="shared" si="129"/>
        <v>0.856401384083045</v>
      </c>
      <c r="AB929" s="291">
        <f t="shared" si="129"/>
        <v>1.0121107266435987</v>
      </c>
    </row>
    <row r="930" spans="1:28" s="305" customFormat="1" hidden="1" outlineLevel="1" x14ac:dyDescent="0.25">
      <c r="A930" s="278"/>
      <c r="B930" s="279" t="str">
        <f>C930&amp;D930&amp;E930&amp;F930</f>
        <v/>
      </c>
      <c r="C930" s="278"/>
      <c r="D930" s="278"/>
      <c r="E930" s="278"/>
      <c r="F930" s="278"/>
      <c r="G930" s="278"/>
      <c r="H930" s="290"/>
      <c r="I930" s="280">
        <f>$I$2*H930</f>
        <v>0</v>
      </c>
      <c r="J930" s="281">
        <f>$J$2*H930</f>
        <v>0</v>
      </c>
      <c r="K930" s="282">
        <f>IF(Notes!$B$9="Domestic",I930, IF(Notes!$B$9="Commercial",J930))*$K$929</f>
        <v>0</v>
      </c>
      <c r="L930" s="283">
        <f>(SUM(O930:Q930)+(K930+SUM(M930:Q930))*(INDEX($U$929:$AB$929,MATCH(Notes!$C$16,$U$3:$AB$3,0))-100%))*$L$929</f>
        <v>0</v>
      </c>
      <c r="M930" s="286"/>
      <c r="N930" s="286"/>
      <c r="O930" s="285"/>
      <c r="P930" s="285"/>
      <c r="Q930" s="285"/>
      <c r="R930" s="278"/>
      <c r="S930" s="278"/>
      <c r="T930" s="278"/>
    </row>
    <row r="931" spans="1:28" s="305" customFormat="1" hidden="1" outlineLevel="1" x14ac:dyDescent="0.25">
      <c r="A931" s="278"/>
      <c r="B931" s="279" t="str">
        <f t="shared" ref="B931:B939" si="130">C931&amp;D931&amp;E931&amp;F931</f>
        <v/>
      </c>
      <c r="C931" s="278"/>
      <c r="D931" s="278"/>
      <c r="E931" s="278"/>
      <c r="F931" s="278"/>
      <c r="G931" s="278"/>
      <c r="H931" s="290"/>
      <c r="I931" s="280">
        <f t="shared" ref="I931:I939" si="131">$I$2*H931</f>
        <v>0</v>
      </c>
      <c r="J931" s="281">
        <f t="shared" ref="J931:J939" si="132">$J$2*H931</f>
        <v>0</v>
      </c>
      <c r="K931" s="282">
        <f>IF(Notes!$B$9="Domestic",I931, IF(Notes!$B$9="Commercial",J931))*$K$929</f>
        <v>0</v>
      </c>
      <c r="L931" s="283">
        <f>(SUM(O931:Q931)+(K931+SUM(M931:Q931))*(INDEX($U$929:$AB$929,MATCH(Notes!$C$16,$U$3:$AB$3,0))-100%))*$L$929</f>
        <v>0</v>
      </c>
      <c r="M931" s="286"/>
      <c r="N931" s="286"/>
      <c r="O931" s="285"/>
      <c r="P931" s="285"/>
      <c r="Q931" s="285"/>
      <c r="R931" s="278"/>
      <c r="S931" s="278"/>
      <c r="T931" s="278"/>
    </row>
    <row r="932" spans="1:28" s="305" customFormat="1" hidden="1" outlineLevel="1" x14ac:dyDescent="0.25">
      <c r="A932" s="278"/>
      <c r="B932" s="279" t="str">
        <f t="shared" si="130"/>
        <v/>
      </c>
      <c r="C932" s="278"/>
      <c r="D932" s="278"/>
      <c r="E932" s="278"/>
      <c r="F932" s="278"/>
      <c r="G932" s="278"/>
      <c r="H932" s="290"/>
      <c r="I932" s="280">
        <f t="shared" si="131"/>
        <v>0</v>
      </c>
      <c r="J932" s="281">
        <f t="shared" si="132"/>
        <v>0</v>
      </c>
      <c r="K932" s="282">
        <f>IF(Notes!$B$9="Domestic",I932, IF(Notes!$B$9="Commercial",J932))*$K$929</f>
        <v>0</v>
      </c>
      <c r="L932" s="283">
        <f>(SUM(O932:Q932)+(K932+SUM(M932:Q932))*(INDEX($U$929:$AB$929,MATCH(Notes!$C$16,$U$3:$AB$3,0))-100%))*$L$929</f>
        <v>0</v>
      </c>
      <c r="M932" s="286"/>
      <c r="N932" s="286"/>
      <c r="O932" s="285"/>
      <c r="P932" s="285"/>
      <c r="Q932" s="285"/>
      <c r="R932" s="278"/>
      <c r="S932" s="278"/>
      <c r="T932" s="278"/>
    </row>
    <row r="933" spans="1:28" s="305" customFormat="1" hidden="1" outlineLevel="1" x14ac:dyDescent="0.25">
      <c r="A933" s="278"/>
      <c r="B933" s="279" t="str">
        <f t="shared" si="130"/>
        <v/>
      </c>
      <c r="C933" s="278"/>
      <c r="D933" s="278"/>
      <c r="E933" s="278"/>
      <c r="F933" s="278"/>
      <c r="G933" s="278"/>
      <c r="H933" s="290"/>
      <c r="I933" s="280">
        <f t="shared" si="131"/>
        <v>0</v>
      </c>
      <c r="J933" s="281">
        <f t="shared" si="132"/>
        <v>0</v>
      </c>
      <c r="K933" s="282">
        <f>IF(Notes!$B$9="Domestic",I933, IF(Notes!$B$9="Commercial",J933))*$K$929</f>
        <v>0</v>
      </c>
      <c r="L933" s="283">
        <f>(SUM(O933:Q933)+(K933+SUM(M933:Q933))*(INDEX($U$929:$AB$929,MATCH(Notes!$C$16,$U$3:$AB$3,0))-100%))*$L$929</f>
        <v>0</v>
      </c>
      <c r="M933" s="286"/>
      <c r="N933" s="286"/>
      <c r="O933" s="285"/>
      <c r="P933" s="285"/>
      <c r="Q933" s="285"/>
      <c r="R933" s="278"/>
      <c r="S933" s="278"/>
      <c r="T933" s="278"/>
    </row>
    <row r="934" spans="1:28" s="305" customFormat="1" hidden="1" outlineLevel="1" x14ac:dyDescent="0.25">
      <c r="A934" s="278"/>
      <c r="B934" s="279" t="str">
        <f t="shared" si="130"/>
        <v/>
      </c>
      <c r="C934" s="278"/>
      <c r="D934" s="278"/>
      <c r="E934" s="278"/>
      <c r="F934" s="278"/>
      <c r="G934" s="278"/>
      <c r="H934" s="290"/>
      <c r="I934" s="280">
        <f>$I$2*H934</f>
        <v>0</v>
      </c>
      <c r="J934" s="281">
        <f t="shared" si="132"/>
        <v>0</v>
      </c>
      <c r="K934" s="282">
        <f>IF(Notes!$B$9="Domestic",I934, IF(Notes!$B$9="Commercial",J934))*$K$929</f>
        <v>0</v>
      </c>
      <c r="L934" s="283">
        <f>(SUM(O934:Q934)+(K934+SUM(M934:Q934))*(INDEX($U$929:$AB$929,MATCH(Notes!$C$16,$U$3:$AB$3,0))-100%))*$L$929</f>
        <v>0</v>
      </c>
      <c r="M934" s="286"/>
      <c r="N934" s="286"/>
      <c r="O934" s="285"/>
      <c r="P934" s="285"/>
      <c r="Q934" s="285"/>
      <c r="R934" s="278"/>
      <c r="S934" s="278"/>
      <c r="T934" s="278"/>
    </row>
    <row r="935" spans="1:28" s="305" customFormat="1" hidden="1" outlineLevel="1" x14ac:dyDescent="0.25">
      <c r="A935" s="278"/>
      <c r="B935" s="279" t="str">
        <f t="shared" si="130"/>
        <v/>
      </c>
      <c r="C935" s="278"/>
      <c r="D935" s="278"/>
      <c r="E935" s="278"/>
      <c r="F935" s="278"/>
      <c r="G935" s="278"/>
      <c r="H935" s="290"/>
      <c r="I935" s="280">
        <f t="shared" si="131"/>
        <v>0</v>
      </c>
      <c r="J935" s="281">
        <f t="shared" si="132"/>
        <v>0</v>
      </c>
      <c r="K935" s="282">
        <f>IF(Notes!$B$9="Domestic",I935, IF(Notes!$B$9="Commercial",J935))*$K$929</f>
        <v>0</v>
      </c>
      <c r="L935" s="283">
        <f>(SUM(O935:Q935)+(K935+SUM(M935:Q935))*(INDEX($U$929:$AB$929,MATCH(Notes!$C$16,$U$3:$AB$3,0))-100%))*$L$929</f>
        <v>0</v>
      </c>
      <c r="M935" s="286"/>
      <c r="N935" s="286"/>
      <c r="O935" s="285"/>
      <c r="P935" s="285"/>
      <c r="Q935" s="285"/>
      <c r="R935" s="278"/>
      <c r="S935" s="278"/>
      <c r="T935" s="278"/>
    </row>
    <row r="936" spans="1:28" s="305" customFormat="1" hidden="1" outlineLevel="1" x14ac:dyDescent="0.25">
      <c r="A936" s="278"/>
      <c r="B936" s="279" t="str">
        <f t="shared" si="130"/>
        <v/>
      </c>
      <c r="C936" s="278"/>
      <c r="D936" s="278"/>
      <c r="E936" s="278"/>
      <c r="F936" s="278"/>
      <c r="G936" s="278"/>
      <c r="H936" s="290"/>
      <c r="I936" s="280">
        <f t="shared" si="131"/>
        <v>0</v>
      </c>
      <c r="J936" s="281">
        <f t="shared" si="132"/>
        <v>0</v>
      </c>
      <c r="K936" s="282">
        <f>IF(Notes!$B$9="Domestic",I936, IF(Notes!$B$9="Commercial",J936))*$K$929</f>
        <v>0</v>
      </c>
      <c r="L936" s="283">
        <f>(SUM(O936:Q936)+(K936+SUM(M936:Q936))*(INDEX($U$929:$AB$929,MATCH(Notes!$C$16,$U$3:$AB$3,0))-100%))*$L$929</f>
        <v>0</v>
      </c>
      <c r="M936" s="286"/>
      <c r="N936" s="286"/>
      <c r="O936" s="285"/>
      <c r="P936" s="285"/>
      <c r="Q936" s="285"/>
      <c r="R936" s="278"/>
      <c r="S936" s="278"/>
      <c r="T936" s="278"/>
    </row>
    <row r="937" spans="1:28" s="305" customFormat="1" hidden="1" outlineLevel="1" x14ac:dyDescent="0.25">
      <c r="A937" s="278"/>
      <c r="B937" s="279" t="str">
        <f t="shared" si="130"/>
        <v/>
      </c>
      <c r="C937" s="278"/>
      <c r="D937" s="278"/>
      <c r="E937" s="278"/>
      <c r="F937" s="278"/>
      <c r="G937" s="278"/>
      <c r="H937" s="290"/>
      <c r="I937" s="280">
        <f t="shared" si="131"/>
        <v>0</v>
      </c>
      <c r="J937" s="281">
        <f t="shared" si="132"/>
        <v>0</v>
      </c>
      <c r="K937" s="282">
        <f>IF(Notes!$B$9="Domestic",I937, IF(Notes!$B$9="Commercial",J937))*$K$929</f>
        <v>0</v>
      </c>
      <c r="L937" s="283">
        <f>(SUM(O937:Q937)+(K937+SUM(M937:Q937))*(INDEX($U$929:$AB$929,MATCH(Notes!$C$16,$U$3:$AB$3,0))-100%))*$L$929</f>
        <v>0</v>
      </c>
      <c r="M937" s="286"/>
      <c r="N937" s="286"/>
      <c r="O937" s="285"/>
      <c r="P937" s="285"/>
      <c r="Q937" s="285"/>
      <c r="R937" s="278"/>
      <c r="S937" s="278"/>
      <c r="T937" s="278"/>
    </row>
    <row r="938" spans="1:28" s="305" customFormat="1" hidden="1" outlineLevel="1" x14ac:dyDescent="0.25">
      <c r="A938" s="278"/>
      <c r="B938" s="279" t="str">
        <f t="shared" si="130"/>
        <v/>
      </c>
      <c r="C938" s="278"/>
      <c r="D938" s="278"/>
      <c r="E938" s="278"/>
      <c r="F938" s="278"/>
      <c r="G938" s="278"/>
      <c r="H938" s="290"/>
      <c r="I938" s="280">
        <f t="shared" si="131"/>
        <v>0</v>
      </c>
      <c r="J938" s="281">
        <f t="shared" si="132"/>
        <v>0</v>
      </c>
      <c r="K938" s="282">
        <f>IF(Notes!$B$9="Domestic",I938, IF(Notes!$B$9="Commercial",J938))*$K$929</f>
        <v>0</v>
      </c>
      <c r="L938" s="283">
        <f>(SUM(O938:Q938)+(K938+SUM(M938:Q938))*(INDEX($U$929:$AB$929,MATCH(Notes!$C$16,$U$3:$AB$3,0))-100%))*$L$929</f>
        <v>0</v>
      </c>
      <c r="M938" s="286"/>
      <c r="N938" s="286"/>
      <c r="O938" s="285"/>
      <c r="P938" s="285"/>
      <c r="Q938" s="285"/>
      <c r="R938" s="278"/>
      <c r="S938" s="278"/>
      <c r="T938" s="278"/>
    </row>
    <row r="939" spans="1:28" s="305" customFormat="1" hidden="1" outlineLevel="1" x14ac:dyDescent="0.25">
      <c r="A939" s="278"/>
      <c r="B939" s="279" t="str">
        <f t="shared" si="130"/>
        <v/>
      </c>
      <c r="C939" s="278"/>
      <c r="D939" s="278"/>
      <c r="E939" s="278"/>
      <c r="F939" s="278"/>
      <c r="G939" s="278"/>
      <c r="H939" s="290"/>
      <c r="I939" s="280">
        <f t="shared" si="131"/>
        <v>0</v>
      </c>
      <c r="J939" s="281">
        <f t="shared" si="132"/>
        <v>0</v>
      </c>
      <c r="K939" s="282">
        <f>IF(Notes!$B$9="Domestic",I939, IF(Notes!$B$9="Commercial",J939))*$K$929</f>
        <v>0</v>
      </c>
      <c r="L939" s="283">
        <f>(SUM(O939:Q939)+(K939+SUM(M939:Q939))*(INDEX($U$929:$AB$929,MATCH(Notes!$C$16,$U$3:$AB$3,0))-100%))*$L$929</f>
        <v>0</v>
      </c>
      <c r="M939" s="286"/>
      <c r="N939" s="286"/>
      <c r="O939" s="285"/>
      <c r="P939" s="285"/>
      <c r="Q939" s="285"/>
      <c r="R939" s="278"/>
      <c r="S939" s="278"/>
      <c r="T939" s="278"/>
    </row>
    <row r="940" spans="1:28" hidden="1" outlineLevel="1" x14ac:dyDescent="0.25">
      <c r="A940" s="284" t="str">
        <f>C940&amp;D940&amp;E940</f>
        <v/>
      </c>
      <c r="B940" s="284"/>
      <c r="C940" s="284"/>
      <c r="D940" s="284"/>
      <c r="E940" s="284"/>
      <c r="F940" s="284"/>
      <c r="G940" s="284"/>
      <c r="H940" s="284"/>
      <c r="I940" s="284"/>
      <c r="J940" s="284"/>
      <c r="K940" s="284"/>
      <c r="L940" s="284"/>
      <c r="M940" s="284"/>
      <c r="N940" s="284"/>
      <c r="O940" s="284"/>
      <c r="P940" s="284"/>
      <c r="Q940" s="284"/>
      <c r="R940" s="284"/>
      <c r="S940" s="284"/>
      <c r="T940" s="284"/>
    </row>
    <row r="941" spans="1:28" hidden="1" outlineLevel="1" x14ac:dyDescent="0.25"/>
    <row r="942" spans="1:28" hidden="1" outlineLevel="1" x14ac:dyDescent="0.25"/>
    <row r="943" spans="1:28" collapsed="1" x14ac:dyDescent="0.25"/>
  </sheetData>
  <sheetProtection algorithmName="SHA-512" hashValue="jeTRU+PIAUXq3rtZLZpOVILGhKEQ6tBbuyFArJV6RHIxS9p7NluXIQk+8xEiusb2jMH0nUA2u+gZ2cHF3E8K9w==" saltValue="9KsWTZErsLO4Rl5S/Sbfg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rgb="FF00B050"/>
  </sheetPr>
  <dimension ref="A1:S322"/>
  <sheetViews>
    <sheetView view="pageBreakPreview" zoomScale="70" zoomScaleNormal="85" zoomScaleSheetLayoutView="70" zoomScalePageLayoutView="85" workbookViewId="0">
      <pane ySplit="2" topLeftCell="A14"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'Windows &amp; Doors'!A2+1</f>
        <v>27</v>
      </c>
      <c r="B2" s="73" t="s" cm="1">
        <v>2487</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27.01</v>
      </c>
      <c r="B3" s="27" t="s">
        <v>967</v>
      </c>
      <c r="C3" s="83">
        <v>20.55</v>
      </c>
      <c r="D3" s="29" t="s">
        <v>11</v>
      </c>
      <c r="E3" s="85"/>
      <c r="F3" s="86">
        <f>IF(E3="inc",0,IF(C3="",0,C3*E3))</f>
        <v>0</v>
      </c>
      <c r="G3" s="208"/>
      <c r="H3" s="30"/>
      <c r="I3" s="30"/>
      <c r="J3" s="30"/>
      <c r="K3" s="30"/>
      <c r="L3" s="30"/>
      <c r="M3" s="87"/>
      <c r="N3" s="88"/>
      <c r="O3" s="25"/>
      <c r="P3" s="25"/>
      <c r="Q3" s="25"/>
      <c r="R3" s="25"/>
      <c r="S3" s="25"/>
    </row>
    <row r="4" spans="1:19" s="94" customFormat="1" ht="15.75" x14ac:dyDescent="0.25">
      <c r="A4" s="24"/>
      <c r="B4" s="24" t="s">
        <v>570</v>
      </c>
      <c r="C4" s="32">
        <v>13.36</v>
      </c>
      <c r="D4" s="32" t="s">
        <v>11</v>
      </c>
      <c r="E4" s="26"/>
      <c r="F4" s="33"/>
      <c r="G4" s="209"/>
      <c r="H4" s="26"/>
      <c r="I4" s="26"/>
      <c r="J4" s="26"/>
      <c r="K4" s="26"/>
      <c r="L4" s="26"/>
      <c r="M4" s="34"/>
      <c r="N4" s="32"/>
      <c r="O4" s="44"/>
    </row>
    <row r="5" spans="1:19" s="94" customFormat="1" ht="15.75" x14ac:dyDescent="0.25">
      <c r="A5" s="24"/>
      <c r="B5" s="24" t="s">
        <v>571</v>
      </c>
      <c r="C5" s="32">
        <v>2.75</v>
      </c>
      <c r="D5" s="32" t="s">
        <v>11</v>
      </c>
      <c r="E5" s="26"/>
      <c r="F5" s="33"/>
      <c r="G5" s="209"/>
      <c r="H5" s="26"/>
      <c r="I5" s="26"/>
      <c r="J5" s="26"/>
      <c r="K5" s="26"/>
      <c r="L5" s="26"/>
      <c r="M5" s="34"/>
      <c r="N5" s="32"/>
      <c r="O5" s="44"/>
    </row>
    <row r="6" spans="1:19" s="94" customFormat="1" ht="15.75" x14ac:dyDescent="0.25">
      <c r="A6" s="24"/>
      <c r="B6" s="24" t="s">
        <v>572</v>
      </c>
      <c r="C6" s="32">
        <v>4.4400000000000004</v>
      </c>
      <c r="D6" s="32" t="s">
        <v>11</v>
      </c>
      <c r="E6" s="26"/>
      <c r="F6" s="33"/>
      <c r="G6" s="209"/>
      <c r="H6" s="26"/>
      <c r="I6" s="26"/>
      <c r="J6" s="26"/>
      <c r="K6" s="26"/>
      <c r="L6" s="26"/>
      <c r="M6" s="34"/>
      <c r="N6" s="32"/>
      <c r="O6" s="44"/>
    </row>
    <row r="7" spans="1:19" s="94" customFormat="1" ht="15.75" x14ac:dyDescent="0.25">
      <c r="A7" s="24"/>
      <c r="B7" s="24"/>
      <c r="C7" s="32" t="s">
        <v>2346</v>
      </c>
      <c r="D7" s="32">
        <v>0</v>
      </c>
      <c r="E7" s="26"/>
      <c r="F7" s="33"/>
      <c r="G7" s="210"/>
      <c r="H7" s="26"/>
      <c r="I7" s="26"/>
      <c r="J7" s="26"/>
      <c r="K7" s="26"/>
      <c r="L7" s="26"/>
      <c r="M7" s="34"/>
      <c r="N7" s="32"/>
      <c r="O7" s="44"/>
    </row>
    <row r="8" spans="1:19" s="90" customFormat="1" ht="18.75" x14ac:dyDescent="0.25">
      <c r="A8" s="82">
        <f ca="1">IF(C8&gt;0,MAX($A$1:OFFSET(A8,-1,0))+0.01,"")</f>
        <v>27.020000000000003</v>
      </c>
      <c r="B8" s="27" t="s">
        <v>2426</v>
      </c>
      <c r="C8" s="97">
        <v>47.31</v>
      </c>
      <c r="D8" s="29" t="s">
        <v>15</v>
      </c>
      <c r="E8" s="85"/>
      <c r="F8" s="86">
        <f>IF(E8="inc",0,IF(C8="",0,C8*E8))</f>
        <v>0</v>
      </c>
      <c r="G8" s="208"/>
      <c r="H8" s="30"/>
      <c r="I8" s="30"/>
      <c r="J8" s="30"/>
      <c r="K8" s="30"/>
      <c r="L8" s="30"/>
      <c r="M8" s="87" t="s">
        <v>2427</v>
      </c>
      <c r="N8" s="88"/>
      <c r="O8" s="25"/>
      <c r="P8" s="25"/>
      <c r="Q8" s="25"/>
      <c r="R8" s="25"/>
      <c r="S8" s="25"/>
    </row>
    <row r="9" spans="1:19" s="94" customFormat="1" ht="15.75" x14ac:dyDescent="0.25">
      <c r="A9" s="24"/>
      <c r="B9" s="24"/>
      <c r="C9" s="32">
        <v>47.31</v>
      </c>
      <c r="D9" s="32" t="s">
        <v>15</v>
      </c>
      <c r="E9" s="26"/>
      <c r="F9" s="33"/>
      <c r="G9" s="210"/>
      <c r="H9" s="26"/>
      <c r="I9" s="26"/>
      <c r="J9" s="26"/>
      <c r="K9" s="26"/>
      <c r="L9" s="26"/>
      <c r="M9" s="34"/>
      <c r="N9" s="32"/>
      <c r="O9" s="44"/>
    </row>
    <row r="10" spans="1:19" s="94" customFormat="1" ht="15.75" x14ac:dyDescent="0.25">
      <c r="A10" s="24"/>
      <c r="B10" s="24"/>
      <c r="C10" s="32" t="s">
        <v>2346</v>
      </c>
      <c r="D10" s="32">
        <v>0</v>
      </c>
      <c r="E10" s="26"/>
      <c r="F10" s="33"/>
      <c r="G10" s="210"/>
      <c r="H10" s="26"/>
      <c r="I10" s="26"/>
      <c r="J10" s="26"/>
      <c r="K10" s="26"/>
      <c r="L10" s="26"/>
      <c r="M10" s="34"/>
      <c r="N10" s="32"/>
      <c r="O10" s="44"/>
    </row>
    <row r="11" spans="1:19" s="79" customFormat="1" ht="21.75" thickBot="1" x14ac:dyDescent="0.4">
      <c r="A11" s="99"/>
      <c r="B11" s="394" t="s">
        <v>4</v>
      </c>
      <c r="C11" s="395"/>
      <c r="D11" s="396"/>
      <c r="E11" s="100"/>
      <c r="F11" s="101">
        <f ca="1">SUM(F$2:OFFSET(F11,-1,0))</f>
        <v>0</v>
      </c>
      <c r="G11" s="208"/>
      <c r="H11" s="100"/>
      <c r="I11" s="100"/>
      <c r="J11" s="100"/>
      <c r="K11" s="100"/>
      <c r="L11" s="100"/>
      <c r="M11" s="102"/>
      <c r="N11" s="103"/>
    </row>
    <row r="12" spans="1:19" s="94" customFormat="1" ht="15.75" x14ac:dyDescent="0.25">
      <c r="A12" s="105"/>
      <c r="B12" s="25"/>
      <c r="C12" s="106"/>
      <c r="D12" s="32"/>
      <c r="E12" s="92"/>
      <c r="F12" s="107"/>
      <c r="G12" s="107"/>
      <c r="H12" s="107"/>
      <c r="I12" s="107"/>
      <c r="J12" s="26"/>
      <c r="K12" s="26"/>
      <c r="L12" s="26"/>
      <c r="M12" s="88"/>
      <c r="N12" s="88"/>
    </row>
    <row r="13" spans="1:19" ht="15.75" x14ac:dyDescent="0.25">
      <c r="C13" s="106"/>
      <c r="G13" s="107"/>
      <c r="H13" s="107"/>
      <c r="I13" s="107"/>
      <c r="J13" s="26"/>
      <c r="K13" s="26"/>
      <c r="L13" s="26"/>
    </row>
    <row r="14" spans="1:19" ht="15.75" x14ac:dyDescent="0.25">
      <c r="G14" s="107"/>
      <c r="H14" s="107"/>
      <c r="I14" s="107"/>
      <c r="J14" s="26"/>
      <c r="K14" s="26"/>
      <c r="L14" s="26"/>
    </row>
    <row r="15" spans="1:19" ht="15.75" x14ac:dyDescent="0.25">
      <c r="G15" s="107"/>
      <c r="H15" s="107"/>
      <c r="I15" s="107"/>
      <c r="J15" s="26"/>
      <c r="K15" s="26"/>
      <c r="L15" s="26"/>
    </row>
    <row r="16" spans="1:19" ht="15.75" x14ac:dyDescent="0.25">
      <c r="F16" s="108" t="e">
        <f ca="1">F11-#REF!</f>
        <v>#REF!</v>
      </c>
      <c r="G16" s="107"/>
      <c r="H16" s="107"/>
      <c r="I16" s="107"/>
      <c r="J16" s="26"/>
      <c r="K16" s="26"/>
      <c r="L16" s="26"/>
    </row>
    <row r="17" spans="1:19" ht="15.75" x14ac:dyDescent="0.25">
      <c r="G17" s="107"/>
      <c r="H17" s="107"/>
      <c r="I17" s="107"/>
      <c r="J17" s="26"/>
      <c r="K17" s="26"/>
      <c r="L17" s="26"/>
    </row>
    <row r="18" spans="1:19" ht="15.75" x14ac:dyDescent="0.25">
      <c r="G18" s="107"/>
      <c r="H18" s="107"/>
      <c r="I18" s="107"/>
      <c r="J18" s="26"/>
      <c r="K18" s="26"/>
      <c r="L18" s="26"/>
    </row>
    <row r="19" spans="1:19" ht="15.75" x14ac:dyDescent="0.25">
      <c r="G19" s="107"/>
      <c r="H19" s="107"/>
      <c r="I19" s="107"/>
      <c r="J19" s="26"/>
      <c r="K19" s="26"/>
      <c r="L19" s="26"/>
    </row>
    <row r="20" spans="1:19" ht="15.75" x14ac:dyDescent="0.25">
      <c r="G20" s="107"/>
      <c r="H20" s="107"/>
      <c r="I20" s="107"/>
      <c r="J20" s="26"/>
      <c r="K20" s="26"/>
      <c r="L20" s="26"/>
    </row>
    <row r="21" spans="1:19" ht="15.75" x14ac:dyDescent="0.25">
      <c r="G21" s="107"/>
      <c r="H21" s="107"/>
      <c r="I21" s="107"/>
      <c r="J21" s="26"/>
      <c r="K21" s="26"/>
      <c r="L21" s="26"/>
    </row>
    <row r="22" spans="1:19" ht="15.75" x14ac:dyDescent="0.25">
      <c r="G22" s="107"/>
      <c r="H22" s="107"/>
      <c r="I22" s="107"/>
      <c r="J22" s="26"/>
      <c r="K22" s="26"/>
      <c r="L22" s="26"/>
    </row>
    <row r="23" spans="1:19" ht="15.75" x14ac:dyDescent="0.25">
      <c r="G23" s="107"/>
      <c r="H23" s="107"/>
      <c r="I23" s="107"/>
      <c r="J23" s="26"/>
      <c r="K23" s="26"/>
      <c r="L23" s="26"/>
    </row>
    <row r="24" spans="1:19" ht="15.75" x14ac:dyDescent="0.25">
      <c r="G24" s="107"/>
      <c r="H24" s="107"/>
      <c r="I24" s="107"/>
      <c r="J24" s="26"/>
      <c r="K24" s="26"/>
      <c r="L24" s="26"/>
    </row>
    <row r="25" spans="1:19" ht="15.75" x14ac:dyDescent="0.25">
      <c r="G25" s="107"/>
      <c r="H25" s="107"/>
      <c r="I25" s="107"/>
      <c r="J25" s="26"/>
      <c r="K25" s="26"/>
      <c r="L25" s="26"/>
    </row>
    <row r="26" spans="1:19" s="110" customFormat="1" ht="15.75" x14ac:dyDescent="0.25">
      <c r="A26" s="25"/>
      <c r="B26" s="25"/>
      <c r="D26" s="36"/>
      <c r="E26" s="25"/>
      <c r="F26" s="108"/>
      <c r="G26" s="107"/>
      <c r="H26" s="107"/>
      <c r="I26" s="107"/>
      <c r="J26" s="26"/>
      <c r="K26" s="26"/>
      <c r="L26" s="26"/>
      <c r="M26" s="88"/>
      <c r="N26" s="88"/>
      <c r="O26" s="25"/>
      <c r="P26" s="25"/>
      <c r="Q26" s="25"/>
      <c r="R26" s="25"/>
      <c r="S26" s="25"/>
    </row>
    <row r="27" spans="1:19" s="110" customFormat="1" ht="15.75" x14ac:dyDescent="0.25">
      <c r="A27" s="25"/>
      <c r="B27" s="25"/>
      <c r="D27" s="36"/>
      <c r="E27" s="25"/>
      <c r="F27" s="108"/>
      <c r="G27" s="107"/>
      <c r="H27" s="107"/>
      <c r="I27" s="107"/>
      <c r="J27" s="26"/>
      <c r="K27" s="26"/>
      <c r="L27" s="26"/>
      <c r="M27" s="88"/>
      <c r="N27" s="88"/>
      <c r="O27" s="25"/>
      <c r="P27" s="25"/>
      <c r="Q27" s="25"/>
      <c r="R27" s="25"/>
      <c r="S27" s="25"/>
    </row>
    <row r="28" spans="1:19" s="110" customFormat="1" ht="15.75" x14ac:dyDescent="0.25">
      <c r="A28" s="25"/>
      <c r="B28" s="25"/>
      <c r="D28" s="36"/>
      <c r="E28" s="25"/>
      <c r="F28" s="108"/>
      <c r="G28" s="107"/>
      <c r="H28" s="107"/>
      <c r="I28" s="107"/>
      <c r="J28" s="26"/>
      <c r="K28" s="26"/>
      <c r="L28" s="26"/>
      <c r="M28" s="88"/>
      <c r="N28" s="88"/>
      <c r="O28" s="25"/>
      <c r="P28" s="25"/>
      <c r="Q28" s="25"/>
      <c r="R28" s="25"/>
      <c r="S28" s="25"/>
    </row>
    <row r="29" spans="1:19" s="110" customFormat="1" ht="15.75" x14ac:dyDescent="0.25">
      <c r="A29" s="25"/>
      <c r="B29" s="25"/>
      <c r="D29" s="36"/>
      <c r="E29" s="25"/>
      <c r="F29" s="108"/>
      <c r="G29" s="107"/>
      <c r="H29" s="107"/>
      <c r="I29" s="107"/>
      <c r="J29" s="26"/>
      <c r="K29" s="26"/>
      <c r="L29" s="26"/>
      <c r="M29" s="88"/>
      <c r="N29" s="88"/>
      <c r="O29" s="25"/>
      <c r="P29" s="25"/>
      <c r="Q29" s="25"/>
      <c r="R29" s="25"/>
      <c r="S29" s="25"/>
    </row>
    <row r="30" spans="1:19" s="110" customFormat="1" ht="15.75" x14ac:dyDescent="0.25">
      <c r="A30" s="25"/>
      <c r="B30" s="25"/>
      <c r="D30" s="36"/>
      <c r="E30" s="25"/>
      <c r="F30" s="108"/>
      <c r="G30" s="107"/>
      <c r="H30" s="107"/>
      <c r="I30" s="107"/>
      <c r="J30" s="26"/>
      <c r="K30" s="26"/>
      <c r="L30" s="26"/>
      <c r="M30" s="88"/>
      <c r="N30" s="88"/>
      <c r="O30" s="25"/>
      <c r="P30" s="25"/>
      <c r="Q30" s="25"/>
      <c r="R30" s="25"/>
      <c r="S30" s="25"/>
    </row>
    <row r="31" spans="1:19" s="110" customFormat="1" ht="15.75" x14ac:dyDescent="0.25">
      <c r="A31" s="25"/>
      <c r="B31" s="25"/>
      <c r="D31" s="36"/>
      <c r="E31" s="25"/>
      <c r="F31" s="108"/>
      <c r="G31" s="107"/>
      <c r="H31" s="107"/>
      <c r="I31" s="107"/>
      <c r="J31" s="26"/>
      <c r="K31" s="26"/>
      <c r="L31" s="26"/>
      <c r="M31" s="88"/>
      <c r="N31" s="88"/>
      <c r="O31" s="25"/>
      <c r="P31" s="25"/>
      <c r="Q31" s="25"/>
      <c r="R31" s="25"/>
      <c r="S31" s="25"/>
    </row>
    <row r="32" spans="1:19" s="110" customFormat="1" ht="15.75" x14ac:dyDescent="0.25">
      <c r="A32" s="25"/>
      <c r="B32" s="25"/>
      <c r="D32" s="36"/>
      <c r="E32" s="25"/>
      <c r="F32" s="108"/>
      <c r="G32" s="107"/>
      <c r="H32" s="107"/>
      <c r="I32" s="107"/>
      <c r="J32" s="26"/>
      <c r="K32" s="26"/>
      <c r="L32" s="26"/>
      <c r="M32" s="88"/>
      <c r="N32" s="88"/>
      <c r="O32" s="25"/>
      <c r="P32" s="25"/>
      <c r="Q32" s="25"/>
      <c r="R32" s="25"/>
      <c r="S32" s="25"/>
    </row>
    <row r="33" spans="1:19" s="110" customFormat="1" ht="15.75" x14ac:dyDescent="0.25">
      <c r="A33" s="25"/>
      <c r="B33" s="25"/>
      <c r="D33" s="36"/>
      <c r="E33" s="25"/>
      <c r="F33" s="108"/>
      <c r="G33" s="107"/>
      <c r="H33" s="107"/>
      <c r="I33" s="107"/>
      <c r="J33" s="26"/>
      <c r="K33" s="26"/>
      <c r="L33" s="26"/>
      <c r="M33" s="88"/>
      <c r="N33" s="88"/>
      <c r="O33" s="25"/>
      <c r="P33" s="25"/>
      <c r="Q33" s="25"/>
      <c r="R33" s="25"/>
      <c r="S33" s="25"/>
    </row>
    <row r="34" spans="1:19" s="110" customFormat="1" ht="15.75" x14ac:dyDescent="0.25">
      <c r="A34" s="25"/>
      <c r="B34" s="25"/>
      <c r="D34" s="36"/>
      <c r="E34" s="25"/>
      <c r="F34" s="108"/>
      <c r="G34" s="107"/>
      <c r="H34" s="107"/>
      <c r="I34" s="107"/>
      <c r="J34" s="26"/>
      <c r="K34" s="26"/>
      <c r="L34" s="26"/>
      <c r="M34" s="88"/>
      <c r="N34" s="88"/>
      <c r="O34" s="25"/>
      <c r="P34" s="25"/>
      <c r="Q34" s="25"/>
      <c r="R34" s="25"/>
      <c r="S34" s="25"/>
    </row>
    <row r="35" spans="1:19" s="110" customFormat="1" ht="15.75" x14ac:dyDescent="0.25">
      <c r="A35" s="25"/>
      <c r="B35" s="25"/>
      <c r="D35" s="36"/>
      <c r="E35" s="25"/>
      <c r="F35" s="108"/>
      <c r="G35" s="107"/>
      <c r="H35" s="107"/>
      <c r="I35" s="107"/>
      <c r="J35" s="26"/>
      <c r="K35" s="26"/>
      <c r="L35" s="26"/>
      <c r="M35" s="88"/>
      <c r="N35" s="88"/>
      <c r="O35" s="25"/>
      <c r="P35" s="25"/>
      <c r="Q35" s="25"/>
      <c r="R35" s="25"/>
      <c r="S35" s="25"/>
    </row>
    <row r="36" spans="1:19" s="110" customFormat="1" ht="15.75" x14ac:dyDescent="0.25">
      <c r="A36" s="25"/>
      <c r="B36" s="25"/>
      <c r="D36" s="36"/>
      <c r="E36" s="25"/>
      <c r="F36" s="108"/>
      <c r="G36" s="107"/>
      <c r="H36" s="107"/>
      <c r="I36" s="107"/>
      <c r="J36" s="26"/>
      <c r="K36" s="26"/>
      <c r="L36" s="26"/>
      <c r="M36" s="88"/>
      <c r="N36" s="88"/>
      <c r="O36" s="25"/>
      <c r="P36" s="25"/>
      <c r="Q36" s="25"/>
      <c r="R36" s="25"/>
      <c r="S36" s="25"/>
    </row>
    <row r="37" spans="1:19" s="110" customFormat="1" ht="15.75" x14ac:dyDescent="0.25">
      <c r="A37" s="25"/>
      <c r="B37" s="25"/>
      <c r="D37" s="36"/>
      <c r="E37" s="25"/>
      <c r="F37" s="108"/>
      <c r="G37" s="107"/>
      <c r="H37" s="107"/>
      <c r="I37" s="107"/>
      <c r="J37" s="26"/>
      <c r="K37" s="26"/>
      <c r="L37" s="26"/>
      <c r="M37" s="88"/>
      <c r="N37" s="88"/>
      <c r="O37" s="25"/>
      <c r="P37" s="25"/>
      <c r="Q37" s="25"/>
      <c r="R37" s="25"/>
      <c r="S37" s="25"/>
    </row>
    <row r="38" spans="1:19" s="110" customFormat="1" ht="15.75" x14ac:dyDescent="0.25">
      <c r="A38" s="25"/>
      <c r="B38" s="25"/>
      <c r="D38" s="36"/>
      <c r="E38" s="25"/>
      <c r="F38" s="108"/>
      <c r="G38" s="107"/>
      <c r="H38" s="107"/>
      <c r="I38" s="107"/>
      <c r="J38" s="26"/>
      <c r="K38" s="26"/>
      <c r="L38" s="26"/>
      <c r="M38" s="88"/>
      <c r="N38" s="88"/>
      <c r="O38" s="25"/>
      <c r="P38" s="25"/>
      <c r="Q38" s="25"/>
      <c r="R38" s="25"/>
      <c r="S38" s="25"/>
    </row>
    <row r="39" spans="1:19" ht="15.75" x14ac:dyDescent="0.25">
      <c r="G39" s="107"/>
      <c r="H39" s="107"/>
      <c r="I39" s="107"/>
      <c r="J39" s="26"/>
      <c r="K39" s="26"/>
      <c r="L39" s="26"/>
    </row>
    <row r="40" spans="1:19" ht="15.75" x14ac:dyDescent="0.25">
      <c r="G40" s="107"/>
      <c r="H40" s="107"/>
      <c r="I40" s="107"/>
      <c r="J40" s="26"/>
      <c r="K40" s="26"/>
      <c r="L40" s="26"/>
    </row>
    <row r="41" spans="1:19" ht="15.75" x14ac:dyDescent="0.25">
      <c r="G41" s="107"/>
      <c r="H41" s="107"/>
      <c r="I41" s="107"/>
      <c r="J41" s="26"/>
      <c r="K41" s="26"/>
      <c r="L41" s="26"/>
    </row>
    <row r="42" spans="1:19" ht="15.75" x14ac:dyDescent="0.25">
      <c r="G42" s="107"/>
      <c r="H42" s="107"/>
      <c r="I42" s="107"/>
      <c r="J42" s="26"/>
      <c r="K42" s="26"/>
      <c r="L42" s="26"/>
    </row>
    <row r="43" spans="1:19" ht="15.75" x14ac:dyDescent="0.25">
      <c r="G43" s="107"/>
      <c r="H43" s="107"/>
      <c r="I43" s="107"/>
      <c r="J43" s="26"/>
      <c r="K43" s="26"/>
      <c r="L43" s="26"/>
    </row>
    <row r="44" spans="1:19" ht="15.75" x14ac:dyDescent="0.25">
      <c r="G44" s="107"/>
      <c r="H44" s="107"/>
      <c r="I44" s="107"/>
      <c r="J44" s="26"/>
      <c r="K44" s="26"/>
      <c r="L44" s="26"/>
    </row>
    <row r="45" spans="1:19" ht="15.75" x14ac:dyDescent="0.25">
      <c r="G45" s="107"/>
      <c r="H45" s="107"/>
      <c r="I45" s="107"/>
      <c r="J45" s="26"/>
      <c r="K45" s="26"/>
      <c r="L45" s="26"/>
    </row>
    <row r="46" spans="1:19" ht="15.75" x14ac:dyDescent="0.25">
      <c r="G46" s="107"/>
      <c r="H46" s="107"/>
      <c r="I46" s="107"/>
      <c r="J46" s="26"/>
      <c r="K46" s="26"/>
      <c r="L46" s="26"/>
    </row>
    <row r="47" spans="1:19" ht="15.75" x14ac:dyDescent="0.25">
      <c r="G47" s="107"/>
      <c r="H47" s="107"/>
      <c r="I47" s="107"/>
      <c r="J47" s="26"/>
      <c r="K47" s="26"/>
      <c r="L47" s="26"/>
    </row>
    <row r="48" spans="1:19" ht="15.75" x14ac:dyDescent="0.25">
      <c r="G48" s="107"/>
      <c r="H48" s="107"/>
      <c r="I48" s="107"/>
      <c r="J48" s="26"/>
      <c r="K48" s="26"/>
      <c r="L48" s="26"/>
    </row>
    <row r="49" spans="7:12" ht="15.75" x14ac:dyDescent="0.25">
      <c r="G49" s="107"/>
      <c r="H49" s="107"/>
      <c r="I49" s="107"/>
      <c r="J49" s="26"/>
      <c r="K49" s="26"/>
      <c r="L49" s="26"/>
    </row>
    <row r="50" spans="7:12" ht="15.75" x14ac:dyDescent="0.25">
      <c r="G50" s="107"/>
      <c r="H50" s="107"/>
      <c r="I50" s="107"/>
      <c r="J50" s="26"/>
      <c r="K50" s="26"/>
      <c r="L50" s="26"/>
    </row>
    <row r="51" spans="7:12" ht="15.75" x14ac:dyDescent="0.25">
      <c r="G51" s="107"/>
      <c r="H51" s="107"/>
      <c r="I51" s="107"/>
      <c r="J51" s="26"/>
      <c r="K51" s="26"/>
      <c r="L51" s="26"/>
    </row>
    <row r="52" spans="7:12" ht="15.75" x14ac:dyDescent="0.25">
      <c r="G52" s="107"/>
      <c r="H52" s="107"/>
      <c r="I52" s="107"/>
      <c r="J52" s="26"/>
      <c r="K52" s="26"/>
      <c r="L52" s="26"/>
    </row>
    <row r="53" spans="7:12" ht="15.75" x14ac:dyDescent="0.25">
      <c r="G53" s="107"/>
      <c r="H53" s="107"/>
      <c r="I53" s="107"/>
      <c r="J53" s="26"/>
      <c r="K53" s="26"/>
      <c r="L53" s="26"/>
    </row>
    <row r="54" spans="7:12" ht="15.75" x14ac:dyDescent="0.25">
      <c r="G54" s="107"/>
      <c r="H54" s="107"/>
      <c r="I54" s="107"/>
      <c r="J54" s="26"/>
      <c r="K54" s="26"/>
      <c r="L54" s="26"/>
    </row>
    <row r="55" spans="7:12" ht="15.75" x14ac:dyDescent="0.25">
      <c r="G55" s="107"/>
      <c r="H55" s="107"/>
      <c r="I55" s="107"/>
      <c r="J55" s="26"/>
      <c r="K55" s="26"/>
      <c r="L55" s="26"/>
    </row>
    <row r="56" spans="7:12" ht="15.75" x14ac:dyDescent="0.25">
      <c r="G56" s="107"/>
      <c r="H56" s="107"/>
      <c r="I56" s="107"/>
      <c r="J56" s="26"/>
      <c r="K56" s="26"/>
      <c r="L56" s="26"/>
    </row>
    <row r="57" spans="7:12" ht="15.75" x14ac:dyDescent="0.25">
      <c r="G57" s="107"/>
      <c r="H57" s="107"/>
      <c r="I57" s="107"/>
      <c r="J57" s="26"/>
      <c r="K57" s="26"/>
      <c r="L57" s="26"/>
    </row>
    <row r="58" spans="7:12" ht="15.75" x14ac:dyDescent="0.25">
      <c r="G58" s="107"/>
      <c r="H58" s="107"/>
      <c r="I58" s="107"/>
      <c r="J58" s="26"/>
      <c r="K58" s="26"/>
      <c r="L58" s="26"/>
    </row>
    <row r="59" spans="7:12" ht="15.75" x14ac:dyDescent="0.25">
      <c r="G59" s="107"/>
      <c r="H59" s="107"/>
      <c r="I59" s="107"/>
      <c r="J59" s="26"/>
      <c r="K59" s="26"/>
      <c r="L59" s="26"/>
    </row>
    <row r="60" spans="7:12" ht="15.75" x14ac:dyDescent="0.25">
      <c r="G60" s="107"/>
      <c r="H60" s="107"/>
      <c r="I60" s="107"/>
      <c r="J60" s="26"/>
      <c r="K60" s="26"/>
      <c r="L60" s="26"/>
    </row>
    <row r="61" spans="7:12" ht="15.75" x14ac:dyDescent="0.25">
      <c r="G61" s="107"/>
      <c r="H61" s="107"/>
      <c r="I61" s="107"/>
      <c r="J61" s="26"/>
      <c r="K61" s="26"/>
      <c r="L61" s="26"/>
    </row>
    <row r="62" spans="7:12" ht="15.75" x14ac:dyDescent="0.25">
      <c r="G62" s="107"/>
      <c r="H62" s="107"/>
      <c r="I62" s="107"/>
      <c r="J62" s="26"/>
      <c r="K62" s="26"/>
      <c r="L62" s="26"/>
    </row>
    <row r="63" spans="7:12" ht="15.75" x14ac:dyDescent="0.25">
      <c r="G63" s="107"/>
      <c r="H63" s="107"/>
      <c r="I63" s="107"/>
      <c r="J63" s="26"/>
      <c r="K63" s="26"/>
      <c r="L63" s="26"/>
    </row>
    <row r="64" spans="7:12" ht="15.75" x14ac:dyDescent="0.25">
      <c r="G64" s="107"/>
      <c r="H64" s="107"/>
      <c r="I64" s="107"/>
      <c r="J64" s="26"/>
      <c r="K64" s="26"/>
      <c r="L64" s="26"/>
    </row>
    <row r="65" spans="7:12" ht="15.75" x14ac:dyDescent="0.25">
      <c r="G65" s="107"/>
      <c r="H65" s="107"/>
      <c r="I65" s="107"/>
      <c r="J65" s="26"/>
      <c r="K65" s="26"/>
      <c r="L65" s="26"/>
    </row>
    <row r="66" spans="7:12" ht="15.75" x14ac:dyDescent="0.25">
      <c r="G66" s="107"/>
      <c r="H66" s="107"/>
      <c r="I66" s="107"/>
      <c r="J66" s="26"/>
      <c r="K66" s="26"/>
      <c r="L66" s="26"/>
    </row>
    <row r="67" spans="7:12" ht="15.75" x14ac:dyDescent="0.25">
      <c r="G67" s="107"/>
      <c r="H67" s="107"/>
      <c r="I67" s="107"/>
      <c r="J67" s="26"/>
      <c r="K67" s="26"/>
      <c r="L67" s="26"/>
    </row>
    <row r="68" spans="7:12" ht="15.75" x14ac:dyDescent="0.25">
      <c r="G68" s="107"/>
      <c r="H68" s="107"/>
      <c r="I68" s="107"/>
      <c r="J68" s="26"/>
      <c r="K68" s="26"/>
      <c r="L68" s="26"/>
    </row>
    <row r="69" spans="7:12" ht="15.75" x14ac:dyDescent="0.25">
      <c r="G69" s="107"/>
      <c r="H69" s="107"/>
      <c r="I69" s="107"/>
      <c r="J69" s="26"/>
      <c r="K69" s="26"/>
      <c r="L69" s="26"/>
    </row>
    <row r="70" spans="7:12" ht="15.75" x14ac:dyDescent="0.25">
      <c r="G70" s="107"/>
      <c r="H70" s="107"/>
      <c r="I70" s="107"/>
      <c r="J70" s="26"/>
      <c r="K70" s="26"/>
      <c r="L70" s="26"/>
    </row>
    <row r="71" spans="7:12" ht="15.75" x14ac:dyDescent="0.25">
      <c r="G71" s="107"/>
      <c r="H71" s="107"/>
      <c r="I71" s="107"/>
      <c r="J71" s="26"/>
      <c r="K71" s="26"/>
      <c r="L71" s="26"/>
    </row>
    <row r="72" spans="7:12" ht="15.75" x14ac:dyDescent="0.25">
      <c r="G72" s="107"/>
      <c r="H72" s="107"/>
      <c r="I72" s="107"/>
      <c r="J72" s="26"/>
      <c r="K72" s="26"/>
      <c r="L72" s="26"/>
    </row>
    <row r="73" spans="7:12" ht="15.75" x14ac:dyDescent="0.25">
      <c r="G73" s="107"/>
      <c r="H73" s="107"/>
      <c r="I73" s="107"/>
      <c r="J73" s="26"/>
      <c r="K73" s="26"/>
      <c r="L73" s="26"/>
    </row>
    <row r="74" spans="7:12" ht="15.75" x14ac:dyDescent="0.25">
      <c r="G74" s="107"/>
      <c r="H74" s="107"/>
      <c r="I74" s="107"/>
      <c r="J74" s="26"/>
      <c r="K74" s="26"/>
      <c r="L74" s="26"/>
    </row>
    <row r="75" spans="7:12" ht="15.75" x14ac:dyDescent="0.25">
      <c r="G75" s="107"/>
      <c r="H75" s="107"/>
      <c r="I75" s="107"/>
      <c r="J75" s="26"/>
      <c r="K75" s="26"/>
      <c r="L75" s="26"/>
    </row>
    <row r="76" spans="7:12" ht="15.75" x14ac:dyDescent="0.25">
      <c r="G76" s="107"/>
      <c r="H76" s="107"/>
      <c r="I76" s="107"/>
      <c r="J76" s="26"/>
      <c r="K76" s="26"/>
      <c r="L76" s="26"/>
    </row>
    <row r="77" spans="7:12" ht="15.75" x14ac:dyDescent="0.25">
      <c r="G77" s="107"/>
      <c r="H77" s="107"/>
      <c r="I77" s="107"/>
      <c r="J77" s="26"/>
      <c r="K77" s="26"/>
      <c r="L77" s="26"/>
    </row>
    <row r="78" spans="7:12" ht="15.75" x14ac:dyDescent="0.25">
      <c r="G78" s="107"/>
      <c r="H78" s="107"/>
      <c r="I78" s="107"/>
      <c r="J78" s="26"/>
      <c r="K78" s="26"/>
      <c r="L78" s="26"/>
    </row>
    <row r="79" spans="7:12" ht="15.75" x14ac:dyDescent="0.25">
      <c r="G79" s="107"/>
      <c r="H79" s="107"/>
      <c r="I79" s="107"/>
      <c r="J79" s="26"/>
      <c r="K79" s="26"/>
      <c r="L79" s="26"/>
    </row>
    <row r="80" spans="7:12" ht="15.75" x14ac:dyDescent="0.25">
      <c r="G80" s="107"/>
      <c r="H80" s="107"/>
      <c r="I80" s="107"/>
      <c r="J80" s="26"/>
      <c r="K80" s="26"/>
      <c r="L80" s="26"/>
    </row>
    <row r="81" spans="7:12" ht="15.75" x14ac:dyDescent="0.25">
      <c r="G81" s="107"/>
      <c r="H81" s="107"/>
      <c r="I81" s="107"/>
      <c r="J81" s="26"/>
      <c r="K81" s="26"/>
      <c r="L81" s="26"/>
    </row>
    <row r="82" spans="7:12" ht="15.75" x14ac:dyDescent="0.25">
      <c r="G82" s="107"/>
      <c r="H82" s="107"/>
      <c r="I82" s="107"/>
      <c r="J82" s="26"/>
      <c r="K82" s="26"/>
      <c r="L82" s="26"/>
    </row>
    <row r="83" spans="7:12" ht="15.75" x14ac:dyDescent="0.25">
      <c r="G83" s="107"/>
      <c r="H83" s="107"/>
      <c r="I83" s="107"/>
      <c r="J83" s="26"/>
      <c r="K83" s="26"/>
      <c r="L83" s="26"/>
    </row>
    <row r="84" spans="7:12" ht="15.75" x14ac:dyDescent="0.25">
      <c r="G84" s="107"/>
      <c r="H84" s="107"/>
      <c r="I84" s="107"/>
      <c r="J84" s="26"/>
      <c r="K84" s="26"/>
      <c r="L84" s="26"/>
    </row>
    <row r="85" spans="7:12" ht="15.75" x14ac:dyDescent="0.25">
      <c r="G85" s="107"/>
      <c r="H85" s="107"/>
      <c r="I85" s="107"/>
      <c r="J85" s="26"/>
      <c r="K85" s="26"/>
      <c r="L85" s="26"/>
    </row>
    <row r="86" spans="7:12" ht="15.75" x14ac:dyDescent="0.25">
      <c r="G86" s="107"/>
      <c r="H86" s="107"/>
      <c r="I86" s="107"/>
      <c r="J86" s="26"/>
      <c r="K86" s="26"/>
      <c r="L86" s="26"/>
    </row>
    <row r="87" spans="7:12" ht="15.75" x14ac:dyDescent="0.25">
      <c r="G87" s="107"/>
      <c r="H87" s="107"/>
      <c r="I87" s="107"/>
      <c r="J87" s="26"/>
      <c r="K87" s="26"/>
      <c r="L87" s="26"/>
    </row>
    <row r="88" spans="7:12" ht="15.75" x14ac:dyDescent="0.25">
      <c r="G88" s="107"/>
      <c r="H88" s="107"/>
      <c r="I88" s="107"/>
      <c r="J88" s="26"/>
      <c r="K88" s="26"/>
      <c r="L88" s="26"/>
    </row>
    <row r="89" spans="7:12" ht="15.75" x14ac:dyDescent="0.25">
      <c r="G89" s="107"/>
      <c r="H89" s="107"/>
      <c r="I89" s="107"/>
      <c r="J89" s="26"/>
      <c r="K89" s="26"/>
      <c r="L89" s="26"/>
    </row>
    <row r="90" spans="7:12" ht="15.75" x14ac:dyDescent="0.25">
      <c r="G90" s="107"/>
      <c r="H90" s="107"/>
      <c r="I90" s="107"/>
      <c r="J90" s="26"/>
      <c r="K90" s="26"/>
      <c r="L90" s="26"/>
    </row>
    <row r="91" spans="7:12" ht="15.75" x14ac:dyDescent="0.25">
      <c r="G91" s="107"/>
      <c r="H91" s="107"/>
      <c r="I91" s="107"/>
      <c r="J91" s="26"/>
      <c r="K91" s="26"/>
      <c r="L91" s="26"/>
    </row>
    <row r="92" spans="7:12" ht="15.75" x14ac:dyDescent="0.25">
      <c r="G92" s="107"/>
      <c r="H92" s="107"/>
      <c r="I92" s="107"/>
      <c r="J92" s="26"/>
      <c r="K92" s="26"/>
      <c r="L92" s="26"/>
    </row>
    <row r="93" spans="7:12" ht="15.75" x14ac:dyDescent="0.25">
      <c r="G93" s="107"/>
      <c r="H93" s="107"/>
      <c r="I93" s="107"/>
      <c r="J93" s="26"/>
      <c r="K93" s="26"/>
      <c r="L93" s="26"/>
    </row>
    <row r="94" spans="7:12" ht="15.75" x14ac:dyDescent="0.25">
      <c r="G94" s="107"/>
      <c r="H94" s="107"/>
      <c r="I94" s="107"/>
      <c r="J94" s="26"/>
      <c r="K94" s="26"/>
      <c r="L94" s="26"/>
    </row>
    <row r="95" spans="7:12" ht="15.75" x14ac:dyDescent="0.25">
      <c r="G95" s="107"/>
      <c r="H95" s="107"/>
      <c r="I95" s="107"/>
      <c r="J95" s="26"/>
      <c r="K95" s="26"/>
      <c r="L95" s="26"/>
    </row>
    <row r="96" spans="7:12" ht="15.75" x14ac:dyDescent="0.25">
      <c r="G96" s="107"/>
      <c r="H96" s="107"/>
      <c r="I96" s="107"/>
      <c r="J96" s="26"/>
      <c r="K96" s="26"/>
      <c r="L96" s="26"/>
    </row>
    <row r="97" spans="7:12" ht="15.75" x14ac:dyDescent="0.25">
      <c r="G97" s="107"/>
      <c r="H97" s="107"/>
      <c r="I97" s="107"/>
      <c r="J97" s="26"/>
      <c r="K97" s="26"/>
      <c r="L97" s="26"/>
    </row>
    <row r="98" spans="7:12" ht="15.75" x14ac:dyDescent="0.25">
      <c r="G98" s="107"/>
      <c r="H98" s="107"/>
      <c r="I98" s="107"/>
      <c r="J98" s="26"/>
      <c r="K98" s="26"/>
      <c r="L98" s="26"/>
    </row>
    <row r="99" spans="7:12" ht="15.75" x14ac:dyDescent="0.25">
      <c r="G99" s="107"/>
      <c r="H99" s="107"/>
      <c r="I99" s="107"/>
      <c r="J99" s="26"/>
      <c r="K99" s="26"/>
      <c r="L99" s="26"/>
    </row>
    <row r="100" spans="7:12" ht="15.75" x14ac:dyDescent="0.25">
      <c r="G100" s="107"/>
      <c r="H100" s="107"/>
      <c r="I100" s="107"/>
      <c r="J100" s="26"/>
      <c r="K100" s="26"/>
      <c r="L100" s="26"/>
    </row>
    <row r="101" spans="7:12" ht="15.75" x14ac:dyDescent="0.25">
      <c r="G101" s="107"/>
      <c r="H101" s="107"/>
      <c r="I101" s="107"/>
      <c r="J101" s="26"/>
      <c r="K101" s="26"/>
      <c r="L101" s="26"/>
    </row>
    <row r="102" spans="7:12" ht="15.75" x14ac:dyDescent="0.25">
      <c r="G102" s="107"/>
      <c r="H102" s="107"/>
      <c r="I102" s="107"/>
      <c r="J102" s="26"/>
      <c r="K102" s="26"/>
      <c r="L102" s="26"/>
    </row>
    <row r="103" spans="7:12" ht="15.75" x14ac:dyDescent="0.25">
      <c r="G103" s="107"/>
      <c r="H103" s="107"/>
      <c r="I103" s="107"/>
      <c r="J103" s="26"/>
      <c r="K103" s="26"/>
      <c r="L103" s="26"/>
    </row>
    <row r="104" spans="7:12" ht="15.75" x14ac:dyDescent="0.25">
      <c r="G104" s="107"/>
      <c r="H104" s="107"/>
      <c r="I104" s="107"/>
      <c r="J104" s="26"/>
      <c r="K104" s="26"/>
      <c r="L104" s="26"/>
    </row>
    <row r="105" spans="7:12" ht="15.75" x14ac:dyDescent="0.25">
      <c r="G105" s="107"/>
      <c r="H105" s="107"/>
      <c r="I105" s="107"/>
      <c r="J105" s="26"/>
      <c r="K105" s="26"/>
      <c r="L105" s="26"/>
    </row>
    <row r="106" spans="7:12" ht="15.75" x14ac:dyDescent="0.25">
      <c r="G106" s="107"/>
      <c r="H106" s="107"/>
      <c r="I106" s="107"/>
      <c r="J106" s="26"/>
      <c r="K106" s="26"/>
      <c r="L106" s="26"/>
    </row>
    <row r="107" spans="7:12" ht="15.75" x14ac:dyDescent="0.25">
      <c r="G107" s="107"/>
      <c r="H107" s="107"/>
      <c r="I107" s="107"/>
      <c r="J107" s="26"/>
      <c r="K107" s="26"/>
      <c r="L107" s="26"/>
    </row>
    <row r="108" spans="7:12" ht="15.75" x14ac:dyDescent="0.25">
      <c r="G108" s="107"/>
      <c r="H108" s="107"/>
      <c r="I108" s="107"/>
      <c r="J108" s="26"/>
      <c r="K108" s="26"/>
      <c r="L108" s="26"/>
    </row>
    <row r="109" spans="7:12" ht="15.75" x14ac:dyDescent="0.25">
      <c r="G109" s="107"/>
      <c r="H109" s="107"/>
      <c r="I109" s="107"/>
      <c r="J109" s="26"/>
      <c r="K109" s="26"/>
      <c r="L109" s="26"/>
    </row>
    <row r="110" spans="7:12" ht="15.75" x14ac:dyDescent="0.25">
      <c r="G110" s="107"/>
      <c r="H110" s="107"/>
      <c r="I110" s="107"/>
      <c r="J110" s="26"/>
      <c r="K110" s="26"/>
      <c r="L110" s="26"/>
    </row>
    <row r="111" spans="7:12" ht="15.75" x14ac:dyDescent="0.25">
      <c r="G111" s="107"/>
      <c r="H111" s="107"/>
      <c r="I111" s="107"/>
      <c r="J111" s="26"/>
      <c r="K111" s="26"/>
      <c r="L111" s="26"/>
    </row>
    <row r="112" spans="7:12" ht="15.75" x14ac:dyDescent="0.25">
      <c r="G112" s="107"/>
      <c r="H112" s="107"/>
      <c r="I112" s="107"/>
      <c r="J112" s="26"/>
      <c r="K112" s="26"/>
      <c r="L112" s="26"/>
    </row>
    <row r="113" spans="7:12" ht="15.75" x14ac:dyDescent="0.25">
      <c r="G113" s="107"/>
      <c r="H113" s="107"/>
      <c r="I113" s="107"/>
      <c r="J113" s="26"/>
      <c r="K113" s="26"/>
      <c r="L113" s="26"/>
    </row>
    <row r="114" spans="7:12" ht="15.75" x14ac:dyDescent="0.25">
      <c r="G114" s="107"/>
      <c r="H114" s="107"/>
      <c r="I114" s="107"/>
      <c r="J114" s="26"/>
      <c r="K114" s="26"/>
      <c r="L114" s="26"/>
    </row>
    <row r="115" spans="7:12" ht="15.75" x14ac:dyDescent="0.25">
      <c r="G115" s="107"/>
      <c r="H115" s="107"/>
      <c r="I115" s="107"/>
      <c r="J115" s="26"/>
      <c r="K115" s="26"/>
      <c r="L115" s="26"/>
    </row>
    <row r="116" spans="7:12" ht="15.75" x14ac:dyDescent="0.25">
      <c r="G116" s="107"/>
      <c r="H116" s="107"/>
      <c r="I116" s="107"/>
      <c r="J116" s="26"/>
      <c r="K116" s="26"/>
      <c r="L116" s="26"/>
    </row>
    <row r="117" spans="7:12" ht="15.75" x14ac:dyDescent="0.25">
      <c r="G117" s="107"/>
      <c r="H117" s="107"/>
      <c r="I117" s="107"/>
      <c r="J117" s="26"/>
      <c r="K117" s="26"/>
      <c r="L117" s="26"/>
    </row>
    <row r="118" spans="7:12" ht="15.75" x14ac:dyDescent="0.25">
      <c r="G118" s="107"/>
      <c r="H118" s="107"/>
      <c r="I118" s="107"/>
      <c r="J118" s="26"/>
      <c r="K118" s="26"/>
      <c r="L118" s="26"/>
    </row>
    <row r="119" spans="7:12" ht="15.75" x14ac:dyDescent="0.25">
      <c r="G119" s="107"/>
      <c r="H119" s="107"/>
      <c r="I119" s="107"/>
      <c r="J119" s="26"/>
      <c r="K119" s="26"/>
      <c r="L119" s="26"/>
    </row>
    <row r="120" spans="7:12" ht="15.75" x14ac:dyDescent="0.25">
      <c r="G120" s="107"/>
      <c r="H120" s="107"/>
      <c r="I120" s="107"/>
      <c r="J120" s="26"/>
      <c r="K120" s="26"/>
      <c r="L120" s="26"/>
    </row>
    <row r="121" spans="7:12" ht="15.75" x14ac:dyDescent="0.25">
      <c r="G121" s="107"/>
      <c r="H121" s="107"/>
      <c r="I121" s="107"/>
      <c r="J121" s="26"/>
      <c r="K121" s="26"/>
      <c r="L121" s="26"/>
    </row>
    <row r="122" spans="7:12" ht="15.75" x14ac:dyDescent="0.25">
      <c r="G122" s="107"/>
      <c r="H122" s="107"/>
      <c r="I122" s="107"/>
      <c r="J122" s="26"/>
      <c r="K122" s="26"/>
      <c r="L122" s="26"/>
    </row>
    <row r="123" spans="7:12" ht="15.75" x14ac:dyDescent="0.25">
      <c r="G123" s="107"/>
      <c r="H123" s="107"/>
      <c r="I123" s="107"/>
      <c r="J123" s="26"/>
      <c r="K123" s="26"/>
      <c r="L123" s="26"/>
    </row>
    <row r="124" spans="7:12" ht="15.75" x14ac:dyDescent="0.25">
      <c r="G124" s="107"/>
      <c r="H124" s="107"/>
      <c r="I124" s="107"/>
      <c r="J124" s="26"/>
      <c r="K124" s="26"/>
      <c r="L124" s="26"/>
    </row>
    <row r="125" spans="7:12" ht="15.75" x14ac:dyDescent="0.25">
      <c r="G125" s="107"/>
      <c r="H125" s="107"/>
      <c r="I125" s="107"/>
      <c r="J125" s="26"/>
      <c r="K125" s="26"/>
      <c r="L125" s="26"/>
    </row>
    <row r="126" spans="7:12" ht="15.75" x14ac:dyDescent="0.25">
      <c r="G126" s="107"/>
      <c r="H126" s="107"/>
      <c r="I126" s="107"/>
      <c r="J126" s="26"/>
      <c r="K126" s="26"/>
      <c r="L126" s="26"/>
    </row>
    <row r="127" spans="7:12" ht="15.75" x14ac:dyDescent="0.25">
      <c r="G127" s="107"/>
      <c r="H127" s="107"/>
      <c r="I127" s="107"/>
      <c r="J127" s="26"/>
      <c r="K127" s="26"/>
      <c r="L127" s="26"/>
    </row>
    <row r="128" spans="7:12" ht="15.75" x14ac:dyDescent="0.25">
      <c r="G128" s="107"/>
      <c r="H128" s="107"/>
      <c r="I128" s="107"/>
      <c r="J128" s="26"/>
      <c r="K128" s="26"/>
      <c r="L128" s="26"/>
    </row>
    <row r="129" spans="7:12" ht="15.75" x14ac:dyDescent="0.25">
      <c r="G129" s="107"/>
      <c r="H129" s="107"/>
      <c r="I129" s="107"/>
      <c r="J129" s="26"/>
      <c r="K129" s="26"/>
      <c r="L129" s="26"/>
    </row>
    <row r="130" spans="7:12" ht="15.75" x14ac:dyDescent="0.25">
      <c r="G130" s="107"/>
      <c r="H130" s="107"/>
      <c r="I130" s="107"/>
      <c r="J130" s="26"/>
      <c r="K130" s="26"/>
      <c r="L130" s="26"/>
    </row>
    <row r="131" spans="7:12" ht="15.75" x14ac:dyDescent="0.25">
      <c r="G131" s="107"/>
      <c r="H131" s="107"/>
      <c r="I131" s="107"/>
      <c r="J131" s="26"/>
      <c r="K131" s="26"/>
      <c r="L131" s="26"/>
    </row>
    <row r="132" spans="7:12" ht="15.75" x14ac:dyDescent="0.25">
      <c r="G132" s="107"/>
      <c r="H132" s="107"/>
      <c r="I132" s="107"/>
      <c r="J132" s="26"/>
      <c r="K132" s="26"/>
      <c r="L132" s="26"/>
    </row>
    <row r="133" spans="7:12" ht="15.75" x14ac:dyDescent="0.25">
      <c r="G133" s="107"/>
      <c r="H133" s="107"/>
      <c r="I133" s="107"/>
      <c r="J133" s="26"/>
      <c r="K133" s="26"/>
      <c r="L133" s="26"/>
    </row>
    <row r="134" spans="7:12" ht="15.75" x14ac:dyDescent="0.25">
      <c r="G134" s="107"/>
      <c r="H134" s="107"/>
      <c r="I134" s="107"/>
      <c r="J134" s="26"/>
      <c r="K134" s="26"/>
      <c r="L134" s="26"/>
    </row>
    <row r="135" spans="7:12" ht="15.75" x14ac:dyDescent="0.25">
      <c r="G135" s="107"/>
      <c r="H135" s="107"/>
      <c r="I135" s="107"/>
      <c r="J135" s="26"/>
      <c r="K135" s="26"/>
      <c r="L135" s="26"/>
    </row>
    <row r="136" spans="7:12" ht="15.75" x14ac:dyDescent="0.25">
      <c r="G136" s="107"/>
      <c r="H136" s="107"/>
      <c r="I136" s="107"/>
      <c r="J136" s="26"/>
      <c r="K136" s="26"/>
      <c r="L136" s="26"/>
    </row>
    <row r="137" spans="7:12" ht="15.75" x14ac:dyDescent="0.25">
      <c r="G137" s="107"/>
      <c r="H137" s="107"/>
      <c r="I137" s="107"/>
      <c r="J137" s="26"/>
      <c r="K137" s="26"/>
      <c r="L137" s="26"/>
    </row>
    <row r="138" spans="7:12" ht="15.75" x14ac:dyDescent="0.25">
      <c r="G138" s="107"/>
      <c r="H138" s="107"/>
      <c r="I138" s="107"/>
      <c r="J138" s="26"/>
      <c r="K138" s="26"/>
      <c r="L138" s="26"/>
    </row>
    <row r="139" spans="7:12" ht="15.75" x14ac:dyDescent="0.25">
      <c r="G139" s="107"/>
      <c r="H139" s="107"/>
      <c r="I139" s="107"/>
      <c r="J139" s="26"/>
      <c r="K139" s="26"/>
      <c r="L139" s="26"/>
    </row>
    <row r="140" spans="7:12" ht="15.75" x14ac:dyDescent="0.25">
      <c r="G140" s="107"/>
      <c r="H140" s="107"/>
      <c r="I140" s="107"/>
      <c r="J140" s="26"/>
      <c r="K140" s="26"/>
      <c r="L140" s="26"/>
    </row>
    <row r="141" spans="7:12" ht="15.75" x14ac:dyDescent="0.25">
      <c r="G141" s="107"/>
      <c r="H141" s="107"/>
      <c r="I141" s="107"/>
      <c r="J141" s="26"/>
      <c r="K141" s="26"/>
      <c r="L141" s="26"/>
    </row>
    <row r="142" spans="7:12" ht="15.75" x14ac:dyDescent="0.25">
      <c r="G142" s="107"/>
      <c r="H142" s="107"/>
      <c r="I142" s="107"/>
      <c r="J142" s="26"/>
      <c r="K142" s="26"/>
      <c r="L142" s="26"/>
    </row>
    <row r="143" spans="7:12" ht="15.75" x14ac:dyDescent="0.25">
      <c r="G143" s="107"/>
      <c r="H143" s="107"/>
      <c r="I143" s="107"/>
      <c r="J143" s="26"/>
      <c r="K143" s="26"/>
      <c r="L143" s="26"/>
    </row>
    <row r="144" spans="7:12" ht="15.75" x14ac:dyDescent="0.25">
      <c r="G144" s="107"/>
      <c r="H144" s="107"/>
      <c r="I144" s="107"/>
      <c r="J144" s="26"/>
      <c r="K144" s="26"/>
      <c r="L144" s="26"/>
    </row>
    <row r="145" spans="7:12" ht="15.75" x14ac:dyDescent="0.25">
      <c r="G145" s="107"/>
      <c r="H145" s="107"/>
      <c r="I145" s="107"/>
      <c r="J145" s="26"/>
      <c r="K145" s="26"/>
      <c r="L145" s="26"/>
    </row>
    <row r="146" spans="7:12" ht="15.75" x14ac:dyDescent="0.25">
      <c r="G146" s="107"/>
      <c r="H146" s="107"/>
      <c r="I146" s="107"/>
      <c r="J146" s="26"/>
      <c r="K146" s="26"/>
      <c r="L146" s="26"/>
    </row>
    <row r="147" spans="7:12" ht="15.75" x14ac:dyDescent="0.25">
      <c r="G147" s="107"/>
      <c r="H147" s="107"/>
      <c r="I147" s="107"/>
      <c r="J147" s="26"/>
      <c r="K147" s="26"/>
      <c r="L147" s="26"/>
    </row>
    <row r="148" spans="7:12" ht="15.75" x14ac:dyDescent="0.25">
      <c r="G148" s="107"/>
      <c r="H148" s="107"/>
      <c r="I148" s="107"/>
      <c r="J148" s="26"/>
      <c r="K148" s="26"/>
      <c r="L148" s="26"/>
    </row>
    <row r="149" spans="7:12" ht="15.75" x14ac:dyDescent="0.25">
      <c r="G149" s="107"/>
      <c r="H149" s="107"/>
      <c r="I149" s="107"/>
      <c r="J149" s="26"/>
      <c r="K149" s="26"/>
      <c r="L149" s="26"/>
    </row>
    <row r="150" spans="7:12" ht="15.75" x14ac:dyDescent="0.25">
      <c r="G150" s="107"/>
      <c r="H150" s="107"/>
      <c r="I150" s="107"/>
      <c r="J150" s="26"/>
      <c r="K150" s="26"/>
      <c r="L150" s="26"/>
    </row>
    <row r="151" spans="7:12" ht="15.75" x14ac:dyDescent="0.25">
      <c r="G151" s="107"/>
      <c r="H151" s="107"/>
      <c r="I151" s="107"/>
      <c r="J151" s="26"/>
      <c r="K151" s="26"/>
      <c r="L151" s="26"/>
    </row>
    <row r="152" spans="7:12" ht="15.75" x14ac:dyDescent="0.25">
      <c r="G152" s="107"/>
      <c r="H152" s="107"/>
      <c r="I152" s="107"/>
      <c r="J152" s="26"/>
      <c r="K152" s="26"/>
      <c r="L152" s="26"/>
    </row>
    <row r="153" spans="7:12" ht="15.75" x14ac:dyDescent="0.25">
      <c r="G153" s="107"/>
      <c r="H153" s="107"/>
      <c r="I153" s="107"/>
      <c r="J153" s="26"/>
      <c r="K153" s="26"/>
      <c r="L153" s="26"/>
    </row>
    <row r="154" spans="7:12" ht="15.75" x14ac:dyDescent="0.25">
      <c r="G154" s="107"/>
      <c r="H154" s="107"/>
      <c r="I154" s="107"/>
      <c r="J154" s="26"/>
      <c r="K154" s="26"/>
      <c r="L154" s="26"/>
    </row>
    <row r="155" spans="7:12" ht="15.75" x14ac:dyDescent="0.25">
      <c r="G155" s="107"/>
      <c r="H155" s="107"/>
      <c r="I155" s="107"/>
      <c r="J155" s="26"/>
      <c r="K155" s="26"/>
      <c r="L155" s="26"/>
    </row>
    <row r="156" spans="7:12" ht="15.75" x14ac:dyDescent="0.25">
      <c r="G156" s="107"/>
      <c r="H156" s="107"/>
      <c r="I156" s="107"/>
      <c r="J156" s="26"/>
      <c r="K156" s="26"/>
      <c r="L156" s="26"/>
    </row>
    <row r="157" spans="7:12" ht="15.75" x14ac:dyDescent="0.25">
      <c r="G157" s="107"/>
      <c r="H157" s="107"/>
      <c r="I157" s="107"/>
      <c r="J157" s="26"/>
      <c r="K157" s="26"/>
      <c r="L157" s="26"/>
    </row>
    <row r="158" spans="7:12" ht="15.75" x14ac:dyDescent="0.25">
      <c r="G158" s="107"/>
      <c r="H158" s="107"/>
      <c r="I158" s="107"/>
      <c r="J158" s="26"/>
      <c r="K158" s="26"/>
      <c r="L158" s="26"/>
    </row>
    <row r="159" spans="7:12" ht="15.75" x14ac:dyDescent="0.25">
      <c r="G159" s="107"/>
      <c r="H159" s="107"/>
      <c r="I159" s="107"/>
      <c r="J159" s="26"/>
      <c r="K159" s="26"/>
      <c r="L159" s="26"/>
    </row>
    <row r="160" spans="7:12" ht="15.75" x14ac:dyDescent="0.25">
      <c r="G160" s="107"/>
      <c r="H160" s="107"/>
      <c r="I160" s="107"/>
      <c r="J160" s="26"/>
      <c r="K160" s="26"/>
      <c r="L160" s="26"/>
    </row>
    <row r="161" spans="7:12" ht="15.75" x14ac:dyDescent="0.25">
      <c r="G161" s="107"/>
      <c r="H161" s="107"/>
      <c r="I161" s="107"/>
      <c r="J161" s="26"/>
      <c r="K161" s="26"/>
      <c r="L161" s="26"/>
    </row>
    <row r="162" spans="7:12" ht="15.75" x14ac:dyDescent="0.25">
      <c r="G162" s="107"/>
      <c r="H162" s="107"/>
      <c r="I162" s="107"/>
      <c r="J162" s="26"/>
      <c r="K162" s="26"/>
      <c r="L162" s="26"/>
    </row>
    <row r="163" spans="7:12" ht="15.75" x14ac:dyDescent="0.25">
      <c r="G163" s="107"/>
      <c r="H163" s="107"/>
      <c r="I163" s="107"/>
      <c r="J163" s="26"/>
      <c r="K163" s="26"/>
      <c r="L163" s="26"/>
    </row>
    <row r="164" spans="7:12" ht="15.75" x14ac:dyDescent="0.25">
      <c r="G164" s="107"/>
      <c r="H164" s="107"/>
      <c r="I164" s="107"/>
      <c r="J164" s="26"/>
      <c r="K164" s="26"/>
      <c r="L164" s="26"/>
    </row>
    <row r="165" spans="7:12" ht="15.75" x14ac:dyDescent="0.25">
      <c r="G165" s="107"/>
      <c r="H165" s="107"/>
      <c r="I165" s="107"/>
      <c r="J165" s="26"/>
      <c r="K165" s="26"/>
      <c r="L165" s="26"/>
    </row>
    <row r="166" spans="7:12" ht="15.75" x14ac:dyDescent="0.25">
      <c r="G166" s="107"/>
      <c r="H166" s="107"/>
      <c r="I166" s="107"/>
      <c r="J166" s="26"/>
      <c r="K166" s="26"/>
      <c r="L166" s="26"/>
    </row>
    <row r="167" spans="7:12" ht="15.75" x14ac:dyDescent="0.25">
      <c r="G167" s="107"/>
      <c r="H167" s="107"/>
      <c r="I167" s="107"/>
      <c r="J167" s="26"/>
      <c r="K167" s="26"/>
      <c r="L167" s="26"/>
    </row>
    <row r="168" spans="7:12" ht="15.75" x14ac:dyDescent="0.25">
      <c r="G168" s="107"/>
      <c r="H168" s="107"/>
      <c r="I168" s="107"/>
      <c r="J168" s="26"/>
      <c r="K168" s="26"/>
      <c r="L168" s="26"/>
    </row>
    <row r="169" spans="7:12" ht="15.75" x14ac:dyDescent="0.25">
      <c r="G169" s="107"/>
      <c r="H169" s="107"/>
      <c r="I169" s="107"/>
      <c r="J169" s="26"/>
      <c r="K169" s="26"/>
      <c r="L169" s="26"/>
    </row>
    <row r="170" spans="7:12" ht="15.75" x14ac:dyDescent="0.25">
      <c r="G170" s="107"/>
      <c r="H170" s="107"/>
      <c r="I170" s="107"/>
      <c r="J170" s="26"/>
      <c r="K170" s="26"/>
      <c r="L170" s="26"/>
    </row>
    <row r="171" spans="7:12" ht="15.75" x14ac:dyDescent="0.25">
      <c r="G171" s="107"/>
      <c r="H171" s="107"/>
      <c r="I171" s="107"/>
      <c r="J171" s="26"/>
      <c r="K171" s="26"/>
      <c r="L171" s="26"/>
    </row>
    <row r="172" spans="7:12" ht="15.75" x14ac:dyDescent="0.25">
      <c r="G172" s="107"/>
      <c r="H172" s="107"/>
      <c r="I172" s="107"/>
      <c r="J172" s="26"/>
      <c r="K172" s="26"/>
      <c r="L172" s="26"/>
    </row>
    <row r="173" spans="7:12" ht="15.75" x14ac:dyDescent="0.25">
      <c r="G173" s="107"/>
      <c r="H173" s="107"/>
      <c r="I173" s="107"/>
      <c r="J173" s="26"/>
      <c r="K173" s="26"/>
      <c r="L173" s="26"/>
    </row>
    <row r="174" spans="7:12" ht="15.75" x14ac:dyDescent="0.25">
      <c r="G174" s="107"/>
      <c r="H174" s="107"/>
      <c r="I174" s="107"/>
      <c r="J174" s="26"/>
      <c r="K174" s="26"/>
      <c r="L174" s="26"/>
    </row>
    <row r="175" spans="7:12" ht="15.75" x14ac:dyDescent="0.25">
      <c r="G175" s="107"/>
      <c r="H175" s="107"/>
      <c r="I175" s="107"/>
      <c r="J175" s="26"/>
      <c r="K175" s="26"/>
      <c r="L175" s="26"/>
    </row>
    <row r="176" spans="7:12" ht="15.75" x14ac:dyDescent="0.25">
      <c r="G176" s="107"/>
      <c r="H176" s="107"/>
      <c r="I176" s="107"/>
      <c r="J176" s="26"/>
      <c r="K176" s="26"/>
      <c r="L176" s="26"/>
    </row>
    <row r="177" spans="7:12" ht="15.75" x14ac:dyDescent="0.25">
      <c r="G177" s="107"/>
      <c r="H177" s="107"/>
      <c r="I177" s="107"/>
      <c r="J177" s="26"/>
      <c r="K177" s="26"/>
      <c r="L177" s="26"/>
    </row>
    <row r="178" spans="7:12" ht="15.75" x14ac:dyDescent="0.25">
      <c r="G178" s="107"/>
      <c r="H178" s="107"/>
      <c r="I178" s="107"/>
      <c r="J178" s="26"/>
      <c r="K178" s="26"/>
      <c r="L178" s="26"/>
    </row>
    <row r="179" spans="7:12" ht="15.75" x14ac:dyDescent="0.25">
      <c r="G179" s="107"/>
      <c r="H179" s="107"/>
      <c r="I179" s="107"/>
      <c r="J179" s="26"/>
      <c r="K179" s="26"/>
      <c r="L179" s="26"/>
    </row>
    <row r="180" spans="7:12" ht="15.75" x14ac:dyDescent="0.25">
      <c r="G180" s="107"/>
      <c r="H180" s="107"/>
      <c r="I180" s="107"/>
      <c r="J180" s="26"/>
      <c r="K180" s="26"/>
      <c r="L180" s="26"/>
    </row>
    <row r="181" spans="7:12" ht="15.75" x14ac:dyDescent="0.25">
      <c r="G181" s="107"/>
      <c r="H181" s="107"/>
      <c r="I181" s="107"/>
      <c r="J181" s="26"/>
      <c r="K181" s="26"/>
      <c r="L181" s="26"/>
    </row>
    <row r="182" spans="7:12" ht="15.75" x14ac:dyDescent="0.25">
      <c r="G182" s="107"/>
      <c r="H182" s="107"/>
      <c r="I182" s="107"/>
      <c r="J182" s="26"/>
      <c r="K182" s="26"/>
      <c r="L182" s="26"/>
    </row>
    <row r="183" spans="7:12" ht="15.75" x14ac:dyDescent="0.25">
      <c r="G183" s="107"/>
      <c r="H183" s="107"/>
      <c r="I183" s="107"/>
      <c r="J183" s="26"/>
      <c r="K183" s="26"/>
      <c r="L183" s="26"/>
    </row>
    <row r="184" spans="7:12" ht="15.75" x14ac:dyDescent="0.25">
      <c r="G184" s="107"/>
      <c r="H184" s="107"/>
      <c r="I184" s="107"/>
      <c r="J184" s="26"/>
      <c r="K184" s="26"/>
      <c r="L184" s="26"/>
    </row>
    <row r="185" spans="7:12" ht="15.75" x14ac:dyDescent="0.25">
      <c r="G185" s="107"/>
      <c r="H185" s="107"/>
      <c r="I185" s="107"/>
      <c r="J185" s="26"/>
      <c r="K185" s="26"/>
      <c r="L185" s="26"/>
    </row>
    <row r="186" spans="7:12" ht="15.75" x14ac:dyDescent="0.25">
      <c r="G186" s="107"/>
      <c r="H186" s="107"/>
      <c r="I186" s="107"/>
      <c r="J186" s="26"/>
      <c r="K186" s="26"/>
      <c r="L186" s="26"/>
    </row>
    <row r="187" spans="7:12" ht="15.75" x14ac:dyDescent="0.25">
      <c r="G187" s="107"/>
      <c r="H187" s="107"/>
      <c r="I187" s="107"/>
      <c r="J187" s="26"/>
      <c r="K187" s="26"/>
      <c r="L187" s="26"/>
    </row>
    <row r="188" spans="7:12" ht="15.75" x14ac:dyDescent="0.25">
      <c r="G188" s="107"/>
      <c r="H188" s="107"/>
      <c r="I188" s="107"/>
      <c r="J188" s="26"/>
      <c r="K188" s="26"/>
      <c r="L188" s="26"/>
    </row>
    <row r="189" spans="7:12" ht="15.75" x14ac:dyDescent="0.25">
      <c r="G189" s="107"/>
      <c r="H189" s="107"/>
      <c r="I189" s="107"/>
      <c r="J189" s="26"/>
      <c r="K189" s="26"/>
      <c r="L189" s="26"/>
    </row>
    <row r="190" spans="7:12" ht="15.75" x14ac:dyDescent="0.25">
      <c r="G190" s="107"/>
      <c r="H190" s="107"/>
      <c r="I190" s="107"/>
      <c r="J190" s="26"/>
      <c r="K190" s="26"/>
      <c r="L190" s="26"/>
    </row>
    <row r="191" spans="7:12" ht="15.75" x14ac:dyDescent="0.25">
      <c r="G191" s="107"/>
      <c r="H191" s="107"/>
      <c r="I191" s="107"/>
      <c r="J191" s="26"/>
      <c r="K191" s="26"/>
      <c r="L191" s="26"/>
    </row>
    <row r="192" spans="7:12" ht="15.75" x14ac:dyDescent="0.25">
      <c r="G192" s="107"/>
      <c r="H192" s="107"/>
      <c r="I192" s="107"/>
      <c r="J192" s="26"/>
      <c r="K192" s="26"/>
      <c r="L192" s="26"/>
    </row>
    <row r="193" spans="7:12" ht="15.75" x14ac:dyDescent="0.25">
      <c r="G193" s="107"/>
      <c r="H193" s="107"/>
      <c r="I193" s="107"/>
      <c r="J193" s="26"/>
      <c r="K193" s="26"/>
      <c r="L193" s="26"/>
    </row>
    <row r="194" spans="7:12" ht="15.75" x14ac:dyDescent="0.25">
      <c r="G194" s="107"/>
      <c r="H194" s="107"/>
      <c r="I194" s="107"/>
      <c r="J194" s="26"/>
      <c r="K194" s="26"/>
      <c r="L194" s="26"/>
    </row>
    <row r="195" spans="7:12" ht="15.75" x14ac:dyDescent="0.25">
      <c r="G195" s="107"/>
      <c r="H195" s="107"/>
      <c r="I195" s="107"/>
      <c r="J195" s="26"/>
      <c r="K195" s="26"/>
      <c r="L195" s="26"/>
    </row>
    <row r="196" spans="7:12" ht="15.75" x14ac:dyDescent="0.25">
      <c r="G196" s="107"/>
      <c r="H196" s="107"/>
      <c r="I196" s="107"/>
      <c r="J196" s="26"/>
      <c r="K196" s="26"/>
      <c r="L196" s="26"/>
    </row>
    <row r="197" spans="7:12" ht="15.75" x14ac:dyDescent="0.25">
      <c r="G197" s="107"/>
      <c r="H197" s="107"/>
      <c r="I197" s="107"/>
      <c r="J197" s="26"/>
      <c r="K197" s="26"/>
      <c r="L197" s="26"/>
    </row>
    <row r="198" spans="7:12" ht="15.75" x14ac:dyDescent="0.25">
      <c r="G198" s="107"/>
      <c r="H198" s="107"/>
      <c r="I198" s="107"/>
      <c r="J198" s="26"/>
      <c r="K198" s="26"/>
      <c r="L198" s="26"/>
    </row>
    <row r="199" spans="7:12" ht="15.75" x14ac:dyDescent="0.25">
      <c r="G199" s="107"/>
      <c r="H199" s="107"/>
      <c r="I199" s="107"/>
      <c r="J199" s="26"/>
      <c r="K199" s="26"/>
      <c r="L199" s="26"/>
    </row>
    <row r="200" spans="7:12" ht="15.75" x14ac:dyDescent="0.25">
      <c r="G200" s="107"/>
      <c r="H200" s="107"/>
      <c r="I200" s="107"/>
      <c r="J200" s="26"/>
      <c r="K200" s="26"/>
      <c r="L200" s="26"/>
    </row>
    <row r="201" spans="7:12" ht="15.75" x14ac:dyDescent="0.25">
      <c r="G201" s="107"/>
      <c r="H201" s="107"/>
      <c r="I201" s="107"/>
      <c r="J201" s="26"/>
      <c r="K201" s="26"/>
      <c r="L201" s="26"/>
    </row>
    <row r="202" spans="7:12" ht="15.75" x14ac:dyDescent="0.25">
      <c r="G202" s="107"/>
      <c r="H202" s="107"/>
      <c r="I202" s="107"/>
      <c r="J202" s="26"/>
      <c r="K202" s="26"/>
      <c r="L202" s="26"/>
    </row>
    <row r="203" spans="7:12" ht="15.75" x14ac:dyDescent="0.25">
      <c r="G203" s="107"/>
      <c r="H203" s="107"/>
      <c r="I203" s="107"/>
      <c r="J203" s="26"/>
      <c r="K203" s="26"/>
      <c r="L203" s="26"/>
    </row>
    <row r="204" spans="7:12" ht="15.75" x14ac:dyDescent="0.25">
      <c r="G204" s="107"/>
      <c r="H204" s="107"/>
      <c r="I204" s="107"/>
      <c r="J204" s="26"/>
      <c r="K204" s="26"/>
      <c r="L204" s="26"/>
    </row>
    <row r="205" spans="7:12" ht="15.75" x14ac:dyDescent="0.25">
      <c r="G205" s="107"/>
      <c r="H205" s="107"/>
      <c r="I205" s="107"/>
      <c r="J205" s="26"/>
      <c r="K205" s="26"/>
      <c r="L205" s="26"/>
    </row>
    <row r="206" spans="7:12" ht="15.75" x14ac:dyDescent="0.25">
      <c r="G206" s="107"/>
      <c r="H206" s="107"/>
      <c r="I206" s="107"/>
      <c r="J206" s="26"/>
      <c r="K206" s="26"/>
      <c r="L206" s="26"/>
    </row>
    <row r="207" spans="7:12" ht="15.75" x14ac:dyDescent="0.25">
      <c r="G207" s="107"/>
      <c r="H207" s="107"/>
      <c r="I207" s="107"/>
      <c r="J207" s="26"/>
      <c r="K207" s="26"/>
      <c r="L207" s="26"/>
    </row>
    <row r="208" spans="7:12" ht="15.75" x14ac:dyDescent="0.25">
      <c r="G208" s="107"/>
      <c r="H208" s="107"/>
      <c r="I208" s="107"/>
      <c r="J208" s="26"/>
      <c r="K208" s="26"/>
      <c r="L208" s="26"/>
    </row>
    <row r="209" spans="7:12" ht="15.75" x14ac:dyDescent="0.25">
      <c r="G209" s="107"/>
      <c r="H209" s="107"/>
      <c r="I209" s="107"/>
      <c r="J209" s="26"/>
      <c r="K209" s="26"/>
      <c r="L209" s="26"/>
    </row>
    <row r="210" spans="7:12" ht="15.75" x14ac:dyDescent="0.25">
      <c r="G210" s="107"/>
      <c r="H210" s="107"/>
      <c r="I210" s="107"/>
      <c r="J210" s="26"/>
      <c r="K210" s="26"/>
      <c r="L210" s="26"/>
    </row>
    <row r="211" spans="7:12" ht="15.75" x14ac:dyDescent="0.25">
      <c r="G211" s="107"/>
      <c r="H211" s="107"/>
      <c r="I211" s="107"/>
      <c r="J211" s="26"/>
      <c r="K211" s="26"/>
      <c r="L211" s="26"/>
    </row>
    <row r="212" spans="7:12" ht="15.75" x14ac:dyDescent="0.25">
      <c r="G212" s="107"/>
      <c r="H212" s="107"/>
      <c r="I212" s="107"/>
      <c r="J212" s="26"/>
      <c r="K212" s="26"/>
      <c r="L212" s="26"/>
    </row>
    <row r="213" spans="7:12" ht="15.75" x14ac:dyDescent="0.25">
      <c r="G213" s="107"/>
      <c r="H213" s="107"/>
      <c r="I213" s="107"/>
      <c r="J213" s="26"/>
      <c r="K213" s="26"/>
      <c r="L213" s="26"/>
    </row>
    <row r="214" spans="7:12" ht="15.75" x14ac:dyDescent="0.25">
      <c r="G214" s="107"/>
      <c r="H214" s="107"/>
      <c r="I214" s="107"/>
      <c r="J214" s="26"/>
      <c r="K214" s="26"/>
      <c r="L214" s="26"/>
    </row>
    <row r="215" spans="7:12" ht="15.75" x14ac:dyDescent="0.25">
      <c r="G215" s="107"/>
      <c r="H215" s="107"/>
      <c r="I215" s="107"/>
      <c r="J215" s="26"/>
      <c r="K215" s="26"/>
      <c r="L215" s="26"/>
    </row>
    <row r="216" spans="7:12" ht="15.75" x14ac:dyDescent="0.25">
      <c r="G216" s="107"/>
      <c r="H216" s="107"/>
      <c r="I216" s="107"/>
      <c r="J216" s="26"/>
      <c r="K216" s="26"/>
      <c r="L216" s="26"/>
    </row>
    <row r="217" spans="7:12" ht="15.75" x14ac:dyDescent="0.25">
      <c r="G217" s="107"/>
      <c r="H217" s="107"/>
      <c r="I217" s="107"/>
      <c r="J217" s="26"/>
      <c r="K217" s="26"/>
      <c r="L217" s="26"/>
    </row>
    <row r="218" spans="7:12" ht="15.75" x14ac:dyDescent="0.25">
      <c r="G218" s="107"/>
      <c r="H218" s="107"/>
      <c r="I218" s="107"/>
      <c r="J218" s="26"/>
      <c r="K218" s="26"/>
      <c r="L218" s="26"/>
    </row>
    <row r="219" spans="7:12" ht="15.75" x14ac:dyDescent="0.25">
      <c r="G219" s="107"/>
      <c r="H219" s="107"/>
      <c r="I219" s="107"/>
      <c r="J219" s="26"/>
      <c r="K219" s="26"/>
      <c r="L219" s="26"/>
    </row>
    <row r="220" spans="7:12" ht="15.75" x14ac:dyDescent="0.25">
      <c r="G220" s="107"/>
      <c r="H220" s="107"/>
      <c r="I220" s="107"/>
      <c r="J220" s="26"/>
      <c r="K220" s="26"/>
      <c r="L220" s="26"/>
    </row>
    <row r="221" spans="7:12" ht="15.75" x14ac:dyDescent="0.25">
      <c r="G221" s="107"/>
      <c r="H221" s="107"/>
      <c r="I221" s="107"/>
      <c r="J221" s="26"/>
      <c r="K221" s="26"/>
      <c r="L221" s="26"/>
    </row>
    <row r="222" spans="7:12" ht="15.75" x14ac:dyDescent="0.25">
      <c r="G222" s="107"/>
      <c r="H222" s="107"/>
      <c r="I222" s="107"/>
      <c r="J222" s="26"/>
      <c r="K222" s="26"/>
      <c r="L222" s="26"/>
    </row>
    <row r="223" spans="7:12" ht="15.75" x14ac:dyDescent="0.25">
      <c r="G223" s="107"/>
      <c r="H223" s="107"/>
      <c r="I223" s="107"/>
      <c r="J223" s="26"/>
      <c r="K223" s="26"/>
      <c r="L223" s="26"/>
    </row>
    <row r="224" spans="7:12" ht="15.75" x14ac:dyDescent="0.25">
      <c r="G224" s="107"/>
      <c r="H224" s="107"/>
      <c r="I224" s="107"/>
      <c r="J224" s="26"/>
      <c r="K224" s="26"/>
      <c r="L224" s="26"/>
    </row>
    <row r="225" spans="7:12" ht="15.75" x14ac:dyDescent="0.25">
      <c r="G225" s="107"/>
      <c r="H225" s="107"/>
      <c r="I225" s="107"/>
      <c r="J225" s="26"/>
      <c r="K225" s="26"/>
      <c r="L225" s="26"/>
    </row>
    <row r="226" spans="7:12" ht="15.75" x14ac:dyDescent="0.25">
      <c r="G226" s="107"/>
      <c r="H226" s="107"/>
      <c r="I226" s="107"/>
      <c r="J226" s="26"/>
      <c r="K226" s="26"/>
      <c r="L226" s="26"/>
    </row>
    <row r="227" spans="7:12" ht="15.75" x14ac:dyDescent="0.25">
      <c r="G227" s="107"/>
      <c r="H227" s="107"/>
      <c r="I227" s="107"/>
      <c r="J227" s="26"/>
      <c r="K227" s="26"/>
      <c r="L227" s="26"/>
    </row>
    <row r="228" spans="7:12" ht="15.75" x14ac:dyDescent="0.25">
      <c r="G228" s="107"/>
      <c r="H228" s="107"/>
      <c r="I228" s="107"/>
      <c r="J228" s="26"/>
      <c r="K228" s="26"/>
      <c r="L228" s="26"/>
    </row>
    <row r="229" spans="7:12" ht="15.75" x14ac:dyDescent="0.25">
      <c r="G229" s="107"/>
      <c r="H229" s="107"/>
      <c r="I229" s="107"/>
      <c r="J229" s="26"/>
      <c r="K229" s="26"/>
      <c r="L229" s="26"/>
    </row>
    <row r="230" spans="7:12" ht="15.75" x14ac:dyDescent="0.25">
      <c r="G230" s="107"/>
      <c r="H230" s="107"/>
      <c r="I230" s="107"/>
      <c r="J230" s="26"/>
      <c r="K230" s="26"/>
      <c r="L230" s="26"/>
    </row>
    <row r="231" spans="7:12" ht="15.75" x14ac:dyDescent="0.25">
      <c r="G231" s="107"/>
      <c r="H231" s="107"/>
      <c r="I231" s="107"/>
      <c r="J231" s="26"/>
      <c r="K231" s="26"/>
      <c r="L231" s="26"/>
    </row>
    <row r="232" spans="7:12" ht="15.75" x14ac:dyDescent="0.25">
      <c r="G232" s="107"/>
      <c r="H232" s="107"/>
      <c r="I232" s="107"/>
      <c r="J232" s="26"/>
      <c r="K232" s="26"/>
      <c r="L232" s="26"/>
    </row>
    <row r="233" spans="7:12" ht="15.75" x14ac:dyDescent="0.25">
      <c r="G233" s="107"/>
      <c r="H233" s="107"/>
      <c r="I233" s="107"/>
      <c r="J233" s="26"/>
      <c r="K233" s="26"/>
      <c r="L233" s="26"/>
    </row>
    <row r="234" spans="7:12" ht="15.75" x14ac:dyDescent="0.25">
      <c r="G234" s="107"/>
      <c r="H234" s="107"/>
      <c r="I234" s="107"/>
      <c r="J234" s="26"/>
      <c r="K234" s="26"/>
      <c r="L234" s="26"/>
    </row>
    <row r="235" spans="7:12" ht="15.75" x14ac:dyDescent="0.25">
      <c r="G235" s="107"/>
      <c r="H235" s="107"/>
      <c r="I235" s="107"/>
      <c r="J235" s="26"/>
      <c r="K235" s="26"/>
      <c r="L235" s="26"/>
    </row>
    <row r="236" spans="7:12" ht="15.75" x14ac:dyDescent="0.25">
      <c r="G236" s="107"/>
      <c r="H236" s="107"/>
      <c r="I236" s="107"/>
      <c r="J236" s="26"/>
      <c r="K236" s="26"/>
      <c r="L236" s="26"/>
    </row>
    <row r="237" spans="7:12" ht="15.75" x14ac:dyDescent="0.25">
      <c r="G237" s="107"/>
      <c r="H237" s="107"/>
      <c r="I237" s="107"/>
      <c r="J237" s="26"/>
      <c r="K237" s="26"/>
      <c r="L237" s="26"/>
    </row>
    <row r="238" spans="7:12" ht="15.75" x14ac:dyDescent="0.25">
      <c r="G238" s="107"/>
      <c r="H238" s="107"/>
      <c r="I238" s="107"/>
      <c r="J238" s="26"/>
      <c r="K238" s="26"/>
      <c r="L238" s="26"/>
    </row>
    <row r="239" spans="7:12" ht="15.75" x14ac:dyDescent="0.25">
      <c r="G239" s="107"/>
      <c r="H239" s="107"/>
      <c r="I239" s="107"/>
      <c r="J239" s="26"/>
      <c r="K239" s="26"/>
      <c r="L239" s="26"/>
    </row>
    <row r="240" spans="7:12" ht="15.75" x14ac:dyDescent="0.25">
      <c r="G240" s="107"/>
      <c r="H240" s="107"/>
      <c r="I240" s="107"/>
      <c r="J240" s="26"/>
      <c r="K240" s="26"/>
      <c r="L240" s="26"/>
    </row>
    <row r="241" spans="7:12" ht="15.75" x14ac:dyDescent="0.25">
      <c r="G241" s="107"/>
      <c r="H241" s="107"/>
      <c r="I241" s="107"/>
      <c r="J241" s="26"/>
      <c r="K241" s="26"/>
      <c r="L241" s="26"/>
    </row>
    <row r="242" spans="7:12" ht="15.75" x14ac:dyDescent="0.25">
      <c r="G242" s="107"/>
      <c r="H242" s="107"/>
      <c r="I242" s="107"/>
      <c r="J242" s="26"/>
      <c r="K242" s="26"/>
      <c r="L242" s="26"/>
    </row>
    <row r="243" spans="7:12" ht="15.75" x14ac:dyDescent="0.25">
      <c r="G243" s="107"/>
      <c r="H243" s="107"/>
      <c r="I243" s="107"/>
      <c r="J243" s="26"/>
      <c r="K243" s="26"/>
      <c r="L243" s="26"/>
    </row>
    <row r="244" spans="7:12" ht="15.75" x14ac:dyDescent="0.25">
      <c r="G244" s="107"/>
      <c r="H244" s="107"/>
      <c r="I244" s="107"/>
      <c r="J244" s="26"/>
      <c r="K244" s="26"/>
      <c r="L244" s="26"/>
    </row>
    <row r="245" spans="7:12" ht="15.75" x14ac:dyDescent="0.25">
      <c r="G245" s="107"/>
      <c r="H245" s="107"/>
      <c r="I245" s="107"/>
      <c r="J245" s="26"/>
      <c r="K245" s="26"/>
      <c r="L245" s="26"/>
    </row>
    <row r="246" spans="7:12" ht="15.75" x14ac:dyDescent="0.25">
      <c r="G246" s="107"/>
      <c r="H246" s="107"/>
      <c r="I246" s="107"/>
      <c r="J246" s="26"/>
      <c r="K246" s="26"/>
      <c r="L246" s="26"/>
    </row>
    <row r="247" spans="7:12" ht="15.75" x14ac:dyDescent="0.25">
      <c r="G247" s="107"/>
      <c r="H247" s="107"/>
      <c r="I247" s="107"/>
      <c r="J247" s="26"/>
      <c r="K247" s="26"/>
      <c r="L247" s="26"/>
    </row>
    <row r="248" spans="7:12" ht="15.75" x14ac:dyDescent="0.25">
      <c r="G248" s="107"/>
      <c r="H248" s="107"/>
      <c r="I248" s="107"/>
      <c r="J248" s="26"/>
      <c r="K248" s="26"/>
      <c r="L248" s="26"/>
    </row>
    <row r="249" spans="7:12" ht="15.75" x14ac:dyDescent="0.25">
      <c r="G249" s="107"/>
      <c r="H249" s="107"/>
      <c r="I249" s="107"/>
      <c r="J249" s="26"/>
      <c r="K249" s="26"/>
      <c r="L249" s="26"/>
    </row>
    <row r="250" spans="7:12" ht="15.75" x14ac:dyDescent="0.25">
      <c r="G250" s="107"/>
      <c r="H250" s="107"/>
      <c r="I250" s="107"/>
      <c r="J250" s="26"/>
      <c r="K250" s="26"/>
      <c r="L250" s="26"/>
    </row>
    <row r="251" spans="7:12" ht="15.75" x14ac:dyDescent="0.25">
      <c r="G251" s="107"/>
      <c r="H251" s="107"/>
      <c r="I251" s="107"/>
      <c r="J251" s="26"/>
      <c r="K251" s="26"/>
      <c r="L251" s="26"/>
    </row>
    <row r="252" spans="7:12" ht="15.75" x14ac:dyDescent="0.25">
      <c r="G252" s="107"/>
      <c r="H252" s="107"/>
      <c r="I252" s="107"/>
      <c r="J252" s="26"/>
      <c r="K252" s="26"/>
      <c r="L252" s="26"/>
    </row>
    <row r="253" spans="7:12" ht="15.75" x14ac:dyDescent="0.25">
      <c r="G253" s="107"/>
      <c r="H253" s="107"/>
      <c r="I253" s="107"/>
      <c r="J253" s="26"/>
      <c r="K253" s="26"/>
      <c r="L253" s="26"/>
    </row>
    <row r="254" spans="7:12" ht="15.75" x14ac:dyDescent="0.25">
      <c r="G254" s="107"/>
      <c r="H254" s="107"/>
      <c r="I254" s="107"/>
      <c r="J254" s="26"/>
      <c r="K254" s="26"/>
      <c r="L254" s="26"/>
    </row>
    <row r="255" spans="7:12" ht="15.75" x14ac:dyDescent="0.25">
      <c r="G255" s="107"/>
      <c r="H255" s="107"/>
      <c r="I255" s="107"/>
      <c r="J255" s="26"/>
      <c r="K255" s="26"/>
      <c r="L255" s="26"/>
    </row>
    <row r="256" spans="7:12" ht="15.75" x14ac:dyDescent="0.25">
      <c r="G256" s="107"/>
      <c r="H256" s="107"/>
      <c r="I256" s="107"/>
      <c r="J256" s="26"/>
      <c r="K256" s="26"/>
      <c r="L256" s="26"/>
    </row>
    <row r="257" spans="7:12" ht="15.75" x14ac:dyDescent="0.25">
      <c r="G257" s="107"/>
      <c r="H257" s="107"/>
      <c r="I257" s="107"/>
      <c r="J257" s="26"/>
      <c r="K257" s="26"/>
      <c r="L257" s="26"/>
    </row>
    <row r="258" spans="7:12" ht="15.75" x14ac:dyDescent="0.25">
      <c r="G258" s="107"/>
      <c r="H258" s="107"/>
      <c r="I258" s="107"/>
      <c r="J258" s="26"/>
      <c r="K258" s="26"/>
      <c r="L258" s="26"/>
    </row>
    <row r="259" spans="7:12" ht="15.75" x14ac:dyDescent="0.25">
      <c r="G259" s="107"/>
      <c r="H259" s="107"/>
      <c r="I259" s="107"/>
      <c r="J259" s="26"/>
      <c r="K259" s="26"/>
      <c r="L259" s="26"/>
    </row>
    <row r="260" spans="7:12" ht="15.75" x14ac:dyDescent="0.25">
      <c r="G260" s="107"/>
      <c r="H260" s="107"/>
      <c r="I260" s="107"/>
      <c r="J260" s="26"/>
      <c r="K260" s="26"/>
      <c r="L260" s="26"/>
    </row>
    <row r="261" spans="7:12" ht="15.75" x14ac:dyDescent="0.25">
      <c r="G261" s="107"/>
      <c r="H261" s="107"/>
      <c r="I261" s="107"/>
      <c r="J261" s="26"/>
      <c r="K261" s="26"/>
      <c r="L261" s="26"/>
    </row>
    <row r="262" spans="7:12" ht="15.75" x14ac:dyDescent="0.25">
      <c r="G262" s="107"/>
      <c r="H262" s="107"/>
      <c r="I262" s="107"/>
      <c r="J262" s="26"/>
      <c r="K262" s="26"/>
      <c r="L262" s="26"/>
    </row>
    <row r="263" spans="7:12" ht="15.75" x14ac:dyDescent="0.25">
      <c r="G263" s="107"/>
      <c r="H263" s="107"/>
      <c r="I263" s="107"/>
      <c r="J263" s="26"/>
      <c r="K263" s="26"/>
      <c r="L263" s="26"/>
    </row>
    <row r="264" spans="7:12" ht="15.75" x14ac:dyDescent="0.25">
      <c r="G264" s="107"/>
      <c r="H264" s="107"/>
      <c r="I264" s="107"/>
      <c r="J264" s="26"/>
      <c r="K264" s="26"/>
      <c r="L264" s="26"/>
    </row>
    <row r="265" spans="7:12" ht="15.75" x14ac:dyDescent="0.25">
      <c r="G265" s="107"/>
      <c r="H265" s="107"/>
      <c r="I265" s="107"/>
      <c r="J265" s="26"/>
      <c r="K265" s="26"/>
      <c r="L265" s="26"/>
    </row>
    <row r="266" spans="7:12" ht="15.75" x14ac:dyDescent="0.25">
      <c r="G266" s="107"/>
      <c r="H266" s="107"/>
      <c r="I266" s="107"/>
      <c r="J266" s="26"/>
      <c r="K266" s="26"/>
      <c r="L266" s="26"/>
    </row>
    <row r="267" spans="7:12" ht="15.75" x14ac:dyDescent="0.25">
      <c r="G267" s="107"/>
      <c r="H267" s="107"/>
      <c r="I267" s="107"/>
      <c r="J267" s="26"/>
      <c r="K267" s="26"/>
      <c r="L267" s="26"/>
    </row>
    <row r="268" spans="7:12" ht="15.75" x14ac:dyDescent="0.25">
      <c r="G268" s="107"/>
      <c r="H268" s="107"/>
      <c r="I268" s="107"/>
      <c r="J268" s="26"/>
      <c r="K268" s="26"/>
      <c r="L268" s="26"/>
    </row>
    <row r="269" spans="7:12" ht="15.75" x14ac:dyDescent="0.25">
      <c r="G269" s="107"/>
      <c r="H269" s="107"/>
      <c r="I269" s="107"/>
      <c r="J269" s="26"/>
      <c r="K269" s="26"/>
      <c r="L269" s="26"/>
    </row>
    <row r="270" spans="7:12" ht="15.75" x14ac:dyDescent="0.25">
      <c r="G270" s="107"/>
      <c r="H270" s="107"/>
      <c r="I270" s="107"/>
      <c r="J270" s="26"/>
      <c r="K270" s="26"/>
      <c r="L270" s="26"/>
    </row>
    <row r="271" spans="7:12" ht="15.75" x14ac:dyDescent="0.25">
      <c r="G271" s="107"/>
      <c r="H271" s="107"/>
      <c r="I271" s="107"/>
      <c r="J271" s="26"/>
      <c r="K271" s="26"/>
      <c r="L271" s="26"/>
    </row>
    <row r="272" spans="7:12" ht="15.75" x14ac:dyDescent="0.25">
      <c r="G272" s="107"/>
      <c r="H272" s="107"/>
      <c r="I272" s="107"/>
      <c r="J272" s="26"/>
      <c r="K272" s="26"/>
      <c r="L272" s="26"/>
    </row>
    <row r="273" spans="7:12" ht="15.75" x14ac:dyDescent="0.25">
      <c r="G273" s="107"/>
      <c r="H273" s="107"/>
      <c r="I273" s="107"/>
      <c r="J273" s="26"/>
      <c r="K273" s="26"/>
      <c r="L273" s="26"/>
    </row>
    <row r="274" spans="7:12" ht="15.75" x14ac:dyDescent="0.25">
      <c r="G274" s="107"/>
      <c r="H274" s="107"/>
      <c r="I274" s="107"/>
      <c r="J274" s="26"/>
      <c r="K274" s="26"/>
      <c r="L274" s="26"/>
    </row>
    <row r="275" spans="7:12" ht="15.75" x14ac:dyDescent="0.25">
      <c r="G275" s="107"/>
      <c r="H275" s="107"/>
      <c r="I275" s="107"/>
      <c r="J275" s="26"/>
      <c r="K275" s="26"/>
      <c r="L275" s="26"/>
    </row>
    <row r="276" spans="7:12" ht="15.75" x14ac:dyDescent="0.25">
      <c r="G276" s="107"/>
      <c r="H276" s="107"/>
      <c r="I276" s="107"/>
      <c r="J276" s="26"/>
      <c r="K276" s="26"/>
      <c r="L276" s="26"/>
    </row>
    <row r="277" spans="7:12" ht="15.75" x14ac:dyDescent="0.25">
      <c r="G277" s="107"/>
      <c r="H277" s="107"/>
      <c r="I277" s="107"/>
      <c r="J277" s="26"/>
      <c r="K277" s="26"/>
      <c r="L277" s="26"/>
    </row>
    <row r="278" spans="7:12" ht="15.75" x14ac:dyDescent="0.25">
      <c r="G278" s="107"/>
      <c r="H278" s="107"/>
      <c r="I278" s="107"/>
      <c r="J278" s="26"/>
      <c r="K278" s="26"/>
      <c r="L278" s="26"/>
    </row>
    <row r="279" spans="7:12" ht="15.75" x14ac:dyDescent="0.25">
      <c r="G279" s="107"/>
      <c r="H279" s="107"/>
      <c r="I279" s="107"/>
      <c r="J279" s="26"/>
      <c r="K279" s="26"/>
      <c r="L279" s="26"/>
    </row>
    <row r="280" spans="7:12" ht="15.75" x14ac:dyDescent="0.25">
      <c r="G280" s="107"/>
      <c r="H280" s="107"/>
      <c r="I280" s="107"/>
      <c r="J280" s="26"/>
      <c r="K280" s="26"/>
      <c r="L280" s="26"/>
    </row>
    <row r="281" spans="7:12" ht="15.75" x14ac:dyDescent="0.25">
      <c r="G281" s="107"/>
      <c r="H281" s="107"/>
      <c r="I281" s="107"/>
      <c r="J281" s="26"/>
      <c r="K281" s="26"/>
      <c r="L281" s="26"/>
    </row>
    <row r="282" spans="7:12" ht="15.75" x14ac:dyDescent="0.25">
      <c r="G282" s="107"/>
      <c r="H282" s="107"/>
      <c r="I282" s="107"/>
      <c r="J282" s="26"/>
      <c r="K282" s="26"/>
      <c r="L282" s="26"/>
    </row>
    <row r="283" spans="7:12" ht="15.75" x14ac:dyDescent="0.25">
      <c r="G283" s="107"/>
      <c r="H283" s="26"/>
      <c r="I283" s="26"/>
      <c r="J283" s="26"/>
      <c r="K283" s="26"/>
      <c r="L283" s="26"/>
    </row>
    <row r="284" spans="7:12" ht="15.75" x14ac:dyDescent="0.25">
      <c r="G284" s="107"/>
      <c r="H284" s="26"/>
      <c r="I284" s="26"/>
      <c r="J284" s="26"/>
      <c r="K284" s="26"/>
      <c r="L284" s="26"/>
    </row>
    <row r="285" spans="7:12" ht="15.75" x14ac:dyDescent="0.25">
      <c r="G285" s="107"/>
      <c r="H285" s="26"/>
      <c r="I285" s="26"/>
      <c r="J285" s="26"/>
      <c r="K285" s="26"/>
      <c r="L285" s="26"/>
    </row>
    <row r="286" spans="7:12" ht="15.75" x14ac:dyDescent="0.25">
      <c r="G286" s="107"/>
      <c r="H286" s="26"/>
      <c r="I286" s="26"/>
      <c r="J286" s="26"/>
      <c r="K286" s="26"/>
      <c r="L286" s="26"/>
    </row>
    <row r="287" spans="7:12" ht="15.75" x14ac:dyDescent="0.25">
      <c r="G287" s="107"/>
      <c r="H287" s="26"/>
      <c r="I287" s="26"/>
      <c r="J287" s="26"/>
      <c r="K287" s="26"/>
      <c r="L287" s="26"/>
    </row>
    <row r="288" spans="7:12" ht="15.75" x14ac:dyDescent="0.25">
      <c r="G288" s="107"/>
      <c r="H288" s="26"/>
      <c r="I288" s="26"/>
      <c r="J288" s="26"/>
      <c r="K288" s="26"/>
      <c r="L288" s="26"/>
    </row>
    <row r="289" spans="7:12" ht="15.75" x14ac:dyDescent="0.25">
      <c r="G289" s="107"/>
      <c r="H289" s="26"/>
      <c r="I289" s="26"/>
      <c r="J289" s="26"/>
      <c r="K289" s="26"/>
      <c r="L289" s="26"/>
    </row>
    <row r="290" spans="7:12" ht="15.75" x14ac:dyDescent="0.25">
      <c r="G290" s="107"/>
      <c r="H290" s="26"/>
      <c r="I290" s="26"/>
      <c r="J290" s="26"/>
      <c r="K290" s="26"/>
      <c r="L290" s="26"/>
    </row>
    <row r="291" spans="7:12" ht="15.75" x14ac:dyDescent="0.25">
      <c r="G291" s="107"/>
      <c r="H291" s="26"/>
      <c r="I291" s="26"/>
      <c r="J291" s="26"/>
      <c r="K291" s="26"/>
      <c r="L291" s="26"/>
    </row>
    <row r="292" spans="7:12" ht="15.75" x14ac:dyDescent="0.25">
      <c r="G292" s="107"/>
      <c r="H292" s="26"/>
      <c r="I292" s="26"/>
      <c r="J292" s="26"/>
      <c r="K292" s="26"/>
      <c r="L292" s="26"/>
    </row>
    <row r="293" spans="7:12" ht="15.75" x14ac:dyDescent="0.25">
      <c r="G293" s="107"/>
      <c r="H293" s="26"/>
      <c r="I293" s="26"/>
      <c r="J293" s="26"/>
      <c r="K293" s="26"/>
      <c r="L293" s="26"/>
    </row>
    <row r="294" spans="7:12" ht="15.75" x14ac:dyDescent="0.25">
      <c r="G294" s="107"/>
      <c r="H294" s="26"/>
      <c r="I294" s="26"/>
      <c r="J294" s="26"/>
      <c r="K294" s="26"/>
      <c r="L294" s="26"/>
    </row>
    <row r="295" spans="7:12" ht="15.75" x14ac:dyDescent="0.25">
      <c r="G295" s="107"/>
      <c r="H295" s="26"/>
      <c r="I295" s="26"/>
      <c r="J295" s="26"/>
      <c r="K295" s="26"/>
      <c r="L295" s="26"/>
    </row>
    <row r="296" spans="7:12" ht="15.75" x14ac:dyDescent="0.25">
      <c r="G296" s="107"/>
      <c r="H296" s="26"/>
      <c r="I296" s="26"/>
      <c r="J296" s="26"/>
      <c r="K296" s="26"/>
      <c r="L296" s="26"/>
    </row>
    <row r="297" spans="7:12" ht="15.75" x14ac:dyDescent="0.25">
      <c r="G297" s="107"/>
      <c r="H297" s="26"/>
      <c r="I297" s="26"/>
      <c r="J297" s="26"/>
      <c r="K297" s="26"/>
      <c r="L297" s="26"/>
    </row>
    <row r="298" spans="7:12" ht="15.75" x14ac:dyDescent="0.25">
      <c r="G298" s="107"/>
      <c r="H298" s="26"/>
      <c r="I298" s="26"/>
      <c r="J298" s="26"/>
      <c r="K298" s="26"/>
      <c r="L298" s="26"/>
    </row>
    <row r="299" spans="7:12" ht="15.75" x14ac:dyDescent="0.25">
      <c r="G299" s="107"/>
      <c r="H299" s="26"/>
      <c r="I299" s="26"/>
      <c r="J299" s="26"/>
      <c r="K299" s="26"/>
      <c r="L299" s="26"/>
    </row>
    <row r="300" spans="7:12" ht="15.75" x14ac:dyDescent="0.25">
      <c r="G300" s="107"/>
      <c r="H300" s="26"/>
      <c r="I300" s="26"/>
      <c r="J300" s="26"/>
      <c r="K300" s="26"/>
      <c r="L300" s="26"/>
    </row>
    <row r="301" spans="7:12" ht="15.75" x14ac:dyDescent="0.25">
      <c r="G301" s="107"/>
      <c r="H301" s="26"/>
      <c r="I301" s="26"/>
      <c r="J301" s="26"/>
      <c r="K301" s="26"/>
      <c r="L301" s="26"/>
    </row>
    <row r="302" spans="7:12" ht="15.75" x14ac:dyDescent="0.25">
      <c r="G302" s="107"/>
      <c r="H302" s="26"/>
      <c r="I302" s="26"/>
      <c r="J302" s="26"/>
      <c r="K302" s="26"/>
      <c r="L302" s="26"/>
    </row>
    <row r="303" spans="7:12" ht="15.75" x14ac:dyDescent="0.25">
      <c r="G303" s="107"/>
      <c r="H303" s="26"/>
      <c r="I303" s="26"/>
      <c r="J303" s="26"/>
      <c r="K303" s="26"/>
      <c r="L303" s="26"/>
    </row>
    <row r="304" spans="7:12" ht="15.75" x14ac:dyDescent="0.25">
      <c r="G304" s="107"/>
      <c r="H304" s="26"/>
      <c r="I304" s="26"/>
      <c r="J304" s="26"/>
      <c r="K304" s="26"/>
      <c r="L304" s="26"/>
    </row>
    <row r="305" spans="7:12" ht="15.75" x14ac:dyDescent="0.25">
      <c r="G305" s="107"/>
      <c r="H305" s="26"/>
      <c r="I305" s="26"/>
      <c r="J305" s="26"/>
      <c r="K305" s="26"/>
      <c r="L305" s="26"/>
    </row>
    <row r="306" spans="7:12" ht="15.75" x14ac:dyDescent="0.25">
      <c r="G306" s="107"/>
      <c r="H306" s="26"/>
      <c r="I306" s="26"/>
      <c r="J306" s="26"/>
      <c r="K306" s="26"/>
      <c r="L306" s="26"/>
    </row>
    <row r="307" spans="7:12" ht="15.75" x14ac:dyDescent="0.25">
      <c r="G307" s="107"/>
      <c r="H307" s="26"/>
      <c r="I307" s="26"/>
      <c r="J307" s="26"/>
      <c r="K307" s="26"/>
      <c r="L307" s="26"/>
    </row>
    <row r="308" spans="7:12" ht="15.75" x14ac:dyDescent="0.25">
      <c r="G308" s="107"/>
      <c r="H308" s="26"/>
      <c r="I308" s="26"/>
      <c r="J308" s="26"/>
      <c r="K308" s="26"/>
      <c r="L308" s="26"/>
    </row>
    <row r="309" spans="7:12" ht="15.75" x14ac:dyDescent="0.25">
      <c r="G309" s="107"/>
      <c r="H309" s="26"/>
      <c r="I309" s="26"/>
      <c r="J309" s="26"/>
      <c r="K309" s="26"/>
      <c r="L309" s="26"/>
    </row>
    <row r="310" spans="7:12" ht="15.75" x14ac:dyDescent="0.25">
      <c r="G310" s="107"/>
      <c r="H310" s="26"/>
      <c r="I310" s="26"/>
      <c r="J310" s="26"/>
      <c r="K310" s="26"/>
      <c r="L310" s="26"/>
    </row>
    <row r="311" spans="7:12" ht="15.75" x14ac:dyDescent="0.25">
      <c r="G311" s="107"/>
      <c r="H311" s="26"/>
      <c r="I311" s="26"/>
      <c r="J311" s="26"/>
      <c r="K311" s="26"/>
      <c r="L311" s="26"/>
    </row>
    <row r="312" spans="7:12" ht="15.75" x14ac:dyDescent="0.25">
      <c r="G312" s="107"/>
      <c r="H312" s="26"/>
      <c r="I312" s="26"/>
      <c r="J312" s="26"/>
      <c r="K312" s="26"/>
      <c r="L312" s="26"/>
    </row>
    <row r="313" spans="7:12" ht="15.75" x14ac:dyDescent="0.25">
      <c r="G313" s="107"/>
      <c r="H313" s="26"/>
      <c r="I313" s="26"/>
      <c r="J313" s="26"/>
      <c r="K313" s="26"/>
      <c r="L313" s="26"/>
    </row>
    <row r="314" spans="7:12" ht="15.75" x14ac:dyDescent="0.25">
      <c r="G314" s="107"/>
      <c r="H314" s="26"/>
      <c r="I314" s="26"/>
      <c r="J314" s="26"/>
      <c r="K314" s="26"/>
      <c r="L314" s="26"/>
    </row>
    <row r="315" spans="7:12" ht="15.75" x14ac:dyDescent="0.25">
      <c r="G315" s="107"/>
      <c r="H315" s="26"/>
      <c r="I315" s="26"/>
      <c r="J315" s="26"/>
      <c r="K315" s="26"/>
      <c r="L315" s="26"/>
    </row>
    <row r="316" spans="7:12" ht="15.75" x14ac:dyDescent="0.25">
      <c r="G316" s="107"/>
      <c r="H316" s="26"/>
      <c r="I316" s="26"/>
      <c r="J316" s="26"/>
      <c r="K316" s="26"/>
      <c r="L316" s="26"/>
    </row>
    <row r="317" spans="7:12" ht="15.75" x14ac:dyDescent="0.25">
      <c r="G317" s="107"/>
      <c r="H317" s="26"/>
      <c r="I317" s="26"/>
      <c r="J317" s="26"/>
      <c r="K317" s="26"/>
      <c r="L317" s="26"/>
    </row>
    <row r="318" spans="7:12" ht="15.75" x14ac:dyDescent="0.25">
      <c r="G318" s="107"/>
      <c r="H318" s="26"/>
      <c r="I318" s="26"/>
      <c r="J318" s="26"/>
      <c r="K318" s="26"/>
      <c r="L318" s="26"/>
    </row>
    <row r="319" spans="7:12" ht="15.75" x14ac:dyDescent="0.25">
      <c r="G319" s="107"/>
      <c r="H319" s="26"/>
      <c r="I319" s="26"/>
      <c r="J319" s="26"/>
      <c r="K319" s="26"/>
      <c r="L319" s="26"/>
    </row>
    <row r="320" spans="7:12" ht="15.75" x14ac:dyDescent="0.25">
      <c r="G320" s="107"/>
      <c r="H320" s="26"/>
      <c r="I320" s="26"/>
      <c r="J320" s="26"/>
      <c r="K320" s="26"/>
      <c r="L320" s="26"/>
    </row>
    <row r="321" spans="7:12" ht="15.75" x14ac:dyDescent="0.25">
      <c r="G321" s="107"/>
      <c r="H321" s="26"/>
      <c r="I321" s="26"/>
      <c r="J321" s="26"/>
      <c r="K321" s="26"/>
      <c r="L321" s="26"/>
    </row>
    <row r="322" spans="7:12" ht="15.75" x14ac:dyDescent="0.25">
      <c r="G322" s="107"/>
      <c r="H322" s="26"/>
      <c r="I322" s="26"/>
      <c r="J322" s="26"/>
      <c r="K322" s="26"/>
      <c r="L322" s="26"/>
    </row>
  </sheetData>
  <mergeCells count="1">
    <mergeCell ref="H1:L1"/>
  </mergeCells>
  <conditionalFormatting sqref="D4:D7 D9:D10">
    <cfRule type="cellIs" dxfId="16" priority="71" operator="equal">
      <formula>0</formula>
    </cfRule>
  </conditionalFormatting>
  <dataValidations count="1">
    <dataValidation type="list" allowBlank="1" showInputMessage="1" sqref="H3:L3 H8:L8" xr:uid="{660C5C6E-2365-4D8E-B1A3-30C65722FE4F}">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2200-000000000000}">
          <x14:formula1>
            <xm:f>Unit!$A$4:$A$11</xm:f>
          </x14:formula1>
          <xm:sqref>D8 D3</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33DA8-AC25-4850-91AF-71FBFA5254C4}">
  <sheetPr codeName="Sheet58">
    <tabColor rgb="FF00B0F0"/>
  </sheetPr>
  <dimension ref="A1:AB127"/>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964</v>
      </c>
      <c r="B1" s="295"/>
      <c r="C1" s="295"/>
      <c r="D1" s="295"/>
      <c r="E1" s="295"/>
      <c r="F1" s="295"/>
      <c r="G1" s="295"/>
      <c r="H1" s="295"/>
      <c r="I1" s="295"/>
      <c r="J1" s="295"/>
      <c r="K1" s="295"/>
      <c r="L1" s="295"/>
      <c r="M1" s="295"/>
      <c r="N1" s="295"/>
      <c r="O1" s="295"/>
      <c r="P1" s="295"/>
      <c r="Q1" s="295"/>
      <c r="R1" s="295"/>
      <c r="S1" s="296" t="s">
        <v>888</v>
      </c>
      <c r="T1" s="301">
        <v>44838</v>
      </c>
      <c r="U1" s="301"/>
      <c r="V1" s="301"/>
      <c r="W1" s="301"/>
      <c r="X1" s="301"/>
      <c r="Y1" s="301"/>
      <c r="Z1" s="301"/>
      <c r="AA1" s="301"/>
      <c r="AB1" s="301"/>
    </row>
    <row r="2" spans="1:28" ht="15.75" x14ac:dyDescent="0.25">
      <c r="I2" s="292">
        <v>74.8</v>
      </c>
      <c r="J2" s="293">
        <v>83.18</v>
      </c>
      <c r="K2" s="291">
        <v>1</v>
      </c>
      <c r="L2" s="291">
        <v>1</v>
      </c>
      <c r="U2" s="291">
        <f>45.6/39.3</f>
        <v>1.1603053435114505</v>
      </c>
      <c r="V2" s="291">
        <f>39.3/39.3</f>
        <v>1</v>
      </c>
      <c r="W2" s="291">
        <f>42.3/39.3</f>
        <v>1.0763358778625953</v>
      </c>
      <c r="X2" s="291">
        <f>42/39.3</f>
        <v>1.0687022900763359</v>
      </c>
      <c r="Y2" s="291">
        <f>42.4/39.3</f>
        <v>1.078880407124682</v>
      </c>
      <c r="Z2" s="291">
        <f t="shared" ref="Z2:AB2" si="0">39.3/39.3</f>
        <v>1</v>
      </c>
      <c r="AA2" s="291">
        <f t="shared" si="0"/>
        <v>1</v>
      </c>
      <c r="AB2" s="291">
        <f t="shared" si="0"/>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969</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U$2</f>
        <v>1.1603053435114505</v>
      </c>
      <c r="V5" s="291">
        <f>V$2</f>
        <v>1</v>
      </c>
      <c r="W5" s="291">
        <f t="shared" ref="W5:AB5" si="1">W$2</f>
        <v>1.0763358778625953</v>
      </c>
      <c r="X5" s="291">
        <f t="shared" si="1"/>
        <v>1.0687022900763359</v>
      </c>
      <c r="Y5" s="291">
        <f t="shared" si="1"/>
        <v>1.078880407124682</v>
      </c>
      <c r="Z5" s="291">
        <f t="shared" si="1"/>
        <v>1</v>
      </c>
      <c r="AA5" s="291">
        <f t="shared" si="1"/>
        <v>1</v>
      </c>
      <c r="AB5" s="291">
        <f t="shared" si="1"/>
        <v>1</v>
      </c>
    </row>
    <row r="6" spans="1:28" s="305" customFormat="1" ht="14.45" hidden="1" customHeight="1" outlineLevel="1" x14ac:dyDescent="0.25">
      <c r="A6" s="278"/>
      <c r="B6" s="279" t="str">
        <f>C6&amp;D6&amp;E6&amp;F6</f>
        <v>wet areas</v>
      </c>
      <c r="C6" s="278" t="s">
        <v>965</v>
      </c>
      <c r="D6" s="278"/>
      <c r="E6" s="278"/>
      <c r="F6" s="278"/>
      <c r="G6" s="278" t="s">
        <v>11</v>
      </c>
      <c r="H6" s="290">
        <v>0.35</v>
      </c>
      <c r="I6" s="280">
        <f t="shared" ref="I6:I15" si="2">$I$2*H6</f>
        <v>26.179999999999996</v>
      </c>
      <c r="J6" s="281">
        <f>$J$2*H6</f>
        <v>29.113</v>
      </c>
      <c r="K6" s="282">
        <f>IF(Notes!$B$9="Domestic",I6, IF(Notes!$B$9="Commercial",J6))*$K$5</f>
        <v>29.113</v>
      </c>
      <c r="L6" s="283">
        <f>(SUM(O6:Q6)+(K6+SUM(M6:Q6))*(INDEX($U$5:$AB$5,MATCH(Notes!$C$16,$U$3:$AB$3,0))-100%))*$L$5</f>
        <v>18.07</v>
      </c>
      <c r="M6" s="286"/>
      <c r="N6" s="286"/>
      <c r="O6" s="285">
        <v>18.07</v>
      </c>
      <c r="P6" s="285"/>
      <c r="Q6" s="285"/>
      <c r="R6" s="278" t="s">
        <v>965</v>
      </c>
      <c r="S6" s="278"/>
      <c r="T6" s="278"/>
      <c r="U6" s="304"/>
    </row>
    <row r="7" spans="1:28" s="305" customFormat="1" ht="14.45" hidden="1" customHeight="1" outlineLevel="1" x14ac:dyDescent="0.25">
      <c r="A7" s="278"/>
      <c r="B7" s="279" t="str">
        <f t="shared" ref="B7:B15" si="3">C7&amp;D7&amp;E7&amp;F7</f>
        <v>balcony</v>
      </c>
      <c r="C7" s="278" t="s">
        <v>966</v>
      </c>
      <c r="D7" s="278"/>
      <c r="E7" s="278"/>
      <c r="F7" s="278"/>
      <c r="G7" s="278" t="s">
        <v>11</v>
      </c>
      <c r="H7" s="290">
        <v>0.5</v>
      </c>
      <c r="I7" s="280">
        <f t="shared" si="2"/>
        <v>37.4</v>
      </c>
      <c r="J7" s="281">
        <f t="shared" ref="J7:J15" si="4">$J$2*H7</f>
        <v>41.59</v>
      </c>
      <c r="K7" s="282">
        <f>IF(Notes!$B$9="Domestic",I7, IF(Notes!$B$9="Commercial",J7))*$K$5</f>
        <v>41.59</v>
      </c>
      <c r="L7" s="283">
        <f>(SUM(O7:Q7)+(K7+SUM(M7:Q7))*(INDEX($U$5:$AB$5,MATCH(Notes!$C$16,$U$3:$AB$3,0))-100%))*$L$5</f>
        <v>35.47</v>
      </c>
      <c r="M7" s="286"/>
      <c r="N7" s="286"/>
      <c r="O7" s="285">
        <v>35.47</v>
      </c>
      <c r="P7" s="285"/>
      <c r="Q7" s="285"/>
      <c r="R7" s="278" t="s">
        <v>966</v>
      </c>
      <c r="S7" s="278"/>
      <c r="T7" s="278"/>
      <c r="U7" s="304"/>
    </row>
    <row r="8" spans="1:28" s="305" customFormat="1" ht="14.45" hidden="1" customHeight="1" outlineLevel="1" x14ac:dyDescent="0.25">
      <c r="A8" s="278"/>
      <c r="B8" s="279" t="str">
        <f t="shared" si="3"/>
        <v>others</v>
      </c>
      <c r="C8" s="278" t="s">
        <v>968</v>
      </c>
      <c r="D8" s="278"/>
      <c r="E8" s="278"/>
      <c r="F8" s="278"/>
      <c r="G8" s="278" t="s">
        <v>11</v>
      </c>
      <c r="H8" s="290">
        <v>0.22</v>
      </c>
      <c r="I8" s="280">
        <f t="shared" si="2"/>
        <v>16.456</v>
      </c>
      <c r="J8" s="281">
        <f t="shared" si="4"/>
        <v>18.299600000000002</v>
      </c>
      <c r="K8" s="282">
        <f>IF(Notes!$B$9="Domestic",I8, IF(Notes!$B$9="Commercial",J8))*$K$5</f>
        <v>18.299600000000002</v>
      </c>
      <c r="L8" s="283">
        <f>(SUM(O8:Q8)+(K8+SUM(M8:Q8))*(INDEX($U$5:$AB$5,MATCH(Notes!$C$16,$U$3:$AB$3,0))-100%))*$L$5</f>
        <v>22.38</v>
      </c>
      <c r="M8" s="286"/>
      <c r="N8" s="286"/>
      <c r="O8" s="285">
        <v>22.38</v>
      </c>
      <c r="P8" s="285"/>
      <c r="Q8" s="285"/>
      <c r="R8" s="278" t="s">
        <v>968</v>
      </c>
      <c r="S8" s="278"/>
      <c r="T8" s="278"/>
      <c r="U8" s="304"/>
    </row>
    <row r="9" spans="1:28" s="305" customFormat="1" ht="14.45" hidden="1" customHeight="1" outlineLevel="1" x14ac:dyDescent="0.25">
      <c r="A9" s="278"/>
      <c r="B9" s="279" t="str">
        <f t="shared" si="3"/>
        <v/>
      </c>
      <c r="C9" s="278"/>
      <c r="D9" s="278"/>
      <c r="E9" s="278"/>
      <c r="F9" s="278"/>
      <c r="G9" s="278"/>
      <c r="H9" s="290"/>
      <c r="I9" s="280">
        <f t="shared" si="2"/>
        <v>0</v>
      </c>
      <c r="J9" s="281">
        <f t="shared" si="4"/>
        <v>0</v>
      </c>
      <c r="K9" s="282">
        <f>IF(Notes!$B$9="Domestic",I9, IF(Notes!$B$9="Commercial",J9))*$K$5</f>
        <v>0</v>
      </c>
      <c r="L9" s="283">
        <f>(SUM(O9:Q9)+(K9+SUM(M9:Q9))*(INDEX($U$5:$AB$5,MATCH(Notes!$C$16,$U$3:$AB$3,0))-100%))*$L$5</f>
        <v>0</v>
      </c>
      <c r="M9" s="286"/>
      <c r="N9" s="286"/>
      <c r="O9" s="285"/>
      <c r="P9" s="285"/>
      <c r="Q9" s="285"/>
      <c r="R9" s="278"/>
      <c r="S9" s="278"/>
      <c r="T9" s="278"/>
    </row>
    <row r="10" spans="1:28" s="305" customFormat="1" ht="14.45" hidden="1" customHeight="1" outlineLevel="1" x14ac:dyDescent="0.25">
      <c r="A10" s="278"/>
      <c r="B10" s="279" t="str">
        <f t="shared" si="3"/>
        <v/>
      </c>
      <c r="C10" s="278"/>
      <c r="D10" s="278"/>
      <c r="E10" s="278"/>
      <c r="F10" s="278"/>
      <c r="G10" s="278"/>
      <c r="H10" s="290"/>
      <c r="I10" s="280">
        <f t="shared" si="2"/>
        <v>0</v>
      </c>
      <c r="J10" s="281">
        <f t="shared" si="4"/>
        <v>0</v>
      </c>
      <c r="K10" s="282">
        <f>IF(Notes!$B$9="Domestic",I10, IF(Notes!$B$9="Commercial",J10))*$K$5</f>
        <v>0</v>
      </c>
      <c r="L10" s="283">
        <f>(SUM(O10:Q10)+(K10+SUM(M10:Q10))*(INDEX($U$5:$AB$5,MATCH(Notes!$C$16,$U$3:$AB$3,0))-100%))*$L$5</f>
        <v>0</v>
      </c>
      <c r="M10" s="286"/>
      <c r="N10" s="286"/>
      <c r="O10" s="285"/>
      <c r="P10" s="285"/>
      <c r="Q10" s="285"/>
      <c r="R10" s="278"/>
      <c r="S10" s="278"/>
      <c r="T10" s="278"/>
    </row>
    <row r="11" spans="1:28" s="305" customFormat="1" hidden="1" outlineLevel="1" x14ac:dyDescent="0.25">
      <c r="A11" s="278"/>
      <c r="B11" s="279" t="str">
        <f t="shared" si="3"/>
        <v/>
      </c>
      <c r="C11" s="278"/>
      <c r="D11" s="278"/>
      <c r="E11" s="278"/>
      <c r="F11" s="278"/>
      <c r="G11" s="278"/>
      <c r="H11" s="290"/>
      <c r="I11" s="280">
        <f t="shared" si="2"/>
        <v>0</v>
      </c>
      <c r="J11" s="281">
        <f t="shared" si="4"/>
        <v>0</v>
      </c>
      <c r="K11" s="282">
        <f>IF(Notes!$B$9="Domestic",I11, IF(Notes!$B$9="Commercial",J11))*$K$5</f>
        <v>0</v>
      </c>
      <c r="L11" s="283">
        <f>(SUM(O11:Q11)+(K11+SUM(M11:Q11))*(INDEX($U$5:$AB$5,MATCH(Notes!$C$16,$U$3:$AB$3,0))-100%))*$L$5</f>
        <v>0</v>
      </c>
      <c r="M11" s="286"/>
      <c r="N11" s="286"/>
      <c r="O11" s="285"/>
      <c r="P11" s="285"/>
      <c r="Q11" s="285"/>
      <c r="R11" s="278"/>
      <c r="S11" s="278"/>
      <c r="T11" s="278"/>
    </row>
    <row r="12" spans="1:28" s="305" customFormat="1" hidden="1" outlineLevel="1" x14ac:dyDescent="0.25">
      <c r="A12" s="278"/>
      <c r="B12" s="279" t="str">
        <f t="shared" si="3"/>
        <v/>
      </c>
      <c r="C12" s="278"/>
      <c r="D12" s="278"/>
      <c r="E12" s="278"/>
      <c r="F12" s="278"/>
      <c r="G12" s="278"/>
      <c r="H12" s="290"/>
      <c r="I12" s="280">
        <f t="shared" si="2"/>
        <v>0</v>
      </c>
      <c r="J12" s="281">
        <f t="shared" si="4"/>
        <v>0</v>
      </c>
      <c r="K12" s="282">
        <f>IF(Notes!$B$9="Domestic",I12, IF(Notes!$B$9="Commercial",J12))*$K$5</f>
        <v>0</v>
      </c>
      <c r="L12" s="283">
        <f>(SUM(O12:Q12)+(K12+SUM(M12:Q12))*(INDEX($U$5:$AB$5,MATCH(Notes!$C$16,$U$3:$AB$3,0))-100%))*$L$5</f>
        <v>0</v>
      </c>
      <c r="M12" s="286"/>
      <c r="N12" s="286"/>
      <c r="O12" s="285"/>
      <c r="P12" s="285"/>
      <c r="Q12" s="285"/>
      <c r="R12" s="278"/>
      <c r="S12" s="278"/>
      <c r="T12" s="278"/>
    </row>
    <row r="13" spans="1:28" s="305" customFormat="1" hidden="1" outlineLevel="1" x14ac:dyDescent="0.25">
      <c r="A13" s="278"/>
      <c r="B13" s="279" t="str">
        <f t="shared" si="3"/>
        <v/>
      </c>
      <c r="C13" s="278"/>
      <c r="D13" s="278"/>
      <c r="E13" s="278"/>
      <c r="F13" s="278"/>
      <c r="G13" s="278"/>
      <c r="H13" s="290"/>
      <c r="I13" s="280">
        <f t="shared" si="2"/>
        <v>0</v>
      </c>
      <c r="J13" s="281">
        <f t="shared" si="4"/>
        <v>0</v>
      </c>
      <c r="K13" s="282">
        <f>IF(Notes!$B$9="Domestic",I13, IF(Notes!$B$9="Commercial",J13))*$K$5</f>
        <v>0</v>
      </c>
      <c r="L13" s="283">
        <f>(SUM(O13:Q13)+(K13+SUM(M13:Q13))*(INDEX($U$5:$AB$5,MATCH(Notes!$C$16,$U$3:$AB$3,0))-100%))*$L$5</f>
        <v>0</v>
      </c>
      <c r="M13" s="286"/>
      <c r="N13" s="286"/>
      <c r="O13" s="285"/>
      <c r="P13" s="285"/>
      <c r="Q13" s="285"/>
      <c r="R13" s="278"/>
      <c r="S13" s="278"/>
      <c r="T13" s="278"/>
    </row>
    <row r="14" spans="1:28" s="305" customFormat="1" hidden="1" outlineLevel="1" x14ac:dyDescent="0.25">
      <c r="A14" s="278"/>
      <c r="B14" s="279" t="str">
        <f t="shared" si="3"/>
        <v/>
      </c>
      <c r="C14" s="278"/>
      <c r="D14" s="278"/>
      <c r="E14" s="278"/>
      <c r="F14" s="278"/>
      <c r="G14" s="278"/>
      <c r="H14" s="290"/>
      <c r="I14" s="280">
        <f t="shared" si="2"/>
        <v>0</v>
      </c>
      <c r="J14" s="281">
        <f t="shared" si="4"/>
        <v>0</v>
      </c>
      <c r="K14" s="282">
        <f>IF(Notes!$B$9="Domestic",I14, IF(Notes!$B$9="Commercial",J14))*$K$5</f>
        <v>0</v>
      </c>
      <c r="L14" s="283">
        <f>(SUM(O14:Q14)+(K14+SUM(M14:Q14))*(INDEX($U$5:$AB$5,MATCH(Notes!$C$16,$U$3:$AB$3,0))-100%))*$L$5</f>
        <v>0</v>
      </c>
      <c r="M14" s="286"/>
      <c r="N14" s="286"/>
      <c r="O14" s="285"/>
      <c r="P14" s="285"/>
      <c r="Q14" s="285"/>
      <c r="R14" s="278"/>
      <c r="S14" s="278"/>
      <c r="T14" s="278"/>
    </row>
    <row r="15" spans="1:28" s="305" customFormat="1" hidden="1" outlineLevel="1" x14ac:dyDescent="0.25">
      <c r="A15" s="278"/>
      <c r="B15" s="279" t="str">
        <f t="shared" si="3"/>
        <v/>
      </c>
      <c r="C15" s="278"/>
      <c r="D15" s="278"/>
      <c r="E15" s="278"/>
      <c r="F15" s="278"/>
      <c r="G15" s="278"/>
      <c r="H15" s="290"/>
      <c r="I15" s="280">
        <f t="shared" si="2"/>
        <v>0</v>
      </c>
      <c r="J15" s="281">
        <f t="shared" si="4"/>
        <v>0</v>
      </c>
      <c r="K15" s="282">
        <f>IF(Notes!$B$9="Domestic",I15, IF(Notes!$B$9="Commercial",J15))*$K$5</f>
        <v>0</v>
      </c>
      <c r="L15" s="283">
        <f>(SUM(O15:Q15)+(K15+SUM(M15:Q15))*(INDEX($U$5:$AB$5,MATCH(Notes!$C$16,$U$3:$AB$3,0))-100%))*$L$5</f>
        <v>0</v>
      </c>
      <c r="M15" s="286"/>
      <c r="N15" s="286"/>
      <c r="O15" s="285"/>
      <c r="P15" s="285"/>
      <c r="Q15" s="285"/>
      <c r="R15" s="278"/>
      <c r="S15" s="278"/>
      <c r="T15" s="278"/>
    </row>
    <row r="16" spans="1:28" ht="21" hidden="1" outlineLevel="1" x14ac:dyDescent="0.25">
      <c r="A16" s="299"/>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row>
    <row r="17" spans="1:28" ht="15.75" hidden="1" outlineLevel="1" x14ac:dyDescent="0.25">
      <c r="A17" s="291"/>
      <c r="B17" s="291"/>
      <c r="C17" s="291"/>
      <c r="D17" s="291"/>
      <c r="E17" s="291"/>
      <c r="F17" s="291"/>
      <c r="G17" s="291"/>
      <c r="H17" s="291"/>
      <c r="I17" s="291"/>
      <c r="J17" s="291"/>
      <c r="K17" s="291">
        <f>K$2</f>
        <v>1</v>
      </c>
      <c r="L17" s="291">
        <f>L$2</f>
        <v>1</v>
      </c>
      <c r="M17" s="291"/>
      <c r="N17" s="291"/>
      <c r="O17" s="303"/>
      <c r="P17" s="303"/>
      <c r="Q17" s="303"/>
      <c r="R17" s="291"/>
      <c r="S17" s="291"/>
      <c r="T17" s="291"/>
      <c r="U17" s="291">
        <f>U$2</f>
        <v>1.1603053435114505</v>
      </c>
      <c r="V17" s="291">
        <f>V$2</f>
        <v>1</v>
      </c>
      <c r="W17" s="291">
        <f t="shared" ref="W17:AB17" si="5">W$2</f>
        <v>1.0763358778625953</v>
      </c>
      <c r="X17" s="291">
        <f t="shared" si="5"/>
        <v>1.0687022900763359</v>
      </c>
      <c r="Y17" s="291">
        <f t="shared" si="5"/>
        <v>1.078880407124682</v>
      </c>
      <c r="Z17" s="291">
        <f t="shared" si="5"/>
        <v>1</v>
      </c>
      <c r="AA17" s="291">
        <f t="shared" si="5"/>
        <v>1</v>
      </c>
      <c r="AB17" s="291">
        <f t="shared" si="5"/>
        <v>1</v>
      </c>
    </row>
    <row r="18" spans="1:28" s="305" customFormat="1" ht="14.45" hidden="1" customHeight="1" outlineLevel="1" x14ac:dyDescent="0.25">
      <c r="A18" s="278"/>
      <c r="B18" s="279" t="str">
        <f>C18&amp;D18&amp;E18&amp;F18</f>
        <v/>
      </c>
      <c r="C18" s="278"/>
      <c r="D18" s="278"/>
      <c r="E18" s="278"/>
      <c r="F18" s="278"/>
      <c r="G18" s="278"/>
      <c r="H18" s="290"/>
      <c r="I18" s="280">
        <f>$I$2*H18</f>
        <v>0</v>
      </c>
      <c r="J18" s="281">
        <f>$J$2*H18</f>
        <v>0</v>
      </c>
      <c r="K18" s="282">
        <f>IF(Notes!$B$9="Domestic",I18, IF(Notes!$B$9="Commercial",J18))*$K$17</f>
        <v>0</v>
      </c>
      <c r="L18" s="283">
        <f>(SUM(O18:Q18)+(K18+SUM(M18:Q18))*(INDEX($U$17:$AB$17,MATCH(Notes!$C$16,$U$3:$AB$3,0))-100%))*$L$17</f>
        <v>0</v>
      </c>
      <c r="M18" s="286"/>
      <c r="N18" s="286"/>
      <c r="O18" s="285"/>
      <c r="P18" s="285"/>
      <c r="Q18" s="285"/>
      <c r="R18" s="278"/>
      <c r="S18" s="278"/>
      <c r="T18" s="278"/>
      <c r="U18" s="304"/>
    </row>
    <row r="19" spans="1:28" s="305" customFormat="1" ht="14.45" hidden="1" customHeight="1" outlineLevel="1" x14ac:dyDescent="0.25">
      <c r="A19" s="278"/>
      <c r="B19" s="279" t="str">
        <f t="shared" ref="B19:B27" si="6">C19&amp;D19&amp;E19&amp;F19</f>
        <v/>
      </c>
      <c r="C19" s="278"/>
      <c r="D19" s="278"/>
      <c r="E19" s="278"/>
      <c r="F19" s="278"/>
      <c r="G19" s="278"/>
      <c r="H19" s="290"/>
      <c r="I19" s="280">
        <f>$I$2*H19</f>
        <v>0</v>
      </c>
      <c r="J19" s="281">
        <f t="shared" ref="J19:J27" si="7">$J$2*H19</f>
        <v>0</v>
      </c>
      <c r="K19" s="282">
        <f>IF(Notes!$B$9="Domestic",I19, IF(Notes!$B$9="Commercial",J19))*$K$17</f>
        <v>0</v>
      </c>
      <c r="L19" s="283">
        <f>(SUM(O19:Q19)+(K19+SUM(M19:Q19))*(INDEX($U$17:$AB$17,MATCH(Notes!$C$16,$U$3:$AB$3,0))-100%))*$L$17</f>
        <v>0</v>
      </c>
      <c r="M19" s="286"/>
      <c r="N19" s="286"/>
      <c r="O19" s="285"/>
      <c r="P19" s="285"/>
      <c r="Q19" s="285"/>
      <c r="R19" s="278"/>
      <c r="S19" s="278"/>
      <c r="T19" s="278"/>
      <c r="U19" s="304"/>
    </row>
    <row r="20" spans="1:28" s="305" customFormat="1" ht="14.45" hidden="1" customHeight="1" outlineLevel="1" x14ac:dyDescent="0.25">
      <c r="A20" s="278"/>
      <c r="B20" s="279" t="str">
        <f t="shared" si="6"/>
        <v/>
      </c>
      <c r="C20" s="278"/>
      <c r="D20" s="278"/>
      <c r="E20" s="278"/>
      <c r="F20" s="278"/>
      <c r="G20" s="278"/>
      <c r="H20" s="290"/>
      <c r="I20" s="280">
        <f t="shared" ref="I20:I27" si="8">$I$2*H20</f>
        <v>0</v>
      </c>
      <c r="J20" s="281">
        <f t="shared" si="7"/>
        <v>0</v>
      </c>
      <c r="K20" s="282">
        <f>IF(Notes!$B$9="Domestic",I20, IF(Notes!$B$9="Commercial",J20))*$K$17</f>
        <v>0</v>
      </c>
      <c r="L20" s="283">
        <f>(SUM(O20:Q20)+(K20+SUM(M20:Q20))*(INDEX($U$17:$AB$17,MATCH(Notes!$C$16,$U$3:$AB$3,0))-100%))*$L$17</f>
        <v>0</v>
      </c>
      <c r="M20" s="286"/>
      <c r="N20" s="286"/>
      <c r="O20" s="285"/>
      <c r="P20" s="285"/>
      <c r="Q20" s="285"/>
      <c r="R20" s="278"/>
      <c r="S20" s="278"/>
      <c r="T20" s="278"/>
      <c r="U20" s="304"/>
    </row>
    <row r="21" spans="1:28" s="305" customFormat="1" hidden="1" outlineLevel="1" x14ac:dyDescent="0.25">
      <c r="A21" s="278"/>
      <c r="B21" s="279" t="str">
        <f t="shared" si="6"/>
        <v/>
      </c>
      <c r="C21" s="278"/>
      <c r="D21" s="278"/>
      <c r="E21" s="278"/>
      <c r="F21" s="278"/>
      <c r="G21" s="278"/>
      <c r="H21" s="290"/>
      <c r="I21" s="280">
        <f t="shared" si="8"/>
        <v>0</v>
      </c>
      <c r="J21" s="281">
        <f t="shared" si="7"/>
        <v>0</v>
      </c>
      <c r="K21" s="282">
        <f>IF(Notes!$B$9="Domestic",I21, IF(Notes!$B$9="Commercial",J21))*$K$17</f>
        <v>0</v>
      </c>
      <c r="L21" s="283">
        <f>(SUM(O21:Q21)+(K21+SUM(M21:Q21))*(INDEX($U$17:$AB$17,MATCH(Notes!$C$16,$U$3:$AB$3,0))-100%))*$L$17</f>
        <v>0</v>
      </c>
      <c r="M21" s="286"/>
      <c r="N21" s="286"/>
      <c r="O21" s="285"/>
      <c r="P21" s="285"/>
      <c r="Q21" s="285"/>
      <c r="R21" s="278"/>
      <c r="S21" s="278"/>
      <c r="T21" s="278"/>
    </row>
    <row r="22" spans="1:28" s="305" customFormat="1" hidden="1" outlineLevel="1" x14ac:dyDescent="0.25">
      <c r="A22" s="278"/>
      <c r="B22" s="279" t="str">
        <f t="shared" si="6"/>
        <v/>
      </c>
      <c r="C22" s="278"/>
      <c r="D22" s="278"/>
      <c r="E22" s="278"/>
      <c r="F22" s="278"/>
      <c r="G22" s="278"/>
      <c r="H22" s="290"/>
      <c r="I22" s="280">
        <f>$I$2*H22</f>
        <v>0</v>
      </c>
      <c r="J22" s="281">
        <f t="shared" si="7"/>
        <v>0</v>
      </c>
      <c r="K22" s="282">
        <f>IF(Notes!$B$9="Domestic",I22, IF(Notes!$B$9="Commercial",J22))*$K$17</f>
        <v>0</v>
      </c>
      <c r="L22" s="283">
        <f>(SUM(O22:Q22)+(K22+SUM(M22:Q22))*(INDEX($U$17:$AB$17,MATCH(Notes!$C$16,$U$3:$AB$3,0))-100%))*$L$17</f>
        <v>0</v>
      </c>
      <c r="M22" s="286"/>
      <c r="N22" s="286"/>
      <c r="O22" s="285"/>
      <c r="P22" s="285"/>
      <c r="Q22" s="285"/>
      <c r="R22" s="278"/>
      <c r="S22" s="278"/>
      <c r="T22" s="278"/>
    </row>
    <row r="23" spans="1:28" s="305" customFormat="1" hidden="1" outlineLevel="1" x14ac:dyDescent="0.25">
      <c r="A23" s="278"/>
      <c r="B23" s="279" t="str">
        <f t="shared" si="6"/>
        <v/>
      </c>
      <c r="C23" s="278"/>
      <c r="D23" s="278"/>
      <c r="E23" s="278"/>
      <c r="F23" s="278"/>
      <c r="G23" s="278"/>
      <c r="H23" s="290"/>
      <c r="I23" s="280">
        <f t="shared" si="8"/>
        <v>0</v>
      </c>
      <c r="J23" s="281">
        <f t="shared" si="7"/>
        <v>0</v>
      </c>
      <c r="K23" s="282">
        <f>IF(Notes!$B$9="Domestic",I23, IF(Notes!$B$9="Commercial",J23))*$K$17</f>
        <v>0</v>
      </c>
      <c r="L23" s="283">
        <f>(SUM(O23:Q23)+(K23+SUM(M23:Q23))*(INDEX($U$17:$AB$17,MATCH(Notes!$C$16,$U$3:$AB$3,0))-100%))*$L$17</f>
        <v>0</v>
      </c>
      <c r="M23" s="286"/>
      <c r="N23" s="286"/>
      <c r="O23" s="285"/>
      <c r="P23" s="285"/>
      <c r="Q23" s="285"/>
      <c r="R23" s="278"/>
      <c r="S23" s="278"/>
      <c r="T23" s="278"/>
    </row>
    <row r="24" spans="1:28" s="305" customFormat="1" hidden="1" outlineLevel="1" x14ac:dyDescent="0.25">
      <c r="A24" s="278"/>
      <c r="B24" s="279" t="str">
        <f t="shared" si="6"/>
        <v/>
      </c>
      <c r="C24" s="278"/>
      <c r="D24" s="278"/>
      <c r="E24" s="278"/>
      <c r="F24" s="278"/>
      <c r="G24" s="278"/>
      <c r="H24" s="290"/>
      <c r="I24" s="280">
        <f t="shared" si="8"/>
        <v>0</v>
      </c>
      <c r="J24" s="281">
        <f t="shared" si="7"/>
        <v>0</v>
      </c>
      <c r="K24" s="282">
        <f>IF(Notes!$B$9="Domestic",I24, IF(Notes!$B$9="Commercial",J24))*$K$17</f>
        <v>0</v>
      </c>
      <c r="L24" s="283">
        <f>(SUM(O24:Q24)+(K24+SUM(M24:Q24))*(INDEX($U$17:$AB$17,MATCH(Notes!$C$16,$U$3:$AB$3,0))-100%))*$L$17</f>
        <v>0</v>
      </c>
      <c r="M24" s="286"/>
      <c r="N24" s="286"/>
      <c r="O24" s="285"/>
      <c r="P24" s="285"/>
      <c r="Q24" s="285"/>
      <c r="R24" s="278"/>
      <c r="S24" s="278"/>
      <c r="T24" s="278"/>
    </row>
    <row r="25" spans="1:28" s="305" customFormat="1" hidden="1" outlineLevel="1" x14ac:dyDescent="0.25">
      <c r="A25" s="278"/>
      <c r="B25" s="279" t="str">
        <f t="shared" si="6"/>
        <v/>
      </c>
      <c r="C25" s="278"/>
      <c r="D25" s="278"/>
      <c r="E25" s="278"/>
      <c r="F25" s="278"/>
      <c r="G25" s="278"/>
      <c r="H25" s="290"/>
      <c r="I25" s="280">
        <f t="shared" si="8"/>
        <v>0</v>
      </c>
      <c r="J25" s="281">
        <f t="shared" si="7"/>
        <v>0</v>
      </c>
      <c r="K25" s="282">
        <f>IF(Notes!$B$9="Domestic",I25, IF(Notes!$B$9="Commercial",J25))*$K$17</f>
        <v>0</v>
      </c>
      <c r="L25" s="283">
        <f>(SUM(O25:Q25)+(K25+SUM(M25:Q25))*(INDEX($U$17:$AB$17,MATCH(Notes!$C$16,$U$3:$AB$3,0))-100%))*$L$17</f>
        <v>0</v>
      </c>
      <c r="M25" s="286"/>
      <c r="N25" s="286"/>
      <c r="O25" s="285"/>
      <c r="P25" s="285"/>
      <c r="Q25" s="285"/>
      <c r="R25" s="278"/>
      <c r="S25" s="278"/>
      <c r="T25" s="278"/>
    </row>
    <row r="26" spans="1:28" s="305" customFormat="1" hidden="1" outlineLevel="1" x14ac:dyDescent="0.25">
      <c r="A26" s="278"/>
      <c r="B26" s="279" t="str">
        <f t="shared" si="6"/>
        <v/>
      </c>
      <c r="C26" s="278"/>
      <c r="D26" s="278"/>
      <c r="E26" s="278"/>
      <c r="F26" s="278"/>
      <c r="G26" s="278"/>
      <c r="H26" s="290"/>
      <c r="I26" s="280">
        <f>$I$2*H26</f>
        <v>0</v>
      </c>
      <c r="J26" s="281">
        <f t="shared" si="7"/>
        <v>0</v>
      </c>
      <c r="K26" s="282">
        <f>IF(Notes!$B$9="Domestic",I26, IF(Notes!$B$9="Commercial",J26))*$K$17</f>
        <v>0</v>
      </c>
      <c r="L26" s="283">
        <f>(SUM(O26:Q26)+(K26+SUM(M26:Q26))*(INDEX($U$17:$AB$17,MATCH(Notes!$C$16,$U$3:$AB$3,0))-100%))*$L$17</f>
        <v>0</v>
      </c>
      <c r="M26" s="286"/>
      <c r="N26" s="286"/>
      <c r="O26" s="285"/>
      <c r="P26" s="285"/>
      <c r="Q26" s="285"/>
      <c r="R26" s="278"/>
      <c r="S26" s="278"/>
      <c r="T26" s="278"/>
    </row>
    <row r="27" spans="1:28" s="305" customFormat="1" hidden="1" outlineLevel="1" x14ac:dyDescent="0.25">
      <c r="A27" s="278"/>
      <c r="B27" s="279" t="str">
        <f t="shared" si="6"/>
        <v/>
      </c>
      <c r="C27" s="278"/>
      <c r="D27" s="278"/>
      <c r="E27" s="278"/>
      <c r="F27" s="278"/>
      <c r="G27" s="278"/>
      <c r="H27" s="290"/>
      <c r="I27" s="280">
        <f t="shared" si="8"/>
        <v>0</v>
      </c>
      <c r="J27" s="281">
        <f t="shared" si="7"/>
        <v>0</v>
      </c>
      <c r="K27" s="282">
        <f>IF(Notes!$B$9="Domestic",I27, IF(Notes!$B$9="Commercial",J27))*$K$17</f>
        <v>0</v>
      </c>
      <c r="L27" s="283">
        <f>(SUM(O27:Q27)+(K27+SUM(M27:Q27))*(INDEX($U$17:$AB$17,MATCH(Notes!$C$16,$U$3:$AB$3,0))-100%))*$L$17</f>
        <v>0</v>
      </c>
      <c r="M27" s="286"/>
      <c r="N27" s="286"/>
      <c r="O27" s="285"/>
      <c r="P27" s="285"/>
      <c r="Q27" s="285"/>
      <c r="R27" s="278"/>
      <c r="S27" s="278"/>
      <c r="T27" s="278"/>
    </row>
    <row r="28" spans="1:28" ht="21" hidden="1" outlineLevel="1" x14ac:dyDescent="0.25">
      <c r="A28" s="299"/>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row>
    <row r="29" spans="1:28" ht="15.75" hidden="1" outlineLevel="1" x14ac:dyDescent="0.25">
      <c r="A29" s="291"/>
      <c r="B29" s="291"/>
      <c r="C29" s="291"/>
      <c r="D29" s="291"/>
      <c r="E29" s="291"/>
      <c r="F29" s="291"/>
      <c r="G29" s="291"/>
      <c r="H29" s="291"/>
      <c r="I29" s="291"/>
      <c r="J29" s="291"/>
      <c r="K29" s="291">
        <f>K$2</f>
        <v>1</v>
      </c>
      <c r="L29" s="291">
        <f>L$2</f>
        <v>1</v>
      </c>
      <c r="M29" s="291"/>
      <c r="N29" s="291"/>
      <c r="O29" s="303"/>
      <c r="P29" s="303"/>
      <c r="Q29" s="303"/>
      <c r="R29" s="291"/>
      <c r="S29" s="291"/>
      <c r="T29" s="291"/>
      <c r="U29" s="291">
        <f>U$2</f>
        <v>1.1603053435114505</v>
      </c>
      <c r="V29" s="291">
        <f>V$2</f>
        <v>1</v>
      </c>
      <c r="W29" s="291">
        <f t="shared" ref="W29:AB29" si="9">W$2</f>
        <v>1.0763358778625953</v>
      </c>
      <c r="X29" s="291">
        <f t="shared" si="9"/>
        <v>1.0687022900763359</v>
      </c>
      <c r="Y29" s="291">
        <f t="shared" si="9"/>
        <v>1.078880407124682</v>
      </c>
      <c r="Z29" s="291">
        <f t="shared" si="9"/>
        <v>1</v>
      </c>
      <c r="AA29" s="291">
        <f t="shared" si="9"/>
        <v>1</v>
      </c>
      <c r="AB29" s="291">
        <f t="shared" si="9"/>
        <v>1</v>
      </c>
    </row>
    <row r="30" spans="1:28" s="305" customFormat="1" ht="14.45" hidden="1" customHeight="1" outlineLevel="1" x14ac:dyDescent="0.25">
      <c r="A30" s="278"/>
      <c r="B30" s="279" t="str">
        <f>C30&amp;D30&amp;E30&amp;F30</f>
        <v/>
      </c>
      <c r="C30" s="278"/>
      <c r="D30" s="278"/>
      <c r="E30" s="278"/>
      <c r="F30" s="278"/>
      <c r="G30" s="278"/>
      <c r="H30" s="290"/>
      <c r="I30" s="280">
        <f>$I$2*H30</f>
        <v>0</v>
      </c>
      <c r="J30" s="281">
        <f>$J$2*H30</f>
        <v>0</v>
      </c>
      <c r="K30" s="282">
        <f>IF(Notes!$B$9="Domestic",I30, IF(Notes!$B$9="Commercial",J30))*$K$29</f>
        <v>0</v>
      </c>
      <c r="L30" s="283">
        <f>(SUM(O30:Q30)+(K30+SUM(M30:Q30))*(INDEX($U$29:$AB$29,MATCH(Notes!$C$16,$U$3:$AB$3,0))-100%))*$L$29</f>
        <v>0</v>
      </c>
      <c r="M30" s="286"/>
      <c r="N30" s="286"/>
      <c r="O30" s="285"/>
      <c r="P30" s="285"/>
      <c r="Q30" s="285"/>
      <c r="R30" s="278"/>
      <c r="S30" s="278"/>
      <c r="T30" s="278"/>
      <c r="U30" s="304"/>
    </row>
    <row r="31" spans="1:28" s="305" customFormat="1" ht="14.45" hidden="1" customHeight="1" outlineLevel="1" x14ac:dyDescent="0.25">
      <c r="A31" s="278"/>
      <c r="B31" s="279" t="str">
        <f t="shared" ref="B31:B39" si="10">C31&amp;D31&amp;E31&amp;F31</f>
        <v/>
      </c>
      <c r="C31" s="278"/>
      <c r="D31" s="278"/>
      <c r="E31" s="278"/>
      <c r="F31" s="278"/>
      <c r="G31" s="278"/>
      <c r="H31" s="290"/>
      <c r="I31" s="280">
        <f t="shared" ref="I31:I39" si="11">$I$2*H31</f>
        <v>0</v>
      </c>
      <c r="J31" s="281">
        <f t="shared" ref="J31:J39" si="12">$J$2*H31</f>
        <v>0</v>
      </c>
      <c r="K31" s="282">
        <f>IF(Notes!$B$9="Domestic",I31, IF(Notes!$B$9="Commercial",J31))*$K$29</f>
        <v>0</v>
      </c>
      <c r="L31" s="283">
        <f>(SUM(O31:Q31)+(K31+SUM(M31:Q31))*(INDEX($U$29:$AB$29,MATCH(Notes!$C$16,$U$3:$AB$3,0))-100%))*$L$29</f>
        <v>0</v>
      </c>
      <c r="M31" s="286"/>
      <c r="N31" s="286"/>
      <c r="O31" s="285"/>
      <c r="P31" s="285"/>
      <c r="Q31" s="285"/>
      <c r="R31" s="278"/>
      <c r="S31" s="278"/>
      <c r="T31" s="278"/>
      <c r="U31" s="304"/>
    </row>
    <row r="32" spans="1:28" s="305" customFormat="1" ht="14.45" hidden="1" customHeight="1" outlineLevel="1" x14ac:dyDescent="0.25">
      <c r="A32" s="278"/>
      <c r="B32" s="279" t="str">
        <f t="shared" si="10"/>
        <v/>
      </c>
      <c r="C32" s="278"/>
      <c r="D32" s="278"/>
      <c r="E32" s="278"/>
      <c r="F32" s="278"/>
      <c r="G32" s="278"/>
      <c r="H32" s="290"/>
      <c r="I32" s="280">
        <f>$I$2*H32</f>
        <v>0</v>
      </c>
      <c r="J32" s="281">
        <f t="shared" si="12"/>
        <v>0</v>
      </c>
      <c r="K32" s="282">
        <f>IF(Notes!$B$9="Domestic",I32, IF(Notes!$B$9="Commercial",J32))*$K$29</f>
        <v>0</v>
      </c>
      <c r="L32" s="283">
        <f>(SUM(O32:Q32)+(K32+SUM(M32:Q32))*(INDEX($U$29:$AB$29,MATCH(Notes!$C$16,$U$3:$AB$3,0))-100%))*$L$29</f>
        <v>0</v>
      </c>
      <c r="M32" s="286"/>
      <c r="N32" s="286"/>
      <c r="O32" s="285"/>
      <c r="P32" s="285"/>
      <c r="Q32" s="285"/>
      <c r="R32" s="278"/>
      <c r="S32" s="278"/>
      <c r="T32" s="278"/>
      <c r="U32" s="304"/>
    </row>
    <row r="33" spans="1:28" s="305" customFormat="1" ht="14.45" hidden="1" customHeight="1" outlineLevel="1" x14ac:dyDescent="0.25">
      <c r="A33" s="278"/>
      <c r="B33" s="279" t="str">
        <f t="shared" si="10"/>
        <v/>
      </c>
      <c r="C33" s="278"/>
      <c r="D33" s="278"/>
      <c r="E33" s="278"/>
      <c r="F33" s="278"/>
      <c r="G33" s="278"/>
      <c r="H33" s="290"/>
      <c r="I33" s="280">
        <f t="shared" si="11"/>
        <v>0</v>
      </c>
      <c r="J33" s="281">
        <f t="shared" si="12"/>
        <v>0</v>
      </c>
      <c r="K33" s="282">
        <f>IF(Notes!$B$9="Domestic",I33, IF(Notes!$B$9="Commercial",J33))*$K$29</f>
        <v>0</v>
      </c>
      <c r="L33" s="283">
        <f>(SUM(O33:Q33)+(K33+SUM(M33:Q33))*(INDEX($U$29:$AB$29,MATCH(Notes!$C$16,$U$3:$AB$3,0))-100%))*$L$29</f>
        <v>0</v>
      </c>
      <c r="M33" s="286"/>
      <c r="N33" s="286"/>
      <c r="O33" s="285"/>
      <c r="P33" s="285"/>
      <c r="Q33" s="285"/>
      <c r="R33" s="278"/>
      <c r="S33" s="278"/>
      <c r="T33" s="278"/>
    </row>
    <row r="34" spans="1:28" s="305" customFormat="1" ht="14.45" hidden="1" customHeight="1" outlineLevel="1" x14ac:dyDescent="0.25">
      <c r="A34" s="278"/>
      <c r="B34" s="279" t="str">
        <f t="shared" si="10"/>
        <v/>
      </c>
      <c r="C34" s="278"/>
      <c r="D34" s="278"/>
      <c r="E34" s="278"/>
      <c r="F34" s="278"/>
      <c r="G34" s="278"/>
      <c r="H34" s="290"/>
      <c r="I34" s="280">
        <f>$I$2*H34</f>
        <v>0</v>
      </c>
      <c r="J34" s="281">
        <f t="shared" si="12"/>
        <v>0</v>
      </c>
      <c r="K34" s="282">
        <f>IF(Notes!$B$9="Domestic",I34, IF(Notes!$B$9="Commercial",J34))*$K$29</f>
        <v>0</v>
      </c>
      <c r="L34" s="283">
        <f>(SUM(O34:Q34)+(K34+SUM(M34:Q34))*(INDEX($U$29:$AB$29,MATCH(Notes!$C$16,$U$3:$AB$3,0))-100%))*$L$29</f>
        <v>0</v>
      </c>
      <c r="M34" s="286"/>
      <c r="N34" s="286"/>
      <c r="O34" s="285"/>
      <c r="P34" s="285"/>
      <c r="Q34" s="285"/>
      <c r="R34" s="278"/>
      <c r="S34" s="278"/>
      <c r="T34" s="278"/>
    </row>
    <row r="35" spans="1:28" s="305" customFormat="1" ht="14.45" hidden="1" customHeight="1" outlineLevel="1" x14ac:dyDescent="0.25">
      <c r="A35" s="278"/>
      <c r="B35" s="279" t="str">
        <f t="shared" si="10"/>
        <v/>
      </c>
      <c r="C35" s="278"/>
      <c r="D35" s="278"/>
      <c r="E35" s="278"/>
      <c r="F35" s="278"/>
      <c r="G35" s="278"/>
      <c r="H35" s="290"/>
      <c r="I35" s="280">
        <f t="shared" si="11"/>
        <v>0</v>
      </c>
      <c r="J35" s="281">
        <f t="shared" si="12"/>
        <v>0</v>
      </c>
      <c r="K35" s="282">
        <f>IF(Notes!$B$9="Domestic",I35, IF(Notes!$B$9="Commercial",J35))*$K$29</f>
        <v>0</v>
      </c>
      <c r="L35" s="283">
        <f>(SUM(O35:Q35)+(K35+SUM(M35:Q35))*(INDEX($U$29:$AB$29,MATCH(Notes!$C$16,$U$3:$AB$3,0))-100%))*$L$29</f>
        <v>0</v>
      </c>
      <c r="M35" s="286"/>
      <c r="N35" s="286"/>
      <c r="O35" s="285"/>
      <c r="P35" s="285"/>
      <c r="Q35" s="285"/>
      <c r="R35" s="278"/>
      <c r="S35" s="278"/>
      <c r="T35" s="278"/>
    </row>
    <row r="36" spans="1:28" s="305" customFormat="1" ht="14.45" hidden="1" customHeight="1" outlineLevel="1" x14ac:dyDescent="0.25">
      <c r="A36" s="278"/>
      <c r="B36" s="279" t="str">
        <f t="shared" si="10"/>
        <v/>
      </c>
      <c r="C36" s="278"/>
      <c r="D36" s="278"/>
      <c r="E36" s="278"/>
      <c r="F36" s="278"/>
      <c r="G36" s="278"/>
      <c r="H36" s="290"/>
      <c r="I36" s="280">
        <f t="shared" si="11"/>
        <v>0</v>
      </c>
      <c r="J36" s="281">
        <f t="shared" si="12"/>
        <v>0</v>
      </c>
      <c r="K36" s="282">
        <f>IF(Notes!$B$9="Domestic",I36, IF(Notes!$B$9="Commercial",J36))*$K$29</f>
        <v>0</v>
      </c>
      <c r="L36" s="283">
        <f>(SUM(O36:Q36)+(K36+SUM(M36:Q36))*(INDEX($U$29:$AB$29,MATCH(Notes!$C$16,$U$3:$AB$3,0))-100%))*$L$29</f>
        <v>0</v>
      </c>
      <c r="M36" s="286"/>
      <c r="N36" s="286"/>
      <c r="O36" s="285"/>
      <c r="P36" s="285"/>
      <c r="Q36" s="285"/>
      <c r="R36" s="278"/>
      <c r="S36" s="278"/>
      <c r="T36" s="278"/>
    </row>
    <row r="37" spans="1:28" s="305" customFormat="1" ht="14.45" hidden="1" customHeight="1" outlineLevel="1" x14ac:dyDescent="0.25">
      <c r="A37" s="278"/>
      <c r="B37" s="279" t="str">
        <f t="shared" si="10"/>
        <v/>
      </c>
      <c r="C37" s="278"/>
      <c r="D37" s="278"/>
      <c r="E37" s="278"/>
      <c r="F37" s="278"/>
      <c r="G37" s="278"/>
      <c r="H37" s="290"/>
      <c r="I37" s="280">
        <f t="shared" si="11"/>
        <v>0</v>
      </c>
      <c r="J37" s="281">
        <f t="shared" si="12"/>
        <v>0</v>
      </c>
      <c r="K37" s="282">
        <f>IF(Notes!$B$9="Domestic",I37, IF(Notes!$B$9="Commercial",J37))*$K$29</f>
        <v>0</v>
      </c>
      <c r="L37" s="283">
        <f>(SUM(O37:Q37)+(K37+SUM(M37:Q37))*(INDEX($U$29:$AB$29,MATCH(Notes!$C$16,$U$3:$AB$3,0))-100%))*$L$29</f>
        <v>0</v>
      </c>
      <c r="M37" s="286"/>
      <c r="N37" s="286"/>
      <c r="O37" s="285"/>
      <c r="P37" s="285"/>
      <c r="Q37" s="285"/>
      <c r="R37" s="278"/>
      <c r="S37" s="278"/>
      <c r="T37" s="278"/>
    </row>
    <row r="38" spans="1:28" s="305" customFormat="1" ht="14.45" hidden="1" customHeight="1" outlineLevel="1" x14ac:dyDescent="0.25">
      <c r="A38" s="278"/>
      <c r="B38" s="279" t="str">
        <f t="shared" si="10"/>
        <v/>
      </c>
      <c r="C38" s="278"/>
      <c r="D38" s="278"/>
      <c r="E38" s="278"/>
      <c r="F38" s="278"/>
      <c r="G38" s="278"/>
      <c r="H38" s="290"/>
      <c r="I38" s="280">
        <f t="shared" si="11"/>
        <v>0</v>
      </c>
      <c r="J38" s="281">
        <f t="shared" si="12"/>
        <v>0</v>
      </c>
      <c r="K38" s="282">
        <f>IF(Notes!$B$9="Domestic",I38, IF(Notes!$B$9="Commercial",J38))*$K$29</f>
        <v>0</v>
      </c>
      <c r="L38" s="283">
        <f>(SUM(O38:Q38)+(K38+SUM(M38:Q38))*(INDEX($U$29:$AB$29,MATCH(Notes!$C$16,$U$3:$AB$3,0))-100%))*$L$29</f>
        <v>0</v>
      </c>
      <c r="M38" s="286"/>
      <c r="N38" s="286"/>
      <c r="O38" s="285"/>
      <c r="P38" s="285"/>
      <c r="Q38" s="285"/>
      <c r="R38" s="278"/>
      <c r="S38" s="278"/>
      <c r="T38" s="278"/>
    </row>
    <row r="39" spans="1:28" s="305" customFormat="1" ht="14.45" hidden="1" customHeight="1" outlineLevel="1" x14ac:dyDescent="0.25">
      <c r="A39" s="278"/>
      <c r="B39" s="279" t="str">
        <f t="shared" si="10"/>
        <v/>
      </c>
      <c r="C39" s="278"/>
      <c r="D39" s="278"/>
      <c r="E39" s="278"/>
      <c r="F39" s="278"/>
      <c r="G39" s="278"/>
      <c r="H39" s="290"/>
      <c r="I39" s="280">
        <f t="shared" si="11"/>
        <v>0</v>
      </c>
      <c r="J39" s="281">
        <f t="shared" si="12"/>
        <v>0</v>
      </c>
      <c r="K39" s="282">
        <f>IF(Notes!$B$9="Domestic",I39, IF(Notes!$B$9="Commercial",J39))*$K$29</f>
        <v>0</v>
      </c>
      <c r="L39" s="283">
        <f>(SUM(O39:Q39)+(K39+SUM(M39:Q39))*(INDEX($U$29:$AB$29,MATCH(Notes!$C$16,$U$3:$AB$3,0))-100%))*$L$29</f>
        <v>0</v>
      </c>
      <c r="M39" s="286"/>
      <c r="N39" s="286"/>
      <c r="O39" s="285"/>
      <c r="P39" s="285"/>
      <c r="Q39" s="285"/>
      <c r="R39" s="278"/>
      <c r="S39" s="278"/>
      <c r="T39" s="278"/>
    </row>
    <row r="40" spans="1:28" ht="21" hidden="1" outlineLevel="1" x14ac:dyDescent="0.25">
      <c r="A40" s="299"/>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row>
    <row r="41" spans="1:28" ht="15.75" hidden="1" outlineLevel="1" x14ac:dyDescent="0.25">
      <c r="A41" s="291"/>
      <c r="B41" s="291"/>
      <c r="C41" s="291"/>
      <c r="D41" s="291"/>
      <c r="E41" s="291"/>
      <c r="F41" s="291"/>
      <c r="G41" s="291"/>
      <c r="H41" s="291"/>
      <c r="I41" s="291"/>
      <c r="J41" s="291"/>
      <c r="K41" s="291">
        <f>K$2</f>
        <v>1</v>
      </c>
      <c r="L41" s="291">
        <f>L$2</f>
        <v>1</v>
      </c>
      <c r="M41" s="291"/>
      <c r="N41" s="291"/>
      <c r="O41" s="303"/>
      <c r="P41" s="303"/>
      <c r="Q41" s="303"/>
      <c r="R41" s="291"/>
      <c r="S41" s="291"/>
      <c r="T41" s="291"/>
      <c r="U41" s="291">
        <f>U$2</f>
        <v>1.1603053435114505</v>
      </c>
      <c r="V41" s="291">
        <f>V$2</f>
        <v>1</v>
      </c>
      <c r="W41" s="291">
        <f t="shared" ref="W41:AB41" si="13">W$2</f>
        <v>1.0763358778625953</v>
      </c>
      <c r="X41" s="291">
        <f t="shared" si="13"/>
        <v>1.0687022900763359</v>
      </c>
      <c r="Y41" s="291">
        <f t="shared" si="13"/>
        <v>1.078880407124682</v>
      </c>
      <c r="Z41" s="291">
        <f t="shared" si="13"/>
        <v>1</v>
      </c>
      <c r="AA41" s="291">
        <f t="shared" si="13"/>
        <v>1</v>
      </c>
      <c r="AB41" s="291">
        <f t="shared" si="13"/>
        <v>1</v>
      </c>
    </row>
    <row r="42" spans="1:28" s="305" customFormat="1" ht="14.45" hidden="1" customHeight="1" outlineLevel="1" x14ac:dyDescent="0.25">
      <c r="A42" s="278"/>
      <c r="B42" s="279" t="str">
        <f>C42&amp;D42&amp;E42&amp;F42</f>
        <v/>
      </c>
      <c r="C42" s="278"/>
      <c r="D42" s="278"/>
      <c r="E42" s="278"/>
      <c r="F42" s="278"/>
      <c r="G42" s="278"/>
      <c r="H42" s="290"/>
      <c r="I42" s="280">
        <f>$I$2*H42</f>
        <v>0</v>
      </c>
      <c r="J42" s="281">
        <f>$J$2*H42</f>
        <v>0</v>
      </c>
      <c r="K42" s="282">
        <f>IF(Notes!$B$9="Domestic",I42, IF(Notes!$B$9="Commercial",J42))*$K$41</f>
        <v>0</v>
      </c>
      <c r="L42" s="283">
        <f>(SUM(O42:Q42)+(K42+SUM(M42:Q42))*(INDEX($U$41:$AB$41,MATCH(Notes!$C$16,$U$3:$AB$3,0))-100%))*$L$41</f>
        <v>0</v>
      </c>
      <c r="M42" s="286"/>
      <c r="N42" s="286"/>
      <c r="O42" s="285"/>
      <c r="P42" s="285"/>
      <c r="Q42" s="285"/>
      <c r="R42" s="278"/>
      <c r="S42" s="278"/>
      <c r="T42" s="278"/>
      <c r="U42" s="304"/>
    </row>
    <row r="43" spans="1:28" s="305" customFormat="1" ht="14.45" hidden="1" customHeight="1" outlineLevel="1" x14ac:dyDescent="0.25">
      <c r="A43" s="278"/>
      <c r="B43" s="279" t="str">
        <f t="shared" ref="B43:B51" si="14">C43&amp;D43&amp;E43&amp;F43</f>
        <v/>
      </c>
      <c r="C43" s="278"/>
      <c r="D43" s="278"/>
      <c r="E43" s="278"/>
      <c r="F43" s="278"/>
      <c r="G43" s="278"/>
      <c r="H43" s="290"/>
      <c r="I43" s="280">
        <f t="shared" ref="I43:I51" si="15">$I$2*H43</f>
        <v>0</v>
      </c>
      <c r="J43" s="281">
        <f t="shared" ref="J43:J51" si="16">$J$2*H43</f>
        <v>0</v>
      </c>
      <c r="K43" s="282">
        <f>IF(Notes!$B$9="Domestic",I43, IF(Notes!$B$9="Commercial",J43))*$K$41</f>
        <v>0</v>
      </c>
      <c r="L43" s="283">
        <f>(SUM(O43:Q43)+(K43+SUM(M43:Q43))*(INDEX($U$41:$AB$41,MATCH(Notes!$C$16,$U$3:$AB$3,0))-100%))*$L$41</f>
        <v>0</v>
      </c>
      <c r="M43" s="286"/>
      <c r="N43" s="286"/>
      <c r="O43" s="285"/>
      <c r="P43" s="285"/>
      <c r="Q43" s="285"/>
      <c r="R43" s="278"/>
      <c r="S43" s="278"/>
      <c r="T43" s="278"/>
      <c r="U43" s="304"/>
    </row>
    <row r="44" spans="1:28" s="305" customFormat="1" ht="14.45" hidden="1" customHeight="1" outlineLevel="1" x14ac:dyDescent="0.25">
      <c r="A44" s="278"/>
      <c r="B44" s="279" t="str">
        <f t="shared" si="14"/>
        <v/>
      </c>
      <c r="C44" s="278"/>
      <c r="D44" s="278"/>
      <c r="E44" s="278"/>
      <c r="F44" s="278"/>
      <c r="G44" s="278"/>
      <c r="H44" s="290"/>
      <c r="I44" s="280">
        <f t="shared" si="15"/>
        <v>0</v>
      </c>
      <c r="J44" s="281">
        <f t="shared" si="16"/>
        <v>0</v>
      </c>
      <c r="K44" s="282">
        <f>IF(Notes!$B$9="Domestic",I44, IF(Notes!$B$9="Commercial",J44))*$K$41</f>
        <v>0</v>
      </c>
      <c r="L44" s="283">
        <f>(SUM(O44:Q44)+(K44+SUM(M44:Q44))*(INDEX($U$41:$AB$41,MATCH(Notes!$C$16,$U$3:$AB$3,0))-100%))*$L$41</f>
        <v>0</v>
      </c>
      <c r="M44" s="286"/>
      <c r="N44" s="286"/>
      <c r="O44" s="285"/>
      <c r="P44" s="285"/>
      <c r="Q44" s="285"/>
      <c r="R44" s="278"/>
      <c r="S44" s="278"/>
      <c r="T44" s="278"/>
      <c r="U44" s="304"/>
    </row>
    <row r="45" spans="1:28" s="305" customFormat="1" hidden="1" outlineLevel="1" x14ac:dyDescent="0.25">
      <c r="A45" s="278"/>
      <c r="B45" s="279" t="str">
        <f t="shared" si="14"/>
        <v/>
      </c>
      <c r="C45" s="278"/>
      <c r="D45" s="278"/>
      <c r="E45" s="278"/>
      <c r="F45" s="278"/>
      <c r="G45" s="278"/>
      <c r="H45" s="290"/>
      <c r="I45" s="280">
        <f t="shared" si="15"/>
        <v>0</v>
      </c>
      <c r="J45" s="281">
        <f t="shared" si="16"/>
        <v>0</v>
      </c>
      <c r="K45" s="282">
        <f>IF(Notes!$B$9="Domestic",I45, IF(Notes!$B$9="Commercial",J45))*$K$41</f>
        <v>0</v>
      </c>
      <c r="L45" s="283">
        <f>(SUM(O45:Q45)+(K45+SUM(M45:Q45))*(INDEX($U$41:$AB$41,MATCH(Notes!$C$16,$U$3:$AB$3,0))-100%))*$L$41</f>
        <v>0</v>
      </c>
      <c r="M45" s="286"/>
      <c r="N45" s="286"/>
      <c r="O45" s="285"/>
      <c r="P45" s="285"/>
      <c r="Q45" s="285"/>
      <c r="R45" s="278"/>
      <c r="S45" s="278"/>
      <c r="T45" s="278"/>
    </row>
    <row r="46" spans="1:28" s="305" customFormat="1" hidden="1" outlineLevel="1" x14ac:dyDescent="0.25">
      <c r="A46" s="278"/>
      <c r="B46" s="279" t="str">
        <f t="shared" si="14"/>
        <v/>
      </c>
      <c r="C46" s="278"/>
      <c r="D46" s="278"/>
      <c r="E46" s="278"/>
      <c r="F46" s="278"/>
      <c r="G46" s="278"/>
      <c r="H46" s="290"/>
      <c r="I46" s="280">
        <f>$I$2*H46</f>
        <v>0</v>
      </c>
      <c r="J46" s="281">
        <f t="shared" si="16"/>
        <v>0</v>
      </c>
      <c r="K46" s="282">
        <f>IF(Notes!$B$9="Domestic",I46, IF(Notes!$B$9="Commercial",J46))*$K$41</f>
        <v>0</v>
      </c>
      <c r="L46" s="283">
        <f>(SUM(O46:Q46)+(K46+SUM(M46:Q46))*(INDEX($U$41:$AB$41,MATCH(Notes!$C$16,$U$3:$AB$3,0))-100%))*$L$41</f>
        <v>0</v>
      </c>
      <c r="M46" s="286"/>
      <c r="N46" s="286"/>
      <c r="O46" s="285"/>
      <c r="P46" s="285"/>
      <c r="Q46" s="285"/>
      <c r="R46" s="278"/>
      <c r="S46" s="278"/>
      <c r="T46" s="278"/>
    </row>
    <row r="47" spans="1:28" s="305" customFormat="1" hidden="1" outlineLevel="1" x14ac:dyDescent="0.25">
      <c r="A47" s="278"/>
      <c r="B47" s="279" t="str">
        <f t="shared" si="14"/>
        <v/>
      </c>
      <c r="C47" s="278"/>
      <c r="D47" s="278"/>
      <c r="E47" s="278"/>
      <c r="F47" s="278"/>
      <c r="G47" s="278"/>
      <c r="H47" s="290"/>
      <c r="I47" s="280">
        <f t="shared" si="15"/>
        <v>0</v>
      </c>
      <c r="J47" s="281">
        <f t="shared" si="16"/>
        <v>0</v>
      </c>
      <c r="K47" s="282">
        <f>IF(Notes!$B$9="Domestic",I47, IF(Notes!$B$9="Commercial",J47))*$K$41</f>
        <v>0</v>
      </c>
      <c r="L47" s="283">
        <f>(SUM(O47:Q47)+(K47+SUM(M47:Q47))*(INDEX($U$41:$AB$41,MATCH(Notes!$C$16,$U$3:$AB$3,0))-100%))*$L$41</f>
        <v>0</v>
      </c>
      <c r="M47" s="286"/>
      <c r="N47" s="286"/>
      <c r="O47" s="285"/>
      <c r="P47" s="285"/>
      <c r="Q47" s="285"/>
      <c r="R47" s="278"/>
      <c r="S47" s="278"/>
      <c r="T47" s="278"/>
    </row>
    <row r="48" spans="1:28" s="305" customFormat="1" hidden="1" outlineLevel="1" x14ac:dyDescent="0.25">
      <c r="A48" s="278"/>
      <c r="B48" s="279" t="str">
        <f t="shared" si="14"/>
        <v/>
      </c>
      <c r="C48" s="278"/>
      <c r="D48" s="278"/>
      <c r="E48" s="278"/>
      <c r="F48" s="278"/>
      <c r="G48" s="278"/>
      <c r="H48" s="290"/>
      <c r="I48" s="280">
        <f t="shared" si="15"/>
        <v>0</v>
      </c>
      <c r="J48" s="281">
        <f t="shared" si="16"/>
        <v>0</v>
      </c>
      <c r="K48" s="282">
        <f>IF(Notes!$B$9="Domestic",I48, IF(Notes!$B$9="Commercial",J48))*$K$41</f>
        <v>0</v>
      </c>
      <c r="L48" s="283">
        <f>(SUM(O48:Q48)+(K48+SUM(M48:Q48))*(INDEX($U$41:$AB$41,MATCH(Notes!$C$16,$U$3:$AB$3,0))-100%))*$L$41</f>
        <v>0</v>
      </c>
      <c r="M48" s="286"/>
      <c r="N48" s="286"/>
      <c r="O48" s="285"/>
      <c r="P48" s="285"/>
      <c r="Q48" s="285"/>
      <c r="R48" s="278"/>
      <c r="S48" s="278"/>
      <c r="T48" s="278"/>
    </row>
    <row r="49" spans="1:28" s="305" customFormat="1" hidden="1" outlineLevel="1" x14ac:dyDescent="0.25">
      <c r="A49" s="278"/>
      <c r="B49" s="279" t="str">
        <f t="shared" si="14"/>
        <v/>
      </c>
      <c r="C49" s="278"/>
      <c r="D49" s="278"/>
      <c r="E49" s="278"/>
      <c r="F49" s="278"/>
      <c r="G49" s="278"/>
      <c r="H49" s="290"/>
      <c r="I49" s="280">
        <f t="shared" si="15"/>
        <v>0</v>
      </c>
      <c r="J49" s="281">
        <f t="shared" si="16"/>
        <v>0</v>
      </c>
      <c r="K49" s="282">
        <f>IF(Notes!$B$9="Domestic",I49, IF(Notes!$B$9="Commercial",J49))*$K$41</f>
        <v>0</v>
      </c>
      <c r="L49" s="283">
        <f>(SUM(O49:Q49)+(K49+SUM(M49:Q49))*(INDEX($U$41:$AB$41,MATCH(Notes!$C$16,$U$3:$AB$3,0))-100%))*$L$41</f>
        <v>0</v>
      </c>
      <c r="M49" s="286"/>
      <c r="N49" s="286"/>
      <c r="O49" s="285"/>
      <c r="P49" s="285"/>
      <c r="Q49" s="285"/>
      <c r="R49" s="278"/>
      <c r="S49" s="278"/>
      <c r="T49" s="278"/>
    </row>
    <row r="50" spans="1:28" s="305" customFormat="1" hidden="1" outlineLevel="1" x14ac:dyDescent="0.25">
      <c r="A50" s="278"/>
      <c r="B50" s="279" t="str">
        <f t="shared" si="14"/>
        <v/>
      </c>
      <c r="C50" s="278"/>
      <c r="D50" s="278"/>
      <c r="E50" s="278"/>
      <c r="F50" s="278"/>
      <c r="G50" s="278"/>
      <c r="H50" s="290"/>
      <c r="I50" s="280">
        <f t="shared" si="15"/>
        <v>0</v>
      </c>
      <c r="J50" s="281">
        <f t="shared" si="16"/>
        <v>0</v>
      </c>
      <c r="K50" s="282">
        <f>IF(Notes!$B$9="Domestic",I50, IF(Notes!$B$9="Commercial",J50))*$K$41</f>
        <v>0</v>
      </c>
      <c r="L50" s="283">
        <f>(SUM(O50:Q50)+(K50+SUM(M50:Q50))*(INDEX($U$41:$AB$41,MATCH(Notes!$C$16,$U$3:$AB$3,0))-100%))*$L$41</f>
        <v>0</v>
      </c>
      <c r="M50" s="286"/>
      <c r="N50" s="286"/>
      <c r="O50" s="285"/>
      <c r="P50" s="285"/>
      <c r="Q50" s="285"/>
      <c r="R50" s="278"/>
      <c r="S50" s="278"/>
      <c r="T50" s="278"/>
    </row>
    <row r="51" spans="1:28" s="305" customFormat="1" hidden="1" outlineLevel="1" x14ac:dyDescent="0.25">
      <c r="A51" s="278"/>
      <c r="B51" s="279" t="str">
        <f t="shared" si="14"/>
        <v/>
      </c>
      <c r="C51" s="278"/>
      <c r="D51" s="278"/>
      <c r="E51" s="278"/>
      <c r="F51" s="278"/>
      <c r="G51" s="278"/>
      <c r="H51" s="290"/>
      <c r="I51" s="280">
        <f t="shared" si="15"/>
        <v>0</v>
      </c>
      <c r="J51" s="281">
        <f t="shared" si="16"/>
        <v>0</v>
      </c>
      <c r="K51" s="282">
        <f>IF(Notes!$B$9="Domestic",I51, IF(Notes!$B$9="Commercial",J51))*$K$41</f>
        <v>0</v>
      </c>
      <c r="L51" s="283">
        <f>(SUM(O51:Q51)+(K51+SUM(M51:Q51))*(INDEX($U$41:$AB$41,MATCH(Notes!$C$16,$U$3:$AB$3,0))-100%))*$L$41</f>
        <v>0</v>
      </c>
      <c r="M51" s="286"/>
      <c r="N51" s="286"/>
      <c r="O51" s="285"/>
      <c r="P51" s="285"/>
      <c r="Q51" s="285"/>
      <c r="R51" s="278"/>
      <c r="S51" s="278"/>
      <c r="T51" s="278"/>
    </row>
    <row r="52" spans="1:28" ht="21" hidden="1" outlineLevel="1" x14ac:dyDescent="0.25">
      <c r="A52" s="299"/>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row>
    <row r="53" spans="1:28" ht="15.75" hidden="1" outlineLevel="1" x14ac:dyDescent="0.25">
      <c r="A53" s="291"/>
      <c r="B53" s="291"/>
      <c r="C53" s="291"/>
      <c r="D53" s="291"/>
      <c r="E53" s="291"/>
      <c r="F53" s="291"/>
      <c r="G53" s="291"/>
      <c r="H53" s="291"/>
      <c r="I53" s="291"/>
      <c r="J53" s="291"/>
      <c r="K53" s="291">
        <f>K$2</f>
        <v>1</v>
      </c>
      <c r="L53" s="291">
        <f>L$2</f>
        <v>1</v>
      </c>
      <c r="M53" s="291"/>
      <c r="N53" s="291"/>
      <c r="O53" s="303"/>
      <c r="P53" s="303"/>
      <c r="Q53" s="303"/>
      <c r="R53" s="291"/>
      <c r="S53" s="291"/>
      <c r="T53" s="291"/>
      <c r="U53" s="291">
        <f>U$2</f>
        <v>1.1603053435114505</v>
      </c>
      <c r="V53" s="291">
        <f>V$2</f>
        <v>1</v>
      </c>
      <c r="W53" s="291">
        <f t="shared" ref="W53:AB53" si="17">W$2</f>
        <v>1.0763358778625953</v>
      </c>
      <c r="X53" s="291">
        <f t="shared" si="17"/>
        <v>1.0687022900763359</v>
      </c>
      <c r="Y53" s="291">
        <f t="shared" si="17"/>
        <v>1.078880407124682</v>
      </c>
      <c r="Z53" s="291">
        <f t="shared" si="17"/>
        <v>1</v>
      </c>
      <c r="AA53" s="291">
        <f t="shared" si="17"/>
        <v>1</v>
      </c>
      <c r="AB53" s="291">
        <f t="shared" si="17"/>
        <v>1</v>
      </c>
    </row>
    <row r="54" spans="1:28" s="305" customFormat="1" ht="14.45" hidden="1" customHeight="1" outlineLevel="1" x14ac:dyDescent="0.25">
      <c r="A54" s="278"/>
      <c r="B54" s="279" t="str">
        <f>C54&amp;D54&amp;E54&amp;F54</f>
        <v/>
      </c>
      <c r="C54" s="278"/>
      <c r="D54" s="278"/>
      <c r="E54" s="278"/>
      <c r="F54" s="278"/>
      <c r="G54" s="278"/>
      <c r="H54" s="290"/>
      <c r="I54" s="280">
        <f>$I$2*H54</f>
        <v>0</v>
      </c>
      <c r="J54" s="281">
        <f>$J$2*H54</f>
        <v>0</v>
      </c>
      <c r="K54" s="282">
        <f>IF(Notes!$B$9="Domestic",I54, IF(Notes!$B$9="Commercial",J54))*$K$53</f>
        <v>0</v>
      </c>
      <c r="L54" s="283">
        <f>(SUM(O54:Q54)+(K54+SUM(M54:Q54))*(INDEX($U$53:$AB$53,MATCH(Notes!$C$16,$U$3:$AB$3,0))-100%))*$L$53</f>
        <v>0</v>
      </c>
      <c r="M54" s="286"/>
      <c r="N54" s="286"/>
      <c r="O54" s="285"/>
      <c r="P54" s="285"/>
      <c r="Q54" s="285"/>
      <c r="R54" s="278"/>
      <c r="S54" s="278"/>
      <c r="T54" s="278"/>
      <c r="U54" s="304"/>
    </row>
    <row r="55" spans="1:28" s="305" customFormat="1" ht="14.45" hidden="1" customHeight="1" outlineLevel="1" x14ac:dyDescent="0.25">
      <c r="A55" s="278"/>
      <c r="B55" s="279" t="str">
        <f t="shared" ref="B55:B63" si="18">C55&amp;D55&amp;E55&amp;F55</f>
        <v/>
      </c>
      <c r="C55" s="278"/>
      <c r="D55" s="278"/>
      <c r="E55" s="278"/>
      <c r="F55" s="278"/>
      <c r="G55" s="278"/>
      <c r="H55" s="290"/>
      <c r="I55" s="280">
        <f t="shared" ref="I55:I63" si="19">$I$2*H55</f>
        <v>0</v>
      </c>
      <c r="J55" s="281">
        <f t="shared" ref="J55:J63" si="20">$J$2*H55</f>
        <v>0</v>
      </c>
      <c r="K55" s="282">
        <f>IF(Notes!$B$9="Domestic",I55, IF(Notes!$B$9="Commercial",J55))*$K$53</f>
        <v>0</v>
      </c>
      <c r="L55" s="283">
        <f>(SUM(O55:Q55)+(K55+SUM(M55:Q55))*(INDEX($U$53:$AB$53,MATCH(Notes!$C$16,$U$3:$AB$3,0))-100%))*$L$53</f>
        <v>0</v>
      </c>
      <c r="M55" s="286"/>
      <c r="N55" s="286"/>
      <c r="O55" s="285"/>
      <c r="P55" s="285"/>
      <c r="Q55" s="285"/>
      <c r="R55" s="278"/>
      <c r="S55" s="278"/>
      <c r="T55" s="278"/>
      <c r="U55" s="304"/>
    </row>
    <row r="56" spans="1:28" s="305" customFormat="1" ht="14.45" hidden="1" customHeight="1" outlineLevel="1" x14ac:dyDescent="0.25">
      <c r="A56" s="278"/>
      <c r="B56" s="279" t="str">
        <f t="shared" si="18"/>
        <v/>
      </c>
      <c r="C56" s="278"/>
      <c r="D56" s="278"/>
      <c r="E56" s="278"/>
      <c r="F56" s="278"/>
      <c r="G56" s="278"/>
      <c r="H56" s="290"/>
      <c r="I56" s="280">
        <f t="shared" si="19"/>
        <v>0</v>
      </c>
      <c r="J56" s="281">
        <f t="shared" si="20"/>
        <v>0</v>
      </c>
      <c r="K56" s="282">
        <f>IF(Notes!$B$9="Domestic",I56, IF(Notes!$B$9="Commercial",J56))*$K$53</f>
        <v>0</v>
      </c>
      <c r="L56" s="283">
        <f>(SUM(O56:Q56)+(K56+SUM(M56:Q56))*(INDEX($U$53:$AB$53,MATCH(Notes!$C$16,$U$3:$AB$3,0))-100%))*$L$53</f>
        <v>0</v>
      </c>
      <c r="M56" s="286"/>
      <c r="N56" s="286"/>
      <c r="O56" s="285"/>
      <c r="P56" s="285"/>
      <c r="Q56" s="285"/>
      <c r="R56" s="278"/>
      <c r="S56" s="278"/>
      <c r="T56" s="278"/>
      <c r="U56" s="304"/>
    </row>
    <row r="57" spans="1:28" s="305" customFormat="1" ht="14.45" hidden="1" customHeight="1" outlineLevel="1" x14ac:dyDescent="0.25">
      <c r="A57" s="278"/>
      <c r="B57" s="279" t="str">
        <f t="shared" si="18"/>
        <v/>
      </c>
      <c r="C57" s="278"/>
      <c r="D57" s="278"/>
      <c r="E57" s="278"/>
      <c r="F57" s="278"/>
      <c r="G57" s="278"/>
      <c r="H57" s="290"/>
      <c r="I57" s="280">
        <f t="shared" si="19"/>
        <v>0</v>
      </c>
      <c r="J57" s="281">
        <f t="shared" si="20"/>
        <v>0</v>
      </c>
      <c r="K57" s="282">
        <f>IF(Notes!$B$9="Domestic",I57, IF(Notes!$B$9="Commercial",J57))*$K$53</f>
        <v>0</v>
      </c>
      <c r="L57" s="283">
        <f>(SUM(O57:Q57)+(K57+SUM(M57:Q57))*(INDEX($U$53:$AB$53,MATCH(Notes!$C$16,$U$3:$AB$3,0))-100%))*$L$53</f>
        <v>0</v>
      </c>
      <c r="M57" s="286"/>
      <c r="N57" s="286"/>
      <c r="O57" s="285"/>
      <c r="P57" s="285"/>
      <c r="Q57" s="285"/>
      <c r="R57" s="278"/>
      <c r="S57" s="278"/>
      <c r="T57" s="278"/>
    </row>
    <row r="58" spans="1:28" s="305" customFormat="1" hidden="1" outlineLevel="1" x14ac:dyDescent="0.25">
      <c r="A58" s="278"/>
      <c r="B58" s="279" t="str">
        <f t="shared" si="18"/>
        <v/>
      </c>
      <c r="C58" s="278"/>
      <c r="D58" s="278"/>
      <c r="E58" s="278"/>
      <c r="F58" s="278"/>
      <c r="G58" s="278"/>
      <c r="H58" s="290"/>
      <c r="I58" s="280">
        <f>$I$2*H58</f>
        <v>0</v>
      </c>
      <c r="J58" s="281">
        <f t="shared" si="20"/>
        <v>0</v>
      </c>
      <c r="K58" s="282">
        <f>IF(Notes!$B$9="Domestic",I58, IF(Notes!$B$9="Commercial",J58))*$K$53</f>
        <v>0</v>
      </c>
      <c r="L58" s="283">
        <f>(SUM(O58:Q58)+(K58+SUM(M58:Q58))*(INDEX($U$53:$AB$53,MATCH(Notes!$C$16,$U$3:$AB$3,0))-100%))*$L$53</f>
        <v>0</v>
      </c>
      <c r="M58" s="286"/>
      <c r="N58" s="286"/>
      <c r="O58" s="285"/>
      <c r="P58" s="285"/>
      <c r="Q58" s="285"/>
      <c r="R58" s="278"/>
      <c r="S58" s="278"/>
      <c r="T58" s="278"/>
    </row>
    <row r="59" spans="1:28" s="305" customFormat="1" hidden="1" outlineLevel="1" x14ac:dyDescent="0.25">
      <c r="A59" s="278"/>
      <c r="B59" s="279" t="str">
        <f t="shared" si="18"/>
        <v/>
      </c>
      <c r="C59" s="278"/>
      <c r="D59" s="278"/>
      <c r="E59" s="278"/>
      <c r="F59" s="278"/>
      <c r="G59" s="278"/>
      <c r="H59" s="290"/>
      <c r="I59" s="280">
        <f t="shared" si="19"/>
        <v>0</v>
      </c>
      <c r="J59" s="281">
        <f t="shared" si="20"/>
        <v>0</v>
      </c>
      <c r="K59" s="282">
        <f>IF(Notes!$B$9="Domestic",I59, IF(Notes!$B$9="Commercial",J59))*$K$53</f>
        <v>0</v>
      </c>
      <c r="L59" s="283">
        <f>(SUM(O59:Q59)+(K59+SUM(M59:Q59))*(INDEX($U$53:$AB$53,MATCH(Notes!$C$16,$U$3:$AB$3,0))-100%))*$L$53</f>
        <v>0</v>
      </c>
      <c r="M59" s="286"/>
      <c r="N59" s="286"/>
      <c r="O59" s="285"/>
      <c r="P59" s="285"/>
      <c r="Q59" s="285"/>
      <c r="R59" s="278"/>
      <c r="S59" s="278"/>
      <c r="T59" s="278"/>
    </row>
    <row r="60" spans="1:28" s="305" customFormat="1" hidden="1" outlineLevel="1" x14ac:dyDescent="0.25">
      <c r="A60" s="278"/>
      <c r="B60" s="279" t="str">
        <f t="shared" si="18"/>
        <v/>
      </c>
      <c r="C60" s="278"/>
      <c r="D60" s="278"/>
      <c r="E60" s="278"/>
      <c r="F60" s="278"/>
      <c r="G60" s="278"/>
      <c r="H60" s="290"/>
      <c r="I60" s="280">
        <f t="shared" si="19"/>
        <v>0</v>
      </c>
      <c r="J60" s="281">
        <f t="shared" si="20"/>
        <v>0</v>
      </c>
      <c r="K60" s="282">
        <f>IF(Notes!$B$9="Domestic",I60, IF(Notes!$B$9="Commercial",J60))*$K$53</f>
        <v>0</v>
      </c>
      <c r="L60" s="283">
        <f>(SUM(O60:Q60)+(K60+SUM(M60:Q60))*(INDEX($U$53:$AB$53,MATCH(Notes!$C$16,$U$3:$AB$3,0))-100%))*$L$53</f>
        <v>0</v>
      </c>
      <c r="M60" s="286"/>
      <c r="N60" s="286"/>
      <c r="O60" s="285"/>
      <c r="P60" s="285"/>
      <c r="Q60" s="285"/>
      <c r="R60" s="278"/>
      <c r="S60" s="278"/>
      <c r="T60" s="278"/>
    </row>
    <row r="61" spans="1:28" s="305" customFormat="1" hidden="1" outlineLevel="1" x14ac:dyDescent="0.25">
      <c r="A61" s="278"/>
      <c r="B61" s="279" t="str">
        <f t="shared" si="18"/>
        <v/>
      </c>
      <c r="C61" s="278"/>
      <c r="D61" s="278"/>
      <c r="E61" s="278"/>
      <c r="F61" s="278"/>
      <c r="G61" s="278"/>
      <c r="H61" s="290"/>
      <c r="I61" s="280">
        <f t="shared" si="19"/>
        <v>0</v>
      </c>
      <c r="J61" s="281">
        <f t="shared" si="20"/>
        <v>0</v>
      </c>
      <c r="K61" s="282">
        <f>IF(Notes!$B$9="Domestic",I61, IF(Notes!$B$9="Commercial",J61))*$K$53</f>
        <v>0</v>
      </c>
      <c r="L61" s="283">
        <f>(SUM(O61:Q61)+(K61+SUM(M61:Q61))*(INDEX($U$53:$AB$53,MATCH(Notes!$C$16,$U$3:$AB$3,0))-100%))*$L$53</f>
        <v>0</v>
      </c>
      <c r="M61" s="286"/>
      <c r="N61" s="286"/>
      <c r="O61" s="285"/>
      <c r="P61" s="285"/>
      <c r="Q61" s="285"/>
      <c r="R61" s="278"/>
      <c r="S61" s="278"/>
      <c r="T61" s="278"/>
    </row>
    <row r="62" spans="1:28" s="305" customFormat="1" hidden="1" outlineLevel="1" x14ac:dyDescent="0.25">
      <c r="A62" s="278"/>
      <c r="B62" s="279" t="str">
        <f t="shared" si="18"/>
        <v/>
      </c>
      <c r="C62" s="278"/>
      <c r="D62" s="278"/>
      <c r="E62" s="278"/>
      <c r="F62" s="278"/>
      <c r="G62" s="278"/>
      <c r="H62" s="290"/>
      <c r="I62" s="280">
        <f t="shared" si="19"/>
        <v>0</v>
      </c>
      <c r="J62" s="281">
        <f t="shared" si="20"/>
        <v>0</v>
      </c>
      <c r="K62" s="282">
        <f>IF(Notes!$B$9="Domestic",I62, IF(Notes!$B$9="Commercial",J62))*$K$53</f>
        <v>0</v>
      </c>
      <c r="L62" s="283">
        <f>(SUM(O62:Q62)+(K62+SUM(M62:Q62))*(INDEX($U$53:$AB$53,MATCH(Notes!$C$16,$U$3:$AB$3,0))-100%))*$L$53</f>
        <v>0</v>
      </c>
      <c r="M62" s="286"/>
      <c r="N62" s="286"/>
      <c r="O62" s="285"/>
      <c r="P62" s="285"/>
      <c r="Q62" s="285"/>
      <c r="R62" s="278"/>
      <c r="S62" s="278"/>
      <c r="T62" s="278"/>
    </row>
    <row r="63" spans="1:28" s="305" customFormat="1" hidden="1" outlineLevel="1" x14ac:dyDescent="0.25">
      <c r="A63" s="278"/>
      <c r="B63" s="279" t="str">
        <f t="shared" si="18"/>
        <v/>
      </c>
      <c r="C63" s="278"/>
      <c r="D63" s="278"/>
      <c r="E63" s="278"/>
      <c r="F63" s="278"/>
      <c r="G63" s="278"/>
      <c r="H63" s="290"/>
      <c r="I63" s="280">
        <f t="shared" si="19"/>
        <v>0</v>
      </c>
      <c r="J63" s="281">
        <f t="shared" si="20"/>
        <v>0</v>
      </c>
      <c r="K63" s="282">
        <f>IF(Notes!$B$9="Domestic",I63, IF(Notes!$B$9="Commercial",J63))*$K$53</f>
        <v>0</v>
      </c>
      <c r="L63" s="283">
        <f>(SUM(O63:Q63)+(K63+SUM(M63:Q63))*(INDEX($U$53:$AB$53,MATCH(Notes!$C$16,$U$3:$AB$3,0))-100%))*$L$53</f>
        <v>0</v>
      </c>
      <c r="M63" s="286"/>
      <c r="N63" s="286"/>
      <c r="O63" s="285"/>
      <c r="P63" s="285"/>
      <c r="Q63" s="285"/>
      <c r="R63" s="278"/>
      <c r="S63" s="278"/>
      <c r="T63" s="278"/>
    </row>
    <row r="64" spans="1:28" ht="21" hidden="1" outlineLevel="1" x14ac:dyDescent="0.25">
      <c r="A64" s="299"/>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row>
    <row r="65" spans="1:28" ht="15.75" hidden="1" outlineLevel="1" x14ac:dyDescent="0.25">
      <c r="A65" s="291"/>
      <c r="B65" s="291"/>
      <c r="C65" s="291"/>
      <c r="D65" s="291"/>
      <c r="E65" s="291"/>
      <c r="F65" s="291"/>
      <c r="G65" s="291"/>
      <c r="H65" s="291"/>
      <c r="I65" s="291"/>
      <c r="J65" s="291"/>
      <c r="K65" s="291">
        <f>K$2</f>
        <v>1</v>
      </c>
      <c r="L65" s="291">
        <f>L$2</f>
        <v>1</v>
      </c>
      <c r="M65" s="291"/>
      <c r="N65" s="291"/>
      <c r="O65" s="303"/>
      <c r="P65" s="303"/>
      <c r="Q65" s="303"/>
      <c r="R65" s="291"/>
      <c r="S65" s="291"/>
      <c r="T65" s="291"/>
      <c r="U65" s="291">
        <f>U$2</f>
        <v>1.1603053435114505</v>
      </c>
      <c r="V65" s="291">
        <f>V$2</f>
        <v>1</v>
      </c>
      <c r="W65" s="291">
        <f t="shared" ref="W65:AB65" si="21">W$2</f>
        <v>1.0763358778625953</v>
      </c>
      <c r="X65" s="291">
        <f t="shared" si="21"/>
        <v>1.0687022900763359</v>
      </c>
      <c r="Y65" s="291">
        <f t="shared" si="21"/>
        <v>1.078880407124682</v>
      </c>
      <c r="Z65" s="291">
        <f t="shared" si="21"/>
        <v>1</v>
      </c>
      <c r="AA65" s="291">
        <f t="shared" si="21"/>
        <v>1</v>
      </c>
      <c r="AB65" s="291">
        <f t="shared" si="21"/>
        <v>1</v>
      </c>
    </row>
    <row r="66" spans="1:28" s="305" customFormat="1" ht="14.45" hidden="1" customHeight="1" outlineLevel="1" x14ac:dyDescent="0.25">
      <c r="A66" s="278"/>
      <c r="B66" s="279" t="str">
        <f>C66&amp;D66&amp;E66&amp;F66</f>
        <v/>
      </c>
      <c r="C66" s="278"/>
      <c r="D66" s="278"/>
      <c r="E66" s="278"/>
      <c r="F66" s="278"/>
      <c r="G66" s="278"/>
      <c r="H66" s="290"/>
      <c r="I66" s="280">
        <f>$I$2*H66</f>
        <v>0</v>
      </c>
      <c r="J66" s="281">
        <f>$J$2*H66</f>
        <v>0</v>
      </c>
      <c r="K66" s="282">
        <f>IF(Notes!$B$9="Domestic",I66, IF(Notes!$B$9="Commercial",J66))*$K$65</f>
        <v>0</v>
      </c>
      <c r="L66" s="283">
        <f>(SUM(O66:Q66)+(K66+SUM(M66:Q66))*(INDEX($U$65:$AB$65,MATCH(Notes!$C$16,$U$3:$AB$3,0))-100%))*$L$65</f>
        <v>0</v>
      </c>
      <c r="M66" s="286"/>
      <c r="N66" s="286"/>
      <c r="O66" s="285"/>
      <c r="P66" s="285"/>
      <c r="Q66" s="285"/>
      <c r="R66" s="278"/>
      <c r="S66" s="278"/>
      <c r="T66" s="278"/>
      <c r="U66" s="304"/>
    </row>
    <row r="67" spans="1:28" s="305" customFormat="1" ht="14.45" hidden="1" customHeight="1" outlineLevel="1" x14ac:dyDescent="0.25">
      <c r="A67" s="278"/>
      <c r="B67" s="279" t="str">
        <f t="shared" ref="B67:B75" si="22">C67&amp;D67&amp;E67&amp;F67</f>
        <v/>
      </c>
      <c r="C67" s="278"/>
      <c r="D67" s="278"/>
      <c r="E67" s="278"/>
      <c r="F67" s="278"/>
      <c r="G67" s="278"/>
      <c r="H67" s="290"/>
      <c r="I67" s="280">
        <f t="shared" ref="I67:I75" si="23">$I$2*H67</f>
        <v>0</v>
      </c>
      <c r="J67" s="281">
        <f t="shared" ref="J67:J75" si="24">$J$2*H67</f>
        <v>0</v>
      </c>
      <c r="K67" s="282">
        <f>IF(Notes!$B$9="Domestic",I67, IF(Notes!$B$9="Commercial",J67))*$K$65</f>
        <v>0</v>
      </c>
      <c r="L67" s="283">
        <f>(SUM(O67:Q67)+(K67+SUM(M67:Q67))*(INDEX($U$65:$AB$65,MATCH(Notes!$C$16,$U$3:$AB$3,0))-100%))*$L$65</f>
        <v>0</v>
      </c>
      <c r="M67" s="286"/>
      <c r="N67" s="286"/>
      <c r="O67" s="285"/>
      <c r="P67" s="285"/>
      <c r="Q67" s="285"/>
      <c r="R67" s="278"/>
      <c r="S67" s="278"/>
      <c r="T67" s="278"/>
      <c r="U67" s="304"/>
    </row>
    <row r="68" spans="1:28" s="305" customFormat="1" ht="14.45" hidden="1" customHeight="1" outlineLevel="1" x14ac:dyDescent="0.25">
      <c r="A68" s="278"/>
      <c r="B68" s="279" t="str">
        <f t="shared" si="22"/>
        <v/>
      </c>
      <c r="C68" s="278"/>
      <c r="D68" s="278"/>
      <c r="E68" s="278"/>
      <c r="F68" s="278"/>
      <c r="G68" s="278"/>
      <c r="H68" s="290"/>
      <c r="I68" s="280">
        <f t="shared" si="23"/>
        <v>0</v>
      </c>
      <c r="J68" s="281">
        <f t="shared" si="24"/>
        <v>0</v>
      </c>
      <c r="K68" s="282">
        <f>IF(Notes!$B$9="Domestic",I68, IF(Notes!$B$9="Commercial",J68))*$K$65</f>
        <v>0</v>
      </c>
      <c r="L68" s="283">
        <f>(SUM(O68:Q68)+(K68+SUM(M68:Q68))*(INDEX($U$65:$AB$65,MATCH(Notes!$C$16,$U$3:$AB$3,0))-100%))*$L$65</f>
        <v>0</v>
      </c>
      <c r="M68" s="286"/>
      <c r="N68" s="286"/>
      <c r="O68" s="285"/>
      <c r="P68" s="285"/>
      <c r="Q68" s="285"/>
      <c r="R68" s="278"/>
      <c r="S68" s="278"/>
      <c r="T68" s="278"/>
      <c r="U68" s="304"/>
    </row>
    <row r="69" spans="1:28" s="305" customFormat="1" ht="14.45" hidden="1" customHeight="1" outlineLevel="1" x14ac:dyDescent="0.25">
      <c r="A69" s="278"/>
      <c r="B69" s="279" t="str">
        <f t="shared" si="22"/>
        <v/>
      </c>
      <c r="C69" s="278"/>
      <c r="D69" s="278"/>
      <c r="E69" s="278"/>
      <c r="F69" s="278"/>
      <c r="G69" s="278"/>
      <c r="H69" s="290"/>
      <c r="I69" s="280">
        <f t="shared" si="23"/>
        <v>0</v>
      </c>
      <c r="J69" s="281">
        <f t="shared" si="24"/>
        <v>0</v>
      </c>
      <c r="K69" s="282">
        <f>IF(Notes!$B$9="Domestic",I69, IF(Notes!$B$9="Commercial",J69))*$K$65</f>
        <v>0</v>
      </c>
      <c r="L69" s="283">
        <f>(SUM(O69:Q69)+(K69+SUM(M69:Q69))*(INDEX($U$65:$AB$65,MATCH(Notes!$C$16,$U$3:$AB$3,0))-100%))*$L$65</f>
        <v>0</v>
      </c>
      <c r="M69" s="286"/>
      <c r="N69" s="286"/>
      <c r="O69" s="285"/>
      <c r="P69" s="285"/>
      <c r="Q69" s="285"/>
      <c r="R69" s="278"/>
      <c r="S69" s="278"/>
      <c r="T69" s="278"/>
    </row>
    <row r="70" spans="1:28" s="305" customFormat="1" ht="14.45" hidden="1" customHeight="1" outlineLevel="1" x14ac:dyDescent="0.25">
      <c r="A70" s="278"/>
      <c r="B70" s="279" t="str">
        <f t="shared" si="22"/>
        <v/>
      </c>
      <c r="C70" s="278"/>
      <c r="D70" s="278"/>
      <c r="E70" s="278"/>
      <c r="F70" s="278"/>
      <c r="G70" s="278"/>
      <c r="H70" s="290"/>
      <c r="I70" s="280">
        <f>$I$2*H70</f>
        <v>0</v>
      </c>
      <c r="J70" s="281">
        <f t="shared" si="24"/>
        <v>0</v>
      </c>
      <c r="K70" s="282">
        <f>IF(Notes!$B$9="Domestic",I70, IF(Notes!$B$9="Commercial",J70))*$K$65</f>
        <v>0</v>
      </c>
      <c r="L70" s="283">
        <f>(SUM(O70:Q70)+(K70+SUM(M70:Q70))*(INDEX($U$65:$AB$65,MATCH(Notes!$C$16,$U$3:$AB$3,0))-100%))*$L$65</f>
        <v>0</v>
      </c>
      <c r="M70" s="286"/>
      <c r="N70" s="286"/>
      <c r="O70" s="285"/>
      <c r="P70" s="285"/>
      <c r="Q70" s="285"/>
      <c r="R70" s="278"/>
      <c r="S70" s="278"/>
      <c r="T70" s="278"/>
    </row>
    <row r="71" spans="1:28" s="305" customFormat="1" ht="14.45" hidden="1" customHeight="1" outlineLevel="1" x14ac:dyDescent="0.25">
      <c r="A71" s="278"/>
      <c r="B71" s="279" t="str">
        <f t="shared" si="22"/>
        <v/>
      </c>
      <c r="C71" s="278"/>
      <c r="D71" s="278"/>
      <c r="E71" s="278"/>
      <c r="F71" s="278"/>
      <c r="G71" s="278"/>
      <c r="H71" s="290"/>
      <c r="I71" s="280">
        <f t="shared" si="23"/>
        <v>0</v>
      </c>
      <c r="J71" s="281">
        <f t="shared" si="24"/>
        <v>0</v>
      </c>
      <c r="K71" s="282">
        <f>IF(Notes!$B$9="Domestic",I71, IF(Notes!$B$9="Commercial",J71))*$K$65</f>
        <v>0</v>
      </c>
      <c r="L71" s="283">
        <f>(SUM(O71:Q71)+(K71+SUM(M71:Q71))*(INDEX($U$65:$AB$65,MATCH(Notes!$C$16,$U$3:$AB$3,0))-100%))*$L$65</f>
        <v>0</v>
      </c>
      <c r="M71" s="286"/>
      <c r="N71" s="286"/>
      <c r="O71" s="285"/>
      <c r="P71" s="285"/>
      <c r="Q71" s="285"/>
      <c r="R71" s="278"/>
      <c r="S71" s="278"/>
      <c r="T71" s="278"/>
    </row>
    <row r="72" spans="1:28" s="305" customFormat="1" hidden="1" outlineLevel="1" x14ac:dyDescent="0.25">
      <c r="A72" s="278"/>
      <c r="B72" s="279" t="str">
        <f t="shared" si="22"/>
        <v/>
      </c>
      <c r="C72" s="278"/>
      <c r="D72" s="278"/>
      <c r="E72" s="278"/>
      <c r="F72" s="278"/>
      <c r="G72" s="278"/>
      <c r="H72" s="290"/>
      <c r="I72" s="280">
        <f t="shared" si="23"/>
        <v>0</v>
      </c>
      <c r="J72" s="281">
        <f t="shared" si="24"/>
        <v>0</v>
      </c>
      <c r="K72" s="282">
        <f>IF(Notes!$B$9="Domestic",I72, IF(Notes!$B$9="Commercial",J72))*$K$65</f>
        <v>0</v>
      </c>
      <c r="L72" s="283">
        <f>(SUM(O72:Q72)+(K72+SUM(M72:Q72))*(INDEX($U$65:$AB$65,MATCH(Notes!$C$16,$U$3:$AB$3,0))-100%))*$L$65</f>
        <v>0</v>
      </c>
      <c r="M72" s="286"/>
      <c r="N72" s="286"/>
      <c r="O72" s="285"/>
      <c r="P72" s="285"/>
      <c r="Q72" s="285"/>
      <c r="R72" s="278"/>
      <c r="S72" s="278"/>
      <c r="T72" s="278"/>
    </row>
    <row r="73" spans="1:28" s="305" customFormat="1" hidden="1" outlineLevel="1" x14ac:dyDescent="0.25">
      <c r="A73" s="278"/>
      <c r="B73" s="279" t="str">
        <f t="shared" si="22"/>
        <v/>
      </c>
      <c r="C73" s="278"/>
      <c r="D73" s="278"/>
      <c r="E73" s="278"/>
      <c r="F73" s="278"/>
      <c r="G73" s="278"/>
      <c r="H73" s="290"/>
      <c r="I73" s="280">
        <f t="shared" si="23"/>
        <v>0</v>
      </c>
      <c r="J73" s="281">
        <f t="shared" si="24"/>
        <v>0</v>
      </c>
      <c r="K73" s="282">
        <f>IF(Notes!$B$9="Domestic",I73, IF(Notes!$B$9="Commercial",J73))*$K$65</f>
        <v>0</v>
      </c>
      <c r="L73" s="283">
        <f>(SUM(O73:Q73)+(K73+SUM(M73:Q73))*(INDEX($U$65:$AB$65,MATCH(Notes!$C$16,$U$3:$AB$3,0))-100%))*$L$65</f>
        <v>0</v>
      </c>
      <c r="M73" s="286"/>
      <c r="N73" s="286"/>
      <c r="O73" s="285"/>
      <c r="P73" s="285"/>
      <c r="Q73" s="285"/>
      <c r="R73" s="278"/>
      <c r="S73" s="278"/>
      <c r="T73" s="278"/>
    </row>
    <row r="74" spans="1:28" s="305" customFormat="1" hidden="1" outlineLevel="1" x14ac:dyDescent="0.25">
      <c r="A74" s="278"/>
      <c r="B74" s="279" t="str">
        <f t="shared" si="22"/>
        <v/>
      </c>
      <c r="C74" s="278"/>
      <c r="D74" s="278"/>
      <c r="E74" s="278"/>
      <c r="F74" s="278"/>
      <c r="G74" s="278"/>
      <c r="H74" s="290"/>
      <c r="I74" s="280">
        <f t="shared" si="23"/>
        <v>0</v>
      </c>
      <c r="J74" s="281">
        <f t="shared" si="24"/>
        <v>0</v>
      </c>
      <c r="K74" s="282">
        <f>IF(Notes!$B$9="Domestic",I74, IF(Notes!$B$9="Commercial",J74))*$K$65</f>
        <v>0</v>
      </c>
      <c r="L74" s="283">
        <f>(SUM(O74:Q74)+(K74+SUM(M74:Q74))*(INDEX($U$65:$AB$65,MATCH(Notes!$C$16,$U$3:$AB$3,0))-100%))*$L$65</f>
        <v>0</v>
      </c>
      <c r="M74" s="286"/>
      <c r="N74" s="286"/>
      <c r="O74" s="285"/>
      <c r="P74" s="285"/>
      <c r="Q74" s="285"/>
      <c r="R74" s="278"/>
      <c r="S74" s="278"/>
      <c r="T74" s="278"/>
    </row>
    <row r="75" spans="1:28" s="305" customFormat="1" hidden="1" outlineLevel="1" x14ac:dyDescent="0.25">
      <c r="A75" s="278"/>
      <c r="B75" s="279" t="str">
        <f t="shared" si="22"/>
        <v/>
      </c>
      <c r="C75" s="278"/>
      <c r="D75" s="278"/>
      <c r="E75" s="278"/>
      <c r="F75" s="278"/>
      <c r="G75" s="278"/>
      <c r="H75" s="290"/>
      <c r="I75" s="280">
        <f t="shared" si="23"/>
        <v>0</v>
      </c>
      <c r="J75" s="281">
        <f t="shared" si="24"/>
        <v>0</v>
      </c>
      <c r="K75" s="282">
        <f>IF(Notes!$B$9="Domestic",I75, IF(Notes!$B$9="Commercial",J75))*$K$65</f>
        <v>0</v>
      </c>
      <c r="L75" s="283">
        <f>(SUM(O75:Q75)+(K75+SUM(M75:Q75))*(INDEX($U$65:$AB$65,MATCH(Notes!$C$16,$U$3:$AB$3,0))-100%))*$L$65</f>
        <v>0</v>
      </c>
      <c r="M75" s="286"/>
      <c r="N75" s="286"/>
      <c r="O75" s="285"/>
      <c r="P75" s="285"/>
      <c r="Q75" s="285"/>
      <c r="R75" s="278"/>
      <c r="S75" s="278"/>
      <c r="T75" s="278"/>
    </row>
    <row r="76" spans="1:28" ht="21" hidden="1" outlineLevel="1" x14ac:dyDescent="0.25">
      <c r="A76" s="299"/>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row>
    <row r="77" spans="1:28" ht="15.75" hidden="1" outlineLevel="1" x14ac:dyDescent="0.25">
      <c r="A77" s="291"/>
      <c r="B77" s="291"/>
      <c r="C77" s="291"/>
      <c r="D77" s="291"/>
      <c r="E77" s="291"/>
      <c r="F77" s="291"/>
      <c r="G77" s="291"/>
      <c r="H77" s="291"/>
      <c r="I77" s="291"/>
      <c r="J77" s="291"/>
      <c r="K77" s="291">
        <f>K$2</f>
        <v>1</v>
      </c>
      <c r="L77" s="291">
        <f>L$2</f>
        <v>1</v>
      </c>
      <c r="M77" s="291"/>
      <c r="N77" s="291"/>
      <c r="O77" s="303"/>
      <c r="P77" s="303"/>
      <c r="Q77" s="303"/>
      <c r="R77" s="291"/>
      <c r="S77" s="291"/>
      <c r="T77" s="291"/>
      <c r="U77" s="291">
        <f>U$2</f>
        <v>1.1603053435114505</v>
      </c>
      <c r="V77" s="291">
        <f>V$2</f>
        <v>1</v>
      </c>
      <c r="W77" s="291">
        <f t="shared" ref="W77:AB77" si="25">W$2</f>
        <v>1.0763358778625953</v>
      </c>
      <c r="X77" s="291">
        <f t="shared" si="25"/>
        <v>1.0687022900763359</v>
      </c>
      <c r="Y77" s="291">
        <f t="shared" si="25"/>
        <v>1.078880407124682</v>
      </c>
      <c r="Z77" s="291">
        <f t="shared" si="25"/>
        <v>1</v>
      </c>
      <c r="AA77" s="291">
        <f t="shared" si="25"/>
        <v>1</v>
      </c>
      <c r="AB77" s="291">
        <f t="shared" si="25"/>
        <v>1</v>
      </c>
    </row>
    <row r="78" spans="1:28" s="305" customFormat="1" hidden="1" outlineLevel="1" x14ac:dyDescent="0.25">
      <c r="A78" s="278"/>
      <c r="B78" s="279" t="str">
        <f>C78&amp;D78&amp;E78&amp;F78</f>
        <v/>
      </c>
      <c r="C78" s="278"/>
      <c r="D78" s="278"/>
      <c r="E78" s="278"/>
      <c r="F78" s="278"/>
      <c r="G78" s="278"/>
      <c r="H78" s="290"/>
      <c r="I78" s="280">
        <f>$I$2*H78</f>
        <v>0</v>
      </c>
      <c r="J78" s="281">
        <f>$J$2*H78</f>
        <v>0</v>
      </c>
      <c r="K78" s="282">
        <f>IF(Notes!$B$9="Domestic",I78, IF(Notes!$B$9="Commercial",J78))*$K$77</f>
        <v>0</v>
      </c>
      <c r="L78" s="283">
        <f>(SUM(O78:Q78)+(K78+SUM(M78:Q78))*(INDEX($U$77:$AB$77,MATCH(Notes!$C$16,$U$3:$AB$3,0))-100%))*$L$77</f>
        <v>0</v>
      </c>
      <c r="M78" s="286"/>
      <c r="N78" s="286"/>
      <c r="O78" s="285"/>
      <c r="P78" s="285"/>
      <c r="Q78" s="285"/>
      <c r="R78" s="278"/>
      <c r="S78" s="278"/>
      <c r="T78" s="278"/>
    </row>
    <row r="79" spans="1:28" s="305" customFormat="1" hidden="1" outlineLevel="1" x14ac:dyDescent="0.25">
      <c r="A79" s="278"/>
      <c r="B79" s="279" t="str">
        <f t="shared" ref="B79:B87" si="26">C79&amp;D79&amp;E79&amp;F79</f>
        <v/>
      </c>
      <c r="C79" s="278"/>
      <c r="D79" s="278"/>
      <c r="E79" s="278"/>
      <c r="F79" s="278"/>
      <c r="G79" s="278"/>
      <c r="H79" s="290"/>
      <c r="I79" s="280">
        <f t="shared" ref="I79:I87" si="27">$I$2*H79</f>
        <v>0</v>
      </c>
      <c r="J79" s="281">
        <f t="shared" ref="J79:J87" si="28">$J$2*H79</f>
        <v>0</v>
      </c>
      <c r="K79" s="282">
        <f>IF(Notes!$B$9="Domestic",I79, IF(Notes!$B$9="Commercial",J79))*$K$77</f>
        <v>0</v>
      </c>
      <c r="L79" s="283">
        <f>(SUM(O79:Q79)+(K79+SUM(M79:Q79))*(INDEX($U$77:$AB$77,MATCH(Notes!$C$16,$U$3:$AB$3,0))-100%))*$L$77</f>
        <v>0</v>
      </c>
      <c r="M79" s="286"/>
      <c r="N79" s="286"/>
      <c r="O79" s="285"/>
      <c r="P79" s="285"/>
      <c r="Q79" s="285"/>
      <c r="R79" s="278"/>
      <c r="S79" s="278"/>
      <c r="T79" s="278"/>
    </row>
    <row r="80" spans="1:28" s="305" customFormat="1" hidden="1" outlineLevel="1" x14ac:dyDescent="0.25">
      <c r="A80" s="278"/>
      <c r="B80" s="279" t="str">
        <f t="shared" si="26"/>
        <v/>
      </c>
      <c r="C80" s="278"/>
      <c r="D80" s="278"/>
      <c r="E80" s="278"/>
      <c r="F80" s="278"/>
      <c r="G80" s="278"/>
      <c r="H80" s="290"/>
      <c r="I80" s="280">
        <f t="shared" si="27"/>
        <v>0</v>
      </c>
      <c r="J80" s="281">
        <f t="shared" si="28"/>
        <v>0</v>
      </c>
      <c r="K80" s="282">
        <f>IF(Notes!$B$9="Domestic",I80, IF(Notes!$B$9="Commercial",J80))*$K$77</f>
        <v>0</v>
      </c>
      <c r="L80" s="283">
        <f>(SUM(O80:Q80)+(K80+SUM(M80:Q80))*(INDEX($U$77:$AB$77,MATCH(Notes!$C$16,$U$3:$AB$3,0))-100%))*$L$77</f>
        <v>0</v>
      </c>
      <c r="M80" s="286"/>
      <c r="N80" s="286"/>
      <c r="O80" s="285"/>
      <c r="P80" s="285"/>
      <c r="Q80" s="285"/>
      <c r="R80" s="278"/>
      <c r="S80" s="278"/>
      <c r="T80" s="278"/>
    </row>
    <row r="81" spans="1:28" s="305" customFormat="1" hidden="1" outlineLevel="1" x14ac:dyDescent="0.25">
      <c r="A81" s="278"/>
      <c r="B81" s="279" t="str">
        <f t="shared" si="26"/>
        <v/>
      </c>
      <c r="C81" s="278"/>
      <c r="D81" s="278"/>
      <c r="E81" s="278"/>
      <c r="F81" s="278"/>
      <c r="G81" s="278"/>
      <c r="H81" s="290"/>
      <c r="I81" s="280">
        <f t="shared" si="27"/>
        <v>0</v>
      </c>
      <c r="J81" s="281">
        <f t="shared" si="28"/>
        <v>0</v>
      </c>
      <c r="K81" s="282">
        <f>IF(Notes!$B$9="Domestic",I81, IF(Notes!$B$9="Commercial",J81))*$K$77</f>
        <v>0</v>
      </c>
      <c r="L81" s="283">
        <f>(SUM(O81:Q81)+(K81+SUM(M81:Q81))*(INDEX($U$77:$AB$77,MATCH(Notes!$C$16,$U$3:$AB$3,0))-100%))*$L$77</f>
        <v>0</v>
      </c>
      <c r="M81" s="286"/>
      <c r="N81" s="286"/>
      <c r="O81" s="285"/>
      <c r="P81" s="285"/>
      <c r="Q81" s="285"/>
      <c r="R81" s="278"/>
      <c r="S81" s="278"/>
      <c r="T81" s="278"/>
    </row>
    <row r="82" spans="1:28" s="305" customFormat="1" hidden="1" outlineLevel="1" x14ac:dyDescent="0.25">
      <c r="A82" s="278"/>
      <c r="B82" s="279" t="str">
        <f t="shared" si="26"/>
        <v/>
      </c>
      <c r="C82" s="278"/>
      <c r="D82" s="278"/>
      <c r="E82" s="278"/>
      <c r="F82" s="278"/>
      <c r="G82" s="278"/>
      <c r="H82" s="290"/>
      <c r="I82" s="280">
        <f>$I$2*H82</f>
        <v>0</v>
      </c>
      <c r="J82" s="281">
        <f t="shared" si="28"/>
        <v>0</v>
      </c>
      <c r="K82" s="282">
        <f>IF(Notes!$B$9="Domestic",I82, IF(Notes!$B$9="Commercial",J82))*$K$77</f>
        <v>0</v>
      </c>
      <c r="L82" s="283">
        <f>(SUM(O82:Q82)+(K82+SUM(M82:Q82))*(INDEX($U$77:$AB$77,MATCH(Notes!$C$16,$U$3:$AB$3,0))-100%))*$L$77</f>
        <v>0</v>
      </c>
      <c r="M82" s="286"/>
      <c r="N82" s="286"/>
      <c r="O82" s="285"/>
      <c r="P82" s="285"/>
      <c r="Q82" s="285"/>
      <c r="R82" s="278"/>
      <c r="S82" s="278"/>
      <c r="T82" s="278"/>
    </row>
    <row r="83" spans="1:28" s="305" customFormat="1" hidden="1" outlineLevel="1" x14ac:dyDescent="0.25">
      <c r="A83" s="278"/>
      <c r="B83" s="279" t="str">
        <f t="shared" si="26"/>
        <v/>
      </c>
      <c r="C83" s="278"/>
      <c r="D83" s="278"/>
      <c r="E83" s="278"/>
      <c r="F83" s="278"/>
      <c r="G83" s="278"/>
      <c r="H83" s="290"/>
      <c r="I83" s="280">
        <f t="shared" si="27"/>
        <v>0</v>
      </c>
      <c r="J83" s="281">
        <f t="shared" si="28"/>
        <v>0</v>
      </c>
      <c r="K83" s="282">
        <f>IF(Notes!$B$9="Domestic",I83, IF(Notes!$B$9="Commercial",J83))*$K$77</f>
        <v>0</v>
      </c>
      <c r="L83" s="283">
        <f>(SUM(O83:Q83)+(K83+SUM(M83:Q83))*(INDEX($U$77:$AB$77,MATCH(Notes!$C$16,$U$3:$AB$3,0))-100%))*$L$77</f>
        <v>0</v>
      </c>
      <c r="M83" s="286"/>
      <c r="N83" s="286"/>
      <c r="O83" s="285"/>
      <c r="P83" s="285"/>
      <c r="Q83" s="285"/>
      <c r="R83" s="278"/>
      <c r="S83" s="278"/>
      <c r="T83" s="278"/>
    </row>
    <row r="84" spans="1:28" s="305" customFormat="1" hidden="1" outlineLevel="1" x14ac:dyDescent="0.25">
      <c r="A84" s="278"/>
      <c r="B84" s="279" t="str">
        <f t="shared" si="26"/>
        <v/>
      </c>
      <c r="C84" s="278"/>
      <c r="D84" s="278"/>
      <c r="E84" s="278"/>
      <c r="F84" s="278"/>
      <c r="G84" s="278"/>
      <c r="H84" s="290"/>
      <c r="I84" s="280">
        <f t="shared" si="27"/>
        <v>0</v>
      </c>
      <c r="J84" s="281">
        <f t="shared" si="28"/>
        <v>0</v>
      </c>
      <c r="K84" s="282">
        <f>IF(Notes!$B$9="Domestic",I84, IF(Notes!$B$9="Commercial",J84))*$K$77</f>
        <v>0</v>
      </c>
      <c r="L84" s="283">
        <f>(SUM(O84:Q84)+(K84+SUM(M84:Q84))*(INDEX($U$77:$AB$77,MATCH(Notes!$C$16,$U$3:$AB$3,0))-100%))*$L$77</f>
        <v>0</v>
      </c>
      <c r="M84" s="286"/>
      <c r="N84" s="286"/>
      <c r="O84" s="285"/>
      <c r="P84" s="285"/>
      <c r="Q84" s="285"/>
      <c r="R84" s="278"/>
      <c r="S84" s="278"/>
      <c r="T84" s="278"/>
    </row>
    <row r="85" spans="1:28" s="305" customFormat="1" hidden="1" outlineLevel="1" x14ac:dyDescent="0.25">
      <c r="A85" s="278"/>
      <c r="B85" s="279" t="str">
        <f t="shared" si="26"/>
        <v/>
      </c>
      <c r="C85" s="278"/>
      <c r="D85" s="278"/>
      <c r="E85" s="278"/>
      <c r="F85" s="278"/>
      <c r="G85" s="278"/>
      <c r="H85" s="290"/>
      <c r="I85" s="280">
        <f t="shared" si="27"/>
        <v>0</v>
      </c>
      <c r="J85" s="281">
        <f t="shared" si="28"/>
        <v>0</v>
      </c>
      <c r="K85" s="282">
        <f>IF(Notes!$B$9="Domestic",I85, IF(Notes!$B$9="Commercial",J85))*$K$77</f>
        <v>0</v>
      </c>
      <c r="L85" s="283">
        <f>(SUM(O85:Q85)+(K85+SUM(M85:Q85))*(INDEX($U$77:$AB$77,MATCH(Notes!$C$16,$U$3:$AB$3,0))-100%))*$L$77</f>
        <v>0</v>
      </c>
      <c r="M85" s="286"/>
      <c r="N85" s="286"/>
      <c r="O85" s="285"/>
      <c r="P85" s="285"/>
      <c r="Q85" s="285"/>
      <c r="R85" s="278"/>
      <c r="S85" s="278"/>
      <c r="T85" s="278"/>
    </row>
    <row r="86" spans="1:28" s="305" customFormat="1" hidden="1" outlineLevel="1" x14ac:dyDescent="0.25">
      <c r="A86" s="278"/>
      <c r="B86" s="279" t="str">
        <f t="shared" si="26"/>
        <v/>
      </c>
      <c r="C86" s="278"/>
      <c r="D86" s="278"/>
      <c r="E86" s="278"/>
      <c r="F86" s="278"/>
      <c r="G86" s="278"/>
      <c r="H86" s="290"/>
      <c r="I86" s="280">
        <f t="shared" si="27"/>
        <v>0</v>
      </c>
      <c r="J86" s="281">
        <f t="shared" si="28"/>
        <v>0</v>
      </c>
      <c r="K86" s="282">
        <f>IF(Notes!$B$9="Domestic",I86, IF(Notes!$B$9="Commercial",J86))*$K$77</f>
        <v>0</v>
      </c>
      <c r="L86" s="283">
        <f>(SUM(O86:Q86)+(K86+SUM(M86:Q86))*(INDEX($U$77:$AB$77,MATCH(Notes!$C$16,$U$3:$AB$3,0))-100%))*$L$77</f>
        <v>0</v>
      </c>
      <c r="M86" s="286"/>
      <c r="N86" s="286"/>
      <c r="O86" s="285"/>
      <c r="P86" s="285"/>
      <c r="Q86" s="285"/>
      <c r="R86" s="278"/>
      <c r="S86" s="278"/>
      <c r="T86" s="278"/>
    </row>
    <row r="87" spans="1:28" s="305" customFormat="1" hidden="1" outlineLevel="1" x14ac:dyDescent="0.25">
      <c r="A87" s="278"/>
      <c r="B87" s="279" t="str">
        <f t="shared" si="26"/>
        <v/>
      </c>
      <c r="C87" s="278"/>
      <c r="D87" s="278"/>
      <c r="E87" s="278"/>
      <c r="F87" s="278"/>
      <c r="G87" s="278"/>
      <c r="H87" s="290"/>
      <c r="I87" s="280">
        <f t="shared" si="27"/>
        <v>0</v>
      </c>
      <c r="J87" s="281">
        <f t="shared" si="28"/>
        <v>0</v>
      </c>
      <c r="K87" s="282">
        <f>IF(Notes!$B$9="Domestic",I87, IF(Notes!$B$9="Commercial",J87))*$K$77</f>
        <v>0</v>
      </c>
      <c r="L87" s="283">
        <f>(SUM(O87:Q87)+(K87+SUM(M87:Q87))*(INDEX($U$77:$AB$77,MATCH(Notes!$C$16,$U$3:$AB$3,0))-100%))*$L$77</f>
        <v>0</v>
      </c>
      <c r="M87" s="286"/>
      <c r="N87" s="286"/>
      <c r="O87" s="285"/>
      <c r="P87" s="285"/>
      <c r="Q87" s="285"/>
      <c r="R87" s="278"/>
      <c r="S87" s="278"/>
      <c r="T87" s="278"/>
    </row>
    <row r="88" spans="1:28" ht="21" hidden="1" outlineLevel="1" x14ac:dyDescent="0.25">
      <c r="A88" s="299"/>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row>
    <row r="89" spans="1:28" ht="15.75" hidden="1" outlineLevel="1" x14ac:dyDescent="0.25">
      <c r="A89" s="291"/>
      <c r="B89" s="291"/>
      <c r="C89" s="291"/>
      <c r="D89" s="291"/>
      <c r="E89" s="291"/>
      <c r="F89" s="291"/>
      <c r="G89" s="291"/>
      <c r="H89" s="291"/>
      <c r="I89" s="291"/>
      <c r="J89" s="291"/>
      <c r="K89" s="291">
        <f>K$2</f>
        <v>1</v>
      </c>
      <c r="L89" s="291">
        <f>L$2</f>
        <v>1</v>
      </c>
      <c r="M89" s="291"/>
      <c r="N89" s="291"/>
      <c r="O89" s="303"/>
      <c r="P89" s="303"/>
      <c r="Q89" s="303"/>
      <c r="R89" s="291"/>
      <c r="S89" s="291"/>
      <c r="T89" s="291"/>
      <c r="U89" s="291">
        <f>U$2</f>
        <v>1.1603053435114505</v>
      </c>
      <c r="V89" s="291">
        <f>V$2</f>
        <v>1</v>
      </c>
      <c r="W89" s="291">
        <f t="shared" ref="W89:AB89" si="29">W$2</f>
        <v>1.0763358778625953</v>
      </c>
      <c r="X89" s="291">
        <f t="shared" si="29"/>
        <v>1.0687022900763359</v>
      </c>
      <c r="Y89" s="291">
        <f t="shared" si="29"/>
        <v>1.078880407124682</v>
      </c>
      <c r="Z89" s="291">
        <f t="shared" si="29"/>
        <v>1</v>
      </c>
      <c r="AA89" s="291">
        <f t="shared" si="29"/>
        <v>1</v>
      </c>
      <c r="AB89" s="291">
        <f t="shared" si="29"/>
        <v>1</v>
      </c>
    </row>
    <row r="90" spans="1:28" s="305" customFormat="1" hidden="1" outlineLevel="1" x14ac:dyDescent="0.25">
      <c r="A90" s="278"/>
      <c r="B90" s="279" t="str">
        <f>C90&amp;D90&amp;E90&amp;F90</f>
        <v/>
      </c>
      <c r="C90" s="278"/>
      <c r="D90" s="278"/>
      <c r="E90" s="278"/>
      <c r="F90" s="278"/>
      <c r="G90" s="278"/>
      <c r="H90" s="290"/>
      <c r="I90" s="280">
        <f>$I$2*H90</f>
        <v>0</v>
      </c>
      <c r="J90" s="281">
        <f>$J$2*H90</f>
        <v>0</v>
      </c>
      <c r="K90" s="282">
        <f>IF(Notes!$B$9="Domestic",I90, IF(Notes!$B$9="Commercial",J90))*$K$89</f>
        <v>0</v>
      </c>
      <c r="L90" s="283">
        <f>(SUM(O90:Q90)+(K90+SUM(M90:Q90))*(INDEX($U$89:$AB$89,MATCH(Notes!$C$16,$U$3:$AB$3,0))-100%))*$L$89</f>
        <v>0</v>
      </c>
      <c r="M90" s="286"/>
      <c r="N90" s="286"/>
      <c r="O90" s="285"/>
      <c r="P90" s="285"/>
      <c r="Q90" s="285"/>
      <c r="R90" s="278"/>
      <c r="S90" s="278"/>
      <c r="T90" s="278"/>
    </row>
    <row r="91" spans="1:28" s="305" customFormat="1" hidden="1" outlineLevel="1" x14ac:dyDescent="0.25">
      <c r="A91" s="278"/>
      <c r="B91" s="279" t="str">
        <f t="shared" ref="B91:B99" si="30">C91&amp;D91&amp;E91&amp;F91</f>
        <v/>
      </c>
      <c r="C91" s="278"/>
      <c r="D91" s="278"/>
      <c r="E91" s="278"/>
      <c r="F91" s="278"/>
      <c r="G91" s="278"/>
      <c r="H91" s="290"/>
      <c r="I91" s="280">
        <f t="shared" ref="I91:I99" si="31">$I$2*H91</f>
        <v>0</v>
      </c>
      <c r="J91" s="281">
        <f t="shared" ref="J91:J99" si="32">$J$2*H91</f>
        <v>0</v>
      </c>
      <c r="K91" s="282">
        <f>IF(Notes!$B$9="Domestic",I91, IF(Notes!$B$9="Commercial",J91))*$K$89</f>
        <v>0</v>
      </c>
      <c r="L91" s="283">
        <f>(SUM(O91:Q91)+(K91+SUM(M91:Q91))*(INDEX($U$89:$AB$89,MATCH(Notes!$C$16,$U$3:$AB$3,0))-100%))*$L$89</f>
        <v>0</v>
      </c>
      <c r="M91" s="286"/>
      <c r="N91" s="286"/>
      <c r="O91" s="285"/>
      <c r="P91" s="285"/>
      <c r="Q91" s="285"/>
      <c r="R91" s="278"/>
      <c r="S91" s="278"/>
      <c r="T91" s="278"/>
    </row>
    <row r="92" spans="1:28" s="305" customFormat="1" hidden="1" outlineLevel="1" x14ac:dyDescent="0.25">
      <c r="A92" s="278"/>
      <c r="B92" s="279" t="str">
        <f t="shared" si="30"/>
        <v/>
      </c>
      <c r="C92" s="278"/>
      <c r="D92" s="278"/>
      <c r="E92" s="278"/>
      <c r="F92" s="278"/>
      <c r="G92" s="278"/>
      <c r="H92" s="290"/>
      <c r="I92" s="280">
        <f t="shared" si="31"/>
        <v>0</v>
      </c>
      <c r="J92" s="281">
        <f t="shared" si="32"/>
        <v>0</v>
      </c>
      <c r="K92" s="282">
        <f>IF(Notes!$B$9="Domestic",I92, IF(Notes!$B$9="Commercial",J92))*$K$89</f>
        <v>0</v>
      </c>
      <c r="L92" s="283">
        <f>(SUM(O92:Q92)+(K92+SUM(M92:Q92))*(INDEX($U$89:$AB$89,MATCH(Notes!$C$16,$U$3:$AB$3,0))-100%))*$L$89</f>
        <v>0</v>
      </c>
      <c r="M92" s="286"/>
      <c r="N92" s="286"/>
      <c r="O92" s="285"/>
      <c r="P92" s="285"/>
      <c r="Q92" s="285"/>
      <c r="R92" s="278"/>
      <c r="S92" s="278"/>
      <c r="T92" s="278"/>
    </row>
    <row r="93" spans="1:28" s="305" customFormat="1" hidden="1" outlineLevel="1" x14ac:dyDescent="0.25">
      <c r="A93" s="278"/>
      <c r="B93" s="279" t="str">
        <f t="shared" si="30"/>
        <v/>
      </c>
      <c r="C93" s="278"/>
      <c r="D93" s="278"/>
      <c r="E93" s="278"/>
      <c r="F93" s="278"/>
      <c r="G93" s="278"/>
      <c r="H93" s="290"/>
      <c r="I93" s="280">
        <f t="shared" si="31"/>
        <v>0</v>
      </c>
      <c r="J93" s="281">
        <f t="shared" si="32"/>
        <v>0</v>
      </c>
      <c r="K93" s="282">
        <f>IF(Notes!$B$9="Domestic",I93, IF(Notes!$B$9="Commercial",J93))*$K$89</f>
        <v>0</v>
      </c>
      <c r="L93" s="283">
        <f>(SUM(O93:Q93)+(K93+SUM(M93:Q93))*(INDEX($U$89:$AB$89,MATCH(Notes!$C$16,$U$3:$AB$3,0))-100%))*$L$89</f>
        <v>0</v>
      </c>
      <c r="M93" s="286"/>
      <c r="N93" s="286"/>
      <c r="O93" s="285"/>
      <c r="P93" s="285"/>
      <c r="Q93" s="285"/>
      <c r="R93" s="278"/>
      <c r="S93" s="278"/>
      <c r="T93" s="278"/>
    </row>
    <row r="94" spans="1:28" s="305" customFormat="1" hidden="1" outlineLevel="1" x14ac:dyDescent="0.25">
      <c r="A94" s="278"/>
      <c r="B94" s="279" t="str">
        <f t="shared" si="30"/>
        <v/>
      </c>
      <c r="C94" s="278"/>
      <c r="D94" s="278"/>
      <c r="E94" s="278"/>
      <c r="F94" s="278"/>
      <c r="G94" s="278"/>
      <c r="H94" s="290"/>
      <c r="I94" s="280">
        <f>$I$2*H94</f>
        <v>0</v>
      </c>
      <c r="J94" s="281">
        <f t="shared" si="32"/>
        <v>0</v>
      </c>
      <c r="K94" s="282">
        <f>IF(Notes!$B$9="Domestic",I94, IF(Notes!$B$9="Commercial",J94))*$K$89</f>
        <v>0</v>
      </c>
      <c r="L94" s="283">
        <f>(SUM(O94:Q94)+(K94+SUM(M94:Q94))*(INDEX($U$89:$AB$89,MATCH(Notes!$C$16,$U$3:$AB$3,0))-100%))*$L$89</f>
        <v>0</v>
      </c>
      <c r="M94" s="286"/>
      <c r="N94" s="286"/>
      <c r="O94" s="285"/>
      <c r="P94" s="285"/>
      <c r="Q94" s="285"/>
      <c r="R94" s="278"/>
      <c r="S94" s="278"/>
      <c r="T94" s="278"/>
    </row>
    <row r="95" spans="1:28" s="305" customFormat="1" hidden="1" outlineLevel="1" x14ac:dyDescent="0.25">
      <c r="A95" s="278"/>
      <c r="B95" s="279" t="str">
        <f t="shared" si="30"/>
        <v/>
      </c>
      <c r="C95" s="278"/>
      <c r="D95" s="278"/>
      <c r="E95" s="278"/>
      <c r="F95" s="278"/>
      <c r="G95" s="278"/>
      <c r="H95" s="290"/>
      <c r="I95" s="280">
        <f t="shared" si="31"/>
        <v>0</v>
      </c>
      <c r="J95" s="281">
        <f t="shared" si="32"/>
        <v>0</v>
      </c>
      <c r="K95" s="282">
        <f>IF(Notes!$B$9="Domestic",I95, IF(Notes!$B$9="Commercial",J95))*$K$89</f>
        <v>0</v>
      </c>
      <c r="L95" s="283">
        <f>(SUM(O95:Q95)+(K95+SUM(M95:Q95))*(INDEX($U$89:$AB$89,MATCH(Notes!$C$16,$U$3:$AB$3,0))-100%))*$L$89</f>
        <v>0</v>
      </c>
      <c r="M95" s="286"/>
      <c r="N95" s="286"/>
      <c r="O95" s="285"/>
      <c r="P95" s="285"/>
      <c r="Q95" s="285"/>
      <c r="R95" s="278"/>
      <c r="S95" s="278"/>
      <c r="T95" s="278"/>
    </row>
    <row r="96" spans="1:28" s="305" customFormat="1" hidden="1" outlineLevel="1" x14ac:dyDescent="0.25">
      <c r="A96" s="278"/>
      <c r="B96" s="279" t="str">
        <f t="shared" si="30"/>
        <v/>
      </c>
      <c r="C96" s="278"/>
      <c r="D96" s="278"/>
      <c r="E96" s="278"/>
      <c r="F96" s="278"/>
      <c r="G96" s="278"/>
      <c r="H96" s="290"/>
      <c r="I96" s="280">
        <f t="shared" si="31"/>
        <v>0</v>
      </c>
      <c r="J96" s="281">
        <f t="shared" si="32"/>
        <v>0</v>
      </c>
      <c r="K96" s="282">
        <f>IF(Notes!$B$9="Domestic",I96, IF(Notes!$B$9="Commercial",J96))*$K$89</f>
        <v>0</v>
      </c>
      <c r="L96" s="283">
        <f>(SUM(O96:Q96)+(K96+SUM(M96:Q96))*(INDEX($U$89:$AB$89,MATCH(Notes!$C$16,$U$3:$AB$3,0))-100%))*$L$89</f>
        <v>0</v>
      </c>
      <c r="M96" s="286"/>
      <c r="N96" s="286"/>
      <c r="O96" s="285"/>
      <c r="P96" s="285"/>
      <c r="Q96" s="285"/>
      <c r="R96" s="278"/>
      <c r="S96" s="278"/>
      <c r="T96" s="278"/>
    </row>
    <row r="97" spans="1:28" s="305" customFormat="1" hidden="1" outlineLevel="1" x14ac:dyDescent="0.25">
      <c r="A97" s="278"/>
      <c r="B97" s="279" t="str">
        <f t="shared" si="30"/>
        <v/>
      </c>
      <c r="C97" s="278"/>
      <c r="D97" s="278"/>
      <c r="E97" s="278"/>
      <c r="F97" s="278"/>
      <c r="G97" s="278"/>
      <c r="H97" s="290"/>
      <c r="I97" s="280">
        <f t="shared" si="31"/>
        <v>0</v>
      </c>
      <c r="J97" s="281">
        <f t="shared" si="32"/>
        <v>0</v>
      </c>
      <c r="K97" s="282">
        <f>IF(Notes!$B$9="Domestic",I97, IF(Notes!$B$9="Commercial",J97))*$K$89</f>
        <v>0</v>
      </c>
      <c r="L97" s="283">
        <f>(SUM(O97:Q97)+(K97+SUM(M97:Q97))*(INDEX($U$89:$AB$89,MATCH(Notes!$C$16,$U$3:$AB$3,0))-100%))*$L$89</f>
        <v>0</v>
      </c>
      <c r="M97" s="286"/>
      <c r="N97" s="286"/>
      <c r="O97" s="285"/>
      <c r="P97" s="285"/>
      <c r="Q97" s="285"/>
      <c r="R97" s="278"/>
      <c r="S97" s="278"/>
      <c r="T97" s="278"/>
    </row>
    <row r="98" spans="1:28" s="305" customFormat="1" hidden="1" outlineLevel="1" x14ac:dyDescent="0.25">
      <c r="A98" s="278"/>
      <c r="B98" s="279" t="str">
        <f t="shared" si="30"/>
        <v/>
      </c>
      <c r="C98" s="278"/>
      <c r="D98" s="278"/>
      <c r="E98" s="278"/>
      <c r="F98" s="278"/>
      <c r="G98" s="278"/>
      <c r="H98" s="290"/>
      <c r="I98" s="280">
        <f t="shared" si="31"/>
        <v>0</v>
      </c>
      <c r="J98" s="281">
        <f t="shared" si="32"/>
        <v>0</v>
      </c>
      <c r="K98" s="282">
        <f>IF(Notes!$B$9="Domestic",I98, IF(Notes!$B$9="Commercial",J98))*$K$89</f>
        <v>0</v>
      </c>
      <c r="L98" s="283">
        <f>(SUM(O98:Q98)+(K98+SUM(M98:Q98))*(INDEX($U$89:$AB$89,MATCH(Notes!$C$16,$U$3:$AB$3,0))-100%))*$L$89</f>
        <v>0</v>
      </c>
      <c r="M98" s="286"/>
      <c r="N98" s="286"/>
      <c r="O98" s="285"/>
      <c r="P98" s="285"/>
      <c r="Q98" s="285"/>
      <c r="R98" s="278"/>
      <c r="S98" s="278"/>
      <c r="T98" s="278"/>
    </row>
    <row r="99" spans="1:28" s="305" customFormat="1" hidden="1" outlineLevel="1" x14ac:dyDescent="0.25">
      <c r="A99" s="278"/>
      <c r="B99" s="279" t="str">
        <f t="shared" si="30"/>
        <v/>
      </c>
      <c r="C99" s="278"/>
      <c r="D99" s="278"/>
      <c r="E99" s="278"/>
      <c r="F99" s="278"/>
      <c r="G99" s="278"/>
      <c r="H99" s="290"/>
      <c r="I99" s="280">
        <f t="shared" si="31"/>
        <v>0</v>
      </c>
      <c r="J99" s="281">
        <f t="shared" si="32"/>
        <v>0</v>
      </c>
      <c r="K99" s="282">
        <f>IF(Notes!$B$9="Domestic",I99, IF(Notes!$B$9="Commercial",J99))*$K$89</f>
        <v>0</v>
      </c>
      <c r="L99" s="283">
        <f>(SUM(O99:Q99)+(K99+SUM(M99:Q99))*(INDEX($U$89:$AB$89,MATCH(Notes!$C$16,$U$3:$AB$3,0))-100%))*$L$89</f>
        <v>0</v>
      </c>
      <c r="M99" s="286"/>
      <c r="N99" s="286"/>
      <c r="O99" s="285"/>
      <c r="P99" s="285"/>
      <c r="Q99" s="285"/>
      <c r="R99" s="278"/>
      <c r="S99" s="278"/>
      <c r="T99" s="278"/>
    </row>
    <row r="100" spans="1:28" ht="21" hidden="1" outlineLevel="1" x14ac:dyDescent="0.25">
      <c r="A100" s="299"/>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row>
    <row r="101" spans="1:28" ht="15.75" hidden="1" outlineLevel="1" x14ac:dyDescent="0.25">
      <c r="A101" s="291"/>
      <c r="B101" s="291"/>
      <c r="C101" s="291"/>
      <c r="D101" s="291"/>
      <c r="E101" s="291"/>
      <c r="F101" s="291"/>
      <c r="G101" s="291"/>
      <c r="H101" s="291"/>
      <c r="I101" s="291"/>
      <c r="J101" s="291"/>
      <c r="K101" s="291">
        <f>K$2</f>
        <v>1</v>
      </c>
      <c r="L101" s="291">
        <f>L$2</f>
        <v>1</v>
      </c>
      <c r="M101" s="291"/>
      <c r="N101" s="291"/>
      <c r="O101" s="303"/>
      <c r="P101" s="303"/>
      <c r="Q101" s="303"/>
      <c r="R101" s="291"/>
      <c r="S101" s="291"/>
      <c r="T101" s="291"/>
      <c r="U101" s="291">
        <f>U$2</f>
        <v>1.1603053435114505</v>
      </c>
      <c r="V101" s="291">
        <f>V$2</f>
        <v>1</v>
      </c>
      <c r="W101" s="291">
        <f t="shared" ref="W101:AB101" si="33">W$2</f>
        <v>1.0763358778625953</v>
      </c>
      <c r="X101" s="291">
        <f t="shared" si="33"/>
        <v>1.0687022900763359</v>
      </c>
      <c r="Y101" s="291">
        <f t="shared" si="33"/>
        <v>1.078880407124682</v>
      </c>
      <c r="Z101" s="291">
        <f t="shared" si="33"/>
        <v>1</v>
      </c>
      <c r="AA101" s="291">
        <f t="shared" si="33"/>
        <v>1</v>
      </c>
      <c r="AB101" s="291">
        <f t="shared" si="33"/>
        <v>1</v>
      </c>
    </row>
    <row r="102" spans="1:28" s="305" customFormat="1" hidden="1" outlineLevel="1" x14ac:dyDescent="0.25">
      <c r="A102" s="278"/>
      <c r="B102" s="279" t="str">
        <f>C102&amp;D102&amp;E102&amp;F102</f>
        <v/>
      </c>
      <c r="C102" s="278"/>
      <c r="D102" s="278"/>
      <c r="E102" s="278"/>
      <c r="F102" s="278"/>
      <c r="G102" s="278"/>
      <c r="H102" s="290"/>
      <c r="I102" s="280">
        <f>$I$2*H102</f>
        <v>0</v>
      </c>
      <c r="J102" s="281">
        <f>$J$2*H102</f>
        <v>0</v>
      </c>
      <c r="K102" s="282">
        <f>IF(Notes!$B$9="Domestic",I102, IF(Notes!$B$9="Commercial",J102))*$K$101</f>
        <v>0</v>
      </c>
      <c r="L102" s="283">
        <f>(SUM(O102:Q102)+(K102+SUM(M102:Q102))*(INDEX($U$101:$AB$101,MATCH(Notes!$C$16,$U$3:$AB$3,0))-100%))*$L$101</f>
        <v>0</v>
      </c>
      <c r="M102" s="286"/>
      <c r="N102" s="286"/>
      <c r="O102" s="285"/>
      <c r="P102" s="285"/>
      <c r="Q102" s="285"/>
      <c r="R102" s="278"/>
      <c r="S102" s="278"/>
      <c r="T102" s="278"/>
    </row>
    <row r="103" spans="1:28" s="305" customFormat="1" hidden="1" outlineLevel="1" x14ac:dyDescent="0.25">
      <c r="A103" s="278"/>
      <c r="B103" s="279" t="str">
        <f t="shared" ref="B103:B111" si="34">C103&amp;D103&amp;E103&amp;F103</f>
        <v/>
      </c>
      <c r="C103" s="278"/>
      <c r="D103" s="278"/>
      <c r="E103" s="278"/>
      <c r="F103" s="278"/>
      <c r="G103" s="278"/>
      <c r="H103" s="290"/>
      <c r="I103" s="280">
        <f t="shared" ref="I103:I111" si="35">$I$2*H103</f>
        <v>0</v>
      </c>
      <c r="J103" s="281">
        <f t="shared" ref="J103:J111" si="36">$J$2*H103</f>
        <v>0</v>
      </c>
      <c r="K103" s="282">
        <f>IF(Notes!$B$9="Domestic",I103, IF(Notes!$B$9="Commercial",J103))*$K$101</f>
        <v>0</v>
      </c>
      <c r="L103" s="283">
        <f>(SUM(O103:Q103)+(K103+SUM(M103:Q103))*(INDEX($U$101:$AB$101,MATCH(Notes!$C$16,$U$3:$AB$3,0))-100%))*$L$101</f>
        <v>0</v>
      </c>
      <c r="M103" s="286"/>
      <c r="N103" s="286"/>
      <c r="O103" s="285"/>
      <c r="P103" s="285"/>
      <c r="Q103" s="285"/>
      <c r="R103" s="278"/>
      <c r="S103" s="278"/>
      <c r="T103" s="278"/>
    </row>
    <row r="104" spans="1:28" s="305" customFormat="1" hidden="1" outlineLevel="1" x14ac:dyDescent="0.25">
      <c r="A104" s="278"/>
      <c r="B104" s="279" t="str">
        <f t="shared" si="34"/>
        <v/>
      </c>
      <c r="C104" s="278"/>
      <c r="D104" s="278"/>
      <c r="E104" s="278"/>
      <c r="F104" s="278"/>
      <c r="G104" s="278"/>
      <c r="H104" s="290"/>
      <c r="I104" s="280">
        <f t="shared" si="35"/>
        <v>0</v>
      </c>
      <c r="J104" s="281">
        <f t="shared" si="36"/>
        <v>0</v>
      </c>
      <c r="K104" s="282">
        <f>IF(Notes!$B$9="Domestic",I104, IF(Notes!$B$9="Commercial",J104))*$K$101</f>
        <v>0</v>
      </c>
      <c r="L104" s="283">
        <f>(SUM(O104:Q104)+(K104+SUM(M104:Q104))*(INDEX($U$101:$AB$101,MATCH(Notes!$C$16,$U$3:$AB$3,0))-100%))*$L$101</f>
        <v>0</v>
      </c>
      <c r="M104" s="286"/>
      <c r="N104" s="286"/>
      <c r="O104" s="285"/>
      <c r="P104" s="285"/>
      <c r="Q104" s="285"/>
      <c r="R104" s="278"/>
      <c r="S104" s="278"/>
      <c r="T104" s="278"/>
    </row>
    <row r="105" spans="1:28" s="305" customFormat="1" hidden="1" outlineLevel="1" x14ac:dyDescent="0.25">
      <c r="A105" s="278"/>
      <c r="B105" s="279" t="str">
        <f t="shared" si="34"/>
        <v/>
      </c>
      <c r="C105" s="278"/>
      <c r="D105" s="278"/>
      <c r="E105" s="278"/>
      <c r="F105" s="278"/>
      <c r="G105" s="278"/>
      <c r="H105" s="290"/>
      <c r="I105" s="280">
        <f t="shared" si="35"/>
        <v>0</v>
      </c>
      <c r="J105" s="281">
        <f t="shared" si="36"/>
        <v>0</v>
      </c>
      <c r="K105" s="282">
        <f>IF(Notes!$B$9="Domestic",I105, IF(Notes!$B$9="Commercial",J105))*$K$101</f>
        <v>0</v>
      </c>
      <c r="L105" s="283">
        <f>(SUM(O105:Q105)+(K105+SUM(M105:Q105))*(INDEX($U$101:$AB$101,MATCH(Notes!$C$16,$U$3:$AB$3,0))-100%))*$L$101</f>
        <v>0</v>
      </c>
      <c r="M105" s="286"/>
      <c r="N105" s="286"/>
      <c r="O105" s="285"/>
      <c r="P105" s="285"/>
      <c r="Q105" s="285"/>
      <c r="R105" s="278"/>
      <c r="S105" s="278"/>
      <c r="T105" s="278"/>
    </row>
    <row r="106" spans="1:28" s="305" customFormat="1" hidden="1" outlineLevel="1" x14ac:dyDescent="0.25">
      <c r="A106" s="278"/>
      <c r="B106" s="279" t="str">
        <f t="shared" si="34"/>
        <v/>
      </c>
      <c r="C106" s="278"/>
      <c r="D106" s="278"/>
      <c r="E106" s="278"/>
      <c r="F106" s="278"/>
      <c r="G106" s="278"/>
      <c r="H106" s="290"/>
      <c r="I106" s="280">
        <f>$I$2*H106</f>
        <v>0</v>
      </c>
      <c r="J106" s="281">
        <f t="shared" si="36"/>
        <v>0</v>
      </c>
      <c r="K106" s="282">
        <f>IF(Notes!$B$9="Domestic",I106, IF(Notes!$B$9="Commercial",J106))*$K$101</f>
        <v>0</v>
      </c>
      <c r="L106" s="283">
        <f>(SUM(O106:Q106)+(K106+SUM(M106:Q106))*(INDEX($U$101:$AB$101,MATCH(Notes!$C$16,$U$3:$AB$3,0))-100%))*$L$101</f>
        <v>0</v>
      </c>
      <c r="M106" s="286"/>
      <c r="N106" s="286"/>
      <c r="O106" s="285"/>
      <c r="P106" s="285"/>
      <c r="Q106" s="285"/>
      <c r="R106" s="278"/>
      <c r="S106" s="278"/>
      <c r="T106" s="278"/>
    </row>
    <row r="107" spans="1:28" s="305" customFormat="1" hidden="1" outlineLevel="1" x14ac:dyDescent="0.25">
      <c r="A107" s="278"/>
      <c r="B107" s="279" t="str">
        <f t="shared" si="34"/>
        <v/>
      </c>
      <c r="C107" s="278"/>
      <c r="D107" s="278"/>
      <c r="E107" s="278"/>
      <c r="F107" s="278"/>
      <c r="G107" s="278"/>
      <c r="H107" s="290"/>
      <c r="I107" s="280">
        <f t="shared" si="35"/>
        <v>0</v>
      </c>
      <c r="J107" s="281">
        <f t="shared" si="36"/>
        <v>0</v>
      </c>
      <c r="K107" s="282">
        <f>IF(Notes!$B$9="Domestic",I107, IF(Notes!$B$9="Commercial",J107))*$K$101</f>
        <v>0</v>
      </c>
      <c r="L107" s="283">
        <f>(SUM(O107:Q107)+(K107+SUM(M107:Q107))*(INDEX($U$101:$AB$101,MATCH(Notes!$C$16,$U$3:$AB$3,0))-100%))*$L$101</f>
        <v>0</v>
      </c>
      <c r="M107" s="286"/>
      <c r="N107" s="286"/>
      <c r="O107" s="285"/>
      <c r="P107" s="285"/>
      <c r="Q107" s="285"/>
      <c r="R107" s="278"/>
      <c r="S107" s="278"/>
      <c r="T107" s="278"/>
    </row>
    <row r="108" spans="1:28" s="305" customFormat="1" hidden="1" outlineLevel="1" x14ac:dyDescent="0.25">
      <c r="A108" s="278"/>
      <c r="B108" s="279" t="str">
        <f t="shared" si="34"/>
        <v/>
      </c>
      <c r="C108" s="278"/>
      <c r="D108" s="278"/>
      <c r="E108" s="278"/>
      <c r="F108" s="278"/>
      <c r="G108" s="278"/>
      <c r="H108" s="290"/>
      <c r="I108" s="280">
        <f t="shared" si="35"/>
        <v>0</v>
      </c>
      <c r="J108" s="281">
        <f t="shared" si="36"/>
        <v>0</v>
      </c>
      <c r="K108" s="282">
        <f>IF(Notes!$B$9="Domestic",I108, IF(Notes!$B$9="Commercial",J108))*$K$101</f>
        <v>0</v>
      </c>
      <c r="L108" s="283">
        <f>(SUM(O108:Q108)+(K108+SUM(M108:Q108))*(INDEX($U$101:$AB$101,MATCH(Notes!$C$16,$U$3:$AB$3,0))-100%))*$L$101</f>
        <v>0</v>
      </c>
      <c r="M108" s="286"/>
      <c r="N108" s="286"/>
      <c r="O108" s="285"/>
      <c r="P108" s="285"/>
      <c r="Q108" s="285"/>
      <c r="R108" s="278"/>
      <c r="S108" s="278"/>
      <c r="T108" s="278"/>
    </row>
    <row r="109" spans="1:28" s="305" customFormat="1" hidden="1" outlineLevel="1" x14ac:dyDescent="0.25">
      <c r="A109" s="278"/>
      <c r="B109" s="279" t="str">
        <f t="shared" si="34"/>
        <v/>
      </c>
      <c r="C109" s="278"/>
      <c r="D109" s="278"/>
      <c r="E109" s="278"/>
      <c r="F109" s="278"/>
      <c r="G109" s="278"/>
      <c r="H109" s="290"/>
      <c r="I109" s="280">
        <f t="shared" si="35"/>
        <v>0</v>
      </c>
      <c r="J109" s="281">
        <f t="shared" si="36"/>
        <v>0</v>
      </c>
      <c r="K109" s="282">
        <f>IF(Notes!$B$9="Domestic",I109, IF(Notes!$B$9="Commercial",J109))*$K$101</f>
        <v>0</v>
      </c>
      <c r="L109" s="283">
        <f>(SUM(O109:Q109)+(K109+SUM(M109:Q109))*(INDEX($U$101:$AB$101,MATCH(Notes!$C$16,$U$3:$AB$3,0))-100%))*$L$101</f>
        <v>0</v>
      </c>
      <c r="M109" s="286"/>
      <c r="N109" s="286"/>
      <c r="O109" s="285"/>
      <c r="P109" s="285"/>
      <c r="Q109" s="285"/>
      <c r="R109" s="278"/>
      <c r="S109" s="278"/>
      <c r="T109" s="278"/>
    </row>
    <row r="110" spans="1:28" s="305" customFormat="1" hidden="1" outlineLevel="1" x14ac:dyDescent="0.25">
      <c r="A110" s="278"/>
      <c r="B110" s="279" t="str">
        <f t="shared" si="34"/>
        <v/>
      </c>
      <c r="C110" s="278"/>
      <c r="D110" s="278"/>
      <c r="E110" s="278"/>
      <c r="F110" s="278"/>
      <c r="G110" s="278"/>
      <c r="H110" s="290"/>
      <c r="I110" s="280">
        <f t="shared" si="35"/>
        <v>0</v>
      </c>
      <c r="J110" s="281">
        <f t="shared" si="36"/>
        <v>0</v>
      </c>
      <c r="K110" s="282">
        <f>IF(Notes!$B$9="Domestic",I110, IF(Notes!$B$9="Commercial",J110))*$K$101</f>
        <v>0</v>
      </c>
      <c r="L110" s="283">
        <f>(SUM(O110:Q110)+(K110+SUM(M110:Q110))*(INDEX($U$101:$AB$101,MATCH(Notes!$C$16,$U$3:$AB$3,0))-100%))*$L$101</f>
        <v>0</v>
      </c>
      <c r="M110" s="286"/>
      <c r="N110" s="286"/>
      <c r="O110" s="285"/>
      <c r="P110" s="285"/>
      <c r="Q110" s="285"/>
      <c r="R110" s="278"/>
      <c r="S110" s="278"/>
      <c r="T110" s="278"/>
    </row>
    <row r="111" spans="1:28" s="305" customFormat="1" hidden="1" outlineLevel="1" x14ac:dyDescent="0.25">
      <c r="A111" s="278"/>
      <c r="B111" s="279" t="str">
        <f t="shared" si="34"/>
        <v/>
      </c>
      <c r="C111" s="278"/>
      <c r="D111" s="278"/>
      <c r="E111" s="278"/>
      <c r="F111" s="278"/>
      <c r="G111" s="278"/>
      <c r="H111" s="290"/>
      <c r="I111" s="280">
        <f t="shared" si="35"/>
        <v>0</v>
      </c>
      <c r="J111" s="281">
        <f t="shared" si="36"/>
        <v>0</v>
      </c>
      <c r="K111" s="282">
        <f>IF(Notes!$B$9="Domestic",I111, IF(Notes!$B$9="Commercial",J111))*$K$101</f>
        <v>0</v>
      </c>
      <c r="L111" s="283">
        <f>(SUM(O111:Q111)+(K111+SUM(M111:Q111))*(INDEX($U$101:$AB$101,MATCH(Notes!$C$16,$U$3:$AB$3,0))-100%))*$L$101</f>
        <v>0</v>
      </c>
      <c r="M111" s="286"/>
      <c r="N111" s="286"/>
      <c r="O111" s="285"/>
      <c r="P111" s="285"/>
      <c r="Q111" s="285"/>
      <c r="R111" s="278"/>
      <c r="S111" s="278"/>
      <c r="T111" s="278"/>
    </row>
    <row r="112" spans="1:28" ht="21" hidden="1" outlineLevel="1" x14ac:dyDescent="0.25">
      <c r="A112" s="299"/>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row>
    <row r="113" spans="1:28" ht="15.75" hidden="1" outlineLevel="1" x14ac:dyDescent="0.25">
      <c r="A113" s="291"/>
      <c r="B113" s="291"/>
      <c r="C113" s="291"/>
      <c r="D113" s="291"/>
      <c r="E113" s="291"/>
      <c r="F113" s="291"/>
      <c r="G113" s="291"/>
      <c r="H113" s="291"/>
      <c r="I113" s="291"/>
      <c r="J113" s="291"/>
      <c r="K113" s="291">
        <f>K$2</f>
        <v>1</v>
      </c>
      <c r="L113" s="291">
        <f>L$2</f>
        <v>1</v>
      </c>
      <c r="M113" s="291"/>
      <c r="N113" s="291"/>
      <c r="O113" s="303"/>
      <c r="P113" s="303"/>
      <c r="Q113" s="303"/>
      <c r="R113" s="291"/>
      <c r="S113" s="291"/>
      <c r="T113" s="291"/>
      <c r="U113" s="291">
        <f>U$2</f>
        <v>1.1603053435114505</v>
      </c>
      <c r="V113" s="291">
        <f>V$2</f>
        <v>1</v>
      </c>
      <c r="W113" s="291">
        <f t="shared" ref="W113:AB113" si="37">W$2</f>
        <v>1.0763358778625953</v>
      </c>
      <c r="X113" s="291">
        <f t="shared" si="37"/>
        <v>1.0687022900763359</v>
      </c>
      <c r="Y113" s="291">
        <f t="shared" si="37"/>
        <v>1.078880407124682</v>
      </c>
      <c r="Z113" s="291">
        <f t="shared" si="37"/>
        <v>1</v>
      </c>
      <c r="AA113" s="291">
        <f t="shared" si="37"/>
        <v>1</v>
      </c>
      <c r="AB113" s="291">
        <f t="shared" si="37"/>
        <v>1</v>
      </c>
    </row>
    <row r="114" spans="1:28" s="305" customFormat="1" hidden="1" outlineLevel="1" x14ac:dyDescent="0.25">
      <c r="A114" s="278"/>
      <c r="B114" s="279" t="str">
        <f>C114&amp;D114&amp;E114&amp;F114</f>
        <v/>
      </c>
      <c r="C114" s="278"/>
      <c r="D114" s="278"/>
      <c r="E114" s="278"/>
      <c r="F114" s="278"/>
      <c r="G114" s="278"/>
      <c r="H114" s="290"/>
      <c r="I114" s="280">
        <f>$I$2*H114</f>
        <v>0</v>
      </c>
      <c r="J114" s="281">
        <f>$J$2*H114</f>
        <v>0</v>
      </c>
      <c r="K114" s="282">
        <f>IF(Notes!$B$9="Domestic",I114, IF(Notes!$B$9="Commercial",J114))*$K$113</f>
        <v>0</v>
      </c>
      <c r="L114" s="283">
        <f>(SUM(O114:Q114)+(K114+SUM(M114:Q114))*(INDEX($U$113:$AB$113,MATCH(Notes!$C$16,$U$3:$AB$3,0))-100%))*$L$113</f>
        <v>0</v>
      </c>
      <c r="M114" s="286"/>
      <c r="N114" s="286"/>
      <c r="O114" s="285"/>
      <c r="P114" s="285"/>
      <c r="Q114" s="285"/>
      <c r="R114" s="278"/>
      <c r="S114" s="278"/>
      <c r="T114" s="278"/>
    </row>
    <row r="115" spans="1:28" s="305" customFormat="1" hidden="1" outlineLevel="1" x14ac:dyDescent="0.25">
      <c r="A115" s="278"/>
      <c r="B115" s="279" t="str">
        <f t="shared" ref="B115:B123" si="38">C115&amp;D115&amp;E115&amp;F115</f>
        <v/>
      </c>
      <c r="C115" s="278"/>
      <c r="D115" s="278"/>
      <c r="E115" s="278"/>
      <c r="F115" s="278"/>
      <c r="G115" s="278"/>
      <c r="H115" s="290"/>
      <c r="I115" s="280">
        <f t="shared" ref="I115:I123" si="39">$I$2*H115</f>
        <v>0</v>
      </c>
      <c r="J115" s="281">
        <f t="shared" ref="J115:J123" si="40">$J$2*H115</f>
        <v>0</v>
      </c>
      <c r="K115" s="282">
        <f>IF(Notes!$B$9="Domestic",I115, IF(Notes!$B$9="Commercial",J115))*$K$113</f>
        <v>0</v>
      </c>
      <c r="L115" s="283">
        <f>(SUM(O115:Q115)+(K115+SUM(M115:Q115))*(INDEX($U$113:$AB$113,MATCH(Notes!$C$16,$U$3:$AB$3,0))-100%))*$L$113</f>
        <v>0</v>
      </c>
      <c r="M115" s="286"/>
      <c r="N115" s="286"/>
      <c r="O115" s="285"/>
      <c r="P115" s="285"/>
      <c r="Q115" s="285"/>
      <c r="R115" s="278"/>
      <c r="S115" s="278"/>
      <c r="T115" s="278"/>
    </row>
    <row r="116" spans="1:28" s="305" customFormat="1" hidden="1" outlineLevel="1" x14ac:dyDescent="0.25">
      <c r="A116" s="278"/>
      <c r="B116" s="279" t="str">
        <f t="shared" si="38"/>
        <v/>
      </c>
      <c r="C116" s="278"/>
      <c r="D116" s="278"/>
      <c r="E116" s="278"/>
      <c r="F116" s="278"/>
      <c r="G116" s="278"/>
      <c r="H116" s="290"/>
      <c r="I116" s="280">
        <f t="shared" si="39"/>
        <v>0</v>
      </c>
      <c r="J116" s="281">
        <f t="shared" si="40"/>
        <v>0</v>
      </c>
      <c r="K116" s="282">
        <f>IF(Notes!$B$9="Domestic",I116, IF(Notes!$B$9="Commercial",J116))*$K$113</f>
        <v>0</v>
      </c>
      <c r="L116" s="283">
        <f>(SUM(O116:Q116)+(K116+SUM(M116:Q116))*(INDEX($U$113:$AB$113,MATCH(Notes!$C$16,$U$3:$AB$3,0))-100%))*$L$113</f>
        <v>0</v>
      </c>
      <c r="M116" s="286"/>
      <c r="N116" s="286"/>
      <c r="O116" s="285"/>
      <c r="P116" s="285"/>
      <c r="Q116" s="285"/>
      <c r="R116" s="278"/>
      <c r="S116" s="278"/>
      <c r="T116" s="278"/>
    </row>
    <row r="117" spans="1:28" s="305" customFormat="1" hidden="1" outlineLevel="1" x14ac:dyDescent="0.25">
      <c r="A117" s="278"/>
      <c r="B117" s="279" t="str">
        <f t="shared" si="38"/>
        <v/>
      </c>
      <c r="C117" s="278"/>
      <c r="D117" s="278"/>
      <c r="E117" s="278"/>
      <c r="F117" s="278"/>
      <c r="G117" s="278"/>
      <c r="H117" s="290"/>
      <c r="I117" s="280">
        <f t="shared" si="39"/>
        <v>0</v>
      </c>
      <c r="J117" s="281">
        <f t="shared" si="40"/>
        <v>0</v>
      </c>
      <c r="K117" s="282">
        <f>IF(Notes!$B$9="Domestic",I117, IF(Notes!$B$9="Commercial",J117))*$K$113</f>
        <v>0</v>
      </c>
      <c r="L117" s="283">
        <f>(SUM(O117:Q117)+(K117+SUM(M117:Q117))*(INDEX($U$113:$AB$113,MATCH(Notes!$C$16,$U$3:$AB$3,0))-100%))*$L$113</f>
        <v>0</v>
      </c>
      <c r="M117" s="286"/>
      <c r="N117" s="286"/>
      <c r="O117" s="285"/>
      <c r="P117" s="285"/>
      <c r="Q117" s="285"/>
      <c r="R117" s="278"/>
      <c r="S117" s="278"/>
      <c r="T117" s="278"/>
    </row>
    <row r="118" spans="1:28" s="305" customFormat="1" hidden="1" outlineLevel="1" x14ac:dyDescent="0.25">
      <c r="A118" s="278"/>
      <c r="B118" s="279" t="str">
        <f t="shared" si="38"/>
        <v/>
      </c>
      <c r="C118" s="278"/>
      <c r="D118" s="278"/>
      <c r="E118" s="278"/>
      <c r="F118" s="278"/>
      <c r="G118" s="278"/>
      <c r="H118" s="290"/>
      <c r="I118" s="280">
        <f>$I$2*H118</f>
        <v>0</v>
      </c>
      <c r="J118" s="281">
        <f t="shared" si="40"/>
        <v>0</v>
      </c>
      <c r="K118" s="282">
        <f>IF(Notes!$B$9="Domestic",I118, IF(Notes!$B$9="Commercial",J118))*$K$113</f>
        <v>0</v>
      </c>
      <c r="L118" s="283">
        <f>(SUM(O118:Q118)+(K118+SUM(M118:Q118))*(INDEX($U$113:$AB$113,MATCH(Notes!$C$16,$U$3:$AB$3,0))-100%))*$L$113</f>
        <v>0</v>
      </c>
      <c r="M118" s="286"/>
      <c r="N118" s="286"/>
      <c r="O118" s="285"/>
      <c r="P118" s="285"/>
      <c r="Q118" s="285"/>
      <c r="R118" s="278"/>
      <c r="S118" s="278"/>
      <c r="T118" s="278"/>
    </row>
    <row r="119" spans="1:28" s="305" customFormat="1" hidden="1" outlineLevel="1" x14ac:dyDescent="0.25">
      <c r="A119" s="278"/>
      <c r="B119" s="279" t="str">
        <f t="shared" si="38"/>
        <v/>
      </c>
      <c r="C119" s="278"/>
      <c r="D119" s="278"/>
      <c r="E119" s="278"/>
      <c r="F119" s="278"/>
      <c r="G119" s="278"/>
      <c r="H119" s="290"/>
      <c r="I119" s="280">
        <f t="shared" si="39"/>
        <v>0</v>
      </c>
      <c r="J119" s="281">
        <f t="shared" si="40"/>
        <v>0</v>
      </c>
      <c r="K119" s="282">
        <f>IF(Notes!$B$9="Domestic",I119, IF(Notes!$B$9="Commercial",J119))*$K$113</f>
        <v>0</v>
      </c>
      <c r="L119" s="283">
        <f>(SUM(O119:Q119)+(K119+SUM(M119:Q119))*(INDEX($U$113:$AB$113,MATCH(Notes!$C$16,$U$3:$AB$3,0))-100%))*$L$113</f>
        <v>0</v>
      </c>
      <c r="M119" s="286"/>
      <c r="N119" s="286"/>
      <c r="O119" s="285"/>
      <c r="P119" s="285"/>
      <c r="Q119" s="285"/>
      <c r="R119" s="278"/>
      <c r="S119" s="278"/>
      <c r="T119" s="278"/>
    </row>
    <row r="120" spans="1:28" s="305" customFormat="1" hidden="1" outlineLevel="1" x14ac:dyDescent="0.25">
      <c r="A120" s="278"/>
      <c r="B120" s="279" t="str">
        <f t="shared" si="38"/>
        <v/>
      </c>
      <c r="C120" s="278"/>
      <c r="D120" s="278"/>
      <c r="E120" s="278"/>
      <c r="F120" s="278"/>
      <c r="G120" s="278"/>
      <c r="H120" s="290"/>
      <c r="I120" s="280">
        <f t="shared" si="39"/>
        <v>0</v>
      </c>
      <c r="J120" s="281">
        <f t="shared" si="40"/>
        <v>0</v>
      </c>
      <c r="K120" s="282">
        <f>IF(Notes!$B$9="Domestic",I120, IF(Notes!$B$9="Commercial",J120))*$K$113</f>
        <v>0</v>
      </c>
      <c r="L120" s="283">
        <f>(SUM(O120:Q120)+(K120+SUM(M120:Q120))*(INDEX($U$113:$AB$113,MATCH(Notes!$C$16,$U$3:$AB$3,0))-100%))*$L$113</f>
        <v>0</v>
      </c>
      <c r="M120" s="286"/>
      <c r="N120" s="286"/>
      <c r="O120" s="285"/>
      <c r="P120" s="285"/>
      <c r="Q120" s="285"/>
      <c r="R120" s="278"/>
      <c r="S120" s="278"/>
      <c r="T120" s="278"/>
    </row>
    <row r="121" spans="1:28" s="305" customFormat="1" hidden="1" outlineLevel="1" x14ac:dyDescent="0.25">
      <c r="A121" s="278"/>
      <c r="B121" s="279" t="str">
        <f t="shared" si="38"/>
        <v/>
      </c>
      <c r="C121" s="278"/>
      <c r="D121" s="278"/>
      <c r="E121" s="278"/>
      <c r="F121" s="278"/>
      <c r="G121" s="278"/>
      <c r="H121" s="290"/>
      <c r="I121" s="280">
        <f t="shared" si="39"/>
        <v>0</v>
      </c>
      <c r="J121" s="281">
        <f t="shared" si="40"/>
        <v>0</v>
      </c>
      <c r="K121" s="282">
        <f>IF(Notes!$B$9="Domestic",I121, IF(Notes!$B$9="Commercial",J121))*$K$113</f>
        <v>0</v>
      </c>
      <c r="L121" s="283">
        <f>(SUM(O121:Q121)+(K121+SUM(M121:Q121))*(INDEX($U$113:$AB$113,MATCH(Notes!$C$16,$U$3:$AB$3,0))-100%))*$L$113</f>
        <v>0</v>
      </c>
      <c r="M121" s="286"/>
      <c r="N121" s="286"/>
      <c r="O121" s="285"/>
      <c r="P121" s="285"/>
      <c r="Q121" s="285"/>
      <c r="R121" s="278"/>
      <c r="S121" s="278"/>
      <c r="T121" s="278"/>
    </row>
    <row r="122" spans="1:28" s="305" customFormat="1" hidden="1" outlineLevel="1" x14ac:dyDescent="0.25">
      <c r="A122" s="278"/>
      <c r="B122" s="279" t="str">
        <f t="shared" si="38"/>
        <v/>
      </c>
      <c r="C122" s="278"/>
      <c r="D122" s="278"/>
      <c r="E122" s="278"/>
      <c r="F122" s="278"/>
      <c r="G122" s="278"/>
      <c r="H122" s="290"/>
      <c r="I122" s="280">
        <f t="shared" si="39"/>
        <v>0</v>
      </c>
      <c r="J122" s="281">
        <f t="shared" si="40"/>
        <v>0</v>
      </c>
      <c r="K122" s="282">
        <f>IF(Notes!$B$9="Domestic",I122, IF(Notes!$B$9="Commercial",J122))*$K$113</f>
        <v>0</v>
      </c>
      <c r="L122" s="283">
        <f>(SUM(O122:Q122)+(K122+SUM(M122:Q122))*(INDEX($U$113:$AB$113,MATCH(Notes!$C$16,$U$3:$AB$3,0))-100%))*$L$113</f>
        <v>0</v>
      </c>
      <c r="M122" s="286"/>
      <c r="N122" s="286"/>
      <c r="O122" s="285"/>
      <c r="P122" s="285"/>
      <c r="Q122" s="285"/>
      <c r="R122" s="278"/>
      <c r="S122" s="278"/>
      <c r="T122" s="278"/>
    </row>
    <row r="123" spans="1:28" s="305" customFormat="1" hidden="1" outlineLevel="1" x14ac:dyDescent="0.25">
      <c r="A123" s="278"/>
      <c r="B123" s="279" t="str">
        <f t="shared" si="38"/>
        <v/>
      </c>
      <c r="C123" s="278"/>
      <c r="D123" s="278"/>
      <c r="E123" s="278"/>
      <c r="F123" s="278"/>
      <c r="G123" s="278"/>
      <c r="H123" s="290"/>
      <c r="I123" s="280">
        <f t="shared" si="39"/>
        <v>0</v>
      </c>
      <c r="J123" s="281">
        <f t="shared" si="40"/>
        <v>0</v>
      </c>
      <c r="K123" s="282">
        <f>IF(Notes!$B$9="Domestic",I123, IF(Notes!$B$9="Commercial",J123))*$K$113</f>
        <v>0</v>
      </c>
      <c r="L123" s="283">
        <f>(SUM(O123:Q123)+(K123+SUM(M123:Q123))*(INDEX($U$113:$AB$113,MATCH(Notes!$C$16,$U$3:$AB$3,0))-100%))*$L$113</f>
        <v>0</v>
      </c>
      <c r="M123" s="286"/>
      <c r="N123" s="286"/>
      <c r="O123" s="285"/>
      <c r="P123" s="285"/>
      <c r="Q123" s="285"/>
      <c r="R123" s="278"/>
      <c r="S123" s="278"/>
      <c r="T123" s="278"/>
    </row>
    <row r="124" spans="1:28" hidden="1" outlineLevel="1" x14ac:dyDescent="0.25">
      <c r="A124" s="284" t="str">
        <f>C124&amp;D124&amp;E124</f>
        <v/>
      </c>
      <c r="B124" s="284"/>
      <c r="C124" s="284"/>
      <c r="D124" s="284"/>
      <c r="E124" s="284"/>
      <c r="F124" s="284"/>
      <c r="G124" s="284"/>
      <c r="H124" s="284"/>
      <c r="I124" s="284"/>
      <c r="J124" s="284"/>
      <c r="K124" s="284"/>
      <c r="L124" s="284"/>
      <c r="M124" s="284"/>
      <c r="N124" s="284"/>
      <c r="O124" s="284"/>
      <c r="P124" s="284"/>
      <c r="Q124" s="284"/>
      <c r="R124" s="284"/>
      <c r="S124" s="284"/>
      <c r="T124" s="284"/>
    </row>
    <row r="125" spans="1:28" hidden="1" outlineLevel="1" x14ac:dyDescent="0.25"/>
    <row r="126" spans="1:28" hidden="1" outlineLevel="1" x14ac:dyDescent="0.25"/>
    <row r="127" spans="1:28" collapsed="1" x14ac:dyDescent="0.25"/>
  </sheetData>
  <sheetProtection algorithmName="SHA-512" hashValue="74B5eGuSS7TM2NNBszsyfFx9VJXnBxvjrQu/ot9zB9plUkFA8ya2QpyBxrHfFLkfKhghLAZKuqMQPVs2pGp7CA==" saltValue="zQUTcR4a66CBVhWMbFJqpA==" spinCount="100000"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00B050"/>
  </sheetPr>
  <dimension ref="A1:S207"/>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Waterproofing!A2+1</f>
        <v>28</v>
      </c>
      <c r="B2" s="73" t="s" cm="1">
        <v>2488</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28.01</v>
      </c>
      <c r="B3" s="162" t="s">
        <v>2347</v>
      </c>
      <c r="C3" s="83">
        <v>6.59</v>
      </c>
      <c r="D3" s="29" t="s">
        <v>11</v>
      </c>
      <c r="E3" s="85"/>
      <c r="F3" s="86">
        <f>IF(E3="inc",0,IF(C3="",0,C3*E3))</f>
        <v>0</v>
      </c>
      <c r="G3" s="208"/>
      <c r="H3" s="30"/>
      <c r="I3" s="30"/>
      <c r="J3" s="30"/>
      <c r="K3" s="30"/>
      <c r="L3" s="30"/>
      <c r="M3" s="87"/>
      <c r="N3" s="88"/>
      <c r="O3" s="25"/>
      <c r="P3" s="25"/>
      <c r="Q3" s="25"/>
      <c r="R3" s="25"/>
      <c r="S3" s="25"/>
    </row>
    <row r="4" spans="1:19" s="94" customFormat="1" ht="15.75" x14ac:dyDescent="0.25">
      <c r="A4" s="24"/>
      <c r="B4" s="24" t="s">
        <v>2346</v>
      </c>
      <c r="C4" s="32">
        <v>6.59</v>
      </c>
      <c r="D4" s="32" t="s">
        <v>11</v>
      </c>
      <c r="E4" s="26"/>
      <c r="F4" s="33"/>
      <c r="G4" s="210"/>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79" customFormat="1" ht="21.75" thickBot="1" x14ac:dyDescent="0.4">
      <c r="A6" s="99"/>
      <c r="B6" s="394" t="s">
        <v>4</v>
      </c>
      <c r="C6" s="395"/>
      <c r="D6" s="396"/>
      <c r="E6" s="100"/>
      <c r="F6" s="101">
        <f ca="1">SUM(F$2:OFFSET(F6,-1,0))</f>
        <v>0</v>
      </c>
      <c r="G6" s="208"/>
      <c r="H6" s="100"/>
      <c r="I6" s="100"/>
      <c r="J6" s="100"/>
      <c r="K6" s="100"/>
      <c r="L6" s="100"/>
      <c r="M6" s="102"/>
      <c r="N6" s="103"/>
    </row>
    <row r="7" spans="1:19" s="94" customFormat="1" ht="15.75" x14ac:dyDescent="0.25">
      <c r="A7" s="105"/>
      <c r="B7" s="25"/>
      <c r="C7" s="106"/>
      <c r="D7" s="32"/>
      <c r="E7" s="92"/>
      <c r="F7" s="107"/>
      <c r="G7" s="107"/>
      <c r="H7" s="107"/>
      <c r="I7" s="107"/>
      <c r="J7" s="107"/>
      <c r="K7" s="26"/>
      <c r="L7" s="26"/>
      <c r="M7" s="88"/>
      <c r="N7" s="88"/>
    </row>
    <row r="8" spans="1:19" ht="15.75" x14ac:dyDescent="0.25">
      <c r="C8" s="106"/>
      <c r="G8" s="107"/>
      <c r="H8" s="107"/>
      <c r="I8" s="107"/>
      <c r="J8" s="107"/>
      <c r="K8" s="26"/>
      <c r="L8" s="26"/>
    </row>
    <row r="9" spans="1:19" ht="15.75" x14ac:dyDescent="0.25">
      <c r="G9" s="107"/>
      <c r="H9" s="107"/>
      <c r="I9" s="107"/>
      <c r="J9" s="107"/>
      <c r="K9" s="26"/>
      <c r="L9" s="26"/>
    </row>
    <row r="10" spans="1:19" ht="15.75" x14ac:dyDescent="0.25">
      <c r="G10" s="107"/>
      <c r="H10" s="107"/>
      <c r="I10" s="107"/>
      <c r="J10" s="107"/>
      <c r="K10" s="26"/>
      <c r="L10" s="26"/>
    </row>
    <row r="11" spans="1:19" ht="15.75" x14ac:dyDescent="0.25">
      <c r="F11" s="108" t="e">
        <f ca="1">F6-#REF!</f>
        <v>#REF!</v>
      </c>
      <c r="G11" s="107"/>
      <c r="H11" s="107"/>
      <c r="I11" s="107"/>
      <c r="J11" s="107"/>
      <c r="K11" s="26"/>
      <c r="L11" s="26"/>
    </row>
    <row r="12" spans="1:19" ht="15.75" x14ac:dyDescent="0.25">
      <c r="G12" s="107"/>
      <c r="H12" s="107"/>
      <c r="I12" s="107"/>
      <c r="J12" s="107"/>
      <c r="K12" s="26"/>
      <c r="L12" s="26"/>
    </row>
    <row r="13" spans="1:19" ht="15.75" x14ac:dyDescent="0.25">
      <c r="G13" s="107"/>
      <c r="H13" s="107"/>
      <c r="I13" s="107"/>
      <c r="J13" s="107"/>
      <c r="K13" s="26"/>
      <c r="L13" s="26"/>
    </row>
    <row r="14" spans="1:19" ht="15.75" x14ac:dyDescent="0.25">
      <c r="G14" s="107"/>
      <c r="H14" s="107"/>
      <c r="I14" s="107"/>
      <c r="J14" s="107"/>
      <c r="K14" s="26"/>
      <c r="L14" s="26"/>
    </row>
    <row r="15" spans="1:19" ht="15.75" x14ac:dyDescent="0.25">
      <c r="G15" s="107"/>
      <c r="H15" s="107"/>
      <c r="I15" s="107"/>
      <c r="J15" s="107"/>
      <c r="K15" s="26"/>
      <c r="L15" s="26"/>
    </row>
    <row r="16" spans="1:19" ht="15.75" x14ac:dyDescent="0.25">
      <c r="G16" s="107"/>
      <c r="H16" s="107"/>
      <c r="I16" s="107"/>
      <c r="J16" s="107"/>
      <c r="K16" s="26"/>
      <c r="L16" s="26"/>
    </row>
    <row r="17" spans="1:19" ht="15.75" x14ac:dyDescent="0.25">
      <c r="G17" s="107"/>
      <c r="H17" s="107"/>
      <c r="I17" s="107"/>
      <c r="J17" s="107"/>
      <c r="K17" s="26"/>
      <c r="L17" s="26"/>
    </row>
    <row r="18" spans="1:19" ht="15.75" x14ac:dyDescent="0.25">
      <c r="G18" s="107"/>
      <c r="H18" s="107"/>
      <c r="I18" s="107"/>
      <c r="J18" s="107"/>
      <c r="K18" s="26"/>
      <c r="L18" s="26"/>
    </row>
    <row r="19" spans="1:19" ht="15.75" x14ac:dyDescent="0.25">
      <c r="G19" s="107"/>
      <c r="H19" s="107"/>
      <c r="I19" s="107"/>
      <c r="J19" s="107"/>
      <c r="K19" s="26"/>
      <c r="L19" s="26"/>
    </row>
    <row r="20" spans="1:19" ht="15.75" x14ac:dyDescent="0.25">
      <c r="G20" s="107"/>
      <c r="H20" s="107"/>
      <c r="I20" s="107"/>
      <c r="J20" s="107"/>
      <c r="K20" s="26"/>
      <c r="L20" s="26"/>
    </row>
    <row r="21" spans="1:19" s="110" customFormat="1" ht="15.75" x14ac:dyDescent="0.25">
      <c r="A21" s="25"/>
      <c r="B21" s="25"/>
      <c r="D21" s="36"/>
      <c r="E21" s="25"/>
      <c r="F21" s="108"/>
      <c r="G21" s="107"/>
      <c r="H21" s="107"/>
      <c r="I21" s="107"/>
      <c r="J21" s="107"/>
      <c r="K21" s="26"/>
      <c r="L21" s="26"/>
      <c r="M21" s="88"/>
      <c r="N21" s="88"/>
      <c r="O21" s="25"/>
      <c r="P21" s="25"/>
      <c r="Q21" s="25"/>
      <c r="R21" s="25"/>
      <c r="S21" s="25"/>
    </row>
    <row r="22" spans="1:19" s="110" customFormat="1" ht="15.75" x14ac:dyDescent="0.25">
      <c r="A22" s="25"/>
      <c r="B22" s="25"/>
      <c r="D22" s="36"/>
      <c r="E22" s="25"/>
      <c r="F22" s="108"/>
      <c r="G22" s="107"/>
      <c r="H22" s="107"/>
      <c r="I22" s="107"/>
      <c r="J22" s="107"/>
      <c r="K22" s="26"/>
      <c r="L22" s="26"/>
      <c r="M22" s="88"/>
      <c r="N22" s="88"/>
      <c r="O22" s="25"/>
      <c r="P22" s="25"/>
      <c r="Q22" s="25"/>
      <c r="R22" s="25"/>
      <c r="S22" s="25"/>
    </row>
    <row r="23" spans="1:19" s="110" customFormat="1" ht="15.75" x14ac:dyDescent="0.25">
      <c r="A23" s="25"/>
      <c r="B23" s="25"/>
      <c r="D23" s="36"/>
      <c r="E23" s="25"/>
      <c r="F23" s="108"/>
      <c r="G23" s="107"/>
      <c r="H23" s="107"/>
      <c r="I23" s="107"/>
      <c r="J23" s="107"/>
      <c r="K23" s="26"/>
      <c r="L23" s="26"/>
      <c r="M23" s="88"/>
      <c r="N23" s="88"/>
      <c r="O23" s="25"/>
      <c r="P23" s="25"/>
      <c r="Q23" s="25"/>
      <c r="R23" s="25"/>
      <c r="S23" s="25"/>
    </row>
    <row r="24" spans="1:19" s="110" customFormat="1" ht="15.75" x14ac:dyDescent="0.25">
      <c r="A24" s="25"/>
      <c r="B24" s="25"/>
      <c r="D24" s="36"/>
      <c r="E24" s="25"/>
      <c r="F24" s="108"/>
      <c r="G24" s="107"/>
      <c r="H24" s="107"/>
      <c r="I24" s="107"/>
      <c r="J24" s="107"/>
      <c r="K24" s="26"/>
      <c r="L24" s="26"/>
      <c r="M24" s="88"/>
      <c r="N24" s="88"/>
      <c r="O24" s="25"/>
      <c r="P24" s="25"/>
      <c r="Q24" s="25"/>
      <c r="R24" s="25"/>
      <c r="S24" s="25"/>
    </row>
    <row r="25" spans="1:19" s="110" customFormat="1" ht="15.75" x14ac:dyDescent="0.25">
      <c r="A25" s="25"/>
      <c r="B25" s="25"/>
      <c r="D25" s="36"/>
      <c r="E25" s="25"/>
      <c r="F25" s="108"/>
      <c r="G25" s="107"/>
      <c r="H25" s="107"/>
      <c r="I25" s="107"/>
      <c r="J25" s="107"/>
      <c r="K25" s="26"/>
      <c r="L25" s="26"/>
      <c r="M25" s="88"/>
      <c r="N25" s="88"/>
      <c r="O25" s="25"/>
      <c r="P25" s="25"/>
      <c r="Q25" s="25"/>
      <c r="R25" s="25"/>
      <c r="S25" s="25"/>
    </row>
    <row r="26" spans="1:19" s="110" customFormat="1" ht="15.75" x14ac:dyDescent="0.25">
      <c r="A26" s="25"/>
      <c r="B26" s="25"/>
      <c r="D26" s="36"/>
      <c r="E26" s="25"/>
      <c r="F26" s="108"/>
      <c r="G26" s="107"/>
      <c r="H26" s="107"/>
      <c r="I26" s="107"/>
      <c r="J26" s="107"/>
      <c r="K26" s="26"/>
      <c r="L26" s="26"/>
      <c r="M26" s="88"/>
      <c r="N26" s="88"/>
      <c r="O26" s="25"/>
      <c r="P26" s="25"/>
      <c r="Q26" s="25"/>
      <c r="R26" s="25"/>
      <c r="S26" s="25"/>
    </row>
    <row r="27" spans="1:19" s="110" customFormat="1" ht="15.75" x14ac:dyDescent="0.25">
      <c r="A27" s="25"/>
      <c r="B27" s="25"/>
      <c r="D27" s="36"/>
      <c r="E27" s="25"/>
      <c r="F27" s="108"/>
      <c r="G27" s="107"/>
      <c r="H27" s="107"/>
      <c r="I27" s="107"/>
      <c r="J27" s="107"/>
      <c r="K27" s="26"/>
      <c r="L27" s="26"/>
      <c r="M27" s="88"/>
      <c r="N27" s="88"/>
      <c r="O27" s="25"/>
      <c r="P27" s="25"/>
      <c r="Q27" s="25"/>
      <c r="R27" s="25"/>
      <c r="S27" s="25"/>
    </row>
    <row r="28" spans="1:19" s="110" customFormat="1" ht="15.75" x14ac:dyDescent="0.25">
      <c r="A28" s="25"/>
      <c r="B28" s="25"/>
      <c r="D28" s="36"/>
      <c r="E28" s="25"/>
      <c r="F28" s="108"/>
      <c r="G28" s="107"/>
      <c r="H28" s="107"/>
      <c r="I28" s="107"/>
      <c r="J28" s="107"/>
      <c r="K28" s="26"/>
      <c r="L28" s="26"/>
      <c r="M28" s="88"/>
      <c r="N28" s="88"/>
      <c r="O28" s="25"/>
      <c r="P28" s="25"/>
      <c r="Q28" s="25"/>
      <c r="R28" s="25"/>
      <c r="S28" s="25"/>
    </row>
    <row r="29" spans="1:19" s="110" customFormat="1" ht="15.75" x14ac:dyDescent="0.25">
      <c r="A29" s="25"/>
      <c r="B29" s="25"/>
      <c r="D29" s="36"/>
      <c r="E29" s="25"/>
      <c r="F29" s="108"/>
      <c r="G29" s="107"/>
      <c r="H29" s="107"/>
      <c r="I29" s="107"/>
      <c r="J29" s="107"/>
      <c r="K29" s="26"/>
      <c r="L29" s="26"/>
      <c r="M29" s="88"/>
      <c r="N29" s="88"/>
      <c r="O29" s="25"/>
      <c r="P29" s="25"/>
      <c r="Q29" s="25"/>
      <c r="R29" s="25"/>
      <c r="S29" s="25"/>
    </row>
    <row r="30" spans="1:19" s="110" customFormat="1" ht="15.75" x14ac:dyDescent="0.25">
      <c r="A30" s="25"/>
      <c r="B30" s="25"/>
      <c r="D30" s="36"/>
      <c r="E30" s="25"/>
      <c r="F30" s="108"/>
      <c r="G30" s="107"/>
      <c r="H30" s="26"/>
      <c r="I30" s="26"/>
      <c r="J30" s="26"/>
      <c r="K30" s="26"/>
      <c r="L30" s="26"/>
      <c r="M30" s="88"/>
      <c r="N30" s="88"/>
      <c r="O30" s="25"/>
      <c r="P30" s="25"/>
      <c r="Q30" s="25"/>
      <c r="R30" s="25"/>
      <c r="S30" s="25"/>
    </row>
    <row r="31" spans="1:19" s="110" customFormat="1" ht="15.75" x14ac:dyDescent="0.25">
      <c r="A31" s="25"/>
      <c r="B31" s="25"/>
      <c r="D31" s="36"/>
      <c r="E31" s="25"/>
      <c r="F31" s="108"/>
      <c r="G31" s="107"/>
      <c r="H31" s="26"/>
      <c r="I31" s="26"/>
      <c r="J31" s="26"/>
      <c r="K31" s="26"/>
      <c r="L31" s="26"/>
      <c r="M31" s="88"/>
      <c r="N31" s="88"/>
      <c r="O31" s="25"/>
      <c r="P31" s="25"/>
      <c r="Q31" s="25"/>
      <c r="R31" s="25"/>
      <c r="S31" s="25"/>
    </row>
    <row r="32" spans="1:19" s="110" customFormat="1" ht="15.75" x14ac:dyDescent="0.25">
      <c r="A32" s="25"/>
      <c r="B32" s="25"/>
      <c r="D32" s="36"/>
      <c r="E32" s="25"/>
      <c r="F32" s="108"/>
      <c r="G32" s="107"/>
      <c r="H32" s="26"/>
      <c r="I32" s="26"/>
      <c r="J32" s="26"/>
      <c r="K32" s="26"/>
      <c r="L32" s="26"/>
      <c r="M32" s="88"/>
      <c r="N32" s="88"/>
      <c r="O32" s="25"/>
      <c r="P32" s="25"/>
      <c r="Q32" s="25"/>
      <c r="R32" s="25"/>
      <c r="S32" s="25"/>
    </row>
    <row r="33" spans="1:19" s="110" customFormat="1" ht="15.75" x14ac:dyDescent="0.25">
      <c r="A33" s="25"/>
      <c r="B33" s="25"/>
      <c r="D33" s="36"/>
      <c r="E33" s="25"/>
      <c r="F33" s="108"/>
      <c r="G33" s="107"/>
      <c r="H33" s="26"/>
      <c r="I33" s="26"/>
      <c r="J33" s="26"/>
      <c r="K33" s="26"/>
      <c r="L33" s="26"/>
      <c r="M33" s="88"/>
      <c r="N33" s="88"/>
      <c r="O33" s="25"/>
      <c r="P33" s="25"/>
      <c r="Q33" s="25"/>
      <c r="R33" s="25"/>
      <c r="S33" s="25"/>
    </row>
    <row r="34" spans="1:19" ht="15.75" x14ac:dyDescent="0.25">
      <c r="G34" s="107"/>
      <c r="H34" s="26"/>
      <c r="I34" s="26"/>
      <c r="J34" s="26"/>
      <c r="K34" s="26"/>
      <c r="L34" s="26"/>
    </row>
    <row r="35" spans="1:19" ht="15.75" x14ac:dyDescent="0.25">
      <c r="G35" s="107"/>
      <c r="H35" s="26"/>
      <c r="I35" s="26"/>
      <c r="J35" s="26"/>
      <c r="K35" s="26"/>
      <c r="L35" s="26"/>
    </row>
    <row r="36" spans="1:19" ht="15.75" x14ac:dyDescent="0.25">
      <c r="G36" s="107"/>
      <c r="H36" s="26"/>
      <c r="I36" s="26"/>
      <c r="J36" s="26"/>
      <c r="K36" s="26"/>
      <c r="L36" s="26"/>
    </row>
    <row r="37" spans="1:19" ht="15.75" x14ac:dyDescent="0.25">
      <c r="G37" s="107"/>
      <c r="H37" s="26"/>
      <c r="I37" s="26"/>
      <c r="J37" s="26"/>
      <c r="K37" s="26"/>
      <c r="L37" s="26"/>
    </row>
    <row r="38" spans="1:19" ht="15.75" x14ac:dyDescent="0.25">
      <c r="G38" s="107"/>
      <c r="H38" s="26"/>
      <c r="I38" s="26"/>
      <c r="J38" s="26"/>
      <c r="K38" s="26"/>
      <c r="L38" s="26"/>
    </row>
    <row r="39" spans="1:19" ht="15.75" x14ac:dyDescent="0.25">
      <c r="G39" s="107"/>
      <c r="H39" s="26"/>
      <c r="I39" s="26"/>
      <c r="J39" s="26"/>
      <c r="K39" s="26"/>
      <c r="L39" s="26"/>
    </row>
    <row r="40" spans="1:19" ht="15.75" x14ac:dyDescent="0.25">
      <c r="G40" s="107"/>
      <c r="H40" s="26"/>
      <c r="I40" s="26"/>
      <c r="J40" s="26"/>
      <c r="K40" s="26"/>
      <c r="L40" s="26"/>
    </row>
    <row r="41" spans="1:19" ht="15.75" x14ac:dyDescent="0.25">
      <c r="G41" s="107"/>
      <c r="H41" s="26"/>
      <c r="I41" s="26"/>
      <c r="J41" s="26"/>
      <c r="K41" s="26"/>
      <c r="L41" s="26"/>
    </row>
    <row r="42" spans="1:19" ht="15.75" x14ac:dyDescent="0.25">
      <c r="G42" s="107"/>
      <c r="H42" s="26"/>
      <c r="I42" s="26"/>
      <c r="J42" s="26"/>
      <c r="K42" s="26"/>
      <c r="L42" s="26"/>
    </row>
    <row r="43" spans="1:19" ht="15.75" x14ac:dyDescent="0.25">
      <c r="G43" s="107"/>
      <c r="H43" s="26"/>
      <c r="I43" s="26"/>
      <c r="J43" s="26"/>
      <c r="K43" s="26"/>
      <c r="L43" s="26"/>
    </row>
    <row r="44" spans="1:19" ht="15.75" x14ac:dyDescent="0.25">
      <c r="G44" s="107"/>
      <c r="H44" s="26"/>
      <c r="I44" s="26"/>
      <c r="J44" s="26"/>
      <c r="K44" s="26"/>
      <c r="L44" s="26"/>
    </row>
    <row r="45" spans="1:19" ht="15.75" x14ac:dyDescent="0.25">
      <c r="G45" s="107"/>
      <c r="H45" s="26"/>
      <c r="I45" s="26"/>
      <c r="J45" s="26"/>
      <c r="K45" s="26"/>
      <c r="L45" s="26"/>
    </row>
    <row r="46" spans="1:19" ht="15.75" x14ac:dyDescent="0.25">
      <c r="G46" s="107"/>
      <c r="H46" s="26"/>
      <c r="I46" s="26"/>
      <c r="J46" s="26"/>
      <c r="K46" s="26"/>
      <c r="L46" s="26"/>
    </row>
    <row r="47" spans="1:19" ht="15.75" x14ac:dyDescent="0.25">
      <c r="G47" s="107"/>
      <c r="H47" s="26"/>
      <c r="I47" s="26"/>
      <c r="J47" s="26"/>
      <c r="K47" s="26"/>
      <c r="L47" s="26"/>
    </row>
    <row r="48" spans="1:19" ht="15.75" x14ac:dyDescent="0.25">
      <c r="G48" s="107"/>
      <c r="H48" s="26"/>
      <c r="I48" s="26"/>
      <c r="J48" s="26"/>
      <c r="K48" s="26"/>
      <c r="L48" s="26"/>
    </row>
    <row r="49" spans="7:12" ht="15.75" x14ac:dyDescent="0.25">
      <c r="G49" s="107"/>
      <c r="H49" s="26"/>
      <c r="I49" s="26"/>
      <c r="J49" s="26"/>
      <c r="K49" s="26"/>
      <c r="L49" s="26"/>
    </row>
    <row r="50" spans="7:12" ht="15.75" x14ac:dyDescent="0.25">
      <c r="G50" s="107"/>
      <c r="H50" s="26"/>
      <c r="I50" s="26"/>
      <c r="J50" s="26"/>
      <c r="K50" s="26"/>
      <c r="L50" s="26"/>
    </row>
    <row r="51" spans="7:12" ht="15.75" x14ac:dyDescent="0.25">
      <c r="G51" s="107"/>
      <c r="H51" s="26"/>
      <c r="I51" s="26"/>
      <c r="J51" s="26"/>
      <c r="K51" s="26"/>
      <c r="L51" s="26"/>
    </row>
    <row r="52" spans="7:12" ht="15.75" x14ac:dyDescent="0.25">
      <c r="G52" s="107"/>
      <c r="H52" s="26"/>
      <c r="I52" s="26"/>
      <c r="J52" s="26"/>
      <c r="K52" s="26"/>
      <c r="L52" s="26"/>
    </row>
    <row r="53" spans="7:12" ht="15.75" x14ac:dyDescent="0.25">
      <c r="G53" s="107"/>
      <c r="H53" s="26"/>
      <c r="I53" s="26"/>
      <c r="J53" s="26"/>
      <c r="K53" s="26"/>
      <c r="L53" s="26"/>
    </row>
    <row r="54" spans="7:12" ht="15.75" x14ac:dyDescent="0.25">
      <c r="G54" s="107"/>
      <c r="H54" s="26"/>
      <c r="I54" s="26"/>
      <c r="J54" s="26"/>
      <c r="K54" s="26"/>
      <c r="L54" s="26"/>
    </row>
    <row r="55" spans="7:12" ht="15.75" x14ac:dyDescent="0.25">
      <c r="G55" s="107"/>
      <c r="H55" s="26"/>
      <c r="I55" s="26"/>
      <c r="J55" s="26"/>
      <c r="K55" s="26"/>
      <c r="L55" s="26"/>
    </row>
    <row r="56" spans="7:12" ht="15.75" x14ac:dyDescent="0.25">
      <c r="G56" s="107"/>
      <c r="H56" s="26"/>
      <c r="I56" s="26"/>
      <c r="J56" s="26"/>
      <c r="K56" s="26"/>
      <c r="L56" s="26"/>
    </row>
    <row r="57" spans="7:12" ht="15.75" x14ac:dyDescent="0.25">
      <c r="G57" s="107"/>
      <c r="H57" s="26"/>
      <c r="I57" s="26"/>
      <c r="J57" s="26"/>
      <c r="K57" s="26"/>
      <c r="L57" s="26"/>
    </row>
    <row r="58" spans="7:12" ht="15.75" x14ac:dyDescent="0.25">
      <c r="G58" s="107"/>
      <c r="H58" s="26"/>
      <c r="I58" s="26"/>
      <c r="J58" s="26"/>
      <c r="K58" s="26"/>
      <c r="L58" s="26"/>
    </row>
    <row r="59" spans="7:12" ht="15.75" x14ac:dyDescent="0.25">
      <c r="G59" s="107"/>
      <c r="H59" s="26"/>
      <c r="I59" s="26"/>
      <c r="J59" s="26"/>
      <c r="K59" s="26"/>
      <c r="L59" s="26"/>
    </row>
    <row r="60" spans="7:12" ht="15.75" x14ac:dyDescent="0.25">
      <c r="G60" s="107"/>
      <c r="H60" s="26"/>
      <c r="I60" s="26"/>
      <c r="J60" s="26"/>
      <c r="K60" s="26"/>
      <c r="L60" s="26"/>
    </row>
    <row r="61" spans="7:12" ht="15.75" x14ac:dyDescent="0.25">
      <c r="G61" s="107"/>
      <c r="H61" s="26"/>
      <c r="I61" s="26"/>
      <c r="J61" s="26"/>
      <c r="K61" s="26"/>
      <c r="L61" s="26"/>
    </row>
    <row r="62" spans="7:12" ht="15.75" x14ac:dyDescent="0.25">
      <c r="G62" s="107"/>
      <c r="H62" s="26"/>
      <c r="I62" s="26"/>
      <c r="J62" s="26"/>
      <c r="K62" s="26"/>
      <c r="L62" s="26"/>
    </row>
    <row r="63" spans="7:12" ht="15.75" x14ac:dyDescent="0.25">
      <c r="G63" s="107"/>
      <c r="H63" s="26"/>
      <c r="I63" s="26"/>
      <c r="J63" s="26"/>
      <c r="K63" s="26"/>
      <c r="L63" s="26"/>
    </row>
    <row r="64" spans="7:12" ht="15.75" x14ac:dyDescent="0.25">
      <c r="G64" s="107"/>
      <c r="H64" s="26"/>
      <c r="I64" s="26"/>
      <c r="J64" s="26"/>
      <c r="K64" s="26"/>
      <c r="L64" s="26"/>
    </row>
    <row r="65" spans="7:12" ht="15.75" x14ac:dyDescent="0.25">
      <c r="G65" s="107"/>
      <c r="H65" s="26"/>
      <c r="I65" s="26"/>
      <c r="J65" s="26"/>
      <c r="K65" s="26"/>
      <c r="L65" s="26"/>
    </row>
    <row r="66" spans="7:12" ht="15.75" x14ac:dyDescent="0.25">
      <c r="G66" s="107"/>
      <c r="H66" s="26"/>
      <c r="I66" s="26"/>
      <c r="J66" s="26"/>
      <c r="K66" s="26"/>
      <c r="L66" s="26"/>
    </row>
    <row r="67" spans="7:12" ht="15.75" x14ac:dyDescent="0.25">
      <c r="G67" s="107"/>
      <c r="H67" s="26"/>
      <c r="I67" s="26"/>
      <c r="J67" s="26"/>
      <c r="K67" s="26"/>
      <c r="L67" s="26"/>
    </row>
    <row r="68" spans="7:12" ht="15.75" x14ac:dyDescent="0.25">
      <c r="G68" s="107"/>
      <c r="H68" s="26"/>
      <c r="I68" s="26"/>
      <c r="J68" s="26"/>
      <c r="K68" s="26"/>
      <c r="L68" s="26"/>
    </row>
    <row r="69" spans="7:12" ht="15.75" x14ac:dyDescent="0.25">
      <c r="G69" s="107"/>
      <c r="H69" s="26"/>
      <c r="I69" s="26"/>
      <c r="J69" s="26"/>
      <c r="K69" s="26"/>
      <c r="L69" s="26"/>
    </row>
    <row r="70" spans="7:12" ht="15.75" x14ac:dyDescent="0.25">
      <c r="G70" s="107"/>
      <c r="H70" s="26"/>
      <c r="I70" s="26"/>
      <c r="J70" s="26"/>
      <c r="K70" s="26"/>
      <c r="L70" s="26"/>
    </row>
    <row r="71" spans="7:12" ht="15.75" x14ac:dyDescent="0.25">
      <c r="G71" s="107"/>
      <c r="H71" s="26"/>
      <c r="I71" s="26"/>
      <c r="J71" s="26"/>
      <c r="K71" s="26"/>
      <c r="L71" s="26"/>
    </row>
    <row r="72" spans="7:12" ht="15.75" x14ac:dyDescent="0.25">
      <c r="G72" s="107"/>
      <c r="H72" s="26"/>
      <c r="I72" s="26"/>
      <c r="J72" s="26"/>
      <c r="K72" s="26"/>
      <c r="L72" s="26"/>
    </row>
    <row r="73" spans="7:12" ht="15.75" x14ac:dyDescent="0.25">
      <c r="G73" s="107"/>
      <c r="H73" s="26"/>
      <c r="I73" s="26"/>
      <c r="J73" s="26"/>
      <c r="K73" s="26"/>
      <c r="L73" s="26"/>
    </row>
    <row r="74" spans="7:12" ht="15.75" x14ac:dyDescent="0.25">
      <c r="G74" s="107"/>
      <c r="H74" s="26"/>
      <c r="I74" s="26"/>
      <c r="J74" s="26"/>
      <c r="K74" s="26"/>
      <c r="L74" s="26"/>
    </row>
    <row r="75" spans="7:12" ht="15.75" x14ac:dyDescent="0.25">
      <c r="G75" s="107"/>
      <c r="H75" s="26"/>
      <c r="I75" s="26"/>
      <c r="J75" s="26"/>
      <c r="K75" s="26"/>
      <c r="L75" s="26"/>
    </row>
    <row r="76" spans="7:12" ht="15.75" x14ac:dyDescent="0.25">
      <c r="G76" s="107"/>
      <c r="H76" s="26"/>
      <c r="I76" s="26"/>
      <c r="J76" s="26"/>
      <c r="K76" s="26"/>
      <c r="L76" s="26"/>
    </row>
    <row r="77" spans="7:12" ht="15.75" x14ac:dyDescent="0.25">
      <c r="G77" s="107"/>
      <c r="H77" s="26"/>
      <c r="I77" s="26"/>
      <c r="J77" s="26"/>
      <c r="K77" s="26"/>
      <c r="L77" s="26"/>
    </row>
    <row r="78" spans="7:12" ht="15.75" x14ac:dyDescent="0.25">
      <c r="G78" s="107"/>
      <c r="H78" s="26"/>
      <c r="I78" s="26"/>
      <c r="J78" s="26"/>
      <c r="K78" s="26"/>
      <c r="L78" s="26"/>
    </row>
    <row r="79" spans="7:12" ht="15.75" x14ac:dyDescent="0.25">
      <c r="G79" s="107"/>
      <c r="H79" s="26"/>
      <c r="I79" s="26"/>
      <c r="J79" s="26"/>
      <c r="K79" s="26"/>
      <c r="L79" s="26"/>
    </row>
    <row r="80" spans="7:12" ht="15.75" x14ac:dyDescent="0.25">
      <c r="G80" s="107"/>
      <c r="H80" s="26"/>
      <c r="I80" s="26"/>
      <c r="J80" s="26"/>
      <c r="K80" s="26"/>
      <c r="L80" s="26"/>
    </row>
    <row r="81" spans="7:12" ht="15.75" x14ac:dyDescent="0.25">
      <c r="G81" s="107"/>
      <c r="H81" s="26"/>
      <c r="I81" s="26"/>
      <c r="J81" s="26"/>
      <c r="K81" s="26"/>
      <c r="L81" s="26"/>
    </row>
    <row r="82" spans="7:12" ht="15.75" x14ac:dyDescent="0.25">
      <c r="G82" s="107"/>
      <c r="H82" s="26"/>
      <c r="I82" s="26"/>
      <c r="J82" s="26"/>
      <c r="K82" s="26"/>
      <c r="L82" s="26"/>
    </row>
    <row r="83" spans="7:12" ht="15.75" x14ac:dyDescent="0.25">
      <c r="G83" s="107"/>
      <c r="H83" s="26"/>
      <c r="I83" s="26"/>
      <c r="J83" s="26"/>
      <c r="K83" s="26"/>
      <c r="L83" s="26"/>
    </row>
    <row r="84" spans="7:12" ht="15.75" x14ac:dyDescent="0.25">
      <c r="G84" s="107"/>
      <c r="H84" s="26"/>
      <c r="I84" s="26"/>
      <c r="J84" s="26"/>
      <c r="K84" s="26"/>
      <c r="L84" s="26"/>
    </row>
    <row r="85" spans="7:12" ht="15.75" x14ac:dyDescent="0.25">
      <c r="G85" s="107"/>
      <c r="H85" s="26"/>
      <c r="I85" s="26"/>
      <c r="J85" s="26"/>
      <c r="K85" s="26"/>
      <c r="L85" s="26"/>
    </row>
    <row r="86" spans="7:12" ht="15.75" x14ac:dyDescent="0.25">
      <c r="G86" s="107"/>
      <c r="H86" s="26"/>
      <c r="I86" s="26"/>
      <c r="J86" s="26"/>
      <c r="K86" s="26"/>
      <c r="L86" s="26"/>
    </row>
    <row r="87" spans="7:12" ht="15.75" x14ac:dyDescent="0.25">
      <c r="G87" s="107"/>
      <c r="H87" s="26"/>
      <c r="I87" s="26"/>
      <c r="J87" s="26"/>
      <c r="K87" s="26"/>
      <c r="L87" s="26"/>
    </row>
    <row r="88" spans="7:12" ht="15.75" x14ac:dyDescent="0.25">
      <c r="G88" s="107"/>
      <c r="H88" s="26"/>
      <c r="I88" s="26"/>
      <c r="J88" s="26"/>
      <c r="K88" s="26"/>
      <c r="L88" s="26"/>
    </row>
    <row r="89" spans="7:12" ht="15.75" x14ac:dyDescent="0.25">
      <c r="G89" s="107"/>
      <c r="H89" s="26"/>
      <c r="I89" s="26"/>
      <c r="J89" s="26"/>
      <c r="K89" s="26"/>
      <c r="L89" s="26"/>
    </row>
    <row r="90" spans="7:12" ht="15.75" x14ac:dyDescent="0.25">
      <c r="G90" s="107"/>
      <c r="H90" s="26"/>
      <c r="I90" s="26"/>
      <c r="J90" s="26"/>
      <c r="K90" s="26"/>
      <c r="L90" s="26"/>
    </row>
    <row r="91" spans="7:12" ht="15.75" x14ac:dyDescent="0.25">
      <c r="G91" s="107"/>
      <c r="H91" s="26"/>
      <c r="I91" s="26"/>
      <c r="J91" s="26"/>
      <c r="K91" s="26"/>
      <c r="L91" s="26"/>
    </row>
    <row r="92" spans="7:12" ht="15.75" x14ac:dyDescent="0.25">
      <c r="G92" s="107"/>
      <c r="H92" s="26"/>
      <c r="I92" s="26"/>
      <c r="J92" s="26"/>
      <c r="K92" s="26"/>
      <c r="L92" s="26"/>
    </row>
    <row r="93" spans="7:12" ht="15.75" x14ac:dyDescent="0.25">
      <c r="G93" s="107"/>
      <c r="H93" s="26"/>
      <c r="I93" s="26"/>
      <c r="J93" s="26"/>
      <c r="K93" s="26"/>
      <c r="L93" s="26"/>
    </row>
    <row r="94" spans="7:12" ht="15.75" x14ac:dyDescent="0.25">
      <c r="G94" s="107"/>
      <c r="H94" s="26"/>
      <c r="I94" s="26"/>
      <c r="J94" s="26"/>
      <c r="K94" s="26"/>
      <c r="L94" s="26"/>
    </row>
    <row r="95" spans="7:12" ht="15.75" x14ac:dyDescent="0.25">
      <c r="G95" s="107"/>
      <c r="H95" s="26"/>
      <c r="I95" s="26"/>
      <c r="J95" s="26"/>
      <c r="K95" s="26"/>
      <c r="L95" s="26"/>
    </row>
    <row r="96" spans="7:12" ht="15.75" x14ac:dyDescent="0.25">
      <c r="G96" s="107"/>
      <c r="H96" s="26"/>
      <c r="I96" s="26"/>
      <c r="J96" s="26"/>
      <c r="K96" s="26"/>
      <c r="L96" s="26"/>
    </row>
    <row r="97" spans="7:12" ht="15.75" x14ac:dyDescent="0.25">
      <c r="G97" s="107"/>
      <c r="H97" s="26"/>
      <c r="I97" s="26"/>
      <c r="J97" s="26"/>
      <c r="K97" s="26"/>
      <c r="L97" s="26"/>
    </row>
    <row r="98" spans="7:12" ht="15.75" x14ac:dyDescent="0.25">
      <c r="G98" s="107"/>
      <c r="H98" s="26"/>
      <c r="I98" s="26"/>
      <c r="J98" s="26"/>
      <c r="K98" s="26"/>
      <c r="L98" s="26"/>
    </row>
    <row r="99" spans="7:12" ht="15.75" x14ac:dyDescent="0.25">
      <c r="G99" s="107"/>
      <c r="H99" s="26"/>
      <c r="I99" s="26"/>
      <c r="J99" s="26"/>
      <c r="K99" s="26"/>
      <c r="L99" s="26"/>
    </row>
    <row r="100" spans="7:12" ht="15.75" x14ac:dyDescent="0.25">
      <c r="G100" s="107"/>
      <c r="H100" s="26"/>
      <c r="I100" s="26"/>
      <c r="J100" s="26"/>
      <c r="K100" s="26"/>
      <c r="L100" s="26"/>
    </row>
    <row r="101" spans="7:12" ht="15.75" x14ac:dyDescent="0.25">
      <c r="G101" s="107"/>
      <c r="H101" s="26"/>
      <c r="I101" s="26"/>
      <c r="J101" s="26"/>
      <c r="K101" s="26"/>
      <c r="L101" s="26"/>
    </row>
    <row r="102" spans="7:12" ht="15.75" x14ac:dyDescent="0.25">
      <c r="G102" s="107"/>
      <c r="H102" s="26"/>
      <c r="I102" s="26"/>
      <c r="J102" s="26"/>
      <c r="K102" s="26"/>
      <c r="L102" s="26"/>
    </row>
    <row r="103" spans="7:12" ht="15.75" x14ac:dyDescent="0.25">
      <c r="G103" s="107"/>
      <c r="H103" s="26"/>
      <c r="I103" s="26"/>
      <c r="J103" s="26"/>
      <c r="K103" s="26"/>
      <c r="L103" s="26"/>
    </row>
    <row r="104" spans="7:12" ht="15.75" x14ac:dyDescent="0.25">
      <c r="G104" s="107"/>
      <c r="H104" s="26"/>
      <c r="I104" s="26"/>
      <c r="J104" s="26"/>
      <c r="K104" s="26"/>
      <c r="L104" s="26"/>
    </row>
    <row r="105" spans="7:12" ht="15.75" x14ac:dyDescent="0.25">
      <c r="G105" s="107"/>
      <c r="H105" s="26"/>
      <c r="I105" s="26"/>
      <c r="J105" s="26"/>
      <c r="K105" s="26"/>
      <c r="L105" s="26"/>
    </row>
    <row r="106" spans="7:12" ht="15.75" x14ac:dyDescent="0.25">
      <c r="G106" s="107"/>
      <c r="H106" s="26"/>
      <c r="I106" s="26"/>
      <c r="J106" s="26"/>
      <c r="K106" s="26"/>
      <c r="L106" s="26"/>
    </row>
    <row r="107" spans="7:12" ht="15.75" x14ac:dyDescent="0.25">
      <c r="G107" s="107"/>
      <c r="H107" s="26"/>
      <c r="I107" s="26"/>
      <c r="J107" s="26"/>
      <c r="K107" s="26"/>
      <c r="L107" s="26"/>
    </row>
    <row r="108" spans="7:12" ht="15.75" x14ac:dyDescent="0.25">
      <c r="G108" s="107"/>
      <c r="H108" s="26"/>
      <c r="I108" s="26"/>
      <c r="J108" s="26"/>
      <c r="K108" s="26"/>
      <c r="L108" s="26"/>
    </row>
    <row r="109" spans="7:12" ht="15.75" x14ac:dyDescent="0.25">
      <c r="G109" s="107"/>
      <c r="H109" s="26"/>
      <c r="I109" s="26"/>
      <c r="J109" s="26"/>
      <c r="K109" s="26"/>
      <c r="L109" s="26"/>
    </row>
    <row r="110" spans="7:12" ht="15.75" x14ac:dyDescent="0.25">
      <c r="G110" s="107"/>
      <c r="H110" s="26"/>
      <c r="I110" s="26"/>
      <c r="J110" s="26"/>
      <c r="K110" s="26"/>
      <c r="L110" s="26"/>
    </row>
    <row r="111" spans="7:12" ht="15.75" x14ac:dyDescent="0.25">
      <c r="G111" s="107"/>
      <c r="H111" s="26"/>
      <c r="I111" s="26"/>
      <c r="J111" s="26"/>
      <c r="K111" s="26"/>
      <c r="L111" s="26"/>
    </row>
    <row r="112" spans="7:12" ht="15.75" x14ac:dyDescent="0.25">
      <c r="G112" s="107"/>
      <c r="H112" s="26"/>
      <c r="I112" s="26"/>
      <c r="J112" s="26"/>
      <c r="K112" s="26"/>
      <c r="L112" s="26"/>
    </row>
    <row r="113" spans="7:12" ht="15.75" x14ac:dyDescent="0.25">
      <c r="G113" s="107"/>
      <c r="H113" s="26"/>
      <c r="I113" s="26"/>
      <c r="J113" s="26"/>
      <c r="K113" s="26"/>
      <c r="L113" s="26"/>
    </row>
    <row r="114" spans="7:12" ht="15.75" x14ac:dyDescent="0.25">
      <c r="G114" s="107"/>
      <c r="H114" s="26"/>
      <c r="I114" s="26"/>
      <c r="J114" s="26"/>
      <c r="K114" s="26"/>
      <c r="L114" s="26"/>
    </row>
    <row r="115" spans="7:12" ht="15.75" x14ac:dyDescent="0.25">
      <c r="G115" s="107"/>
      <c r="H115" s="26"/>
      <c r="I115" s="26"/>
      <c r="J115" s="26"/>
      <c r="K115" s="26"/>
      <c r="L115" s="26"/>
    </row>
    <row r="116" spans="7:12" ht="15.75" x14ac:dyDescent="0.25">
      <c r="G116" s="107"/>
      <c r="H116" s="26"/>
      <c r="I116" s="26"/>
      <c r="J116" s="26"/>
      <c r="K116" s="26"/>
      <c r="L116" s="26"/>
    </row>
    <row r="117" spans="7:12" ht="15.75" x14ac:dyDescent="0.25">
      <c r="G117" s="107"/>
      <c r="H117" s="26"/>
      <c r="I117" s="26"/>
      <c r="J117" s="26"/>
      <c r="K117" s="26"/>
      <c r="L117" s="26"/>
    </row>
    <row r="118" spans="7:12" ht="15.75" x14ac:dyDescent="0.25">
      <c r="G118" s="107"/>
      <c r="H118" s="26"/>
      <c r="I118" s="26"/>
      <c r="J118" s="26"/>
      <c r="K118" s="26"/>
      <c r="L118" s="26"/>
    </row>
    <row r="119" spans="7:12" ht="15.75" x14ac:dyDescent="0.25">
      <c r="G119" s="107"/>
      <c r="H119" s="26"/>
      <c r="I119" s="26"/>
      <c r="J119" s="26"/>
      <c r="K119" s="26"/>
      <c r="L119" s="26"/>
    </row>
    <row r="120" spans="7:12" ht="15.75" x14ac:dyDescent="0.25">
      <c r="G120" s="107"/>
      <c r="H120" s="26"/>
      <c r="I120" s="26"/>
      <c r="J120" s="26"/>
      <c r="K120" s="26"/>
      <c r="L120" s="26"/>
    </row>
    <row r="121" spans="7:12" ht="15.75" x14ac:dyDescent="0.25">
      <c r="G121" s="107"/>
      <c r="H121" s="26"/>
      <c r="I121" s="26"/>
      <c r="J121" s="26"/>
      <c r="K121" s="26"/>
      <c r="L121" s="26"/>
    </row>
    <row r="122" spans="7:12" ht="15.75" x14ac:dyDescent="0.25">
      <c r="G122" s="107"/>
      <c r="H122" s="26"/>
      <c r="I122" s="26"/>
      <c r="J122" s="26"/>
      <c r="K122" s="26"/>
      <c r="L122" s="26"/>
    </row>
    <row r="123" spans="7:12" ht="15.75" x14ac:dyDescent="0.25">
      <c r="G123" s="107"/>
      <c r="H123" s="26"/>
      <c r="I123" s="26"/>
      <c r="J123" s="26"/>
      <c r="K123" s="26"/>
      <c r="L123" s="26"/>
    </row>
    <row r="124" spans="7:12" ht="15.75" x14ac:dyDescent="0.25">
      <c r="G124" s="107"/>
      <c r="H124" s="26"/>
      <c r="I124" s="26"/>
      <c r="J124" s="26"/>
      <c r="K124" s="26"/>
      <c r="L124" s="26"/>
    </row>
    <row r="125" spans="7:12" ht="15.75" x14ac:dyDescent="0.25">
      <c r="G125" s="107"/>
      <c r="H125" s="26"/>
      <c r="I125" s="26"/>
      <c r="J125" s="26"/>
      <c r="K125" s="26"/>
      <c r="L125" s="26"/>
    </row>
    <row r="126" spans="7:12" ht="15.75" x14ac:dyDescent="0.25">
      <c r="G126" s="107"/>
      <c r="H126" s="26"/>
      <c r="I126" s="26"/>
      <c r="J126" s="26"/>
      <c r="K126" s="26"/>
      <c r="L126" s="26"/>
    </row>
    <row r="127" spans="7:12" ht="15.75" x14ac:dyDescent="0.25">
      <c r="G127" s="107"/>
      <c r="H127" s="26"/>
      <c r="I127" s="26"/>
      <c r="J127" s="26"/>
      <c r="K127" s="26"/>
      <c r="L127" s="26"/>
    </row>
    <row r="128" spans="7:12" ht="15.75" x14ac:dyDescent="0.25">
      <c r="G128" s="107"/>
      <c r="H128" s="26"/>
      <c r="I128" s="26"/>
      <c r="J128" s="26"/>
      <c r="K128" s="26"/>
      <c r="L128" s="26"/>
    </row>
    <row r="129" spans="7:12" ht="15.75" x14ac:dyDescent="0.25">
      <c r="G129" s="107"/>
      <c r="H129" s="26"/>
      <c r="I129" s="26"/>
      <c r="J129" s="26"/>
      <c r="K129" s="26"/>
      <c r="L129" s="26"/>
    </row>
    <row r="130" spans="7:12" ht="15.75" x14ac:dyDescent="0.25">
      <c r="G130" s="107"/>
      <c r="H130" s="26"/>
      <c r="I130" s="26"/>
      <c r="J130" s="26"/>
      <c r="K130" s="26"/>
      <c r="L130" s="26"/>
    </row>
    <row r="131" spans="7:12" ht="15.75" x14ac:dyDescent="0.25">
      <c r="G131" s="107"/>
      <c r="H131" s="26"/>
      <c r="I131" s="26"/>
      <c r="J131" s="26"/>
      <c r="K131" s="26"/>
      <c r="L131" s="26"/>
    </row>
    <row r="132" spans="7:12" ht="15.75" x14ac:dyDescent="0.25">
      <c r="G132" s="107"/>
      <c r="H132" s="26"/>
      <c r="I132" s="26"/>
      <c r="J132" s="26"/>
      <c r="K132" s="26"/>
      <c r="L132" s="26"/>
    </row>
    <row r="133" spans="7:12" ht="15.75" x14ac:dyDescent="0.25">
      <c r="G133" s="107"/>
      <c r="H133" s="26"/>
      <c r="I133" s="26"/>
      <c r="J133" s="26"/>
      <c r="K133" s="26"/>
      <c r="L133" s="26"/>
    </row>
    <row r="134" spans="7:12" ht="15.75" x14ac:dyDescent="0.25">
      <c r="G134" s="107"/>
      <c r="H134" s="26"/>
      <c r="I134" s="26"/>
      <c r="J134" s="26"/>
      <c r="K134" s="26"/>
      <c r="L134" s="26"/>
    </row>
    <row r="135" spans="7:12" ht="15.75" x14ac:dyDescent="0.25">
      <c r="G135" s="107"/>
      <c r="H135" s="26"/>
      <c r="I135" s="26"/>
      <c r="J135" s="26"/>
      <c r="K135" s="26"/>
      <c r="L135" s="26"/>
    </row>
    <row r="136" spans="7:12" ht="15.75" x14ac:dyDescent="0.25">
      <c r="G136" s="107"/>
      <c r="H136" s="26"/>
      <c r="I136" s="26"/>
      <c r="J136" s="26"/>
      <c r="K136" s="26"/>
      <c r="L136" s="26"/>
    </row>
    <row r="137" spans="7:12" ht="15.75" x14ac:dyDescent="0.25">
      <c r="G137" s="107"/>
      <c r="H137" s="26"/>
      <c r="I137" s="26"/>
      <c r="J137" s="26"/>
      <c r="K137" s="26"/>
      <c r="L137" s="26"/>
    </row>
    <row r="138" spans="7:12" ht="15.75" x14ac:dyDescent="0.25">
      <c r="G138" s="107"/>
      <c r="H138" s="26"/>
      <c r="I138" s="26"/>
      <c r="J138" s="26"/>
      <c r="K138" s="26"/>
      <c r="L138" s="26"/>
    </row>
    <row r="139" spans="7:12" ht="15.75" x14ac:dyDescent="0.25">
      <c r="G139" s="107"/>
      <c r="H139" s="26"/>
      <c r="I139" s="26"/>
      <c r="J139" s="26"/>
      <c r="K139" s="26"/>
      <c r="L139" s="26"/>
    </row>
    <row r="140" spans="7:12" ht="15.75" x14ac:dyDescent="0.25">
      <c r="G140" s="107"/>
      <c r="H140" s="26"/>
      <c r="I140" s="26"/>
      <c r="J140" s="26"/>
      <c r="K140" s="26"/>
      <c r="L140" s="26"/>
    </row>
    <row r="141" spans="7:12" ht="15.75" x14ac:dyDescent="0.25">
      <c r="G141" s="107"/>
      <c r="H141" s="26"/>
      <c r="I141" s="26"/>
      <c r="J141" s="26"/>
      <c r="K141" s="26"/>
      <c r="L141" s="26"/>
    </row>
    <row r="142" spans="7:12" ht="15.75" x14ac:dyDescent="0.25">
      <c r="G142" s="107"/>
      <c r="H142" s="26"/>
      <c r="I142" s="26"/>
      <c r="J142" s="26"/>
      <c r="K142" s="26"/>
      <c r="L142" s="26"/>
    </row>
    <row r="143" spans="7:12" ht="15.75" x14ac:dyDescent="0.25">
      <c r="G143" s="107"/>
      <c r="H143" s="26"/>
      <c r="I143" s="26"/>
      <c r="J143" s="26"/>
      <c r="K143" s="26"/>
      <c r="L143" s="26"/>
    </row>
    <row r="144" spans="7:12" ht="15.75" x14ac:dyDescent="0.25">
      <c r="G144" s="107"/>
      <c r="H144" s="26"/>
      <c r="I144" s="26"/>
      <c r="J144" s="26"/>
      <c r="K144" s="26"/>
      <c r="L144" s="26"/>
    </row>
    <row r="145" spans="7:12" ht="15.75" x14ac:dyDescent="0.25">
      <c r="G145" s="107"/>
      <c r="H145" s="26"/>
      <c r="I145" s="26"/>
      <c r="J145" s="26"/>
      <c r="K145" s="26"/>
      <c r="L145" s="26"/>
    </row>
    <row r="146" spans="7:12" ht="15.75" x14ac:dyDescent="0.25">
      <c r="G146" s="107"/>
      <c r="H146" s="26"/>
      <c r="I146" s="26"/>
      <c r="J146" s="26"/>
      <c r="K146" s="26"/>
      <c r="L146" s="26"/>
    </row>
    <row r="147" spans="7:12" ht="15.75" x14ac:dyDescent="0.25">
      <c r="G147" s="107"/>
      <c r="H147" s="26"/>
      <c r="I147" s="26"/>
      <c r="J147" s="26"/>
      <c r="K147" s="26"/>
      <c r="L147" s="26"/>
    </row>
    <row r="148" spans="7:12" ht="15.75" x14ac:dyDescent="0.25">
      <c r="G148" s="107"/>
      <c r="H148" s="26"/>
      <c r="I148" s="26"/>
      <c r="J148" s="26"/>
      <c r="K148" s="26"/>
      <c r="L148" s="26"/>
    </row>
    <row r="149" spans="7:12" ht="15.75" x14ac:dyDescent="0.25">
      <c r="G149" s="107"/>
      <c r="H149" s="26"/>
      <c r="I149" s="26"/>
      <c r="J149" s="26"/>
      <c r="K149" s="26"/>
      <c r="L149" s="26"/>
    </row>
    <row r="150" spans="7:12" ht="15.75" x14ac:dyDescent="0.25">
      <c r="G150" s="107"/>
      <c r="H150" s="26"/>
      <c r="I150" s="26"/>
      <c r="J150" s="26"/>
      <c r="K150" s="26"/>
      <c r="L150" s="26"/>
    </row>
    <row r="151" spans="7:12" ht="15.75" x14ac:dyDescent="0.25">
      <c r="G151" s="107"/>
      <c r="H151" s="26"/>
      <c r="I151" s="26"/>
      <c r="J151" s="26"/>
      <c r="K151" s="26"/>
      <c r="L151" s="26"/>
    </row>
    <row r="152" spans="7:12" ht="15.75" x14ac:dyDescent="0.25">
      <c r="G152" s="107"/>
      <c r="H152" s="26"/>
      <c r="I152" s="26"/>
      <c r="J152" s="26"/>
      <c r="K152" s="26"/>
      <c r="L152" s="26"/>
    </row>
    <row r="153" spans="7:12" ht="15.75" x14ac:dyDescent="0.25">
      <c r="G153" s="107"/>
      <c r="H153" s="26"/>
      <c r="I153" s="26"/>
      <c r="J153" s="26"/>
      <c r="K153" s="26"/>
      <c r="L153" s="26"/>
    </row>
    <row r="154" spans="7:12" ht="15.75" x14ac:dyDescent="0.25">
      <c r="G154" s="107"/>
      <c r="H154" s="26"/>
      <c r="I154" s="26"/>
      <c r="J154" s="26"/>
      <c r="K154" s="26"/>
      <c r="L154" s="26"/>
    </row>
    <row r="155" spans="7:12" ht="15.75" x14ac:dyDescent="0.25">
      <c r="G155" s="107"/>
      <c r="H155" s="26"/>
      <c r="I155" s="26"/>
      <c r="J155" s="26"/>
      <c r="K155" s="26"/>
      <c r="L155" s="26"/>
    </row>
    <row r="156" spans="7:12" ht="15.75" x14ac:dyDescent="0.25">
      <c r="G156" s="107"/>
      <c r="H156" s="26"/>
      <c r="I156" s="26"/>
      <c r="J156" s="26"/>
      <c r="K156" s="26"/>
      <c r="L156" s="26"/>
    </row>
    <row r="157" spans="7:12" ht="15.75" x14ac:dyDescent="0.25">
      <c r="G157" s="107"/>
      <c r="H157" s="26"/>
      <c r="I157" s="26"/>
      <c r="J157" s="26"/>
      <c r="K157" s="26"/>
      <c r="L157" s="26"/>
    </row>
    <row r="158" spans="7:12" ht="15.75" x14ac:dyDescent="0.25">
      <c r="G158" s="107"/>
      <c r="H158" s="26"/>
      <c r="I158" s="26"/>
      <c r="J158" s="26"/>
      <c r="K158" s="26"/>
      <c r="L158" s="26"/>
    </row>
    <row r="159" spans="7:12" ht="15.75" x14ac:dyDescent="0.25">
      <c r="G159" s="107"/>
      <c r="H159" s="26"/>
      <c r="I159" s="26"/>
      <c r="J159" s="26"/>
      <c r="K159" s="26"/>
      <c r="L159" s="26"/>
    </row>
    <row r="160" spans="7:12" ht="15.75" x14ac:dyDescent="0.25">
      <c r="G160" s="107"/>
      <c r="H160" s="26"/>
      <c r="I160" s="26"/>
      <c r="J160" s="26"/>
      <c r="K160" s="26"/>
      <c r="L160" s="26"/>
    </row>
    <row r="161" spans="7:12" ht="15.75" x14ac:dyDescent="0.25">
      <c r="G161" s="107"/>
      <c r="H161" s="26"/>
      <c r="I161" s="26"/>
      <c r="J161" s="26"/>
      <c r="K161" s="26"/>
      <c r="L161" s="26"/>
    </row>
    <row r="162" spans="7:12" ht="15.75" x14ac:dyDescent="0.25">
      <c r="G162" s="107"/>
      <c r="H162" s="26"/>
      <c r="I162" s="26"/>
      <c r="J162" s="26"/>
      <c r="K162" s="26"/>
      <c r="L162" s="26"/>
    </row>
    <row r="163" spans="7:12" ht="15.75" x14ac:dyDescent="0.25">
      <c r="G163" s="107"/>
      <c r="H163" s="26"/>
      <c r="I163" s="26"/>
      <c r="J163" s="26"/>
      <c r="K163" s="26"/>
      <c r="L163" s="26"/>
    </row>
    <row r="164" spans="7:12" ht="15.75" x14ac:dyDescent="0.25">
      <c r="G164" s="107"/>
      <c r="H164" s="26"/>
      <c r="I164" s="26"/>
      <c r="J164" s="26"/>
      <c r="K164" s="26"/>
      <c r="L164" s="26"/>
    </row>
    <row r="165" spans="7:12" ht="15.75" x14ac:dyDescent="0.25">
      <c r="G165" s="107"/>
      <c r="H165" s="26"/>
      <c r="I165" s="26"/>
      <c r="J165" s="26"/>
      <c r="K165" s="26"/>
      <c r="L165" s="26"/>
    </row>
    <row r="166" spans="7:12" ht="15.75" x14ac:dyDescent="0.25">
      <c r="G166" s="107"/>
      <c r="H166" s="26"/>
      <c r="I166" s="26"/>
      <c r="J166" s="26"/>
      <c r="K166" s="26"/>
      <c r="L166" s="26"/>
    </row>
    <row r="167" spans="7:12" ht="15.75" x14ac:dyDescent="0.25">
      <c r="G167" s="107"/>
      <c r="H167" s="26"/>
      <c r="I167" s="26"/>
      <c r="J167" s="26"/>
      <c r="K167" s="26"/>
      <c r="L167" s="26"/>
    </row>
    <row r="168" spans="7:12" ht="15.75" x14ac:dyDescent="0.25">
      <c r="G168" s="107"/>
      <c r="H168" s="26"/>
      <c r="I168" s="26"/>
      <c r="J168" s="26"/>
      <c r="K168" s="26"/>
      <c r="L168" s="26"/>
    </row>
    <row r="169" spans="7:12" ht="15.75" x14ac:dyDescent="0.25">
      <c r="G169" s="107"/>
      <c r="H169" s="26"/>
      <c r="I169" s="26"/>
      <c r="J169" s="26"/>
      <c r="K169" s="26"/>
      <c r="L169" s="26"/>
    </row>
    <row r="170" spans="7:12" ht="15.75" x14ac:dyDescent="0.25">
      <c r="G170" s="107"/>
      <c r="H170" s="26"/>
      <c r="I170" s="26"/>
      <c r="J170" s="26"/>
      <c r="K170" s="26"/>
      <c r="L170" s="26"/>
    </row>
    <row r="171" spans="7:12" ht="15.75" x14ac:dyDescent="0.25">
      <c r="G171" s="107"/>
      <c r="H171" s="26"/>
      <c r="I171" s="26"/>
      <c r="J171" s="26"/>
      <c r="K171" s="26"/>
      <c r="L171" s="26"/>
    </row>
    <row r="172" spans="7:12" ht="15.75" x14ac:dyDescent="0.25">
      <c r="G172" s="107"/>
      <c r="H172" s="26"/>
      <c r="I172" s="26"/>
      <c r="J172" s="26"/>
      <c r="K172" s="26"/>
      <c r="L172" s="26"/>
    </row>
    <row r="173" spans="7:12" ht="15.75" x14ac:dyDescent="0.25">
      <c r="G173" s="107"/>
      <c r="H173" s="26"/>
      <c r="I173" s="26"/>
      <c r="J173" s="26"/>
      <c r="K173" s="26"/>
      <c r="L173" s="26"/>
    </row>
    <row r="174" spans="7:12" ht="15.75" x14ac:dyDescent="0.25">
      <c r="G174" s="107"/>
      <c r="H174" s="26"/>
      <c r="I174" s="26"/>
      <c r="J174" s="26"/>
      <c r="K174" s="26"/>
      <c r="L174" s="26"/>
    </row>
    <row r="175" spans="7:12" ht="15.75" x14ac:dyDescent="0.25">
      <c r="G175" s="107"/>
      <c r="H175" s="26"/>
      <c r="I175" s="26"/>
      <c r="J175" s="26"/>
      <c r="K175" s="26"/>
      <c r="L175" s="26"/>
    </row>
    <row r="176" spans="7:12" ht="15.75" x14ac:dyDescent="0.25">
      <c r="G176" s="107"/>
      <c r="H176" s="26"/>
      <c r="I176" s="26"/>
      <c r="J176" s="26"/>
      <c r="K176" s="26"/>
      <c r="L176" s="26"/>
    </row>
    <row r="177" spans="7:12" ht="15.75" x14ac:dyDescent="0.25">
      <c r="G177" s="107"/>
      <c r="H177" s="26"/>
      <c r="I177" s="26"/>
      <c r="J177" s="26"/>
      <c r="K177" s="26"/>
      <c r="L177" s="26"/>
    </row>
    <row r="178" spans="7:12" ht="15.75" x14ac:dyDescent="0.25">
      <c r="G178" s="107"/>
      <c r="H178" s="26"/>
      <c r="I178" s="26"/>
      <c r="J178" s="26"/>
      <c r="K178" s="26"/>
      <c r="L178" s="26"/>
    </row>
    <row r="179" spans="7:12" ht="15.75" x14ac:dyDescent="0.25">
      <c r="G179" s="107"/>
      <c r="H179" s="26"/>
      <c r="I179" s="26"/>
      <c r="J179" s="26"/>
      <c r="K179" s="26"/>
      <c r="L179" s="26"/>
    </row>
    <row r="180" spans="7:12" ht="15.75" x14ac:dyDescent="0.25">
      <c r="G180" s="107"/>
      <c r="H180" s="26"/>
      <c r="I180" s="26"/>
      <c r="J180" s="26"/>
      <c r="K180" s="26"/>
      <c r="L180" s="26"/>
    </row>
    <row r="181" spans="7:12" ht="15.75" x14ac:dyDescent="0.25">
      <c r="G181" s="107"/>
      <c r="H181" s="26"/>
      <c r="I181" s="26"/>
      <c r="J181" s="26"/>
      <c r="K181" s="26"/>
      <c r="L181" s="26"/>
    </row>
    <row r="182" spans="7:12" ht="15.75" x14ac:dyDescent="0.25">
      <c r="G182" s="107"/>
      <c r="H182" s="26"/>
      <c r="I182" s="26"/>
      <c r="J182" s="26"/>
      <c r="K182" s="26"/>
      <c r="L182" s="26"/>
    </row>
    <row r="183" spans="7:12" ht="15.75" x14ac:dyDescent="0.25">
      <c r="G183" s="107"/>
      <c r="H183" s="26"/>
      <c r="I183" s="26"/>
      <c r="J183" s="26"/>
      <c r="K183" s="26"/>
      <c r="L183" s="26"/>
    </row>
    <row r="184" spans="7:12" ht="15.75" x14ac:dyDescent="0.25">
      <c r="G184" s="107"/>
      <c r="H184" s="26"/>
      <c r="I184" s="26"/>
      <c r="J184" s="26"/>
      <c r="K184" s="26"/>
      <c r="L184" s="26"/>
    </row>
    <row r="185" spans="7:12" ht="15.75" x14ac:dyDescent="0.25">
      <c r="G185" s="107"/>
      <c r="H185" s="26"/>
      <c r="I185" s="26"/>
      <c r="J185" s="26"/>
      <c r="K185" s="26"/>
      <c r="L185" s="26"/>
    </row>
    <row r="186" spans="7:12" ht="15.75" x14ac:dyDescent="0.25">
      <c r="G186" s="107"/>
      <c r="H186" s="26"/>
      <c r="I186" s="26"/>
      <c r="J186" s="26"/>
      <c r="K186" s="26"/>
      <c r="L186" s="26"/>
    </row>
    <row r="187" spans="7:12" ht="15.75" x14ac:dyDescent="0.25">
      <c r="G187" s="107"/>
      <c r="H187" s="26"/>
      <c r="I187" s="26"/>
      <c r="J187" s="26"/>
      <c r="K187" s="26"/>
      <c r="L187" s="26"/>
    </row>
    <row r="188" spans="7:12" ht="15.75" x14ac:dyDescent="0.25">
      <c r="G188" s="107"/>
      <c r="H188" s="26"/>
      <c r="I188" s="26"/>
      <c r="J188" s="26"/>
      <c r="K188" s="26"/>
      <c r="L188" s="26"/>
    </row>
    <row r="189" spans="7:12" ht="15.75" x14ac:dyDescent="0.25">
      <c r="G189" s="107"/>
      <c r="H189" s="26"/>
      <c r="I189" s="26"/>
      <c r="J189" s="26"/>
      <c r="K189" s="26"/>
      <c r="L189" s="26"/>
    </row>
    <row r="190" spans="7:12" ht="15.75" x14ac:dyDescent="0.25">
      <c r="G190" s="107"/>
      <c r="H190" s="26"/>
      <c r="I190" s="26"/>
      <c r="J190" s="26"/>
      <c r="K190" s="26"/>
      <c r="L190" s="26"/>
    </row>
    <row r="191" spans="7:12" ht="15.75" x14ac:dyDescent="0.25">
      <c r="G191" s="107"/>
      <c r="H191" s="26"/>
      <c r="I191" s="26"/>
      <c r="J191" s="26"/>
      <c r="K191" s="26"/>
      <c r="L191" s="26"/>
    </row>
    <row r="192" spans="7:12" ht="15.75" x14ac:dyDescent="0.25">
      <c r="G192" s="107"/>
      <c r="H192" s="26"/>
      <c r="I192" s="26"/>
      <c r="J192" s="26"/>
      <c r="K192" s="26"/>
      <c r="L192" s="26"/>
    </row>
    <row r="193" spans="7:12" ht="15.75" x14ac:dyDescent="0.25">
      <c r="G193" s="107"/>
      <c r="H193" s="26"/>
      <c r="I193" s="26"/>
      <c r="J193" s="26"/>
      <c r="K193" s="26"/>
      <c r="L193" s="26"/>
    </row>
    <row r="194" spans="7:12" ht="15.75" x14ac:dyDescent="0.25">
      <c r="G194" s="107"/>
      <c r="H194" s="26"/>
      <c r="I194" s="26"/>
      <c r="J194" s="26"/>
      <c r="K194" s="26"/>
      <c r="L194" s="26"/>
    </row>
    <row r="195" spans="7:12" ht="15.75" x14ac:dyDescent="0.25">
      <c r="G195" s="107"/>
      <c r="H195" s="26"/>
      <c r="I195" s="26"/>
      <c r="J195" s="26"/>
      <c r="K195" s="26"/>
      <c r="L195" s="26"/>
    </row>
    <row r="196" spans="7:12" ht="15.75" x14ac:dyDescent="0.25">
      <c r="G196" s="107"/>
      <c r="H196" s="26"/>
      <c r="I196" s="26"/>
      <c r="J196" s="26"/>
      <c r="K196" s="26"/>
      <c r="L196" s="26"/>
    </row>
    <row r="197" spans="7:12" ht="15.75" x14ac:dyDescent="0.25">
      <c r="G197" s="107"/>
      <c r="H197" s="26"/>
      <c r="I197" s="26"/>
      <c r="J197" s="26"/>
      <c r="K197" s="26"/>
      <c r="L197" s="26"/>
    </row>
    <row r="198" spans="7:12" ht="15.75" x14ac:dyDescent="0.25">
      <c r="G198" s="107"/>
      <c r="H198" s="26"/>
      <c r="I198" s="26"/>
      <c r="J198" s="26"/>
      <c r="K198" s="26"/>
      <c r="L198" s="26"/>
    </row>
    <row r="199" spans="7:12" ht="15.75" x14ac:dyDescent="0.25">
      <c r="G199" s="107"/>
      <c r="H199" s="26"/>
      <c r="I199" s="26"/>
      <c r="J199" s="26"/>
      <c r="K199" s="26"/>
      <c r="L199" s="26"/>
    </row>
    <row r="200" spans="7:12" ht="15.75" x14ac:dyDescent="0.25">
      <c r="G200" s="107"/>
      <c r="H200" s="26"/>
      <c r="I200" s="26"/>
      <c r="J200" s="26"/>
      <c r="K200" s="26"/>
      <c r="L200" s="26"/>
    </row>
    <row r="201" spans="7:12" ht="15.75" x14ac:dyDescent="0.25">
      <c r="G201" s="107"/>
      <c r="H201" s="26"/>
      <c r="I201" s="26"/>
      <c r="J201" s="26"/>
      <c r="K201" s="26"/>
      <c r="L201" s="26"/>
    </row>
    <row r="202" spans="7:12" ht="15.75" x14ac:dyDescent="0.25">
      <c r="G202" s="107"/>
      <c r="H202" s="26"/>
      <c r="I202" s="26"/>
      <c r="J202" s="26"/>
      <c r="K202" s="26"/>
      <c r="L202" s="26"/>
    </row>
    <row r="203" spans="7:12" ht="15.75" x14ac:dyDescent="0.25">
      <c r="G203" s="107"/>
      <c r="H203" s="26"/>
      <c r="I203" s="26"/>
      <c r="J203" s="26"/>
      <c r="K203" s="26"/>
      <c r="L203" s="26"/>
    </row>
    <row r="204" spans="7:12" ht="15.75" x14ac:dyDescent="0.25">
      <c r="G204" s="107"/>
      <c r="H204" s="26"/>
      <c r="I204" s="26"/>
      <c r="J204" s="26"/>
      <c r="K204" s="26"/>
      <c r="L204" s="26"/>
    </row>
    <row r="205" spans="7:12" ht="15.75" x14ac:dyDescent="0.25">
      <c r="G205" s="107"/>
      <c r="H205" s="26"/>
      <c r="I205" s="26"/>
      <c r="J205" s="26"/>
      <c r="K205" s="26"/>
      <c r="L205" s="26"/>
    </row>
    <row r="206" spans="7:12" ht="15.75" x14ac:dyDescent="0.25">
      <c r="G206" s="107"/>
      <c r="H206" s="26"/>
      <c r="I206" s="26"/>
      <c r="J206" s="26"/>
      <c r="K206" s="26"/>
      <c r="L206" s="26"/>
    </row>
    <row r="207" spans="7:12" ht="15.75" x14ac:dyDescent="0.25">
      <c r="G207" s="107"/>
      <c r="H207" s="26"/>
      <c r="I207" s="26"/>
      <c r="J207" s="26"/>
      <c r="K207" s="26"/>
      <c r="L207" s="26"/>
    </row>
  </sheetData>
  <mergeCells count="1">
    <mergeCell ref="H1:L1"/>
  </mergeCells>
  <conditionalFormatting sqref="D4:D5">
    <cfRule type="cellIs" dxfId="15" priority="215" operator="equal">
      <formula>0</formula>
    </cfRule>
  </conditionalFormatting>
  <dataValidations count="1">
    <dataValidation type="list" allowBlank="1" showInputMessage="1" sqref="H3:L3" xr:uid="{E5AC1770-E61D-4EF5-98C0-423BAECCF60E}">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2300-000000000000}">
          <x14:formula1>
            <xm:f>Unit!$A$4:$A$11</xm:f>
          </x14:formula1>
          <xm:sqref>D3</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D6F8D-79E6-4423-83BC-87FB8BD01481}">
  <sheetPr codeName="Sheet59">
    <tabColor rgb="FF00B0F0"/>
  </sheetPr>
  <dimension ref="A1:AB134"/>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915</v>
      </c>
      <c r="B1" s="295"/>
      <c r="C1" s="295"/>
      <c r="D1" s="295"/>
      <c r="E1" s="295"/>
      <c r="F1" s="295"/>
      <c r="G1" s="295"/>
      <c r="H1" s="295"/>
      <c r="I1" s="295"/>
      <c r="J1" s="295"/>
      <c r="K1" s="295"/>
      <c r="L1" s="295"/>
      <c r="M1" s="295"/>
      <c r="N1" s="295"/>
      <c r="O1" s="295"/>
      <c r="P1" s="295"/>
      <c r="Q1" s="295"/>
      <c r="R1" s="295"/>
      <c r="S1" s="296" t="s">
        <v>888</v>
      </c>
      <c r="T1" s="301">
        <v>44777</v>
      </c>
      <c r="U1" s="301"/>
      <c r="V1" s="301"/>
      <c r="W1" s="301"/>
      <c r="X1" s="301"/>
      <c r="Y1" s="301"/>
      <c r="Z1" s="301"/>
      <c r="AA1" s="301"/>
      <c r="AB1" s="301"/>
    </row>
    <row r="2" spans="1:28" ht="15.75" x14ac:dyDescent="0.25">
      <c r="I2" s="292">
        <v>74.8</v>
      </c>
      <c r="J2" s="293">
        <v>83.18</v>
      </c>
      <c r="K2" s="291">
        <v>1</v>
      </c>
      <c r="L2" s="291">
        <v>1</v>
      </c>
      <c r="U2" s="291">
        <v>1</v>
      </c>
      <c r="V2" s="291">
        <v>1</v>
      </c>
      <c r="W2" s="291">
        <v>1</v>
      </c>
      <c r="X2" s="291">
        <v>1</v>
      </c>
      <c r="Y2" s="291">
        <v>1</v>
      </c>
      <c r="Z2" s="291">
        <v>1</v>
      </c>
      <c r="AA2" s="291">
        <v>1</v>
      </c>
      <c r="AB2" s="291">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916</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U$2</f>
        <v>1</v>
      </c>
      <c r="V5" s="291">
        <f>V$2</f>
        <v>1</v>
      </c>
      <c r="W5" s="291">
        <f t="shared" ref="W5:AB5" si="0">W$2</f>
        <v>1</v>
      </c>
      <c r="X5" s="291">
        <f t="shared" si="0"/>
        <v>1</v>
      </c>
      <c r="Y5" s="291">
        <f t="shared" si="0"/>
        <v>1</v>
      </c>
      <c r="Z5" s="291">
        <f t="shared" si="0"/>
        <v>1</v>
      </c>
      <c r="AA5" s="291">
        <f t="shared" si="0"/>
        <v>1</v>
      </c>
      <c r="AB5" s="291">
        <f t="shared" si="0"/>
        <v>1</v>
      </c>
    </row>
    <row r="6" spans="1:28" s="305" customFormat="1" ht="14.45" hidden="1" customHeight="1" outlineLevel="1" x14ac:dyDescent="0.25">
      <c r="A6" s="278"/>
      <c r="B6" s="279" t="str">
        <f>C6&amp;D6&amp;E6&amp;F6</f>
        <v>ceramic/porcelainaverage</v>
      </c>
      <c r="C6" s="278" t="s">
        <v>927</v>
      </c>
      <c r="D6" s="278"/>
      <c r="E6" s="278"/>
      <c r="F6" s="278" t="s">
        <v>543</v>
      </c>
      <c r="G6" s="278" t="s">
        <v>11</v>
      </c>
      <c r="H6" s="290">
        <v>0.9</v>
      </c>
      <c r="I6" s="280">
        <f t="shared" ref="I6:I38" si="1">$I$2*H6</f>
        <v>67.319999999999993</v>
      </c>
      <c r="J6" s="281">
        <f>$J$2*H6</f>
        <v>74.862000000000009</v>
      </c>
      <c r="K6" s="282">
        <f>IF(Notes!$B$9="Domestic",I6, IF(Notes!$B$9="Commercial",J6))*$K$5</f>
        <v>74.862000000000009</v>
      </c>
      <c r="L6" s="283">
        <f>(SUM(O6:Q6)+(K6+SUM(M6:Q6))*(INDEX($U$5:$AB$5,MATCH(Notes!$C$16,$U$3:$AB$3,0))-100%))*$L$5</f>
        <v>33.89</v>
      </c>
      <c r="M6" s="284"/>
      <c r="N6" s="284"/>
      <c r="O6" s="285">
        <v>33.89</v>
      </c>
      <c r="P6" s="285"/>
      <c r="Q6" s="285"/>
      <c r="R6" s="278" t="s">
        <v>927</v>
      </c>
      <c r="S6" s="278"/>
      <c r="T6" s="278"/>
      <c r="U6" s="304"/>
    </row>
    <row r="7" spans="1:28" s="305" customFormat="1" ht="14.45" hidden="1" customHeight="1" outlineLevel="1" x14ac:dyDescent="0.25">
      <c r="A7" s="278"/>
      <c r="B7" s="279" t="str">
        <f t="shared" ref="B7:B38" si="2">C7&amp;D7&amp;E7&amp;F7</f>
        <v>ceramic/porcelainquality</v>
      </c>
      <c r="C7" s="278" t="s">
        <v>927</v>
      </c>
      <c r="D7" s="278"/>
      <c r="E7" s="278"/>
      <c r="F7" s="278" t="s">
        <v>544</v>
      </c>
      <c r="G7" s="278" t="s">
        <v>11</v>
      </c>
      <c r="H7" s="290">
        <v>0.9</v>
      </c>
      <c r="I7" s="280">
        <f t="shared" si="1"/>
        <v>67.319999999999993</v>
      </c>
      <c r="J7" s="281">
        <f t="shared" ref="J7:J38" si="3">$J$2*H7</f>
        <v>74.862000000000009</v>
      </c>
      <c r="K7" s="282">
        <f>IF(Notes!$B$9="Domestic",I7, IF(Notes!$B$9="Commercial",J7))*$K$5</f>
        <v>74.862000000000009</v>
      </c>
      <c r="L7" s="283">
        <f>(SUM(O7:Q7)+(K7+SUM(M7:Q7))*(INDEX($U$5:$AB$5,MATCH(Notes!$C$16,$U$3:$AB$3,0))-100%))*$L$5</f>
        <v>59.67</v>
      </c>
      <c r="M7" s="284"/>
      <c r="N7" s="284"/>
      <c r="O7" s="285">
        <v>59.67</v>
      </c>
      <c r="P7" s="285"/>
      <c r="Q7" s="285"/>
      <c r="R7" s="278" t="s">
        <v>917</v>
      </c>
      <c r="S7" s="278"/>
      <c r="T7" s="278"/>
      <c r="U7" s="304"/>
    </row>
    <row r="8" spans="1:28" s="305" customFormat="1" ht="14.45" hidden="1" customHeight="1" outlineLevel="1" x14ac:dyDescent="0.25">
      <c r="A8" s="278"/>
      <c r="B8" s="279" t="str">
        <f t="shared" si="2"/>
        <v>ceramic/porcelainprestige</v>
      </c>
      <c r="C8" s="278" t="s">
        <v>927</v>
      </c>
      <c r="D8" s="278"/>
      <c r="E8" s="278"/>
      <c r="F8" s="278" t="s">
        <v>545</v>
      </c>
      <c r="G8" s="278" t="s">
        <v>11</v>
      </c>
      <c r="H8" s="290">
        <v>0.9</v>
      </c>
      <c r="I8" s="280">
        <f t="shared" si="1"/>
        <v>67.319999999999993</v>
      </c>
      <c r="J8" s="281">
        <f t="shared" si="3"/>
        <v>74.862000000000009</v>
      </c>
      <c r="K8" s="282">
        <f>IF(Notes!$B$9="Domestic",I8, IF(Notes!$B$9="Commercial",J8))*$K$5</f>
        <v>74.862000000000009</v>
      </c>
      <c r="L8" s="283">
        <f>(SUM(O8:Q8)+(K8+SUM(M8:Q8))*(INDEX($U$5:$AB$5,MATCH(Notes!$C$16,$U$3:$AB$3,0))-100%))*$L$5</f>
        <v>122.18</v>
      </c>
      <c r="M8" s="284"/>
      <c r="N8" s="284"/>
      <c r="O8" s="285">
        <v>122.18</v>
      </c>
      <c r="P8" s="285"/>
      <c r="Q8" s="285"/>
      <c r="R8" s="278" t="s">
        <v>918</v>
      </c>
      <c r="S8" s="278"/>
      <c r="T8" s="278"/>
      <c r="U8" s="304"/>
    </row>
    <row r="9" spans="1:28" s="305" customFormat="1" hidden="1" outlineLevel="1" x14ac:dyDescent="0.25">
      <c r="A9" s="278"/>
      <c r="B9" s="279" t="str">
        <f t="shared" si="2"/>
        <v>featureaverage</v>
      </c>
      <c r="C9" s="278" t="s">
        <v>917</v>
      </c>
      <c r="D9" s="278"/>
      <c r="E9" s="278"/>
      <c r="F9" s="278" t="s">
        <v>543</v>
      </c>
      <c r="G9" s="278" t="s">
        <v>11</v>
      </c>
      <c r="H9" s="290">
        <v>0.9</v>
      </c>
      <c r="I9" s="280">
        <f t="shared" si="1"/>
        <v>67.319999999999993</v>
      </c>
      <c r="J9" s="281">
        <f t="shared" si="3"/>
        <v>74.862000000000009</v>
      </c>
      <c r="K9" s="282">
        <f>IF(Notes!$B$9="Domestic",I9, IF(Notes!$B$9="Commercial",J9))*$K$5</f>
        <v>74.862000000000009</v>
      </c>
      <c r="L9" s="283">
        <f>(SUM(O9:Q9)+(K9+SUM(M9:Q9))*(INDEX($U$5:$AB$5,MATCH(Notes!$C$16,$U$3:$AB$3,0))-100%))*$L$5</f>
        <v>58.15</v>
      </c>
      <c r="M9" s="284"/>
      <c r="N9" s="284"/>
      <c r="O9" s="285">
        <v>58.15</v>
      </c>
      <c r="P9" s="285"/>
      <c r="Q9" s="285"/>
      <c r="R9" s="278" t="s">
        <v>919</v>
      </c>
      <c r="S9" s="278"/>
      <c r="T9" s="278"/>
    </row>
    <row r="10" spans="1:28" s="305" customFormat="1" hidden="1" outlineLevel="1" x14ac:dyDescent="0.25">
      <c r="A10" s="278"/>
      <c r="B10" s="279" t="str">
        <f t="shared" si="2"/>
        <v>featurequality</v>
      </c>
      <c r="C10" s="278" t="s">
        <v>917</v>
      </c>
      <c r="D10" s="278"/>
      <c r="E10" s="278"/>
      <c r="F10" s="278" t="s">
        <v>544</v>
      </c>
      <c r="G10" s="278" t="s">
        <v>11</v>
      </c>
      <c r="H10" s="290">
        <v>0.9</v>
      </c>
      <c r="I10" s="280">
        <f t="shared" si="1"/>
        <v>67.319999999999993</v>
      </c>
      <c r="J10" s="281">
        <f t="shared" si="3"/>
        <v>74.862000000000009</v>
      </c>
      <c r="K10" s="282">
        <f>IF(Notes!$B$9="Domestic",I10, IF(Notes!$B$9="Commercial",J10))*$K$5</f>
        <v>74.862000000000009</v>
      </c>
      <c r="L10" s="283">
        <f>(SUM(O10:Q10)+(K10+SUM(M10:Q10))*(INDEX($U$5:$AB$5,MATCH(Notes!$C$16,$U$3:$AB$3,0))-100%))*$L$5</f>
        <v>207.53</v>
      </c>
      <c r="M10" s="284"/>
      <c r="N10" s="284"/>
      <c r="O10" s="285">
        <v>207.53</v>
      </c>
      <c r="P10" s="285"/>
      <c r="Q10" s="285"/>
      <c r="R10" s="278" t="s">
        <v>925</v>
      </c>
      <c r="S10" s="278"/>
      <c r="T10" s="278"/>
    </row>
    <row r="11" spans="1:28" s="305" customFormat="1" hidden="1" outlineLevel="1" x14ac:dyDescent="0.25">
      <c r="A11" s="278"/>
      <c r="B11" s="279" t="str">
        <f t="shared" si="2"/>
        <v>featureprestige</v>
      </c>
      <c r="C11" s="278" t="s">
        <v>917</v>
      </c>
      <c r="D11" s="278"/>
      <c r="E11" s="278"/>
      <c r="F11" s="278" t="s">
        <v>545</v>
      </c>
      <c r="G11" s="278" t="s">
        <v>11</v>
      </c>
      <c r="H11" s="290">
        <v>0.9</v>
      </c>
      <c r="I11" s="280">
        <f t="shared" si="1"/>
        <v>67.319999999999993</v>
      </c>
      <c r="J11" s="281">
        <f t="shared" si="3"/>
        <v>74.862000000000009</v>
      </c>
      <c r="K11" s="282">
        <f>IF(Notes!$B$9="Domestic",I11, IF(Notes!$B$9="Commercial",J11))*$K$5</f>
        <v>74.862000000000009</v>
      </c>
      <c r="L11" s="283">
        <f>(SUM(O11:Q11)+(K11+SUM(M11:Q11))*(INDEX($U$5:$AB$5,MATCH(Notes!$C$16,$U$3:$AB$3,0))-100%))*$L$5</f>
        <v>341.65</v>
      </c>
      <c r="M11" s="284"/>
      <c r="N11" s="284"/>
      <c r="O11" s="285">
        <v>341.65</v>
      </c>
      <c r="P11" s="285"/>
      <c r="Q11" s="285"/>
      <c r="R11" s="278" t="s">
        <v>920</v>
      </c>
      <c r="S11" s="278"/>
      <c r="T11" s="278"/>
    </row>
    <row r="12" spans="1:28" s="305" customFormat="1" hidden="1" outlineLevel="1" x14ac:dyDescent="0.25">
      <c r="A12" s="278"/>
      <c r="B12" s="279" t="str">
        <f t="shared" ref="B12:B37" si="4">C12&amp;D12&amp;E12&amp;F12</f>
        <v>mosaicaverage</v>
      </c>
      <c r="C12" s="278" t="s">
        <v>918</v>
      </c>
      <c r="D12" s="278"/>
      <c r="E12" s="278"/>
      <c r="F12" s="278" t="s">
        <v>543</v>
      </c>
      <c r="G12" s="278" t="s">
        <v>11</v>
      </c>
      <c r="H12" s="290">
        <v>1.35</v>
      </c>
      <c r="I12" s="280">
        <f t="shared" ref="I12:I37" si="5">$I$2*H12</f>
        <v>100.98</v>
      </c>
      <c r="J12" s="281">
        <f t="shared" ref="J12:J37" si="6">$J$2*H12</f>
        <v>112.29300000000002</v>
      </c>
      <c r="K12" s="282">
        <f>IF(Notes!$B$9="Domestic",I12, IF(Notes!$B$9="Commercial",J12))*$K$5</f>
        <v>112.29300000000002</v>
      </c>
      <c r="L12" s="283">
        <f>(SUM(O12:Q12)+(K12+SUM(M12:Q12))*(INDEX($U$5:$AB$5,MATCH(Notes!$C$16,$U$3:$AB$3,0))-100%))*$L$5</f>
        <v>104.52</v>
      </c>
      <c r="M12" s="284"/>
      <c r="N12" s="284"/>
      <c r="O12" s="285">
        <v>104.52</v>
      </c>
      <c r="P12" s="285"/>
      <c r="Q12" s="285"/>
      <c r="R12" s="278" t="s">
        <v>921</v>
      </c>
      <c r="S12" s="278"/>
      <c r="T12" s="278"/>
    </row>
    <row r="13" spans="1:28" s="305" customFormat="1" hidden="1" outlineLevel="1" x14ac:dyDescent="0.25">
      <c r="A13" s="278"/>
      <c r="B13" s="279" t="str">
        <f t="shared" si="4"/>
        <v>mosaicquality</v>
      </c>
      <c r="C13" s="278" t="s">
        <v>918</v>
      </c>
      <c r="D13" s="278"/>
      <c r="E13" s="278"/>
      <c r="F13" s="278" t="s">
        <v>544</v>
      </c>
      <c r="G13" s="278" t="s">
        <v>11</v>
      </c>
      <c r="H13" s="290">
        <v>1.35</v>
      </c>
      <c r="I13" s="280">
        <f t="shared" si="5"/>
        <v>100.98</v>
      </c>
      <c r="J13" s="281">
        <f t="shared" si="6"/>
        <v>112.29300000000002</v>
      </c>
      <c r="K13" s="282">
        <f>IF(Notes!$B$9="Domestic",I13, IF(Notes!$B$9="Commercial",J13))*$K$5</f>
        <v>112.29300000000002</v>
      </c>
      <c r="L13" s="283">
        <f>(SUM(O13:Q13)+(K13+SUM(M13:Q13))*(INDEX($U$5:$AB$5,MATCH(Notes!$C$16,$U$3:$AB$3,0))-100%))*$L$5</f>
        <v>247.71</v>
      </c>
      <c r="M13" s="284"/>
      <c r="N13" s="284"/>
      <c r="O13" s="285">
        <v>247.71</v>
      </c>
      <c r="P13" s="285"/>
      <c r="Q13" s="285"/>
      <c r="R13" s="278" t="s">
        <v>922</v>
      </c>
      <c r="S13" s="278"/>
      <c r="T13" s="278"/>
    </row>
    <row r="14" spans="1:28" s="305" customFormat="1" hidden="1" outlineLevel="1" x14ac:dyDescent="0.25">
      <c r="A14" s="278"/>
      <c r="B14" s="279" t="str">
        <f t="shared" si="4"/>
        <v>mosaicprestige</v>
      </c>
      <c r="C14" s="278" t="s">
        <v>918</v>
      </c>
      <c r="D14" s="278"/>
      <c r="E14" s="278"/>
      <c r="F14" s="278" t="s">
        <v>545</v>
      </c>
      <c r="G14" s="278" t="s">
        <v>11</v>
      </c>
      <c r="H14" s="290">
        <v>1.35</v>
      </c>
      <c r="I14" s="280">
        <f t="shared" si="5"/>
        <v>100.98</v>
      </c>
      <c r="J14" s="281">
        <f t="shared" si="6"/>
        <v>112.29300000000002</v>
      </c>
      <c r="K14" s="282">
        <f>IF(Notes!$B$9="Domestic",I14, IF(Notes!$B$9="Commercial",J14))*$K$5</f>
        <v>112.29300000000002</v>
      </c>
      <c r="L14" s="283">
        <f>(SUM(O14:Q14)+(K14+SUM(M14:Q14))*(INDEX($U$5:$AB$5,MATCH(Notes!$C$16,$U$3:$AB$3,0))-100%))*$L$5</f>
        <v>356.52</v>
      </c>
      <c r="M14" s="284"/>
      <c r="N14" s="284"/>
      <c r="O14" s="285">
        <v>356.52</v>
      </c>
      <c r="P14" s="285"/>
      <c r="Q14" s="285"/>
      <c r="R14" s="278" t="s">
        <v>923</v>
      </c>
      <c r="S14" s="278"/>
      <c r="T14" s="278"/>
    </row>
    <row r="15" spans="1:28" s="305" customFormat="1" hidden="1" outlineLevel="1" x14ac:dyDescent="0.25">
      <c r="A15" s="278"/>
      <c r="B15" s="279" t="str">
        <f t="shared" si="4"/>
        <v>timber lookaverage</v>
      </c>
      <c r="C15" s="278" t="s">
        <v>919</v>
      </c>
      <c r="D15" s="278"/>
      <c r="E15" s="278"/>
      <c r="F15" s="278" t="s">
        <v>543</v>
      </c>
      <c r="G15" s="278" t="s">
        <v>11</v>
      </c>
      <c r="H15" s="290">
        <v>0.9</v>
      </c>
      <c r="I15" s="280">
        <f t="shared" si="5"/>
        <v>67.319999999999993</v>
      </c>
      <c r="J15" s="281">
        <f t="shared" si="6"/>
        <v>74.862000000000009</v>
      </c>
      <c r="K15" s="282">
        <f>IF(Notes!$B$9="Domestic",I15, IF(Notes!$B$9="Commercial",J15))*$K$5</f>
        <v>74.862000000000009</v>
      </c>
      <c r="L15" s="283">
        <f>(SUM(O15:Q15)+(K15+SUM(M15:Q15))*(INDEX($U$5:$AB$5,MATCH(Notes!$C$16,$U$3:$AB$3,0))-100%))*$L$5</f>
        <v>35.64</v>
      </c>
      <c r="M15" s="284"/>
      <c r="N15" s="284"/>
      <c r="O15" s="285">
        <v>35.64</v>
      </c>
      <c r="P15" s="285"/>
      <c r="Q15" s="285"/>
      <c r="R15" s="278" t="s">
        <v>924</v>
      </c>
      <c r="S15" s="278"/>
      <c r="T15" s="278"/>
    </row>
    <row r="16" spans="1:28" s="305" customFormat="1" hidden="1" outlineLevel="1" x14ac:dyDescent="0.25">
      <c r="A16" s="278"/>
      <c r="B16" s="279" t="str">
        <f t="shared" si="4"/>
        <v>timber lookquality</v>
      </c>
      <c r="C16" s="278" t="s">
        <v>919</v>
      </c>
      <c r="D16" s="278"/>
      <c r="E16" s="278"/>
      <c r="F16" s="278" t="s">
        <v>544</v>
      </c>
      <c r="G16" s="278" t="s">
        <v>11</v>
      </c>
      <c r="H16" s="290">
        <v>0.9</v>
      </c>
      <c r="I16" s="280">
        <f t="shared" si="5"/>
        <v>67.319999999999993</v>
      </c>
      <c r="J16" s="281">
        <f t="shared" si="6"/>
        <v>74.862000000000009</v>
      </c>
      <c r="K16" s="282">
        <f>IF(Notes!$B$9="Domestic",I16, IF(Notes!$B$9="Commercial",J16))*$K$5</f>
        <v>74.862000000000009</v>
      </c>
      <c r="L16" s="283">
        <f>(SUM(O16:Q16)+(K16+SUM(M16:Q16))*(INDEX($U$5:$AB$5,MATCH(Notes!$C$16,$U$3:$AB$3,0))-100%))*$L$5</f>
        <v>105</v>
      </c>
      <c r="M16" s="284"/>
      <c r="N16" s="284"/>
      <c r="O16" s="285">
        <v>105</v>
      </c>
      <c r="P16" s="285"/>
      <c r="Q16" s="285"/>
      <c r="R16" s="278" t="s">
        <v>926</v>
      </c>
      <c r="S16" s="278"/>
      <c r="T16" s="278"/>
    </row>
    <row r="17" spans="1:20" s="305" customFormat="1" hidden="1" outlineLevel="1" x14ac:dyDescent="0.25">
      <c r="A17" s="278"/>
      <c r="B17" s="279" t="str">
        <f t="shared" si="4"/>
        <v>timber lookprestige</v>
      </c>
      <c r="C17" s="278" t="s">
        <v>919</v>
      </c>
      <c r="D17" s="278"/>
      <c r="E17" s="278"/>
      <c r="F17" s="278" t="s">
        <v>545</v>
      </c>
      <c r="G17" s="278" t="s">
        <v>11</v>
      </c>
      <c r="H17" s="290">
        <v>0.9</v>
      </c>
      <c r="I17" s="280">
        <f t="shared" si="5"/>
        <v>67.319999999999993</v>
      </c>
      <c r="J17" s="281">
        <f t="shared" si="6"/>
        <v>74.862000000000009</v>
      </c>
      <c r="K17" s="282">
        <f>IF(Notes!$B$9="Domestic",I17, IF(Notes!$B$9="Commercial",J17))*$K$5</f>
        <v>74.862000000000009</v>
      </c>
      <c r="L17" s="283">
        <f>(SUM(O17:Q17)+(K17+SUM(M17:Q17))*(INDEX($U$5:$AB$5,MATCH(Notes!$C$16,$U$3:$AB$3,0))-100%))*$L$5</f>
        <v>142.72999999999999</v>
      </c>
      <c r="M17" s="284"/>
      <c r="N17" s="284"/>
      <c r="O17" s="285">
        <v>142.72999999999999</v>
      </c>
      <c r="P17" s="285"/>
      <c r="Q17" s="285"/>
      <c r="R17" s="278"/>
      <c r="S17" s="278"/>
      <c r="T17" s="278"/>
    </row>
    <row r="18" spans="1:20" s="305" customFormat="1" hidden="1" outlineLevel="1" x14ac:dyDescent="0.25">
      <c r="A18" s="278"/>
      <c r="B18" s="279" t="str">
        <f t="shared" si="4"/>
        <v>outdoor/balconyaverage</v>
      </c>
      <c r="C18" s="278" t="s">
        <v>925</v>
      </c>
      <c r="D18" s="278"/>
      <c r="E18" s="278"/>
      <c r="F18" s="278" t="s">
        <v>543</v>
      </c>
      <c r="G18" s="278" t="s">
        <v>11</v>
      </c>
      <c r="H18" s="290">
        <v>0.9</v>
      </c>
      <c r="I18" s="280">
        <f t="shared" si="5"/>
        <v>67.319999999999993</v>
      </c>
      <c r="J18" s="281">
        <f t="shared" si="6"/>
        <v>74.862000000000009</v>
      </c>
      <c r="K18" s="282">
        <f>IF(Notes!$B$9="Domestic",I18, IF(Notes!$B$9="Commercial",J18))*$K$5</f>
        <v>74.862000000000009</v>
      </c>
      <c r="L18" s="283">
        <f>(SUM(O18:Q18)+(K18+SUM(M18:Q18))*(INDEX($U$5:$AB$5,MATCH(Notes!$C$16,$U$3:$AB$3,0))-100%))*$L$5</f>
        <v>61.09</v>
      </c>
      <c r="M18" s="284"/>
      <c r="N18" s="284"/>
      <c r="O18" s="285">
        <v>61.09</v>
      </c>
      <c r="P18" s="285"/>
      <c r="Q18" s="285"/>
      <c r="R18" s="278"/>
      <c r="S18" s="278"/>
      <c r="T18" s="278"/>
    </row>
    <row r="19" spans="1:20" s="305" customFormat="1" hidden="1" outlineLevel="1" x14ac:dyDescent="0.25">
      <c r="A19" s="278"/>
      <c r="B19" s="279" t="str">
        <f t="shared" si="4"/>
        <v>outdoor/balconyquality</v>
      </c>
      <c r="C19" s="278" t="s">
        <v>925</v>
      </c>
      <c r="D19" s="278"/>
      <c r="E19" s="278"/>
      <c r="F19" s="278" t="s">
        <v>544</v>
      </c>
      <c r="G19" s="278" t="s">
        <v>11</v>
      </c>
      <c r="H19" s="290">
        <v>0.9</v>
      </c>
      <c r="I19" s="280">
        <f t="shared" si="5"/>
        <v>67.319999999999993</v>
      </c>
      <c r="J19" s="281">
        <f t="shared" si="6"/>
        <v>74.862000000000009</v>
      </c>
      <c r="K19" s="282">
        <f>IF(Notes!$B$9="Domestic",I19, IF(Notes!$B$9="Commercial",J19))*$K$5</f>
        <v>74.862000000000009</v>
      </c>
      <c r="L19" s="283">
        <f>(SUM(O19:Q19)+(K19+SUM(M19:Q19))*(INDEX($U$5:$AB$5,MATCH(Notes!$C$16,$U$3:$AB$3,0))-100%))*$L$5</f>
        <v>68.73</v>
      </c>
      <c r="M19" s="284"/>
      <c r="N19" s="284"/>
      <c r="O19" s="285">
        <v>68.73</v>
      </c>
      <c r="P19" s="285"/>
      <c r="Q19" s="285"/>
      <c r="R19" s="278"/>
      <c r="S19" s="278"/>
      <c r="T19" s="278"/>
    </row>
    <row r="20" spans="1:20" s="305" customFormat="1" hidden="1" outlineLevel="1" x14ac:dyDescent="0.25">
      <c r="A20" s="278"/>
      <c r="B20" s="279" t="str">
        <f t="shared" si="4"/>
        <v>outdoor/balconyprestige</v>
      </c>
      <c r="C20" s="278" t="s">
        <v>925</v>
      </c>
      <c r="D20" s="278"/>
      <c r="E20" s="278"/>
      <c r="F20" s="278" t="s">
        <v>545</v>
      </c>
      <c r="G20" s="278" t="s">
        <v>11</v>
      </c>
      <c r="H20" s="290">
        <v>0.9</v>
      </c>
      <c r="I20" s="280">
        <f t="shared" si="5"/>
        <v>67.319999999999993</v>
      </c>
      <c r="J20" s="281">
        <f t="shared" si="6"/>
        <v>74.862000000000009</v>
      </c>
      <c r="K20" s="282">
        <f>IF(Notes!$B$9="Domestic",I20, IF(Notes!$B$9="Commercial",J20))*$K$5</f>
        <v>74.862000000000009</v>
      </c>
      <c r="L20" s="283">
        <f>(SUM(O20:Q20)+(K20+SUM(M20:Q20))*(INDEX($U$5:$AB$5,MATCH(Notes!$C$16,$U$3:$AB$3,0))-100%))*$L$5</f>
        <v>89.2</v>
      </c>
      <c r="M20" s="284"/>
      <c r="N20" s="284"/>
      <c r="O20" s="285">
        <v>89.2</v>
      </c>
      <c r="P20" s="285"/>
      <c r="Q20" s="285"/>
      <c r="R20" s="278"/>
      <c r="S20" s="278"/>
      <c r="T20" s="278"/>
    </row>
    <row r="21" spans="1:20" s="305" customFormat="1" hidden="1" outlineLevel="1" x14ac:dyDescent="0.25">
      <c r="A21" s="278"/>
      <c r="B21" s="279" t="str">
        <f t="shared" ref="B21:B35" si="7">C21&amp;D21&amp;E21&amp;F21</f>
        <v>terracottaaverage</v>
      </c>
      <c r="C21" s="278" t="s">
        <v>920</v>
      </c>
      <c r="D21" s="278"/>
      <c r="E21" s="278"/>
      <c r="F21" s="278" t="s">
        <v>543</v>
      </c>
      <c r="G21" s="278" t="s">
        <v>11</v>
      </c>
      <c r="H21" s="290">
        <v>1.8</v>
      </c>
      <c r="I21" s="280">
        <f t="shared" ref="I21:I35" si="8">$I$2*H21</f>
        <v>134.63999999999999</v>
      </c>
      <c r="J21" s="281">
        <f t="shared" ref="J21:J35" si="9">$J$2*H21</f>
        <v>149.72400000000002</v>
      </c>
      <c r="K21" s="282">
        <f>IF(Notes!$B$9="Domestic",I21, IF(Notes!$B$9="Commercial",J21))*$K$5</f>
        <v>149.72400000000002</v>
      </c>
      <c r="L21" s="283">
        <f>(SUM(O21:Q21)+(K21+SUM(M21:Q21))*(INDEX($U$5:$AB$5,MATCH(Notes!$C$16,$U$3:$AB$3,0))-100%))*$L$5</f>
        <v>65.39</v>
      </c>
      <c r="M21" s="284"/>
      <c r="N21" s="284"/>
      <c r="O21" s="285">
        <v>65.39</v>
      </c>
      <c r="P21" s="285"/>
      <c r="Q21" s="285"/>
      <c r="R21" s="278"/>
      <c r="S21" s="278"/>
      <c r="T21" s="278"/>
    </row>
    <row r="22" spans="1:20" s="305" customFormat="1" hidden="1" outlineLevel="1" x14ac:dyDescent="0.25">
      <c r="A22" s="278"/>
      <c r="B22" s="279" t="str">
        <f t="shared" si="7"/>
        <v>terracottaquality</v>
      </c>
      <c r="C22" s="278" t="s">
        <v>920</v>
      </c>
      <c r="D22" s="278"/>
      <c r="E22" s="278"/>
      <c r="F22" s="278" t="s">
        <v>544</v>
      </c>
      <c r="G22" s="278" t="s">
        <v>11</v>
      </c>
      <c r="H22" s="290">
        <v>1.8</v>
      </c>
      <c r="I22" s="280">
        <f t="shared" si="8"/>
        <v>134.63999999999999</v>
      </c>
      <c r="J22" s="281">
        <f t="shared" si="9"/>
        <v>149.72400000000002</v>
      </c>
      <c r="K22" s="282">
        <f>IF(Notes!$B$9="Domestic",I22, IF(Notes!$B$9="Commercial",J22))*$K$5</f>
        <v>149.72400000000002</v>
      </c>
      <c r="L22" s="283">
        <f>(SUM(O22:Q22)+(K22+SUM(M22:Q22))*(INDEX($U$5:$AB$5,MATCH(Notes!$C$16,$U$3:$AB$3,0))-100%))*$L$5</f>
        <v>84.48</v>
      </c>
      <c r="M22" s="284"/>
      <c r="N22" s="284"/>
      <c r="O22" s="285">
        <v>84.48</v>
      </c>
      <c r="P22" s="285"/>
      <c r="Q22" s="285"/>
      <c r="R22" s="278"/>
      <c r="S22" s="278"/>
      <c r="T22" s="278"/>
    </row>
    <row r="23" spans="1:20" s="305" customFormat="1" hidden="1" outlineLevel="1" x14ac:dyDescent="0.25">
      <c r="A23" s="278"/>
      <c r="B23" s="279" t="str">
        <f t="shared" si="7"/>
        <v>terracottaprestige</v>
      </c>
      <c r="C23" s="278" t="s">
        <v>920</v>
      </c>
      <c r="D23" s="278"/>
      <c r="E23" s="278"/>
      <c r="F23" s="278" t="s">
        <v>545</v>
      </c>
      <c r="G23" s="278" t="s">
        <v>11</v>
      </c>
      <c r="H23" s="290">
        <v>1.8</v>
      </c>
      <c r="I23" s="280">
        <f t="shared" si="8"/>
        <v>134.63999999999999</v>
      </c>
      <c r="J23" s="281">
        <f t="shared" si="9"/>
        <v>149.72400000000002</v>
      </c>
      <c r="K23" s="282">
        <f>IF(Notes!$B$9="Domestic",I23, IF(Notes!$B$9="Commercial",J23))*$K$5</f>
        <v>149.72400000000002</v>
      </c>
      <c r="L23" s="283">
        <f>(SUM(O23:Q23)+(K23+SUM(M23:Q23))*(INDEX($U$5:$AB$5,MATCH(Notes!$C$16,$U$3:$AB$3,0))-100%))*$L$5</f>
        <v>155.12</v>
      </c>
      <c r="M23" s="284"/>
      <c r="N23" s="284"/>
      <c r="O23" s="285">
        <v>155.12</v>
      </c>
      <c r="P23" s="285"/>
      <c r="Q23" s="285"/>
      <c r="R23" s="278"/>
      <c r="S23" s="278"/>
      <c r="T23" s="278"/>
    </row>
    <row r="24" spans="1:20" s="305" customFormat="1" hidden="1" outlineLevel="1" x14ac:dyDescent="0.25">
      <c r="A24" s="278"/>
      <c r="B24" s="279" t="str">
        <f t="shared" si="7"/>
        <v>marbleaverage</v>
      </c>
      <c r="C24" s="278" t="s">
        <v>921</v>
      </c>
      <c r="D24" s="278"/>
      <c r="E24" s="278"/>
      <c r="F24" s="278" t="s">
        <v>543</v>
      </c>
      <c r="G24" s="278" t="s">
        <v>11</v>
      </c>
      <c r="H24" s="290">
        <v>0.9</v>
      </c>
      <c r="I24" s="280">
        <f t="shared" si="8"/>
        <v>67.319999999999993</v>
      </c>
      <c r="J24" s="281">
        <f t="shared" si="9"/>
        <v>74.862000000000009</v>
      </c>
      <c r="K24" s="282">
        <f>IF(Notes!$B$9="Domestic",I24, IF(Notes!$B$9="Commercial",J24))*$K$5</f>
        <v>74.862000000000009</v>
      </c>
      <c r="L24" s="283">
        <f>(SUM(O24:Q24)+(K24+SUM(M24:Q24))*(INDEX($U$5:$AB$5,MATCH(Notes!$C$16,$U$3:$AB$3,0))-100%))*$L$5</f>
        <v>90.21</v>
      </c>
      <c r="M24" s="284"/>
      <c r="N24" s="284"/>
      <c r="O24" s="285">
        <v>90.21</v>
      </c>
      <c r="P24" s="285"/>
      <c r="Q24" s="285"/>
      <c r="R24" s="278"/>
      <c r="S24" s="278"/>
      <c r="T24" s="278"/>
    </row>
    <row r="25" spans="1:20" s="305" customFormat="1" hidden="1" outlineLevel="1" x14ac:dyDescent="0.25">
      <c r="A25" s="278"/>
      <c r="B25" s="279" t="str">
        <f t="shared" si="7"/>
        <v>marblequality</v>
      </c>
      <c r="C25" s="278" t="s">
        <v>921</v>
      </c>
      <c r="D25" s="278"/>
      <c r="E25" s="278"/>
      <c r="F25" s="278" t="s">
        <v>544</v>
      </c>
      <c r="G25" s="278" t="s">
        <v>11</v>
      </c>
      <c r="H25" s="290">
        <v>0.9</v>
      </c>
      <c r="I25" s="280">
        <f t="shared" si="8"/>
        <v>67.319999999999993</v>
      </c>
      <c r="J25" s="281">
        <f t="shared" si="9"/>
        <v>74.862000000000009</v>
      </c>
      <c r="K25" s="282">
        <f>IF(Notes!$B$9="Domestic",I25, IF(Notes!$B$9="Commercial",J25))*$K$5</f>
        <v>74.862000000000009</v>
      </c>
      <c r="L25" s="283">
        <f>(SUM(O25:Q25)+(K25+SUM(M25:Q25))*(INDEX($U$5:$AB$5,MATCH(Notes!$C$16,$U$3:$AB$3,0))-100%))*$L$5</f>
        <v>144.62</v>
      </c>
      <c r="M25" s="284"/>
      <c r="N25" s="284"/>
      <c r="O25" s="285">
        <v>144.62</v>
      </c>
      <c r="P25" s="285"/>
      <c r="Q25" s="285"/>
      <c r="R25" s="278"/>
      <c r="S25" s="278"/>
      <c r="T25" s="278"/>
    </row>
    <row r="26" spans="1:20" s="305" customFormat="1" hidden="1" outlineLevel="1" x14ac:dyDescent="0.25">
      <c r="A26" s="278"/>
      <c r="B26" s="279" t="str">
        <f t="shared" si="7"/>
        <v>marbleprestige</v>
      </c>
      <c r="C26" s="278" t="s">
        <v>921</v>
      </c>
      <c r="D26" s="278"/>
      <c r="E26" s="278"/>
      <c r="F26" s="278" t="s">
        <v>545</v>
      </c>
      <c r="G26" s="278" t="s">
        <v>11</v>
      </c>
      <c r="H26" s="290">
        <v>0.9</v>
      </c>
      <c r="I26" s="280">
        <f t="shared" si="8"/>
        <v>67.319999999999993</v>
      </c>
      <c r="J26" s="281">
        <f t="shared" si="9"/>
        <v>74.862000000000009</v>
      </c>
      <c r="K26" s="282">
        <f>IF(Notes!$B$9="Domestic",I26, IF(Notes!$B$9="Commercial",J26))*$K$5</f>
        <v>74.862000000000009</v>
      </c>
      <c r="L26" s="283">
        <f>(SUM(O26:Q26)+(K26+SUM(M26:Q26))*(INDEX($U$5:$AB$5,MATCH(Notes!$C$16,$U$3:$AB$3,0))-100%))*$L$5</f>
        <v>226.71</v>
      </c>
      <c r="M26" s="284"/>
      <c r="N26" s="284"/>
      <c r="O26" s="285">
        <v>226.71</v>
      </c>
      <c r="P26" s="285"/>
      <c r="Q26" s="285"/>
      <c r="R26" s="278"/>
      <c r="S26" s="278"/>
      <c r="T26" s="278"/>
    </row>
    <row r="27" spans="1:20" s="305" customFormat="1" hidden="1" outlineLevel="1" x14ac:dyDescent="0.25">
      <c r="A27" s="278"/>
      <c r="B27" s="279" t="str">
        <f t="shared" si="7"/>
        <v>slateaverage</v>
      </c>
      <c r="C27" s="278" t="s">
        <v>922</v>
      </c>
      <c r="D27" s="278"/>
      <c r="E27" s="278"/>
      <c r="F27" s="278" t="s">
        <v>543</v>
      </c>
      <c r="G27" s="278" t="s">
        <v>11</v>
      </c>
      <c r="H27" s="290">
        <v>1.0349999999999999</v>
      </c>
      <c r="I27" s="280">
        <f t="shared" si="8"/>
        <v>77.417999999999992</v>
      </c>
      <c r="J27" s="281">
        <f t="shared" si="9"/>
        <v>86.091300000000004</v>
      </c>
      <c r="K27" s="282">
        <f>IF(Notes!$B$9="Domestic",I27, IF(Notes!$B$9="Commercial",J27))*$K$5</f>
        <v>86.091300000000004</v>
      </c>
      <c r="L27" s="283">
        <f>(SUM(O27:Q27)+(K27+SUM(M27:Q27))*(INDEX($U$5:$AB$5,MATCH(Notes!$C$16,$U$3:$AB$3,0))-100%))*$L$5</f>
        <v>67.8</v>
      </c>
      <c r="M27" s="284"/>
      <c r="N27" s="284"/>
      <c r="O27" s="285">
        <v>67.8</v>
      </c>
      <c r="P27" s="285"/>
      <c r="Q27" s="285"/>
      <c r="R27" s="278"/>
      <c r="S27" s="278"/>
      <c r="T27" s="278"/>
    </row>
    <row r="28" spans="1:20" s="305" customFormat="1" hidden="1" outlineLevel="1" x14ac:dyDescent="0.25">
      <c r="A28" s="278"/>
      <c r="B28" s="279" t="str">
        <f t="shared" si="7"/>
        <v>slatequality</v>
      </c>
      <c r="C28" s="278" t="s">
        <v>922</v>
      </c>
      <c r="D28" s="278"/>
      <c r="E28" s="278"/>
      <c r="F28" s="278" t="s">
        <v>544</v>
      </c>
      <c r="G28" s="278" t="s">
        <v>11</v>
      </c>
      <c r="H28" s="290">
        <v>1.0349999999999999</v>
      </c>
      <c r="I28" s="280">
        <f t="shared" si="8"/>
        <v>77.417999999999992</v>
      </c>
      <c r="J28" s="281">
        <f t="shared" si="9"/>
        <v>86.091300000000004</v>
      </c>
      <c r="K28" s="282">
        <f>IF(Notes!$B$9="Domestic",I28, IF(Notes!$B$9="Commercial",J28))*$K$5</f>
        <v>86.091300000000004</v>
      </c>
      <c r="L28" s="283">
        <f>(SUM(O28:Q28)+(K28+SUM(M28:Q28))*(INDEX($U$5:$AB$5,MATCH(Notes!$C$16,$U$3:$AB$3,0))-100%))*$L$5</f>
        <v>73.75</v>
      </c>
      <c r="M28" s="284"/>
      <c r="N28" s="284"/>
      <c r="O28" s="285">
        <v>73.75</v>
      </c>
      <c r="P28" s="285"/>
      <c r="Q28" s="285"/>
      <c r="R28" s="278"/>
      <c r="S28" s="278"/>
      <c r="T28" s="278"/>
    </row>
    <row r="29" spans="1:20" s="305" customFormat="1" hidden="1" outlineLevel="1" x14ac:dyDescent="0.25">
      <c r="A29" s="278"/>
      <c r="B29" s="279" t="str">
        <f t="shared" si="7"/>
        <v>slateprestige</v>
      </c>
      <c r="C29" s="278" t="s">
        <v>922</v>
      </c>
      <c r="D29" s="278"/>
      <c r="E29" s="278"/>
      <c r="F29" s="278" t="s">
        <v>545</v>
      </c>
      <c r="G29" s="278" t="s">
        <v>11</v>
      </c>
      <c r="H29" s="290">
        <v>1.0349999999999999</v>
      </c>
      <c r="I29" s="280">
        <f t="shared" si="8"/>
        <v>77.417999999999992</v>
      </c>
      <c r="J29" s="281">
        <f t="shared" si="9"/>
        <v>86.091300000000004</v>
      </c>
      <c r="K29" s="282">
        <f>IF(Notes!$B$9="Domestic",I29, IF(Notes!$B$9="Commercial",J29))*$K$5</f>
        <v>86.091300000000004</v>
      </c>
      <c r="L29" s="283">
        <f>(SUM(O29:Q29)+(K29+SUM(M29:Q29))*(INDEX($U$5:$AB$5,MATCH(Notes!$C$16,$U$3:$AB$3,0))-100%))*$L$5</f>
        <v>108.53</v>
      </c>
      <c r="M29" s="284"/>
      <c r="N29" s="284"/>
      <c r="O29" s="285">
        <v>108.53</v>
      </c>
      <c r="P29" s="285"/>
      <c r="Q29" s="285"/>
      <c r="R29" s="278"/>
      <c r="S29" s="278"/>
      <c r="T29" s="278"/>
    </row>
    <row r="30" spans="1:20" s="305" customFormat="1" hidden="1" outlineLevel="1" x14ac:dyDescent="0.25">
      <c r="A30" s="278"/>
      <c r="B30" s="279" t="str">
        <f t="shared" si="7"/>
        <v>terrazzoaverage</v>
      </c>
      <c r="C30" s="278" t="s">
        <v>923</v>
      </c>
      <c r="D30" s="278"/>
      <c r="E30" s="278"/>
      <c r="F30" s="278" t="s">
        <v>543</v>
      </c>
      <c r="G30" s="278" t="s">
        <v>11</v>
      </c>
      <c r="H30" s="290">
        <v>0.9</v>
      </c>
      <c r="I30" s="280">
        <f t="shared" si="8"/>
        <v>67.319999999999993</v>
      </c>
      <c r="J30" s="281">
        <f t="shared" si="9"/>
        <v>74.862000000000009</v>
      </c>
      <c r="K30" s="282">
        <f>IF(Notes!$B$9="Domestic",I30, IF(Notes!$B$9="Commercial",J30))*$K$5</f>
        <v>74.862000000000009</v>
      </c>
      <c r="L30" s="283">
        <f>(SUM(O30:Q30)+(K30+SUM(M30:Q30))*(INDEX($U$5:$AB$5,MATCH(Notes!$C$16,$U$3:$AB$3,0))-100%))*$L$5</f>
        <v>139.55000000000001</v>
      </c>
      <c r="M30" s="284"/>
      <c r="N30" s="284"/>
      <c r="O30" s="285">
        <v>139.55000000000001</v>
      </c>
      <c r="P30" s="285"/>
      <c r="Q30" s="285"/>
      <c r="R30" s="278"/>
      <c r="S30" s="278"/>
      <c r="T30" s="278"/>
    </row>
    <row r="31" spans="1:20" s="305" customFormat="1" hidden="1" outlineLevel="1" x14ac:dyDescent="0.25">
      <c r="A31" s="278"/>
      <c r="B31" s="279" t="str">
        <f t="shared" si="7"/>
        <v>terrazzoquality</v>
      </c>
      <c r="C31" s="278" t="s">
        <v>923</v>
      </c>
      <c r="D31" s="278"/>
      <c r="E31" s="278"/>
      <c r="F31" s="278" t="s">
        <v>544</v>
      </c>
      <c r="G31" s="278" t="s">
        <v>11</v>
      </c>
      <c r="H31" s="290">
        <v>0.9</v>
      </c>
      <c r="I31" s="280">
        <f t="shared" si="8"/>
        <v>67.319999999999993</v>
      </c>
      <c r="J31" s="281">
        <f t="shared" si="9"/>
        <v>74.862000000000009</v>
      </c>
      <c r="K31" s="282">
        <f>IF(Notes!$B$9="Domestic",I31, IF(Notes!$B$9="Commercial",J31))*$K$5</f>
        <v>74.862000000000009</v>
      </c>
      <c r="L31" s="283">
        <f>(SUM(O31:Q31)+(K31+SUM(M31:Q31))*(INDEX($U$5:$AB$5,MATCH(Notes!$C$16,$U$3:$AB$3,0))-100%))*$L$5</f>
        <v>158.75</v>
      </c>
      <c r="M31" s="284"/>
      <c r="N31" s="284"/>
      <c r="O31" s="285">
        <v>158.75</v>
      </c>
      <c r="P31" s="285"/>
      <c r="Q31" s="285"/>
      <c r="R31" s="278"/>
      <c r="S31" s="278"/>
      <c r="T31" s="278"/>
    </row>
    <row r="32" spans="1:20" s="305" customFormat="1" hidden="1" outlineLevel="1" x14ac:dyDescent="0.25">
      <c r="A32" s="278"/>
      <c r="B32" s="279" t="str">
        <f t="shared" si="7"/>
        <v>terrazzoprestige</v>
      </c>
      <c r="C32" s="278" t="s">
        <v>923</v>
      </c>
      <c r="D32" s="278"/>
      <c r="E32" s="278"/>
      <c r="F32" s="278" t="s">
        <v>545</v>
      </c>
      <c r="G32" s="278" t="s">
        <v>11</v>
      </c>
      <c r="H32" s="290">
        <v>0.9</v>
      </c>
      <c r="I32" s="280">
        <f t="shared" si="8"/>
        <v>67.319999999999993</v>
      </c>
      <c r="J32" s="281">
        <f t="shared" si="9"/>
        <v>74.862000000000009</v>
      </c>
      <c r="K32" s="282">
        <f>IF(Notes!$B$9="Domestic",I32, IF(Notes!$B$9="Commercial",J32))*$K$5</f>
        <v>74.862000000000009</v>
      </c>
      <c r="L32" s="283">
        <f>(SUM(O32:Q32)+(K32+SUM(M32:Q32))*(INDEX($U$5:$AB$5,MATCH(Notes!$C$16,$U$3:$AB$3,0))-100%))*$L$5</f>
        <v>205.36</v>
      </c>
      <c r="M32" s="284"/>
      <c r="N32" s="284"/>
      <c r="O32" s="285">
        <v>205.36</v>
      </c>
      <c r="P32" s="285"/>
      <c r="Q32" s="285"/>
      <c r="R32" s="278"/>
      <c r="S32" s="278"/>
      <c r="T32" s="278"/>
    </row>
    <row r="33" spans="1:28" s="305" customFormat="1" hidden="1" outlineLevel="1" x14ac:dyDescent="0.25">
      <c r="A33" s="278"/>
      <c r="B33" s="279" t="str">
        <f t="shared" si="7"/>
        <v>natural stoneaverage</v>
      </c>
      <c r="C33" s="278" t="s">
        <v>924</v>
      </c>
      <c r="D33" s="278"/>
      <c r="E33" s="278"/>
      <c r="F33" s="278" t="s">
        <v>543</v>
      </c>
      <c r="G33" s="278" t="s">
        <v>11</v>
      </c>
      <c r="H33" s="290">
        <v>1.8</v>
      </c>
      <c r="I33" s="280">
        <f t="shared" si="8"/>
        <v>134.63999999999999</v>
      </c>
      <c r="J33" s="281">
        <f t="shared" si="9"/>
        <v>149.72400000000002</v>
      </c>
      <c r="K33" s="282">
        <f>IF(Notes!$B$9="Domestic",I33, IF(Notes!$B$9="Commercial",J33))*$K$5</f>
        <v>149.72400000000002</v>
      </c>
      <c r="L33" s="283">
        <f>(SUM(O33:Q33)+(K33+SUM(M33:Q33))*(INDEX($U$5:$AB$5,MATCH(Notes!$C$16,$U$3:$AB$3,0))-100%))*$L$5</f>
        <v>49.09</v>
      </c>
      <c r="M33" s="284"/>
      <c r="N33" s="284"/>
      <c r="O33" s="285">
        <v>49.09</v>
      </c>
      <c r="P33" s="285"/>
      <c r="Q33" s="285"/>
      <c r="R33" s="278"/>
      <c r="S33" s="278"/>
      <c r="T33" s="278"/>
    </row>
    <row r="34" spans="1:28" s="305" customFormat="1" hidden="1" outlineLevel="1" x14ac:dyDescent="0.25">
      <c r="A34" s="278"/>
      <c r="B34" s="279" t="str">
        <f t="shared" si="7"/>
        <v>natural stonequality</v>
      </c>
      <c r="C34" s="278" t="s">
        <v>924</v>
      </c>
      <c r="D34" s="278"/>
      <c r="E34" s="278"/>
      <c r="F34" s="278" t="s">
        <v>544</v>
      </c>
      <c r="G34" s="278" t="s">
        <v>11</v>
      </c>
      <c r="H34" s="290">
        <v>1.8</v>
      </c>
      <c r="I34" s="280">
        <f t="shared" si="8"/>
        <v>134.63999999999999</v>
      </c>
      <c r="J34" s="281">
        <f t="shared" si="9"/>
        <v>149.72400000000002</v>
      </c>
      <c r="K34" s="282">
        <f>IF(Notes!$B$9="Domestic",I34, IF(Notes!$B$9="Commercial",J34))*$K$5</f>
        <v>149.72400000000002</v>
      </c>
      <c r="L34" s="283">
        <f>(SUM(O34:Q34)+(K34+SUM(M34:Q34))*(INDEX($U$5:$AB$5,MATCH(Notes!$C$16,$U$3:$AB$3,0))-100%))*$L$5</f>
        <v>58.18</v>
      </c>
      <c r="M34" s="284"/>
      <c r="N34" s="284"/>
      <c r="O34" s="285">
        <v>58.18</v>
      </c>
      <c r="P34" s="285"/>
      <c r="Q34" s="285"/>
      <c r="R34" s="278"/>
      <c r="S34" s="278"/>
      <c r="T34" s="278"/>
    </row>
    <row r="35" spans="1:28" s="305" customFormat="1" hidden="1" outlineLevel="1" x14ac:dyDescent="0.25">
      <c r="A35" s="278"/>
      <c r="B35" s="279" t="str">
        <f t="shared" si="7"/>
        <v>natural stoneprestige</v>
      </c>
      <c r="C35" s="278" t="s">
        <v>924</v>
      </c>
      <c r="D35" s="278"/>
      <c r="E35" s="278"/>
      <c r="F35" s="278" t="s">
        <v>545</v>
      </c>
      <c r="G35" s="278" t="s">
        <v>11</v>
      </c>
      <c r="H35" s="290">
        <v>1.8</v>
      </c>
      <c r="I35" s="280">
        <f t="shared" si="8"/>
        <v>134.63999999999999</v>
      </c>
      <c r="J35" s="281">
        <f t="shared" si="9"/>
        <v>149.72400000000002</v>
      </c>
      <c r="K35" s="282">
        <f>IF(Notes!$B$9="Domestic",I35, IF(Notes!$B$9="Commercial",J35))*$K$5</f>
        <v>149.72400000000002</v>
      </c>
      <c r="L35" s="283">
        <f>(SUM(O35:Q35)+(K35+SUM(M35:Q35))*(INDEX($U$5:$AB$5,MATCH(Notes!$C$16,$U$3:$AB$3,0))-100%))*$L$5</f>
        <v>83.55</v>
      </c>
      <c r="M35" s="284"/>
      <c r="N35" s="284"/>
      <c r="O35" s="285">
        <v>83.55</v>
      </c>
      <c r="P35" s="285"/>
      <c r="Q35" s="285"/>
      <c r="R35" s="278"/>
      <c r="S35" s="278"/>
      <c r="T35" s="278"/>
    </row>
    <row r="36" spans="1:28" s="305" customFormat="1" hidden="1" outlineLevel="1" x14ac:dyDescent="0.25">
      <c r="A36" s="278"/>
      <c r="B36" s="279" t="str">
        <f t="shared" si="4"/>
        <v>crazy pavingaverage</v>
      </c>
      <c r="C36" s="278" t="s">
        <v>926</v>
      </c>
      <c r="D36" s="278"/>
      <c r="E36" s="278"/>
      <c r="F36" s="278" t="s">
        <v>543</v>
      </c>
      <c r="G36" s="278" t="s">
        <v>11</v>
      </c>
      <c r="H36" s="290">
        <v>1.88</v>
      </c>
      <c r="I36" s="280">
        <f t="shared" si="5"/>
        <v>140.624</v>
      </c>
      <c r="J36" s="281">
        <f t="shared" si="6"/>
        <v>156.3784</v>
      </c>
      <c r="K36" s="282">
        <f>IF(Notes!$B$9="Domestic",I36, IF(Notes!$B$9="Commercial",J36))*$K$5</f>
        <v>156.3784</v>
      </c>
      <c r="L36" s="283">
        <f>(SUM(O36:Q36)+(K36+SUM(M36:Q36))*(INDEX($U$5:$AB$5,MATCH(Notes!$C$16,$U$3:$AB$3,0))-100%))*$L$5</f>
        <v>200</v>
      </c>
      <c r="M36" s="284"/>
      <c r="N36" s="284"/>
      <c r="O36" s="285">
        <v>200</v>
      </c>
      <c r="P36" s="285"/>
      <c r="Q36" s="285"/>
      <c r="R36" s="278"/>
      <c r="S36" s="278"/>
      <c r="T36" s="278"/>
    </row>
    <row r="37" spans="1:28" s="305" customFormat="1" hidden="1" outlineLevel="1" x14ac:dyDescent="0.25">
      <c r="A37" s="278"/>
      <c r="B37" s="279" t="str">
        <f t="shared" si="4"/>
        <v>crazy pavingquality</v>
      </c>
      <c r="C37" s="278" t="s">
        <v>926</v>
      </c>
      <c r="D37" s="278"/>
      <c r="E37" s="278"/>
      <c r="F37" s="278" t="s">
        <v>544</v>
      </c>
      <c r="G37" s="278" t="s">
        <v>11</v>
      </c>
      <c r="H37" s="290">
        <v>1.88</v>
      </c>
      <c r="I37" s="280">
        <f t="shared" si="5"/>
        <v>140.624</v>
      </c>
      <c r="J37" s="281">
        <f t="shared" si="6"/>
        <v>156.3784</v>
      </c>
      <c r="K37" s="282">
        <f>IF(Notes!$B$9="Domestic",I37, IF(Notes!$B$9="Commercial",J37))*$K$5</f>
        <v>156.3784</v>
      </c>
      <c r="L37" s="283">
        <f>(SUM(O37:Q37)+(K37+SUM(M37:Q37))*(INDEX($U$5:$AB$5,MATCH(Notes!$C$16,$U$3:$AB$3,0))-100%))*$L$5</f>
        <v>220</v>
      </c>
      <c r="M37" s="284"/>
      <c r="N37" s="284"/>
      <c r="O37" s="285">
        <v>220</v>
      </c>
      <c r="P37" s="285"/>
      <c r="Q37" s="285"/>
      <c r="R37" s="278"/>
      <c r="S37" s="278"/>
      <c r="T37" s="278"/>
    </row>
    <row r="38" spans="1:28" s="305" customFormat="1" hidden="1" outlineLevel="1" x14ac:dyDescent="0.25">
      <c r="A38" s="278"/>
      <c r="B38" s="279" t="str">
        <f t="shared" si="2"/>
        <v>crazy pavingprestige</v>
      </c>
      <c r="C38" s="278" t="s">
        <v>926</v>
      </c>
      <c r="D38" s="278"/>
      <c r="E38" s="278"/>
      <c r="F38" s="278" t="s">
        <v>545</v>
      </c>
      <c r="G38" s="278" t="s">
        <v>11</v>
      </c>
      <c r="H38" s="290">
        <v>1.88</v>
      </c>
      <c r="I38" s="280">
        <f t="shared" si="1"/>
        <v>140.624</v>
      </c>
      <c r="J38" s="281">
        <f t="shared" si="3"/>
        <v>156.3784</v>
      </c>
      <c r="K38" s="282">
        <f>IF(Notes!$B$9="Domestic",I38, IF(Notes!$B$9="Commercial",J38))*$K$5</f>
        <v>156.3784</v>
      </c>
      <c r="L38" s="283">
        <f>(SUM(O38:Q38)+(K38+SUM(M38:Q38))*(INDEX($U$5:$AB$5,MATCH(Notes!$C$16,$U$3:$AB$3,0))-100%))*$L$5</f>
        <v>300</v>
      </c>
      <c r="M38" s="284"/>
      <c r="N38" s="284"/>
      <c r="O38" s="285">
        <v>300</v>
      </c>
      <c r="P38" s="285"/>
      <c r="Q38" s="285"/>
      <c r="R38" s="278"/>
      <c r="S38" s="278"/>
      <c r="T38" s="278"/>
    </row>
    <row r="39" spans="1:28" ht="21" hidden="1" outlineLevel="1" x14ac:dyDescent="0.25">
      <c r="A39" s="299" t="s">
        <v>970</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row>
    <row r="40" spans="1:28" ht="15.75" hidden="1" outlineLevel="1" x14ac:dyDescent="0.25">
      <c r="A40" s="291"/>
      <c r="B40" s="291"/>
      <c r="C40" s="291"/>
      <c r="D40" s="291"/>
      <c r="E40" s="291"/>
      <c r="F40" s="291"/>
      <c r="G40" s="291"/>
      <c r="H40" s="291"/>
      <c r="I40" s="291"/>
      <c r="J40" s="291"/>
      <c r="K40" s="291">
        <f>K$2</f>
        <v>1</v>
      </c>
      <c r="L40" s="291">
        <f>L$2</f>
        <v>1</v>
      </c>
      <c r="M40" s="291"/>
      <c r="N40" s="291"/>
      <c r="O40" s="303"/>
      <c r="P40" s="303"/>
      <c r="Q40" s="303"/>
      <c r="R40" s="291"/>
      <c r="S40" s="291"/>
      <c r="T40" s="291"/>
      <c r="U40" s="291">
        <f>U$2</f>
        <v>1</v>
      </c>
      <c r="V40" s="291">
        <f>V$2</f>
        <v>1</v>
      </c>
      <c r="W40" s="291">
        <f t="shared" ref="W40:AB40" si="10">W$2</f>
        <v>1</v>
      </c>
      <c r="X40" s="291">
        <f t="shared" si="10"/>
        <v>1</v>
      </c>
      <c r="Y40" s="291">
        <f t="shared" si="10"/>
        <v>1</v>
      </c>
      <c r="Z40" s="291">
        <f t="shared" si="10"/>
        <v>1</v>
      </c>
      <c r="AA40" s="291">
        <f t="shared" si="10"/>
        <v>1</v>
      </c>
      <c r="AB40" s="291">
        <f t="shared" si="10"/>
        <v>1</v>
      </c>
    </row>
    <row r="41" spans="1:28" s="305" customFormat="1" ht="14.45" hidden="1" customHeight="1" outlineLevel="1" x14ac:dyDescent="0.25">
      <c r="A41" s="278"/>
      <c r="B41" s="279" t="str">
        <f>C41&amp;D41&amp;E41&amp;F41</f>
        <v>20mm</v>
      </c>
      <c r="C41" s="278" t="s">
        <v>971</v>
      </c>
      <c r="D41" s="278"/>
      <c r="E41" s="278"/>
      <c r="F41" s="278"/>
      <c r="G41" s="278" t="s">
        <v>11</v>
      </c>
      <c r="H41" s="290">
        <v>0.25</v>
      </c>
      <c r="I41" s="280">
        <f>$I$2*H41</f>
        <v>18.7</v>
      </c>
      <c r="J41" s="281">
        <f>$J$2*H41</f>
        <v>20.795000000000002</v>
      </c>
      <c r="K41" s="282">
        <f>IF(Notes!$B$9="Domestic",I41, IF(Notes!$B$9="Commercial",J41))*$K$40</f>
        <v>20.795000000000002</v>
      </c>
      <c r="L41" s="283">
        <f>(SUM(O41:Q41)+(K41+SUM(M41:Q41))*(INDEX($U$40:$AB$40,MATCH(Notes!$C$16,$U$3:$AB$3,0))-100%))*$L$40</f>
        <v>10.220000000000001</v>
      </c>
      <c r="M41" s="286"/>
      <c r="N41" s="286"/>
      <c r="O41" s="285">
        <v>10.220000000000001</v>
      </c>
      <c r="P41" s="285"/>
      <c r="Q41" s="285"/>
      <c r="R41" s="278" t="s">
        <v>971</v>
      </c>
      <c r="S41" s="278"/>
      <c r="T41" s="278"/>
      <c r="U41" s="304"/>
    </row>
    <row r="42" spans="1:28" s="305" customFormat="1" ht="14.45" hidden="1" customHeight="1" outlineLevel="1" x14ac:dyDescent="0.25">
      <c r="A42" s="278"/>
      <c r="B42" s="279" t="str">
        <f t="shared" ref="B42:B43" si="11">C42&amp;D42&amp;E42&amp;F42</f>
        <v>30mm</v>
      </c>
      <c r="C42" s="278" t="s">
        <v>972</v>
      </c>
      <c r="D42" s="278"/>
      <c r="E42" s="278"/>
      <c r="F42" s="278"/>
      <c r="G42" s="278" t="s">
        <v>11</v>
      </c>
      <c r="H42" s="290">
        <v>0.25</v>
      </c>
      <c r="I42" s="280">
        <f>$I$2*H42</f>
        <v>18.7</v>
      </c>
      <c r="J42" s="281">
        <f t="shared" ref="J42:J43" si="12">$J$2*H42</f>
        <v>20.795000000000002</v>
      </c>
      <c r="K42" s="282">
        <f>IF(Notes!$B$9="Domestic",I42, IF(Notes!$B$9="Commercial",J42))*$K$40</f>
        <v>20.795000000000002</v>
      </c>
      <c r="L42" s="283">
        <f>(SUM(O42:Q42)+(K42+SUM(M42:Q42))*(INDEX($U$40:$AB$40,MATCH(Notes!$C$16,$U$3:$AB$3,0))-100%))*$L$40</f>
        <v>11.61</v>
      </c>
      <c r="M42" s="286"/>
      <c r="N42" s="286"/>
      <c r="O42" s="285">
        <v>11.61</v>
      </c>
      <c r="P42" s="285"/>
      <c r="Q42" s="285"/>
      <c r="R42" s="278" t="s">
        <v>972</v>
      </c>
      <c r="S42" s="278"/>
      <c r="T42" s="278"/>
      <c r="U42" s="304"/>
    </row>
    <row r="43" spans="1:28" s="305" customFormat="1" ht="14.45" hidden="1" customHeight="1" outlineLevel="1" x14ac:dyDescent="0.25">
      <c r="A43" s="278"/>
      <c r="B43" s="279" t="str">
        <f t="shared" si="11"/>
        <v>40mm</v>
      </c>
      <c r="C43" s="278" t="s">
        <v>299</v>
      </c>
      <c r="D43" s="278"/>
      <c r="E43" s="278"/>
      <c r="F43" s="278"/>
      <c r="G43" s="278" t="s">
        <v>11</v>
      </c>
      <c r="H43" s="290">
        <v>0.28000000000000003</v>
      </c>
      <c r="I43" s="280">
        <f t="shared" ref="I43" si="13">$I$2*H43</f>
        <v>20.944000000000003</v>
      </c>
      <c r="J43" s="281">
        <f t="shared" si="12"/>
        <v>23.290400000000005</v>
      </c>
      <c r="K43" s="282">
        <f>IF(Notes!$B$9="Domestic",I43, IF(Notes!$B$9="Commercial",J43))*$K$40</f>
        <v>23.290400000000005</v>
      </c>
      <c r="L43" s="283">
        <f>(SUM(O43:Q43)+(K43+SUM(M43:Q43))*(INDEX($U$40:$AB$40,MATCH(Notes!$C$16,$U$3:$AB$3,0))-100%))*$L$40</f>
        <v>12.63</v>
      </c>
      <c r="M43" s="286"/>
      <c r="N43" s="286"/>
      <c r="O43" s="285">
        <v>12.63</v>
      </c>
      <c r="P43" s="285"/>
      <c r="Q43" s="285"/>
      <c r="R43" s="278" t="s">
        <v>299</v>
      </c>
      <c r="S43" s="278"/>
      <c r="T43" s="278"/>
      <c r="U43" s="304"/>
    </row>
    <row r="44" spans="1:28" ht="21" hidden="1" outlineLevel="1" x14ac:dyDescent="0.25">
      <c r="A44" s="299"/>
      <c r="B44" s="299"/>
      <c r="C44" s="299"/>
      <c r="D44" s="299"/>
      <c r="E44" s="299"/>
      <c r="F44" s="299"/>
      <c r="G44" s="299"/>
      <c r="H44" s="299"/>
      <c r="I44" s="299"/>
      <c r="J44" s="299"/>
      <c r="K44" s="299"/>
      <c r="L44" s="299"/>
      <c r="M44" s="299"/>
      <c r="N44" s="299"/>
      <c r="O44" s="299"/>
      <c r="P44" s="299"/>
      <c r="Q44" s="299"/>
      <c r="R44" s="299"/>
      <c r="S44" s="299"/>
      <c r="T44" s="299"/>
      <c r="U44" s="299"/>
      <c r="V44" s="299"/>
      <c r="W44" s="299"/>
      <c r="X44" s="299"/>
      <c r="Y44" s="299"/>
      <c r="Z44" s="299"/>
      <c r="AA44" s="299"/>
      <c r="AB44" s="299"/>
    </row>
    <row r="45" spans="1:28" ht="15.75" hidden="1" outlineLevel="1" x14ac:dyDescent="0.25">
      <c r="A45" s="291"/>
      <c r="B45" s="291"/>
      <c r="C45" s="291"/>
      <c r="D45" s="291"/>
      <c r="E45" s="291"/>
      <c r="F45" s="291"/>
      <c r="G45" s="291"/>
      <c r="H45" s="291"/>
      <c r="I45" s="291"/>
      <c r="J45" s="291"/>
      <c r="K45" s="291">
        <f>K$2</f>
        <v>1</v>
      </c>
      <c r="L45" s="291">
        <f>L$2</f>
        <v>1</v>
      </c>
      <c r="M45" s="291"/>
      <c r="N45" s="291"/>
      <c r="O45" s="303"/>
      <c r="P45" s="303"/>
      <c r="Q45" s="303"/>
      <c r="R45" s="291"/>
      <c r="S45" s="291"/>
      <c r="T45" s="291"/>
      <c r="U45" s="291">
        <f>U$2</f>
        <v>1</v>
      </c>
      <c r="V45" s="291">
        <f>V$2</f>
        <v>1</v>
      </c>
      <c r="W45" s="291">
        <f t="shared" ref="W45:AB45" si="14">W$2</f>
        <v>1</v>
      </c>
      <c r="X45" s="291">
        <f t="shared" si="14"/>
        <v>1</v>
      </c>
      <c r="Y45" s="291">
        <f t="shared" si="14"/>
        <v>1</v>
      </c>
      <c r="Z45" s="291">
        <f t="shared" si="14"/>
        <v>1</v>
      </c>
      <c r="AA45" s="291">
        <f t="shared" si="14"/>
        <v>1</v>
      </c>
      <c r="AB45" s="291">
        <f t="shared" si="14"/>
        <v>1</v>
      </c>
    </row>
    <row r="46" spans="1:28" s="305" customFormat="1" ht="14.45" hidden="1" customHeight="1" outlineLevel="1" x14ac:dyDescent="0.25">
      <c r="A46" s="278"/>
      <c r="B46" s="279" t="str">
        <f t="shared" ref="B46" si="15">C46&amp;D46&amp;E46&amp;F46</f>
        <v>niche tiling work</v>
      </c>
      <c r="C46" s="278" t="s">
        <v>2191</v>
      </c>
      <c r="D46" s="278"/>
      <c r="E46" s="278"/>
      <c r="F46" s="278"/>
      <c r="G46" s="278" t="s">
        <v>5</v>
      </c>
      <c r="H46" s="290">
        <v>1</v>
      </c>
      <c r="I46" s="280">
        <f>$I$2*H46</f>
        <v>74.8</v>
      </c>
      <c r="J46" s="281">
        <f t="shared" ref="J46" si="16">$J$2*H46</f>
        <v>83.18</v>
      </c>
      <c r="K46" s="282">
        <f>IF(Notes!$B$9="Domestic",I46, IF(Notes!$B$9="Commercial",J46))*$K$45</f>
        <v>83.18</v>
      </c>
      <c r="L46" s="283">
        <f>(SUM(O46:Q46)+(K46+SUM(M46:Q46))*(INDEX($U$45:$AB$45,MATCH(Notes!$C$16,$U$3:$AB$3,0))-100%))*$L$45</f>
        <v>50</v>
      </c>
      <c r="M46" s="286"/>
      <c r="N46" s="286"/>
      <c r="O46" s="285">
        <v>50</v>
      </c>
      <c r="P46" s="285"/>
      <c r="Q46" s="285"/>
      <c r="R46" s="278"/>
      <c r="S46" s="278"/>
      <c r="T46" s="278"/>
      <c r="U46" s="304"/>
    </row>
    <row r="47" spans="1:28" ht="21" hidden="1" outlineLevel="1" x14ac:dyDescent="0.25">
      <c r="A47" s="299"/>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row>
    <row r="48" spans="1:28" ht="15.75" hidden="1" outlineLevel="1" x14ac:dyDescent="0.25">
      <c r="A48" s="291"/>
      <c r="B48" s="291"/>
      <c r="C48" s="291"/>
      <c r="D48" s="291"/>
      <c r="E48" s="291"/>
      <c r="F48" s="291"/>
      <c r="G48" s="291"/>
      <c r="H48" s="291"/>
      <c r="I48" s="291"/>
      <c r="J48" s="291"/>
      <c r="K48" s="291">
        <f>K$2</f>
        <v>1</v>
      </c>
      <c r="L48" s="291">
        <f>L$2</f>
        <v>1</v>
      </c>
      <c r="M48" s="291"/>
      <c r="N48" s="291"/>
      <c r="O48" s="303"/>
      <c r="P48" s="303"/>
      <c r="Q48" s="303"/>
      <c r="R48" s="291"/>
      <c r="S48" s="291"/>
      <c r="T48" s="291"/>
      <c r="U48" s="291">
        <f>U$2</f>
        <v>1</v>
      </c>
      <c r="V48" s="291">
        <f>V$2</f>
        <v>1</v>
      </c>
      <c r="W48" s="291">
        <f t="shared" ref="W48:AB48" si="17">W$2</f>
        <v>1</v>
      </c>
      <c r="X48" s="291">
        <f t="shared" si="17"/>
        <v>1</v>
      </c>
      <c r="Y48" s="291">
        <f t="shared" si="17"/>
        <v>1</v>
      </c>
      <c r="Z48" s="291">
        <f t="shared" si="17"/>
        <v>1</v>
      </c>
      <c r="AA48" s="291">
        <f t="shared" si="17"/>
        <v>1</v>
      </c>
      <c r="AB48" s="291">
        <f t="shared" si="17"/>
        <v>1</v>
      </c>
    </row>
    <row r="49" spans="1:28" s="305" customFormat="1" ht="14.45" hidden="1" customHeight="1" outlineLevel="1" x14ac:dyDescent="0.25">
      <c r="A49" s="278"/>
      <c r="B49" s="279" t="str">
        <f>C49&amp;D49&amp;E49&amp;F49</f>
        <v/>
      </c>
      <c r="C49" s="278"/>
      <c r="D49" s="278"/>
      <c r="E49" s="278"/>
      <c r="F49" s="278"/>
      <c r="G49" s="278"/>
      <c r="H49" s="290"/>
      <c r="I49" s="280">
        <f>$I$2*H49</f>
        <v>0</v>
      </c>
      <c r="J49" s="281">
        <f>$J$2*H49</f>
        <v>0</v>
      </c>
      <c r="K49" s="282">
        <f>IF(Notes!$B$9="Domestic",I49, IF(Notes!$B$9="Commercial",J49))*$K$48</f>
        <v>0</v>
      </c>
      <c r="L49" s="283">
        <f>(SUM(O49:Q49)+(K49+SUM(M49:Q49))*(INDEX($U$48:$AB$48,MATCH(Notes!$C$16,$U$3:$AB$3,0))-100%))*$L$48</f>
        <v>0</v>
      </c>
      <c r="M49" s="286"/>
      <c r="N49" s="286"/>
      <c r="O49" s="285"/>
      <c r="P49" s="285"/>
      <c r="Q49" s="285"/>
      <c r="R49" s="278"/>
      <c r="S49" s="278"/>
      <c r="T49" s="278"/>
      <c r="U49" s="304"/>
    </row>
    <row r="50" spans="1:28" s="305" customFormat="1" ht="14.45" hidden="1" customHeight="1" outlineLevel="1" x14ac:dyDescent="0.25">
      <c r="A50" s="278"/>
      <c r="B50" s="279" t="str">
        <f t="shared" ref="B50:B58" si="18">C50&amp;D50&amp;E50&amp;F50</f>
        <v/>
      </c>
      <c r="C50" s="278"/>
      <c r="D50" s="278"/>
      <c r="E50" s="278"/>
      <c r="F50" s="278"/>
      <c r="G50" s="278"/>
      <c r="H50" s="290"/>
      <c r="I50" s="280">
        <f t="shared" ref="I50:I58" si="19">$I$2*H50</f>
        <v>0</v>
      </c>
      <c r="J50" s="281">
        <f t="shared" ref="J50:J58" si="20">$J$2*H50</f>
        <v>0</v>
      </c>
      <c r="K50" s="282">
        <f>IF(Notes!$B$9="Domestic",I50, IF(Notes!$B$9="Commercial",J50))*$K$48</f>
        <v>0</v>
      </c>
      <c r="L50" s="283">
        <f>(SUM(O50:Q50)+(K50+SUM(M50:Q50))*(INDEX($U$48:$AB$48,MATCH(Notes!$C$16,$U$3:$AB$3,0))-100%))*$L$48</f>
        <v>0</v>
      </c>
      <c r="M50" s="286"/>
      <c r="N50" s="286"/>
      <c r="O50" s="285"/>
      <c r="P50" s="285"/>
      <c r="Q50" s="285"/>
      <c r="R50" s="278"/>
      <c r="S50" s="278"/>
      <c r="T50" s="278"/>
      <c r="U50" s="304"/>
    </row>
    <row r="51" spans="1:28" s="305" customFormat="1" ht="14.45" hidden="1" customHeight="1" outlineLevel="1" x14ac:dyDescent="0.25">
      <c r="A51" s="278"/>
      <c r="B51" s="279" t="str">
        <f t="shared" si="18"/>
        <v/>
      </c>
      <c r="C51" s="278"/>
      <c r="D51" s="278"/>
      <c r="E51" s="278"/>
      <c r="F51" s="278"/>
      <c r="G51" s="278"/>
      <c r="H51" s="290"/>
      <c r="I51" s="280">
        <f t="shared" si="19"/>
        <v>0</v>
      </c>
      <c r="J51" s="281">
        <f t="shared" si="20"/>
        <v>0</v>
      </c>
      <c r="K51" s="282">
        <f>IF(Notes!$B$9="Domestic",I51, IF(Notes!$B$9="Commercial",J51))*$K$48</f>
        <v>0</v>
      </c>
      <c r="L51" s="283">
        <f>(SUM(O51:Q51)+(K51+SUM(M51:Q51))*(INDEX($U$48:$AB$48,MATCH(Notes!$C$16,$U$3:$AB$3,0))-100%))*$L$48</f>
        <v>0</v>
      </c>
      <c r="M51" s="286"/>
      <c r="N51" s="286"/>
      <c r="O51" s="285"/>
      <c r="P51" s="285"/>
      <c r="Q51" s="285"/>
      <c r="R51" s="278"/>
      <c r="S51" s="278"/>
      <c r="T51" s="278"/>
      <c r="U51" s="304"/>
    </row>
    <row r="52" spans="1:28" s="305" customFormat="1" hidden="1" outlineLevel="1" x14ac:dyDescent="0.25">
      <c r="A52" s="278"/>
      <c r="B52" s="279" t="str">
        <f t="shared" si="18"/>
        <v/>
      </c>
      <c r="C52" s="278"/>
      <c r="D52" s="278"/>
      <c r="E52" s="278"/>
      <c r="F52" s="278"/>
      <c r="G52" s="278"/>
      <c r="H52" s="290"/>
      <c r="I52" s="280">
        <f t="shared" si="19"/>
        <v>0</v>
      </c>
      <c r="J52" s="281">
        <f t="shared" si="20"/>
        <v>0</v>
      </c>
      <c r="K52" s="282">
        <f>IF(Notes!$B$9="Domestic",I52, IF(Notes!$B$9="Commercial",J52))*$K$48</f>
        <v>0</v>
      </c>
      <c r="L52" s="283">
        <f>(SUM(O52:Q52)+(K52+SUM(M52:Q52))*(INDEX($U$48:$AB$48,MATCH(Notes!$C$16,$U$3:$AB$3,0))-100%))*$L$48</f>
        <v>0</v>
      </c>
      <c r="M52" s="286"/>
      <c r="N52" s="286"/>
      <c r="O52" s="285"/>
      <c r="P52" s="285"/>
      <c r="Q52" s="285"/>
      <c r="R52" s="278"/>
      <c r="S52" s="278"/>
      <c r="T52" s="278"/>
    </row>
    <row r="53" spans="1:28" s="305" customFormat="1" hidden="1" outlineLevel="1" x14ac:dyDescent="0.25">
      <c r="A53" s="278"/>
      <c r="B53" s="279" t="str">
        <f t="shared" si="18"/>
        <v/>
      </c>
      <c r="C53" s="278"/>
      <c r="D53" s="278"/>
      <c r="E53" s="278"/>
      <c r="F53" s="278"/>
      <c r="G53" s="278"/>
      <c r="H53" s="290"/>
      <c r="I53" s="280">
        <f>$I$2*H53</f>
        <v>0</v>
      </c>
      <c r="J53" s="281">
        <f t="shared" si="20"/>
        <v>0</v>
      </c>
      <c r="K53" s="282">
        <f>IF(Notes!$B$9="Domestic",I53, IF(Notes!$B$9="Commercial",J53))*$K$48</f>
        <v>0</v>
      </c>
      <c r="L53" s="283">
        <f>(SUM(O53:Q53)+(K53+SUM(M53:Q53))*(INDEX($U$48:$AB$48,MATCH(Notes!$C$16,$U$3:$AB$3,0))-100%))*$L$48</f>
        <v>0</v>
      </c>
      <c r="M53" s="286"/>
      <c r="N53" s="286"/>
      <c r="O53" s="285"/>
      <c r="P53" s="285"/>
      <c r="Q53" s="285"/>
      <c r="R53" s="278"/>
      <c r="S53" s="278"/>
      <c r="T53" s="278"/>
    </row>
    <row r="54" spans="1:28" s="305" customFormat="1" hidden="1" outlineLevel="1" x14ac:dyDescent="0.25">
      <c r="A54" s="278"/>
      <c r="B54" s="279" t="str">
        <f t="shared" si="18"/>
        <v/>
      </c>
      <c r="C54" s="278"/>
      <c r="D54" s="278"/>
      <c r="E54" s="278"/>
      <c r="F54" s="278"/>
      <c r="G54" s="278"/>
      <c r="H54" s="290"/>
      <c r="I54" s="280">
        <f t="shared" si="19"/>
        <v>0</v>
      </c>
      <c r="J54" s="281">
        <f t="shared" si="20"/>
        <v>0</v>
      </c>
      <c r="K54" s="282">
        <f>IF(Notes!$B$9="Domestic",I54, IF(Notes!$B$9="Commercial",J54))*$K$48</f>
        <v>0</v>
      </c>
      <c r="L54" s="283">
        <f>(SUM(O54:Q54)+(K54+SUM(M54:Q54))*(INDEX($U$48:$AB$48,MATCH(Notes!$C$16,$U$3:$AB$3,0))-100%))*$L$48</f>
        <v>0</v>
      </c>
      <c r="M54" s="286"/>
      <c r="N54" s="286"/>
      <c r="O54" s="285"/>
      <c r="P54" s="285"/>
      <c r="Q54" s="285"/>
      <c r="R54" s="278"/>
      <c r="S54" s="278"/>
      <c r="T54" s="278"/>
    </row>
    <row r="55" spans="1:28" s="305" customFormat="1" hidden="1" outlineLevel="1" x14ac:dyDescent="0.25">
      <c r="A55" s="278"/>
      <c r="B55" s="279" t="str">
        <f t="shared" si="18"/>
        <v/>
      </c>
      <c r="C55" s="278"/>
      <c r="D55" s="278"/>
      <c r="E55" s="278"/>
      <c r="F55" s="278"/>
      <c r="G55" s="278"/>
      <c r="H55" s="290"/>
      <c r="I55" s="280">
        <f t="shared" si="19"/>
        <v>0</v>
      </c>
      <c r="J55" s="281">
        <f t="shared" si="20"/>
        <v>0</v>
      </c>
      <c r="K55" s="282">
        <f>IF(Notes!$B$9="Domestic",I55, IF(Notes!$B$9="Commercial",J55))*$K$48</f>
        <v>0</v>
      </c>
      <c r="L55" s="283">
        <f>(SUM(O55:Q55)+(K55+SUM(M55:Q55))*(INDEX($U$48:$AB$48,MATCH(Notes!$C$16,$U$3:$AB$3,0))-100%))*$L$48</f>
        <v>0</v>
      </c>
      <c r="M55" s="286"/>
      <c r="N55" s="286"/>
      <c r="O55" s="285"/>
      <c r="P55" s="285"/>
      <c r="Q55" s="285"/>
      <c r="R55" s="278"/>
      <c r="S55" s="278"/>
      <c r="T55" s="278"/>
    </row>
    <row r="56" spans="1:28" s="305" customFormat="1" hidden="1" outlineLevel="1" x14ac:dyDescent="0.25">
      <c r="A56" s="278"/>
      <c r="B56" s="279" t="str">
        <f t="shared" si="18"/>
        <v/>
      </c>
      <c r="C56" s="278"/>
      <c r="D56" s="278"/>
      <c r="E56" s="278"/>
      <c r="F56" s="278"/>
      <c r="G56" s="278"/>
      <c r="H56" s="290"/>
      <c r="I56" s="280">
        <f t="shared" si="19"/>
        <v>0</v>
      </c>
      <c r="J56" s="281">
        <f t="shared" si="20"/>
        <v>0</v>
      </c>
      <c r="K56" s="282">
        <f>IF(Notes!$B$9="Domestic",I56, IF(Notes!$B$9="Commercial",J56))*$K$48</f>
        <v>0</v>
      </c>
      <c r="L56" s="283">
        <f>(SUM(O56:Q56)+(K56+SUM(M56:Q56))*(INDEX($U$48:$AB$48,MATCH(Notes!$C$16,$U$3:$AB$3,0))-100%))*$L$48</f>
        <v>0</v>
      </c>
      <c r="M56" s="286"/>
      <c r="N56" s="286"/>
      <c r="O56" s="285"/>
      <c r="P56" s="285"/>
      <c r="Q56" s="285"/>
      <c r="R56" s="278"/>
      <c r="S56" s="278"/>
      <c r="T56" s="278"/>
    </row>
    <row r="57" spans="1:28" s="305" customFormat="1" hidden="1" outlineLevel="1" x14ac:dyDescent="0.25">
      <c r="A57" s="278"/>
      <c r="B57" s="279" t="str">
        <f t="shared" si="18"/>
        <v/>
      </c>
      <c r="C57" s="278"/>
      <c r="D57" s="278"/>
      <c r="E57" s="278"/>
      <c r="F57" s="278"/>
      <c r="G57" s="278"/>
      <c r="H57" s="290"/>
      <c r="I57" s="280">
        <f t="shared" si="19"/>
        <v>0</v>
      </c>
      <c r="J57" s="281">
        <f t="shared" si="20"/>
        <v>0</v>
      </c>
      <c r="K57" s="282">
        <f>IF(Notes!$B$9="Domestic",I57, IF(Notes!$B$9="Commercial",J57))*$K$48</f>
        <v>0</v>
      </c>
      <c r="L57" s="283">
        <f>(SUM(O57:Q57)+(K57+SUM(M57:Q57))*(INDEX($U$48:$AB$48,MATCH(Notes!$C$16,$U$3:$AB$3,0))-100%))*$L$48</f>
        <v>0</v>
      </c>
      <c r="M57" s="286"/>
      <c r="N57" s="286"/>
      <c r="O57" s="285"/>
      <c r="P57" s="285"/>
      <c r="Q57" s="285"/>
      <c r="R57" s="278"/>
      <c r="S57" s="278"/>
      <c r="T57" s="278"/>
    </row>
    <row r="58" spans="1:28" s="305" customFormat="1" hidden="1" outlineLevel="1" x14ac:dyDescent="0.25">
      <c r="A58" s="278"/>
      <c r="B58" s="279" t="str">
        <f t="shared" si="18"/>
        <v/>
      </c>
      <c r="C58" s="278"/>
      <c r="D58" s="278"/>
      <c r="E58" s="278"/>
      <c r="F58" s="278"/>
      <c r="G58" s="278"/>
      <c r="H58" s="290"/>
      <c r="I58" s="280">
        <f t="shared" si="19"/>
        <v>0</v>
      </c>
      <c r="J58" s="281">
        <f t="shared" si="20"/>
        <v>0</v>
      </c>
      <c r="K58" s="282">
        <f>IF(Notes!$B$9="Domestic",I58, IF(Notes!$B$9="Commercial",J58))*$K$48</f>
        <v>0</v>
      </c>
      <c r="L58" s="283">
        <f>(SUM(O58:Q58)+(K58+SUM(M58:Q58))*(INDEX($U$48:$AB$48,MATCH(Notes!$C$16,$U$3:$AB$3,0))-100%))*$L$48</f>
        <v>0</v>
      </c>
      <c r="M58" s="286"/>
      <c r="N58" s="286"/>
      <c r="O58" s="285"/>
      <c r="P58" s="285"/>
      <c r="Q58" s="285"/>
      <c r="R58" s="278"/>
      <c r="S58" s="278"/>
      <c r="T58" s="278"/>
    </row>
    <row r="59" spans="1:28" ht="21" hidden="1" outlineLevel="1" x14ac:dyDescent="0.25">
      <c r="A59" s="299"/>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row>
    <row r="60" spans="1:28" ht="15.75" hidden="1" outlineLevel="1" x14ac:dyDescent="0.25">
      <c r="A60" s="291"/>
      <c r="B60" s="291"/>
      <c r="C60" s="291"/>
      <c r="D60" s="291"/>
      <c r="E60" s="291"/>
      <c r="F60" s="291"/>
      <c r="G60" s="291"/>
      <c r="H60" s="291"/>
      <c r="I60" s="291"/>
      <c r="J60" s="291"/>
      <c r="K60" s="291">
        <f>K$2</f>
        <v>1</v>
      </c>
      <c r="L60" s="291">
        <f>L$2</f>
        <v>1</v>
      </c>
      <c r="M60" s="291"/>
      <c r="N60" s="291"/>
      <c r="O60" s="303"/>
      <c r="P60" s="303"/>
      <c r="Q60" s="303"/>
      <c r="R60" s="291"/>
      <c r="S60" s="291"/>
      <c r="T60" s="291"/>
      <c r="U60" s="291">
        <f>U$2</f>
        <v>1</v>
      </c>
      <c r="V60" s="291">
        <f>V$2</f>
        <v>1</v>
      </c>
      <c r="W60" s="291">
        <f t="shared" ref="W60:AB60" si="21">W$2</f>
        <v>1</v>
      </c>
      <c r="X60" s="291">
        <f t="shared" si="21"/>
        <v>1</v>
      </c>
      <c r="Y60" s="291">
        <f t="shared" si="21"/>
        <v>1</v>
      </c>
      <c r="Z60" s="291">
        <f t="shared" si="21"/>
        <v>1</v>
      </c>
      <c r="AA60" s="291">
        <f t="shared" si="21"/>
        <v>1</v>
      </c>
      <c r="AB60" s="291">
        <f t="shared" si="21"/>
        <v>1</v>
      </c>
    </row>
    <row r="61" spans="1:28" s="305" customFormat="1" ht="14.45" hidden="1" customHeight="1" outlineLevel="1" x14ac:dyDescent="0.25">
      <c r="A61" s="278"/>
      <c r="B61" s="279" t="str">
        <f>C61&amp;D61&amp;E61&amp;F61</f>
        <v/>
      </c>
      <c r="C61" s="278"/>
      <c r="D61" s="278"/>
      <c r="E61" s="278"/>
      <c r="F61" s="278"/>
      <c r="G61" s="278"/>
      <c r="H61" s="290"/>
      <c r="I61" s="280">
        <f>$I$2*H61</f>
        <v>0</v>
      </c>
      <c r="J61" s="281">
        <f>$J$2*H61</f>
        <v>0</v>
      </c>
      <c r="K61" s="282">
        <f>IF(Notes!$B$9="Domestic",I61, IF(Notes!$B$9="Commercial",J61))*$K$60</f>
        <v>0</v>
      </c>
      <c r="L61" s="283">
        <f>(SUM(O61:Q61)+(K61+SUM(M61:Q61))*(INDEX($U$60:$AB$60,MATCH(Notes!$C$16,$U$3:$AB$3,0))-100%))*$L$60</f>
        <v>0</v>
      </c>
      <c r="M61" s="286"/>
      <c r="N61" s="286"/>
      <c r="O61" s="285"/>
      <c r="P61" s="285"/>
      <c r="Q61" s="285"/>
      <c r="R61" s="278"/>
      <c r="S61" s="278"/>
      <c r="T61" s="278"/>
      <c r="U61" s="304"/>
    </row>
    <row r="62" spans="1:28" s="305" customFormat="1" ht="14.45" hidden="1" customHeight="1" outlineLevel="1" x14ac:dyDescent="0.25">
      <c r="A62" s="278"/>
      <c r="B62" s="279" t="str">
        <f t="shared" ref="B62:B70" si="22">C62&amp;D62&amp;E62&amp;F62</f>
        <v/>
      </c>
      <c r="C62" s="278"/>
      <c r="D62" s="278"/>
      <c r="E62" s="278"/>
      <c r="F62" s="278"/>
      <c r="G62" s="278"/>
      <c r="H62" s="290"/>
      <c r="I62" s="280">
        <f t="shared" ref="I62:I70" si="23">$I$2*H62</f>
        <v>0</v>
      </c>
      <c r="J62" s="281">
        <f t="shared" ref="J62:J70" si="24">$J$2*H62</f>
        <v>0</v>
      </c>
      <c r="K62" s="282">
        <f>IF(Notes!$B$9="Domestic",I62, IF(Notes!$B$9="Commercial",J62))*$K$60</f>
        <v>0</v>
      </c>
      <c r="L62" s="283">
        <f>(SUM(O62:Q62)+(K62+SUM(M62:Q62))*(INDEX($U$60:$AB$60,MATCH(Notes!$C$16,$U$3:$AB$3,0))-100%))*$L$60</f>
        <v>0</v>
      </c>
      <c r="M62" s="286"/>
      <c r="N62" s="286"/>
      <c r="O62" s="285"/>
      <c r="P62" s="285"/>
      <c r="Q62" s="285"/>
      <c r="R62" s="278"/>
      <c r="S62" s="278"/>
      <c r="T62" s="278"/>
      <c r="U62" s="304"/>
    </row>
    <row r="63" spans="1:28" s="305" customFormat="1" ht="14.45" hidden="1" customHeight="1" outlineLevel="1" x14ac:dyDescent="0.25">
      <c r="A63" s="278"/>
      <c r="B63" s="279" t="str">
        <f t="shared" si="22"/>
        <v/>
      </c>
      <c r="C63" s="278"/>
      <c r="D63" s="278"/>
      <c r="E63" s="278"/>
      <c r="F63" s="278"/>
      <c r="G63" s="278"/>
      <c r="H63" s="290"/>
      <c r="I63" s="280">
        <f t="shared" si="23"/>
        <v>0</v>
      </c>
      <c r="J63" s="281">
        <f t="shared" si="24"/>
        <v>0</v>
      </c>
      <c r="K63" s="282">
        <f>IF(Notes!$B$9="Domestic",I63, IF(Notes!$B$9="Commercial",J63))*$K$60</f>
        <v>0</v>
      </c>
      <c r="L63" s="283">
        <f>(SUM(O63:Q63)+(K63+SUM(M63:Q63))*(INDEX($U$60:$AB$60,MATCH(Notes!$C$16,$U$3:$AB$3,0))-100%))*$L$60</f>
        <v>0</v>
      </c>
      <c r="M63" s="286"/>
      <c r="N63" s="286"/>
      <c r="O63" s="285"/>
      <c r="P63" s="285"/>
      <c r="Q63" s="285"/>
      <c r="R63" s="278"/>
      <c r="S63" s="278"/>
      <c r="T63" s="278"/>
      <c r="U63" s="304"/>
    </row>
    <row r="64" spans="1:28" s="305" customFormat="1" ht="14.45" hidden="1" customHeight="1" outlineLevel="1" x14ac:dyDescent="0.25">
      <c r="A64" s="278"/>
      <c r="B64" s="279" t="str">
        <f t="shared" si="22"/>
        <v/>
      </c>
      <c r="C64" s="278"/>
      <c r="D64" s="278"/>
      <c r="E64" s="278"/>
      <c r="F64" s="278"/>
      <c r="G64" s="278"/>
      <c r="H64" s="290"/>
      <c r="I64" s="280">
        <f t="shared" si="23"/>
        <v>0</v>
      </c>
      <c r="J64" s="281">
        <f t="shared" si="24"/>
        <v>0</v>
      </c>
      <c r="K64" s="282">
        <f>IF(Notes!$B$9="Domestic",I64, IF(Notes!$B$9="Commercial",J64))*$K$60</f>
        <v>0</v>
      </c>
      <c r="L64" s="283">
        <f>(SUM(O64:Q64)+(K64+SUM(M64:Q64))*(INDEX($U$60:$AB$60,MATCH(Notes!$C$16,$U$3:$AB$3,0))-100%))*$L$60</f>
        <v>0</v>
      </c>
      <c r="M64" s="286"/>
      <c r="N64" s="286"/>
      <c r="O64" s="285"/>
      <c r="P64" s="285"/>
      <c r="Q64" s="285"/>
      <c r="R64" s="278"/>
      <c r="S64" s="278"/>
      <c r="T64" s="278"/>
    </row>
    <row r="65" spans="1:28" s="305" customFormat="1" hidden="1" outlineLevel="1" x14ac:dyDescent="0.25">
      <c r="A65" s="278"/>
      <c r="B65" s="279" t="str">
        <f t="shared" si="22"/>
        <v/>
      </c>
      <c r="C65" s="278"/>
      <c r="D65" s="278"/>
      <c r="E65" s="278"/>
      <c r="F65" s="278"/>
      <c r="G65" s="278"/>
      <c r="H65" s="290"/>
      <c r="I65" s="280">
        <f>$I$2*H65</f>
        <v>0</v>
      </c>
      <c r="J65" s="281">
        <f t="shared" si="24"/>
        <v>0</v>
      </c>
      <c r="K65" s="282">
        <f>IF(Notes!$B$9="Domestic",I65, IF(Notes!$B$9="Commercial",J65))*$K$60</f>
        <v>0</v>
      </c>
      <c r="L65" s="283">
        <f>(SUM(O65:Q65)+(K65+SUM(M65:Q65))*(INDEX($U$60:$AB$60,MATCH(Notes!$C$16,$U$3:$AB$3,0))-100%))*$L$60</f>
        <v>0</v>
      </c>
      <c r="M65" s="286"/>
      <c r="N65" s="286"/>
      <c r="O65" s="285"/>
      <c r="P65" s="285"/>
      <c r="Q65" s="285"/>
      <c r="R65" s="278"/>
      <c r="S65" s="278"/>
      <c r="T65" s="278"/>
    </row>
    <row r="66" spans="1:28" s="305" customFormat="1" hidden="1" outlineLevel="1" x14ac:dyDescent="0.25">
      <c r="A66" s="278"/>
      <c r="B66" s="279" t="str">
        <f t="shared" si="22"/>
        <v/>
      </c>
      <c r="C66" s="278"/>
      <c r="D66" s="278"/>
      <c r="E66" s="278"/>
      <c r="F66" s="278"/>
      <c r="G66" s="278"/>
      <c r="H66" s="290"/>
      <c r="I66" s="280">
        <f t="shared" si="23"/>
        <v>0</v>
      </c>
      <c r="J66" s="281">
        <f t="shared" si="24"/>
        <v>0</v>
      </c>
      <c r="K66" s="282">
        <f>IF(Notes!$B$9="Domestic",I66, IF(Notes!$B$9="Commercial",J66))*$K$60</f>
        <v>0</v>
      </c>
      <c r="L66" s="283">
        <f>(SUM(O66:Q66)+(K66+SUM(M66:Q66))*(INDEX($U$60:$AB$60,MATCH(Notes!$C$16,$U$3:$AB$3,0))-100%))*$L$60</f>
        <v>0</v>
      </c>
      <c r="M66" s="286"/>
      <c r="N66" s="286"/>
      <c r="O66" s="285"/>
      <c r="P66" s="285"/>
      <c r="Q66" s="285"/>
      <c r="R66" s="278"/>
      <c r="S66" s="278"/>
      <c r="T66" s="278"/>
    </row>
    <row r="67" spans="1:28" s="305" customFormat="1" hidden="1" outlineLevel="1" x14ac:dyDescent="0.25">
      <c r="A67" s="278"/>
      <c r="B67" s="279" t="str">
        <f t="shared" si="22"/>
        <v/>
      </c>
      <c r="C67" s="278"/>
      <c r="D67" s="278"/>
      <c r="E67" s="278"/>
      <c r="F67" s="278"/>
      <c r="G67" s="278"/>
      <c r="H67" s="290"/>
      <c r="I67" s="280">
        <f t="shared" si="23"/>
        <v>0</v>
      </c>
      <c r="J67" s="281">
        <f t="shared" si="24"/>
        <v>0</v>
      </c>
      <c r="K67" s="282">
        <f>IF(Notes!$B$9="Domestic",I67, IF(Notes!$B$9="Commercial",J67))*$K$60</f>
        <v>0</v>
      </c>
      <c r="L67" s="283">
        <f>(SUM(O67:Q67)+(K67+SUM(M67:Q67))*(INDEX($U$60:$AB$60,MATCH(Notes!$C$16,$U$3:$AB$3,0))-100%))*$L$60</f>
        <v>0</v>
      </c>
      <c r="M67" s="286"/>
      <c r="N67" s="286"/>
      <c r="O67" s="285"/>
      <c r="P67" s="285"/>
      <c r="Q67" s="285"/>
      <c r="R67" s="278"/>
      <c r="S67" s="278"/>
      <c r="T67" s="278"/>
    </row>
    <row r="68" spans="1:28" s="305" customFormat="1" hidden="1" outlineLevel="1" x14ac:dyDescent="0.25">
      <c r="A68" s="278"/>
      <c r="B68" s="279" t="str">
        <f t="shared" si="22"/>
        <v/>
      </c>
      <c r="C68" s="278"/>
      <c r="D68" s="278"/>
      <c r="E68" s="278"/>
      <c r="F68" s="278"/>
      <c r="G68" s="278"/>
      <c r="H68" s="290"/>
      <c r="I68" s="280">
        <f t="shared" si="23"/>
        <v>0</v>
      </c>
      <c r="J68" s="281">
        <f t="shared" si="24"/>
        <v>0</v>
      </c>
      <c r="K68" s="282">
        <f>IF(Notes!$B$9="Domestic",I68, IF(Notes!$B$9="Commercial",J68))*$K$60</f>
        <v>0</v>
      </c>
      <c r="L68" s="283">
        <f>(SUM(O68:Q68)+(K68+SUM(M68:Q68))*(INDEX($U$60:$AB$60,MATCH(Notes!$C$16,$U$3:$AB$3,0))-100%))*$L$60</f>
        <v>0</v>
      </c>
      <c r="M68" s="286"/>
      <c r="N68" s="286"/>
      <c r="O68" s="285"/>
      <c r="P68" s="285"/>
      <c r="Q68" s="285"/>
      <c r="R68" s="278"/>
      <c r="S68" s="278"/>
      <c r="T68" s="278"/>
    </row>
    <row r="69" spans="1:28" s="305" customFormat="1" hidden="1" outlineLevel="1" x14ac:dyDescent="0.25">
      <c r="A69" s="278"/>
      <c r="B69" s="279" t="str">
        <f t="shared" si="22"/>
        <v/>
      </c>
      <c r="C69" s="278"/>
      <c r="D69" s="278"/>
      <c r="E69" s="278"/>
      <c r="F69" s="278"/>
      <c r="G69" s="278"/>
      <c r="H69" s="290"/>
      <c r="I69" s="280">
        <f t="shared" si="23"/>
        <v>0</v>
      </c>
      <c r="J69" s="281">
        <f t="shared" si="24"/>
        <v>0</v>
      </c>
      <c r="K69" s="282">
        <f>IF(Notes!$B$9="Domestic",I69, IF(Notes!$B$9="Commercial",J69))*$K$60</f>
        <v>0</v>
      </c>
      <c r="L69" s="283">
        <f>(SUM(O69:Q69)+(K69+SUM(M69:Q69))*(INDEX($U$60:$AB$60,MATCH(Notes!$C$16,$U$3:$AB$3,0))-100%))*$L$60</f>
        <v>0</v>
      </c>
      <c r="M69" s="286"/>
      <c r="N69" s="286"/>
      <c r="O69" s="285"/>
      <c r="P69" s="285"/>
      <c r="Q69" s="285"/>
      <c r="R69" s="278"/>
      <c r="S69" s="278"/>
      <c r="T69" s="278"/>
    </row>
    <row r="70" spans="1:28" s="305" customFormat="1" hidden="1" outlineLevel="1" x14ac:dyDescent="0.25">
      <c r="A70" s="278"/>
      <c r="B70" s="279" t="str">
        <f t="shared" si="22"/>
        <v/>
      </c>
      <c r="C70" s="278"/>
      <c r="D70" s="278"/>
      <c r="E70" s="278"/>
      <c r="F70" s="278"/>
      <c r="G70" s="278"/>
      <c r="H70" s="290"/>
      <c r="I70" s="280">
        <f t="shared" si="23"/>
        <v>0</v>
      </c>
      <c r="J70" s="281">
        <f t="shared" si="24"/>
        <v>0</v>
      </c>
      <c r="K70" s="282">
        <f>IF(Notes!$B$9="Domestic",I70, IF(Notes!$B$9="Commercial",J70))*$K$60</f>
        <v>0</v>
      </c>
      <c r="L70" s="283">
        <f>(SUM(O70:Q70)+(K70+SUM(M70:Q70))*(INDEX($U$60:$AB$60,MATCH(Notes!$C$16,$U$3:$AB$3,0))-100%))*$L$60</f>
        <v>0</v>
      </c>
      <c r="M70" s="286"/>
      <c r="N70" s="286"/>
      <c r="O70" s="285"/>
      <c r="P70" s="285"/>
      <c r="Q70" s="285"/>
      <c r="R70" s="278"/>
      <c r="S70" s="278"/>
      <c r="T70" s="278"/>
    </row>
    <row r="71" spans="1:28" ht="21" hidden="1" outlineLevel="1" x14ac:dyDescent="0.25">
      <c r="A71" s="299"/>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row>
    <row r="72" spans="1:28" ht="15.75" hidden="1" outlineLevel="1" x14ac:dyDescent="0.25">
      <c r="A72" s="291"/>
      <c r="B72" s="291"/>
      <c r="C72" s="291"/>
      <c r="D72" s="291"/>
      <c r="E72" s="291"/>
      <c r="F72" s="291"/>
      <c r="G72" s="291"/>
      <c r="H72" s="291"/>
      <c r="I72" s="291"/>
      <c r="J72" s="291"/>
      <c r="K72" s="291">
        <f>K$2</f>
        <v>1</v>
      </c>
      <c r="L72" s="291">
        <f>L$2</f>
        <v>1</v>
      </c>
      <c r="M72" s="291"/>
      <c r="N72" s="291"/>
      <c r="O72" s="303"/>
      <c r="P72" s="303"/>
      <c r="Q72" s="303"/>
      <c r="R72" s="291"/>
      <c r="S72" s="291"/>
      <c r="T72" s="291"/>
      <c r="U72" s="291">
        <f>U$2</f>
        <v>1</v>
      </c>
      <c r="V72" s="291">
        <f>V$2</f>
        <v>1</v>
      </c>
      <c r="W72" s="291">
        <f t="shared" ref="W72:AB72" si="25">W$2</f>
        <v>1</v>
      </c>
      <c r="X72" s="291">
        <f t="shared" si="25"/>
        <v>1</v>
      </c>
      <c r="Y72" s="291">
        <f t="shared" si="25"/>
        <v>1</v>
      </c>
      <c r="Z72" s="291">
        <f t="shared" si="25"/>
        <v>1</v>
      </c>
      <c r="AA72" s="291">
        <f t="shared" si="25"/>
        <v>1</v>
      </c>
      <c r="AB72" s="291">
        <f t="shared" si="25"/>
        <v>1</v>
      </c>
    </row>
    <row r="73" spans="1:28" s="305" customFormat="1" ht="14.45" hidden="1" customHeight="1" outlineLevel="1" x14ac:dyDescent="0.25">
      <c r="A73" s="278"/>
      <c r="B73" s="279" t="str">
        <f>C73&amp;D73&amp;E73&amp;F73</f>
        <v/>
      </c>
      <c r="C73" s="278"/>
      <c r="D73" s="278"/>
      <c r="E73" s="278"/>
      <c r="F73" s="278"/>
      <c r="G73" s="278"/>
      <c r="H73" s="290"/>
      <c r="I73" s="280">
        <f>$I$2*H73</f>
        <v>0</v>
      </c>
      <c r="J73" s="281">
        <f>$J$2*H73</f>
        <v>0</v>
      </c>
      <c r="K73" s="282">
        <f>IF(Notes!$B$9="Domestic",I73, IF(Notes!$B$9="Commercial",J73))*$K$72</f>
        <v>0</v>
      </c>
      <c r="L73" s="283">
        <f>(SUM(O73:Q73)+(K73+SUM(M73:Q73))*(INDEX($U$72:$AB$72,MATCH(Notes!$C$16,$U$3:$AB$3,0))-100%))*$L$72</f>
        <v>0</v>
      </c>
      <c r="M73" s="286"/>
      <c r="N73" s="286"/>
      <c r="O73" s="285"/>
      <c r="P73" s="285"/>
      <c r="Q73" s="285"/>
      <c r="R73" s="278"/>
      <c r="S73" s="278"/>
      <c r="T73" s="278"/>
      <c r="U73" s="304"/>
    </row>
    <row r="74" spans="1:28" s="305" customFormat="1" ht="14.45" hidden="1" customHeight="1" outlineLevel="1" x14ac:dyDescent="0.25">
      <c r="A74" s="278"/>
      <c r="B74" s="279" t="str">
        <f t="shared" ref="B74:B82" si="26">C74&amp;D74&amp;E74&amp;F74</f>
        <v/>
      </c>
      <c r="C74" s="278"/>
      <c r="D74" s="278"/>
      <c r="E74" s="278"/>
      <c r="F74" s="278"/>
      <c r="G74" s="278"/>
      <c r="H74" s="290"/>
      <c r="I74" s="280">
        <f t="shared" ref="I74:I82" si="27">$I$2*H74</f>
        <v>0</v>
      </c>
      <c r="J74" s="281">
        <f t="shared" ref="J74:J82" si="28">$J$2*H74</f>
        <v>0</v>
      </c>
      <c r="K74" s="282">
        <f>IF(Notes!$B$9="Domestic",I74, IF(Notes!$B$9="Commercial",J74))*$K$72</f>
        <v>0</v>
      </c>
      <c r="L74" s="283">
        <f>(SUM(O74:Q74)+(K74+SUM(M74:Q74))*(INDEX($U$72:$AB$72,MATCH(Notes!$C$16,$U$3:$AB$3,0))-100%))*$L$72</f>
        <v>0</v>
      </c>
      <c r="M74" s="286"/>
      <c r="N74" s="286"/>
      <c r="O74" s="285"/>
      <c r="P74" s="285"/>
      <c r="Q74" s="285"/>
      <c r="R74" s="278"/>
      <c r="S74" s="278"/>
      <c r="T74" s="278"/>
      <c r="U74" s="304"/>
    </row>
    <row r="75" spans="1:28" s="305" customFormat="1" ht="14.45" hidden="1" customHeight="1" outlineLevel="1" x14ac:dyDescent="0.25">
      <c r="A75" s="278"/>
      <c r="B75" s="279" t="str">
        <f t="shared" si="26"/>
        <v/>
      </c>
      <c r="C75" s="278"/>
      <c r="D75" s="278"/>
      <c r="E75" s="278"/>
      <c r="F75" s="278"/>
      <c r="G75" s="278"/>
      <c r="H75" s="290"/>
      <c r="I75" s="280">
        <f t="shared" si="27"/>
        <v>0</v>
      </c>
      <c r="J75" s="281">
        <f t="shared" si="28"/>
        <v>0</v>
      </c>
      <c r="K75" s="282">
        <f>IF(Notes!$B$9="Domestic",I75, IF(Notes!$B$9="Commercial",J75))*$K$72</f>
        <v>0</v>
      </c>
      <c r="L75" s="283">
        <f>(SUM(O75:Q75)+(K75+SUM(M75:Q75))*(INDEX($U$72:$AB$72,MATCH(Notes!$C$16,$U$3:$AB$3,0))-100%))*$L$72</f>
        <v>0</v>
      </c>
      <c r="M75" s="286"/>
      <c r="N75" s="286"/>
      <c r="O75" s="285"/>
      <c r="P75" s="285"/>
      <c r="Q75" s="285"/>
      <c r="R75" s="278"/>
      <c r="S75" s="278"/>
      <c r="T75" s="278"/>
      <c r="U75" s="304"/>
    </row>
    <row r="76" spans="1:28" s="305" customFormat="1" ht="14.45" hidden="1" customHeight="1" outlineLevel="1" x14ac:dyDescent="0.25">
      <c r="A76" s="278"/>
      <c r="B76" s="279" t="str">
        <f t="shared" si="26"/>
        <v/>
      </c>
      <c r="C76" s="278"/>
      <c r="D76" s="278"/>
      <c r="E76" s="278"/>
      <c r="F76" s="278"/>
      <c r="G76" s="278"/>
      <c r="H76" s="290"/>
      <c r="I76" s="280">
        <f t="shared" si="27"/>
        <v>0</v>
      </c>
      <c r="J76" s="281">
        <f t="shared" si="28"/>
        <v>0</v>
      </c>
      <c r="K76" s="282">
        <f>IF(Notes!$B$9="Domestic",I76, IF(Notes!$B$9="Commercial",J76))*$K$72</f>
        <v>0</v>
      </c>
      <c r="L76" s="283">
        <f>(SUM(O76:Q76)+(K76+SUM(M76:Q76))*(INDEX($U$72:$AB$72,MATCH(Notes!$C$16,$U$3:$AB$3,0))-100%))*$L$72</f>
        <v>0</v>
      </c>
      <c r="M76" s="286"/>
      <c r="N76" s="286"/>
      <c r="O76" s="285"/>
      <c r="P76" s="285"/>
      <c r="Q76" s="285"/>
      <c r="R76" s="278"/>
      <c r="S76" s="278"/>
      <c r="T76" s="278"/>
    </row>
    <row r="77" spans="1:28" s="305" customFormat="1" ht="14.45" hidden="1" customHeight="1" outlineLevel="1" x14ac:dyDescent="0.25">
      <c r="A77" s="278"/>
      <c r="B77" s="279" t="str">
        <f t="shared" si="26"/>
        <v/>
      </c>
      <c r="C77" s="278"/>
      <c r="D77" s="278"/>
      <c r="E77" s="278"/>
      <c r="F77" s="278"/>
      <c r="G77" s="278"/>
      <c r="H77" s="290"/>
      <c r="I77" s="280">
        <f>$I$2*H77</f>
        <v>0</v>
      </c>
      <c r="J77" s="281">
        <f t="shared" si="28"/>
        <v>0</v>
      </c>
      <c r="K77" s="282">
        <f>IF(Notes!$B$9="Domestic",I77, IF(Notes!$B$9="Commercial",J77))*$K$72</f>
        <v>0</v>
      </c>
      <c r="L77" s="283">
        <f>(SUM(O77:Q77)+(K77+SUM(M77:Q77))*(INDEX($U$72:$AB$72,MATCH(Notes!$C$16,$U$3:$AB$3,0))-100%))*$L$72</f>
        <v>0</v>
      </c>
      <c r="M77" s="286"/>
      <c r="N77" s="286"/>
      <c r="O77" s="285"/>
      <c r="P77" s="285"/>
      <c r="Q77" s="285"/>
      <c r="R77" s="278"/>
      <c r="S77" s="278"/>
      <c r="T77" s="278"/>
    </row>
    <row r="78" spans="1:28" s="305" customFormat="1" ht="14.45" hidden="1" customHeight="1" outlineLevel="1" x14ac:dyDescent="0.25">
      <c r="A78" s="278"/>
      <c r="B78" s="279" t="str">
        <f t="shared" si="26"/>
        <v/>
      </c>
      <c r="C78" s="278"/>
      <c r="D78" s="278"/>
      <c r="E78" s="278"/>
      <c r="F78" s="278"/>
      <c r="G78" s="278"/>
      <c r="H78" s="290"/>
      <c r="I78" s="280">
        <f t="shared" si="27"/>
        <v>0</v>
      </c>
      <c r="J78" s="281">
        <f t="shared" si="28"/>
        <v>0</v>
      </c>
      <c r="K78" s="282">
        <f>IF(Notes!$B$9="Domestic",I78, IF(Notes!$B$9="Commercial",J78))*$K$72</f>
        <v>0</v>
      </c>
      <c r="L78" s="283">
        <f>(SUM(O78:Q78)+(K78+SUM(M78:Q78))*(INDEX($U$72:$AB$72,MATCH(Notes!$C$16,$U$3:$AB$3,0))-100%))*$L$72</f>
        <v>0</v>
      </c>
      <c r="M78" s="286"/>
      <c r="N78" s="286"/>
      <c r="O78" s="285"/>
      <c r="P78" s="285"/>
      <c r="Q78" s="285"/>
      <c r="R78" s="278"/>
      <c r="S78" s="278"/>
      <c r="T78" s="278"/>
    </row>
    <row r="79" spans="1:28" s="305" customFormat="1" hidden="1" outlineLevel="1" x14ac:dyDescent="0.25">
      <c r="A79" s="278"/>
      <c r="B79" s="279" t="str">
        <f t="shared" si="26"/>
        <v/>
      </c>
      <c r="C79" s="278"/>
      <c r="D79" s="278"/>
      <c r="E79" s="278"/>
      <c r="F79" s="278"/>
      <c r="G79" s="278"/>
      <c r="H79" s="290"/>
      <c r="I79" s="280">
        <f t="shared" si="27"/>
        <v>0</v>
      </c>
      <c r="J79" s="281">
        <f t="shared" si="28"/>
        <v>0</v>
      </c>
      <c r="K79" s="282">
        <f>IF(Notes!$B$9="Domestic",I79, IF(Notes!$B$9="Commercial",J79))*$K$72</f>
        <v>0</v>
      </c>
      <c r="L79" s="283">
        <f>(SUM(O79:Q79)+(K79+SUM(M79:Q79))*(INDEX($U$72:$AB$72,MATCH(Notes!$C$16,$U$3:$AB$3,0))-100%))*$L$72</f>
        <v>0</v>
      </c>
      <c r="M79" s="286"/>
      <c r="N79" s="286"/>
      <c r="O79" s="285"/>
      <c r="P79" s="285"/>
      <c r="Q79" s="285"/>
      <c r="R79" s="278"/>
      <c r="S79" s="278"/>
      <c r="T79" s="278"/>
    </row>
    <row r="80" spans="1:28" s="305" customFormat="1" hidden="1" outlineLevel="1" x14ac:dyDescent="0.25">
      <c r="A80" s="278"/>
      <c r="B80" s="279" t="str">
        <f t="shared" si="26"/>
        <v/>
      </c>
      <c r="C80" s="278"/>
      <c r="D80" s="278"/>
      <c r="E80" s="278"/>
      <c r="F80" s="278"/>
      <c r="G80" s="278"/>
      <c r="H80" s="290"/>
      <c r="I80" s="280">
        <f t="shared" si="27"/>
        <v>0</v>
      </c>
      <c r="J80" s="281">
        <f t="shared" si="28"/>
        <v>0</v>
      </c>
      <c r="K80" s="282">
        <f>IF(Notes!$B$9="Domestic",I80, IF(Notes!$B$9="Commercial",J80))*$K$72</f>
        <v>0</v>
      </c>
      <c r="L80" s="283">
        <f>(SUM(O80:Q80)+(K80+SUM(M80:Q80))*(INDEX($U$72:$AB$72,MATCH(Notes!$C$16,$U$3:$AB$3,0))-100%))*$L$72</f>
        <v>0</v>
      </c>
      <c r="M80" s="286"/>
      <c r="N80" s="286"/>
      <c r="O80" s="285"/>
      <c r="P80" s="285"/>
      <c r="Q80" s="285"/>
      <c r="R80" s="278"/>
      <c r="S80" s="278"/>
      <c r="T80" s="278"/>
    </row>
    <row r="81" spans="1:28" s="305" customFormat="1" hidden="1" outlineLevel="1" x14ac:dyDescent="0.25">
      <c r="A81" s="278"/>
      <c r="B81" s="279" t="str">
        <f t="shared" si="26"/>
        <v/>
      </c>
      <c r="C81" s="278"/>
      <c r="D81" s="278"/>
      <c r="E81" s="278"/>
      <c r="F81" s="278"/>
      <c r="G81" s="278"/>
      <c r="H81" s="290"/>
      <c r="I81" s="280">
        <f t="shared" si="27"/>
        <v>0</v>
      </c>
      <c r="J81" s="281">
        <f t="shared" si="28"/>
        <v>0</v>
      </c>
      <c r="K81" s="282">
        <f>IF(Notes!$B$9="Domestic",I81, IF(Notes!$B$9="Commercial",J81))*$K$72</f>
        <v>0</v>
      </c>
      <c r="L81" s="283">
        <f>(SUM(O81:Q81)+(K81+SUM(M81:Q81))*(INDEX($U$72:$AB$72,MATCH(Notes!$C$16,$U$3:$AB$3,0))-100%))*$L$72</f>
        <v>0</v>
      </c>
      <c r="M81" s="286"/>
      <c r="N81" s="286"/>
      <c r="O81" s="285"/>
      <c r="P81" s="285"/>
      <c r="Q81" s="285"/>
      <c r="R81" s="278"/>
      <c r="S81" s="278"/>
      <c r="T81" s="278"/>
    </row>
    <row r="82" spans="1:28" s="305" customFormat="1" hidden="1" outlineLevel="1" x14ac:dyDescent="0.25">
      <c r="A82" s="278"/>
      <c r="B82" s="279" t="str">
        <f t="shared" si="26"/>
        <v/>
      </c>
      <c r="C82" s="278"/>
      <c r="D82" s="278"/>
      <c r="E82" s="278"/>
      <c r="F82" s="278"/>
      <c r="G82" s="278"/>
      <c r="H82" s="290"/>
      <c r="I82" s="280">
        <f t="shared" si="27"/>
        <v>0</v>
      </c>
      <c r="J82" s="281">
        <f t="shared" si="28"/>
        <v>0</v>
      </c>
      <c r="K82" s="282">
        <f>IF(Notes!$B$9="Domestic",I82, IF(Notes!$B$9="Commercial",J82))*$K$72</f>
        <v>0</v>
      </c>
      <c r="L82" s="283">
        <f>(SUM(O82:Q82)+(K82+SUM(M82:Q82))*(INDEX($U$72:$AB$72,MATCH(Notes!$C$16,$U$3:$AB$3,0))-100%))*$L$72</f>
        <v>0</v>
      </c>
      <c r="M82" s="286"/>
      <c r="N82" s="286"/>
      <c r="O82" s="285"/>
      <c r="P82" s="285"/>
      <c r="Q82" s="285"/>
      <c r="R82" s="278"/>
      <c r="S82" s="278"/>
      <c r="T82" s="278"/>
    </row>
    <row r="83" spans="1:28" ht="21" hidden="1" outlineLevel="1" x14ac:dyDescent="0.25">
      <c r="A83" s="299"/>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row>
    <row r="84" spans="1:28" ht="15.75" hidden="1" outlineLevel="1" x14ac:dyDescent="0.25">
      <c r="A84" s="291"/>
      <c r="B84" s="291"/>
      <c r="C84" s="291"/>
      <c r="D84" s="291"/>
      <c r="E84" s="291"/>
      <c r="F84" s="291"/>
      <c r="G84" s="291"/>
      <c r="H84" s="291"/>
      <c r="I84" s="291"/>
      <c r="J84" s="291"/>
      <c r="K84" s="291">
        <f>K$2</f>
        <v>1</v>
      </c>
      <c r="L84" s="291">
        <f>L$2</f>
        <v>1</v>
      </c>
      <c r="M84" s="291"/>
      <c r="N84" s="291"/>
      <c r="O84" s="303"/>
      <c r="P84" s="303"/>
      <c r="Q84" s="303"/>
      <c r="R84" s="291"/>
      <c r="S84" s="291"/>
      <c r="T84" s="291"/>
      <c r="U84" s="291">
        <f>U$2</f>
        <v>1</v>
      </c>
      <c r="V84" s="291">
        <f>V$2</f>
        <v>1</v>
      </c>
      <c r="W84" s="291">
        <f t="shared" ref="W84:AB84" si="29">W$2</f>
        <v>1</v>
      </c>
      <c r="X84" s="291">
        <f t="shared" si="29"/>
        <v>1</v>
      </c>
      <c r="Y84" s="291">
        <f t="shared" si="29"/>
        <v>1</v>
      </c>
      <c r="Z84" s="291">
        <f t="shared" si="29"/>
        <v>1</v>
      </c>
      <c r="AA84" s="291">
        <f t="shared" si="29"/>
        <v>1</v>
      </c>
      <c r="AB84" s="291">
        <f t="shared" si="29"/>
        <v>1</v>
      </c>
    </row>
    <row r="85" spans="1:28" s="305" customFormat="1" hidden="1" outlineLevel="1" x14ac:dyDescent="0.25">
      <c r="A85" s="278"/>
      <c r="B85" s="279" t="str">
        <f>C85&amp;D85&amp;E85&amp;F85</f>
        <v/>
      </c>
      <c r="C85" s="278"/>
      <c r="D85" s="278"/>
      <c r="E85" s="278"/>
      <c r="F85" s="278"/>
      <c r="G85" s="278"/>
      <c r="H85" s="290"/>
      <c r="I85" s="280">
        <f>$I$2*H85</f>
        <v>0</v>
      </c>
      <c r="J85" s="281">
        <f>$J$2*H85</f>
        <v>0</v>
      </c>
      <c r="K85" s="282">
        <f>IF(Notes!$B$9="Domestic",I85, IF(Notes!$B$9="Commercial",J85))*$K$84</f>
        <v>0</v>
      </c>
      <c r="L85" s="283">
        <f>(SUM(O85:Q85)+(K85+SUM(M85:Q85))*(INDEX($U$84:$AB$84,MATCH(Notes!$C$16,$U$3:$AB$3,0))-100%))*$L$84</f>
        <v>0</v>
      </c>
      <c r="M85" s="286"/>
      <c r="N85" s="286"/>
      <c r="O85" s="285"/>
      <c r="P85" s="285"/>
      <c r="Q85" s="285"/>
      <c r="R85" s="278"/>
      <c r="S85" s="278"/>
      <c r="T85" s="278"/>
    </row>
    <row r="86" spans="1:28" s="305" customFormat="1" hidden="1" outlineLevel="1" x14ac:dyDescent="0.25">
      <c r="A86" s="278"/>
      <c r="B86" s="279" t="str">
        <f t="shared" ref="B86:B94" si="30">C86&amp;D86&amp;E86&amp;F86</f>
        <v/>
      </c>
      <c r="C86" s="278"/>
      <c r="D86" s="278"/>
      <c r="E86" s="278"/>
      <c r="F86" s="278"/>
      <c r="G86" s="278"/>
      <c r="H86" s="290"/>
      <c r="I86" s="280">
        <f t="shared" ref="I86:I94" si="31">$I$2*H86</f>
        <v>0</v>
      </c>
      <c r="J86" s="281">
        <f t="shared" ref="J86:J94" si="32">$J$2*H86</f>
        <v>0</v>
      </c>
      <c r="K86" s="282">
        <f>IF(Notes!$B$9="Domestic",I86, IF(Notes!$B$9="Commercial",J86))*$K$84</f>
        <v>0</v>
      </c>
      <c r="L86" s="283">
        <f>(SUM(O86:Q86)+(K86+SUM(M86:Q86))*(INDEX($U$84:$AB$84,MATCH(Notes!$C$16,$U$3:$AB$3,0))-100%))*$L$84</f>
        <v>0</v>
      </c>
      <c r="M86" s="286"/>
      <c r="N86" s="286"/>
      <c r="O86" s="285"/>
      <c r="P86" s="285"/>
      <c r="Q86" s="285"/>
      <c r="R86" s="278"/>
      <c r="S86" s="278"/>
      <c r="T86" s="278"/>
    </row>
    <row r="87" spans="1:28" s="305" customFormat="1" hidden="1" outlineLevel="1" x14ac:dyDescent="0.25">
      <c r="A87" s="278"/>
      <c r="B87" s="279" t="str">
        <f t="shared" si="30"/>
        <v/>
      </c>
      <c r="C87" s="278"/>
      <c r="D87" s="278"/>
      <c r="E87" s="278"/>
      <c r="F87" s="278"/>
      <c r="G87" s="278"/>
      <c r="H87" s="290"/>
      <c r="I87" s="280">
        <f t="shared" si="31"/>
        <v>0</v>
      </c>
      <c r="J87" s="281">
        <f t="shared" si="32"/>
        <v>0</v>
      </c>
      <c r="K87" s="282">
        <f>IF(Notes!$B$9="Domestic",I87, IF(Notes!$B$9="Commercial",J87))*$K$84</f>
        <v>0</v>
      </c>
      <c r="L87" s="283">
        <f>(SUM(O87:Q87)+(K87+SUM(M87:Q87))*(INDEX($U$84:$AB$84,MATCH(Notes!$C$16,$U$3:$AB$3,0))-100%))*$L$84</f>
        <v>0</v>
      </c>
      <c r="M87" s="286"/>
      <c r="N87" s="286"/>
      <c r="O87" s="285"/>
      <c r="P87" s="285"/>
      <c r="Q87" s="285"/>
      <c r="R87" s="278"/>
      <c r="S87" s="278"/>
      <c r="T87" s="278"/>
    </row>
    <row r="88" spans="1:28" s="305" customFormat="1" hidden="1" outlineLevel="1" x14ac:dyDescent="0.25">
      <c r="A88" s="278"/>
      <c r="B88" s="279" t="str">
        <f t="shared" si="30"/>
        <v/>
      </c>
      <c r="C88" s="278"/>
      <c r="D88" s="278"/>
      <c r="E88" s="278"/>
      <c r="F88" s="278"/>
      <c r="G88" s="278"/>
      <c r="H88" s="290"/>
      <c r="I88" s="280">
        <f t="shared" si="31"/>
        <v>0</v>
      </c>
      <c r="J88" s="281">
        <f t="shared" si="32"/>
        <v>0</v>
      </c>
      <c r="K88" s="282">
        <f>IF(Notes!$B$9="Domestic",I88, IF(Notes!$B$9="Commercial",J88))*$K$84</f>
        <v>0</v>
      </c>
      <c r="L88" s="283">
        <f>(SUM(O88:Q88)+(K88+SUM(M88:Q88))*(INDEX($U$84:$AB$84,MATCH(Notes!$C$16,$U$3:$AB$3,0))-100%))*$L$84</f>
        <v>0</v>
      </c>
      <c r="M88" s="286"/>
      <c r="N88" s="286"/>
      <c r="O88" s="285"/>
      <c r="P88" s="285"/>
      <c r="Q88" s="285"/>
      <c r="R88" s="278"/>
      <c r="S88" s="278"/>
      <c r="T88" s="278"/>
    </row>
    <row r="89" spans="1:28" s="305" customFormat="1" hidden="1" outlineLevel="1" x14ac:dyDescent="0.25">
      <c r="A89" s="278"/>
      <c r="B89" s="279" t="str">
        <f t="shared" si="30"/>
        <v/>
      </c>
      <c r="C89" s="278"/>
      <c r="D89" s="278"/>
      <c r="E89" s="278"/>
      <c r="F89" s="278"/>
      <c r="G89" s="278"/>
      <c r="H89" s="290"/>
      <c r="I89" s="280">
        <f>$I$2*H89</f>
        <v>0</v>
      </c>
      <c r="J89" s="281">
        <f t="shared" si="32"/>
        <v>0</v>
      </c>
      <c r="K89" s="282">
        <f>IF(Notes!$B$9="Domestic",I89, IF(Notes!$B$9="Commercial",J89))*$K$84</f>
        <v>0</v>
      </c>
      <c r="L89" s="283">
        <f>(SUM(O89:Q89)+(K89+SUM(M89:Q89))*(INDEX($U$84:$AB$84,MATCH(Notes!$C$16,$U$3:$AB$3,0))-100%))*$L$84</f>
        <v>0</v>
      </c>
      <c r="M89" s="286"/>
      <c r="N89" s="286"/>
      <c r="O89" s="285"/>
      <c r="P89" s="285"/>
      <c r="Q89" s="285"/>
      <c r="R89" s="278"/>
      <c r="S89" s="278"/>
      <c r="T89" s="278"/>
    </row>
    <row r="90" spans="1:28" s="305" customFormat="1" hidden="1" outlineLevel="1" x14ac:dyDescent="0.25">
      <c r="A90" s="278"/>
      <c r="B90" s="279" t="str">
        <f t="shared" si="30"/>
        <v/>
      </c>
      <c r="C90" s="278"/>
      <c r="D90" s="278"/>
      <c r="E90" s="278"/>
      <c r="F90" s="278"/>
      <c r="G90" s="278"/>
      <c r="H90" s="290"/>
      <c r="I90" s="280">
        <f t="shared" si="31"/>
        <v>0</v>
      </c>
      <c r="J90" s="281">
        <f t="shared" si="32"/>
        <v>0</v>
      </c>
      <c r="K90" s="282">
        <f>IF(Notes!$B$9="Domestic",I90, IF(Notes!$B$9="Commercial",J90))*$K$84</f>
        <v>0</v>
      </c>
      <c r="L90" s="283">
        <f>(SUM(O90:Q90)+(K90+SUM(M90:Q90))*(INDEX($U$84:$AB$84,MATCH(Notes!$C$16,$U$3:$AB$3,0))-100%))*$L$84</f>
        <v>0</v>
      </c>
      <c r="M90" s="286"/>
      <c r="N90" s="286"/>
      <c r="O90" s="285"/>
      <c r="P90" s="285"/>
      <c r="Q90" s="285"/>
      <c r="R90" s="278"/>
      <c r="S90" s="278"/>
      <c r="T90" s="278"/>
    </row>
    <row r="91" spans="1:28" s="305" customFormat="1" hidden="1" outlineLevel="1" x14ac:dyDescent="0.25">
      <c r="A91" s="278"/>
      <c r="B91" s="279" t="str">
        <f t="shared" si="30"/>
        <v/>
      </c>
      <c r="C91" s="278"/>
      <c r="D91" s="278"/>
      <c r="E91" s="278"/>
      <c r="F91" s="278"/>
      <c r="G91" s="278"/>
      <c r="H91" s="290"/>
      <c r="I91" s="280">
        <f t="shared" si="31"/>
        <v>0</v>
      </c>
      <c r="J91" s="281">
        <f t="shared" si="32"/>
        <v>0</v>
      </c>
      <c r="K91" s="282">
        <f>IF(Notes!$B$9="Domestic",I91, IF(Notes!$B$9="Commercial",J91))*$K$84</f>
        <v>0</v>
      </c>
      <c r="L91" s="283">
        <f>(SUM(O91:Q91)+(K91+SUM(M91:Q91))*(INDEX($U$84:$AB$84,MATCH(Notes!$C$16,$U$3:$AB$3,0))-100%))*$L$84</f>
        <v>0</v>
      </c>
      <c r="M91" s="286"/>
      <c r="N91" s="286"/>
      <c r="O91" s="285"/>
      <c r="P91" s="285"/>
      <c r="Q91" s="285"/>
      <c r="R91" s="278"/>
      <c r="S91" s="278"/>
      <c r="T91" s="278"/>
    </row>
    <row r="92" spans="1:28" s="305" customFormat="1" hidden="1" outlineLevel="1" x14ac:dyDescent="0.25">
      <c r="A92" s="278"/>
      <c r="B92" s="279" t="str">
        <f t="shared" si="30"/>
        <v/>
      </c>
      <c r="C92" s="278"/>
      <c r="D92" s="278"/>
      <c r="E92" s="278"/>
      <c r="F92" s="278"/>
      <c r="G92" s="278"/>
      <c r="H92" s="290"/>
      <c r="I92" s="280">
        <f t="shared" si="31"/>
        <v>0</v>
      </c>
      <c r="J92" s="281">
        <f t="shared" si="32"/>
        <v>0</v>
      </c>
      <c r="K92" s="282">
        <f>IF(Notes!$B$9="Domestic",I92, IF(Notes!$B$9="Commercial",J92))*$K$84</f>
        <v>0</v>
      </c>
      <c r="L92" s="283">
        <f>(SUM(O92:Q92)+(K92+SUM(M92:Q92))*(INDEX($U$84:$AB$84,MATCH(Notes!$C$16,$U$3:$AB$3,0))-100%))*$L$84</f>
        <v>0</v>
      </c>
      <c r="M92" s="286"/>
      <c r="N92" s="286"/>
      <c r="O92" s="285"/>
      <c r="P92" s="285"/>
      <c r="Q92" s="285"/>
      <c r="R92" s="278"/>
      <c r="S92" s="278"/>
      <c r="T92" s="278"/>
    </row>
    <row r="93" spans="1:28" s="305" customFormat="1" hidden="1" outlineLevel="1" x14ac:dyDescent="0.25">
      <c r="A93" s="278"/>
      <c r="B93" s="279" t="str">
        <f t="shared" si="30"/>
        <v/>
      </c>
      <c r="C93" s="278"/>
      <c r="D93" s="278"/>
      <c r="E93" s="278"/>
      <c r="F93" s="278"/>
      <c r="G93" s="278"/>
      <c r="H93" s="290"/>
      <c r="I93" s="280">
        <f t="shared" si="31"/>
        <v>0</v>
      </c>
      <c r="J93" s="281">
        <f t="shared" si="32"/>
        <v>0</v>
      </c>
      <c r="K93" s="282">
        <f>IF(Notes!$B$9="Domestic",I93, IF(Notes!$B$9="Commercial",J93))*$K$84</f>
        <v>0</v>
      </c>
      <c r="L93" s="283">
        <f>(SUM(O93:Q93)+(K93+SUM(M93:Q93))*(INDEX($U$84:$AB$84,MATCH(Notes!$C$16,$U$3:$AB$3,0))-100%))*$L$84</f>
        <v>0</v>
      </c>
      <c r="M93" s="286"/>
      <c r="N93" s="286"/>
      <c r="O93" s="285"/>
      <c r="P93" s="285"/>
      <c r="Q93" s="285"/>
      <c r="R93" s="278"/>
      <c r="S93" s="278"/>
      <c r="T93" s="278"/>
    </row>
    <row r="94" spans="1:28" s="305" customFormat="1" hidden="1" outlineLevel="1" x14ac:dyDescent="0.25">
      <c r="A94" s="278"/>
      <c r="B94" s="279" t="str">
        <f t="shared" si="30"/>
        <v/>
      </c>
      <c r="C94" s="278"/>
      <c r="D94" s="278"/>
      <c r="E94" s="278"/>
      <c r="F94" s="278"/>
      <c r="G94" s="278"/>
      <c r="H94" s="290"/>
      <c r="I94" s="280">
        <f t="shared" si="31"/>
        <v>0</v>
      </c>
      <c r="J94" s="281">
        <f t="shared" si="32"/>
        <v>0</v>
      </c>
      <c r="K94" s="282">
        <f>IF(Notes!$B$9="Domestic",I94, IF(Notes!$B$9="Commercial",J94))*$K$84</f>
        <v>0</v>
      </c>
      <c r="L94" s="283">
        <f>(SUM(O94:Q94)+(K94+SUM(M94:Q94))*(INDEX($U$84:$AB$84,MATCH(Notes!$C$16,$U$3:$AB$3,0))-100%))*$L$84</f>
        <v>0</v>
      </c>
      <c r="M94" s="286"/>
      <c r="N94" s="286"/>
      <c r="O94" s="285"/>
      <c r="P94" s="285"/>
      <c r="Q94" s="285"/>
      <c r="R94" s="278"/>
      <c r="S94" s="278"/>
      <c r="T94" s="278"/>
    </row>
    <row r="95" spans="1:28" ht="21" hidden="1" outlineLevel="1" x14ac:dyDescent="0.25">
      <c r="A95" s="299"/>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row>
    <row r="96" spans="1:28" ht="15.75" hidden="1" outlineLevel="1" x14ac:dyDescent="0.25">
      <c r="A96" s="291"/>
      <c r="B96" s="291"/>
      <c r="C96" s="291"/>
      <c r="D96" s="291"/>
      <c r="E96" s="291"/>
      <c r="F96" s="291"/>
      <c r="G96" s="291"/>
      <c r="H96" s="291"/>
      <c r="I96" s="291"/>
      <c r="J96" s="291"/>
      <c r="K96" s="291">
        <f>K$2</f>
        <v>1</v>
      </c>
      <c r="L96" s="291">
        <f>L$2</f>
        <v>1</v>
      </c>
      <c r="M96" s="291"/>
      <c r="N96" s="291"/>
      <c r="O96" s="303"/>
      <c r="P96" s="303"/>
      <c r="Q96" s="303"/>
      <c r="R96" s="291"/>
      <c r="S96" s="291"/>
      <c r="T96" s="291"/>
      <c r="U96" s="291">
        <f>U$2</f>
        <v>1</v>
      </c>
      <c r="V96" s="291">
        <f>V$2</f>
        <v>1</v>
      </c>
      <c r="W96" s="291">
        <f t="shared" ref="W96:AB96" si="33">W$2</f>
        <v>1</v>
      </c>
      <c r="X96" s="291">
        <f t="shared" si="33"/>
        <v>1</v>
      </c>
      <c r="Y96" s="291">
        <f t="shared" si="33"/>
        <v>1</v>
      </c>
      <c r="Z96" s="291">
        <f t="shared" si="33"/>
        <v>1</v>
      </c>
      <c r="AA96" s="291">
        <f t="shared" si="33"/>
        <v>1</v>
      </c>
      <c r="AB96" s="291">
        <f t="shared" si="33"/>
        <v>1</v>
      </c>
    </row>
    <row r="97" spans="1:28" s="305" customFormat="1" hidden="1" outlineLevel="1" x14ac:dyDescent="0.25">
      <c r="A97" s="278"/>
      <c r="B97" s="279" t="str">
        <f>C97&amp;D97&amp;E97&amp;F97</f>
        <v/>
      </c>
      <c r="C97" s="278"/>
      <c r="D97" s="278"/>
      <c r="E97" s="278"/>
      <c r="F97" s="278"/>
      <c r="G97" s="278"/>
      <c r="H97" s="290"/>
      <c r="I97" s="280">
        <f>$I$2*H97</f>
        <v>0</v>
      </c>
      <c r="J97" s="281">
        <f>$J$2*H97</f>
        <v>0</v>
      </c>
      <c r="K97" s="282">
        <f>IF(Notes!$B$9="Domestic",I97, IF(Notes!$B$9="Commercial",J97))*$K$96</f>
        <v>0</v>
      </c>
      <c r="L97" s="283">
        <f>(SUM(O97:Q97)+(K97+SUM(M97:Q97))*(INDEX($U$96:$AB$96,MATCH(Notes!$C$16,$U$3:$AB$3,0))-100%))*$L$96</f>
        <v>0</v>
      </c>
      <c r="M97" s="286"/>
      <c r="N97" s="286"/>
      <c r="O97" s="285"/>
      <c r="P97" s="285"/>
      <c r="Q97" s="285"/>
      <c r="R97" s="278"/>
      <c r="S97" s="278"/>
      <c r="T97" s="278"/>
    </row>
    <row r="98" spans="1:28" s="305" customFormat="1" hidden="1" outlineLevel="1" x14ac:dyDescent="0.25">
      <c r="A98" s="278"/>
      <c r="B98" s="279" t="str">
        <f t="shared" ref="B98:B106" si="34">C98&amp;D98&amp;E98&amp;F98</f>
        <v/>
      </c>
      <c r="C98" s="278"/>
      <c r="D98" s="278"/>
      <c r="E98" s="278"/>
      <c r="F98" s="278"/>
      <c r="G98" s="278"/>
      <c r="H98" s="290"/>
      <c r="I98" s="280">
        <f t="shared" ref="I98:I106" si="35">$I$2*H98</f>
        <v>0</v>
      </c>
      <c r="J98" s="281">
        <f t="shared" ref="J98:J106" si="36">$J$2*H98</f>
        <v>0</v>
      </c>
      <c r="K98" s="282">
        <f>IF(Notes!$B$9="Domestic",I98, IF(Notes!$B$9="Commercial",J98))*$K$96</f>
        <v>0</v>
      </c>
      <c r="L98" s="283">
        <f>(SUM(O98:Q98)+(K98+SUM(M98:Q98))*(INDEX($U$96:$AB$96,MATCH(Notes!$C$16,$U$3:$AB$3,0))-100%))*$L$96</f>
        <v>0</v>
      </c>
      <c r="M98" s="286"/>
      <c r="N98" s="286"/>
      <c r="O98" s="285"/>
      <c r="P98" s="285"/>
      <c r="Q98" s="285"/>
      <c r="R98" s="278"/>
      <c r="S98" s="278"/>
      <c r="T98" s="278"/>
    </row>
    <row r="99" spans="1:28" s="305" customFormat="1" hidden="1" outlineLevel="1" x14ac:dyDescent="0.25">
      <c r="A99" s="278"/>
      <c r="B99" s="279" t="str">
        <f t="shared" si="34"/>
        <v/>
      </c>
      <c r="C99" s="278"/>
      <c r="D99" s="278"/>
      <c r="E99" s="278"/>
      <c r="F99" s="278"/>
      <c r="G99" s="278"/>
      <c r="H99" s="290"/>
      <c r="I99" s="280">
        <f t="shared" si="35"/>
        <v>0</v>
      </c>
      <c r="J99" s="281">
        <f t="shared" si="36"/>
        <v>0</v>
      </c>
      <c r="K99" s="282">
        <f>IF(Notes!$B$9="Domestic",I99, IF(Notes!$B$9="Commercial",J99))*$K$96</f>
        <v>0</v>
      </c>
      <c r="L99" s="283">
        <f>(SUM(O99:Q99)+(K99+SUM(M99:Q99))*(INDEX($U$96:$AB$96,MATCH(Notes!$C$16,$U$3:$AB$3,0))-100%))*$L$96</f>
        <v>0</v>
      </c>
      <c r="M99" s="286"/>
      <c r="N99" s="286"/>
      <c r="O99" s="285"/>
      <c r="P99" s="285"/>
      <c r="Q99" s="285"/>
      <c r="R99" s="278"/>
      <c r="S99" s="278"/>
      <c r="T99" s="278"/>
    </row>
    <row r="100" spans="1:28" s="305" customFormat="1" hidden="1" outlineLevel="1" x14ac:dyDescent="0.25">
      <c r="A100" s="278"/>
      <c r="B100" s="279" t="str">
        <f t="shared" si="34"/>
        <v/>
      </c>
      <c r="C100" s="278"/>
      <c r="D100" s="278"/>
      <c r="E100" s="278"/>
      <c r="F100" s="278"/>
      <c r="G100" s="278"/>
      <c r="H100" s="290"/>
      <c r="I100" s="280">
        <f t="shared" si="35"/>
        <v>0</v>
      </c>
      <c r="J100" s="281">
        <f t="shared" si="36"/>
        <v>0</v>
      </c>
      <c r="K100" s="282">
        <f>IF(Notes!$B$9="Domestic",I100, IF(Notes!$B$9="Commercial",J100))*$K$96</f>
        <v>0</v>
      </c>
      <c r="L100" s="283">
        <f>(SUM(O100:Q100)+(K100+SUM(M100:Q100))*(INDEX($U$96:$AB$96,MATCH(Notes!$C$16,$U$3:$AB$3,0))-100%))*$L$96</f>
        <v>0</v>
      </c>
      <c r="M100" s="286"/>
      <c r="N100" s="286"/>
      <c r="O100" s="285"/>
      <c r="P100" s="285"/>
      <c r="Q100" s="285"/>
      <c r="R100" s="278"/>
      <c r="S100" s="278"/>
      <c r="T100" s="278"/>
    </row>
    <row r="101" spans="1:28" s="305" customFormat="1" hidden="1" outlineLevel="1" x14ac:dyDescent="0.25">
      <c r="A101" s="278"/>
      <c r="B101" s="279" t="str">
        <f t="shared" si="34"/>
        <v/>
      </c>
      <c r="C101" s="278"/>
      <c r="D101" s="278"/>
      <c r="E101" s="278"/>
      <c r="F101" s="278"/>
      <c r="G101" s="278"/>
      <c r="H101" s="290"/>
      <c r="I101" s="280">
        <f>$I$2*H101</f>
        <v>0</v>
      </c>
      <c r="J101" s="281">
        <f t="shared" si="36"/>
        <v>0</v>
      </c>
      <c r="K101" s="282">
        <f>IF(Notes!$B$9="Domestic",I101, IF(Notes!$B$9="Commercial",J101))*$K$96</f>
        <v>0</v>
      </c>
      <c r="L101" s="283">
        <f>(SUM(O101:Q101)+(K101+SUM(M101:Q101))*(INDEX($U$96:$AB$96,MATCH(Notes!$C$16,$U$3:$AB$3,0))-100%))*$L$96</f>
        <v>0</v>
      </c>
      <c r="M101" s="286"/>
      <c r="N101" s="286"/>
      <c r="O101" s="285"/>
      <c r="P101" s="285"/>
      <c r="Q101" s="285"/>
      <c r="R101" s="278"/>
      <c r="S101" s="278"/>
      <c r="T101" s="278"/>
    </row>
    <row r="102" spans="1:28" s="305" customFormat="1" hidden="1" outlineLevel="1" x14ac:dyDescent="0.25">
      <c r="A102" s="278"/>
      <c r="B102" s="279" t="str">
        <f t="shared" si="34"/>
        <v/>
      </c>
      <c r="C102" s="278"/>
      <c r="D102" s="278"/>
      <c r="E102" s="278"/>
      <c r="F102" s="278"/>
      <c r="G102" s="278"/>
      <c r="H102" s="290"/>
      <c r="I102" s="280">
        <f t="shared" si="35"/>
        <v>0</v>
      </c>
      <c r="J102" s="281">
        <f t="shared" si="36"/>
        <v>0</v>
      </c>
      <c r="K102" s="282">
        <f>IF(Notes!$B$9="Domestic",I102, IF(Notes!$B$9="Commercial",J102))*$K$96</f>
        <v>0</v>
      </c>
      <c r="L102" s="283">
        <f>(SUM(O102:Q102)+(K102+SUM(M102:Q102))*(INDEX($U$96:$AB$96,MATCH(Notes!$C$16,$U$3:$AB$3,0))-100%))*$L$96</f>
        <v>0</v>
      </c>
      <c r="M102" s="286"/>
      <c r="N102" s="286"/>
      <c r="O102" s="285"/>
      <c r="P102" s="285"/>
      <c r="Q102" s="285"/>
      <c r="R102" s="278"/>
      <c r="S102" s="278"/>
      <c r="T102" s="278"/>
    </row>
    <row r="103" spans="1:28" s="305" customFormat="1" hidden="1" outlineLevel="1" x14ac:dyDescent="0.25">
      <c r="A103" s="278"/>
      <c r="B103" s="279" t="str">
        <f t="shared" si="34"/>
        <v/>
      </c>
      <c r="C103" s="278"/>
      <c r="D103" s="278"/>
      <c r="E103" s="278"/>
      <c r="F103" s="278"/>
      <c r="G103" s="278"/>
      <c r="H103" s="290"/>
      <c r="I103" s="280">
        <f t="shared" si="35"/>
        <v>0</v>
      </c>
      <c r="J103" s="281">
        <f t="shared" si="36"/>
        <v>0</v>
      </c>
      <c r="K103" s="282">
        <f>IF(Notes!$B$9="Domestic",I103, IF(Notes!$B$9="Commercial",J103))*$K$96</f>
        <v>0</v>
      </c>
      <c r="L103" s="283">
        <f>(SUM(O103:Q103)+(K103+SUM(M103:Q103))*(INDEX($U$96:$AB$96,MATCH(Notes!$C$16,$U$3:$AB$3,0))-100%))*$L$96</f>
        <v>0</v>
      </c>
      <c r="M103" s="286"/>
      <c r="N103" s="286"/>
      <c r="O103" s="285"/>
      <c r="P103" s="285"/>
      <c r="Q103" s="285"/>
      <c r="R103" s="278"/>
      <c r="S103" s="278"/>
      <c r="T103" s="278"/>
    </row>
    <row r="104" spans="1:28" s="305" customFormat="1" hidden="1" outlineLevel="1" x14ac:dyDescent="0.25">
      <c r="A104" s="278"/>
      <c r="B104" s="279" t="str">
        <f t="shared" si="34"/>
        <v/>
      </c>
      <c r="C104" s="278"/>
      <c r="D104" s="278"/>
      <c r="E104" s="278"/>
      <c r="F104" s="278"/>
      <c r="G104" s="278"/>
      <c r="H104" s="290"/>
      <c r="I104" s="280">
        <f t="shared" si="35"/>
        <v>0</v>
      </c>
      <c r="J104" s="281">
        <f t="shared" si="36"/>
        <v>0</v>
      </c>
      <c r="K104" s="282">
        <f>IF(Notes!$B$9="Domestic",I104, IF(Notes!$B$9="Commercial",J104))*$K$96</f>
        <v>0</v>
      </c>
      <c r="L104" s="283">
        <f>(SUM(O104:Q104)+(K104+SUM(M104:Q104))*(INDEX($U$96:$AB$96,MATCH(Notes!$C$16,$U$3:$AB$3,0))-100%))*$L$96</f>
        <v>0</v>
      </c>
      <c r="M104" s="286"/>
      <c r="N104" s="286"/>
      <c r="O104" s="285"/>
      <c r="P104" s="285"/>
      <c r="Q104" s="285"/>
      <c r="R104" s="278"/>
      <c r="S104" s="278"/>
      <c r="T104" s="278"/>
    </row>
    <row r="105" spans="1:28" s="305" customFormat="1" hidden="1" outlineLevel="1" x14ac:dyDescent="0.25">
      <c r="A105" s="278"/>
      <c r="B105" s="279" t="str">
        <f t="shared" si="34"/>
        <v/>
      </c>
      <c r="C105" s="278"/>
      <c r="D105" s="278"/>
      <c r="E105" s="278"/>
      <c r="F105" s="278"/>
      <c r="G105" s="278"/>
      <c r="H105" s="290"/>
      <c r="I105" s="280">
        <f t="shared" si="35"/>
        <v>0</v>
      </c>
      <c r="J105" s="281">
        <f t="shared" si="36"/>
        <v>0</v>
      </c>
      <c r="K105" s="282">
        <f>IF(Notes!$B$9="Domestic",I105, IF(Notes!$B$9="Commercial",J105))*$K$96</f>
        <v>0</v>
      </c>
      <c r="L105" s="283">
        <f>(SUM(O105:Q105)+(K105+SUM(M105:Q105))*(INDEX($U$96:$AB$96,MATCH(Notes!$C$16,$U$3:$AB$3,0))-100%))*$L$96</f>
        <v>0</v>
      </c>
      <c r="M105" s="286"/>
      <c r="N105" s="286"/>
      <c r="O105" s="285"/>
      <c r="P105" s="285"/>
      <c r="Q105" s="285"/>
      <c r="R105" s="278"/>
      <c r="S105" s="278"/>
      <c r="T105" s="278"/>
    </row>
    <row r="106" spans="1:28" s="305" customFormat="1" hidden="1" outlineLevel="1" x14ac:dyDescent="0.25">
      <c r="A106" s="278"/>
      <c r="B106" s="279" t="str">
        <f t="shared" si="34"/>
        <v/>
      </c>
      <c r="C106" s="278"/>
      <c r="D106" s="278"/>
      <c r="E106" s="278"/>
      <c r="F106" s="278"/>
      <c r="G106" s="278"/>
      <c r="H106" s="290"/>
      <c r="I106" s="280">
        <f t="shared" si="35"/>
        <v>0</v>
      </c>
      <c r="J106" s="281">
        <f t="shared" si="36"/>
        <v>0</v>
      </c>
      <c r="K106" s="282">
        <f>IF(Notes!$B$9="Domestic",I106, IF(Notes!$B$9="Commercial",J106))*$K$96</f>
        <v>0</v>
      </c>
      <c r="L106" s="283">
        <f>(SUM(O106:Q106)+(K106+SUM(M106:Q106))*(INDEX($U$96:$AB$96,MATCH(Notes!$C$16,$U$3:$AB$3,0))-100%))*$L$96</f>
        <v>0</v>
      </c>
      <c r="M106" s="286"/>
      <c r="N106" s="286"/>
      <c r="O106" s="285"/>
      <c r="P106" s="285"/>
      <c r="Q106" s="285"/>
      <c r="R106" s="278"/>
      <c r="S106" s="278"/>
      <c r="T106" s="278"/>
    </row>
    <row r="107" spans="1:28" ht="21" hidden="1" outlineLevel="1" x14ac:dyDescent="0.25">
      <c r="A107" s="299"/>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row>
    <row r="108" spans="1:28" ht="15.75" hidden="1" outlineLevel="1" x14ac:dyDescent="0.25">
      <c r="A108" s="291"/>
      <c r="B108" s="291"/>
      <c r="C108" s="291"/>
      <c r="D108" s="291"/>
      <c r="E108" s="291"/>
      <c r="F108" s="291"/>
      <c r="G108" s="291"/>
      <c r="H108" s="291"/>
      <c r="I108" s="291"/>
      <c r="J108" s="291"/>
      <c r="K108" s="291">
        <f>K$2</f>
        <v>1</v>
      </c>
      <c r="L108" s="291">
        <f>L$2</f>
        <v>1</v>
      </c>
      <c r="M108" s="291"/>
      <c r="N108" s="291"/>
      <c r="O108" s="303"/>
      <c r="P108" s="303"/>
      <c r="Q108" s="303"/>
      <c r="R108" s="291"/>
      <c r="S108" s="291"/>
      <c r="T108" s="291"/>
      <c r="U108" s="291">
        <f>U$2</f>
        <v>1</v>
      </c>
      <c r="V108" s="291">
        <f>V$2</f>
        <v>1</v>
      </c>
      <c r="W108" s="291">
        <f t="shared" ref="W108:AB108" si="37">W$2</f>
        <v>1</v>
      </c>
      <c r="X108" s="291">
        <f t="shared" si="37"/>
        <v>1</v>
      </c>
      <c r="Y108" s="291">
        <f t="shared" si="37"/>
        <v>1</v>
      </c>
      <c r="Z108" s="291">
        <f t="shared" si="37"/>
        <v>1</v>
      </c>
      <c r="AA108" s="291">
        <f t="shared" si="37"/>
        <v>1</v>
      </c>
      <c r="AB108" s="291">
        <f t="shared" si="37"/>
        <v>1</v>
      </c>
    </row>
    <row r="109" spans="1:28" s="305" customFormat="1" hidden="1" outlineLevel="1" x14ac:dyDescent="0.25">
      <c r="A109" s="278"/>
      <c r="B109" s="279" t="str">
        <f>C109&amp;D109&amp;E109&amp;F109</f>
        <v/>
      </c>
      <c r="C109" s="278"/>
      <c r="D109" s="278"/>
      <c r="E109" s="278"/>
      <c r="F109" s="278"/>
      <c r="G109" s="278"/>
      <c r="H109" s="290"/>
      <c r="I109" s="280">
        <f>$I$2*H109</f>
        <v>0</v>
      </c>
      <c r="J109" s="281">
        <f>$J$2*H109</f>
        <v>0</v>
      </c>
      <c r="K109" s="282">
        <f>IF(Notes!$B$9="Domestic",I109, IF(Notes!$B$9="Commercial",J109))*$K$108</f>
        <v>0</v>
      </c>
      <c r="L109" s="283">
        <f>(SUM(O109:Q109)+(K109+SUM(M109:Q109))*(INDEX($U$108:$AB$108,MATCH(Notes!$C$16,$U$3:$AB$3,0))-100%))*$L$108</f>
        <v>0</v>
      </c>
      <c r="M109" s="286"/>
      <c r="N109" s="286"/>
      <c r="O109" s="285"/>
      <c r="P109" s="285"/>
      <c r="Q109" s="285"/>
      <c r="R109" s="278"/>
      <c r="S109" s="278"/>
      <c r="T109" s="278"/>
    </row>
    <row r="110" spans="1:28" s="305" customFormat="1" hidden="1" outlineLevel="1" x14ac:dyDescent="0.25">
      <c r="A110" s="278"/>
      <c r="B110" s="279" t="str">
        <f t="shared" ref="B110:B118" si="38">C110&amp;D110&amp;E110&amp;F110</f>
        <v/>
      </c>
      <c r="C110" s="278"/>
      <c r="D110" s="278"/>
      <c r="E110" s="278"/>
      <c r="F110" s="278"/>
      <c r="G110" s="278"/>
      <c r="H110" s="290"/>
      <c r="I110" s="280">
        <f t="shared" ref="I110:I118" si="39">$I$2*H110</f>
        <v>0</v>
      </c>
      <c r="J110" s="281">
        <f t="shared" ref="J110:J118" si="40">$J$2*H110</f>
        <v>0</v>
      </c>
      <c r="K110" s="282">
        <f>IF(Notes!$B$9="Domestic",I110, IF(Notes!$B$9="Commercial",J110))*$K$108</f>
        <v>0</v>
      </c>
      <c r="L110" s="283">
        <f>(SUM(O110:Q110)+(K110+SUM(M110:Q110))*(INDEX($U$108:$AB$108,MATCH(Notes!$C$16,$U$3:$AB$3,0))-100%))*$L$108</f>
        <v>0</v>
      </c>
      <c r="M110" s="286"/>
      <c r="N110" s="286"/>
      <c r="O110" s="285"/>
      <c r="P110" s="285"/>
      <c r="Q110" s="285"/>
      <c r="R110" s="278"/>
      <c r="S110" s="278"/>
      <c r="T110" s="278"/>
    </row>
    <row r="111" spans="1:28" s="305" customFormat="1" hidden="1" outlineLevel="1" x14ac:dyDescent="0.25">
      <c r="A111" s="278"/>
      <c r="B111" s="279" t="str">
        <f t="shared" si="38"/>
        <v/>
      </c>
      <c r="C111" s="278"/>
      <c r="D111" s="278"/>
      <c r="E111" s="278"/>
      <c r="F111" s="278"/>
      <c r="G111" s="278"/>
      <c r="H111" s="290"/>
      <c r="I111" s="280">
        <f t="shared" si="39"/>
        <v>0</v>
      </c>
      <c r="J111" s="281">
        <f t="shared" si="40"/>
        <v>0</v>
      </c>
      <c r="K111" s="282">
        <f>IF(Notes!$B$9="Domestic",I111, IF(Notes!$B$9="Commercial",J111))*$K$108</f>
        <v>0</v>
      </c>
      <c r="L111" s="283">
        <f>(SUM(O111:Q111)+(K111+SUM(M111:Q111))*(INDEX($U$108:$AB$108,MATCH(Notes!$C$16,$U$3:$AB$3,0))-100%))*$L$108</f>
        <v>0</v>
      </c>
      <c r="M111" s="286"/>
      <c r="N111" s="286"/>
      <c r="O111" s="285"/>
      <c r="P111" s="285"/>
      <c r="Q111" s="285"/>
      <c r="R111" s="278"/>
      <c r="S111" s="278"/>
      <c r="T111" s="278"/>
    </row>
    <row r="112" spans="1:28" s="305" customFormat="1" hidden="1" outlineLevel="1" x14ac:dyDescent="0.25">
      <c r="A112" s="278"/>
      <c r="B112" s="279" t="str">
        <f t="shared" si="38"/>
        <v/>
      </c>
      <c r="C112" s="278"/>
      <c r="D112" s="278"/>
      <c r="E112" s="278"/>
      <c r="F112" s="278"/>
      <c r="G112" s="278"/>
      <c r="H112" s="290"/>
      <c r="I112" s="280">
        <f t="shared" si="39"/>
        <v>0</v>
      </c>
      <c r="J112" s="281">
        <f t="shared" si="40"/>
        <v>0</v>
      </c>
      <c r="K112" s="282">
        <f>IF(Notes!$B$9="Domestic",I112, IF(Notes!$B$9="Commercial",J112))*$K$108</f>
        <v>0</v>
      </c>
      <c r="L112" s="283">
        <f>(SUM(O112:Q112)+(K112+SUM(M112:Q112))*(INDEX($U$108:$AB$108,MATCH(Notes!$C$16,$U$3:$AB$3,0))-100%))*$L$108</f>
        <v>0</v>
      </c>
      <c r="M112" s="286"/>
      <c r="N112" s="286"/>
      <c r="O112" s="285"/>
      <c r="P112" s="285"/>
      <c r="Q112" s="285"/>
      <c r="R112" s="278"/>
      <c r="S112" s="278"/>
      <c r="T112" s="278"/>
    </row>
    <row r="113" spans="1:28" s="305" customFormat="1" hidden="1" outlineLevel="1" x14ac:dyDescent="0.25">
      <c r="A113" s="278"/>
      <c r="B113" s="279" t="str">
        <f t="shared" si="38"/>
        <v/>
      </c>
      <c r="C113" s="278"/>
      <c r="D113" s="278"/>
      <c r="E113" s="278"/>
      <c r="F113" s="278"/>
      <c r="G113" s="278"/>
      <c r="H113" s="290"/>
      <c r="I113" s="280">
        <f>$I$2*H113</f>
        <v>0</v>
      </c>
      <c r="J113" s="281">
        <f t="shared" si="40"/>
        <v>0</v>
      </c>
      <c r="K113" s="282">
        <f>IF(Notes!$B$9="Domestic",I113, IF(Notes!$B$9="Commercial",J113))*$K$108</f>
        <v>0</v>
      </c>
      <c r="L113" s="283">
        <f>(SUM(O113:Q113)+(K113+SUM(M113:Q113))*(INDEX($U$108:$AB$108,MATCH(Notes!$C$16,$U$3:$AB$3,0))-100%))*$L$108</f>
        <v>0</v>
      </c>
      <c r="M113" s="286"/>
      <c r="N113" s="286"/>
      <c r="O113" s="285"/>
      <c r="P113" s="285"/>
      <c r="Q113" s="285"/>
      <c r="R113" s="278"/>
      <c r="S113" s="278"/>
      <c r="T113" s="278"/>
    </row>
    <row r="114" spans="1:28" s="305" customFormat="1" hidden="1" outlineLevel="1" x14ac:dyDescent="0.25">
      <c r="A114" s="278"/>
      <c r="B114" s="279" t="str">
        <f t="shared" si="38"/>
        <v/>
      </c>
      <c r="C114" s="278"/>
      <c r="D114" s="278"/>
      <c r="E114" s="278"/>
      <c r="F114" s="278"/>
      <c r="G114" s="278"/>
      <c r="H114" s="290"/>
      <c r="I114" s="280">
        <f t="shared" si="39"/>
        <v>0</v>
      </c>
      <c r="J114" s="281">
        <f t="shared" si="40"/>
        <v>0</v>
      </c>
      <c r="K114" s="282">
        <f>IF(Notes!$B$9="Domestic",I114, IF(Notes!$B$9="Commercial",J114))*$K$108</f>
        <v>0</v>
      </c>
      <c r="L114" s="283">
        <f>(SUM(O114:Q114)+(K114+SUM(M114:Q114))*(INDEX($U$108:$AB$108,MATCH(Notes!$C$16,$U$3:$AB$3,0))-100%))*$L$108</f>
        <v>0</v>
      </c>
      <c r="M114" s="286"/>
      <c r="N114" s="286"/>
      <c r="O114" s="285"/>
      <c r="P114" s="285"/>
      <c r="Q114" s="285"/>
      <c r="R114" s="278"/>
      <c r="S114" s="278"/>
      <c r="T114" s="278"/>
    </row>
    <row r="115" spans="1:28" s="305" customFormat="1" hidden="1" outlineLevel="1" x14ac:dyDescent="0.25">
      <c r="A115" s="278"/>
      <c r="B115" s="279" t="str">
        <f t="shared" si="38"/>
        <v/>
      </c>
      <c r="C115" s="278"/>
      <c r="D115" s="278"/>
      <c r="E115" s="278"/>
      <c r="F115" s="278"/>
      <c r="G115" s="278"/>
      <c r="H115" s="290"/>
      <c r="I115" s="280">
        <f t="shared" si="39"/>
        <v>0</v>
      </c>
      <c r="J115" s="281">
        <f t="shared" si="40"/>
        <v>0</v>
      </c>
      <c r="K115" s="282">
        <f>IF(Notes!$B$9="Domestic",I115, IF(Notes!$B$9="Commercial",J115))*$K$108</f>
        <v>0</v>
      </c>
      <c r="L115" s="283">
        <f>(SUM(O115:Q115)+(K115+SUM(M115:Q115))*(INDEX($U$108:$AB$108,MATCH(Notes!$C$16,$U$3:$AB$3,0))-100%))*$L$108</f>
        <v>0</v>
      </c>
      <c r="M115" s="286"/>
      <c r="N115" s="286"/>
      <c r="O115" s="285"/>
      <c r="P115" s="285"/>
      <c r="Q115" s="285"/>
      <c r="R115" s="278"/>
      <c r="S115" s="278"/>
      <c r="T115" s="278"/>
    </row>
    <row r="116" spans="1:28" s="305" customFormat="1" hidden="1" outlineLevel="1" x14ac:dyDescent="0.25">
      <c r="A116" s="278"/>
      <c r="B116" s="279" t="str">
        <f t="shared" si="38"/>
        <v/>
      </c>
      <c r="C116" s="278"/>
      <c r="D116" s="278"/>
      <c r="E116" s="278"/>
      <c r="F116" s="278"/>
      <c r="G116" s="278"/>
      <c r="H116" s="290"/>
      <c r="I116" s="280">
        <f t="shared" si="39"/>
        <v>0</v>
      </c>
      <c r="J116" s="281">
        <f t="shared" si="40"/>
        <v>0</v>
      </c>
      <c r="K116" s="282">
        <f>IF(Notes!$B$9="Domestic",I116, IF(Notes!$B$9="Commercial",J116))*$K$108</f>
        <v>0</v>
      </c>
      <c r="L116" s="283">
        <f>(SUM(O116:Q116)+(K116+SUM(M116:Q116))*(INDEX($U$108:$AB$108,MATCH(Notes!$C$16,$U$3:$AB$3,0))-100%))*$L$108</f>
        <v>0</v>
      </c>
      <c r="M116" s="286"/>
      <c r="N116" s="286"/>
      <c r="O116" s="285"/>
      <c r="P116" s="285"/>
      <c r="Q116" s="285"/>
      <c r="R116" s="278"/>
      <c r="S116" s="278"/>
      <c r="T116" s="278"/>
    </row>
    <row r="117" spans="1:28" s="305" customFormat="1" hidden="1" outlineLevel="1" x14ac:dyDescent="0.25">
      <c r="A117" s="278"/>
      <c r="B117" s="279" t="str">
        <f t="shared" si="38"/>
        <v/>
      </c>
      <c r="C117" s="278"/>
      <c r="D117" s="278"/>
      <c r="E117" s="278"/>
      <c r="F117" s="278"/>
      <c r="G117" s="278"/>
      <c r="H117" s="290"/>
      <c r="I117" s="280">
        <f t="shared" si="39"/>
        <v>0</v>
      </c>
      <c r="J117" s="281">
        <f t="shared" si="40"/>
        <v>0</v>
      </c>
      <c r="K117" s="282">
        <f>IF(Notes!$B$9="Domestic",I117, IF(Notes!$B$9="Commercial",J117))*$K$108</f>
        <v>0</v>
      </c>
      <c r="L117" s="283">
        <f>(SUM(O117:Q117)+(K117+SUM(M117:Q117))*(INDEX($U$108:$AB$108,MATCH(Notes!$C$16,$U$3:$AB$3,0))-100%))*$L$108</f>
        <v>0</v>
      </c>
      <c r="M117" s="286"/>
      <c r="N117" s="286"/>
      <c r="O117" s="285"/>
      <c r="P117" s="285"/>
      <c r="Q117" s="285"/>
      <c r="R117" s="278"/>
      <c r="S117" s="278"/>
      <c r="T117" s="278"/>
    </row>
    <row r="118" spans="1:28" s="305" customFormat="1" hidden="1" outlineLevel="1" x14ac:dyDescent="0.25">
      <c r="A118" s="278"/>
      <c r="B118" s="279" t="str">
        <f t="shared" si="38"/>
        <v/>
      </c>
      <c r="C118" s="278"/>
      <c r="D118" s="278"/>
      <c r="E118" s="278"/>
      <c r="F118" s="278"/>
      <c r="G118" s="278"/>
      <c r="H118" s="290"/>
      <c r="I118" s="280">
        <f t="shared" si="39"/>
        <v>0</v>
      </c>
      <c r="J118" s="281">
        <f t="shared" si="40"/>
        <v>0</v>
      </c>
      <c r="K118" s="282">
        <f>IF(Notes!$B$9="Domestic",I118, IF(Notes!$B$9="Commercial",J118))*$K$108</f>
        <v>0</v>
      </c>
      <c r="L118" s="283">
        <f>(SUM(O118:Q118)+(K118+SUM(M118:Q118))*(INDEX($U$108:$AB$108,MATCH(Notes!$C$16,$U$3:$AB$3,0))-100%))*$L$108</f>
        <v>0</v>
      </c>
      <c r="M118" s="286"/>
      <c r="N118" s="286"/>
      <c r="O118" s="285"/>
      <c r="P118" s="285"/>
      <c r="Q118" s="285"/>
      <c r="R118" s="278"/>
      <c r="S118" s="278"/>
      <c r="T118" s="278"/>
    </row>
    <row r="119" spans="1:28" ht="21" hidden="1" outlineLevel="1" x14ac:dyDescent="0.25">
      <c r="A119" s="299"/>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row>
    <row r="120" spans="1:28" ht="15.75" hidden="1" outlineLevel="1" x14ac:dyDescent="0.25">
      <c r="A120" s="291"/>
      <c r="B120" s="291"/>
      <c r="C120" s="291"/>
      <c r="D120" s="291"/>
      <c r="E120" s="291"/>
      <c r="F120" s="291"/>
      <c r="G120" s="291"/>
      <c r="H120" s="291"/>
      <c r="I120" s="291"/>
      <c r="J120" s="291"/>
      <c r="K120" s="291">
        <f>K$2</f>
        <v>1</v>
      </c>
      <c r="L120" s="291">
        <f>L$2</f>
        <v>1</v>
      </c>
      <c r="M120" s="291"/>
      <c r="N120" s="291"/>
      <c r="O120" s="303"/>
      <c r="P120" s="303"/>
      <c r="Q120" s="303"/>
      <c r="R120" s="291"/>
      <c r="S120" s="291"/>
      <c r="T120" s="291"/>
      <c r="U120" s="291">
        <f>U$2</f>
        <v>1</v>
      </c>
      <c r="V120" s="291">
        <f>V$2</f>
        <v>1</v>
      </c>
      <c r="W120" s="291">
        <f t="shared" ref="W120:AB120" si="41">W$2</f>
        <v>1</v>
      </c>
      <c r="X120" s="291">
        <f t="shared" si="41"/>
        <v>1</v>
      </c>
      <c r="Y120" s="291">
        <f t="shared" si="41"/>
        <v>1</v>
      </c>
      <c r="Z120" s="291">
        <f t="shared" si="41"/>
        <v>1</v>
      </c>
      <c r="AA120" s="291">
        <f t="shared" si="41"/>
        <v>1</v>
      </c>
      <c r="AB120" s="291">
        <f t="shared" si="41"/>
        <v>1</v>
      </c>
    </row>
    <row r="121" spans="1:28" s="305" customFormat="1" hidden="1" outlineLevel="1" x14ac:dyDescent="0.25">
      <c r="A121" s="278"/>
      <c r="B121" s="279" t="str">
        <f>C121&amp;D121&amp;E121&amp;F121</f>
        <v/>
      </c>
      <c r="C121" s="278"/>
      <c r="D121" s="278"/>
      <c r="E121" s="278"/>
      <c r="F121" s="278"/>
      <c r="G121" s="278"/>
      <c r="H121" s="290"/>
      <c r="I121" s="280">
        <f>$I$2*H121</f>
        <v>0</v>
      </c>
      <c r="J121" s="281">
        <f>$J$2*H121</f>
        <v>0</v>
      </c>
      <c r="K121" s="282">
        <f>IF(Notes!$B$9="Domestic",I121, IF(Notes!$B$9="Commercial",J121))*$K$120</f>
        <v>0</v>
      </c>
      <c r="L121" s="283">
        <f>(SUM(O121:Q121)+(K121+SUM(M121:Q121))*(INDEX($U$120:$AB$120,MATCH(Notes!$C$16,$U$3:$AB$3,0))-100%))*$L$120</f>
        <v>0</v>
      </c>
      <c r="M121" s="286"/>
      <c r="N121" s="286"/>
      <c r="O121" s="285"/>
      <c r="P121" s="285"/>
      <c r="Q121" s="285"/>
      <c r="R121" s="278"/>
      <c r="S121" s="278"/>
      <c r="T121" s="278"/>
    </row>
    <row r="122" spans="1:28" s="305" customFormat="1" hidden="1" outlineLevel="1" x14ac:dyDescent="0.25">
      <c r="A122" s="278"/>
      <c r="B122" s="279" t="str">
        <f t="shared" ref="B122:B130" si="42">C122&amp;D122&amp;E122&amp;F122</f>
        <v/>
      </c>
      <c r="C122" s="278"/>
      <c r="D122" s="278"/>
      <c r="E122" s="278"/>
      <c r="F122" s="278"/>
      <c r="G122" s="278"/>
      <c r="H122" s="290"/>
      <c r="I122" s="280">
        <f t="shared" ref="I122:I130" si="43">$I$2*H122</f>
        <v>0</v>
      </c>
      <c r="J122" s="281">
        <f t="shared" ref="J122:J130" si="44">$J$2*H122</f>
        <v>0</v>
      </c>
      <c r="K122" s="282">
        <f>IF(Notes!$B$9="Domestic",I122, IF(Notes!$B$9="Commercial",J122))*$K$120</f>
        <v>0</v>
      </c>
      <c r="L122" s="283">
        <f>(SUM(O122:Q122)+(K122+SUM(M122:Q122))*(INDEX($U$120:$AB$120,MATCH(Notes!$C$16,$U$3:$AB$3,0))-100%))*$L$120</f>
        <v>0</v>
      </c>
      <c r="M122" s="286"/>
      <c r="N122" s="286"/>
      <c r="O122" s="285"/>
      <c r="P122" s="285"/>
      <c r="Q122" s="285"/>
      <c r="R122" s="278"/>
      <c r="S122" s="278"/>
      <c r="T122" s="278"/>
    </row>
    <row r="123" spans="1:28" s="305" customFormat="1" hidden="1" outlineLevel="1" x14ac:dyDescent="0.25">
      <c r="A123" s="278"/>
      <c r="B123" s="279" t="str">
        <f t="shared" si="42"/>
        <v/>
      </c>
      <c r="C123" s="278"/>
      <c r="D123" s="278"/>
      <c r="E123" s="278"/>
      <c r="F123" s="278"/>
      <c r="G123" s="278"/>
      <c r="H123" s="290"/>
      <c r="I123" s="280">
        <f t="shared" si="43"/>
        <v>0</v>
      </c>
      <c r="J123" s="281">
        <f t="shared" si="44"/>
        <v>0</v>
      </c>
      <c r="K123" s="282">
        <f>IF(Notes!$B$9="Domestic",I123, IF(Notes!$B$9="Commercial",J123))*$K$120</f>
        <v>0</v>
      </c>
      <c r="L123" s="283">
        <f>(SUM(O123:Q123)+(K123+SUM(M123:Q123))*(INDEX($U$120:$AB$120,MATCH(Notes!$C$16,$U$3:$AB$3,0))-100%))*$L$120</f>
        <v>0</v>
      </c>
      <c r="M123" s="286"/>
      <c r="N123" s="286"/>
      <c r="O123" s="285"/>
      <c r="P123" s="285"/>
      <c r="Q123" s="285"/>
      <c r="R123" s="278"/>
      <c r="S123" s="278"/>
      <c r="T123" s="278"/>
    </row>
    <row r="124" spans="1:28" s="305" customFormat="1" hidden="1" outlineLevel="1" x14ac:dyDescent="0.25">
      <c r="A124" s="278"/>
      <c r="B124" s="279" t="str">
        <f t="shared" si="42"/>
        <v/>
      </c>
      <c r="C124" s="278"/>
      <c r="D124" s="278"/>
      <c r="E124" s="278"/>
      <c r="F124" s="278"/>
      <c r="G124" s="278"/>
      <c r="H124" s="290"/>
      <c r="I124" s="280">
        <f t="shared" si="43"/>
        <v>0</v>
      </c>
      <c r="J124" s="281">
        <f t="shared" si="44"/>
        <v>0</v>
      </c>
      <c r="K124" s="282">
        <f>IF(Notes!$B$9="Domestic",I124, IF(Notes!$B$9="Commercial",J124))*$K$120</f>
        <v>0</v>
      </c>
      <c r="L124" s="283">
        <f>(SUM(O124:Q124)+(K124+SUM(M124:Q124))*(INDEX($U$120:$AB$120,MATCH(Notes!$C$16,$U$3:$AB$3,0))-100%))*$L$120</f>
        <v>0</v>
      </c>
      <c r="M124" s="286"/>
      <c r="N124" s="286"/>
      <c r="O124" s="285"/>
      <c r="P124" s="285"/>
      <c r="Q124" s="285"/>
      <c r="R124" s="278"/>
      <c r="S124" s="278"/>
      <c r="T124" s="278"/>
    </row>
    <row r="125" spans="1:28" s="305" customFormat="1" hidden="1" outlineLevel="1" x14ac:dyDescent="0.25">
      <c r="A125" s="278"/>
      <c r="B125" s="279" t="str">
        <f t="shared" si="42"/>
        <v/>
      </c>
      <c r="C125" s="278"/>
      <c r="D125" s="278"/>
      <c r="E125" s="278"/>
      <c r="F125" s="278"/>
      <c r="G125" s="278"/>
      <c r="H125" s="290"/>
      <c r="I125" s="280">
        <f>$I$2*H125</f>
        <v>0</v>
      </c>
      <c r="J125" s="281">
        <f t="shared" si="44"/>
        <v>0</v>
      </c>
      <c r="K125" s="282">
        <f>IF(Notes!$B$9="Domestic",I125, IF(Notes!$B$9="Commercial",J125))*$K$120</f>
        <v>0</v>
      </c>
      <c r="L125" s="283">
        <f>(SUM(O125:Q125)+(K125+SUM(M125:Q125))*(INDEX($U$120:$AB$120,MATCH(Notes!$C$16,$U$3:$AB$3,0))-100%))*$L$120</f>
        <v>0</v>
      </c>
      <c r="M125" s="286"/>
      <c r="N125" s="286"/>
      <c r="O125" s="285"/>
      <c r="P125" s="285"/>
      <c r="Q125" s="285"/>
      <c r="R125" s="278"/>
      <c r="S125" s="278"/>
      <c r="T125" s="278"/>
    </row>
    <row r="126" spans="1:28" s="305" customFormat="1" hidden="1" outlineLevel="1" x14ac:dyDescent="0.25">
      <c r="A126" s="278"/>
      <c r="B126" s="279" t="str">
        <f t="shared" si="42"/>
        <v/>
      </c>
      <c r="C126" s="278"/>
      <c r="D126" s="278"/>
      <c r="E126" s="278"/>
      <c r="F126" s="278"/>
      <c r="G126" s="278"/>
      <c r="H126" s="290"/>
      <c r="I126" s="280">
        <f t="shared" si="43"/>
        <v>0</v>
      </c>
      <c r="J126" s="281">
        <f t="shared" si="44"/>
        <v>0</v>
      </c>
      <c r="K126" s="282">
        <f>IF(Notes!$B$9="Domestic",I126, IF(Notes!$B$9="Commercial",J126))*$K$120</f>
        <v>0</v>
      </c>
      <c r="L126" s="283">
        <f>(SUM(O126:Q126)+(K126+SUM(M126:Q126))*(INDEX($U$120:$AB$120,MATCH(Notes!$C$16,$U$3:$AB$3,0))-100%))*$L$120</f>
        <v>0</v>
      </c>
      <c r="M126" s="286"/>
      <c r="N126" s="286"/>
      <c r="O126" s="285"/>
      <c r="P126" s="285"/>
      <c r="Q126" s="285"/>
      <c r="R126" s="278"/>
      <c r="S126" s="278"/>
      <c r="T126" s="278"/>
    </row>
    <row r="127" spans="1:28" s="305" customFormat="1" hidden="1" outlineLevel="1" x14ac:dyDescent="0.25">
      <c r="A127" s="278"/>
      <c r="B127" s="279" t="str">
        <f t="shared" si="42"/>
        <v/>
      </c>
      <c r="C127" s="278"/>
      <c r="D127" s="278"/>
      <c r="E127" s="278"/>
      <c r="F127" s="278"/>
      <c r="G127" s="278"/>
      <c r="H127" s="290"/>
      <c r="I127" s="280">
        <f t="shared" si="43"/>
        <v>0</v>
      </c>
      <c r="J127" s="281">
        <f t="shared" si="44"/>
        <v>0</v>
      </c>
      <c r="K127" s="282">
        <f>IF(Notes!$B$9="Domestic",I127, IF(Notes!$B$9="Commercial",J127))*$K$120</f>
        <v>0</v>
      </c>
      <c r="L127" s="283">
        <f>(SUM(O127:Q127)+(K127+SUM(M127:Q127))*(INDEX($U$120:$AB$120,MATCH(Notes!$C$16,$U$3:$AB$3,0))-100%))*$L$120</f>
        <v>0</v>
      </c>
      <c r="M127" s="286"/>
      <c r="N127" s="286"/>
      <c r="O127" s="285"/>
      <c r="P127" s="285"/>
      <c r="Q127" s="285"/>
      <c r="R127" s="278"/>
      <c r="S127" s="278"/>
      <c r="T127" s="278"/>
    </row>
    <row r="128" spans="1:28" s="305" customFormat="1" hidden="1" outlineLevel="1" x14ac:dyDescent="0.25">
      <c r="A128" s="278"/>
      <c r="B128" s="279" t="str">
        <f t="shared" si="42"/>
        <v/>
      </c>
      <c r="C128" s="278"/>
      <c r="D128" s="278"/>
      <c r="E128" s="278"/>
      <c r="F128" s="278"/>
      <c r="G128" s="278"/>
      <c r="H128" s="290"/>
      <c r="I128" s="280">
        <f t="shared" si="43"/>
        <v>0</v>
      </c>
      <c r="J128" s="281">
        <f t="shared" si="44"/>
        <v>0</v>
      </c>
      <c r="K128" s="282">
        <f>IF(Notes!$B$9="Domestic",I128, IF(Notes!$B$9="Commercial",J128))*$K$120</f>
        <v>0</v>
      </c>
      <c r="L128" s="283">
        <f>(SUM(O128:Q128)+(K128+SUM(M128:Q128))*(INDEX($U$120:$AB$120,MATCH(Notes!$C$16,$U$3:$AB$3,0))-100%))*$L$120</f>
        <v>0</v>
      </c>
      <c r="M128" s="286"/>
      <c r="N128" s="286"/>
      <c r="O128" s="285"/>
      <c r="P128" s="285"/>
      <c r="Q128" s="285"/>
      <c r="R128" s="278"/>
      <c r="S128" s="278"/>
      <c r="T128" s="278"/>
    </row>
    <row r="129" spans="1:20" s="305" customFormat="1" hidden="1" outlineLevel="1" x14ac:dyDescent="0.25">
      <c r="A129" s="278"/>
      <c r="B129" s="279" t="str">
        <f t="shared" si="42"/>
        <v/>
      </c>
      <c r="C129" s="278"/>
      <c r="D129" s="278"/>
      <c r="E129" s="278"/>
      <c r="F129" s="278"/>
      <c r="G129" s="278"/>
      <c r="H129" s="290"/>
      <c r="I129" s="280">
        <f t="shared" si="43"/>
        <v>0</v>
      </c>
      <c r="J129" s="281">
        <f t="shared" si="44"/>
        <v>0</v>
      </c>
      <c r="K129" s="282">
        <f>IF(Notes!$B$9="Domestic",I129, IF(Notes!$B$9="Commercial",J129))*$K$120</f>
        <v>0</v>
      </c>
      <c r="L129" s="283">
        <f>(SUM(O129:Q129)+(K129+SUM(M129:Q129))*(INDEX($U$120:$AB$120,MATCH(Notes!$C$16,$U$3:$AB$3,0))-100%))*$L$120</f>
        <v>0</v>
      </c>
      <c r="M129" s="286"/>
      <c r="N129" s="286"/>
      <c r="O129" s="285"/>
      <c r="P129" s="285"/>
      <c r="Q129" s="285"/>
      <c r="R129" s="278"/>
      <c r="S129" s="278"/>
      <c r="T129" s="278"/>
    </row>
    <row r="130" spans="1:20" s="305" customFormat="1" hidden="1" outlineLevel="1" x14ac:dyDescent="0.25">
      <c r="A130" s="278"/>
      <c r="B130" s="279" t="str">
        <f t="shared" si="42"/>
        <v/>
      </c>
      <c r="C130" s="278"/>
      <c r="D130" s="278"/>
      <c r="E130" s="278"/>
      <c r="F130" s="278"/>
      <c r="G130" s="278"/>
      <c r="H130" s="290"/>
      <c r="I130" s="280">
        <f t="shared" si="43"/>
        <v>0</v>
      </c>
      <c r="J130" s="281">
        <f t="shared" si="44"/>
        <v>0</v>
      </c>
      <c r="K130" s="282">
        <f>IF(Notes!$B$9="Domestic",I130, IF(Notes!$B$9="Commercial",J130))*$K$120</f>
        <v>0</v>
      </c>
      <c r="L130" s="283">
        <f>(SUM(O130:Q130)+(K130+SUM(M130:Q130))*(INDEX($U$120:$AB$120,MATCH(Notes!$C$16,$U$3:$AB$3,0))-100%))*$L$120</f>
        <v>0</v>
      </c>
      <c r="M130" s="286"/>
      <c r="N130" s="286"/>
      <c r="O130" s="285"/>
      <c r="P130" s="285"/>
      <c r="Q130" s="285"/>
      <c r="R130" s="278"/>
      <c r="S130" s="278"/>
      <c r="T130" s="278"/>
    </row>
    <row r="131" spans="1:20" hidden="1" outlineLevel="1" x14ac:dyDescent="0.25">
      <c r="A131" s="284" t="str">
        <f>C131&amp;D131&amp;E131</f>
        <v/>
      </c>
      <c r="B131" s="284"/>
      <c r="C131" s="284"/>
      <c r="D131" s="284"/>
      <c r="E131" s="284"/>
      <c r="F131" s="284"/>
      <c r="G131" s="284"/>
      <c r="H131" s="284"/>
      <c r="I131" s="284"/>
      <c r="J131" s="284"/>
      <c r="K131" s="284"/>
      <c r="L131" s="284"/>
      <c r="M131" s="284"/>
      <c r="N131" s="284"/>
      <c r="O131" s="284"/>
      <c r="P131" s="284"/>
      <c r="Q131" s="284"/>
      <c r="R131" s="284"/>
      <c r="S131" s="284"/>
      <c r="T131" s="284"/>
    </row>
    <row r="132" spans="1:20" hidden="1" outlineLevel="1" x14ac:dyDescent="0.25"/>
    <row r="133" spans="1:20" hidden="1" outlineLevel="1" x14ac:dyDescent="0.25"/>
    <row r="134" spans="1:20" collapsed="1" x14ac:dyDescent="0.25"/>
  </sheetData>
  <sheetProtection algorithmName="SHA-512" hashValue="YZd5IAesSd7szBdnxy7g5xx0vW0XrD29jVgdH8N1gTHNNglVxwwK51NTkjONGBL9dLfCDUFXCcMinDzZdlRaRA==" saltValue="PaFIyzTTHLlPiWDL2shvMw==" spinCount="100000" sheet="1" objects="1" scenarios="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rgb="FF00B050"/>
  </sheetPr>
  <dimension ref="A1:S299"/>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Tiling!A2+1</f>
        <v>29</v>
      </c>
      <c r="B2" s="73" t="s" cm="1">
        <v>2489</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29.01</v>
      </c>
      <c r="B3" s="27" t="s">
        <v>987</v>
      </c>
      <c r="C3" s="97">
        <v>117.56</v>
      </c>
      <c r="D3" s="29" t="s">
        <v>11</v>
      </c>
      <c r="E3" s="85"/>
      <c r="F3" s="86">
        <f>IF(E3="inc",0,IF(C3="",0,C3*E3))</f>
        <v>0</v>
      </c>
      <c r="G3" s="208"/>
      <c r="H3" s="30"/>
      <c r="I3" s="30"/>
      <c r="J3" s="30"/>
      <c r="K3" s="30"/>
      <c r="L3" s="30"/>
      <c r="M3" s="87"/>
      <c r="N3" s="88"/>
      <c r="O3" s="25"/>
      <c r="P3" s="25"/>
      <c r="Q3" s="25"/>
      <c r="R3" s="25"/>
      <c r="S3" s="25"/>
    </row>
    <row r="4" spans="1:19" s="94" customFormat="1" ht="15.75" x14ac:dyDescent="0.25">
      <c r="A4" s="24"/>
      <c r="B4" s="25" t="s">
        <v>987</v>
      </c>
      <c r="C4" s="32">
        <v>104.25</v>
      </c>
      <c r="D4" s="32" t="s">
        <v>11</v>
      </c>
      <c r="E4" s="26"/>
      <c r="F4" s="33"/>
      <c r="G4" s="210"/>
      <c r="H4" s="26"/>
      <c r="I4" s="26"/>
      <c r="J4" s="26"/>
      <c r="K4" s="26"/>
      <c r="L4" s="26"/>
      <c r="M4" s="34"/>
      <c r="N4" s="32"/>
      <c r="O4" s="44"/>
    </row>
    <row r="5" spans="1:19" s="94" customFormat="1" ht="15.75" x14ac:dyDescent="0.25">
      <c r="A5" s="24"/>
      <c r="B5" s="25" t="s">
        <v>2348</v>
      </c>
      <c r="C5" s="32">
        <v>13.31</v>
      </c>
      <c r="D5" s="32" t="s">
        <v>11</v>
      </c>
      <c r="E5" s="26"/>
      <c r="F5" s="33"/>
      <c r="G5" s="210"/>
      <c r="H5" s="26"/>
      <c r="I5" s="26"/>
      <c r="J5" s="26"/>
      <c r="K5" s="26"/>
      <c r="L5" s="26"/>
      <c r="M5" s="34"/>
      <c r="N5" s="32"/>
      <c r="O5" s="44"/>
    </row>
    <row r="6" spans="1:19" s="94" customFormat="1" ht="15.75" x14ac:dyDescent="0.25">
      <c r="A6" s="24"/>
      <c r="B6" s="24"/>
      <c r="C6" s="32" t="s">
        <v>2346</v>
      </c>
      <c r="D6" s="32">
        <v>0</v>
      </c>
      <c r="E6" s="26"/>
      <c r="F6" s="33"/>
      <c r="G6" s="210"/>
      <c r="H6" s="26"/>
      <c r="I6" s="26"/>
      <c r="J6" s="26"/>
      <c r="K6" s="26"/>
      <c r="L6" s="26"/>
      <c r="M6" s="34"/>
      <c r="N6" s="32"/>
      <c r="O6" s="44"/>
    </row>
    <row r="7" spans="1:19" s="90" customFormat="1" ht="18.75" x14ac:dyDescent="0.25">
      <c r="A7" s="82">
        <f ca="1">IF(C7&gt;0,MAX($A$1:OFFSET(A7,-1,0))+0.01,"")</f>
        <v>29.020000000000003</v>
      </c>
      <c r="B7" s="27" t="s">
        <v>2321</v>
      </c>
      <c r="C7" s="98">
        <v>100.45</v>
      </c>
      <c r="D7" s="29" t="s">
        <v>15</v>
      </c>
      <c r="E7" s="85"/>
      <c r="F7" s="86">
        <f>IF(E7="inc",0,IF(C7="",0,C7*E7))</f>
        <v>0</v>
      </c>
      <c r="G7" s="208"/>
      <c r="H7" s="30"/>
      <c r="I7" s="30"/>
      <c r="J7" s="30"/>
      <c r="K7" s="30"/>
      <c r="L7" s="30"/>
      <c r="M7" s="87"/>
      <c r="N7" s="88"/>
      <c r="O7" s="25"/>
      <c r="P7" s="25"/>
      <c r="Q7" s="25"/>
      <c r="R7" s="25"/>
      <c r="S7" s="25"/>
    </row>
    <row r="8" spans="1:19" s="94" customFormat="1" ht="15.75" x14ac:dyDescent="0.25">
      <c r="A8" s="24"/>
      <c r="B8" s="417"/>
      <c r="C8" s="32">
        <v>100.45</v>
      </c>
      <c r="D8" s="32" t="s">
        <v>15</v>
      </c>
      <c r="E8" s="26"/>
      <c r="F8" s="33"/>
      <c r="G8" s="210"/>
      <c r="H8" s="26"/>
      <c r="I8" s="26"/>
      <c r="J8" s="26"/>
      <c r="K8" s="26"/>
      <c r="L8" s="26"/>
      <c r="M8" s="34"/>
      <c r="N8" s="32"/>
      <c r="O8" s="44"/>
    </row>
    <row r="9" spans="1:19" s="94" customFormat="1" ht="15.75" x14ac:dyDescent="0.25">
      <c r="A9" s="24"/>
      <c r="B9" s="24"/>
      <c r="C9" s="32" t="s">
        <v>2346</v>
      </c>
      <c r="D9" s="32">
        <v>0</v>
      </c>
      <c r="E9" s="26"/>
      <c r="F9" s="33"/>
      <c r="G9" s="210"/>
      <c r="H9" s="26"/>
      <c r="I9" s="26"/>
      <c r="J9" s="26"/>
      <c r="K9" s="26"/>
      <c r="L9" s="26"/>
      <c r="M9" s="34"/>
      <c r="N9" s="32"/>
      <c r="O9" s="44"/>
    </row>
    <row r="10" spans="1:19" s="79" customFormat="1" ht="21.75" thickBot="1" x14ac:dyDescent="0.4">
      <c r="A10" s="99"/>
      <c r="B10" s="394" t="s">
        <v>4</v>
      </c>
      <c r="C10" s="395"/>
      <c r="D10" s="396"/>
      <c r="E10" s="100"/>
      <c r="F10" s="101">
        <f ca="1">SUM(F$2:OFFSET(F10,-1,0))</f>
        <v>0</v>
      </c>
      <c r="G10" s="208"/>
      <c r="H10" s="100"/>
      <c r="I10" s="100"/>
      <c r="J10" s="100"/>
      <c r="K10" s="100"/>
      <c r="L10" s="100"/>
      <c r="M10" s="102"/>
      <c r="N10" s="103"/>
    </row>
    <row r="11" spans="1:19" s="94" customFormat="1" ht="15.75" x14ac:dyDescent="0.25">
      <c r="A11" s="105"/>
      <c r="B11" s="25"/>
      <c r="C11" s="106"/>
      <c r="D11" s="32"/>
      <c r="E11" s="92"/>
      <c r="F11" s="92"/>
      <c r="G11" s="92"/>
      <c r="H11" s="92"/>
      <c r="I11" s="92"/>
      <c r="J11" s="92"/>
      <c r="K11" s="92"/>
      <c r="M11" s="88"/>
      <c r="N11" s="88"/>
    </row>
    <row r="12" spans="1:19" ht="15.75" x14ac:dyDescent="0.25">
      <c r="C12" s="106"/>
      <c r="G12" s="92"/>
      <c r="H12" s="92"/>
      <c r="I12" s="92"/>
      <c r="J12" s="92"/>
      <c r="K12" s="92"/>
      <c r="L12" s="94"/>
    </row>
    <row r="13" spans="1:19" ht="15.75" x14ac:dyDescent="0.25">
      <c r="G13" s="92"/>
      <c r="H13" s="92"/>
      <c r="I13" s="92"/>
      <c r="J13" s="92"/>
      <c r="K13" s="92"/>
      <c r="L13" s="94"/>
    </row>
    <row r="14" spans="1:19" ht="15.75" x14ac:dyDescent="0.25">
      <c r="G14" s="92"/>
      <c r="H14" s="92"/>
      <c r="I14" s="92"/>
      <c r="J14" s="92"/>
      <c r="K14" s="92"/>
      <c r="L14" s="94"/>
    </row>
    <row r="15" spans="1:19" ht="15.75" x14ac:dyDescent="0.25">
      <c r="F15" s="108" t="e">
        <f ca="1">F10-#REF!</f>
        <v>#REF!</v>
      </c>
      <c r="G15" s="92"/>
      <c r="H15" s="92"/>
      <c r="I15" s="92"/>
      <c r="J15" s="92"/>
      <c r="K15" s="92"/>
      <c r="L15" s="94"/>
    </row>
    <row r="16" spans="1:19" ht="15.75" x14ac:dyDescent="0.25">
      <c r="G16" s="92"/>
      <c r="H16" s="92"/>
      <c r="I16" s="92"/>
      <c r="J16" s="92"/>
      <c r="K16" s="92"/>
      <c r="L16" s="94"/>
    </row>
    <row r="17" spans="1:19" ht="15.75" x14ac:dyDescent="0.25">
      <c r="G17" s="92"/>
      <c r="H17" s="92"/>
      <c r="I17" s="92"/>
      <c r="J17" s="92"/>
      <c r="K17" s="92"/>
      <c r="L17" s="94"/>
    </row>
    <row r="18" spans="1:19" ht="15.75" x14ac:dyDescent="0.25">
      <c r="G18" s="92"/>
      <c r="H18" s="92"/>
      <c r="I18" s="92"/>
      <c r="J18" s="92"/>
      <c r="K18" s="92"/>
      <c r="L18" s="94"/>
    </row>
    <row r="19" spans="1:19" ht="15.75" x14ac:dyDescent="0.25">
      <c r="G19" s="92"/>
      <c r="H19" s="92"/>
      <c r="I19" s="92"/>
      <c r="J19" s="92"/>
      <c r="K19" s="92"/>
      <c r="L19" s="94"/>
    </row>
    <row r="20" spans="1:19" ht="15.75" x14ac:dyDescent="0.25">
      <c r="G20" s="92"/>
      <c r="H20" s="92"/>
      <c r="I20" s="92"/>
      <c r="J20" s="92"/>
      <c r="K20" s="92"/>
      <c r="L20" s="94"/>
    </row>
    <row r="21" spans="1:19" ht="15.75" x14ac:dyDescent="0.25">
      <c r="G21" s="92"/>
      <c r="H21" s="92"/>
      <c r="I21" s="92"/>
      <c r="J21" s="92"/>
      <c r="K21" s="92"/>
      <c r="L21" s="94"/>
    </row>
    <row r="22" spans="1:19" ht="15.75" x14ac:dyDescent="0.25">
      <c r="G22" s="92"/>
      <c r="H22" s="92"/>
      <c r="I22" s="92"/>
      <c r="J22" s="92"/>
      <c r="K22" s="92"/>
      <c r="L22" s="94"/>
    </row>
    <row r="23" spans="1:19" ht="15.75" x14ac:dyDescent="0.25">
      <c r="G23" s="92"/>
      <c r="H23" s="92"/>
      <c r="I23" s="92"/>
      <c r="J23" s="92"/>
      <c r="K23" s="92"/>
      <c r="L23" s="94"/>
    </row>
    <row r="24" spans="1:19" ht="15.75" x14ac:dyDescent="0.25">
      <c r="G24" s="92"/>
      <c r="H24" s="92"/>
      <c r="I24" s="92"/>
      <c r="J24" s="92"/>
      <c r="K24" s="92"/>
      <c r="L24" s="94"/>
    </row>
    <row r="25" spans="1:19" s="110" customFormat="1" ht="15.75" x14ac:dyDescent="0.25">
      <c r="A25" s="25"/>
      <c r="B25" s="25"/>
      <c r="D25" s="36"/>
      <c r="E25" s="25"/>
      <c r="F25" s="108"/>
      <c r="G25" s="92"/>
      <c r="H25" s="92"/>
      <c r="I25" s="92"/>
      <c r="J25" s="92"/>
      <c r="K25" s="92"/>
      <c r="L25" s="94"/>
      <c r="M25" s="88"/>
      <c r="N25" s="88"/>
      <c r="O25" s="25"/>
      <c r="P25" s="25"/>
      <c r="Q25" s="25"/>
      <c r="R25" s="25"/>
      <c r="S25" s="25"/>
    </row>
    <row r="26" spans="1:19" s="110" customFormat="1" ht="15.75" x14ac:dyDescent="0.25">
      <c r="A26" s="25"/>
      <c r="B26" s="25"/>
      <c r="D26" s="36"/>
      <c r="E26" s="25"/>
      <c r="F26" s="108"/>
      <c r="G26" s="92"/>
      <c r="H26" s="92"/>
      <c r="I26" s="92"/>
      <c r="J26" s="92"/>
      <c r="K26" s="92"/>
      <c r="L26" s="94"/>
      <c r="M26" s="88"/>
      <c r="N26" s="88"/>
      <c r="O26" s="25"/>
      <c r="P26" s="25"/>
      <c r="Q26" s="25"/>
      <c r="R26" s="25"/>
      <c r="S26" s="25"/>
    </row>
    <row r="27" spans="1:19" s="110" customFormat="1" ht="15.75" x14ac:dyDescent="0.25">
      <c r="A27" s="25"/>
      <c r="B27" s="25"/>
      <c r="D27" s="36"/>
      <c r="E27" s="25"/>
      <c r="F27" s="108"/>
      <c r="G27" s="92"/>
      <c r="H27" s="92"/>
      <c r="I27" s="92"/>
      <c r="J27" s="92"/>
      <c r="K27" s="92"/>
      <c r="L27" s="94"/>
      <c r="M27" s="88"/>
      <c r="N27" s="88"/>
      <c r="O27" s="25"/>
      <c r="P27" s="25"/>
      <c r="Q27" s="25"/>
      <c r="R27" s="25"/>
      <c r="S27" s="25"/>
    </row>
    <row r="28" spans="1:19" s="110" customFormat="1" ht="15.75" x14ac:dyDescent="0.25">
      <c r="A28" s="25"/>
      <c r="B28" s="25"/>
      <c r="D28" s="36"/>
      <c r="E28" s="25"/>
      <c r="F28" s="108"/>
      <c r="G28" s="92"/>
      <c r="H28" s="92"/>
      <c r="I28" s="92"/>
      <c r="J28" s="92"/>
      <c r="K28" s="92"/>
      <c r="L28" s="94"/>
      <c r="M28" s="88"/>
      <c r="N28" s="88"/>
      <c r="O28" s="25"/>
      <c r="P28" s="25"/>
      <c r="Q28" s="25"/>
      <c r="R28" s="25"/>
      <c r="S28" s="25"/>
    </row>
    <row r="29" spans="1:19" s="110" customFormat="1" ht="15.75" x14ac:dyDescent="0.25">
      <c r="A29" s="25"/>
      <c r="B29" s="25"/>
      <c r="D29" s="36"/>
      <c r="E29" s="25"/>
      <c r="F29" s="108"/>
      <c r="G29" s="92"/>
      <c r="H29" s="92"/>
      <c r="I29" s="92"/>
      <c r="J29" s="92"/>
      <c r="K29" s="92"/>
      <c r="L29" s="94"/>
      <c r="M29" s="88"/>
      <c r="N29" s="88"/>
      <c r="O29" s="25"/>
      <c r="P29" s="25"/>
      <c r="Q29" s="25"/>
      <c r="R29" s="25"/>
      <c r="S29" s="25"/>
    </row>
    <row r="30" spans="1:19" s="110" customFormat="1" ht="15.75" x14ac:dyDescent="0.25">
      <c r="A30" s="25"/>
      <c r="B30" s="25"/>
      <c r="D30" s="36"/>
      <c r="E30" s="25"/>
      <c r="F30" s="108"/>
      <c r="G30" s="92"/>
      <c r="H30" s="92"/>
      <c r="I30" s="92"/>
      <c r="J30" s="92"/>
      <c r="K30" s="92"/>
      <c r="L30" s="94"/>
      <c r="M30" s="88"/>
      <c r="N30" s="88"/>
      <c r="O30" s="25"/>
      <c r="P30" s="25"/>
      <c r="Q30" s="25"/>
      <c r="R30" s="25"/>
      <c r="S30" s="25"/>
    </row>
    <row r="31" spans="1:19" s="110" customFormat="1" ht="15.75" x14ac:dyDescent="0.25">
      <c r="A31" s="25"/>
      <c r="B31" s="25"/>
      <c r="D31" s="36"/>
      <c r="E31" s="25"/>
      <c r="F31" s="108"/>
      <c r="G31" s="92"/>
      <c r="H31" s="92"/>
      <c r="I31" s="92"/>
      <c r="J31" s="92"/>
      <c r="K31" s="92"/>
      <c r="L31" s="94"/>
      <c r="M31" s="88"/>
      <c r="N31" s="88"/>
      <c r="O31" s="25"/>
      <c r="P31" s="25"/>
      <c r="Q31" s="25"/>
      <c r="R31" s="25"/>
      <c r="S31" s="25"/>
    </row>
    <row r="32" spans="1:19" s="110" customFormat="1" ht="15.75" x14ac:dyDescent="0.25">
      <c r="A32" s="25"/>
      <c r="B32" s="25"/>
      <c r="D32" s="36"/>
      <c r="E32" s="25"/>
      <c r="F32" s="108"/>
      <c r="G32" s="92"/>
      <c r="H32" s="92"/>
      <c r="I32" s="92"/>
      <c r="J32" s="92"/>
      <c r="K32" s="92"/>
      <c r="L32" s="94"/>
      <c r="M32" s="88"/>
      <c r="N32" s="88"/>
      <c r="O32" s="25"/>
      <c r="P32" s="25"/>
      <c r="Q32" s="25"/>
      <c r="R32" s="25"/>
      <c r="S32" s="25"/>
    </row>
    <row r="33" spans="1:19" s="110" customFormat="1" ht="15.75" x14ac:dyDescent="0.25">
      <c r="A33" s="25"/>
      <c r="B33" s="25"/>
      <c r="D33" s="36"/>
      <c r="E33" s="25"/>
      <c r="F33" s="108"/>
      <c r="G33" s="92"/>
      <c r="H33" s="92"/>
      <c r="I33" s="92"/>
      <c r="J33" s="92"/>
      <c r="K33" s="92"/>
      <c r="L33" s="94"/>
      <c r="M33" s="88"/>
      <c r="N33" s="88"/>
      <c r="O33" s="25"/>
      <c r="P33" s="25"/>
      <c r="Q33" s="25"/>
      <c r="R33" s="25"/>
      <c r="S33" s="25"/>
    </row>
    <row r="34" spans="1:19" s="110" customFormat="1" ht="15.75" x14ac:dyDescent="0.25">
      <c r="A34" s="25"/>
      <c r="B34" s="25"/>
      <c r="D34" s="36"/>
      <c r="E34" s="25"/>
      <c r="F34" s="108"/>
      <c r="G34" s="92"/>
      <c r="H34" s="92"/>
      <c r="I34" s="92"/>
      <c r="J34" s="92"/>
      <c r="K34" s="92"/>
      <c r="L34" s="94"/>
      <c r="M34" s="88"/>
      <c r="N34" s="88"/>
      <c r="O34" s="25"/>
      <c r="P34" s="25"/>
      <c r="Q34" s="25"/>
      <c r="R34" s="25"/>
      <c r="S34" s="25"/>
    </row>
    <row r="35" spans="1:19" s="110" customFormat="1" ht="15.75" x14ac:dyDescent="0.25">
      <c r="A35" s="25"/>
      <c r="B35" s="25"/>
      <c r="D35" s="36"/>
      <c r="E35" s="25"/>
      <c r="F35" s="108"/>
      <c r="G35" s="92"/>
      <c r="H35" s="92"/>
      <c r="I35" s="92"/>
      <c r="J35" s="92"/>
      <c r="K35" s="92"/>
      <c r="L35" s="94"/>
      <c r="M35" s="88"/>
      <c r="N35" s="88"/>
      <c r="O35" s="25"/>
      <c r="P35" s="25"/>
      <c r="Q35" s="25"/>
      <c r="R35" s="25"/>
      <c r="S35" s="25"/>
    </row>
    <row r="36" spans="1:19" s="110" customFormat="1" ht="15.75" x14ac:dyDescent="0.25">
      <c r="A36" s="25"/>
      <c r="B36" s="25"/>
      <c r="D36" s="36"/>
      <c r="E36" s="25"/>
      <c r="F36" s="108"/>
      <c r="G36" s="92"/>
      <c r="H36" s="92"/>
      <c r="I36" s="92"/>
      <c r="J36" s="92"/>
      <c r="K36" s="92"/>
      <c r="L36" s="94"/>
      <c r="M36" s="88"/>
      <c r="N36" s="88"/>
      <c r="O36" s="25"/>
      <c r="P36" s="25"/>
      <c r="Q36" s="25"/>
      <c r="R36" s="25"/>
      <c r="S36" s="25"/>
    </row>
    <row r="37" spans="1:19" s="110" customFormat="1" ht="15.75" x14ac:dyDescent="0.25">
      <c r="A37" s="25"/>
      <c r="B37" s="25"/>
      <c r="D37" s="36"/>
      <c r="E37" s="25"/>
      <c r="F37" s="108"/>
      <c r="G37" s="92"/>
      <c r="H37" s="92"/>
      <c r="I37" s="92"/>
      <c r="J37" s="92"/>
      <c r="K37" s="92"/>
      <c r="L37" s="94"/>
      <c r="M37" s="88"/>
      <c r="N37" s="88"/>
      <c r="O37" s="25"/>
      <c r="P37" s="25"/>
      <c r="Q37" s="25"/>
      <c r="R37" s="25"/>
      <c r="S37" s="25"/>
    </row>
    <row r="38" spans="1:19" ht="15.75" x14ac:dyDescent="0.25">
      <c r="G38" s="92"/>
      <c r="H38" s="92"/>
      <c r="I38" s="92"/>
      <c r="J38" s="92"/>
      <c r="K38" s="92"/>
      <c r="L38" s="94"/>
    </row>
    <row r="39" spans="1:19" ht="15.75" x14ac:dyDescent="0.25">
      <c r="G39" s="92"/>
      <c r="H39" s="92"/>
      <c r="I39" s="92"/>
      <c r="J39" s="92"/>
      <c r="K39" s="92"/>
      <c r="L39" s="94"/>
    </row>
    <row r="40" spans="1:19" ht="15.75" x14ac:dyDescent="0.25">
      <c r="G40" s="92"/>
      <c r="H40" s="92"/>
      <c r="I40" s="92"/>
      <c r="J40" s="92"/>
      <c r="K40" s="92"/>
      <c r="L40" s="94"/>
    </row>
    <row r="41" spans="1:19" ht="15.75" x14ac:dyDescent="0.25">
      <c r="G41" s="92"/>
      <c r="H41" s="92"/>
      <c r="I41" s="92"/>
      <c r="J41" s="92"/>
      <c r="K41" s="92"/>
      <c r="L41" s="94"/>
    </row>
    <row r="42" spans="1:19" ht="15.75" x14ac:dyDescent="0.25">
      <c r="G42" s="92"/>
      <c r="H42" s="92"/>
      <c r="I42" s="92"/>
      <c r="J42" s="92"/>
      <c r="K42" s="92"/>
      <c r="L42" s="94"/>
    </row>
    <row r="43" spans="1:19" ht="15.75" x14ac:dyDescent="0.25">
      <c r="G43" s="92"/>
      <c r="H43" s="92"/>
      <c r="I43" s="92"/>
      <c r="J43" s="92"/>
      <c r="K43" s="92"/>
      <c r="L43" s="94"/>
    </row>
    <row r="44" spans="1:19" ht="15.75" x14ac:dyDescent="0.25">
      <c r="G44" s="92"/>
      <c r="H44" s="92"/>
      <c r="I44" s="92"/>
      <c r="J44" s="92"/>
      <c r="K44" s="92"/>
      <c r="L44" s="94"/>
    </row>
    <row r="45" spans="1:19" ht="15.75" x14ac:dyDescent="0.25">
      <c r="G45" s="92"/>
      <c r="H45" s="92"/>
      <c r="I45" s="92"/>
      <c r="J45" s="92"/>
      <c r="K45" s="92"/>
      <c r="L45" s="94"/>
    </row>
    <row r="46" spans="1:19" ht="15.75" x14ac:dyDescent="0.25">
      <c r="G46" s="92"/>
      <c r="H46" s="92"/>
      <c r="I46" s="92"/>
      <c r="J46" s="92"/>
      <c r="K46" s="92"/>
      <c r="L46" s="94"/>
    </row>
    <row r="47" spans="1:19" ht="15.75" x14ac:dyDescent="0.25">
      <c r="G47" s="92"/>
      <c r="H47" s="92"/>
      <c r="I47" s="92"/>
      <c r="J47" s="92"/>
      <c r="K47" s="92"/>
      <c r="L47" s="94"/>
    </row>
    <row r="48" spans="1:19" ht="15.75" x14ac:dyDescent="0.25">
      <c r="G48" s="92"/>
      <c r="H48" s="92"/>
      <c r="I48" s="92"/>
      <c r="J48" s="92"/>
      <c r="K48" s="92"/>
      <c r="L48" s="94"/>
    </row>
    <row r="49" spans="7:12" ht="15.75" x14ac:dyDescent="0.25">
      <c r="G49" s="92"/>
      <c r="H49" s="92"/>
      <c r="I49" s="92"/>
      <c r="J49" s="92"/>
      <c r="K49" s="92"/>
      <c r="L49" s="94"/>
    </row>
    <row r="50" spans="7:12" ht="15.75" x14ac:dyDescent="0.25">
      <c r="G50" s="92"/>
      <c r="H50" s="92"/>
      <c r="I50" s="92"/>
      <c r="J50" s="92"/>
      <c r="K50" s="92"/>
      <c r="L50" s="94"/>
    </row>
    <row r="51" spans="7:12" ht="15.75" x14ac:dyDescent="0.25">
      <c r="G51" s="92"/>
      <c r="H51" s="92"/>
      <c r="I51" s="92"/>
      <c r="J51" s="92"/>
      <c r="K51" s="92"/>
      <c r="L51" s="94"/>
    </row>
    <row r="52" spans="7:12" ht="15.75" x14ac:dyDescent="0.25">
      <c r="G52" s="92"/>
      <c r="H52" s="92"/>
      <c r="I52" s="92"/>
      <c r="J52" s="92"/>
      <c r="K52" s="92"/>
      <c r="L52" s="94"/>
    </row>
    <row r="53" spans="7:12" ht="15.75" x14ac:dyDescent="0.25">
      <c r="G53" s="92"/>
      <c r="H53" s="92"/>
      <c r="I53" s="92"/>
      <c r="J53" s="92"/>
      <c r="K53" s="92"/>
      <c r="L53" s="94"/>
    </row>
    <row r="54" spans="7:12" ht="15.75" x14ac:dyDescent="0.25">
      <c r="G54" s="92"/>
      <c r="H54" s="92"/>
      <c r="I54" s="92"/>
      <c r="J54" s="92"/>
      <c r="K54" s="92"/>
      <c r="L54" s="94"/>
    </row>
    <row r="55" spans="7:12" ht="15.75" x14ac:dyDescent="0.25">
      <c r="G55" s="92"/>
      <c r="H55" s="92"/>
      <c r="I55" s="92"/>
      <c r="J55" s="92"/>
      <c r="K55" s="92"/>
      <c r="L55" s="94"/>
    </row>
    <row r="56" spans="7:12" ht="15.75" x14ac:dyDescent="0.25">
      <c r="G56" s="92"/>
      <c r="H56" s="92"/>
      <c r="I56" s="92"/>
      <c r="J56" s="92"/>
      <c r="K56" s="92"/>
      <c r="L56" s="94"/>
    </row>
    <row r="57" spans="7:12" ht="15.75" x14ac:dyDescent="0.25">
      <c r="G57" s="92"/>
      <c r="H57" s="92"/>
      <c r="I57" s="92"/>
      <c r="J57" s="92"/>
      <c r="K57" s="92"/>
      <c r="L57" s="94"/>
    </row>
    <row r="58" spans="7:12" ht="15.75" x14ac:dyDescent="0.25">
      <c r="G58" s="92"/>
      <c r="H58" s="92"/>
      <c r="I58" s="92"/>
      <c r="J58" s="92"/>
      <c r="K58" s="92"/>
      <c r="L58" s="94"/>
    </row>
    <row r="59" spans="7:12" ht="15.75" x14ac:dyDescent="0.25">
      <c r="G59" s="92"/>
      <c r="H59" s="92"/>
      <c r="I59" s="92"/>
      <c r="J59" s="92"/>
      <c r="K59" s="92"/>
      <c r="L59" s="94"/>
    </row>
    <row r="60" spans="7:12" ht="15.75" x14ac:dyDescent="0.25">
      <c r="G60" s="92"/>
      <c r="H60" s="92"/>
      <c r="I60" s="92"/>
      <c r="J60" s="92"/>
      <c r="K60" s="92"/>
      <c r="L60" s="94"/>
    </row>
    <row r="61" spans="7:12" ht="15.75" x14ac:dyDescent="0.25">
      <c r="G61" s="92"/>
      <c r="H61" s="92"/>
      <c r="I61" s="92"/>
      <c r="J61" s="92"/>
      <c r="K61" s="92"/>
      <c r="L61" s="94"/>
    </row>
    <row r="62" spans="7:12" ht="15.75" x14ac:dyDescent="0.25">
      <c r="G62" s="92"/>
      <c r="H62" s="92"/>
      <c r="I62" s="92"/>
      <c r="J62" s="92"/>
      <c r="K62" s="92"/>
      <c r="L62" s="94"/>
    </row>
    <row r="63" spans="7:12" ht="15.75" x14ac:dyDescent="0.25">
      <c r="G63" s="92"/>
      <c r="H63" s="92"/>
      <c r="I63" s="92"/>
      <c r="J63" s="92"/>
      <c r="K63" s="92"/>
      <c r="L63" s="94"/>
    </row>
    <row r="64" spans="7:12" ht="15.75" x14ac:dyDescent="0.25">
      <c r="G64" s="92"/>
      <c r="H64" s="92"/>
      <c r="I64" s="92"/>
      <c r="J64" s="92"/>
      <c r="K64" s="92"/>
      <c r="L64" s="94"/>
    </row>
    <row r="65" spans="7:12" ht="15.75" x14ac:dyDescent="0.25">
      <c r="G65" s="92"/>
      <c r="H65" s="92"/>
      <c r="I65" s="92"/>
      <c r="J65" s="92"/>
      <c r="K65" s="92"/>
      <c r="L65" s="94"/>
    </row>
    <row r="66" spans="7:12" ht="15.75" x14ac:dyDescent="0.25">
      <c r="G66" s="92"/>
      <c r="H66" s="92"/>
      <c r="I66" s="92"/>
      <c r="J66" s="92"/>
      <c r="K66" s="92"/>
      <c r="L66" s="94"/>
    </row>
    <row r="67" spans="7:12" ht="15.75" x14ac:dyDescent="0.25">
      <c r="G67" s="92"/>
      <c r="H67" s="92"/>
      <c r="I67" s="92"/>
      <c r="J67" s="92"/>
      <c r="K67" s="92"/>
      <c r="L67" s="94"/>
    </row>
    <row r="68" spans="7:12" ht="15.75" x14ac:dyDescent="0.25">
      <c r="G68" s="92"/>
      <c r="H68" s="92"/>
      <c r="I68" s="92"/>
      <c r="J68" s="92"/>
      <c r="K68" s="92"/>
      <c r="L68" s="94"/>
    </row>
    <row r="69" spans="7:12" ht="15.75" x14ac:dyDescent="0.25">
      <c r="G69" s="92"/>
      <c r="H69" s="92"/>
      <c r="I69" s="92"/>
      <c r="J69" s="92"/>
      <c r="K69" s="92"/>
      <c r="L69" s="94"/>
    </row>
    <row r="70" spans="7:12" ht="15.75" x14ac:dyDescent="0.25">
      <c r="G70" s="92"/>
      <c r="H70" s="92"/>
      <c r="I70" s="92"/>
      <c r="J70" s="92"/>
      <c r="K70" s="92"/>
      <c r="L70" s="94"/>
    </row>
    <row r="71" spans="7:12" ht="15.75" x14ac:dyDescent="0.25">
      <c r="G71" s="92"/>
      <c r="H71" s="92"/>
      <c r="I71" s="92"/>
      <c r="J71" s="92"/>
      <c r="K71" s="92"/>
      <c r="L71" s="94"/>
    </row>
    <row r="72" spans="7:12" ht="15.75" x14ac:dyDescent="0.25">
      <c r="G72" s="92"/>
      <c r="H72" s="92"/>
      <c r="I72" s="92"/>
      <c r="J72" s="92"/>
      <c r="K72" s="92"/>
      <c r="L72" s="94"/>
    </row>
    <row r="73" spans="7:12" ht="15.75" x14ac:dyDescent="0.25">
      <c r="G73" s="92"/>
      <c r="H73" s="92"/>
      <c r="I73" s="92"/>
      <c r="J73" s="92"/>
      <c r="K73" s="92"/>
      <c r="L73" s="94"/>
    </row>
    <row r="74" spans="7:12" ht="15.75" x14ac:dyDescent="0.25">
      <c r="G74" s="92"/>
      <c r="H74" s="92"/>
      <c r="I74" s="92"/>
      <c r="J74" s="92"/>
      <c r="K74" s="92"/>
      <c r="L74" s="94"/>
    </row>
    <row r="75" spans="7:12" ht="15.75" x14ac:dyDescent="0.25">
      <c r="G75" s="92"/>
      <c r="H75" s="92"/>
      <c r="I75" s="92"/>
      <c r="J75" s="92"/>
      <c r="K75" s="92"/>
      <c r="L75" s="94"/>
    </row>
    <row r="76" spans="7:12" ht="15.75" x14ac:dyDescent="0.25">
      <c r="G76" s="92"/>
      <c r="H76" s="92"/>
      <c r="I76" s="92"/>
      <c r="J76" s="92"/>
      <c r="K76" s="92"/>
      <c r="L76" s="94"/>
    </row>
    <row r="77" spans="7:12" ht="15.75" x14ac:dyDescent="0.25">
      <c r="G77" s="92"/>
      <c r="H77" s="92"/>
      <c r="I77" s="92"/>
      <c r="J77" s="92"/>
      <c r="K77" s="92"/>
      <c r="L77" s="94"/>
    </row>
    <row r="78" spans="7:12" ht="15.75" x14ac:dyDescent="0.25">
      <c r="G78" s="92"/>
      <c r="H78" s="92"/>
      <c r="I78" s="92"/>
      <c r="J78" s="92"/>
      <c r="K78" s="92"/>
      <c r="L78" s="94"/>
    </row>
    <row r="79" spans="7:12" ht="15.75" x14ac:dyDescent="0.25">
      <c r="G79" s="92"/>
      <c r="H79" s="92"/>
      <c r="I79" s="92"/>
      <c r="J79" s="92"/>
      <c r="K79" s="92"/>
      <c r="L79" s="94"/>
    </row>
    <row r="80" spans="7:12" ht="15.75" x14ac:dyDescent="0.25">
      <c r="G80" s="92"/>
      <c r="H80" s="92"/>
      <c r="I80" s="92"/>
      <c r="J80" s="92"/>
      <c r="K80" s="92"/>
      <c r="L80" s="94"/>
    </row>
    <row r="81" spans="7:12" ht="15.75" x14ac:dyDescent="0.25">
      <c r="G81" s="92"/>
      <c r="H81" s="92"/>
      <c r="I81" s="92"/>
      <c r="J81" s="92"/>
      <c r="K81" s="92"/>
      <c r="L81" s="94"/>
    </row>
    <row r="82" spans="7:12" ht="15.75" x14ac:dyDescent="0.25">
      <c r="G82" s="92"/>
      <c r="H82" s="92"/>
      <c r="I82" s="92"/>
      <c r="J82" s="92"/>
      <c r="K82" s="92"/>
      <c r="L82" s="94"/>
    </row>
    <row r="83" spans="7:12" ht="15.75" x14ac:dyDescent="0.25">
      <c r="G83" s="92"/>
      <c r="H83" s="92"/>
      <c r="I83" s="92"/>
      <c r="J83" s="92"/>
      <c r="K83" s="92"/>
      <c r="L83" s="94"/>
    </row>
    <row r="84" spans="7:12" ht="15.75" x14ac:dyDescent="0.25">
      <c r="G84" s="92"/>
      <c r="H84" s="92"/>
      <c r="I84" s="92"/>
      <c r="J84" s="92"/>
      <c r="K84" s="92"/>
      <c r="L84" s="94"/>
    </row>
    <row r="85" spans="7:12" ht="15.75" x14ac:dyDescent="0.25">
      <c r="G85" s="92"/>
      <c r="H85" s="92"/>
      <c r="I85" s="92"/>
      <c r="J85" s="92"/>
      <c r="K85" s="92"/>
      <c r="L85" s="94"/>
    </row>
    <row r="86" spans="7:12" ht="15.75" x14ac:dyDescent="0.25">
      <c r="G86" s="92"/>
      <c r="H86" s="92"/>
      <c r="I86" s="92"/>
      <c r="J86" s="92"/>
      <c r="K86" s="92"/>
      <c r="L86" s="94"/>
    </row>
    <row r="87" spans="7:12" ht="15.75" x14ac:dyDescent="0.25">
      <c r="G87" s="92"/>
      <c r="H87" s="92"/>
      <c r="I87" s="92"/>
      <c r="J87" s="92"/>
      <c r="K87" s="92"/>
      <c r="L87" s="94"/>
    </row>
    <row r="88" spans="7:12" ht="15.75" x14ac:dyDescent="0.25">
      <c r="G88" s="92"/>
      <c r="H88" s="92"/>
      <c r="I88" s="92"/>
      <c r="J88" s="92"/>
      <c r="K88" s="92"/>
      <c r="L88" s="94"/>
    </row>
    <row r="89" spans="7:12" ht="15.75" x14ac:dyDescent="0.25">
      <c r="G89" s="92"/>
      <c r="H89" s="92"/>
      <c r="I89" s="92"/>
      <c r="J89" s="92"/>
      <c r="K89" s="92"/>
      <c r="L89" s="94"/>
    </row>
    <row r="90" spans="7:12" ht="15.75" x14ac:dyDescent="0.25">
      <c r="G90" s="92"/>
      <c r="H90" s="92"/>
      <c r="I90" s="92"/>
      <c r="J90" s="92"/>
      <c r="K90" s="92"/>
      <c r="L90" s="94"/>
    </row>
    <row r="91" spans="7:12" ht="15.75" x14ac:dyDescent="0.25">
      <c r="G91" s="92"/>
      <c r="H91" s="92"/>
      <c r="I91" s="92"/>
      <c r="J91" s="92"/>
      <c r="K91" s="92"/>
      <c r="L91" s="94"/>
    </row>
    <row r="92" spans="7:12" ht="15.75" x14ac:dyDescent="0.25">
      <c r="G92" s="92"/>
      <c r="H92" s="92"/>
      <c r="I92" s="92"/>
      <c r="J92" s="92"/>
      <c r="K92" s="92"/>
      <c r="L92" s="94"/>
    </row>
    <row r="93" spans="7:12" ht="15.75" x14ac:dyDescent="0.25">
      <c r="G93" s="92"/>
      <c r="H93" s="92"/>
      <c r="I93" s="92"/>
      <c r="J93" s="92"/>
      <c r="K93" s="92"/>
      <c r="L93" s="94"/>
    </row>
    <row r="94" spans="7:12" ht="15.75" x14ac:dyDescent="0.25">
      <c r="G94" s="92"/>
      <c r="H94" s="92"/>
      <c r="I94" s="92"/>
      <c r="J94" s="92"/>
      <c r="K94" s="92"/>
      <c r="L94" s="94"/>
    </row>
    <row r="95" spans="7:12" ht="15.75" x14ac:dyDescent="0.25">
      <c r="G95" s="92"/>
      <c r="H95" s="92"/>
      <c r="I95" s="92"/>
      <c r="J95" s="92"/>
      <c r="K95" s="92"/>
      <c r="L95" s="94"/>
    </row>
    <row r="96" spans="7:12" ht="15.75" x14ac:dyDescent="0.25">
      <c r="G96" s="92"/>
      <c r="H96" s="92"/>
      <c r="I96" s="92"/>
      <c r="J96" s="92"/>
      <c r="K96" s="92"/>
      <c r="L96" s="94"/>
    </row>
    <row r="97" spans="7:12" ht="15.75" x14ac:dyDescent="0.25">
      <c r="G97" s="92"/>
      <c r="H97" s="92"/>
      <c r="I97" s="92"/>
      <c r="J97" s="92"/>
      <c r="K97" s="92"/>
      <c r="L97" s="94"/>
    </row>
    <row r="98" spans="7:12" ht="15.75" x14ac:dyDescent="0.25">
      <c r="G98" s="92"/>
      <c r="H98" s="92"/>
      <c r="I98" s="92"/>
      <c r="J98" s="92"/>
      <c r="K98" s="92"/>
      <c r="L98" s="94"/>
    </row>
    <row r="99" spans="7:12" ht="15.75" x14ac:dyDescent="0.25">
      <c r="G99" s="92"/>
      <c r="H99" s="92"/>
      <c r="I99" s="92"/>
      <c r="J99" s="92"/>
      <c r="K99" s="92"/>
      <c r="L99" s="94"/>
    </row>
    <row r="100" spans="7:12" ht="15.75" x14ac:dyDescent="0.25">
      <c r="G100" s="92"/>
      <c r="H100" s="92"/>
      <c r="I100" s="92"/>
      <c r="J100" s="92"/>
      <c r="K100" s="92"/>
      <c r="L100" s="94"/>
    </row>
    <row r="101" spans="7:12" ht="15.75" x14ac:dyDescent="0.25">
      <c r="G101" s="92"/>
      <c r="H101" s="92"/>
      <c r="I101" s="92"/>
      <c r="J101" s="92"/>
      <c r="K101" s="92"/>
      <c r="L101" s="94"/>
    </row>
    <row r="102" spans="7:12" ht="15.75" x14ac:dyDescent="0.25">
      <c r="G102" s="92"/>
      <c r="H102" s="92"/>
      <c r="I102" s="92"/>
      <c r="J102" s="92"/>
      <c r="K102" s="92"/>
      <c r="L102" s="94"/>
    </row>
    <row r="103" spans="7:12" ht="15.75" x14ac:dyDescent="0.25">
      <c r="G103" s="92"/>
      <c r="H103" s="92"/>
      <c r="I103" s="92"/>
      <c r="J103" s="92"/>
      <c r="K103" s="92"/>
      <c r="L103" s="94"/>
    </row>
    <row r="104" spans="7:12" ht="15.75" x14ac:dyDescent="0.25">
      <c r="G104" s="92"/>
      <c r="H104" s="92"/>
      <c r="I104" s="92"/>
      <c r="J104" s="92"/>
      <c r="K104" s="92"/>
      <c r="L104" s="94"/>
    </row>
    <row r="105" spans="7:12" ht="15.75" x14ac:dyDescent="0.25">
      <c r="G105" s="92"/>
      <c r="H105" s="92"/>
      <c r="I105" s="92"/>
      <c r="J105" s="92"/>
      <c r="K105" s="92"/>
      <c r="L105" s="94"/>
    </row>
    <row r="106" spans="7:12" ht="15.75" x14ac:dyDescent="0.25">
      <c r="G106" s="92"/>
      <c r="H106" s="92"/>
      <c r="I106" s="92"/>
      <c r="J106" s="92"/>
      <c r="K106" s="92"/>
      <c r="L106" s="94"/>
    </row>
    <row r="107" spans="7:12" ht="15.75" x14ac:dyDescent="0.25">
      <c r="G107" s="92"/>
      <c r="H107" s="92"/>
      <c r="I107" s="92"/>
      <c r="J107" s="92"/>
      <c r="K107" s="92"/>
      <c r="L107" s="94"/>
    </row>
    <row r="108" spans="7:12" ht="15.75" x14ac:dyDescent="0.25">
      <c r="G108" s="92"/>
      <c r="H108" s="92"/>
      <c r="I108" s="92"/>
      <c r="J108" s="92"/>
      <c r="K108" s="92"/>
      <c r="L108" s="94"/>
    </row>
    <row r="109" spans="7:12" ht="15.75" x14ac:dyDescent="0.25">
      <c r="G109" s="92"/>
      <c r="H109" s="92"/>
      <c r="I109" s="92"/>
      <c r="J109" s="92"/>
      <c r="K109" s="92"/>
      <c r="L109" s="94"/>
    </row>
    <row r="110" spans="7:12" ht="15.75" x14ac:dyDescent="0.25">
      <c r="G110" s="92"/>
      <c r="H110" s="92"/>
      <c r="I110" s="92"/>
      <c r="J110" s="92"/>
      <c r="K110" s="92"/>
      <c r="L110" s="94"/>
    </row>
    <row r="111" spans="7:12" ht="15.75" x14ac:dyDescent="0.25">
      <c r="G111" s="92"/>
      <c r="H111" s="92"/>
      <c r="I111" s="92"/>
      <c r="J111" s="92"/>
      <c r="K111" s="92"/>
      <c r="L111" s="94"/>
    </row>
    <row r="112" spans="7:12" ht="15.75" x14ac:dyDescent="0.25">
      <c r="G112" s="92"/>
      <c r="H112" s="92"/>
      <c r="I112" s="92"/>
      <c r="J112" s="92"/>
      <c r="K112" s="92"/>
      <c r="L112" s="94"/>
    </row>
    <row r="113" spans="7:12" ht="15.75" x14ac:dyDescent="0.25">
      <c r="G113" s="92"/>
      <c r="H113" s="92"/>
      <c r="I113" s="92"/>
      <c r="J113" s="92"/>
      <c r="K113" s="92"/>
      <c r="L113" s="94"/>
    </row>
    <row r="114" spans="7:12" ht="15.75" x14ac:dyDescent="0.25">
      <c r="G114" s="92"/>
      <c r="H114" s="92"/>
      <c r="I114" s="92"/>
      <c r="J114" s="92"/>
      <c r="K114" s="92"/>
      <c r="L114" s="94"/>
    </row>
    <row r="115" spans="7:12" ht="15.75" x14ac:dyDescent="0.25">
      <c r="G115" s="92"/>
      <c r="H115" s="92"/>
      <c r="I115" s="92"/>
      <c r="J115" s="92"/>
      <c r="K115" s="92"/>
      <c r="L115" s="94"/>
    </row>
    <row r="116" spans="7:12" ht="15.75" x14ac:dyDescent="0.25">
      <c r="G116" s="92"/>
      <c r="H116" s="92"/>
      <c r="I116" s="92"/>
      <c r="J116" s="92"/>
      <c r="K116" s="92"/>
      <c r="L116" s="94"/>
    </row>
    <row r="117" spans="7:12" ht="15.75" x14ac:dyDescent="0.25">
      <c r="G117" s="92"/>
      <c r="H117" s="92"/>
      <c r="I117" s="92"/>
      <c r="J117" s="92"/>
      <c r="K117" s="92"/>
      <c r="L117" s="94"/>
    </row>
    <row r="118" spans="7:12" ht="15.75" x14ac:dyDescent="0.25">
      <c r="G118" s="92"/>
      <c r="H118" s="92"/>
      <c r="I118" s="92"/>
      <c r="J118" s="92"/>
      <c r="K118" s="92"/>
      <c r="L118" s="94"/>
    </row>
    <row r="119" spans="7:12" ht="15.75" x14ac:dyDescent="0.25">
      <c r="G119" s="92"/>
      <c r="H119" s="92"/>
      <c r="I119" s="92"/>
      <c r="J119" s="92"/>
      <c r="K119" s="92"/>
      <c r="L119" s="94"/>
    </row>
    <row r="120" spans="7:12" ht="15.75" x14ac:dyDescent="0.25">
      <c r="G120" s="92"/>
      <c r="H120" s="92"/>
      <c r="I120" s="92"/>
      <c r="J120" s="92"/>
      <c r="K120" s="92"/>
      <c r="L120" s="94"/>
    </row>
    <row r="121" spans="7:12" ht="15.75" x14ac:dyDescent="0.25">
      <c r="G121" s="92"/>
      <c r="H121" s="92"/>
      <c r="I121" s="92"/>
      <c r="J121" s="92"/>
      <c r="K121" s="92"/>
      <c r="L121" s="94"/>
    </row>
    <row r="122" spans="7:12" ht="15.75" x14ac:dyDescent="0.25">
      <c r="G122" s="92"/>
      <c r="H122" s="92"/>
      <c r="I122" s="92"/>
      <c r="J122" s="92"/>
      <c r="K122" s="92"/>
      <c r="L122" s="94"/>
    </row>
    <row r="123" spans="7:12" ht="15.75" x14ac:dyDescent="0.25">
      <c r="G123" s="92"/>
      <c r="H123" s="92"/>
      <c r="I123" s="92"/>
      <c r="J123" s="92"/>
      <c r="K123" s="92"/>
      <c r="L123" s="94"/>
    </row>
    <row r="124" spans="7:12" ht="15.75" x14ac:dyDescent="0.25">
      <c r="G124" s="92"/>
      <c r="H124" s="92"/>
      <c r="I124" s="92"/>
      <c r="J124" s="92"/>
      <c r="K124" s="92"/>
      <c r="L124" s="94"/>
    </row>
    <row r="125" spans="7:12" ht="15.75" x14ac:dyDescent="0.25">
      <c r="G125" s="92"/>
      <c r="H125" s="92"/>
      <c r="I125" s="92"/>
      <c r="J125" s="92"/>
      <c r="K125" s="92"/>
      <c r="L125" s="94"/>
    </row>
    <row r="126" spans="7:12" ht="15.75" x14ac:dyDescent="0.25">
      <c r="G126" s="92"/>
      <c r="H126" s="92"/>
      <c r="I126" s="92"/>
      <c r="J126" s="92"/>
      <c r="K126" s="92"/>
      <c r="L126" s="94"/>
    </row>
    <row r="127" spans="7:12" ht="15.75" x14ac:dyDescent="0.25">
      <c r="G127" s="92"/>
      <c r="H127" s="92"/>
      <c r="I127" s="92"/>
      <c r="J127" s="92"/>
      <c r="K127" s="92"/>
      <c r="L127" s="94"/>
    </row>
    <row r="128" spans="7:12" ht="15.75" x14ac:dyDescent="0.25">
      <c r="G128" s="92"/>
      <c r="H128" s="92"/>
      <c r="I128" s="92"/>
      <c r="J128" s="92"/>
      <c r="K128" s="92"/>
      <c r="L128" s="94"/>
    </row>
    <row r="129" spans="7:12" ht="15.75" x14ac:dyDescent="0.25">
      <c r="G129" s="92"/>
      <c r="H129" s="92"/>
      <c r="I129" s="92"/>
      <c r="J129" s="92"/>
      <c r="K129" s="92"/>
      <c r="L129" s="94"/>
    </row>
    <row r="130" spans="7:12" ht="15.75" x14ac:dyDescent="0.25">
      <c r="G130" s="92"/>
      <c r="H130" s="92"/>
      <c r="I130" s="92"/>
      <c r="J130" s="92"/>
      <c r="K130" s="92"/>
      <c r="L130" s="94"/>
    </row>
    <row r="131" spans="7:12" ht="15.75" x14ac:dyDescent="0.25">
      <c r="G131" s="92"/>
      <c r="H131" s="92"/>
      <c r="I131" s="92"/>
      <c r="J131" s="92"/>
      <c r="K131" s="92"/>
      <c r="L131" s="94"/>
    </row>
    <row r="132" spans="7:12" ht="15.75" x14ac:dyDescent="0.25">
      <c r="G132" s="92"/>
      <c r="H132" s="92"/>
      <c r="I132" s="92"/>
      <c r="J132" s="92"/>
      <c r="K132" s="92"/>
      <c r="L132" s="94"/>
    </row>
    <row r="133" spans="7:12" ht="15.75" x14ac:dyDescent="0.25">
      <c r="G133" s="92"/>
      <c r="H133" s="92"/>
      <c r="I133" s="92"/>
      <c r="J133" s="92"/>
      <c r="K133" s="92"/>
      <c r="L133" s="94"/>
    </row>
    <row r="134" spans="7:12" ht="15.75" x14ac:dyDescent="0.25">
      <c r="G134" s="92"/>
      <c r="H134" s="92"/>
      <c r="I134" s="92"/>
      <c r="J134" s="92"/>
      <c r="K134" s="92"/>
      <c r="L134" s="94"/>
    </row>
    <row r="135" spans="7:12" ht="15.75" x14ac:dyDescent="0.25">
      <c r="G135" s="92"/>
      <c r="H135" s="92"/>
      <c r="I135" s="92"/>
      <c r="J135" s="92"/>
      <c r="K135" s="92"/>
      <c r="L135" s="94"/>
    </row>
    <row r="136" spans="7:12" ht="15.75" x14ac:dyDescent="0.25">
      <c r="G136" s="92"/>
      <c r="H136" s="92"/>
      <c r="I136" s="92"/>
      <c r="J136" s="92"/>
      <c r="K136" s="92"/>
      <c r="L136" s="94"/>
    </row>
    <row r="137" spans="7:12" ht="15.75" x14ac:dyDescent="0.25">
      <c r="G137" s="92"/>
      <c r="H137" s="92"/>
      <c r="I137" s="92"/>
      <c r="J137" s="92"/>
      <c r="K137" s="92"/>
      <c r="L137" s="94"/>
    </row>
    <row r="138" spans="7:12" ht="15.75" x14ac:dyDescent="0.25">
      <c r="G138" s="92"/>
      <c r="H138" s="92"/>
      <c r="I138" s="92"/>
      <c r="J138" s="92"/>
      <c r="K138" s="92"/>
      <c r="L138" s="94"/>
    </row>
    <row r="139" spans="7:12" ht="15.75" x14ac:dyDescent="0.25">
      <c r="G139" s="92"/>
      <c r="H139" s="92"/>
      <c r="I139" s="92"/>
      <c r="J139" s="92"/>
      <c r="K139" s="92"/>
      <c r="L139" s="94"/>
    </row>
    <row r="140" spans="7:12" ht="15.75" x14ac:dyDescent="0.25">
      <c r="G140" s="92"/>
      <c r="H140" s="92"/>
      <c r="I140" s="92"/>
      <c r="J140" s="92"/>
      <c r="K140" s="92"/>
      <c r="L140" s="94"/>
    </row>
    <row r="141" spans="7:12" ht="15.75" x14ac:dyDescent="0.25">
      <c r="G141" s="92"/>
      <c r="H141" s="92"/>
      <c r="I141" s="92"/>
      <c r="J141" s="92"/>
      <c r="K141" s="92"/>
      <c r="L141" s="94"/>
    </row>
    <row r="142" spans="7:12" ht="15.75" x14ac:dyDescent="0.25">
      <c r="G142" s="92"/>
      <c r="H142" s="92"/>
      <c r="I142" s="92"/>
      <c r="J142" s="92"/>
      <c r="K142" s="92"/>
      <c r="L142" s="94"/>
    </row>
    <row r="143" spans="7:12" ht="15.75" x14ac:dyDescent="0.25">
      <c r="G143" s="92"/>
      <c r="H143" s="92"/>
      <c r="I143" s="92"/>
      <c r="J143" s="92"/>
      <c r="K143" s="92"/>
      <c r="L143" s="94"/>
    </row>
    <row r="144" spans="7:12" ht="15.75" x14ac:dyDescent="0.25">
      <c r="G144" s="92"/>
      <c r="H144" s="92"/>
      <c r="I144" s="92"/>
      <c r="J144" s="92"/>
      <c r="K144" s="92"/>
      <c r="L144" s="94"/>
    </row>
    <row r="145" spans="7:12" ht="15.75" x14ac:dyDescent="0.25">
      <c r="G145" s="92"/>
      <c r="H145" s="92"/>
      <c r="I145" s="92"/>
      <c r="J145" s="92"/>
      <c r="K145" s="92"/>
      <c r="L145" s="94"/>
    </row>
    <row r="146" spans="7:12" ht="15.75" x14ac:dyDescent="0.25">
      <c r="G146" s="92"/>
      <c r="H146" s="92"/>
      <c r="I146" s="92"/>
      <c r="J146" s="92"/>
      <c r="K146" s="92"/>
      <c r="L146" s="94"/>
    </row>
    <row r="147" spans="7:12" ht="15.75" x14ac:dyDescent="0.25">
      <c r="G147" s="92"/>
      <c r="H147" s="92"/>
      <c r="I147" s="92"/>
      <c r="J147" s="92"/>
      <c r="K147" s="92"/>
      <c r="L147" s="94"/>
    </row>
    <row r="148" spans="7:12" ht="15.75" x14ac:dyDescent="0.25">
      <c r="G148" s="92"/>
      <c r="H148" s="92"/>
      <c r="I148" s="92"/>
      <c r="J148" s="92"/>
      <c r="K148" s="92"/>
      <c r="L148" s="94"/>
    </row>
    <row r="149" spans="7:12" ht="15.75" x14ac:dyDescent="0.25">
      <c r="G149" s="92"/>
      <c r="H149" s="92"/>
      <c r="I149" s="92"/>
      <c r="J149" s="92"/>
      <c r="K149" s="92"/>
      <c r="L149" s="94"/>
    </row>
    <row r="150" spans="7:12" ht="15.75" x14ac:dyDescent="0.25">
      <c r="G150" s="92"/>
      <c r="H150" s="92"/>
      <c r="I150" s="92"/>
      <c r="J150" s="92"/>
      <c r="K150" s="92"/>
      <c r="L150" s="94"/>
    </row>
    <row r="151" spans="7:12" ht="15.75" x14ac:dyDescent="0.25">
      <c r="G151" s="92"/>
      <c r="H151" s="92"/>
      <c r="I151" s="92"/>
      <c r="J151" s="92"/>
      <c r="K151" s="92"/>
      <c r="L151" s="94"/>
    </row>
    <row r="152" spans="7:12" ht="15.75" x14ac:dyDescent="0.25">
      <c r="G152" s="92"/>
      <c r="H152" s="92"/>
      <c r="I152" s="92"/>
      <c r="J152" s="92"/>
      <c r="K152" s="92"/>
      <c r="L152" s="94"/>
    </row>
    <row r="153" spans="7:12" ht="15.75" x14ac:dyDescent="0.25">
      <c r="G153" s="92"/>
      <c r="H153" s="92"/>
      <c r="I153" s="92"/>
      <c r="J153" s="92"/>
      <c r="K153" s="92"/>
      <c r="L153" s="94"/>
    </row>
    <row r="154" spans="7:12" ht="15.75" x14ac:dyDescent="0.25">
      <c r="G154" s="92"/>
      <c r="H154" s="92"/>
      <c r="I154" s="92"/>
      <c r="J154" s="92"/>
      <c r="K154" s="92"/>
      <c r="L154" s="94"/>
    </row>
    <row r="155" spans="7:12" ht="15.75" x14ac:dyDescent="0.25">
      <c r="G155" s="92"/>
      <c r="H155" s="92"/>
      <c r="I155" s="92"/>
      <c r="J155" s="92"/>
      <c r="K155" s="92"/>
      <c r="L155" s="94"/>
    </row>
    <row r="156" spans="7:12" ht="15.75" x14ac:dyDescent="0.25">
      <c r="G156" s="107"/>
      <c r="H156" s="26"/>
      <c r="I156" s="26"/>
      <c r="J156" s="26"/>
      <c r="K156" s="26"/>
      <c r="L156" s="26"/>
    </row>
    <row r="157" spans="7:12" ht="15.75" x14ac:dyDescent="0.25">
      <c r="G157" s="107"/>
      <c r="H157" s="26"/>
      <c r="I157" s="26"/>
      <c r="J157" s="26"/>
      <c r="K157" s="26"/>
      <c r="L157" s="26"/>
    </row>
    <row r="158" spans="7:12" ht="15.75" x14ac:dyDescent="0.25">
      <c r="G158" s="107"/>
      <c r="H158" s="26"/>
      <c r="I158" s="26"/>
      <c r="J158" s="26"/>
      <c r="K158" s="26"/>
      <c r="L158" s="26"/>
    </row>
    <row r="159" spans="7:12" ht="15.75" x14ac:dyDescent="0.25">
      <c r="G159" s="107"/>
      <c r="H159" s="26"/>
      <c r="I159" s="26"/>
      <c r="J159" s="26"/>
      <c r="K159" s="26"/>
      <c r="L159" s="26"/>
    </row>
    <row r="160" spans="7:12" ht="15.75" x14ac:dyDescent="0.25">
      <c r="G160" s="107"/>
      <c r="H160" s="26"/>
      <c r="I160" s="26"/>
      <c r="J160" s="26"/>
      <c r="K160" s="26"/>
      <c r="L160" s="26"/>
    </row>
    <row r="161" spans="7:12" ht="15.75" x14ac:dyDescent="0.25">
      <c r="G161" s="107"/>
      <c r="H161" s="26"/>
      <c r="I161" s="26"/>
      <c r="J161" s="26"/>
      <c r="K161" s="26"/>
      <c r="L161" s="26"/>
    </row>
    <row r="162" spans="7:12" ht="15.75" x14ac:dyDescent="0.25">
      <c r="G162" s="107"/>
      <c r="H162" s="26"/>
      <c r="I162" s="26"/>
      <c r="J162" s="26"/>
      <c r="K162" s="26"/>
      <c r="L162" s="26"/>
    </row>
    <row r="163" spans="7:12" ht="15.75" x14ac:dyDescent="0.25">
      <c r="G163" s="107"/>
      <c r="H163" s="26"/>
      <c r="I163" s="26"/>
      <c r="J163" s="26"/>
      <c r="K163" s="26"/>
      <c r="L163" s="26"/>
    </row>
    <row r="164" spans="7:12" ht="15.75" x14ac:dyDescent="0.25">
      <c r="G164" s="107"/>
      <c r="H164" s="26"/>
      <c r="I164" s="26"/>
      <c r="J164" s="26"/>
      <c r="K164" s="26"/>
      <c r="L164" s="26"/>
    </row>
    <row r="165" spans="7:12" ht="15.75" x14ac:dyDescent="0.25">
      <c r="G165" s="107"/>
      <c r="H165" s="26"/>
      <c r="I165" s="26"/>
      <c r="J165" s="26"/>
      <c r="K165" s="26"/>
      <c r="L165" s="26"/>
    </row>
    <row r="166" spans="7:12" ht="15.75" x14ac:dyDescent="0.25">
      <c r="G166" s="107"/>
      <c r="H166" s="26"/>
      <c r="I166" s="26"/>
      <c r="J166" s="26"/>
      <c r="K166" s="26"/>
      <c r="L166" s="26"/>
    </row>
    <row r="167" spans="7:12" ht="15.75" x14ac:dyDescent="0.25">
      <c r="G167" s="107"/>
      <c r="H167" s="26"/>
      <c r="I167" s="26"/>
      <c r="J167" s="26"/>
      <c r="K167" s="26"/>
      <c r="L167" s="26"/>
    </row>
    <row r="168" spans="7:12" ht="15.75" x14ac:dyDescent="0.25">
      <c r="G168" s="107"/>
      <c r="H168" s="26"/>
      <c r="I168" s="26"/>
      <c r="J168" s="26"/>
      <c r="K168" s="26"/>
      <c r="L168" s="26"/>
    </row>
    <row r="169" spans="7:12" ht="15.75" x14ac:dyDescent="0.25">
      <c r="G169" s="107"/>
      <c r="H169" s="26"/>
      <c r="I169" s="26"/>
      <c r="J169" s="26"/>
      <c r="K169" s="26"/>
      <c r="L169" s="26"/>
    </row>
    <row r="170" spans="7:12" ht="15.75" x14ac:dyDescent="0.25">
      <c r="G170" s="107"/>
      <c r="H170" s="26"/>
      <c r="I170" s="26"/>
      <c r="J170" s="26"/>
      <c r="K170" s="26"/>
      <c r="L170" s="26"/>
    </row>
    <row r="171" spans="7:12" ht="15.75" x14ac:dyDescent="0.25">
      <c r="G171" s="107"/>
      <c r="H171" s="26"/>
      <c r="I171" s="26"/>
      <c r="J171" s="26"/>
      <c r="K171" s="26"/>
      <c r="L171" s="26"/>
    </row>
    <row r="172" spans="7:12" ht="15.75" x14ac:dyDescent="0.25">
      <c r="G172" s="107"/>
      <c r="H172" s="26"/>
      <c r="I172" s="26"/>
      <c r="J172" s="26"/>
      <c r="K172" s="26"/>
      <c r="L172" s="26"/>
    </row>
    <row r="173" spans="7:12" ht="15.75" x14ac:dyDescent="0.25">
      <c r="G173" s="107"/>
      <c r="H173" s="26"/>
      <c r="I173" s="26"/>
      <c r="J173" s="26"/>
      <c r="K173" s="26"/>
      <c r="L173" s="26"/>
    </row>
    <row r="174" spans="7:12" ht="15.75" x14ac:dyDescent="0.25">
      <c r="G174" s="107"/>
      <c r="H174" s="26"/>
      <c r="I174" s="26"/>
      <c r="J174" s="26"/>
      <c r="K174" s="26"/>
      <c r="L174" s="26"/>
    </row>
    <row r="175" spans="7:12" ht="15.75" x14ac:dyDescent="0.25">
      <c r="G175" s="107"/>
      <c r="H175" s="26"/>
      <c r="I175" s="26"/>
      <c r="J175" s="26"/>
      <c r="K175" s="26"/>
      <c r="L175" s="26"/>
    </row>
    <row r="176" spans="7:12" ht="15.75" x14ac:dyDescent="0.25">
      <c r="G176" s="107"/>
      <c r="H176" s="26"/>
      <c r="I176" s="26"/>
      <c r="J176" s="26"/>
      <c r="K176" s="26"/>
      <c r="L176" s="26"/>
    </row>
    <row r="177" spans="7:12" ht="15.75" x14ac:dyDescent="0.25">
      <c r="G177" s="107"/>
      <c r="H177" s="26"/>
      <c r="I177" s="26"/>
      <c r="J177" s="26"/>
      <c r="K177" s="26"/>
      <c r="L177" s="26"/>
    </row>
    <row r="178" spans="7:12" ht="15.75" x14ac:dyDescent="0.25">
      <c r="G178" s="107"/>
      <c r="H178" s="26"/>
      <c r="I178" s="26"/>
      <c r="J178" s="26"/>
      <c r="K178" s="26"/>
      <c r="L178" s="26"/>
    </row>
    <row r="179" spans="7:12" ht="15.75" x14ac:dyDescent="0.25">
      <c r="G179" s="107"/>
      <c r="H179" s="26"/>
      <c r="I179" s="26"/>
      <c r="J179" s="26"/>
      <c r="K179" s="26"/>
      <c r="L179" s="26"/>
    </row>
    <row r="180" spans="7:12" ht="15.75" x14ac:dyDescent="0.25">
      <c r="G180" s="107"/>
      <c r="H180" s="26"/>
      <c r="I180" s="26"/>
      <c r="J180" s="26"/>
      <c r="K180" s="26"/>
      <c r="L180" s="26"/>
    </row>
    <row r="181" spans="7:12" ht="15.75" x14ac:dyDescent="0.25">
      <c r="G181" s="107"/>
      <c r="H181" s="26"/>
      <c r="I181" s="26"/>
      <c r="J181" s="26"/>
      <c r="K181" s="26"/>
      <c r="L181" s="26"/>
    </row>
    <row r="182" spans="7:12" ht="15.75" x14ac:dyDescent="0.25">
      <c r="G182" s="107"/>
      <c r="H182" s="26"/>
      <c r="I182" s="26"/>
      <c r="J182" s="26"/>
      <c r="K182" s="26"/>
      <c r="L182" s="26"/>
    </row>
    <row r="183" spans="7:12" ht="15.75" x14ac:dyDescent="0.25">
      <c r="G183" s="107"/>
      <c r="H183" s="26"/>
      <c r="I183" s="26"/>
      <c r="J183" s="26"/>
      <c r="K183" s="26"/>
      <c r="L183" s="26"/>
    </row>
    <row r="184" spans="7:12" ht="15.75" x14ac:dyDescent="0.25">
      <c r="G184" s="107"/>
      <c r="H184" s="26"/>
      <c r="I184" s="26"/>
      <c r="J184" s="26"/>
      <c r="K184" s="26"/>
      <c r="L184" s="26"/>
    </row>
    <row r="185" spans="7:12" ht="15.75" x14ac:dyDescent="0.25">
      <c r="G185" s="107"/>
      <c r="H185" s="26"/>
      <c r="I185" s="26"/>
      <c r="J185" s="26"/>
      <c r="K185" s="26"/>
      <c r="L185" s="26"/>
    </row>
    <row r="186" spans="7:12" ht="15.75" x14ac:dyDescent="0.25">
      <c r="G186" s="107"/>
      <c r="H186" s="26"/>
      <c r="I186" s="26"/>
      <c r="J186" s="26"/>
      <c r="K186" s="26"/>
      <c r="L186" s="26"/>
    </row>
    <row r="187" spans="7:12" ht="15.75" x14ac:dyDescent="0.25">
      <c r="G187" s="107"/>
      <c r="H187" s="26"/>
      <c r="I187" s="26"/>
      <c r="J187" s="26"/>
      <c r="K187" s="26"/>
      <c r="L187" s="26"/>
    </row>
    <row r="188" spans="7:12" ht="15.75" x14ac:dyDescent="0.25">
      <c r="G188" s="107"/>
      <c r="H188" s="26"/>
      <c r="I188" s="26"/>
      <c r="J188" s="26"/>
      <c r="K188" s="26"/>
      <c r="L188" s="26"/>
    </row>
    <row r="189" spans="7:12" ht="15.75" x14ac:dyDescent="0.25">
      <c r="G189" s="107"/>
      <c r="H189" s="26"/>
      <c r="I189" s="26"/>
      <c r="J189" s="26"/>
      <c r="K189" s="26"/>
      <c r="L189" s="26"/>
    </row>
    <row r="190" spans="7:12" ht="15.75" x14ac:dyDescent="0.25">
      <c r="G190" s="107"/>
      <c r="H190" s="26"/>
      <c r="I190" s="26"/>
      <c r="J190" s="26"/>
      <c r="K190" s="26"/>
      <c r="L190" s="26"/>
    </row>
    <row r="191" spans="7:12" ht="15.75" x14ac:dyDescent="0.25">
      <c r="G191" s="107"/>
      <c r="H191" s="26"/>
      <c r="I191" s="26"/>
      <c r="J191" s="26"/>
      <c r="K191" s="26"/>
      <c r="L191" s="26"/>
    </row>
    <row r="192" spans="7:12" ht="15.75" x14ac:dyDescent="0.25">
      <c r="G192" s="107"/>
      <c r="H192" s="26"/>
      <c r="I192" s="26"/>
      <c r="J192" s="26"/>
      <c r="K192" s="26"/>
      <c r="L192" s="26"/>
    </row>
    <row r="193" spans="7:12" ht="15.75" x14ac:dyDescent="0.25">
      <c r="G193" s="107"/>
      <c r="H193" s="26"/>
      <c r="I193" s="26"/>
      <c r="J193" s="26"/>
      <c r="K193" s="26"/>
      <c r="L193" s="26"/>
    </row>
    <row r="194" spans="7:12" ht="15.75" x14ac:dyDescent="0.25">
      <c r="G194" s="107"/>
      <c r="H194" s="26"/>
      <c r="I194" s="26"/>
      <c r="J194" s="26"/>
      <c r="K194" s="26"/>
      <c r="L194" s="26"/>
    </row>
    <row r="195" spans="7:12" ht="15.75" x14ac:dyDescent="0.25">
      <c r="G195" s="107"/>
      <c r="H195" s="26"/>
      <c r="I195" s="26"/>
      <c r="J195" s="26"/>
      <c r="K195" s="26"/>
      <c r="L195" s="26"/>
    </row>
    <row r="196" spans="7:12" ht="15.75" x14ac:dyDescent="0.25">
      <c r="G196" s="107"/>
      <c r="H196" s="26"/>
      <c r="I196" s="26"/>
      <c r="J196" s="26"/>
      <c r="K196" s="26"/>
      <c r="L196" s="26"/>
    </row>
    <row r="197" spans="7:12" ht="15.75" x14ac:dyDescent="0.25">
      <c r="G197" s="107"/>
      <c r="H197" s="26"/>
      <c r="I197" s="26"/>
      <c r="J197" s="26"/>
      <c r="K197" s="26"/>
      <c r="L197" s="26"/>
    </row>
    <row r="198" spans="7:12" ht="15.75" x14ac:dyDescent="0.25">
      <c r="G198" s="107"/>
      <c r="H198" s="26"/>
      <c r="I198" s="26"/>
      <c r="J198" s="26"/>
      <c r="K198" s="26"/>
      <c r="L198" s="26"/>
    </row>
    <row r="199" spans="7:12" ht="15.75" x14ac:dyDescent="0.25">
      <c r="G199" s="107"/>
      <c r="H199" s="26"/>
      <c r="I199" s="26"/>
      <c r="J199" s="26"/>
      <c r="K199" s="26"/>
      <c r="L199" s="26"/>
    </row>
    <row r="200" spans="7:12" ht="15.75" x14ac:dyDescent="0.25">
      <c r="G200" s="107"/>
      <c r="H200" s="26"/>
      <c r="I200" s="26"/>
      <c r="J200" s="26"/>
      <c r="K200" s="26"/>
      <c r="L200" s="26"/>
    </row>
    <row r="201" spans="7:12" ht="15.75" x14ac:dyDescent="0.25">
      <c r="G201" s="107"/>
      <c r="H201" s="26"/>
      <c r="I201" s="26"/>
      <c r="J201" s="26"/>
      <c r="K201" s="26"/>
      <c r="L201" s="26"/>
    </row>
    <row r="202" spans="7:12" ht="15.75" x14ac:dyDescent="0.25">
      <c r="G202" s="107"/>
      <c r="H202" s="26"/>
      <c r="I202" s="26"/>
      <c r="J202" s="26"/>
      <c r="K202" s="26"/>
      <c r="L202" s="26"/>
    </row>
    <row r="203" spans="7:12" ht="15.75" x14ac:dyDescent="0.25">
      <c r="G203" s="107"/>
      <c r="H203" s="26"/>
      <c r="I203" s="26"/>
      <c r="J203" s="26"/>
      <c r="K203" s="26"/>
      <c r="L203" s="26"/>
    </row>
    <row r="204" spans="7:12" ht="15.75" x14ac:dyDescent="0.25">
      <c r="G204" s="107"/>
      <c r="H204" s="26"/>
      <c r="I204" s="26"/>
      <c r="J204" s="26"/>
      <c r="K204" s="26"/>
      <c r="L204" s="26"/>
    </row>
    <row r="205" spans="7:12" ht="15.75" x14ac:dyDescent="0.25">
      <c r="G205" s="107"/>
      <c r="H205" s="26"/>
      <c r="I205" s="26"/>
      <c r="J205" s="26"/>
      <c r="K205" s="26"/>
      <c r="L205" s="26"/>
    </row>
    <row r="206" spans="7:12" ht="15.75" x14ac:dyDescent="0.25">
      <c r="G206" s="107"/>
      <c r="H206" s="26"/>
      <c r="I206" s="26"/>
      <c r="J206" s="26"/>
      <c r="K206" s="26"/>
      <c r="L206" s="26"/>
    </row>
    <row r="207" spans="7:12" ht="15.75" x14ac:dyDescent="0.25">
      <c r="G207" s="107"/>
      <c r="H207" s="26"/>
      <c r="I207" s="26"/>
      <c r="J207" s="26"/>
      <c r="K207" s="26"/>
      <c r="L207" s="26"/>
    </row>
    <row r="208" spans="7:12" ht="15.75" x14ac:dyDescent="0.25">
      <c r="G208" s="107"/>
      <c r="H208" s="26"/>
      <c r="I208" s="26"/>
      <c r="J208" s="26"/>
      <c r="K208" s="26"/>
      <c r="L208" s="26"/>
    </row>
    <row r="209" spans="7:12" ht="15.75" x14ac:dyDescent="0.25">
      <c r="G209" s="107"/>
      <c r="H209" s="26"/>
      <c r="I209" s="26"/>
      <c r="J209" s="26"/>
      <c r="K209" s="26"/>
      <c r="L209" s="26"/>
    </row>
    <row r="210" spans="7:12" ht="15.75" x14ac:dyDescent="0.25">
      <c r="G210" s="107"/>
      <c r="H210" s="26"/>
      <c r="I210" s="26"/>
      <c r="J210" s="26"/>
      <c r="K210" s="26"/>
      <c r="L210" s="26"/>
    </row>
    <row r="211" spans="7:12" ht="15.75" x14ac:dyDescent="0.25">
      <c r="G211" s="107"/>
      <c r="H211" s="26"/>
      <c r="I211" s="26"/>
      <c r="J211" s="26"/>
      <c r="K211" s="26"/>
      <c r="L211" s="26"/>
    </row>
    <row r="212" spans="7:12" ht="15.75" x14ac:dyDescent="0.25">
      <c r="G212" s="107"/>
      <c r="H212" s="26"/>
      <c r="I212" s="26"/>
      <c r="J212" s="26"/>
      <c r="K212" s="26"/>
      <c r="L212" s="26"/>
    </row>
    <row r="213" spans="7:12" ht="15.75" x14ac:dyDescent="0.25">
      <c r="G213" s="107"/>
      <c r="H213" s="26"/>
      <c r="I213" s="26"/>
      <c r="J213" s="26"/>
      <c r="K213" s="26"/>
      <c r="L213" s="26"/>
    </row>
    <row r="214" spans="7:12" ht="15.75" x14ac:dyDescent="0.25">
      <c r="G214" s="107"/>
      <c r="H214" s="26"/>
      <c r="I214" s="26"/>
      <c r="J214" s="26"/>
      <c r="K214" s="26"/>
      <c r="L214" s="26"/>
    </row>
    <row r="215" spans="7:12" ht="15.75" x14ac:dyDescent="0.25">
      <c r="G215" s="107"/>
      <c r="H215" s="26"/>
      <c r="I215" s="26"/>
      <c r="J215" s="26"/>
      <c r="K215" s="26"/>
      <c r="L215" s="26"/>
    </row>
    <row r="216" spans="7:12" ht="15.75" x14ac:dyDescent="0.25">
      <c r="G216" s="107"/>
      <c r="H216" s="26"/>
      <c r="I216" s="26"/>
      <c r="J216" s="26"/>
      <c r="K216" s="26"/>
      <c r="L216" s="26"/>
    </row>
    <row r="217" spans="7:12" ht="15.75" x14ac:dyDescent="0.25">
      <c r="G217" s="107"/>
      <c r="H217" s="26"/>
      <c r="I217" s="26"/>
      <c r="J217" s="26"/>
      <c r="K217" s="26"/>
      <c r="L217" s="26"/>
    </row>
    <row r="218" spans="7:12" ht="15.75" x14ac:dyDescent="0.25">
      <c r="G218" s="107"/>
      <c r="H218" s="26"/>
      <c r="I218" s="26"/>
      <c r="J218" s="26"/>
      <c r="K218" s="26"/>
      <c r="L218" s="26"/>
    </row>
    <row r="219" spans="7:12" ht="15.75" x14ac:dyDescent="0.25">
      <c r="G219" s="107"/>
      <c r="H219" s="26"/>
      <c r="I219" s="26"/>
      <c r="J219" s="26"/>
      <c r="K219" s="26"/>
      <c r="L219" s="26"/>
    </row>
    <row r="220" spans="7:12" ht="15.75" x14ac:dyDescent="0.25">
      <c r="G220" s="107"/>
      <c r="H220" s="26"/>
      <c r="I220" s="26"/>
      <c r="J220" s="26"/>
      <c r="K220" s="26"/>
      <c r="L220" s="26"/>
    </row>
    <row r="221" spans="7:12" ht="15.75" x14ac:dyDescent="0.25">
      <c r="G221" s="107"/>
      <c r="H221" s="26"/>
      <c r="I221" s="26"/>
      <c r="J221" s="26"/>
      <c r="K221" s="26"/>
      <c r="L221" s="26"/>
    </row>
    <row r="222" spans="7:12" ht="15.75" x14ac:dyDescent="0.25">
      <c r="G222" s="107"/>
      <c r="H222" s="26"/>
      <c r="I222" s="26"/>
      <c r="J222" s="26"/>
      <c r="K222" s="26"/>
      <c r="L222" s="26"/>
    </row>
    <row r="223" spans="7:12" ht="15.75" x14ac:dyDescent="0.25">
      <c r="G223" s="107"/>
      <c r="H223" s="26"/>
      <c r="I223" s="26"/>
      <c r="J223" s="26"/>
      <c r="K223" s="26"/>
      <c r="L223" s="26"/>
    </row>
    <row r="224" spans="7:12" ht="15.75" x14ac:dyDescent="0.25">
      <c r="G224" s="107"/>
      <c r="H224" s="26"/>
      <c r="I224" s="26"/>
      <c r="J224" s="26"/>
      <c r="K224" s="26"/>
      <c r="L224" s="26"/>
    </row>
    <row r="225" spans="7:12" ht="15.75" x14ac:dyDescent="0.25">
      <c r="G225" s="107"/>
      <c r="H225" s="26"/>
      <c r="I225" s="26"/>
      <c r="J225" s="26"/>
      <c r="K225" s="26"/>
      <c r="L225" s="26"/>
    </row>
    <row r="226" spans="7:12" ht="15.75" x14ac:dyDescent="0.25">
      <c r="G226" s="107"/>
      <c r="H226" s="26"/>
      <c r="I226" s="26"/>
      <c r="J226" s="26"/>
      <c r="K226" s="26"/>
      <c r="L226" s="26"/>
    </row>
    <row r="227" spans="7:12" ht="15.75" x14ac:dyDescent="0.25">
      <c r="G227" s="107"/>
      <c r="H227" s="26"/>
      <c r="I227" s="26"/>
      <c r="J227" s="26"/>
      <c r="K227" s="26"/>
      <c r="L227" s="26"/>
    </row>
    <row r="228" spans="7:12" ht="15.75" x14ac:dyDescent="0.25">
      <c r="G228" s="107"/>
      <c r="H228" s="26"/>
      <c r="I228" s="26"/>
      <c r="J228" s="26"/>
      <c r="K228" s="26"/>
      <c r="L228" s="26"/>
    </row>
    <row r="229" spans="7:12" ht="15.75" x14ac:dyDescent="0.25">
      <c r="G229" s="107"/>
      <c r="H229" s="26"/>
      <c r="I229" s="26"/>
      <c r="J229" s="26"/>
      <c r="K229" s="26"/>
      <c r="L229" s="26"/>
    </row>
    <row r="230" spans="7:12" ht="15.75" x14ac:dyDescent="0.25">
      <c r="G230" s="107"/>
      <c r="H230" s="26"/>
      <c r="I230" s="26"/>
      <c r="J230" s="26"/>
      <c r="K230" s="26"/>
      <c r="L230" s="26"/>
    </row>
    <row r="231" spans="7:12" ht="15.75" x14ac:dyDescent="0.25">
      <c r="G231" s="107"/>
      <c r="H231" s="26"/>
      <c r="I231" s="26"/>
      <c r="J231" s="26"/>
      <c r="K231" s="26"/>
      <c r="L231" s="26"/>
    </row>
    <row r="232" spans="7:12" ht="15.75" x14ac:dyDescent="0.25">
      <c r="G232" s="107"/>
      <c r="H232" s="26"/>
      <c r="I232" s="26"/>
      <c r="J232" s="26"/>
      <c r="K232" s="26"/>
      <c r="L232" s="26"/>
    </row>
    <row r="233" spans="7:12" ht="15.75" x14ac:dyDescent="0.25">
      <c r="G233" s="107"/>
      <c r="H233" s="26"/>
      <c r="I233" s="26"/>
      <c r="J233" s="26"/>
      <c r="K233" s="26"/>
      <c r="L233" s="26"/>
    </row>
    <row r="234" spans="7:12" ht="15.75" x14ac:dyDescent="0.25">
      <c r="G234" s="107"/>
      <c r="H234" s="26"/>
      <c r="I234" s="26"/>
      <c r="J234" s="26"/>
      <c r="K234" s="26"/>
      <c r="L234" s="26"/>
    </row>
    <row r="235" spans="7:12" ht="15.75" x14ac:dyDescent="0.25">
      <c r="G235" s="107"/>
      <c r="H235" s="26"/>
      <c r="I235" s="26"/>
      <c r="J235" s="26"/>
      <c r="K235" s="26"/>
      <c r="L235" s="26"/>
    </row>
    <row r="236" spans="7:12" ht="15.75" x14ac:dyDescent="0.25">
      <c r="G236" s="107"/>
      <c r="H236" s="26"/>
      <c r="I236" s="26"/>
      <c r="J236" s="26"/>
      <c r="K236" s="26"/>
      <c r="L236" s="26"/>
    </row>
    <row r="237" spans="7:12" ht="15.75" x14ac:dyDescent="0.25">
      <c r="G237" s="107"/>
      <c r="H237" s="26"/>
      <c r="I237" s="26"/>
      <c r="J237" s="26"/>
      <c r="K237" s="26"/>
      <c r="L237" s="26"/>
    </row>
    <row r="238" spans="7:12" ht="15.75" x14ac:dyDescent="0.25">
      <c r="G238" s="107"/>
      <c r="H238" s="26"/>
      <c r="I238" s="26"/>
      <c r="J238" s="26"/>
      <c r="K238" s="26"/>
      <c r="L238" s="26"/>
    </row>
    <row r="239" spans="7:12" ht="15.75" x14ac:dyDescent="0.25">
      <c r="G239" s="107"/>
      <c r="H239" s="26"/>
      <c r="I239" s="26"/>
      <c r="J239" s="26"/>
      <c r="K239" s="26"/>
      <c r="L239" s="26"/>
    </row>
    <row r="240" spans="7:12" ht="15.75" x14ac:dyDescent="0.25">
      <c r="G240" s="107"/>
      <c r="H240" s="26"/>
      <c r="I240" s="26"/>
      <c r="J240" s="26"/>
      <c r="K240" s="26"/>
      <c r="L240" s="26"/>
    </row>
    <row r="241" spans="7:12" ht="15.75" x14ac:dyDescent="0.25">
      <c r="G241" s="107"/>
      <c r="H241" s="26"/>
      <c r="I241" s="26"/>
      <c r="J241" s="26"/>
      <c r="K241" s="26"/>
      <c r="L241" s="26"/>
    </row>
    <row r="242" spans="7:12" ht="15.75" x14ac:dyDescent="0.25">
      <c r="G242" s="107"/>
      <c r="H242" s="26"/>
      <c r="I242" s="26"/>
      <c r="J242" s="26"/>
      <c r="K242" s="26"/>
      <c r="L242" s="26"/>
    </row>
    <row r="243" spans="7:12" ht="15.75" x14ac:dyDescent="0.25">
      <c r="G243" s="107"/>
      <c r="H243" s="26"/>
      <c r="I243" s="26"/>
      <c r="J243" s="26"/>
      <c r="K243" s="26"/>
      <c r="L243" s="26"/>
    </row>
    <row r="244" spans="7:12" ht="15.75" x14ac:dyDescent="0.25">
      <c r="G244" s="107"/>
      <c r="H244" s="26"/>
      <c r="I244" s="26"/>
      <c r="J244" s="26"/>
      <c r="K244" s="26"/>
      <c r="L244" s="26"/>
    </row>
    <row r="245" spans="7:12" ht="15.75" x14ac:dyDescent="0.25">
      <c r="G245" s="107"/>
      <c r="H245" s="26"/>
      <c r="I245" s="26"/>
      <c r="J245" s="26"/>
      <c r="K245" s="26"/>
      <c r="L245" s="26"/>
    </row>
    <row r="246" spans="7:12" ht="15.75" x14ac:dyDescent="0.25">
      <c r="G246" s="107"/>
      <c r="H246" s="26"/>
      <c r="I246" s="26"/>
      <c r="J246" s="26"/>
      <c r="K246" s="26"/>
      <c r="L246" s="26"/>
    </row>
    <row r="247" spans="7:12" ht="15.75" x14ac:dyDescent="0.25">
      <c r="G247" s="107"/>
      <c r="H247" s="26"/>
      <c r="I247" s="26"/>
      <c r="J247" s="26"/>
      <c r="K247" s="26"/>
      <c r="L247" s="26"/>
    </row>
    <row r="248" spans="7:12" ht="15.75" x14ac:dyDescent="0.25">
      <c r="G248" s="107"/>
      <c r="H248" s="26"/>
      <c r="I248" s="26"/>
      <c r="J248" s="26"/>
      <c r="K248" s="26"/>
      <c r="L248" s="26"/>
    </row>
    <row r="249" spans="7:12" ht="15.75" x14ac:dyDescent="0.25">
      <c r="G249" s="107"/>
      <c r="H249" s="26"/>
      <c r="I249" s="26"/>
      <c r="J249" s="26"/>
      <c r="K249" s="26"/>
      <c r="L249" s="26"/>
    </row>
    <row r="250" spans="7:12" ht="15.75" x14ac:dyDescent="0.25">
      <c r="G250" s="107"/>
      <c r="H250" s="26"/>
      <c r="I250" s="26"/>
      <c r="J250" s="26"/>
      <c r="K250" s="26"/>
      <c r="L250" s="26"/>
    </row>
    <row r="251" spans="7:12" ht="15.75" x14ac:dyDescent="0.25">
      <c r="G251" s="107"/>
      <c r="H251" s="26"/>
      <c r="I251" s="26"/>
      <c r="J251" s="26"/>
      <c r="K251" s="26"/>
      <c r="L251" s="26"/>
    </row>
    <row r="252" spans="7:12" ht="15.75" x14ac:dyDescent="0.25">
      <c r="G252" s="107"/>
      <c r="H252" s="26"/>
      <c r="I252" s="26"/>
      <c r="J252" s="26"/>
      <c r="K252" s="26"/>
      <c r="L252" s="26"/>
    </row>
    <row r="253" spans="7:12" ht="15.75" x14ac:dyDescent="0.25">
      <c r="G253" s="107"/>
      <c r="H253" s="26"/>
      <c r="I253" s="26"/>
      <c r="J253" s="26"/>
      <c r="K253" s="26"/>
      <c r="L253" s="26"/>
    </row>
    <row r="254" spans="7:12" ht="15.75" x14ac:dyDescent="0.25">
      <c r="G254" s="107"/>
      <c r="H254" s="26"/>
      <c r="I254" s="26"/>
      <c r="J254" s="26"/>
      <c r="K254" s="26"/>
      <c r="L254" s="26"/>
    </row>
    <row r="255" spans="7:12" ht="15.75" x14ac:dyDescent="0.25">
      <c r="G255" s="107"/>
      <c r="H255" s="26"/>
      <c r="I255" s="26"/>
      <c r="J255" s="26"/>
      <c r="K255" s="26"/>
      <c r="L255" s="26"/>
    </row>
    <row r="256" spans="7:12" ht="15.75" x14ac:dyDescent="0.25">
      <c r="G256" s="107"/>
      <c r="H256" s="26"/>
      <c r="I256" s="26"/>
      <c r="J256" s="26"/>
      <c r="K256" s="26"/>
      <c r="L256" s="26"/>
    </row>
    <row r="257" spans="7:12" ht="15.75" x14ac:dyDescent="0.25">
      <c r="G257" s="107"/>
      <c r="H257" s="26"/>
      <c r="I257" s="26"/>
      <c r="J257" s="26"/>
      <c r="K257" s="26"/>
      <c r="L257" s="26"/>
    </row>
    <row r="258" spans="7:12" ht="15.75" x14ac:dyDescent="0.25">
      <c r="G258" s="107"/>
      <c r="H258" s="26"/>
      <c r="I258" s="26"/>
      <c r="J258" s="26"/>
      <c r="K258" s="26"/>
      <c r="L258" s="26"/>
    </row>
    <row r="259" spans="7:12" ht="15.75" x14ac:dyDescent="0.25">
      <c r="G259" s="107"/>
      <c r="H259" s="26"/>
      <c r="I259" s="26"/>
      <c r="J259" s="26"/>
      <c r="K259" s="26"/>
      <c r="L259" s="26"/>
    </row>
    <row r="260" spans="7:12" ht="15.75" x14ac:dyDescent="0.25">
      <c r="G260" s="107"/>
      <c r="H260" s="26"/>
      <c r="I260" s="26"/>
      <c r="J260" s="26"/>
      <c r="K260" s="26"/>
      <c r="L260" s="26"/>
    </row>
    <row r="261" spans="7:12" ht="15.75" x14ac:dyDescent="0.25">
      <c r="G261" s="107"/>
      <c r="H261" s="26"/>
      <c r="I261" s="26"/>
      <c r="J261" s="26"/>
      <c r="K261" s="26"/>
      <c r="L261" s="26"/>
    </row>
    <row r="262" spans="7:12" ht="15.75" x14ac:dyDescent="0.25">
      <c r="G262" s="107"/>
      <c r="H262" s="26"/>
      <c r="I262" s="26"/>
      <c r="J262" s="26"/>
      <c r="K262" s="26"/>
      <c r="L262" s="26"/>
    </row>
    <row r="263" spans="7:12" ht="15.75" x14ac:dyDescent="0.25">
      <c r="G263" s="107"/>
      <c r="H263" s="26"/>
      <c r="I263" s="26"/>
      <c r="J263" s="26"/>
      <c r="K263" s="26"/>
      <c r="L263" s="26"/>
    </row>
    <row r="264" spans="7:12" ht="15.75" x14ac:dyDescent="0.25">
      <c r="G264" s="107"/>
      <c r="H264" s="26"/>
      <c r="I264" s="26"/>
      <c r="J264" s="26"/>
      <c r="K264" s="26"/>
      <c r="L264" s="26"/>
    </row>
    <row r="265" spans="7:12" ht="15.75" x14ac:dyDescent="0.25">
      <c r="G265" s="107"/>
      <c r="H265" s="26"/>
      <c r="I265" s="26"/>
      <c r="J265" s="26"/>
      <c r="K265" s="26"/>
      <c r="L265" s="26"/>
    </row>
    <row r="266" spans="7:12" ht="15.75" x14ac:dyDescent="0.25">
      <c r="G266" s="107"/>
      <c r="H266" s="26"/>
      <c r="I266" s="26"/>
      <c r="J266" s="26"/>
      <c r="K266" s="26"/>
      <c r="L266" s="26"/>
    </row>
    <row r="267" spans="7:12" ht="15.75" x14ac:dyDescent="0.25">
      <c r="G267" s="107"/>
      <c r="H267" s="26"/>
      <c r="I267" s="26"/>
      <c r="J267" s="26"/>
      <c r="K267" s="26"/>
      <c r="L267" s="26"/>
    </row>
    <row r="268" spans="7:12" ht="15.75" x14ac:dyDescent="0.25">
      <c r="G268" s="107"/>
      <c r="H268" s="26"/>
      <c r="I268" s="26"/>
      <c r="J268" s="26"/>
      <c r="K268" s="26"/>
      <c r="L268" s="26"/>
    </row>
    <row r="269" spans="7:12" ht="15.75" x14ac:dyDescent="0.25">
      <c r="G269" s="107"/>
      <c r="H269" s="26"/>
      <c r="I269" s="26"/>
      <c r="J269" s="26"/>
      <c r="K269" s="26"/>
      <c r="L269" s="26"/>
    </row>
    <row r="270" spans="7:12" ht="15.75" x14ac:dyDescent="0.25">
      <c r="G270" s="107"/>
      <c r="H270" s="26"/>
      <c r="I270" s="26"/>
      <c r="J270" s="26"/>
      <c r="K270" s="26"/>
      <c r="L270" s="26"/>
    </row>
    <row r="271" spans="7:12" ht="15.75" x14ac:dyDescent="0.25">
      <c r="G271" s="107"/>
      <c r="H271" s="26"/>
      <c r="I271" s="26"/>
      <c r="J271" s="26"/>
      <c r="K271" s="26"/>
      <c r="L271" s="26"/>
    </row>
    <row r="272" spans="7:12" ht="15.75" x14ac:dyDescent="0.25">
      <c r="G272" s="107"/>
      <c r="H272" s="26"/>
      <c r="I272" s="26"/>
      <c r="J272" s="26"/>
      <c r="K272" s="26"/>
      <c r="L272" s="26"/>
    </row>
    <row r="273" spans="7:12" ht="15.75" x14ac:dyDescent="0.25">
      <c r="G273" s="107"/>
      <c r="H273" s="26"/>
      <c r="I273" s="26"/>
      <c r="J273" s="26"/>
      <c r="K273" s="26"/>
      <c r="L273" s="26"/>
    </row>
    <row r="274" spans="7:12" ht="15.75" x14ac:dyDescent="0.25">
      <c r="G274" s="107"/>
      <c r="H274" s="26"/>
      <c r="I274" s="26"/>
      <c r="J274" s="26"/>
      <c r="K274" s="26"/>
      <c r="L274" s="26"/>
    </row>
    <row r="275" spans="7:12" ht="15.75" x14ac:dyDescent="0.25">
      <c r="G275" s="107"/>
      <c r="H275" s="26"/>
      <c r="I275" s="26"/>
      <c r="J275" s="26"/>
      <c r="K275" s="26"/>
      <c r="L275" s="26"/>
    </row>
    <row r="276" spans="7:12" ht="15.75" x14ac:dyDescent="0.25">
      <c r="G276" s="107"/>
      <c r="H276" s="26"/>
      <c r="I276" s="26"/>
      <c r="J276" s="26"/>
      <c r="K276" s="26"/>
      <c r="L276" s="26"/>
    </row>
    <row r="277" spans="7:12" ht="15.75" x14ac:dyDescent="0.25">
      <c r="G277" s="107"/>
      <c r="H277" s="26"/>
      <c r="I277" s="26"/>
      <c r="J277" s="26"/>
      <c r="K277" s="26"/>
      <c r="L277" s="26"/>
    </row>
    <row r="278" spans="7:12" ht="15.75" x14ac:dyDescent="0.25">
      <c r="G278" s="107"/>
      <c r="H278" s="26"/>
      <c r="I278" s="26"/>
      <c r="J278" s="26"/>
      <c r="K278" s="26"/>
      <c r="L278" s="26"/>
    </row>
    <row r="279" spans="7:12" ht="15.75" x14ac:dyDescent="0.25">
      <c r="G279" s="107"/>
      <c r="H279" s="26"/>
      <c r="I279" s="26"/>
      <c r="J279" s="26"/>
      <c r="K279" s="26"/>
      <c r="L279" s="26"/>
    </row>
    <row r="280" spans="7:12" ht="15.75" x14ac:dyDescent="0.25">
      <c r="G280" s="107"/>
      <c r="H280" s="26"/>
      <c r="I280" s="26"/>
      <c r="J280" s="26"/>
      <c r="K280" s="26"/>
      <c r="L280" s="26"/>
    </row>
    <row r="281" spans="7:12" ht="15.75" x14ac:dyDescent="0.25">
      <c r="G281" s="107"/>
      <c r="H281" s="26"/>
      <c r="I281" s="26"/>
      <c r="J281" s="26"/>
      <c r="K281" s="26"/>
      <c r="L281" s="26"/>
    </row>
    <row r="282" spans="7:12" ht="15.75" x14ac:dyDescent="0.25">
      <c r="G282" s="107"/>
      <c r="H282" s="26"/>
      <c r="I282" s="26"/>
      <c r="J282" s="26"/>
      <c r="K282" s="26"/>
      <c r="L282" s="26"/>
    </row>
    <row r="283" spans="7:12" ht="15.75" x14ac:dyDescent="0.25">
      <c r="G283" s="107"/>
      <c r="H283" s="26"/>
      <c r="I283" s="26"/>
      <c r="J283" s="26"/>
      <c r="K283" s="26"/>
      <c r="L283" s="26"/>
    </row>
    <row r="284" spans="7:12" ht="15.75" x14ac:dyDescent="0.25">
      <c r="G284" s="107"/>
      <c r="H284" s="26"/>
      <c r="I284" s="26"/>
      <c r="J284" s="26"/>
      <c r="K284" s="26"/>
      <c r="L284" s="26"/>
    </row>
    <row r="285" spans="7:12" ht="15.75" x14ac:dyDescent="0.25">
      <c r="G285" s="107"/>
      <c r="H285" s="26"/>
      <c r="I285" s="26"/>
      <c r="J285" s="26"/>
      <c r="K285" s="26"/>
      <c r="L285" s="26"/>
    </row>
    <row r="286" spans="7:12" ht="15.75" x14ac:dyDescent="0.25">
      <c r="G286" s="107"/>
      <c r="H286" s="26"/>
      <c r="I286" s="26"/>
      <c r="J286" s="26"/>
      <c r="K286" s="26"/>
      <c r="L286" s="26"/>
    </row>
    <row r="287" spans="7:12" ht="15.75" x14ac:dyDescent="0.25">
      <c r="G287" s="107"/>
      <c r="H287" s="26"/>
      <c r="I287" s="26"/>
      <c r="J287" s="26"/>
      <c r="K287" s="26"/>
      <c r="L287" s="26"/>
    </row>
    <row r="288" spans="7:12" ht="15.75" x14ac:dyDescent="0.25">
      <c r="G288" s="107"/>
      <c r="H288" s="26"/>
      <c r="I288" s="26"/>
      <c r="J288" s="26"/>
      <c r="K288" s="26"/>
      <c r="L288" s="26"/>
    </row>
    <row r="289" spans="7:12" ht="15.75" x14ac:dyDescent="0.25">
      <c r="G289" s="107"/>
      <c r="H289" s="26"/>
      <c r="I289" s="26"/>
      <c r="J289" s="26"/>
      <c r="K289" s="26"/>
      <c r="L289" s="26"/>
    </row>
    <row r="290" spans="7:12" ht="15.75" x14ac:dyDescent="0.25">
      <c r="G290" s="107"/>
      <c r="H290" s="26"/>
      <c r="I290" s="26"/>
      <c r="J290" s="26"/>
      <c r="K290" s="26"/>
      <c r="L290" s="26"/>
    </row>
    <row r="291" spans="7:12" ht="15.75" x14ac:dyDescent="0.25">
      <c r="G291" s="107"/>
      <c r="H291" s="26"/>
      <c r="I291" s="26"/>
      <c r="J291" s="26"/>
      <c r="K291" s="26"/>
      <c r="L291" s="26"/>
    </row>
    <row r="292" spans="7:12" ht="15.75" x14ac:dyDescent="0.25">
      <c r="G292" s="107"/>
      <c r="H292" s="26"/>
      <c r="I292" s="26"/>
      <c r="J292" s="26"/>
      <c r="K292" s="26"/>
      <c r="L292" s="26"/>
    </row>
    <row r="293" spans="7:12" ht="15.75" x14ac:dyDescent="0.25">
      <c r="G293" s="107"/>
      <c r="H293" s="26"/>
      <c r="I293" s="26"/>
      <c r="J293" s="26"/>
      <c r="K293" s="26"/>
      <c r="L293" s="26"/>
    </row>
    <row r="294" spans="7:12" ht="15.75" x14ac:dyDescent="0.25">
      <c r="G294" s="107"/>
      <c r="H294" s="26"/>
      <c r="I294" s="26"/>
      <c r="J294" s="26"/>
      <c r="K294" s="26"/>
      <c r="L294" s="26"/>
    </row>
    <row r="295" spans="7:12" ht="15.75" x14ac:dyDescent="0.25">
      <c r="G295" s="107"/>
      <c r="H295" s="26"/>
      <c r="I295" s="26"/>
      <c r="J295" s="26"/>
      <c r="K295" s="26"/>
      <c r="L295" s="26"/>
    </row>
    <row r="296" spans="7:12" ht="15.75" x14ac:dyDescent="0.25">
      <c r="G296" s="107"/>
      <c r="H296" s="26"/>
      <c r="I296" s="26"/>
      <c r="J296" s="26"/>
      <c r="K296" s="26"/>
      <c r="L296" s="26"/>
    </row>
    <row r="297" spans="7:12" ht="15.75" x14ac:dyDescent="0.25">
      <c r="G297" s="107"/>
      <c r="H297" s="26"/>
      <c r="I297" s="26"/>
      <c r="J297" s="26"/>
      <c r="K297" s="26"/>
      <c r="L297" s="26"/>
    </row>
    <row r="298" spans="7:12" ht="15.75" x14ac:dyDescent="0.25">
      <c r="G298" s="107"/>
      <c r="H298" s="26"/>
      <c r="I298" s="26"/>
      <c r="J298" s="26"/>
      <c r="K298" s="26"/>
      <c r="L298" s="26"/>
    </row>
    <row r="299" spans="7:12" ht="15.75" x14ac:dyDescent="0.25">
      <c r="G299" s="107"/>
      <c r="H299" s="26"/>
      <c r="I299" s="26"/>
      <c r="J299" s="26"/>
      <c r="K299" s="26"/>
      <c r="L299" s="26"/>
    </row>
  </sheetData>
  <mergeCells count="1">
    <mergeCell ref="H1:L1"/>
  </mergeCells>
  <conditionalFormatting sqref="D4:D6 D8:D9">
    <cfRule type="cellIs" dxfId="14" priority="88" operator="equal">
      <formula>0</formula>
    </cfRule>
  </conditionalFormatting>
  <dataValidations count="1">
    <dataValidation type="list" allowBlank="1" showInputMessage="1" sqref="H3:L3 H7:L7" xr:uid="{C2C8FF68-CA9E-49CD-953B-49C325DAE57E}">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2400-000000000000}">
          <x14:formula1>
            <xm:f>Unit!$A$4:$A$11</xm:f>
          </x14:formula1>
          <xm:sqref>D7 D3</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12841-CDA5-492A-80F7-F501B71095FC}">
  <sheetPr codeName="Sheet60">
    <tabColor rgb="FF00B0F0"/>
  </sheetPr>
  <dimension ref="A1:AB129"/>
  <sheetViews>
    <sheetView zoomScale="85" zoomScaleNormal="85" workbookViewId="0"/>
  </sheetViews>
  <sheetFormatPr defaultColWidth="8.5703125" defaultRowHeight="15" outlineLevelRow="1" x14ac:dyDescent="0.25"/>
  <cols>
    <col min="1" max="1" width="15.5703125" style="273" customWidth="1"/>
    <col min="2" max="2" width="17.5703125" style="273" customWidth="1"/>
    <col min="3" max="6" width="15.140625" style="273" customWidth="1"/>
    <col min="7" max="7" width="8.140625" style="273" customWidth="1"/>
    <col min="8" max="8" width="8.5703125" style="273"/>
    <col min="9" max="10" width="11.5703125" style="273" customWidth="1"/>
    <col min="11" max="14" width="13.140625" style="273" customWidth="1"/>
    <col min="15" max="17" width="11.5703125" style="273" customWidth="1"/>
    <col min="18" max="20" width="16.140625" style="273" customWidth="1"/>
    <col min="21" max="28" width="7.5703125" style="273" customWidth="1"/>
    <col min="29" max="16384" width="8.5703125" style="273"/>
  </cols>
  <sheetData>
    <row r="1" spans="1:28" ht="35.450000000000003" customHeight="1" x14ac:dyDescent="0.25">
      <c r="A1" s="294" t="s">
        <v>973</v>
      </c>
      <c r="B1" s="295"/>
      <c r="C1" s="295"/>
      <c r="D1" s="295"/>
      <c r="E1" s="295"/>
      <c r="F1" s="295"/>
      <c r="G1" s="295"/>
      <c r="H1" s="295"/>
      <c r="I1" s="295"/>
      <c r="J1" s="295"/>
      <c r="K1" s="295"/>
      <c r="L1" s="295"/>
      <c r="M1" s="295"/>
      <c r="N1" s="295"/>
      <c r="O1" s="295"/>
      <c r="P1" s="295"/>
      <c r="Q1" s="295"/>
      <c r="R1" s="295"/>
      <c r="S1" s="296" t="s">
        <v>888</v>
      </c>
      <c r="T1" s="301">
        <v>44838</v>
      </c>
      <c r="U1" s="301"/>
      <c r="V1" s="301"/>
      <c r="W1" s="301"/>
      <c r="X1" s="301"/>
      <c r="Y1" s="301"/>
      <c r="Z1" s="301"/>
      <c r="AA1" s="301"/>
      <c r="AB1" s="301"/>
    </row>
    <row r="2" spans="1:28" ht="15.75" x14ac:dyDescent="0.25">
      <c r="H2" s="321" t="s">
        <v>980</v>
      </c>
      <c r="I2" s="292">
        <v>58.87</v>
      </c>
      <c r="J2" s="293">
        <v>58.87</v>
      </c>
      <c r="K2" s="291">
        <v>1</v>
      </c>
      <c r="L2" s="291">
        <v>1</v>
      </c>
      <c r="U2" s="291">
        <v>1</v>
      </c>
      <c r="V2" s="291">
        <v>1</v>
      </c>
      <c r="W2" s="291">
        <v>1</v>
      </c>
      <c r="X2" s="291">
        <v>1</v>
      </c>
      <c r="Y2" s="291">
        <v>1</v>
      </c>
      <c r="Z2" s="291">
        <v>1</v>
      </c>
      <c r="AA2" s="291">
        <v>1</v>
      </c>
      <c r="AB2" s="291">
        <v>1</v>
      </c>
    </row>
    <row r="3" spans="1:28" ht="45" hidden="1" outlineLevel="1" x14ac:dyDescent="0.25">
      <c r="A3" s="287" t="s">
        <v>14</v>
      </c>
      <c r="B3" s="287" t="s">
        <v>911</v>
      </c>
      <c r="C3" s="287" t="s">
        <v>826</v>
      </c>
      <c r="D3" s="287" t="s">
        <v>827</v>
      </c>
      <c r="E3" s="287" t="s">
        <v>828</v>
      </c>
      <c r="F3" s="287" t="s">
        <v>900</v>
      </c>
      <c r="G3" s="287" t="s">
        <v>149</v>
      </c>
      <c r="H3" s="289" t="s">
        <v>823</v>
      </c>
      <c r="I3" s="274" t="s">
        <v>510</v>
      </c>
      <c r="J3" s="275" t="s">
        <v>511</v>
      </c>
      <c r="K3" s="288" t="s">
        <v>26</v>
      </c>
      <c r="L3" s="288" t="s">
        <v>36</v>
      </c>
      <c r="M3" s="288" t="s">
        <v>28</v>
      </c>
      <c r="N3" s="288" t="s">
        <v>34</v>
      </c>
      <c r="O3" s="276"/>
      <c r="P3" s="302" t="s">
        <v>841</v>
      </c>
      <c r="Q3" s="276"/>
      <c r="R3" s="298" t="s">
        <v>897</v>
      </c>
      <c r="S3" s="298" t="s">
        <v>898</v>
      </c>
      <c r="T3" s="298" t="s">
        <v>899</v>
      </c>
      <c r="U3" s="288" t="s">
        <v>879</v>
      </c>
      <c r="V3" s="288" t="s">
        <v>867</v>
      </c>
      <c r="W3" s="288" t="s">
        <v>868</v>
      </c>
      <c r="X3" s="288" t="s">
        <v>870</v>
      </c>
      <c r="Y3" s="288" t="s">
        <v>869</v>
      </c>
      <c r="Z3" s="288" t="s">
        <v>908</v>
      </c>
      <c r="AA3" s="288" t="s">
        <v>909</v>
      </c>
      <c r="AB3" s="288" t="s">
        <v>910</v>
      </c>
    </row>
    <row r="4" spans="1:28" ht="21" hidden="1" outlineLevel="1" x14ac:dyDescent="0.25">
      <c r="A4" s="299" t="s">
        <v>145</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row>
    <row r="5" spans="1:28" ht="15.75" hidden="1" outlineLevel="1" x14ac:dyDescent="0.25">
      <c r="A5" s="291"/>
      <c r="B5" s="291"/>
      <c r="C5" s="291"/>
      <c r="D5" s="291"/>
      <c r="E5" s="291"/>
      <c r="F5" s="291"/>
      <c r="G5" s="291"/>
      <c r="H5" s="291"/>
      <c r="I5" s="291"/>
      <c r="J5" s="291"/>
      <c r="K5" s="291">
        <f>K$2</f>
        <v>1</v>
      </c>
      <c r="L5" s="291">
        <f>L$2</f>
        <v>1</v>
      </c>
      <c r="M5" s="291"/>
      <c r="N5" s="291"/>
      <c r="O5" s="303"/>
      <c r="P5" s="303"/>
      <c r="Q5" s="303"/>
      <c r="R5" s="291"/>
      <c r="S5" s="291"/>
      <c r="T5" s="291"/>
      <c r="U5" s="291">
        <f>U$2</f>
        <v>1</v>
      </c>
      <c r="V5" s="291">
        <f>V$2</f>
        <v>1</v>
      </c>
      <c r="W5" s="291">
        <f t="shared" ref="W5:AB5" si="0">W$2</f>
        <v>1</v>
      </c>
      <c r="X5" s="291">
        <f t="shared" si="0"/>
        <v>1</v>
      </c>
      <c r="Y5" s="291">
        <f t="shared" si="0"/>
        <v>1</v>
      </c>
      <c r="Z5" s="291">
        <f t="shared" si="0"/>
        <v>1</v>
      </c>
      <c r="AA5" s="291">
        <f t="shared" si="0"/>
        <v>1</v>
      </c>
      <c r="AB5" s="291">
        <f t="shared" si="0"/>
        <v>1</v>
      </c>
    </row>
    <row r="6" spans="1:28" s="305" customFormat="1" ht="14.45" hidden="1" customHeight="1" outlineLevel="1" x14ac:dyDescent="0.25">
      <c r="A6" s="278"/>
      <c r="B6" s="279" t="str">
        <f>C6&amp;D6&amp;E6&amp;F6</f>
        <v>woolaverage</v>
      </c>
      <c r="C6" s="278" t="s">
        <v>976</v>
      </c>
      <c r="D6" s="278"/>
      <c r="E6" s="278"/>
      <c r="F6" s="278" t="s">
        <v>543</v>
      </c>
      <c r="G6" s="278" t="s">
        <v>11</v>
      </c>
      <c r="H6" s="290">
        <v>0.3</v>
      </c>
      <c r="I6" s="280">
        <f t="shared" ref="I6:I17" si="1">$I$2*H6</f>
        <v>17.660999999999998</v>
      </c>
      <c r="J6" s="281">
        <f>$J$2*H6</f>
        <v>17.660999999999998</v>
      </c>
      <c r="K6" s="282">
        <f>IF(Notes!$B$9="Domestic",I6, IF(Notes!$B$9="Commercial",J6))*$K$5</f>
        <v>17.660999999999998</v>
      </c>
      <c r="L6" s="283">
        <f>(SUM(O6:Q6)+(K6+SUM(M6:Q6))*(INDEX($U$5:$AB$5,MATCH(Notes!$C$16,$U$3:$AB$3,0))-100%))*$L$5</f>
        <v>86.888999999999996</v>
      </c>
      <c r="M6" s="286"/>
      <c r="N6" s="286"/>
      <c r="O6" s="285">
        <v>104.55</v>
      </c>
      <c r="P6" s="285">
        <f>-I6</f>
        <v>-17.660999999999998</v>
      </c>
      <c r="Q6" s="285"/>
      <c r="R6" s="278" t="s">
        <v>976</v>
      </c>
      <c r="S6" s="278"/>
      <c r="T6" s="278"/>
      <c r="U6" s="304"/>
    </row>
    <row r="7" spans="1:28" s="305" customFormat="1" ht="14.45" hidden="1" customHeight="1" outlineLevel="1" x14ac:dyDescent="0.25">
      <c r="A7" s="278"/>
      <c r="B7" s="279" t="str">
        <f t="shared" ref="B7:B17" si="2">C7&amp;D7&amp;E7&amp;F7</f>
        <v>woolquality</v>
      </c>
      <c r="C7" s="278" t="s">
        <v>976</v>
      </c>
      <c r="D7" s="278"/>
      <c r="E7" s="278"/>
      <c r="F7" s="278" t="s">
        <v>544</v>
      </c>
      <c r="G7" s="278" t="s">
        <v>11</v>
      </c>
      <c r="H7" s="290">
        <v>0.3</v>
      </c>
      <c r="I7" s="280">
        <f t="shared" si="1"/>
        <v>17.660999999999998</v>
      </c>
      <c r="J7" s="281">
        <f t="shared" ref="J7:J17" si="3">$J$2*H7</f>
        <v>17.660999999999998</v>
      </c>
      <c r="K7" s="282">
        <f>IF(Notes!$B$9="Domestic",I7, IF(Notes!$B$9="Commercial",J7))*$K$5</f>
        <v>17.660999999999998</v>
      </c>
      <c r="L7" s="283">
        <f>(SUM(O7:Q7)+(K7+SUM(M7:Q7))*(INDEX($U$5:$AB$5,MATCH(Notes!$C$16,$U$3:$AB$3,0))-100%))*$L$5</f>
        <v>105.979</v>
      </c>
      <c r="M7" s="286"/>
      <c r="N7" s="286"/>
      <c r="O7" s="285">
        <v>123.64</v>
      </c>
      <c r="P7" s="285">
        <f t="shared" ref="P7:P14" si="4">-I7</f>
        <v>-17.660999999999998</v>
      </c>
      <c r="Q7" s="285"/>
      <c r="R7" s="278" t="s">
        <v>977</v>
      </c>
      <c r="S7" s="278"/>
      <c r="T7" s="278"/>
      <c r="U7" s="304"/>
    </row>
    <row r="8" spans="1:28" s="305" customFormat="1" ht="14.45" hidden="1" customHeight="1" outlineLevel="1" x14ac:dyDescent="0.25">
      <c r="A8" s="278"/>
      <c r="B8" s="279" t="str">
        <f t="shared" si="2"/>
        <v>woolprestige</v>
      </c>
      <c r="C8" s="278" t="s">
        <v>976</v>
      </c>
      <c r="D8" s="278"/>
      <c r="E8" s="278"/>
      <c r="F8" s="278" t="s">
        <v>545</v>
      </c>
      <c r="G8" s="278" t="s">
        <v>11</v>
      </c>
      <c r="H8" s="290">
        <v>0.3</v>
      </c>
      <c r="I8" s="280">
        <f t="shared" si="1"/>
        <v>17.660999999999998</v>
      </c>
      <c r="J8" s="281">
        <f t="shared" si="3"/>
        <v>17.660999999999998</v>
      </c>
      <c r="K8" s="282">
        <f>IF(Notes!$B$9="Domestic",I8, IF(Notes!$B$9="Commercial",J8))*$K$5</f>
        <v>17.660999999999998</v>
      </c>
      <c r="L8" s="283">
        <f>(SUM(O8:Q8)+(K8+SUM(M8:Q8))*(INDEX($U$5:$AB$5,MATCH(Notes!$C$16,$U$3:$AB$3,0))-100%))*$L$5</f>
        <v>122.339</v>
      </c>
      <c r="M8" s="286"/>
      <c r="N8" s="286"/>
      <c r="O8" s="285">
        <v>140</v>
      </c>
      <c r="P8" s="285">
        <f t="shared" si="4"/>
        <v>-17.660999999999998</v>
      </c>
      <c r="Q8" s="285"/>
      <c r="R8" s="278" t="s">
        <v>978</v>
      </c>
      <c r="S8" s="278"/>
      <c r="T8" s="278"/>
      <c r="U8" s="304"/>
    </row>
    <row r="9" spans="1:28" s="305" customFormat="1" ht="14.45" hidden="1" customHeight="1" outlineLevel="1" x14ac:dyDescent="0.25">
      <c r="A9" s="278"/>
      <c r="B9" s="279" t="str">
        <f t="shared" si="2"/>
        <v>wool/nylon blendaverage</v>
      </c>
      <c r="C9" s="278" t="s">
        <v>977</v>
      </c>
      <c r="D9" s="278"/>
      <c r="E9" s="278"/>
      <c r="F9" s="278" t="s">
        <v>543</v>
      </c>
      <c r="G9" s="278" t="s">
        <v>11</v>
      </c>
      <c r="H9" s="290">
        <v>0.3</v>
      </c>
      <c r="I9" s="280">
        <f t="shared" si="1"/>
        <v>17.660999999999998</v>
      </c>
      <c r="J9" s="281">
        <f t="shared" si="3"/>
        <v>17.660999999999998</v>
      </c>
      <c r="K9" s="282">
        <f>IF(Notes!$B$9="Domestic",I9, IF(Notes!$B$9="Commercial",J9))*$K$5</f>
        <v>17.660999999999998</v>
      </c>
      <c r="L9" s="283">
        <f>(SUM(O9:Q9)+(K9+SUM(M9:Q9))*(INDEX($U$5:$AB$5,MATCH(Notes!$C$16,$U$3:$AB$3,0))-100%))*$L$5</f>
        <v>81.429000000000002</v>
      </c>
      <c r="M9" s="286"/>
      <c r="N9" s="286"/>
      <c r="O9" s="285">
        <v>99.09</v>
      </c>
      <c r="P9" s="285">
        <f t="shared" si="4"/>
        <v>-17.660999999999998</v>
      </c>
      <c r="Q9" s="285"/>
      <c r="R9" s="278" t="s">
        <v>975</v>
      </c>
      <c r="S9" s="278"/>
      <c r="T9" s="278"/>
    </row>
    <row r="10" spans="1:28" s="305" customFormat="1" ht="14.45" hidden="1" customHeight="1" outlineLevel="1" x14ac:dyDescent="0.25">
      <c r="A10" s="278"/>
      <c r="B10" s="279" t="str">
        <f t="shared" si="2"/>
        <v>wool/nylon blendquality</v>
      </c>
      <c r="C10" s="278" t="s">
        <v>977</v>
      </c>
      <c r="D10" s="278"/>
      <c r="E10" s="278"/>
      <c r="F10" s="278" t="s">
        <v>544</v>
      </c>
      <c r="G10" s="278" t="s">
        <v>11</v>
      </c>
      <c r="H10" s="290">
        <v>0.3</v>
      </c>
      <c r="I10" s="280">
        <f t="shared" si="1"/>
        <v>17.660999999999998</v>
      </c>
      <c r="J10" s="281">
        <f t="shared" si="3"/>
        <v>17.660999999999998</v>
      </c>
      <c r="K10" s="282">
        <f>IF(Notes!$B$9="Domestic",I10, IF(Notes!$B$9="Commercial",J10))*$K$5</f>
        <v>17.660999999999998</v>
      </c>
      <c r="L10" s="283">
        <f>(SUM(O10:Q10)+(K10+SUM(M10:Q10))*(INDEX($U$5:$AB$5,MATCH(Notes!$C$16,$U$3:$AB$3,0))-100%))*$L$5</f>
        <v>89.608999999999995</v>
      </c>
      <c r="M10" s="286"/>
      <c r="N10" s="286"/>
      <c r="O10" s="285">
        <v>107.27</v>
      </c>
      <c r="P10" s="285">
        <f t="shared" si="4"/>
        <v>-17.660999999999998</v>
      </c>
      <c r="Q10" s="285"/>
      <c r="R10" s="278"/>
      <c r="S10" s="278"/>
      <c r="T10" s="278"/>
    </row>
    <row r="11" spans="1:28" s="305" customFormat="1" ht="14.45" hidden="1" customHeight="1" outlineLevel="1" x14ac:dyDescent="0.25">
      <c r="A11" s="278"/>
      <c r="B11" s="279" t="str">
        <f t="shared" ref="B11:B12" si="5">C11&amp;D11&amp;E11&amp;F11</f>
        <v>wool/nylon blendprestige</v>
      </c>
      <c r="C11" s="278" t="s">
        <v>977</v>
      </c>
      <c r="D11" s="278"/>
      <c r="E11" s="278"/>
      <c r="F11" s="278" t="s">
        <v>545</v>
      </c>
      <c r="G11" s="278" t="s">
        <v>11</v>
      </c>
      <c r="H11" s="290">
        <v>0.3</v>
      </c>
      <c r="I11" s="280">
        <f t="shared" ref="I11:I12" si="6">$I$2*H11</f>
        <v>17.660999999999998</v>
      </c>
      <c r="J11" s="281">
        <f t="shared" ref="J11:J12" si="7">$J$2*H11</f>
        <v>17.660999999999998</v>
      </c>
      <c r="K11" s="282">
        <f>IF(Notes!$B$9="Domestic",I11, IF(Notes!$B$9="Commercial",J11))*$K$5</f>
        <v>17.660999999999998</v>
      </c>
      <c r="L11" s="283">
        <f>(SUM(O11:Q11)+(K11+SUM(M11:Q11))*(INDEX($U$5:$AB$5,MATCH(Notes!$C$16,$U$3:$AB$3,0))-100%))*$L$5</f>
        <v>105.979</v>
      </c>
      <c r="M11" s="286"/>
      <c r="N11" s="286"/>
      <c r="O11" s="285">
        <v>123.64</v>
      </c>
      <c r="P11" s="285">
        <f t="shared" si="4"/>
        <v>-17.660999999999998</v>
      </c>
      <c r="Q11" s="285"/>
      <c r="R11" s="278"/>
      <c r="S11" s="278"/>
      <c r="T11" s="278"/>
    </row>
    <row r="12" spans="1:28" s="305" customFormat="1" ht="14.45" hidden="1" customHeight="1" outlineLevel="1" x14ac:dyDescent="0.25">
      <c r="A12" s="278"/>
      <c r="B12" s="279" t="str">
        <f t="shared" si="5"/>
        <v>nylonaverage</v>
      </c>
      <c r="C12" s="278" t="s">
        <v>978</v>
      </c>
      <c r="D12" s="278"/>
      <c r="E12" s="278"/>
      <c r="F12" s="278" t="s">
        <v>543</v>
      </c>
      <c r="G12" s="278" t="s">
        <v>11</v>
      </c>
      <c r="H12" s="290">
        <v>0.3</v>
      </c>
      <c r="I12" s="280">
        <f t="shared" si="6"/>
        <v>17.660999999999998</v>
      </c>
      <c r="J12" s="281">
        <f t="shared" si="7"/>
        <v>17.660999999999998</v>
      </c>
      <c r="K12" s="282">
        <f>IF(Notes!$B$9="Domestic",I12, IF(Notes!$B$9="Commercial",J12))*$K$5</f>
        <v>17.660999999999998</v>
      </c>
      <c r="L12" s="283">
        <f>(SUM(O12:Q12)+(K12+SUM(M12:Q12))*(INDEX($U$5:$AB$5,MATCH(Notes!$C$16,$U$3:$AB$3,0))-100%))*$L$5</f>
        <v>49.608999999999995</v>
      </c>
      <c r="M12" s="286"/>
      <c r="N12" s="286"/>
      <c r="O12" s="285">
        <v>67.27</v>
      </c>
      <c r="P12" s="285">
        <f t="shared" si="4"/>
        <v>-17.660999999999998</v>
      </c>
      <c r="Q12" s="285"/>
      <c r="R12" s="278"/>
      <c r="S12" s="278"/>
      <c r="T12" s="278"/>
    </row>
    <row r="13" spans="1:28" s="305" customFormat="1" hidden="1" outlineLevel="1" x14ac:dyDescent="0.25">
      <c r="A13" s="278"/>
      <c r="B13" s="279" t="str">
        <f t="shared" si="2"/>
        <v>nylonquality</v>
      </c>
      <c r="C13" s="278" t="s">
        <v>978</v>
      </c>
      <c r="D13" s="278"/>
      <c r="E13" s="278"/>
      <c r="F13" s="278" t="s">
        <v>544</v>
      </c>
      <c r="G13" s="278" t="s">
        <v>11</v>
      </c>
      <c r="H13" s="290">
        <v>0.3</v>
      </c>
      <c r="I13" s="280">
        <f t="shared" si="1"/>
        <v>17.660999999999998</v>
      </c>
      <c r="J13" s="281">
        <f t="shared" si="3"/>
        <v>17.660999999999998</v>
      </c>
      <c r="K13" s="282">
        <f>IF(Notes!$B$9="Domestic",I13, IF(Notes!$B$9="Commercial",J13))*$K$5</f>
        <v>17.660999999999998</v>
      </c>
      <c r="L13" s="283">
        <f>(SUM(O13:Q13)+(K13+SUM(M13:Q13))*(INDEX($U$5:$AB$5,MATCH(Notes!$C$16,$U$3:$AB$3,0))-100%))*$L$5</f>
        <v>59.608999999999995</v>
      </c>
      <c r="M13" s="286"/>
      <c r="N13" s="286"/>
      <c r="O13" s="285">
        <v>77.27</v>
      </c>
      <c r="P13" s="285">
        <f t="shared" si="4"/>
        <v>-17.660999999999998</v>
      </c>
      <c r="Q13" s="285"/>
      <c r="R13" s="278"/>
      <c r="S13" s="278"/>
      <c r="T13" s="278"/>
    </row>
    <row r="14" spans="1:28" s="305" customFormat="1" hidden="1" outlineLevel="1" x14ac:dyDescent="0.25">
      <c r="A14" s="278"/>
      <c r="B14" s="279" t="str">
        <f t="shared" si="2"/>
        <v>nylonprestige</v>
      </c>
      <c r="C14" s="278" t="s">
        <v>978</v>
      </c>
      <c r="D14" s="278"/>
      <c r="E14" s="278"/>
      <c r="F14" s="278" t="s">
        <v>545</v>
      </c>
      <c r="G14" s="278" t="s">
        <v>11</v>
      </c>
      <c r="H14" s="290">
        <v>0.3</v>
      </c>
      <c r="I14" s="280">
        <f t="shared" si="1"/>
        <v>17.660999999999998</v>
      </c>
      <c r="J14" s="281">
        <f t="shared" si="3"/>
        <v>17.660999999999998</v>
      </c>
      <c r="K14" s="282">
        <f>IF(Notes!$B$9="Domestic",I14, IF(Notes!$B$9="Commercial",J14))*$K$5</f>
        <v>17.660999999999998</v>
      </c>
      <c r="L14" s="283">
        <f>(SUM(O14:Q14)+(K14+SUM(M14:Q14))*(INDEX($U$5:$AB$5,MATCH(Notes!$C$16,$U$3:$AB$3,0))-100%))*$L$5</f>
        <v>85.978999999999999</v>
      </c>
      <c r="M14" s="286"/>
      <c r="N14" s="286"/>
      <c r="O14" s="285">
        <v>103.64</v>
      </c>
      <c r="P14" s="285">
        <f t="shared" si="4"/>
        <v>-17.660999999999998</v>
      </c>
      <c r="Q14" s="285"/>
      <c r="R14" s="278"/>
      <c r="S14" s="278"/>
      <c r="T14" s="278"/>
    </row>
    <row r="15" spans="1:28" s="305" customFormat="1" hidden="1" outlineLevel="1" x14ac:dyDescent="0.25">
      <c r="A15" s="278"/>
      <c r="B15" s="279" t="str">
        <f t="shared" si="2"/>
        <v>tileaverage</v>
      </c>
      <c r="C15" s="278" t="s">
        <v>975</v>
      </c>
      <c r="D15" s="278"/>
      <c r="E15" s="278"/>
      <c r="F15" s="278" t="s">
        <v>543</v>
      </c>
      <c r="G15" s="278" t="s">
        <v>11</v>
      </c>
      <c r="H15" s="290">
        <v>0.36</v>
      </c>
      <c r="I15" s="280">
        <f t="shared" si="1"/>
        <v>21.193199999999997</v>
      </c>
      <c r="J15" s="281">
        <f t="shared" si="3"/>
        <v>21.193199999999997</v>
      </c>
      <c r="K15" s="282">
        <f>IF(Notes!$B$9="Domestic",I15, IF(Notes!$B$9="Commercial",J15))*$K$5</f>
        <v>21.193199999999997</v>
      </c>
      <c r="L15" s="283">
        <f>(SUM(O15:Q15)+(K15+SUM(M15:Q15))*(INDEX($U$5:$AB$5,MATCH(Notes!$C$16,$U$3:$AB$3,0))-100%))*$L$5</f>
        <v>45</v>
      </c>
      <c r="M15" s="286"/>
      <c r="N15" s="286"/>
      <c r="O15" s="285">
        <v>45</v>
      </c>
      <c r="P15" s="285"/>
      <c r="Q15" s="285"/>
      <c r="R15" s="278"/>
      <c r="S15" s="278"/>
      <c r="T15" s="278"/>
    </row>
    <row r="16" spans="1:28" s="305" customFormat="1" hidden="1" outlineLevel="1" x14ac:dyDescent="0.25">
      <c r="A16" s="278"/>
      <c r="B16" s="279" t="str">
        <f t="shared" si="2"/>
        <v>tilequality</v>
      </c>
      <c r="C16" s="278" t="s">
        <v>975</v>
      </c>
      <c r="D16" s="278"/>
      <c r="E16" s="278"/>
      <c r="F16" s="278" t="s">
        <v>544</v>
      </c>
      <c r="G16" s="278" t="s">
        <v>11</v>
      </c>
      <c r="H16" s="290">
        <v>0.38</v>
      </c>
      <c r="I16" s="280">
        <f t="shared" si="1"/>
        <v>22.3706</v>
      </c>
      <c r="J16" s="281">
        <f t="shared" si="3"/>
        <v>22.3706</v>
      </c>
      <c r="K16" s="282">
        <f>IF(Notes!$B$9="Domestic",I16, IF(Notes!$B$9="Commercial",J16))*$K$5</f>
        <v>22.3706</v>
      </c>
      <c r="L16" s="283">
        <f>(SUM(O16:Q16)+(K16+SUM(M16:Q16))*(INDEX($U$5:$AB$5,MATCH(Notes!$C$16,$U$3:$AB$3,0))-100%))*$L$5</f>
        <v>71.7</v>
      </c>
      <c r="M16" s="286"/>
      <c r="N16" s="286"/>
      <c r="O16" s="285">
        <v>71.7</v>
      </c>
      <c r="P16" s="285"/>
      <c r="Q16" s="285"/>
      <c r="R16" s="278"/>
      <c r="S16" s="278"/>
      <c r="T16" s="278"/>
    </row>
    <row r="17" spans="1:28" s="305" customFormat="1" hidden="1" outlineLevel="1" x14ac:dyDescent="0.25">
      <c r="A17" s="278"/>
      <c r="B17" s="279" t="str">
        <f t="shared" si="2"/>
        <v>tileprestige</v>
      </c>
      <c r="C17" s="278" t="s">
        <v>975</v>
      </c>
      <c r="D17" s="278"/>
      <c r="E17" s="278"/>
      <c r="F17" s="278" t="s">
        <v>545</v>
      </c>
      <c r="G17" s="278" t="s">
        <v>11</v>
      </c>
      <c r="H17" s="290">
        <v>0.4</v>
      </c>
      <c r="I17" s="280">
        <f t="shared" si="1"/>
        <v>23.548000000000002</v>
      </c>
      <c r="J17" s="281">
        <f t="shared" si="3"/>
        <v>23.548000000000002</v>
      </c>
      <c r="K17" s="282">
        <f>IF(Notes!$B$9="Domestic",I17, IF(Notes!$B$9="Commercial",J17))*$K$5</f>
        <v>23.548000000000002</v>
      </c>
      <c r="L17" s="283">
        <f>(SUM(O17:Q17)+(K17+SUM(M17:Q17))*(INDEX($U$5:$AB$5,MATCH(Notes!$C$16,$U$3:$AB$3,0))-100%))*$L$5</f>
        <v>98</v>
      </c>
      <c r="M17" s="286"/>
      <c r="N17" s="286"/>
      <c r="O17" s="285">
        <v>98</v>
      </c>
      <c r="P17" s="285"/>
      <c r="Q17" s="285"/>
      <c r="R17" s="278"/>
      <c r="S17" s="278"/>
      <c r="T17" s="278"/>
    </row>
    <row r="18" spans="1:28" ht="21" hidden="1" outlineLevel="1" x14ac:dyDescent="0.25">
      <c r="A18" s="299" t="s">
        <v>147</v>
      </c>
      <c r="B18" s="299"/>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row>
    <row r="19" spans="1:28" ht="15.75" hidden="1" outlineLevel="1" x14ac:dyDescent="0.25">
      <c r="A19" s="291"/>
      <c r="B19" s="291"/>
      <c r="C19" s="291"/>
      <c r="D19" s="291"/>
      <c r="E19" s="291"/>
      <c r="F19" s="291"/>
      <c r="G19" s="291"/>
      <c r="H19" s="291"/>
      <c r="I19" s="291"/>
      <c r="J19" s="291"/>
      <c r="K19" s="291">
        <f>K$2</f>
        <v>1</v>
      </c>
      <c r="L19" s="291">
        <f>L$2</f>
        <v>1</v>
      </c>
      <c r="M19" s="291"/>
      <c r="N19" s="291"/>
      <c r="O19" s="303"/>
      <c r="P19" s="303"/>
      <c r="Q19" s="303"/>
      <c r="R19" s="291"/>
      <c r="S19" s="291"/>
      <c r="T19" s="291"/>
      <c r="U19" s="291">
        <f>U$2</f>
        <v>1</v>
      </c>
      <c r="V19" s="291">
        <f>V$2</f>
        <v>1</v>
      </c>
      <c r="W19" s="291">
        <f t="shared" ref="W19:AB19" si="8">W$2</f>
        <v>1</v>
      </c>
      <c r="X19" s="291">
        <f t="shared" si="8"/>
        <v>1</v>
      </c>
      <c r="Y19" s="291">
        <f t="shared" si="8"/>
        <v>1</v>
      </c>
      <c r="Z19" s="291">
        <f t="shared" si="8"/>
        <v>1</v>
      </c>
      <c r="AA19" s="291">
        <f t="shared" si="8"/>
        <v>1</v>
      </c>
      <c r="AB19" s="291">
        <f t="shared" si="8"/>
        <v>1</v>
      </c>
    </row>
    <row r="20" spans="1:28" s="305" customFormat="1" ht="14.45" hidden="1" customHeight="1" outlineLevel="1" x14ac:dyDescent="0.25">
      <c r="A20" s="278"/>
      <c r="B20" s="279" t="str">
        <f>C20&amp;D20&amp;E20&amp;F20</f>
        <v>sheetaverage</v>
      </c>
      <c r="C20" s="278" t="s">
        <v>974</v>
      </c>
      <c r="D20" s="278"/>
      <c r="E20" s="278"/>
      <c r="F20" s="278" t="s">
        <v>543</v>
      </c>
      <c r="G20" s="278" t="s">
        <v>11</v>
      </c>
      <c r="H20" s="290">
        <v>0.3</v>
      </c>
      <c r="I20" s="280">
        <f>$I$2*H20</f>
        <v>17.660999999999998</v>
      </c>
      <c r="J20" s="281">
        <f>$J$2*H20</f>
        <v>17.660999999999998</v>
      </c>
      <c r="K20" s="282">
        <f>IF(Notes!$B$9="Domestic",I20, IF(Notes!$B$9="Commercial",J20))*$K$19</f>
        <v>17.660999999999998</v>
      </c>
      <c r="L20" s="283">
        <f>(SUM(O20:Q20)+(K20+SUM(M20:Q20))*(INDEX($U$19:$AB$19,MATCH(Notes!$C$16,$U$3:$AB$3,0))-100%))*$L$19</f>
        <v>29.93</v>
      </c>
      <c r="M20" s="286"/>
      <c r="N20" s="286"/>
      <c r="O20" s="285">
        <v>29.93</v>
      </c>
      <c r="P20" s="285"/>
      <c r="Q20" s="285"/>
      <c r="R20" s="278" t="s">
        <v>974</v>
      </c>
      <c r="S20" s="278"/>
      <c r="T20" s="278"/>
      <c r="U20" s="304"/>
    </row>
    <row r="21" spans="1:28" s="305" customFormat="1" ht="14.45" hidden="1" customHeight="1" outlineLevel="1" x14ac:dyDescent="0.25">
      <c r="A21" s="278"/>
      <c r="B21" s="279" t="str">
        <f t="shared" ref="B21:B25" si="9">C21&amp;D21&amp;E21&amp;F21</f>
        <v>sheetquality</v>
      </c>
      <c r="C21" s="278" t="s">
        <v>974</v>
      </c>
      <c r="D21" s="278"/>
      <c r="E21" s="278"/>
      <c r="F21" s="278" t="s">
        <v>544</v>
      </c>
      <c r="G21" s="278" t="s">
        <v>11</v>
      </c>
      <c r="H21" s="290">
        <v>0.3</v>
      </c>
      <c r="I21" s="280">
        <f>$I$2*H21</f>
        <v>17.660999999999998</v>
      </c>
      <c r="J21" s="281">
        <f t="shared" ref="J21:J25" si="10">$J$2*H21</f>
        <v>17.660999999999998</v>
      </c>
      <c r="K21" s="282">
        <f>IF(Notes!$B$9="Domestic",I21, IF(Notes!$B$9="Commercial",J21))*$K$19</f>
        <v>17.660999999999998</v>
      </c>
      <c r="L21" s="283">
        <f>(SUM(O21:Q21)+(K21+SUM(M21:Q21))*(INDEX($U$19:$AB$19,MATCH(Notes!$C$16,$U$3:$AB$3,0))-100%))*$L$19</f>
        <v>42.05</v>
      </c>
      <c r="M21" s="286"/>
      <c r="N21" s="286"/>
      <c r="O21" s="285">
        <v>42.05</v>
      </c>
      <c r="P21" s="285"/>
      <c r="Q21" s="285"/>
      <c r="R21" s="278" t="s">
        <v>979</v>
      </c>
      <c r="S21" s="278"/>
      <c r="T21" s="278"/>
      <c r="U21" s="304"/>
    </row>
    <row r="22" spans="1:28" s="305" customFormat="1" ht="14.45" hidden="1" customHeight="1" outlineLevel="1" x14ac:dyDescent="0.25">
      <c r="A22" s="278"/>
      <c r="B22" s="279" t="str">
        <f t="shared" si="9"/>
        <v>sheetprestige</v>
      </c>
      <c r="C22" s="278" t="s">
        <v>974</v>
      </c>
      <c r="D22" s="278"/>
      <c r="E22" s="278"/>
      <c r="F22" s="278" t="s">
        <v>545</v>
      </c>
      <c r="G22" s="278" t="s">
        <v>11</v>
      </c>
      <c r="H22" s="290">
        <v>0.3</v>
      </c>
      <c r="I22" s="280">
        <f t="shared" ref="I22:I25" si="11">$I$2*H22</f>
        <v>17.660999999999998</v>
      </c>
      <c r="J22" s="281">
        <f t="shared" si="10"/>
        <v>17.660999999999998</v>
      </c>
      <c r="K22" s="282">
        <f>IF(Notes!$B$9="Domestic",I22, IF(Notes!$B$9="Commercial",J22))*$K$19</f>
        <v>17.660999999999998</v>
      </c>
      <c r="L22" s="283">
        <f>(SUM(O22:Q22)+(K22+SUM(M22:Q22))*(INDEX($U$19:$AB$19,MATCH(Notes!$C$16,$U$3:$AB$3,0))-100%))*$L$19</f>
        <v>69.48</v>
      </c>
      <c r="M22" s="286"/>
      <c r="N22" s="286"/>
      <c r="O22" s="285">
        <v>69.48</v>
      </c>
      <c r="P22" s="285"/>
      <c r="Q22" s="285"/>
      <c r="R22" s="278"/>
      <c r="S22" s="278"/>
      <c r="T22" s="278"/>
      <c r="U22" s="304"/>
    </row>
    <row r="23" spans="1:28" s="305" customFormat="1" hidden="1" outlineLevel="1" x14ac:dyDescent="0.25">
      <c r="A23" s="278"/>
      <c r="B23" s="279" t="str">
        <f t="shared" ref="B23:B24" si="12">C23&amp;D23&amp;E23&amp;F23</f>
        <v>plankaverage</v>
      </c>
      <c r="C23" s="278" t="s">
        <v>979</v>
      </c>
      <c r="D23" s="278"/>
      <c r="E23" s="278"/>
      <c r="F23" s="278" t="s">
        <v>543</v>
      </c>
      <c r="G23" s="278" t="s">
        <v>11</v>
      </c>
      <c r="H23" s="290">
        <v>0.4</v>
      </c>
      <c r="I23" s="280">
        <f t="shared" ref="I23:I24" si="13">$I$2*H23</f>
        <v>23.548000000000002</v>
      </c>
      <c r="J23" s="281">
        <f t="shared" ref="J23:J24" si="14">$J$2*H23</f>
        <v>23.548000000000002</v>
      </c>
      <c r="K23" s="282">
        <f>IF(Notes!$B$9="Domestic",I23, IF(Notes!$B$9="Commercial",J23))*$K$19</f>
        <v>23.548000000000002</v>
      </c>
      <c r="L23" s="283">
        <f>(SUM(O23:Q23)+(K23+SUM(M23:Q23))*(INDEX($U$19:$AB$19,MATCH(Notes!$C$16,$U$3:$AB$3,0))-100%))*$L$19</f>
        <v>50.43</v>
      </c>
      <c r="M23" s="286"/>
      <c r="N23" s="286"/>
      <c r="O23" s="285">
        <v>50.43</v>
      </c>
      <c r="P23" s="285"/>
      <c r="Q23" s="285"/>
      <c r="R23" s="278"/>
      <c r="S23" s="278"/>
      <c r="T23" s="278"/>
    </row>
    <row r="24" spans="1:28" s="305" customFormat="1" hidden="1" outlineLevel="1" x14ac:dyDescent="0.25">
      <c r="A24" s="278"/>
      <c r="B24" s="279" t="str">
        <f t="shared" si="12"/>
        <v>plankquality</v>
      </c>
      <c r="C24" s="278" t="s">
        <v>979</v>
      </c>
      <c r="D24" s="278"/>
      <c r="E24" s="278"/>
      <c r="F24" s="278" t="s">
        <v>544</v>
      </c>
      <c r="G24" s="278" t="s">
        <v>11</v>
      </c>
      <c r="H24" s="290">
        <v>0.4</v>
      </c>
      <c r="I24" s="280">
        <f t="shared" si="13"/>
        <v>23.548000000000002</v>
      </c>
      <c r="J24" s="281">
        <f t="shared" si="14"/>
        <v>23.548000000000002</v>
      </c>
      <c r="K24" s="282">
        <f>IF(Notes!$B$9="Domestic",I24, IF(Notes!$B$9="Commercial",J24))*$K$19</f>
        <v>23.548000000000002</v>
      </c>
      <c r="L24" s="283">
        <f>(SUM(O24:Q24)+(K24+SUM(M24:Q24))*(INDEX($U$19:$AB$19,MATCH(Notes!$C$16,$U$3:$AB$3,0))-100%))*$L$19</f>
        <v>69.069999999999993</v>
      </c>
      <c r="M24" s="286"/>
      <c r="N24" s="286"/>
      <c r="O24" s="285">
        <v>69.069999999999993</v>
      </c>
      <c r="P24" s="285"/>
      <c r="Q24" s="285"/>
      <c r="R24" s="278"/>
      <c r="S24" s="278"/>
      <c r="T24" s="278"/>
    </row>
    <row r="25" spans="1:28" s="305" customFormat="1" hidden="1" outlineLevel="1" x14ac:dyDescent="0.25">
      <c r="A25" s="278"/>
      <c r="B25" s="279" t="str">
        <f t="shared" si="9"/>
        <v>plankprestige</v>
      </c>
      <c r="C25" s="278" t="s">
        <v>979</v>
      </c>
      <c r="D25" s="278"/>
      <c r="E25" s="278"/>
      <c r="F25" s="278" t="s">
        <v>545</v>
      </c>
      <c r="G25" s="278" t="s">
        <v>11</v>
      </c>
      <c r="H25" s="290">
        <v>0.4</v>
      </c>
      <c r="I25" s="280">
        <f t="shared" si="11"/>
        <v>23.548000000000002</v>
      </c>
      <c r="J25" s="281">
        <f t="shared" si="10"/>
        <v>23.548000000000002</v>
      </c>
      <c r="K25" s="282">
        <f>IF(Notes!$B$9="Domestic",I25, IF(Notes!$B$9="Commercial",J25))*$K$19</f>
        <v>23.548000000000002</v>
      </c>
      <c r="L25" s="283">
        <f>(SUM(O25:Q25)+(K25+SUM(M25:Q25))*(INDEX($U$19:$AB$19,MATCH(Notes!$C$16,$U$3:$AB$3,0))-100%))*$L$19</f>
        <v>85.85</v>
      </c>
      <c r="M25" s="286"/>
      <c r="N25" s="286"/>
      <c r="O25" s="285">
        <v>85.85</v>
      </c>
      <c r="P25" s="285"/>
      <c r="Q25" s="285"/>
      <c r="R25" s="278"/>
      <c r="S25" s="278"/>
      <c r="T25" s="278"/>
    </row>
    <row r="26" spans="1:28" ht="15.75" collapsed="1" x14ac:dyDescent="0.25">
      <c r="H26" s="321" t="s">
        <v>824</v>
      </c>
      <c r="I26" s="292">
        <v>80.62</v>
      </c>
      <c r="J26" s="293">
        <v>91.43</v>
      </c>
    </row>
    <row r="27" spans="1:28" ht="21" hidden="1" outlineLevel="1" x14ac:dyDescent="0.25">
      <c r="A27" s="299" t="s">
        <v>146</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row>
    <row r="28" spans="1:28" ht="15.75" hidden="1" outlineLevel="1" x14ac:dyDescent="0.25">
      <c r="A28" s="291"/>
      <c r="B28" s="291"/>
      <c r="C28" s="291"/>
      <c r="D28" s="291"/>
      <c r="E28" s="291"/>
      <c r="F28" s="291"/>
      <c r="G28" s="291"/>
      <c r="H28" s="291"/>
      <c r="I28" s="291"/>
      <c r="J28" s="291"/>
      <c r="K28" s="291">
        <f>K$2</f>
        <v>1</v>
      </c>
      <c r="L28" s="291">
        <f>L$2</f>
        <v>1</v>
      </c>
      <c r="M28" s="291"/>
      <c r="N28" s="291"/>
      <c r="O28" s="303"/>
      <c r="P28" s="303"/>
      <c r="Q28" s="303"/>
      <c r="R28" s="291"/>
      <c r="S28" s="291"/>
      <c r="T28" s="291"/>
      <c r="U28" s="291">
        <f>U$2</f>
        <v>1</v>
      </c>
      <c r="V28" s="291">
        <f>V$2</f>
        <v>1</v>
      </c>
      <c r="W28" s="291">
        <f t="shared" ref="W28:AB28" si="15">W$2</f>
        <v>1</v>
      </c>
      <c r="X28" s="291">
        <f t="shared" si="15"/>
        <v>1</v>
      </c>
      <c r="Y28" s="291">
        <f t="shared" si="15"/>
        <v>1</v>
      </c>
      <c r="Z28" s="291">
        <f t="shared" si="15"/>
        <v>1</v>
      </c>
      <c r="AA28" s="291">
        <f t="shared" si="15"/>
        <v>1</v>
      </c>
      <c r="AB28" s="291">
        <f t="shared" si="15"/>
        <v>1</v>
      </c>
    </row>
    <row r="29" spans="1:28" s="305" customFormat="1" ht="14.45" hidden="1" customHeight="1" outlineLevel="1" x14ac:dyDescent="0.25">
      <c r="A29" s="278"/>
      <c r="B29" s="279" t="str">
        <f>C29&amp;D29&amp;E29&amp;F29</f>
        <v>laminatedaverage</v>
      </c>
      <c r="C29" s="278" t="s">
        <v>536</v>
      </c>
      <c r="D29" s="278"/>
      <c r="E29" s="278"/>
      <c r="F29" s="278" t="s">
        <v>543</v>
      </c>
      <c r="G29" s="278" t="s">
        <v>11</v>
      </c>
      <c r="H29" s="290">
        <v>0.3</v>
      </c>
      <c r="I29" s="280">
        <f>$I$26*H29</f>
        <v>24.186</v>
      </c>
      <c r="J29" s="281">
        <f>$J$26*H29</f>
        <v>27.429000000000002</v>
      </c>
      <c r="K29" s="282">
        <f>IF(Notes!$B$9="Domestic",I29, IF(Notes!$B$9="Commercial",J29))*$K$28</f>
        <v>27.429000000000002</v>
      </c>
      <c r="L29" s="283">
        <f>(SUM(O29:Q29)+(K29+SUM(M29:Q29))*(INDEX($U$28:$AB$28,MATCH(Notes!$C$16,$U$3:$AB$3,0))-100%))*$L$28</f>
        <v>42.76</v>
      </c>
      <c r="M29" s="286"/>
      <c r="N29" s="286"/>
      <c r="O29" s="285">
        <v>42.76</v>
      </c>
      <c r="P29" s="285"/>
      <c r="Q29" s="285"/>
      <c r="R29" s="278" t="s">
        <v>536</v>
      </c>
      <c r="S29" s="278"/>
      <c r="T29" s="278"/>
      <c r="U29" s="304"/>
    </row>
    <row r="30" spans="1:28" s="305" customFormat="1" ht="14.45" hidden="1" customHeight="1" outlineLevel="1" x14ac:dyDescent="0.25">
      <c r="A30" s="278"/>
      <c r="B30" s="279" t="str">
        <f t="shared" ref="B30:B40" si="16">C30&amp;D30&amp;E30&amp;F30</f>
        <v>laminatedquality</v>
      </c>
      <c r="C30" s="278" t="s">
        <v>536</v>
      </c>
      <c r="D30" s="278"/>
      <c r="E30" s="278"/>
      <c r="F30" s="278" t="s">
        <v>544</v>
      </c>
      <c r="G30" s="278" t="s">
        <v>11</v>
      </c>
      <c r="H30" s="290">
        <v>0.36</v>
      </c>
      <c r="I30" s="280">
        <f t="shared" ref="I30:I40" si="17">$I$26*H30</f>
        <v>29.023199999999999</v>
      </c>
      <c r="J30" s="281">
        <f t="shared" ref="J30:J40" si="18">$J$26*H30</f>
        <v>32.9148</v>
      </c>
      <c r="K30" s="282">
        <f>IF(Notes!$B$9="Domestic",I30, IF(Notes!$B$9="Commercial",J30))*$K$28</f>
        <v>32.9148</v>
      </c>
      <c r="L30" s="283">
        <f>(SUM(O30:Q30)+(K30+SUM(M30:Q30))*(INDEX($U$28:$AB$28,MATCH(Notes!$C$16,$U$3:$AB$3,0))-100%))*$L$28</f>
        <v>57.02</v>
      </c>
      <c r="M30" s="286"/>
      <c r="N30" s="286"/>
      <c r="O30" s="285">
        <v>57.02</v>
      </c>
      <c r="P30" s="285"/>
      <c r="Q30" s="285"/>
      <c r="R30" s="278" t="s">
        <v>812</v>
      </c>
      <c r="S30" s="278"/>
      <c r="T30" s="278"/>
      <c r="U30" s="304"/>
    </row>
    <row r="31" spans="1:28" s="305" customFormat="1" ht="14.45" hidden="1" customHeight="1" outlineLevel="1" x14ac:dyDescent="0.25">
      <c r="A31" s="278"/>
      <c r="B31" s="279" t="str">
        <f t="shared" ref="B31:B32" si="19">C31&amp;D31&amp;E31&amp;F31</f>
        <v>laminatedprestige</v>
      </c>
      <c r="C31" s="278" t="s">
        <v>536</v>
      </c>
      <c r="D31" s="278"/>
      <c r="E31" s="278"/>
      <c r="F31" s="278" t="s">
        <v>545</v>
      </c>
      <c r="G31" s="278" t="s">
        <v>11</v>
      </c>
      <c r="H31" s="290">
        <v>0.4</v>
      </c>
      <c r="I31" s="280">
        <f t="shared" si="17"/>
        <v>32.248000000000005</v>
      </c>
      <c r="J31" s="281">
        <f t="shared" si="18"/>
        <v>36.572000000000003</v>
      </c>
      <c r="K31" s="282">
        <f>IF(Notes!$B$9="Domestic",I31, IF(Notes!$B$9="Commercial",J31))*$K$28</f>
        <v>36.572000000000003</v>
      </c>
      <c r="L31" s="283">
        <f>(SUM(O31:Q31)+(K31+SUM(M31:Q31))*(INDEX($U$28:$AB$28,MATCH(Notes!$C$16,$U$3:$AB$3,0))-100%))*$L$28</f>
        <v>91.64</v>
      </c>
      <c r="M31" s="286"/>
      <c r="N31" s="286"/>
      <c r="O31" s="285">
        <v>91.64</v>
      </c>
      <c r="P31" s="285"/>
      <c r="Q31" s="285"/>
      <c r="R31" s="278" t="s">
        <v>982</v>
      </c>
      <c r="S31" s="278"/>
      <c r="T31" s="278"/>
      <c r="U31" s="304"/>
    </row>
    <row r="32" spans="1:28" s="305" customFormat="1" ht="14.45" hidden="1" customHeight="1" outlineLevel="1" x14ac:dyDescent="0.25">
      <c r="A32" s="278"/>
      <c r="B32" s="279" t="str">
        <f t="shared" si="19"/>
        <v>engineeredaverage</v>
      </c>
      <c r="C32" s="278" t="s">
        <v>812</v>
      </c>
      <c r="D32" s="278"/>
      <c r="E32" s="278"/>
      <c r="F32" s="278" t="s">
        <v>543</v>
      </c>
      <c r="G32" s="278" t="s">
        <v>11</v>
      </c>
      <c r="H32" s="290">
        <v>0.36</v>
      </c>
      <c r="I32" s="280">
        <f t="shared" si="17"/>
        <v>29.023199999999999</v>
      </c>
      <c r="J32" s="281">
        <f t="shared" si="18"/>
        <v>32.9148</v>
      </c>
      <c r="K32" s="282">
        <f>IF(Notes!$B$9="Domestic",I32, IF(Notes!$B$9="Commercial",J32))*$K$28</f>
        <v>32.9148</v>
      </c>
      <c r="L32" s="283">
        <f>(SUM(O32:Q32)+(K32+SUM(M32:Q32))*(INDEX($U$28:$AB$28,MATCH(Notes!$C$16,$U$3:$AB$3,0))-100%))*$L$28</f>
        <v>119.12</v>
      </c>
      <c r="M32" s="286"/>
      <c r="N32" s="286"/>
      <c r="O32" s="285">
        <v>119.12</v>
      </c>
      <c r="P32" s="285"/>
      <c r="Q32" s="285"/>
      <c r="R32" s="278" t="s">
        <v>981</v>
      </c>
      <c r="S32" s="278"/>
      <c r="T32" s="278"/>
    </row>
    <row r="33" spans="1:28" s="305" customFormat="1" ht="14.45" hidden="1" customHeight="1" outlineLevel="1" x14ac:dyDescent="0.25">
      <c r="A33" s="278"/>
      <c r="B33" s="279" t="str">
        <f t="shared" si="16"/>
        <v>engineeredquality</v>
      </c>
      <c r="C33" s="278" t="s">
        <v>812</v>
      </c>
      <c r="D33" s="278"/>
      <c r="E33" s="278"/>
      <c r="F33" s="278" t="s">
        <v>544</v>
      </c>
      <c r="G33" s="278" t="s">
        <v>11</v>
      </c>
      <c r="H33" s="290">
        <v>0.4</v>
      </c>
      <c r="I33" s="280">
        <f t="shared" si="17"/>
        <v>32.248000000000005</v>
      </c>
      <c r="J33" s="281">
        <f t="shared" si="18"/>
        <v>36.572000000000003</v>
      </c>
      <c r="K33" s="282">
        <f>IF(Notes!$B$9="Domestic",I33, IF(Notes!$B$9="Commercial",J33))*$K$28</f>
        <v>36.572000000000003</v>
      </c>
      <c r="L33" s="283">
        <f>(SUM(O33:Q33)+(K33+SUM(M33:Q33))*(INDEX($U$28:$AB$28,MATCH(Notes!$C$16,$U$3:$AB$3,0))-100%))*$L$28</f>
        <v>134.4</v>
      </c>
      <c r="M33" s="286"/>
      <c r="N33" s="286"/>
      <c r="O33" s="285">
        <v>134.4</v>
      </c>
      <c r="P33" s="285"/>
      <c r="Q33" s="285"/>
      <c r="R33" s="278"/>
      <c r="S33" s="278"/>
      <c r="T33" s="278"/>
      <c r="U33" s="304"/>
    </row>
    <row r="34" spans="1:28" s="305" customFormat="1" ht="14.45" hidden="1" customHeight="1" outlineLevel="1" x14ac:dyDescent="0.25">
      <c r="A34" s="278"/>
      <c r="B34" s="279" t="str">
        <f t="shared" si="16"/>
        <v>engineeredprestige</v>
      </c>
      <c r="C34" s="278" t="s">
        <v>812</v>
      </c>
      <c r="D34" s="278"/>
      <c r="E34" s="278"/>
      <c r="F34" s="278" t="s">
        <v>545</v>
      </c>
      <c r="G34" s="278" t="s">
        <v>11</v>
      </c>
      <c r="H34" s="290">
        <v>0.46</v>
      </c>
      <c r="I34" s="280">
        <f t="shared" si="17"/>
        <v>37.0852</v>
      </c>
      <c r="J34" s="281">
        <f t="shared" si="18"/>
        <v>42.057800000000007</v>
      </c>
      <c r="K34" s="282">
        <f>IF(Notes!$B$9="Domestic",I34, IF(Notes!$B$9="Commercial",J34))*$K$28</f>
        <v>42.057800000000007</v>
      </c>
      <c r="L34" s="283">
        <f>(SUM(O34:Q34)+(K34+SUM(M34:Q34))*(INDEX($U$28:$AB$28,MATCH(Notes!$C$16,$U$3:$AB$3,0))-100%))*$L$28</f>
        <v>162.91999999999999</v>
      </c>
      <c r="M34" s="286"/>
      <c r="N34" s="286"/>
      <c r="O34" s="285">
        <v>162.91999999999999</v>
      </c>
      <c r="P34" s="285"/>
      <c r="Q34" s="285"/>
      <c r="R34" s="278"/>
      <c r="S34" s="278"/>
      <c r="T34" s="278"/>
    </row>
    <row r="35" spans="1:28" s="305" customFormat="1" ht="14.45" hidden="1" customHeight="1" outlineLevel="1" x14ac:dyDescent="0.25">
      <c r="A35" s="278"/>
      <c r="B35" s="279" t="str">
        <f t="shared" ref="B35:B37" si="20">C35&amp;D35&amp;E35&amp;F35</f>
        <v>bambooaverage</v>
      </c>
      <c r="C35" s="278" t="s">
        <v>982</v>
      </c>
      <c r="D35" s="278"/>
      <c r="E35" s="278"/>
      <c r="F35" s="278" t="s">
        <v>543</v>
      </c>
      <c r="G35" s="278" t="s">
        <v>11</v>
      </c>
      <c r="H35" s="290">
        <v>0.4</v>
      </c>
      <c r="I35" s="280">
        <f t="shared" ref="I35:I37" si="21">$I$26*H35</f>
        <v>32.248000000000005</v>
      </c>
      <c r="J35" s="281">
        <f t="shared" ref="J35:J37" si="22">$J$26*H35</f>
        <v>36.572000000000003</v>
      </c>
      <c r="K35" s="282">
        <f>IF(Notes!$B$9="Domestic",I35, IF(Notes!$B$9="Commercial",J35))*$K$28</f>
        <v>36.572000000000003</v>
      </c>
      <c r="L35" s="283">
        <f>(SUM(O35:Q35)+(K35+SUM(M35:Q35))*(INDEX($U$28:$AB$28,MATCH(Notes!$C$16,$U$3:$AB$3,0))-100%))*$L$28</f>
        <v>68.22</v>
      </c>
      <c r="M35" s="286"/>
      <c r="N35" s="286"/>
      <c r="O35" s="285">
        <v>68.22</v>
      </c>
      <c r="P35" s="285"/>
      <c r="Q35" s="285"/>
      <c r="R35" s="278"/>
      <c r="S35" s="278"/>
      <c r="T35" s="278"/>
    </row>
    <row r="36" spans="1:28" s="305" customFormat="1" ht="14.45" hidden="1" customHeight="1" outlineLevel="1" x14ac:dyDescent="0.25">
      <c r="A36" s="278"/>
      <c r="B36" s="279" t="str">
        <f t="shared" si="20"/>
        <v>bambooquality</v>
      </c>
      <c r="C36" s="278" t="s">
        <v>982</v>
      </c>
      <c r="D36" s="278"/>
      <c r="E36" s="278"/>
      <c r="F36" s="278" t="s">
        <v>544</v>
      </c>
      <c r="G36" s="278" t="s">
        <v>11</v>
      </c>
      <c r="H36" s="290">
        <v>0.46</v>
      </c>
      <c r="I36" s="280">
        <f t="shared" si="21"/>
        <v>37.0852</v>
      </c>
      <c r="J36" s="281">
        <f t="shared" si="22"/>
        <v>42.057800000000007</v>
      </c>
      <c r="K36" s="282">
        <f>IF(Notes!$B$9="Domestic",I36, IF(Notes!$B$9="Commercial",J36))*$K$28</f>
        <v>42.057800000000007</v>
      </c>
      <c r="L36" s="283">
        <f>(SUM(O36:Q36)+(K36+SUM(M36:Q36))*(INDEX($U$28:$AB$28,MATCH(Notes!$C$16,$U$3:$AB$3,0))-100%))*$L$28</f>
        <v>83.48</v>
      </c>
      <c r="M36" s="286"/>
      <c r="N36" s="286"/>
      <c r="O36" s="285">
        <v>83.48</v>
      </c>
      <c r="P36" s="285"/>
      <c r="Q36" s="285"/>
      <c r="R36" s="278"/>
      <c r="S36" s="278"/>
      <c r="T36" s="278"/>
    </row>
    <row r="37" spans="1:28" s="305" customFormat="1" ht="14.45" hidden="1" customHeight="1" outlineLevel="1" x14ac:dyDescent="0.25">
      <c r="A37" s="278"/>
      <c r="B37" s="279" t="str">
        <f t="shared" si="20"/>
        <v>bambooprestige</v>
      </c>
      <c r="C37" s="278" t="s">
        <v>982</v>
      </c>
      <c r="D37" s="278"/>
      <c r="E37" s="278"/>
      <c r="F37" s="278" t="s">
        <v>545</v>
      </c>
      <c r="G37" s="278" t="s">
        <v>11</v>
      </c>
      <c r="H37" s="290">
        <v>0.5</v>
      </c>
      <c r="I37" s="280">
        <f t="shared" si="21"/>
        <v>40.31</v>
      </c>
      <c r="J37" s="281">
        <f t="shared" si="22"/>
        <v>45.715000000000003</v>
      </c>
      <c r="K37" s="282">
        <f>IF(Notes!$B$9="Domestic",I37, IF(Notes!$B$9="Commercial",J37))*$K$28</f>
        <v>45.715000000000003</v>
      </c>
      <c r="L37" s="283">
        <f>(SUM(O37:Q37)+(K37+SUM(M37:Q37))*(INDEX($U$28:$AB$28,MATCH(Notes!$C$16,$U$3:$AB$3,0))-100%))*$L$28</f>
        <v>102.15347991791265</v>
      </c>
      <c r="M37" s="286"/>
      <c r="N37" s="286"/>
      <c r="O37" s="285">
        <f>O36*O36/O35</f>
        <v>102.15347991791265</v>
      </c>
      <c r="P37" s="285"/>
      <c r="Q37" s="285"/>
      <c r="R37" s="278"/>
      <c r="S37" s="278"/>
      <c r="T37" s="278"/>
    </row>
    <row r="38" spans="1:28" s="305" customFormat="1" ht="14.45" hidden="1" customHeight="1" outlineLevel="1" x14ac:dyDescent="0.25">
      <c r="A38" s="278"/>
      <c r="B38" s="279" t="str">
        <f t="shared" si="16"/>
        <v>hardwoodaverage</v>
      </c>
      <c r="C38" s="278" t="s">
        <v>981</v>
      </c>
      <c r="D38" s="278"/>
      <c r="E38" s="278"/>
      <c r="F38" s="278" t="s">
        <v>543</v>
      </c>
      <c r="G38" s="278" t="s">
        <v>11</v>
      </c>
      <c r="H38" s="290">
        <v>0.4</v>
      </c>
      <c r="I38" s="280">
        <f t="shared" si="17"/>
        <v>32.248000000000005</v>
      </c>
      <c r="J38" s="281">
        <f t="shared" si="18"/>
        <v>36.572000000000003</v>
      </c>
      <c r="K38" s="282">
        <f>IF(Notes!$B$9="Domestic",I38, IF(Notes!$B$9="Commercial",J38))*$K$28</f>
        <v>36.572000000000003</v>
      </c>
      <c r="L38" s="283">
        <f>(SUM(O38:Q38)+(K38+SUM(M38:Q38))*(INDEX($U$28:$AB$28,MATCH(Notes!$C$16,$U$3:$AB$3,0))-100%))*$L$28</f>
        <v>127.32</v>
      </c>
      <c r="M38" s="286"/>
      <c r="N38" s="286"/>
      <c r="O38" s="285">
        <v>127.32</v>
      </c>
      <c r="P38" s="285"/>
      <c r="Q38" s="285"/>
      <c r="R38" s="278"/>
      <c r="S38" s="278"/>
      <c r="T38" s="278"/>
    </row>
    <row r="39" spans="1:28" s="305" customFormat="1" ht="14.45" hidden="1" customHeight="1" outlineLevel="1" x14ac:dyDescent="0.25">
      <c r="A39" s="278"/>
      <c r="B39" s="279" t="str">
        <f t="shared" si="16"/>
        <v>hardwoodquality</v>
      </c>
      <c r="C39" s="278" t="s">
        <v>981</v>
      </c>
      <c r="D39" s="278"/>
      <c r="E39" s="278"/>
      <c r="F39" s="278" t="s">
        <v>544</v>
      </c>
      <c r="G39" s="278" t="s">
        <v>11</v>
      </c>
      <c r="H39" s="290">
        <v>0.46</v>
      </c>
      <c r="I39" s="280">
        <f t="shared" si="17"/>
        <v>37.0852</v>
      </c>
      <c r="J39" s="281">
        <f t="shared" si="18"/>
        <v>42.057800000000007</v>
      </c>
      <c r="K39" s="282">
        <f>IF(Notes!$B$9="Domestic",I39, IF(Notes!$B$9="Commercial",J39))*$K$28</f>
        <v>42.057800000000007</v>
      </c>
      <c r="L39" s="283">
        <f>(SUM(O39:Q39)+(K39+SUM(M39:Q39))*(INDEX($U$28:$AB$28,MATCH(Notes!$C$16,$U$3:$AB$3,0))-100%))*$L$28</f>
        <v>151.87</v>
      </c>
      <c r="M39" s="286"/>
      <c r="N39" s="286"/>
      <c r="O39" s="285">
        <v>151.87</v>
      </c>
      <c r="P39" s="285"/>
      <c r="Q39" s="285"/>
      <c r="R39" s="278"/>
      <c r="S39" s="278"/>
      <c r="T39" s="278"/>
    </row>
    <row r="40" spans="1:28" s="305" customFormat="1" ht="14.45" hidden="1" customHeight="1" outlineLevel="1" x14ac:dyDescent="0.25">
      <c r="A40" s="278"/>
      <c r="B40" s="279" t="str">
        <f t="shared" si="16"/>
        <v>hardwoodprestige</v>
      </c>
      <c r="C40" s="278" t="s">
        <v>981</v>
      </c>
      <c r="D40" s="278"/>
      <c r="E40" s="278"/>
      <c r="F40" s="278" t="s">
        <v>545</v>
      </c>
      <c r="G40" s="278" t="s">
        <v>11</v>
      </c>
      <c r="H40" s="290">
        <v>0.5</v>
      </c>
      <c r="I40" s="280">
        <f t="shared" si="17"/>
        <v>40.31</v>
      </c>
      <c r="J40" s="281">
        <f t="shared" si="18"/>
        <v>45.715000000000003</v>
      </c>
      <c r="K40" s="282">
        <f>IF(Notes!$B$9="Domestic",I40, IF(Notes!$B$9="Commercial",J40))*$K$28</f>
        <v>45.715000000000003</v>
      </c>
      <c r="L40" s="283">
        <f>(SUM(O40:Q40)+(K40+SUM(M40:Q40))*(INDEX($U$28:$AB$28,MATCH(Notes!$C$16,$U$3:$AB$3,0))-100%))*$L$28</f>
        <v>172.78</v>
      </c>
      <c r="M40" s="286"/>
      <c r="N40" s="286"/>
      <c r="O40" s="285">
        <v>172.78</v>
      </c>
      <c r="P40" s="285"/>
      <c r="Q40" s="285"/>
      <c r="R40" s="278"/>
      <c r="S40" s="278"/>
      <c r="T40" s="278"/>
    </row>
    <row r="41" spans="1:28" ht="15.75" collapsed="1" x14ac:dyDescent="0.25">
      <c r="H41" s="321" t="s">
        <v>878</v>
      </c>
      <c r="I41" s="292">
        <v>65.37</v>
      </c>
      <c r="J41" s="293">
        <v>80.84</v>
      </c>
    </row>
    <row r="42" spans="1:28" ht="21" hidden="1" outlineLevel="1" x14ac:dyDescent="0.25">
      <c r="A42" s="299" t="s">
        <v>983</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row>
    <row r="43" spans="1:28" ht="15.75" hidden="1" outlineLevel="1" x14ac:dyDescent="0.25">
      <c r="A43" s="291"/>
      <c r="B43" s="291"/>
      <c r="C43" s="291"/>
      <c r="D43" s="291"/>
      <c r="E43" s="291"/>
      <c r="F43" s="291"/>
      <c r="G43" s="291"/>
      <c r="H43" s="291"/>
      <c r="I43" s="291"/>
      <c r="J43" s="291"/>
      <c r="K43" s="291">
        <f>K$2</f>
        <v>1</v>
      </c>
      <c r="L43" s="291">
        <f>L$2</f>
        <v>1</v>
      </c>
      <c r="M43" s="291"/>
      <c r="N43" s="291"/>
      <c r="O43" s="303"/>
      <c r="P43" s="303"/>
      <c r="Q43" s="303"/>
      <c r="R43" s="291"/>
      <c r="S43" s="291"/>
      <c r="T43" s="291"/>
      <c r="U43" s="291">
        <f>U$2</f>
        <v>1</v>
      </c>
      <c r="V43" s="291">
        <f>V$2</f>
        <v>1</v>
      </c>
      <c r="W43" s="291">
        <f t="shared" ref="W43:AB43" si="23">W$2</f>
        <v>1</v>
      </c>
      <c r="X43" s="291">
        <f t="shared" si="23"/>
        <v>1</v>
      </c>
      <c r="Y43" s="291">
        <f t="shared" si="23"/>
        <v>1</v>
      </c>
      <c r="Z43" s="291">
        <f t="shared" si="23"/>
        <v>1</v>
      </c>
      <c r="AA43" s="291">
        <f t="shared" si="23"/>
        <v>1</v>
      </c>
      <c r="AB43" s="291">
        <f t="shared" si="23"/>
        <v>1</v>
      </c>
    </row>
    <row r="44" spans="1:28" s="305" customFormat="1" ht="14.45" hidden="1" customHeight="1" outlineLevel="1" x14ac:dyDescent="0.25">
      <c r="A44" s="278"/>
      <c r="B44" s="279" t="str">
        <f>C44&amp;D44&amp;E44&amp;F44</f>
        <v>polishedaverage</v>
      </c>
      <c r="C44" s="278" t="s">
        <v>984</v>
      </c>
      <c r="D44" s="278"/>
      <c r="E44" s="278"/>
      <c r="F44" s="278" t="s">
        <v>543</v>
      </c>
      <c r="G44" s="278" t="s">
        <v>11</v>
      </c>
      <c r="H44" s="290"/>
      <c r="I44" s="280">
        <f>$I$41*H44</f>
        <v>0</v>
      </c>
      <c r="J44" s="281">
        <f>$J$41*H44</f>
        <v>0</v>
      </c>
      <c r="K44" s="282">
        <f>IF(Notes!$B$9="Domestic",I44, IF(Notes!$B$9="Commercial",J44))*$K$43</f>
        <v>0</v>
      </c>
      <c r="L44" s="283">
        <f>(SUM(O44:Q44)+(K44+SUM(M44:Q44))*(INDEX($U$43:$AB$43,MATCH(Notes!$C$16,$U$3:$AB$3,0))-100%))*$L$43</f>
        <v>0</v>
      </c>
      <c r="M44" s="286"/>
      <c r="N44" s="286"/>
      <c r="O44" s="285"/>
      <c r="P44" s="285"/>
      <c r="Q44" s="285"/>
      <c r="R44" s="278" t="s">
        <v>984</v>
      </c>
      <c r="S44" s="278"/>
      <c r="T44" s="278"/>
      <c r="U44" s="304"/>
    </row>
    <row r="45" spans="1:28" s="305" customFormat="1" ht="14.45" hidden="1" customHeight="1" outlineLevel="1" x14ac:dyDescent="0.25">
      <c r="A45" s="278"/>
      <c r="B45" s="279" t="str">
        <f t="shared" ref="B45:B53" si="24">C45&amp;D45&amp;E45&amp;F45</f>
        <v>polishedquality</v>
      </c>
      <c r="C45" s="278" t="s">
        <v>984</v>
      </c>
      <c r="D45" s="278"/>
      <c r="E45" s="278"/>
      <c r="F45" s="278" t="s">
        <v>544</v>
      </c>
      <c r="G45" s="278" t="s">
        <v>11</v>
      </c>
      <c r="H45" s="290"/>
      <c r="I45" s="280">
        <f>$I$41*H45</f>
        <v>0</v>
      </c>
      <c r="J45" s="281">
        <f t="shared" ref="J45:J53" si="25">$J$41*H45</f>
        <v>0</v>
      </c>
      <c r="K45" s="282">
        <f>IF(Notes!$B$9="Domestic",I45, IF(Notes!$B$9="Commercial",J45))*$K$43</f>
        <v>0</v>
      </c>
      <c r="L45" s="283">
        <f>(SUM(O45:Q45)+(K45+SUM(M45:Q45))*(INDEX($U$43:$AB$43,MATCH(Notes!$C$16,$U$3:$AB$3,0))-100%))*$L$43</f>
        <v>0</v>
      </c>
      <c r="M45" s="286"/>
      <c r="N45" s="286"/>
      <c r="O45" s="285"/>
      <c r="P45" s="285"/>
      <c r="Q45" s="285"/>
      <c r="R45" s="278" t="s">
        <v>985</v>
      </c>
      <c r="S45" s="278"/>
      <c r="T45" s="278"/>
      <c r="U45" s="304"/>
    </row>
    <row r="46" spans="1:28" s="305" customFormat="1" ht="14.45" hidden="1" customHeight="1" outlineLevel="1" x14ac:dyDescent="0.25">
      <c r="A46" s="278"/>
      <c r="B46" s="279" t="str">
        <f t="shared" si="24"/>
        <v>polishedprestige</v>
      </c>
      <c r="C46" s="278" t="s">
        <v>984</v>
      </c>
      <c r="D46" s="278"/>
      <c r="E46" s="278"/>
      <c r="F46" s="278" t="s">
        <v>545</v>
      </c>
      <c r="G46" s="278" t="s">
        <v>11</v>
      </c>
      <c r="H46" s="290"/>
      <c r="I46" s="280">
        <f t="shared" ref="I46:I53" si="26">$I$41*H46</f>
        <v>0</v>
      </c>
      <c r="J46" s="281">
        <f t="shared" si="25"/>
        <v>0</v>
      </c>
      <c r="K46" s="282">
        <f>IF(Notes!$B$9="Domestic",I46, IF(Notes!$B$9="Commercial",J46))*$K$43</f>
        <v>0</v>
      </c>
      <c r="L46" s="283">
        <f>(SUM(O46:Q46)+(K46+SUM(M46:Q46))*(INDEX($U$43:$AB$43,MATCH(Notes!$C$16,$U$3:$AB$3,0))-100%))*$L$43</f>
        <v>0</v>
      </c>
      <c r="M46" s="286"/>
      <c r="N46" s="286"/>
      <c r="O46" s="285"/>
      <c r="P46" s="285"/>
      <c r="Q46" s="285"/>
      <c r="R46" s="278"/>
      <c r="S46" s="278"/>
      <c r="T46" s="278"/>
      <c r="U46" s="304"/>
    </row>
    <row r="47" spans="1:28" s="305" customFormat="1" hidden="1" outlineLevel="1" x14ac:dyDescent="0.25">
      <c r="A47" s="278"/>
      <c r="B47" s="279" t="str">
        <f t="shared" si="24"/>
        <v>epoxyaverage</v>
      </c>
      <c r="C47" s="278" t="s">
        <v>985</v>
      </c>
      <c r="D47" s="278"/>
      <c r="E47" s="278"/>
      <c r="F47" s="278" t="s">
        <v>543</v>
      </c>
      <c r="G47" s="278" t="s">
        <v>11</v>
      </c>
      <c r="H47" s="290"/>
      <c r="I47" s="280">
        <f t="shared" si="26"/>
        <v>0</v>
      </c>
      <c r="J47" s="281">
        <f t="shared" si="25"/>
        <v>0</v>
      </c>
      <c r="K47" s="282">
        <f>IF(Notes!$B$9="Domestic",I47, IF(Notes!$B$9="Commercial",J47))*$K$43</f>
        <v>0</v>
      </c>
      <c r="L47" s="283">
        <f>(SUM(O47:Q47)+(K47+SUM(M47:Q47))*(INDEX($U$43:$AB$43,MATCH(Notes!$C$16,$U$3:$AB$3,0))-100%))*$L$43</f>
        <v>0</v>
      </c>
      <c r="M47" s="286"/>
      <c r="N47" s="286"/>
      <c r="O47" s="285"/>
      <c r="P47" s="285"/>
      <c r="Q47" s="285"/>
      <c r="R47" s="278"/>
      <c r="S47" s="278"/>
      <c r="T47" s="278"/>
    </row>
    <row r="48" spans="1:28" s="305" customFormat="1" hidden="1" outlineLevel="1" x14ac:dyDescent="0.25">
      <c r="A48" s="278"/>
      <c r="B48" s="279" t="str">
        <f t="shared" si="24"/>
        <v>epoxyquality</v>
      </c>
      <c r="C48" s="278" t="s">
        <v>985</v>
      </c>
      <c r="D48" s="278"/>
      <c r="E48" s="278"/>
      <c r="F48" s="278" t="s">
        <v>544</v>
      </c>
      <c r="G48" s="278" t="s">
        <v>11</v>
      </c>
      <c r="H48" s="290"/>
      <c r="I48" s="280">
        <f t="shared" si="26"/>
        <v>0</v>
      </c>
      <c r="J48" s="281">
        <f t="shared" si="25"/>
        <v>0</v>
      </c>
      <c r="K48" s="282">
        <f>IF(Notes!$B$9="Domestic",I48, IF(Notes!$B$9="Commercial",J48))*$K$43</f>
        <v>0</v>
      </c>
      <c r="L48" s="283">
        <f>(SUM(O48:Q48)+(K48+SUM(M48:Q48))*(INDEX($U$43:$AB$43,MATCH(Notes!$C$16,$U$3:$AB$3,0))-100%))*$L$43</f>
        <v>0</v>
      </c>
      <c r="M48" s="286"/>
      <c r="N48" s="286"/>
      <c r="O48" s="285"/>
      <c r="P48" s="285"/>
      <c r="Q48" s="285"/>
      <c r="R48" s="278"/>
      <c r="S48" s="278"/>
      <c r="T48" s="278"/>
    </row>
    <row r="49" spans="1:28" s="305" customFormat="1" hidden="1" outlineLevel="1" x14ac:dyDescent="0.25">
      <c r="A49" s="278"/>
      <c r="B49" s="279" t="str">
        <f t="shared" si="24"/>
        <v>epoxyprestige</v>
      </c>
      <c r="C49" s="278" t="s">
        <v>985</v>
      </c>
      <c r="D49" s="278"/>
      <c r="E49" s="278"/>
      <c r="F49" s="278" t="s">
        <v>545</v>
      </c>
      <c r="G49" s="278" t="s">
        <v>11</v>
      </c>
      <c r="H49" s="290"/>
      <c r="I49" s="280">
        <f t="shared" si="26"/>
        <v>0</v>
      </c>
      <c r="J49" s="281">
        <f t="shared" si="25"/>
        <v>0</v>
      </c>
      <c r="K49" s="282">
        <f>IF(Notes!$B$9="Domestic",I49, IF(Notes!$B$9="Commercial",J49))*$K$43</f>
        <v>0</v>
      </c>
      <c r="L49" s="283">
        <f>(SUM(O49:Q49)+(K49+SUM(M49:Q49))*(INDEX($U$43:$AB$43,MATCH(Notes!$C$16,$U$3:$AB$3,0))-100%))*$L$43</f>
        <v>0</v>
      </c>
      <c r="M49" s="286"/>
      <c r="N49" s="286"/>
      <c r="O49" s="285"/>
      <c r="P49" s="285"/>
      <c r="Q49" s="285"/>
      <c r="R49" s="278"/>
      <c r="S49" s="278"/>
      <c r="T49" s="278"/>
    </row>
    <row r="50" spans="1:28" s="305" customFormat="1" hidden="1" outlineLevel="1" x14ac:dyDescent="0.25">
      <c r="A50" s="278"/>
      <c r="B50" s="279" t="str">
        <f t="shared" si="24"/>
        <v/>
      </c>
      <c r="C50" s="278"/>
      <c r="D50" s="278"/>
      <c r="E50" s="278"/>
      <c r="F50" s="278"/>
      <c r="G50" s="278"/>
      <c r="H50" s="290"/>
      <c r="I50" s="280">
        <f t="shared" si="26"/>
        <v>0</v>
      </c>
      <c r="J50" s="281">
        <f t="shared" si="25"/>
        <v>0</v>
      </c>
      <c r="K50" s="282">
        <f>IF(Notes!$B$9="Domestic",I50, IF(Notes!$B$9="Commercial",J50))*$K$43</f>
        <v>0</v>
      </c>
      <c r="L50" s="283">
        <f>(SUM(O50:Q50)+(K50+SUM(M50:Q50))*(INDEX($U$43:$AB$43,MATCH(Notes!$C$16,$U$3:$AB$3,0))-100%))*$L$43</f>
        <v>0</v>
      </c>
      <c r="M50" s="286"/>
      <c r="N50" s="286"/>
      <c r="O50" s="285"/>
      <c r="P50" s="285"/>
      <c r="Q50" s="285"/>
      <c r="R50" s="278"/>
      <c r="S50" s="278"/>
      <c r="T50" s="278"/>
    </row>
    <row r="51" spans="1:28" s="305" customFormat="1" hidden="1" outlineLevel="1" x14ac:dyDescent="0.25">
      <c r="A51" s="278"/>
      <c r="B51" s="279" t="str">
        <f t="shared" si="24"/>
        <v/>
      </c>
      <c r="C51" s="278"/>
      <c r="D51" s="278"/>
      <c r="E51" s="278"/>
      <c r="F51" s="278"/>
      <c r="G51" s="278"/>
      <c r="H51" s="290"/>
      <c r="I51" s="280">
        <f t="shared" si="26"/>
        <v>0</v>
      </c>
      <c r="J51" s="281">
        <f t="shared" si="25"/>
        <v>0</v>
      </c>
      <c r="K51" s="282">
        <f>IF(Notes!$B$9="Domestic",I51, IF(Notes!$B$9="Commercial",J51))*$K$43</f>
        <v>0</v>
      </c>
      <c r="L51" s="283">
        <f>(SUM(O51:Q51)+(K51+SUM(M51:Q51))*(INDEX($U$43:$AB$43,MATCH(Notes!$C$16,$U$3:$AB$3,0))-100%))*$L$43</f>
        <v>0</v>
      </c>
      <c r="M51" s="286"/>
      <c r="N51" s="286"/>
      <c r="O51" s="285"/>
      <c r="P51" s="285"/>
      <c r="Q51" s="285"/>
      <c r="R51" s="278"/>
      <c r="S51" s="278"/>
      <c r="T51" s="278"/>
    </row>
    <row r="52" spans="1:28" s="305" customFormat="1" hidden="1" outlineLevel="1" x14ac:dyDescent="0.25">
      <c r="A52" s="278"/>
      <c r="B52" s="279" t="str">
        <f t="shared" si="24"/>
        <v/>
      </c>
      <c r="C52" s="278"/>
      <c r="D52" s="278"/>
      <c r="E52" s="278"/>
      <c r="F52" s="278"/>
      <c r="G52" s="278"/>
      <c r="H52" s="290"/>
      <c r="I52" s="280">
        <f t="shared" si="26"/>
        <v>0</v>
      </c>
      <c r="J52" s="281">
        <f t="shared" si="25"/>
        <v>0</v>
      </c>
      <c r="K52" s="282">
        <f>IF(Notes!$B$9="Domestic",I52, IF(Notes!$B$9="Commercial",J52))*$K$43</f>
        <v>0</v>
      </c>
      <c r="L52" s="283">
        <f>(SUM(O52:Q52)+(K52+SUM(M52:Q52))*(INDEX($U$43:$AB$43,MATCH(Notes!$C$16,$U$3:$AB$3,0))-100%))*$L$43</f>
        <v>0</v>
      </c>
      <c r="M52" s="286"/>
      <c r="N52" s="286"/>
      <c r="O52" s="285"/>
      <c r="P52" s="285"/>
      <c r="Q52" s="285"/>
      <c r="R52" s="278"/>
      <c r="S52" s="278"/>
      <c r="T52" s="278"/>
    </row>
    <row r="53" spans="1:28" s="305" customFormat="1" hidden="1" outlineLevel="1" x14ac:dyDescent="0.25">
      <c r="A53" s="278"/>
      <c r="B53" s="279" t="str">
        <f t="shared" si="24"/>
        <v/>
      </c>
      <c r="C53" s="278"/>
      <c r="D53" s="278"/>
      <c r="E53" s="278"/>
      <c r="F53" s="278"/>
      <c r="G53" s="278"/>
      <c r="H53" s="290"/>
      <c r="I53" s="280">
        <f t="shared" si="26"/>
        <v>0</v>
      </c>
      <c r="J53" s="281">
        <f t="shared" si="25"/>
        <v>0</v>
      </c>
      <c r="K53" s="282">
        <f>IF(Notes!$B$9="Domestic",I53, IF(Notes!$B$9="Commercial",J53))*$K$43</f>
        <v>0</v>
      </c>
      <c r="L53" s="283">
        <f>(SUM(O53:Q53)+(K53+SUM(M53:Q53))*(INDEX($U$43:$AB$43,MATCH(Notes!$C$16,$U$3:$AB$3,0))-100%))*$L$43</f>
        <v>0</v>
      </c>
      <c r="M53" s="286"/>
      <c r="N53" s="286"/>
      <c r="O53" s="285"/>
      <c r="P53" s="285"/>
      <c r="Q53" s="285"/>
      <c r="R53" s="278"/>
      <c r="S53" s="278"/>
      <c r="T53" s="278"/>
    </row>
    <row r="54" spans="1:28" ht="21" hidden="1" outlineLevel="1" x14ac:dyDescent="0.25">
      <c r="A54" s="299"/>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row>
    <row r="55" spans="1:28" ht="15.75" hidden="1" outlineLevel="1" x14ac:dyDescent="0.25">
      <c r="A55" s="291"/>
      <c r="B55" s="291"/>
      <c r="C55" s="291"/>
      <c r="D55" s="291"/>
      <c r="E55" s="291"/>
      <c r="F55" s="291"/>
      <c r="G55" s="291"/>
      <c r="H55" s="291"/>
      <c r="I55" s="291"/>
      <c r="J55" s="291"/>
      <c r="K55" s="291">
        <f>K$2</f>
        <v>1</v>
      </c>
      <c r="L55" s="291">
        <f>L$2</f>
        <v>1</v>
      </c>
      <c r="M55" s="291"/>
      <c r="N55" s="291"/>
      <c r="O55" s="303"/>
      <c r="P55" s="303"/>
      <c r="Q55" s="303"/>
      <c r="R55" s="291"/>
      <c r="S55" s="291"/>
      <c r="T55" s="291"/>
      <c r="U55" s="291">
        <f>U$2</f>
        <v>1</v>
      </c>
      <c r="V55" s="291">
        <f>V$2</f>
        <v>1</v>
      </c>
      <c r="W55" s="291">
        <f t="shared" ref="W55:AB55" si="27">W$2</f>
        <v>1</v>
      </c>
      <c r="X55" s="291">
        <f t="shared" si="27"/>
        <v>1</v>
      </c>
      <c r="Y55" s="291">
        <f t="shared" si="27"/>
        <v>1</v>
      </c>
      <c r="Z55" s="291">
        <f t="shared" si="27"/>
        <v>1</v>
      </c>
      <c r="AA55" s="291">
        <f t="shared" si="27"/>
        <v>1</v>
      </c>
      <c r="AB55" s="291">
        <f t="shared" si="27"/>
        <v>1</v>
      </c>
    </row>
    <row r="56" spans="1:28" s="305" customFormat="1" ht="14.45" hidden="1" customHeight="1" outlineLevel="1" x14ac:dyDescent="0.25">
      <c r="A56" s="278"/>
      <c r="B56" s="279" t="str">
        <f>C56&amp;D56&amp;E56&amp;F56</f>
        <v/>
      </c>
      <c r="C56" s="278"/>
      <c r="D56" s="278"/>
      <c r="E56" s="278"/>
      <c r="F56" s="278"/>
      <c r="G56" s="278"/>
      <c r="H56" s="290"/>
      <c r="I56" s="280">
        <f>$I$2*H56</f>
        <v>0</v>
      </c>
      <c r="J56" s="281">
        <f>$J$2*H56</f>
        <v>0</v>
      </c>
      <c r="K56" s="282">
        <f>IF(Notes!$B$9="Domestic",I56, IF(Notes!$B$9="Commercial",J56))*$K$55</f>
        <v>0</v>
      </c>
      <c r="L56" s="283">
        <f>(SUM(O56:Q56)+(K56+SUM(M56:Q56))*(INDEX($U$55:$AB$55,MATCH(Notes!$C$16,$U$3:$AB$3,0))-100%))*$L$55</f>
        <v>0</v>
      </c>
      <c r="M56" s="286"/>
      <c r="N56" s="286"/>
      <c r="O56" s="285"/>
      <c r="P56" s="285"/>
      <c r="Q56" s="285"/>
      <c r="R56" s="278"/>
      <c r="S56" s="278"/>
      <c r="T56" s="278"/>
      <c r="U56" s="304"/>
    </row>
    <row r="57" spans="1:28" s="305" customFormat="1" ht="14.45" hidden="1" customHeight="1" outlineLevel="1" x14ac:dyDescent="0.25">
      <c r="A57" s="278"/>
      <c r="B57" s="279" t="str">
        <f t="shared" ref="B57:B65" si="28">C57&amp;D57&amp;E57&amp;F57</f>
        <v/>
      </c>
      <c r="C57" s="278"/>
      <c r="D57" s="278"/>
      <c r="E57" s="278"/>
      <c r="F57" s="278"/>
      <c r="G57" s="278"/>
      <c r="H57" s="290"/>
      <c r="I57" s="280">
        <f t="shared" ref="I57:I65" si="29">$I$2*H57</f>
        <v>0</v>
      </c>
      <c r="J57" s="281">
        <f t="shared" ref="J57:J65" si="30">$J$2*H57</f>
        <v>0</v>
      </c>
      <c r="K57" s="282">
        <f>IF(Notes!$B$9="Domestic",I57, IF(Notes!$B$9="Commercial",J57))*$K$55</f>
        <v>0</v>
      </c>
      <c r="L57" s="283">
        <f>(SUM(O57:Q57)+(K57+SUM(M57:Q57))*(INDEX($U$55:$AB$55,MATCH(Notes!$C$16,$U$3:$AB$3,0))-100%))*$L$55</f>
        <v>0</v>
      </c>
      <c r="M57" s="286"/>
      <c r="N57" s="286"/>
      <c r="O57" s="285"/>
      <c r="P57" s="285"/>
      <c r="Q57" s="285"/>
      <c r="R57" s="278"/>
      <c r="S57" s="278"/>
      <c r="T57" s="278"/>
      <c r="U57" s="304"/>
    </row>
    <row r="58" spans="1:28" s="305" customFormat="1" ht="14.45" hidden="1" customHeight="1" outlineLevel="1" x14ac:dyDescent="0.25">
      <c r="A58" s="278"/>
      <c r="B58" s="279" t="str">
        <f t="shared" si="28"/>
        <v/>
      </c>
      <c r="C58" s="278"/>
      <c r="D58" s="278"/>
      <c r="E58" s="278"/>
      <c r="F58" s="278"/>
      <c r="G58" s="278"/>
      <c r="H58" s="290"/>
      <c r="I58" s="280">
        <f t="shared" si="29"/>
        <v>0</v>
      </c>
      <c r="J58" s="281">
        <f t="shared" si="30"/>
        <v>0</v>
      </c>
      <c r="K58" s="282">
        <f>IF(Notes!$B$9="Domestic",I58, IF(Notes!$B$9="Commercial",J58))*$K$55</f>
        <v>0</v>
      </c>
      <c r="L58" s="283">
        <f>(SUM(O58:Q58)+(K58+SUM(M58:Q58))*(INDEX($U$55:$AB$55,MATCH(Notes!$C$16,$U$3:$AB$3,0))-100%))*$L$55</f>
        <v>0</v>
      </c>
      <c r="M58" s="286"/>
      <c r="N58" s="286"/>
      <c r="O58" s="285"/>
      <c r="P58" s="285"/>
      <c r="Q58" s="285"/>
      <c r="R58" s="278"/>
      <c r="S58" s="278"/>
      <c r="T58" s="278"/>
      <c r="U58" s="304"/>
    </row>
    <row r="59" spans="1:28" s="305" customFormat="1" ht="14.45" hidden="1" customHeight="1" outlineLevel="1" x14ac:dyDescent="0.25">
      <c r="A59" s="278"/>
      <c r="B59" s="279" t="str">
        <f t="shared" si="28"/>
        <v/>
      </c>
      <c r="C59" s="278"/>
      <c r="D59" s="278"/>
      <c r="E59" s="278"/>
      <c r="F59" s="278"/>
      <c r="G59" s="278"/>
      <c r="H59" s="290"/>
      <c r="I59" s="280">
        <f t="shared" si="29"/>
        <v>0</v>
      </c>
      <c r="J59" s="281">
        <f t="shared" si="30"/>
        <v>0</v>
      </c>
      <c r="K59" s="282">
        <f>IF(Notes!$B$9="Domestic",I59, IF(Notes!$B$9="Commercial",J59))*$K$55</f>
        <v>0</v>
      </c>
      <c r="L59" s="283">
        <f>(SUM(O59:Q59)+(K59+SUM(M59:Q59))*(INDEX($U$55:$AB$55,MATCH(Notes!$C$16,$U$3:$AB$3,0))-100%))*$L$55</f>
        <v>0</v>
      </c>
      <c r="M59" s="286"/>
      <c r="N59" s="286"/>
      <c r="O59" s="285"/>
      <c r="P59" s="285"/>
      <c r="Q59" s="285"/>
      <c r="R59" s="278"/>
      <c r="S59" s="278"/>
      <c r="T59" s="278"/>
    </row>
    <row r="60" spans="1:28" s="305" customFormat="1" hidden="1" outlineLevel="1" x14ac:dyDescent="0.25">
      <c r="A60" s="278"/>
      <c r="B60" s="279" t="str">
        <f t="shared" si="28"/>
        <v/>
      </c>
      <c r="C60" s="278"/>
      <c r="D60" s="278"/>
      <c r="E60" s="278"/>
      <c r="F60" s="278"/>
      <c r="G60" s="278"/>
      <c r="H60" s="290"/>
      <c r="I60" s="280">
        <f>$I$2*H60</f>
        <v>0</v>
      </c>
      <c r="J60" s="281">
        <f t="shared" si="30"/>
        <v>0</v>
      </c>
      <c r="K60" s="282">
        <f>IF(Notes!$B$9="Domestic",I60, IF(Notes!$B$9="Commercial",J60))*$K$55</f>
        <v>0</v>
      </c>
      <c r="L60" s="283">
        <f>(SUM(O60:Q60)+(K60+SUM(M60:Q60))*(INDEX($U$55:$AB$55,MATCH(Notes!$C$16,$U$3:$AB$3,0))-100%))*$L$55</f>
        <v>0</v>
      </c>
      <c r="M60" s="286"/>
      <c r="N60" s="286"/>
      <c r="O60" s="285"/>
      <c r="P60" s="285"/>
      <c r="Q60" s="285"/>
      <c r="R60" s="278"/>
      <c r="S60" s="278"/>
      <c r="T60" s="278"/>
    </row>
    <row r="61" spans="1:28" s="305" customFormat="1" hidden="1" outlineLevel="1" x14ac:dyDescent="0.25">
      <c r="A61" s="278"/>
      <c r="B61" s="279" t="str">
        <f t="shared" si="28"/>
        <v/>
      </c>
      <c r="C61" s="278"/>
      <c r="D61" s="278"/>
      <c r="E61" s="278"/>
      <c r="F61" s="278"/>
      <c r="G61" s="278"/>
      <c r="H61" s="290"/>
      <c r="I61" s="280">
        <f t="shared" si="29"/>
        <v>0</v>
      </c>
      <c r="J61" s="281">
        <f t="shared" si="30"/>
        <v>0</v>
      </c>
      <c r="K61" s="282">
        <f>IF(Notes!$B$9="Domestic",I61, IF(Notes!$B$9="Commercial",J61))*$K$55</f>
        <v>0</v>
      </c>
      <c r="L61" s="283">
        <f>(SUM(O61:Q61)+(K61+SUM(M61:Q61))*(INDEX($U$55:$AB$55,MATCH(Notes!$C$16,$U$3:$AB$3,0))-100%))*$L$55</f>
        <v>0</v>
      </c>
      <c r="M61" s="286"/>
      <c r="N61" s="286"/>
      <c r="O61" s="285"/>
      <c r="P61" s="285"/>
      <c r="Q61" s="285"/>
      <c r="R61" s="278"/>
      <c r="S61" s="278"/>
      <c r="T61" s="278"/>
    </row>
    <row r="62" spans="1:28" s="305" customFormat="1" hidden="1" outlineLevel="1" x14ac:dyDescent="0.25">
      <c r="A62" s="278"/>
      <c r="B62" s="279" t="str">
        <f t="shared" si="28"/>
        <v/>
      </c>
      <c r="C62" s="278"/>
      <c r="D62" s="278"/>
      <c r="E62" s="278"/>
      <c r="F62" s="278"/>
      <c r="G62" s="278"/>
      <c r="H62" s="290"/>
      <c r="I62" s="280">
        <f t="shared" si="29"/>
        <v>0</v>
      </c>
      <c r="J62" s="281">
        <f t="shared" si="30"/>
        <v>0</v>
      </c>
      <c r="K62" s="282">
        <f>IF(Notes!$B$9="Domestic",I62, IF(Notes!$B$9="Commercial",J62))*$K$55</f>
        <v>0</v>
      </c>
      <c r="L62" s="283">
        <f>(SUM(O62:Q62)+(K62+SUM(M62:Q62))*(INDEX($U$55:$AB$55,MATCH(Notes!$C$16,$U$3:$AB$3,0))-100%))*$L$55</f>
        <v>0</v>
      </c>
      <c r="M62" s="286"/>
      <c r="N62" s="286"/>
      <c r="O62" s="285"/>
      <c r="P62" s="285"/>
      <c r="Q62" s="285"/>
      <c r="R62" s="278"/>
      <c r="S62" s="278"/>
      <c r="T62" s="278"/>
    </row>
    <row r="63" spans="1:28" s="305" customFormat="1" hidden="1" outlineLevel="1" x14ac:dyDescent="0.25">
      <c r="A63" s="278"/>
      <c r="B63" s="279" t="str">
        <f t="shared" si="28"/>
        <v/>
      </c>
      <c r="C63" s="278"/>
      <c r="D63" s="278"/>
      <c r="E63" s="278"/>
      <c r="F63" s="278"/>
      <c r="G63" s="278"/>
      <c r="H63" s="290"/>
      <c r="I63" s="280">
        <f t="shared" si="29"/>
        <v>0</v>
      </c>
      <c r="J63" s="281">
        <f t="shared" si="30"/>
        <v>0</v>
      </c>
      <c r="K63" s="282">
        <f>IF(Notes!$B$9="Domestic",I63, IF(Notes!$B$9="Commercial",J63))*$K$55</f>
        <v>0</v>
      </c>
      <c r="L63" s="283">
        <f>(SUM(O63:Q63)+(K63+SUM(M63:Q63))*(INDEX($U$55:$AB$55,MATCH(Notes!$C$16,$U$3:$AB$3,0))-100%))*$L$55</f>
        <v>0</v>
      </c>
      <c r="M63" s="286"/>
      <c r="N63" s="286"/>
      <c r="O63" s="285"/>
      <c r="P63" s="285"/>
      <c r="Q63" s="285"/>
      <c r="R63" s="278"/>
      <c r="S63" s="278"/>
      <c r="T63" s="278"/>
    </row>
    <row r="64" spans="1:28" s="305" customFormat="1" hidden="1" outlineLevel="1" x14ac:dyDescent="0.25">
      <c r="A64" s="278"/>
      <c r="B64" s="279" t="str">
        <f t="shared" si="28"/>
        <v/>
      </c>
      <c r="C64" s="278"/>
      <c r="D64" s="278"/>
      <c r="E64" s="278"/>
      <c r="F64" s="278"/>
      <c r="G64" s="278"/>
      <c r="H64" s="290"/>
      <c r="I64" s="280">
        <f t="shared" si="29"/>
        <v>0</v>
      </c>
      <c r="J64" s="281">
        <f t="shared" si="30"/>
        <v>0</v>
      </c>
      <c r="K64" s="282">
        <f>IF(Notes!$B$9="Domestic",I64, IF(Notes!$B$9="Commercial",J64))*$K$55</f>
        <v>0</v>
      </c>
      <c r="L64" s="283">
        <f>(SUM(O64:Q64)+(K64+SUM(M64:Q64))*(INDEX($U$55:$AB$55,MATCH(Notes!$C$16,$U$3:$AB$3,0))-100%))*$L$55</f>
        <v>0</v>
      </c>
      <c r="M64" s="286"/>
      <c r="N64" s="286"/>
      <c r="O64" s="285"/>
      <c r="P64" s="285"/>
      <c r="Q64" s="285"/>
      <c r="R64" s="278"/>
      <c r="S64" s="278"/>
      <c r="T64" s="278"/>
    </row>
    <row r="65" spans="1:28" s="305" customFormat="1" hidden="1" outlineLevel="1" x14ac:dyDescent="0.25">
      <c r="A65" s="278"/>
      <c r="B65" s="279" t="str">
        <f t="shared" si="28"/>
        <v/>
      </c>
      <c r="C65" s="278"/>
      <c r="D65" s="278"/>
      <c r="E65" s="278"/>
      <c r="F65" s="278"/>
      <c r="G65" s="278"/>
      <c r="H65" s="290"/>
      <c r="I65" s="280">
        <f t="shared" si="29"/>
        <v>0</v>
      </c>
      <c r="J65" s="281">
        <f t="shared" si="30"/>
        <v>0</v>
      </c>
      <c r="K65" s="282">
        <f>IF(Notes!$B$9="Domestic",I65, IF(Notes!$B$9="Commercial",J65))*$K$55</f>
        <v>0</v>
      </c>
      <c r="L65" s="283">
        <f>(SUM(O65:Q65)+(K65+SUM(M65:Q65))*(INDEX($U$55:$AB$55,MATCH(Notes!$C$16,$U$3:$AB$3,0))-100%))*$L$55</f>
        <v>0</v>
      </c>
      <c r="M65" s="286"/>
      <c r="N65" s="286"/>
      <c r="O65" s="285"/>
      <c r="P65" s="285"/>
      <c r="Q65" s="285"/>
      <c r="R65" s="278"/>
      <c r="S65" s="278"/>
      <c r="T65" s="278"/>
    </row>
    <row r="66" spans="1:28" ht="21" hidden="1" outlineLevel="1" x14ac:dyDescent="0.25">
      <c r="A66" s="299"/>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row>
    <row r="67" spans="1:28" ht="15.75" hidden="1" outlineLevel="1" x14ac:dyDescent="0.25">
      <c r="A67" s="291"/>
      <c r="B67" s="291"/>
      <c r="C67" s="291"/>
      <c r="D67" s="291"/>
      <c r="E67" s="291"/>
      <c r="F67" s="291"/>
      <c r="G67" s="291"/>
      <c r="H67" s="291"/>
      <c r="I67" s="291"/>
      <c r="J67" s="291"/>
      <c r="K67" s="291">
        <f>K$2</f>
        <v>1</v>
      </c>
      <c r="L67" s="291">
        <f>L$2</f>
        <v>1</v>
      </c>
      <c r="M67" s="291"/>
      <c r="N67" s="291"/>
      <c r="O67" s="303"/>
      <c r="P67" s="303"/>
      <c r="Q67" s="303"/>
      <c r="R67" s="291"/>
      <c r="S67" s="291"/>
      <c r="T67" s="291"/>
      <c r="U67" s="291">
        <f>U$2</f>
        <v>1</v>
      </c>
      <c r="V67" s="291">
        <f>V$2</f>
        <v>1</v>
      </c>
      <c r="W67" s="291">
        <f t="shared" ref="W67:AB67" si="31">W$2</f>
        <v>1</v>
      </c>
      <c r="X67" s="291">
        <f t="shared" si="31"/>
        <v>1</v>
      </c>
      <c r="Y67" s="291">
        <f t="shared" si="31"/>
        <v>1</v>
      </c>
      <c r="Z67" s="291">
        <f t="shared" si="31"/>
        <v>1</v>
      </c>
      <c r="AA67" s="291">
        <f t="shared" si="31"/>
        <v>1</v>
      </c>
      <c r="AB67" s="291">
        <f t="shared" si="31"/>
        <v>1</v>
      </c>
    </row>
    <row r="68" spans="1:28" s="305" customFormat="1" ht="14.45" hidden="1" customHeight="1" outlineLevel="1" x14ac:dyDescent="0.25">
      <c r="A68" s="278"/>
      <c r="B68" s="279" t="str">
        <f>C68&amp;D68&amp;E68&amp;F68</f>
        <v/>
      </c>
      <c r="C68" s="278"/>
      <c r="D68" s="278"/>
      <c r="E68" s="278"/>
      <c r="F68" s="278"/>
      <c r="G68" s="278"/>
      <c r="H68" s="290"/>
      <c r="I68" s="280">
        <f>$I$2*H68</f>
        <v>0</v>
      </c>
      <c r="J68" s="281">
        <f>$J$2*H68</f>
        <v>0</v>
      </c>
      <c r="K68" s="282">
        <f>IF(Notes!$B$9="Domestic",I68, IF(Notes!$B$9="Commercial",J68))*$K$67</f>
        <v>0</v>
      </c>
      <c r="L68" s="283">
        <f>(SUM(O68:Q68)+(K68+SUM(M68:Q68))*(INDEX($U$67:$AB$67,MATCH(Notes!$C$16,$U$3:$AB$3,0))-100%))*$L$67</f>
        <v>0</v>
      </c>
      <c r="M68" s="286"/>
      <c r="N68" s="286"/>
      <c r="O68" s="285"/>
      <c r="P68" s="285"/>
      <c r="Q68" s="285"/>
      <c r="R68" s="278"/>
      <c r="S68" s="278"/>
      <c r="T68" s="278"/>
      <c r="U68" s="304"/>
    </row>
    <row r="69" spans="1:28" s="305" customFormat="1" ht="14.45" hidden="1" customHeight="1" outlineLevel="1" x14ac:dyDescent="0.25">
      <c r="A69" s="278"/>
      <c r="B69" s="279" t="str">
        <f t="shared" ref="B69:B77" si="32">C69&amp;D69&amp;E69&amp;F69</f>
        <v/>
      </c>
      <c r="C69" s="278"/>
      <c r="D69" s="278"/>
      <c r="E69" s="278"/>
      <c r="F69" s="278"/>
      <c r="G69" s="278"/>
      <c r="H69" s="290"/>
      <c r="I69" s="280">
        <f t="shared" ref="I69:I77" si="33">$I$2*H69</f>
        <v>0</v>
      </c>
      <c r="J69" s="281">
        <f t="shared" ref="J69:J77" si="34">$J$2*H69</f>
        <v>0</v>
      </c>
      <c r="K69" s="282">
        <f>IF(Notes!$B$9="Domestic",I69, IF(Notes!$B$9="Commercial",J69))*$K$67</f>
        <v>0</v>
      </c>
      <c r="L69" s="283">
        <f>(SUM(O69:Q69)+(K69+SUM(M69:Q69))*(INDEX($U$67:$AB$67,MATCH(Notes!$C$16,$U$3:$AB$3,0))-100%))*$L$67</f>
        <v>0</v>
      </c>
      <c r="M69" s="286"/>
      <c r="N69" s="286"/>
      <c r="O69" s="285"/>
      <c r="P69" s="285"/>
      <c r="Q69" s="285"/>
      <c r="R69" s="278"/>
      <c r="S69" s="278"/>
      <c r="T69" s="278"/>
      <c r="U69" s="304"/>
    </row>
    <row r="70" spans="1:28" s="305" customFormat="1" ht="14.45" hidden="1" customHeight="1" outlineLevel="1" x14ac:dyDescent="0.25">
      <c r="A70" s="278"/>
      <c r="B70" s="279" t="str">
        <f t="shared" si="32"/>
        <v/>
      </c>
      <c r="C70" s="278"/>
      <c r="D70" s="278"/>
      <c r="E70" s="278"/>
      <c r="F70" s="278"/>
      <c r="G70" s="278"/>
      <c r="H70" s="290"/>
      <c r="I70" s="280">
        <f t="shared" si="33"/>
        <v>0</v>
      </c>
      <c r="J70" s="281">
        <f t="shared" si="34"/>
        <v>0</v>
      </c>
      <c r="K70" s="282">
        <f>IF(Notes!$B$9="Domestic",I70, IF(Notes!$B$9="Commercial",J70))*$K$67</f>
        <v>0</v>
      </c>
      <c r="L70" s="283">
        <f>(SUM(O70:Q70)+(K70+SUM(M70:Q70))*(INDEX($U$67:$AB$67,MATCH(Notes!$C$16,$U$3:$AB$3,0))-100%))*$L$67</f>
        <v>0</v>
      </c>
      <c r="M70" s="286"/>
      <c r="N70" s="286"/>
      <c r="O70" s="285"/>
      <c r="P70" s="285"/>
      <c r="Q70" s="285"/>
      <c r="R70" s="278"/>
      <c r="S70" s="278"/>
      <c r="T70" s="278"/>
      <c r="U70" s="304"/>
    </row>
    <row r="71" spans="1:28" s="305" customFormat="1" ht="14.45" hidden="1" customHeight="1" outlineLevel="1" x14ac:dyDescent="0.25">
      <c r="A71" s="278"/>
      <c r="B71" s="279" t="str">
        <f t="shared" si="32"/>
        <v/>
      </c>
      <c r="C71" s="278"/>
      <c r="D71" s="278"/>
      <c r="E71" s="278"/>
      <c r="F71" s="278"/>
      <c r="G71" s="278"/>
      <c r="H71" s="290"/>
      <c r="I71" s="280">
        <f t="shared" si="33"/>
        <v>0</v>
      </c>
      <c r="J71" s="281">
        <f t="shared" si="34"/>
        <v>0</v>
      </c>
      <c r="K71" s="282">
        <f>IF(Notes!$B$9="Domestic",I71, IF(Notes!$B$9="Commercial",J71))*$K$67</f>
        <v>0</v>
      </c>
      <c r="L71" s="283">
        <f>(SUM(O71:Q71)+(K71+SUM(M71:Q71))*(INDEX($U$67:$AB$67,MATCH(Notes!$C$16,$U$3:$AB$3,0))-100%))*$L$67</f>
        <v>0</v>
      </c>
      <c r="M71" s="286"/>
      <c r="N71" s="286"/>
      <c r="O71" s="285"/>
      <c r="P71" s="285"/>
      <c r="Q71" s="285"/>
      <c r="R71" s="278"/>
      <c r="S71" s="278"/>
      <c r="T71" s="278"/>
    </row>
    <row r="72" spans="1:28" s="305" customFormat="1" ht="14.45" hidden="1" customHeight="1" outlineLevel="1" x14ac:dyDescent="0.25">
      <c r="A72" s="278"/>
      <c r="B72" s="279" t="str">
        <f t="shared" si="32"/>
        <v/>
      </c>
      <c r="C72" s="278"/>
      <c r="D72" s="278"/>
      <c r="E72" s="278"/>
      <c r="F72" s="278"/>
      <c r="G72" s="278"/>
      <c r="H72" s="290"/>
      <c r="I72" s="280">
        <f>$I$2*H72</f>
        <v>0</v>
      </c>
      <c r="J72" s="281">
        <f t="shared" si="34"/>
        <v>0</v>
      </c>
      <c r="K72" s="282">
        <f>IF(Notes!$B$9="Domestic",I72, IF(Notes!$B$9="Commercial",J72))*$K$67</f>
        <v>0</v>
      </c>
      <c r="L72" s="283">
        <f>(SUM(O72:Q72)+(K72+SUM(M72:Q72))*(INDEX($U$67:$AB$67,MATCH(Notes!$C$16,$U$3:$AB$3,0))-100%))*$L$67</f>
        <v>0</v>
      </c>
      <c r="M72" s="286"/>
      <c r="N72" s="286"/>
      <c r="O72" s="285"/>
      <c r="P72" s="285"/>
      <c r="Q72" s="285"/>
      <c r="R72" s="278"/>
      <c r="S72" s="278"/>
      <c r="T72" s="278"/>
    </row>
    <row r="73" spans="1:28" s="305" customFormat="1" ht="14.45" hidden="1" customHeight="1" outlineLevel="1" x14ac:dyDescent="0.25">
      <c r="A73" s="278"/>
      <c r="B73" s="279" t="str">
        <f t="shared" si="32"/>
        <v/>
      </c>
      <c r="C73" s="278"/>
      <c r="D73" s="278"/>
      <c r="E73" s="278"/>
      <c r="F73" s="278"/>
      <c r="G73" s="278"/>
      <c r="H73" s="290"/>
      <c r="I73" s="280">
        <f t="shared" si="33"/>
        <v>0</v>
      </c>
      <c r="J73" s="281">
        <f t="shared" si="34"/>
        <v>0</v>
      </c>
      <c r="K73" s="282">
        <f>IF(Notes!$B$9="Domestic",I73, IF(Notes!$B$9="Commercial",J73))*$K$67</f>
        <v>0</v>
      </c>
      <c r="L73" s="283">
        <f>(SUM(O73:Q73)+(K73+SUM(M73:Q73))*(INDEX($U$67:$AB$67,MATCH(Notes!$C$16,$U$3:$AB$3,0))-100%))*$L$67</f>
        <v>0</v>
      </c>
      <c r="M73" s="286"/>
      <c r="N73" s="286"/>
      <c r="O73" s="285"/>
      <c r="P73" s="285"/>
      <c r="Q73" s="285"/>
      <c r="R73" s="278"/>
      <c r="S73" s="278"/>
      <c r="T73" s="278"/>
    </row>
    <row r="74" spans="1:28" s="305" customFormat="1" hidden="1" outlineLevel="1" x14ac:dyDescent="0.25">
      <c r="A74" s="278"/>
      <c r="B74" s="279" t="str">
        <f t="shared" si="32"/>
        <v/>
      </c>
      <c r="C74" s="278"/>
      <c r="D74" s="278"/>
      <c r="E74" s="278"/>
      <c r="F74" s="278"/>
      <c r="G74" s="278"/>
      <c r="H74" s="290"/>
      <c r="I74" s="280">
        <f t="shared" si="33"/>
        <v>0</v>
      </c>
      <c r="J74" s="281">
        <f t="shared" si="34"/>
        <v>0</v>
      </c>
      <c r="K74" s="282">
        <f>IF(Notes!$B$9="Domestic",I74, IF(Notes!$B$9="Commercial",J74))*$K$67</f>
        <v>0</v>
      </c>
      <c r="L74" s="283">
        <f>(SUM(O74:Q74)+(K74+SUM(M74:Q74))*(INDEX($U$67:$AB$67,MATCH(Notes!$C$16,$U$3:$AB$3,0))-100%))*$L$67</f>
        <v>0</v>
      </c>
      <c r="M74" s="286"/>
      <c r="N74" s="286"/>
      <c r="O74" s="285"/>
      <c r="P74" s="285"/>
      <c r="Q74" s="285"/>
      <c r="R74" s="278"/>
      <c r="S74" s="278"/>
      <c r="T74" s="278"/>
    </row>
    <row r="75" spans="1:28" s="305" customFormat="1" hidden="1" outlineLevel="1" x14ac:dyDescent="0.25">
      <c r="A75" s="278"/>
      <c r="B75" s="279" t="str">
        <f t="shared" si="32"/>
        <v/>
      </c>
      <c r="C75" s="278"/>
      <c r="D75" s="278"/>
      <c r="E75" s="278"/>
      <c r="F75" s="278"/>
      <c r="G75" s="278"/>
      <c r="H75" s="290"/>
      <c r="I75" s="280">
        <f t="shared" si="33"/>
        <v>0</v>
      </c>
      <c r="J75" s="281">
        <f t="shared" si="34"/>
        <v>0</v>
      </c>
      <c r="K75" s="282">
        <f>IF(Notes!$B$9="Domestic",I75, IF(Notes!$B$9="Commercial",J75))*$K$67</f>
        <v>0</v>
      </c>
      <c r="L75" s="283">
        <f>(SUM(O75:Q75)+(K75+SUM(M75:Q75))*(INDEX($U$67:$AB$67,MATCH(Notes!$C$16,$U$3:$AB$3,0))-100%))*$L$67</f>
        <v>0</v>
      </c>
      <c r="M75" s="286"/>
      <c r="N75" s="286"/>
      <c r="O75" s="285"/>
      <c r="P75" s="285"/>
      <c r="Q75" s="285"/>
      <c r="R75" s="278"/>
      <c r="S75" s="278"/>
      <c r="T75" s="278"/>
    </row>
    <row r="76" spans="1:28" s="305" customFormat="1" hidden="1" outlineLevel="1" x14ac:dyDescent="0.25">
      <c r="A76" s="278"/>
      <c r="B76" s="279" t="str">
        <f t="shared" si="32"/>
        <v/>
      </c>
      <c r="C76" s="278"/>
      <c r="D76" s="278"/>
      <c r="E76" s="278"/>
      <c r="F76" s="278"/>
      <c r="G76" s="278"/>
      <c r="H76" s="290"/>
      <c r="I76" s="280">
        <f t="shared" si="33"/>
        <v>0</v>
      </c>
      <c r="J76" s="281">
        <f t="shared" si="34"/>
        <v>0</v>
      </c>
      <c r="K76" s="282">
        <f>IF(Notes!$B$9="Domestic",I76, IF(Notes!$B$9="Commercial",J76))*$K$67</f>
        <v>0</v>
      </c>
      <c r="L76" s="283">
        <f>(SUM(O76:Q76)+(K76+SUM(M76:Q76))*(INDEX($U$67:$AB$67,MATCH(Notes!$C$16,$U$3:$AB$3,0))-100%))*$L$67</f>
        <v>0</v>
      </c>
      <c r="M76" s="286"/>
      <c r="N76" s="286"/>
      <c r="O76" s="285"/>
      <c r="P76" s="285"/>
      <c r="Q76" s="285"/>
      <c r="R76" s="278"/>
      <c r="S76" s="278"/>
      <c r="T76" s="278"/>
    </row>
    <row r="77" spans="1:28" s="305" customFormat="1" hidden="1" outlineLevel="1" x14ac:dyDescent="0.25">
      <c r="A77" s="278"/>
      <c r="B77" s="279" t="str">
        <f t="shared" si="32"/>
        <v/>
      </c>
      <c r="C77" s="278"/>
      <c r="D77" s="278"/>
      <c r="E77" s="278"/>
      <c r="F77" s="278"/>
      <c r="G77" s="278"/>
      <c r="H77" s="290"/>
      <c r="I77" s="280">
        <f t="shared" si="33"/>
        <v>0</v>
      </c>
      <c r="J77" s="281">
        <f t="shared" si="34"/>
        <v>0</v>
      </c>
      <c r="K77" s="282">
        <f>IF(Notes!$B$9="Domestic",I77, IF(Notes!$B$9="Commercial",J77))*$K$67</f>
        <v>0</v>
      </c>
      <c r="L77" s="283">
        <f>(SUM(O77:Q77)+(K77+SUM(M77:Q77))*(INDEX($U$67:$AB$67,MATCH(Notes!$C$16,$U$3:$AB$3,0))-100%))*$L$67</f>
        <v>0</v>
      </c>
      <c r="M77" s="286"/>
      <c r="N77" s="286"/>
      <c r="O77" s="285"/>
      <c r="P77" s="285"/>
      <c r="Q77" s="285"/>
      <c r="R77" s="278"/>
      <c r="S77" s="278"/>
      <c r="T77" s="278"/>
    </row>
    <row r="78" spans="1:28" ht="21" hidden="1" outlineLevel="1" x14ac:dyDescent="0.25">
      <c r="A78" s="299"/>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row>
    <row r="79" spans="1:28" ht="15.75" hidden="1" outlineLevel="1" x14ac:dyDescent="0.25">
      <c r="A79" s="291"/>
      <c r="B79" s="291"/>
      <c r="C79" s="291"/>
      <c r="D79" s="291"/>
      <c r="E79" s="291"/>
      <c r="F79" s="291"/>
      <c r="G79" s="291"/>
      <c r="H79" s="291"/>
      <c r="I79" s="291"/>
      <c r="J79" s="291"/>
      <c r="K79" s="291">
        <f>K$2</f>
        <v>1</v>
      </c>
      <c r="L79" s="291">
        <f>L$2</f>
        <v>1</v>
      </c>
      <c r="M79" s="291"/>
      <c r="N79" s="291"/>
      <c r="O79" s="303"/>
      <c r="P79" s="303"/>
      <c r="Q79" s="303"/>
      <c r="R79" s="291"/>
      <c r="S79" s="291"/>
      <c r="T79" s="291"/>
      <c r="U79" s="291">
        <f>U$2</f>
        <v>1</v>
      </c>
      <c r="V79" s="291">
        <f>V$2</f>
        <v>1</v>
      </c>
      <c r="W79" s="291">
        <f t="shared" ref="W79:AB79" si="35">W$2</f>
        <v>1</v>
      </c>
      <c r="X79" s="291">
        <f t="shared" si="35"/>
        <v>1</v>
      </c>
      <c r="Y79" s="291">
        <f t="shared" si="35"/>
        <v>1</v>
      </c>
      <c r="Z79" s="291">
        <f t="shared" si="35"/>
        <v>1</v>
      </c>
      <c r="AA79" s="291">
        <f t="shared" si="35"/>
        <v>1</v>
      </c>
      <c r="AB79" s="291">
        <f t="shared" si="35"/>
        <v>1</v>
      </c>
    </row>
    <row r="80" spans="1:28" s="305" customFormat="1" hidden="1" outlineLevel="1" x14ac:dyDescent="0.25">
      <c r="A80" s="278"/>
      <c r="B80" s="279" t="str">
        <f>C80&amp;D80&amp;E80&amp;F80</f>
        <v/>
      </c>
      <c r="C80" s="278"/>
      <c r="D80" s="278"/>
      <c r="E80" s="278"/>
      <c r="F80" s="278"/>
      <c r="G80" s="278"/>
      <c r="H80" s="290"/>
      <c r="I80" s="280">
        <f>$I$2*H80</f>
        <v>0</v>
      </c>
      <c r="J80" s="281">
        <f>$J$2*H80</f>
        <v>0</v>
      </c>
      <c r="K80" s="282">
        <f>IF(Notes!$B$9="Domestic",I80, IF(Notes!$B$9="Commercial",J80))*$K$79</f>
        <v>0</v>
      </c>
      <c r="L80" s="283">
        <f>(SUM(O80:Q80)+(K80+SUM(M80:Q80))*(INDEX($U$79:$AB$79,MATCH(Notes!$C$16,$U$3:$AB$3,0))-100%))*$L$79</f>
        <v>0</v>
      </c>
      <c r="M80" s="286"/>
      <c r="N80" s="286"/>
      <c r="O80" s="285"/>
      <c r="P80" s="285"/>
      <c r="Q80" s="285"/>
      <c r="R80" s="278"/>
      <c r="S80" s="278"/>
      <c r="T80" s="278"/>
    </row>
    <row r="81" spans="1:28" s="305" customFormat="1" hidden="1" outlineLevel="1" x14ac:dyDescent="0.25">
      <c r="A81" s="278"/>
      <c r="B81" s="279" t="str">
        <f t="shared" ref="B81:B89" si="36">C81&amp;D81&amp;E81&amp;F81</f>
        <v/>
      </c>
      <c r="C81" s="278"/>
      <c r="D81" s="278"/>
      <c r="E81" s="278"/>
      <c r="F81" s="278"/>
      <c r="G81" s="278"/>
      <c r="H81" s="290"/>
      <c r="I81" s="280">
        <f t="shared" ref="I81:I89" si="37">$I$2*H81</f>
        <v>0</v>
      </c>
      <c r="J81" s="281">
        <f t="shared" ref="J81:J89" si="38">$J$2*H81</f>
        <v>0</v>
      </c>
      <c r="K81" s="282">
        <f>IF(Notes!$B$9="Domestic",I81, IF(Notes!$B$9="Commercial",J81))*$K$79</f>
        <v>0</v>
      </c>
      <c r="L81" s="283">
        <f>(SUM(O81:Q81)+(K81+SUM(M81:Q81))*(INDEX($U$79:$AB$79,MATCH(Notes!$C$16,$U$3:$AB$3,0))-100%))*$L$79</f>
        <v>0</v>
      </c>
      <c r="M81" s="286"/>
      <c r="N81" s="286"/>
      <c r="O81" s="285"/>
      <c r="P81" s="285"/>
      <c r="Q81" s="285"/>
      <c r="R81" s="278"/>
      <c r="S81" s="278"/>
      <c r="T81" s="278"/>
    </row>
    <row r="82" spans="1:28" s="305" customFormat="1" hidden="1" outlineLevel="1" x14ac:dyDescent="0.25">
      <c r="A82" s="278"/>
      <c r="B82" s="279" t="str">
        <f t="shared" si="36"/>
        <v/>
      </c>
      <c r="C82" s="278"/>
      <c r="D82" s="278"/>
      <c r="E82" s="278"/>
      <c r="F82" s="278"/>
      <c r="G82" s="278"/>
      <c r="H82" s="290"/>
      <c r="I82" s="280">
        <f t="shared" si="37"/>
        <v>0</v>
      </c>
      <c r="J82" s="281">
        <f t="shared" si="38"/>
        <v>0</v>
      </c>
      <c r="K82" s="282">
        <f>IF(Notes!$B$9="Domestic",I82, IF(Notes!$B$9="Commercial",J82))*$K$79</f>
        <v>0</v>
      </c>
      <c r="L82" s="283">
        <f>(SUM(O82:Q82)+(K82+SUM(M82:Q82))*(INDEX($U$79:$AB$79,MATCH(Notes!$C$16,$U$3:$AB$3,0))-100%))*$L$79</f>
        <v>0</v>
      </c>
      <c r="M82" s="286"/>
      <c r="N82" s="286"/>
      <c r="O82" s="285"/>
      <c r="P82" s="285"/>
      <c r="Q82" s="285"/>
      <c r="R82" s="278"/>
      <c r="S82" s="278"/>
      <c r="T82" s="278"/>
    </row>
    <row r="83" spans="1:28" s="305" customFormat="1" hidden="1" outlineLevel="1" x14ac:dyDescent="0.25">
      <c r="A83" s="278"/>
      <c r="B83" s="279" t="str">
        <f t="shared" si="36"/>
        <v/>
      </c>
      <c r="C83" s="278"/>
      <c r="D83" s="278"/>
      <c r="E83" s="278"/>
      <c r="F83" s="278"/>
      <c r="G83" s="278"/>
      <c r="H83" s="290"/>
      <c r="I83" s="280">
        <f t="shared" si="37"/>
        <v>0</v>
      </c>
      <c r="J83" s="281">
        <f t="shared" si="38"/>
        <v>0</v>
      </c>
      <c r="K83" s="282">
        <f>IF(Notes!$B$9="Domestic",I83, IF(Notes!$B$9="Commercial",J83))*$K$79</f>
        <v>0</v>
      </c>
      <c r="L83" s="283">
        <f>(SUM(O83:Q83)+(K83+SUM(M83:Q83))*(INDEX($U$79:$AB$79,MATCH(Notes!$C$16,$U$3:$AB$3,0))-100%))*$L$79</f>
        <v>0</v>
      </c>
      <c r="M83" s="286"/>
      <c r="N83" s="286"/>
      <c r="O83" s="285"/>
      <c r="P83" s="285"/>
      <c r="Q83" s="285"/>
      <c r="R83" s="278"/>
      <c r="S83" s="278"/>
      <c r="T83" s="278"/>
    </row>
    <row r="84" spans="1:28" s="305" customFormat="1" hidden="1" outlineLevel="1" x14ac:dyDescent="0.25">
      <c r="A84" s="278"/>
      <c r="B84" s="279" t="str">
        <f t="shared" si="36"/>
        <v/>
      </c>
      <c r="C84" s="278"/>
      <c r="D84" s="278"/>
      <c r="E84" s="278"/>
      <c r="F84" s="278"/>
      <c r="G84" s="278"/>
      <c r="H84" s="290"/>
      <c r="I84" s="280">
        <f>$I$2*H84</f>
        <v>0</v>
      </c>
      <c r="J84" s="281">
        <f t="shared" si="38"/>
        <v>0</v>
      </c>
      <c r="K84" s="282">
        <f>IF(Notes!$B$9="Domestic",I84, IF(Notes!$B$9="Commercial",J84))*$K$79</f>
        <v>0</v>
      </c>
      <c r="L84" s="283">
        <f>(SUM(O84:Q84)+(K84+SUM(M84:Q84))*(INDEX($U$79:$AB$79,MATCH(Notes!$C$16,$U$3:$AB$3,0))-100%))*$L$79</f>
        <v>0</v>
      </c>
      <c r="M84" s="286"/>
      <c r="N84" s="286"/>
      <c r="O84" s="285"/>
      <c r="P84" s="285"/>
      <c r="Q84" s="285"/>
      <c r="R84" s="278"/>
      <c r="S84" s="278"/>
      <c r="T84" s="278"/>
    </row>
    <row r="85" spans="1:28" s="305" customFormat="1" hidden="1" outlineLevel="1" x14ac:dyDescent="0.25">
      <c r="A85" s="278"/>
      <c r="B85" s="279" t="str">
        <f t="shared" si="36"/>
        <v/>
      </c>
      <c r="C85" s="278"/>
      <c r="D85" s="278"/>
      <c r="E85" s="278"/>
      <c r="F85" s="278"/>
      <c r="G85" s="278"/>
      <c r="H85" s="290"/>
      <c r="I85" s="280">
        <f t="shared" si="37"/>
        <v>0</v>
      </c>
      <c r="J85" s="281">
        <f t="shared" si="38"/>
        <v>0</v>
      </c>
      <c r="K85" s="282">
        <f>IF(Notes!$B$9="Domestic",I85, IF(Notes!$B$9="Commercial",J85))*$K$79</f>
        <v>0</v>
      </c>
      <c r="L85" s="283">
        <f>(SUM(O85:Q85)+(K85+SUM(M85:Q85))*(INDEX($U$79:$AB$79,MATCH(Notes!$C$16,$U$3:$AB$3,0))-100%))*$L$79</f>
        <v>0</v>
      </c>
      <c r="M85" s="286"/>
      <c r="N85" s="286"/>
      <c r="O85" s="285"/>
      <c r="P85" s="285"/>
      <c r="Q85" s="285"/>
      <c r="R85" s="278"/>
      <c r="S85" s="278"/>
      <c r="T85" s="278"/>
    </row>
    <row r="86" spans="1:28" s="305" customFormat="1" hidden="1" outlineLevel="1" x14ac:dyDescent="0.25">
      <c r="A86" s="278"/>
      <c r="B86" s="279" t="str">
        <f t="shared" si="36"/>
        <v/>
      </c>
      <c r="C86" s="278"/>
      <c r="D86" s="278"/>
      <c r="E86" s="278"/>
      <c r="F86" s="278"/>
      <c r="G86" s="278"/>
      <c r="H86" s="290"/>
      <c r="I86" s="280">
        <f t="shared" si="37"/>
        <v>0</v>
      </c>
      <c r="J86" s="281">
        <f t="shared" si="38"/>
        <v>0</v>
      </c>
      <c r="K86" s="282">
        <f>IF(Notes!$B$9="Domestic",I86, IF(Notes!$B$9="Commercial",J86))*$K$79</f>
        <v>0</v>
      </c>
      <c r="L86" s="283">
        <f>(SUM(O86:Q86)+(K86+SUM(M86:Q86))*(INDEX($U$79:$AB$79,MATCH(Notes!$C$16,$U$3:$AB$3,0))-100%))*$L$79</f>
        <v>0</v>
      </c>
      <c r="M86" s="286"/>
      <c r="N86" s="286"/>
      <c r="O86" s="285"/>
      <c r="P86" s="285"/>
      <c r="Q86" s="285"/>
      <c r="R86" s="278"/>
      <c r="S86" s="278"/>
      <c r="T86" s="278"/>
    </row>
    <row r="87" spans="1:28" s="305" customFormat="1" hidden="1" outlineLevel="1" x14ac:dyDescent="0.25">
      <c r="A87" s="278"/>
      <c r="B87" s="279" t="str">
        <f t="shared" si="36"/>
        <v/>
      </c>
      <c r="C87" s="278"/>
      <c r="D87" s="278"/>
      <c r="E87" s="278"/>
      <c r="F87" s="278"/>
      <c r="G87" s="278"/>
      <c r="H87" s="290"/>
      <c r="I87" s="280">
        <f t="shared" si="37"/>
        <v>0</v>
      </c>
      <c r="J87" s="281">
        <f t="shared" si="38"/>
        <v>0</v>
      </c>
      <c r="K87" s="282">
        <f>IF(Notes!$B$9="Domestic",I87, IF(Notes!$B$9="Commercial",J87))*$K$79</f>
        <v>0</v>
      </c>
      <c r="L87" s="283">
        <f>(SUM(O87:Q87)+(K87+SUM(M87:Q87))*(INDEX($U$79:$AB$79,MATCH(Notes!$C$16,$U$3:$AB$3,0))-100%))*$L$79</f>
        <v>0</v>
      </c>
      <c r="M87" s="286"/>
      <c r="N87" s="286"/>
      <c r="O87" s="285"/>
      <c r="P87" s="285"/>
      <c r="Q87" s="285"/>
      <c r="R87" s="278"/>
      <c r="S87" s="278"/>
      <c r="T87" s="278"/>
    </row>
    <row r="88" spans="1:28" s="305" customFormat="1" hidden="1" outlineLevel="1" x14ac:dyDescent="0.25">
      <c r="A88" s="278"/>
      <c r="B88" s="279" t="str">
        <f t="shared" si="36"/>
        <v/>
      </c>
      <c r="C88" s="278"/>
      <c r="D88" s="278"/>
      <c r="E88" s="278"/>
      <c r="F88" s="278"/>
      <c r="G88" s="278"/>
      <c r="H88" s="290"/>
      <c r="I88" s="280">
        <f t="shared" si="37"/>
        <v>0</v>
      </c>
      <c r="J88" s="281">
        <f t="shared" si="38"/>
        <v>0</v>
      </c>
      <c r="K88" s="282">
        <f>IF(Notes!$B$9="Domestic",I88, IF(Notes!$B$9="Commercial",J88))*$K$79</f>
        <v>0</v>
      </c>
      <c r="L88" s="283">
        <f>(SUM(O88:Q88)+(K88+SUM(M88:Q88))*(INDEX($U$79:$AB$79,MATCH(Notes!$C$16,$U$3:$AB$3,0))-100%))*$L$79</f>
        <v>0</v>
      </c>
      <c r="M88" s="286"/>
      <c r="N88" s="286"/>
      <c r="O88" s="285"/>
      <c r="P88" s="285"/>
      <c r="Q88" s="285"/>
      <c r="R88" s="278"/>
      <c r="S88" s="278"/>
      <c r="T88" s="278"/>
    </row>
    <row r="89" spans="1:28" s="305" customFormat="1" hidden="1" outlineLevel="1" x14ac:dyDescent="0.25">
      <c r="A89" s="278"/>
      <c r="B89" s="279" t="str">
        <f t="shared" si="36"/>
        <v/>
      </c>
      <c r="C89" s="278"/>
      <c r="D89" s="278"/>
      <c r="E89" s="278"/>
      <c r="F89" s="278"/>
      <c r="G89" s="278"/>
      <c r="H89" s="290"/>
      <c r="I89" s="280">
        <f t="shared" si="37"/>
        <v>0</v>
      </c>
      <c r="J89" s="281">
        <f t="shared" si="38"/>
        <v>0</v>
      </c>
      <c r="K89" s="282">
        <f>IF(Notes!$B$9="Domestic",I89, IF(Notes!$B$9="Commercial",J89))*$K$79</f>
        <v>0</v>
      </c>
      <c r="L89" s="283">
        <f>(SUM(O89:Q89)+(K89+SUM(M89:Q89))*(INDEX($U$79:$AB$79,MATCH(Notes!$C$16,$U$3:$AB$3,0))-100%))*$L$79</f>
        <v>0</v>
      </c>
      <c r="M89" s="286"/>
      <c r="N89" s="286"/>
      <c r="O89" s="285"/>
      <c r="P89" s="285"/>
      <c r="Q89" s="285"/>
      <c r="R89" s="278"/>
      <c r="S89" s="278"/>
      <c r="T89" s="278"/>
    </row>
    <row r="90" spans="1:28" ht="21" hidden="1" outlineLevel="1" x14ac:dyDescent="0.25">
      <c r="A90" s="299"/>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row>
    <row r="91" spans="1:28" ht="15.75" hidden="1" outlineLevel="1" x14ac:dyDescent="0.25">
      <c r="A91" s="291"/>
      <c r="B91" s="291"/>
      <c r="C91" s="291"/>
      <c r="D91" s="291"/>
      <c r="E91" s="291"/>
      <c r="F91" s="291"/>
      <c r="G91" s="291"/>
      <c r="H91" s="291"/>
      <c r="I91" s="291"/>
      <c r="J91" s="291"/>
      <c r="K91" s="291">
        <f>K$2</f>
        <v>1</v>
      </c>
      <c r="L91" s="291">
        <f>L$2</f>
        <v>1</v>
      </c>
      <c r="M91" s="291"/>
      <c r="N91" s="291"/>
      <c r="O91" s="303"/>
      <c r="P91" s="303"/>
      <c r="Q91" s="303"/>
      <c r="R91" s="291"/>
      <c r="S91" s="291"/>
      <c r="T91" s="291"/>
      <c r="U91" s="291">
        <f>U$2</f>
        <v>1</v>
      </c>
      <c r="V91" s="291">
        <f>V$2</f>
        <v>1</v>
      </c>
      <c r="W91" s="291">
        <f t="shared" ref="W91:AB91" si="39">W$2</f>
        <v>1</v>
      </c>
      <c r="X91" s="291">
        <f t="shared" si="39"/>
        <v>1</v>
      </c>
      <c r="Y91" s="291">
        <f t="shared" si="39"/>
        <v>1</v>
      </c>
      <c r="Z91" s="291">
        <f t="shared" si="39"/>
        <v>1</v>
      </c>
      <c r="AA91" s="291">
        <f t="shared" si="39"/>
        <v>1</v>
      </c>
      <c r="AB91" s="291">
        <f t="shared" si="39"/>
        <v>1</v>
      </c>
    </row>
    <row r="92" spans="1:28" s="305" customFormat="1" hidden="1" outlineLevel="1" x14ac:dyDescent="0.25">
      <c r="A92" s="278"/>
      <c r="B92" s="279" t="str">
        <f>C92&amp;D92&amp;E92&amp;F92</f>
        <v/>
      </c>
      <c r="C92" s="278"/>
      <c r="D92" s="278"/>
      <c r="E92" s="278"/>
      <c r="F92" s="278"/>
      <c r="G92" s="278"/>
      <c r="H92" s="290"/>
      <c r="I92" s="280">
        <f>$I$2*H92</f>
        <v>0</v>
      </c>
      <c r="J92" s="281">
        <f>$J$2*H92</f>
        <v>0</v>
      </c>
      <c r="K92" s="282">
        <f>IF(Notes!$B$9="Domestic",I92, IF(Notes!$B$9="Commercial",J92))*$K$91</f>
        <v>0</v>
      </c>
      <c r="L92" s="283">
        <f>(SUM(O92:Q92)+(K92+SUM(M92:Q92))*(INDEX($U$91:$AB$91,MATCH(Notes!$C$16,$U$3:$AB$3,0))-100%))*$L$91</f>
        <v>0</v>
      </c>
      <c r="M92" s="286"/>
      <c r="N92" s="286"/>
      <c r="O92" s="285"/>
      <c r="P92" s="285"/>
      <c r="Q92" s="285"/>
      <c r="R92" s="278"/>
      <c r="S92" s="278"/>
      <c r="T92" s="278"/>
    </row>
    <row r="93" spans="1:28" s="305" customFormat="1" hidden="1" outlineLevel="1" x14ac:dyDescent="0.25">
      <c r="A93" s="278"/>
      <c r="B93" s="279" t="str">
        <f t="shared" ref="B93:B101" si="40">C93&amp;D93&amp;E93&amp;F93</f>
        <v/>
      </c>
      <c r="C93" s="278"/>
      <c r="D93" s="278"/>
      <c r="E93" s="278"/>
      <c r="F93" s="278"/>
      <c r="G93" s="278"/>
      <c r="H93" s="290"/>
      <c r="I93" s="280">
        <f t="shared" ref="I93:I101" si="41">$I$2*H93</f>
        <v>0</v>
      </c>
      <c r="J93" s="281">
        <f t="shared" ref="J93:J101" si="42">$J$2*H93</f>
        <v>0</v>
      </c>
      <c r="K93" s="282">
        <f>IF(Notes!$B$9="Domestic",I93, IF(Notes!$B$9="Commercial",J93))*$K$91</f>
        <v>0</v>
      </c>
      <c r="L93" s="283">
        <f>(SUM(O93:Q93)+(K93+SUM(M93:Q93))*(INDEX($U$91:$AB$91,MATCH(Notes!$C$16,$U$3:$AB$3,0))-100%))*$L$91</f>
        <v>0</v>
      </c>
      <c r="M93" s="286"/>
      <c r="N93" s="286"/>
      <c r="O93" s="285"/>
      <c r="P93" s="285"/>
      <c r="Q93" s="285"/>
      <c r="R93" s="278"/>
      <c r="S93" s="278"/>
      <c r="T93" s="278"/>
    </row>
    <row r="94" spans="1:28" s="305" customFormat="1" hidden="1" outlineLevel="1" x14ac:dyDescent="0.25">
      <c r="A94" s="278"/>
      <c r="B94" s="279" t="str">
        <f t="shared" si="40"/>
        <v/>
      </c>
      <c r="C94" s="278"/>
      <c r="D94" s="278"/>
      <c r="E94" s="278"/>
      <c r="F94" s="278"/>
      <c r="G94" s="278"/>
      <c r="H94" s="290"/>
      <c r="I94" s="280">
        <f t="shared" si="41"/>
        <v>0</v>
      </c>
      <c r="J94" s="281">
        <f t="shared" si="42"/>
        <v>0</v>
      </c>
      <c r="K94" s="282">
        <f>IF(Notes!$B$9="Domestic",I94, IF(Notes!$B$9="Commercial",J94))*$K$91</f>
        <v>0</v>
      </c>
      <c r="L94" s="283">
        <f>(SUM(O94:Q94)+(K94+SUM(M94:Q94))*(INDEX($U$91:$AB$91,MATCH(Notes!$C$16,$U$3:$AB$3,0))-100%))*$L$91</f>
        <v>0</v>
      </c>
      <c r="M94" s="286"/>
      <c r="N94" s="286"/>
      <c r="O94" s="285"/>
      <c r="P94" s="285"/>
      <c r="Q94" s="285"/>
      <c r="R94" s="278"/>
      <c r="S94" s="278"/>
      <c r="T94" s="278"/>
    </row>
    <row r="95" spans="1:28" s="305" customFormat="1" hidden="1" outlineLevel="1" x14ac:dyDescent="0.25">
      <c r="A95" s="278"/>
      <c r="B95" s="279" t="str">
        <f t="shared" si="40"/>
        <v/>
      </c>
      <c r="C95" s="278"/>
      <c r="D95" s="278"/>
      <c r="E95" s="278"/>
      <c r="F95" s="278"/>
      <c r="G95" s="278"/>
      <c r="H95" s="290"/>
      <c r="I95" s="280">
        <f t="shared" si="41"/>
        <v>0</v>
      </c>
      <c r="J95" s="281">
        <f t="shared" si="42"/>
        <v>0</v>
      </c>
      <c r="K95" s="282">
        <f>IF(Notes!$B$9="Domestic",I95, IF(Notes!$B$9="Commercial",J95))*$K$91</f>
        <v>0</v>
      </c>
      <c r="L95" s="283">
        <f>(SUM(O95:Q95)+(K95+SUM(M95:Q95))*(INDEX($U$91:$AB$91,MATCH(Notes!$C$16,$U$3:$AB$3,0))-100%))*$L$91</f>
        <v>0</v>
      </c>
      <c r="M95" s="286"/>
      <c r="N95" s="286"/>
      <c r="O95" s="285"/>
      <c r="P95" s="285"/>
      <c r="Q95" s="285"/>
      <c r="R95" s="278"/>
      <c r="S95" s="278"/>
      <c r="T95" s="278"/>
    </row>
    <row r="96" spans="1:28" s="305" customFormat="1" hidden="1" outlineLevel="1" x14ac:dyDescent="0.25">
      <c r="A96" s="278"/>
      <c r="B96" s="279" t="str">
        <f t="shared" si="40"/>
        <v/>
      </c>
      <c r="C96" s="278"/>
      <c r="D96" s="278"/>
      <c r="E96" s="278"/>
      <c r="F96" s="278"/>
      <c r="G96" s="278"/>
      <c r="H96" s="290"/>
      <c r="I96" s="280">
        <f>$I$2*H96</f>
        <v>0</v>
      </c>
      <c r="J96" s="281">
        <f t="shared" si="42"/>
        <v>0</v>
      </c>
      <c r="K96" s="282">
        <f>IF(Notes!$B$9="Domestic",I96, IF(Notes!$B$9="Commercial",J96))*$K$91</f>
        <v>0</v>
      </c>
      <c r="L96" s="283">
        <f>(SUM(O96:Q96)+(K96+SUM(M96:Q96))*(INDEX($U$91:$AB$91,MATCH(Notes!$C$16,$U$3:$AB$3,0))-100%))*$L$91</f>
        <v>0</v>
      </c>
      <c r="M96" s="286"/>
      <c r="N96" s="286"/>
      <c r="O96" s="285"/>
      <c r="P96" s="285"/>
      <c r="Q96" s="285"/>
      <c r="R96" s="278"/>
      <c r="S96" s="278"/>
      <c r="T96" s="278"/>
    </row>
    <row r="97" spans="1:28" s="305" customFormat="1" hidden="1" outlineLevel="1" x14ac:dyDescent="0.25">
      <c r="A97" s="278"/>
      <c r="B97" s="279" t="str">
        <f t="shared" si="40"/>
        <v/>
      </c>
      <c r="C97" s="278"/>
      <c r="D97" s="278"/>
      <c r="E97" s="278"/>
      <c r="F97" s="278"/>
      <c r="G97" s="278"/>
      <c r="H97" s="290"/>
      <c r="I97" s="280">
        <f t="shared" si="41"/>
        <v>0</v>
      </c>
      <c r="J97" s="281">
        <f t="shared" si="42"/>
        <v>0</v>
      </c>
      <c r="K97" s="282">
        <f>IF(Notes!$B$9="Domestic",I97, IF(Notes!$B$9="Commercial",J97))*$K$91</f>
        <v>0</v>
      </c>
      <c r="L97" s="283">
        <f>(SUM(O97:Q97)+(K97+SUM(M97:Q97))*(INDEX($U$91:$AB$91,MATCH(Notes!$C$16,$U$3:$AB$3,0))-100%))*$L$91</f>
        <v>0</v>
      </c>
      <c r="M97" s="286"/>
      <c r="N97" s="286"/>
      <c r="O97" s="285"/>
      <c r="P97" s="285"/>
      <c r="Q97" s="285"/>
      <c r="R97" s="278"/>
      <c r="S97" s="278"/>
      <c r="T97" s="278"/>
    </row>
    <row r="98" spans="1:28" s="305" customFormat="1" hidden="1" outlineLevel="1" x14ac:dyDescent="0.25">
      <c r="A98" s="278"/>
      <c r="B98" s="279" t="str">
        <f t="shared" si="40"/>
        <v/>
      </c>
      <c r="C98" s="278"/>
      <c r="D98" s="278"/>
      <c r="E98" s="278"/>
      <c r="F98" s="278"/>
      <c r="G98" s="278"/>
      <c r="H98" s="290"/>
      <c r="I98" s="280">
        <f t="shared" si="41"/>
        <v>0</v>
      </c>
      <c r="J98" s="281">
        <f t="shared" si="42"/>
        <v>0</v>
      </c>
      <c r="K98" s="282">
        <f>IF(Notes!$B$9="Domestic",I98, IF(Notes!$B$9="Commercial",J98))*$K$91</f>
        <v>0</v>
      </c>
      <c r="L98" s="283">
        <f>(SUM(O98:Q98)+(K98+SUM(M98:Q98))*(INDEX($U$91:$AB$91,MATCH(Notes!$C$16,$U$3:$AB$3,0))-100%))*$L$91</f>
        <v>0</v>
      </c>
      <c r="M98" s="286"/>
      <c r="N98" s="286"/>
      <c r="O98" s="285"/>
      <c r="P98" s="285"/>
      <c r="Q98" s="285"/>
      <c r="R98" s="278"/>
      <c r="S98" s="278"/>
      <c r="T98" s="278"/>
    </row>
    <row r="99" spans="1:28" s="305" customFormat="1" hidden="1" outlineLevel="1" x14ac:dyDescent="0.25">
      <c r="A99" s="278"/>
      <c r="B99" s="279" t="str">
        <f t="shared" si="40"/>
        <v/>
      </c>
      <c r="C99" s="278"/>
      <c r="D99" s="278"/>
      <c r="E99" s="278"/>
      <c r="F99" s="278"/>
      <c r="G99" s="278"/>
      <c r="H99" s="290"/>
      <c r="I99" s="280">
        <f t="shared" si="41"/>
        <v>0</v>
      </c>
      <c r="J99" s="281">
        <f t="shared" si="42"/>
        <v>0</v>
      </c>
      <c r="K99" s="282">
        <f>IF(Notes!$B$9="Domestic",I99, IF(Notes!$B$9="Commercial",J99))*$K$91</f>
        <v>0</v>
      </c>
      <c r="L99" s="283">
        <f>(SUM(O99:Q99)+(K99+SUM(M99:Q99))*(INDEX($U$91:$AB$91,MATCH(Notes!$C$16,$U$3:$AB$3,0))-100%))*$L$91</f>
        <v>0</v>
      </c>
      <c r="M99" s="286"/>
      <c r="N99" s="286"/>
      <c r="O99" s="285"/>
      <c r="P99" s="285"/>
      <c r="Q99" s="285"/>
      <c r="R99" s="278"/>
      <c r="S99" s="278"/>
      <c r="T99" s="278"/>
    </row>
    <row r="100" spans="1:28" s="305" customFormat="1" hidden="1" outlineLevel="1" x14ac:dyDescent="0.25">
      <c r="A100" s="278"/>
      <c r="B100" s="279" t="str">
        <f t="shared" si="40"/>
        <v/>
      </c>
      <c r="C100" s="278"/>
      <c r="D100" s="278"/>
      <c r="E100" s="278"/>
      <c r="F100" s="278"/>
      <c r="G100" s="278"/>
      <c r="H100" s="290"/>
      <c r="I100" s="280">
        <f t="shared" si="41"/>
        <v>0</v>
      </c>
      <c r="J100" s="281">
        <f t="shared" si="42"/>
        <v>0</v>
      </c>
      <c r="K100" s="282">
        <f>IF(Notes!$B$9="Domestic",I100, IF(Notes!$B$9="Commercial",J100))*$K$91</f>
        <v>0</v>
      </c>
      <c r="L100" s="283">
        <f>(SUM(O100:Q100)+(K100+SUM(M100:Q100))*(INDEX($U$91:$AB$91,MATCH(Notes!$C$16,$U$3:$AB$3,0))-100%))*$L$91</f>
        <v>0</v>
      </c>
      <c r="M100" s="286"/>
      <c r="N100" s="286"/>
      <c r="O100" s="285"/>
      <c r="P100" s="285"/>
      <c r="Q100" s="285"/>
      <c r="R100" s="278"/>
      <c r="S100" s="278"/>
      <c r="T100" s="278"/>
    </row>
    <row r="101" spans="1:28" s="305" customFormat="1" hidden="1" outlineLevel="1" x14ac:dyDescent="0.25">
      <c r="A101" s="278"/>
      <c r="B101" s="279" t="str">
        <f t="shared" si="40"/>
        <v/>
      </c>
      <c r="C101" s="278"/>
      <c r="D101" s="278"/>
      <c r="E101" s="278"/>
      <c r="F101" s="278"/>
      <c r="G101" s="278"/>
      <c r="H101" s="290"/>
      <c r="I101" s="280">
        <f t="shared" si="41"/>
        <v>0</v>
      </c>
      <c r="J101" s="281">
        <f t="shared" si="42"/>
        <v>0</v>
      </c>
      <c r="K101" s="282">
        <f>IF(Notes!$B$9="Domestic",I101, IF(Notes!$B$9="Commercial",J101))*$K$91</f>
        <v>0</v>
      </c>
      <c r="L101" s="283">
        <f>(SUM(O101:Q101)+(K101+SUM(M101:Q101))*(INDEX($U$91:$AB$91,MATCH(Notes!$C$16,$U$3:$AB$3,0))-100%))*$L$91</f>
        <v>0</v>
      </c>
      <c r="M101" s="286"/>
      <c r="N101" s="286"/>
      <c r="O101" s="285"/>
      <c r="P101" s="285"/>
      <c r="Q101" s="285"/>
      <c r="R101" s="278"/>
      <c r="S101" s="278"/>
      <c r="T101" s="278"/>
    </row>
    <row r="102" spans="1:28" ht="21" hidden="1" outlineLevel="1" x14ac:dyDescent="0.25">
      <c r="A102" s="299"/>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row>
    <row r="103" spans="1:28" ht="15.75" hidden="1" outlineLevel="1" x14ac:dyDescent="0.25">
      <c r="A103" s="291"/>
      <c r="B103" s="291"/>
      <c r="C103" s="291"/>
      <c r="D103" s="291"/>
      <c r="E103" s="291"/>
      <c r="F103" s="291"/>
      <c r="G103" s="291"/>
      <c r="H103" s="291"/>
      <c r="I103" s="291"/>
      <c r="J103" s="291"/>
      <c r="K103" s="291">
        <f>K$2</f>
        <v>1</v>
      </c>
      <c r="L103" s="291">
        <f>L$2</f>
        <v>1</v>
      </c>
      <c r="M103" s="291"/>
      <c r="N103" s="291"/>
      <c r="O103" s="303"/>
      <c r="P103" s="303"/>
      <c r="Q103" s="303"/>
      <c r="R103" s="291"/>
      <c r="S103" s="291"/>
      <c r="T103" s="291"/>
      <c r="U103" s="291">
        <f>U$2</f>
        <v>1</v>
      </c>
      <c r="V103" s="291">
        <f>V$2</f>
        <v>1</v>
      </c>
      <c r="W103" s="291">
        <f t="shared" ref="W103:AB103" si="43">W$2</f>
        <v>1</v>
      </c>
      <c r="X103" s="291">
        <f t="shared" si="43"/>
        <v>1</v>
      </c>
      <c r="Y103" s="291">
        <f t="shared" si="43"/>
        <v>1</v>
      </c>
      <c r="Z103" s="291">
        <f t="shared" si="43"/>
        <v>1</v>
      </c>
      <c r="AA103" s="291">
        <f t="shared" si="43"/>
        <v>1</v>
      </c>
      <c r="AB103" s="291">
        <f t="shared" si="43"/>
        <v>1</v>
      </c>
    </row>
    <row r="104" spans="1:28" s="305" customFormat="1" hidden="1" outlineLevel="1" x14ac:dyDescent="0.25">
      <c r="A104" s="278"/>
      <c r="B104" s="279" t="str">
        <f>C104&amp;D104&amp;E104&amp;F104</f>
        <v/>
      </c>
      <c r="C104" s="278"/>
      <c r="D104" s="278"/>
      <c r="E104" s="278"/>
      <c r="F104" s="278"/>
      <c r="G104" s="278"/>
      <c r="H104" s="290"/>
      <c r="I104" s="280">
        <f>$I$2*H104</f>
        <v>0</v>
      </c>
      <c r="J104" s="281">
        <f>$J$2*H104</f>
        <v>0</v>
      </c>
      <c r="K104" s="282">
        <f>IF(Notes!$B$9="Domestic",I104, IF(Notes!$B$9="Commercial",J104))*$K$103</f>
        <v>0</v>
      </c>
      <c r="L104" s="283">
        <f>(SUM(O104:Q104)+(K104+SUM(M104:Q104))*(INDEX($U$103:$AB$103,MATCH(Notes!$C$16,$U$3:$AB$3,0))-100%))*$L$103</f>
        <v>0</v>
      </c>
      <c r="M104" s="286"/>
      <c r="N104" s="286"/>
      <c r="O104" s="285"/>
      <c r="P104" s="285"/>
      <c r="Q104" s="285"/>
      <c r="R104" s="278"/>
      <c r="S104" s="278"/>
      <c r="T104" s="278"/>
    </row>
    <row r="105" spans="1:28" s="305" customFormat="1" hidden="1" outlineLevel="1" x14ac:dyDescent="0.25">
      <c r="A105" s="278"/>
      <c r="B105" s="279" t="str">
        <f t="shared" ref="B105:B113" si="44">C105&amp;D105&amp;E105&amp;F105</f>
        <v/>
      </c>
      <c r="C105" s="278"/>
      <c r="D105" s="278"/>
      <c r="E105" s="278"/>
      <c r="F105" s="278"/>
      <c r="G105" s="278"/>
      <c r="H105" s="290"/>
      <c r="I105" s="280">
        <f t="shared" ref="I105:I113" si="45">$I$2*H105</f>
        <v>0</v>
      </c>
      <c r="J105" s="281">
        <f t="shared" ref="J105:J113" si="46">$J$2*H105</f>
        <v>0</v>
      </c>
      <c r="K105" s="282">
        <f>IF(Notes!$B$9="Domestic",I105, IF(Notes!$B$9="Commercial",J105))*$K$103</f>
        <v>0</v>
      </c>
      <c r="L105" s="283">
        <f>(SUM(O105:Q105)+(K105+SUM(M105:Q105))*(INDEX($U$103:$AB$103,MATCH(Notes!$C$16,$U$3:$AB$3,0))-100%))*$L$103</f>
        <v>0</v>
      </c>
      <c r="M105" s="286"/>
      <c r="N105" s="286"/>
      <c r="O105" s="285"/>
      <c r="P105" s="285"/>
      <c r="Q105" s="285"/>
      <c r="R105" s="278"/>
      <c r="S105" s="278"/>
      <c r="T105" s="278"/>
    </row>
    <row r="106" spans="1:28" s="305" customFormat="1" hidden="1" outlineLevel="1" x14ac:dyDescent="0.25">
      <c r="A106" s="278"/>
      <c r="B106" s="279" t="str">
        <f t="shared" si="44"/>
        <v/>
      </c>
      <c r="C106" s="278"/>
      <c r="D106" s="278"/>
      <c r="E106" s="278"/>
      <c r="F106" s="278"/>
      <c r="G106" s="278"/>
      <c r="H106" s="290"/>
      <c r="I106" s="280">
        <f t="shared" si="45"/>
        <v>0</v>
      </c>
      <c r="J106" s="281">
        <f t="shared" si="46"/>
        <v>0</v>
      </c>
      <c r="K106" s="282">
        <f>IF(Notes!$B$9="Domestic",I106, IF(Notes!$B$9="Commercial",J106))*$K$103</f>
        <v>0</v>
      </c>
      <c r="L106" s="283">
        <f>(SUM(O106:Q106)+(K106+SUM(M106:Q106))*(INDEX($U$103:$AB$103,MATCH(Notes!$C$16,$U$3:$AB$3,0))-100%))*$L$103</f>
        <v>0</v>
      </c>
      <c r="M106" s="286"/>
      <c r="N106" s="286"/>
      <c r="O106" s="285"/>
      <c r="P106" s="285"/>
      <c r="Q106" s="285"/>
      <c r="R106" s="278"/>
      <c r="S106" s="278"/>
      <c r="T106" s="278"/>
    </row>
    <row r="107" spans="1:28" s="305" customFormat="1" hidden="1" outlineLevel="1" x14ac:dyDescent="0.25">
      <c r="A107" s="278"/>
      <c r="B107" s="279" t="str">
        <f t="shared" si="44"/>
        <v/>
      </c>
      <c r="C107" s="278"/>
      <c r="D107" s="278"/>
      <c r="E107" s="278"/>
      <c r="F107" s="278"/>
      <c r="G107" s="278"/>
      <c r="H107" s="290"/>
      <c r="I107" s="280">
        <f t="shared" si="45"/>
        <v>0</v>
      </c>
      <c r="J107" s="281">
        <f t="shared" si="46"/>
        <v>0</v>
      </c>
      <c r="K107" s="282">
        <f>IF(Notes!$B$9="Domestic",I107, IF(Notes!$B$9="Commercial",J107))*$K$103</f>
        <v>0</v>
      </c>
      <c r="L107" s="283">
        <f>(SUM(O107:Q107)+(K107+SUM(M107:Q107))*(INDEX($U$103:$AB$103,MATCH(Notes!$C$16,$U$3:$AB$3,0))-100%))*$L$103</f>
        <v>0</v>
      </c>
      <c r="M107" s="286"/>
      <c r="N107" s="286"/>
      <c r="O107" s="285"/>
      <c r="P107" s="285"/>
      <c r="Q107" s="285"/>
      <c r="R107" s="278"/>
      <c r="S107" s="278"/>
      <c r="T107" s="278"/>
    </row>
    <row r="108" spans="1:28" s="305" customFormat="1" hidden="1" outlineLevel="1" x14ac:dyDescent="0.25">
      <c r="A108" s="278"/>
      <c r="B108" s="279" t="str">
        <f t="shared" si="44"/>
        <v/>
      </c>
      <c r="C108" s="278"/>
      <c r="D108" s="278"/>
      <c r="E108" s="278"/>
      <c r="F108" s="278"/>
      <c r="G108" s="278"/>
      <c r="H108" s="290"/>
      <c r="I108" s="280">
        <f>$I$2*H108</f>
        <v>0</v>
      </c>
      <c r="J108" s="281">
        <f t="shared" si="46"/>
        <v>0</v>
      </c>
      <c r="K108" s="282">
        <f>IF(Notes!$B$9="Domestic",I108, IF(Notes!$B$9="Commercial",J108))*$K$103</f>
        <v>0</v>
      </c>
      <c r="L108" s="283">
        <f>(SUM(O108:Q108)+(K108+SUM(M108:Q108))*(INDEX($U$103:$AB$103,MATCH(Notes!$C$16,$U$3:$AB$3,0))-100%))*$L$103</f>
        <v>0</v>
      </c>
      <c r="M108" s="286"/>
      <c r="N108" s="286"/>
      <c r="O108" s="285"/>
      <c r="P108" s="285"/>
      <c r="Q108" s="285"/>
      <c r="R108" s="278"/>
      <c r="S108" s="278"/>
      <c r="T108" s="278"/>
    </row>
    <row r="109" spans="1:28" s="305" customFormat="1" hidden="1" outlineLevel="1" x14ac:dyDescent="0.25">
      <c r="A109" s="278"/>
      <c r="B109" s="279" t="str">
        <f t="shared" si="44"/>
        <v/>
      </c>
      <c r="C109" s="278"/>
      <c r="D109" s="278"/>
      <c r="E109" s="278"/>
      <c r="F109" s="278"/>
      <c r="G109" s="278"/>
      <c r="H109" s="290"/>
      <c r="I109" s="280">
        <f t="shared" si="45"/>
        <v>0</v>
      </c>
      <c r="J109" s="281">
        <f t="shared" si="46"/>
        <v>0</v>
      </c>
      <c r="K109" s="282">
        <f>IF(Notes!$B$9="Domestic",I109, IF(Notes!$B$9="Commercial",J109))*$K$103</f>
        <v>0</v>
      </c>
      <c r="L109" s="283">
        <f>(SUM(O109:Q109)+(K109+SUM(M109:Q109))*(INDEX($U$103:$AB$103,MATCH(Notes!$C$16,$U$3:$AB$3,0))-100%))*$L$103</f>
        <v>0</v>
      </c>
      <c r="M109" s="286"/>
      <c r="N109" s="286"/>
      <c r="O109" s="285"/>
      <c r="P109" s="285"/>
      <c r="Q109" s="285"/>
      <c r="R109" s="278"/>
      <c r="S109" s="278"/>
      <c r="T109" s="278"/>
    </row>
    <row r="110" spans="1:28" s="305" customFormat="1" hidden="1" outlineLevel="1" x14ac:dyDescent="0.25">
      <c r="A110" s="278"/>
      <c r="B110" s="279" t="str">
        <f t="shared" si="44"/>
        <v/>
      </c>
      <c r="C110" s="278"/>
      <c r="D110" s="278"/>
      <c r="E110" s="278"/>
      <c r="F110" s="278"/>
      <c r="G110" s="278"/>
      <c r="H110" s="290"/>
      <c r="I110" s="280">
        <f t="shared" si="45"/>
        <v>0</v>
      </c>
      <c r="J110" s="281">
        <f t="shared" si="46"/>
        <v>0</v>
      </c>
      <c r="K110" s="282">
        <f>IF(Notes!$B$9="Domestic",I110, IF(Notes!$B$9="Commercial",J110))*$K$103</f>
        <v>0</v>
      </c>
      <c r="L110" s="283">
        <f>(SUM(O110:Q110)+(K110+SUM(M110:Q110))*(INDEX($U$103:$AB$103,MATCH(Notes!$C$16,$U$3:$AB$3,0))-100%))*$L$103</f>
        <v>0</v>
      </c>
      <c r="M110" s="286"/>
      <c r="N110" s="286"/>
      <c r="O110" s="285"/>
      <c r="P110" s="285"/>
      <c r="Q110" s="285"/>
      <c r="R110" s="278"/>
      <c r="S110" s="278"/>
      <c r="T110" s="278"/>
    </row>
    <row r="111" spans="1:28" s="305" customFormat="1" hidden="1" outlineLevel="1" x14ac:dyDescent="0.25">
      <c r="A111" s="278"/>
      <c r="B111" s="279" t="str">
        <f t="shared" si="44"/>
        <v/>
      </c>
      <c r="C111" s="278"/>
      <c r="D111" s="278"/>
      <c r="E111" s="278"/>
      <c r="F111" s="278"/>
      <c r="G111" s="278"/>
      <c r="H111" s="290"/>
      <c r="I111" s="280">
        <f t="shared" si="45"/>
        <v>0</v>
      </c>
      <c r="J111" s="281">
        <f t="shared" si="46"/>
        <v>0</v>
      </c>
      <c r="K111" s="282">
        <f>IF(Notes!$B$9="Domestic",I111, IF(Notes!$B$9="Commercial",J111))*$K$103</f>
        <v>0</v>
      </c>
      <c r="L111" s="283">
        <f>(SUM(O111:Q111)+(K111+SUM(M111:Q111))*(INDEX($U$103:$AB$103,MATCH(Notes!$C$16,$U$3:$AB$3,0))-100%))*$L$103</f>
        <v>0</v>
      </c>
      <c r="M111" s="286"/>
      <c r="N111" s="286"/>
      <c r="O111" s="285"/>
      <c r="P111" s="285"/>
      <c r="Q111" s="285"/>
      <c r="R111" s="278"/>
      <c r="S111" s="278"/>
      <c r="T111" s="278"/>
    </row>
    <row r="112" spans="1:28" s="305" customFormat="1" hidden="1" outlineLevel="1" x14ac:dyDescent="0.25">
      <c r="A112" s="278"/>
      <c r="B112" s="279" t="str">
        <f t="shared" si="44"/>
        <v/>
      </c>
      <c r="C112" s="278"/>
      <c r="D112" s="278"/>
      <c r="E112" s="278"/>
      <c r="F112" s="278"/>
      <c r="G112" s="278"/>
      <c r="H112" s="290"/>
      <c r="I112" s="280">
        <f t="shared" si="45"/>
        <v>0</v>
      </c>
      <c r="J112" s="281">
        <f t="shared" si="46"/>
        <v>0</v>
      </c>
      <c r="K112" s="282">
        <f>IF(Notes!$B$9="Domestic",I112, IF(Notes!$B$9="Commercial",J112))*$K$103</f>
        <v>0</v>
      </c>
      <c r="L112" s="283">
        <f>(SUM(O112:Q112)+(K112+SUM(M112:Q112))*(INDEX($U$103:$AB$103,MATCH(Notes!$C$16,$U$3:$AB$3,0))-100%))*$L$103</f>
        <v>0</v>
      </c>
      <c r="M112" s="286"/>
      <c r="N112" s="286"/>
      <c r="O112" s="285"/>
      <c r="P112" s="285"/>
      <c r="Q112" s="285"/>
      <c r="R112" s="278"/>
      <c r="S112" s="278"/>
      <c r="T112" s="278"/>
    </row>
    <row r="113" spans="1:28" s="305" customFormat="1" hidden="1" outlineLevel="1" x14ac:dyDescent="0.25">
      <c r="A113" s="278"/>
      <c r="B113" s="279" t="str">
        <f t="shared" si="44"/>
        <v/>
      </c>
      <c r="C113" s="278"/>
      <c r="D113" s="278"/>
      <c r="E113" s="278"/>
      <c r="F113" s="278"/>
      <c r="G113" s="278"/>
      <c r="H113" s="290"/>
      <c r="I113" s="280">
        <f t="shared" si="45"/>
        <v>0</v>
      </c>
      <c r="J113" s="281">
        <f t="shared" si="46"/>
        <v>0</v>
      </c>
      <c r="K113" s="282">
        <f>IF(Notes!$B$9="Domestic",I113, IF(Notes!$B$9="Commercial",J113))*$K$103</f>
        <v>0</v>
      </c>
      <c r="L113" s="283">
        <f>(SUM(O113:Q113)+(K113+SUM(M113:Q113))*(INDEX($U$103:$AB$103,MATCH(Notes!$C$16,$U$3:$AB$3,0))-100%))*$L$103</f>
        <v>0</v>
      </c>
      <c r="M113" s="286"/>
      <c r="N113" s="286"/>
      <c r="O113" s="285"/>
      <c r="P113" s="285"/>
      <c r="Q113" s="285"/>
      <c r="R113" s="278"/>
      <c r="S113" s="278"/>
      <c r="T113" s="278"/>
    </row>
    <row r="114" spans="1:28" ht="21" hidden="1" outlineLevel="1" x14ac:dyDescent="0.25">
      <c r="A114" s="299"/>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row>
    <row r="115" spans="1:28" ht="15.75" hidden="1" outlineLevel="1" x14ac:dyDescent="0.25">
      <c r="A115" s="291"/>
      <c r="B115" s="291"/>
      <c r="C115" s="291"/>
      <c r="D115" s="291"/>
      <c r="E115" s="291"/>
      <c r="F115" s="291"/>
      <c r="G115" s="291"/>
      <c r="H115" s="291"/>
      <c r="I115" s="291"/>
      <c r="J115" s="291"/>
      <c r="K115" s="291">
        <f>K$2</f>
        <v>1</v>
      </c>
      <c r="L115" s="291">
        <f>L$2</f>
        <v>1</v>
      </c>
      <c r="M115" s="291"/>
      <c r="N115" s="291"/>
      <c r="O115" s="303"/>
      <c r="P115" s="303"/>
      <c r="Q115" s="303"/>
      <c r="R115" s="291"/>
      <c r="S115" s="291"/>
      <c r="T115" s="291"/>
      <c r="U115" s="291">
        <f>U$2</f>
        <v>1</v>
      </c>
      <c r="V115" s="291">
        <f>V$2</f>
        <v>1</v>
      </c>
      <c r="W115" s="291">
        <f t="shared" ref="W115:AB115" si="47">W$2</f>
        <v>1</v>
      </c>
      <c r="X115" s="291">
        <f t="shared" si="47"/>
        <v>1</v>
      </c>
      <c r="Y115" s="291">
        <f t="shared" si="47"/>
        <v>1</v>
      </c>
      <c r="Z115" s="291">
        <f t="shared" si="47"/>
        <v>1</v>
      </c>
      <c r="AA115" s="291">
        <f t="shared" si="47"/>
        <v>1</v>
      </c>
      <c r="AB115" s="291">
        <f t="shared" si="47"/>
        <v>1</v>
      </c>
    </row>
    <row r="116" spans="1:28" s="305" customFormat="1" hidden="1" outlineLevel="1" x14ac:dyDescent="0.25">
      <c r="A116" s="278"/>
      <c r="B116" s="279" t="str">
        <f>C116&amp;D116&amp;E116&amp;F116</f>
        <v/>
      </c>
      <c r="C116" s="278"/>
      <c r="D116" s="278"/>
      <c r="E116" s="278"/>
      <c r="F116" s="278"/>
      <c r="G116" s="278"/>
      <c r="H116" s="290"/>
      <c r="I116" s="280">
        <f>$I$2*H116</f>
        <v>0</v>
      </c>
      <c r="J116" s="281">
        <f>$J$2*H116</f>
        <v>0</v>
      </c>
      <c r="K116" s="282">
        <f>IF(Notes!$B$9="Domestic",I116, IF(Notes!$B$9="Commercial",J116))*$K$115</f>
        <v>0</v>
      </c>
      <c r="L116" s="283">
        <f>(SUM(O116:Q116)+(K116+SUM(M116:Q116))*(INDEX($U$115:$AB$115,MATCH(Notes!$C$16,$U$3:$AB$3,0))-100%))*$L$115</f>
        <v>0</v>
      </c>
      <c r="M116" s="286"/>
      <c r="N116" s="286"/>
      <c r="O116" s="285"/>
      <c r="P116" s="285"/>
      <c r="Q116" s="285"/>
      <c r="R116" s="278"/>
      <c r="S116" s="278"/>
      <c r="T116" s="278"/>
    </row>
    <row r="117" spans="1:28" s="305" customFormat="1" hidden="1" outlineLevel="1" x14ac:dyDescent="0.25">
      <c r="A117" s="278"/>
      <c r="B117" s="279" t="str">
        <f t="shared" ref="B117:B125" si="48">C117&amp;D117&amp;E117&amp;F117</f>
        <v/>
      </c>
      <c r="C117" s="278"/>
      <c r="D117" s="278"/>
      <c r="E117" s="278"/>
      <c r="F117" s="278"/>
      <c r="G117" s="278"/>
      <c r="H117" s="290"/>
      <c r="I117" s="280">
        <f t="shared" ref="I117:I125" si="49">$I$2*H117</f>
        <v>0</v>
      </c>
      <c r="J117" s="281">
        <f t="shared" ref="J117:J125" si="50">$J$2*H117</f>
        <v>0</v>
      </c>
      <c r="K117" s="282">
        <f>IF(Notes!$B$9="Domestic",I117, IF(Notes!$B$9="Commercial",J117))*$K$115</f>
        <v>0</v>
      </c>
      <c r="L117" s="283">
        <f>(SUM(O117:Q117)+(K117+SUM(M117:Q117))*(INDEX($U$115:$AB$115,MATCH(Notes!$C$16,$U$3:$AB$3,0))-100%))*$L$115</f>
        <v>0</v>
      </c>
      <c r="M117" s="286"/>
      <c r="N117" s="286"/>
      <c r="O117" s="285"/>
      <c r="P117" s="285"/>
      <c r="Q117" s="285"/>
      <c r="R117" s="278"/>
      <c r="S117" s="278"/>
      <c r="T117" s="278"/>
    </row>
    <row r="118" spans="1:28" s="305" customFormat="1" hidden="1" outlineLevel="1" x14ac:dyDescent="0.25">
      <c r="A118" s="278"/>
      <c r="B118" s="279" t="str">
        <f t="shared" si="48"/>
        <v/>
      </c>
      <c r="C118" s="278"/>
      <c r="D118" s="278"/>
      <c r="E118" s="278"/>
      <c r="F118" s="278"/>
      <c r="G118" s="278"/>
      <c r="H118" s="290"/>
      <c r="I118" s="280">
        <f t="shared" si="49"/>
        <v>0</v>
      </c>
      <c r="J118" s="281">
        <f t="shared" si="50"/>
        <v>0</v>
      </c>
      <c r="K118" s="282">
        <f>IF(Notes!$B$9="Domestic",I118, IF(Notes!$B$9="Commercial",J118))*$K$115</f>
        <v>0</v>
      </c>
      <c r="L118" s="283">
        <f>(SUM(O118:Q118)+(K118+SUM(M118:Q118))*(INDEX($U$115:$AB$115,MATCH(Notes!$C$16,$U$3:$AB$3,0))-100%))*$L$115</f>
        <v>0</v>
      </c>
      <c r="M118" s="286"/>
      <c r="N118" s="286"/>
      <c r="O118" s="285"/>
      <c r="P118" s="285"/>
      <c r="Q118" s="285"/>
      <c r="R118" s="278"/>
      <c r="S118" s="278"/>
      <c r="T118" s="278"/>
    </row>
    <row r="119" spans="1:28" s="305" customFormat="1" hidden="1" outlineLevel="1" x14ac:dyDescent="0.25">
      <c r="A119" s="278"/>
      <c r="B119" s="279" t="str">
        <f t="shared" si="48"/>
        <v/>
      </c>
      <c r="C119" s="278"/>
      <c r="D119" s="278"/>
      <c r="E119" s="278"/>
      <c r="F119" s="278"/>
      <c r="G119" s="278"/>
      <c r="H119" s="290"/>
      <c r="I119" s="280">
        <f t="shared" si="49"/>
        <v>0</v>
      </c>
      <c r="J119" s="281">
        <f t="shared" si="50"/>
        <v>0</v>
      </c>
      <c r="K119" s="282">
        <f>IF(Notes!$B$9="Domestic",I119, IF(Notes!$B$9="Commercial",J119))*$K$115</f>
        <v>0</v>
      </c>
      <c r="L119" s="283">
        <f>(SUM(O119:Q119)+(K119+SUM(M119:Q119))*(INDEX($U$115:$AB$115,MATCH(Notes!$C$16,$U$3:$AB$3,0))-100%))*$L$115</f>
        <v>0</v>
      </c>
      <c r="M119" s="286"/>
      <c r="N119" s="286"/>
      <c r="O119" s="285"/>
      <c r="P119" s="285"/>
      <c r="Q119" s="285"/>
      <c r="R119" s="278"/>
      <c r="S119" s="278"/>
      <c r="T119" s="278"/>
    </row>
    <row r="120" spans="1:28" s="305" customFormat="1" hidden="1" outlineLevel="1" x14ac:dyDescent="0.25">
      <c r="A120" s="278"/>
      <c r="B120" s="279" t="str">
        <f t="shared" si="48"/>
        <v/>
      </c>
      <c r="C120" s="278"/>
      <c r="D120" s="278"/>
      <c r="E120" s="278"/>
      <c r="F120" s="278"/>
      <c r="G120" s="278"/>
      <c r="H120" s="290"/>
      <c r="I120" s="280">
        <f>$I$2*H120</f>
        <v>0</v>
      </c>
      <c r="J120" s="281">
        <f t="shared" si="50"/>
        <v>0</v>
      </c>
      <c r="K120" s="282">
        <f>IF(Notes!$B$9="Domestic",I120, IF(Notes!$B$9="Commercial",J120))*$K$115</f>
        <v>0</v>
      </c>
      <c r="L120" s="283">
        <f>(SUM(O120:Q120)+(K120+SUM(M120:Q120))*(INDEX($U$115:$AB$115,MATCH(Notes!$C$16,$U$3:$AB$3,0))-100%))*$L$115</f>
        <v>0</v>
      </c>
      <c r="M120" s="286"/>
      <c r="N120" s="286"/>
      <c r="O120" s="285"/>
      <c r="P120" s="285"/>
      <c r="Q120" s="285"/>
      <c r="R120" s="278"/>
      <c r="S120" s="278"/>
      <c r="T120" s="278"/>
    </row>
    <row r="121" spans="1:28" s="305" customFormat="1" hidden="1" outlineLevel="1" x14ac:dyDescent="0.25">
      <c r="A121" s="278"/>
      <c r="B121" s="279" t="str">
        <f t="shared" si="48"/>
        <v/>
      </c>
      <c r="C121" s="278"/>
      <c r="D121" s="278"/>
      <c r="E121" s="278"/>
      <c r="F121" s="278"/>
      <c r="G121" s="278"/>
      <c r="H121" s="290"/>
      <c r="I121" s="280">
        <f t="shared" si="49"/>
        <v>0</v>
      </c>
      <c r="J121" s="281">
        <f t="shared" si="50"/>
        <v>0</v>
      </c>
      <c r="K121" s="282">
        <f>IF(Notes!$B$9="Domestic",I121, IF(Notes!$B$9="Commercial",J121))*$K$115</f>
        <v>0</v>
      </c>
      <c r="L121" s="283">
        <f>(SUM(O121:Q121)+(K121+SUM(M121:Q121))*(INDEX($U$115:$AB$115,MATCH(Notes!$C$16,$U$3:$AB$3,0))-100%))*$L$115</f>
        <v>0</v>
      </c>
      <c r="M121" s="286"/>
      <c r="N121" s="286"/>
      <c r="O121" s="285"/>
      <c r="P121" s="285"/>
      <c r="Q121" s="285"/>
      <c r="R121" s="278"/>
      <c r="S121" s="278"/>
      <c r="T121" s="278"/>
    </row>
    <row r="122" spans="1:28" s="305" customFormat="1" hidden="1" outlineLevel="1" x14ac:dyDescent="0.25">
      <c r="A122" s="278"/>
      <c r="B122" s="279" t="str">
        <f t="shared" si="48"/>
        <v/>
      </c>
      <c r="C122" s="278"/>
      <c r="D122" s="278"/>
      <c r="E122" s="278"/>
      <c r="F122" s="278"/>
      <c r="G122" s="278"/>
      <c r="H122" s="290"/>
      <c r="I122" s="280">
        <f t="shared" si="49"/>
        <v>0</v>
      </c>
      <c r="J122" s="281">
        <f t="shared" si="50"/>
        <v>0</v>
      </c>
      <c r="K122" s="282">
        <f>IF(Notes!$B$9="Domestic",I122, IF(Notes!$B$9="Commercial",J122))*$K$115</f>
        <v>0</v>
      </c>
      <c r="L122" s="283">
        <f>(SUM(O122:Q122)+(K122+SUM(M122:Q122))*(INDEX($U$115:$AB$115,MATCH(Notes!$C$16,$U$3:$AB$3,0))-100%))*$L$115</f>
        <v>0</v>
      </c>
      <c r="M122" s="286"/>
      <c r="N122" s="286"/>
      <c r="O122" s="285"/>
      <c r="P122" s="285"/>
      <c r="Q122" s="285"/>
      <c r="R122" s="278"/>
      <c r="S122" s="278"/>
      <c r="T122" s="278"/>
    </row>
    <row r="123" spans="1:28" s="305" customFormat="1" hidden="1" outlineLevel="1" x14ac:dyDescent="0.25">
      <c r="A123" s="278"/>
      <c r="B123" s="279" t="str">
        <f t="shared" si="48"/>
        <v/>
      </c>
      <c r="C123" s="278"/>
      <c r="D123" s="278"/>
      <c r="E123" s="278"/>
      <c r="F123" s="278"/>
      <c r="G123" s="278"/>
      <c r="H123" s="290"/>
      <c r="I123" s="280">
        <f t="shared" si="49"/>
        <v>0</v>
      </c>
      <c r="J123" s="281">
        <f t="shared" si="50"/>
        <v>0</v>
      </c>
      <c r="K123" s="282">
        <f>IF(Notes!$B$9="Domestic",I123, IF(Notes!$B$9="Commercial",J123))*$K$115</f>
        <v>0</v>
      </c>
      <c r="L123" s="283">
        <f>(SUM(O123:Q123)+(K123+SUM(M123:Q123))*(INDEX($U$115:$AB$115,MATCH(Notes!$C$16,$U$3:$AB$3,0))-100%))*$L$115</f>
        <v>0</v>
      </c>
      <c r="M123" s="286"/>
      <c r="N123" s="286"/>
      <c r="O123" s="285"/>
      <c r="P123" s="285"/>
      <c r="Q123" s="285"/>
      <c r="R123" s="278"/>
      <c r="S123" s="278"/>
      <c r="T123" s="278"/>
    </row>
    <row r="124" spans="1:28" s="305" customFormat="1" hidden="1" outlineLevel="1" x14ac:dyDescent="0.25">
      <c r="A124" s="278"/>
      <c r="B124" s="279" t="str">
        <f t="shared" si="48"/>
        <v/>
      </c>
      <c r="C124" s="278"/>
      <c r="D124" s="278"/>
      <c r="E124" s="278"/>
      <c r="F124" s="278"/>
      <c r="G124" s="278"/>
      <c r="H124" s="290"/>
      <c r="I124" s="280">
        <f t="shared" si="49"/>
        <v>0</v>
      </c>
      <c r="J124" s="281">
        <f t="shared" si="50"/>
        <v>0</v>
      </c>
      <c r="K124" s="282">
        <f>IF(Notes!$B$9="Domestic",I124, IF(Notes!$B$9="Commercial",J124))*$K$115</f>
        <v>0</v>
      </c>
      <c r="L124" s="283">
        <f>(SUM(O124:Q124)+(K124+SUM(M124:Q124))*(INDEX($U$115:$AB$115,MATCH(Notes!$C$16,$U$3:$AB$3,0))-100%))*$L$115</f>
        <v>0</v>
      </c>
      <c r="M124" s="286"/>
      <c r="N124" s="286"/>
      <c r="O124" s="285"/>
      <c r="P124" s="285"/>
      <c r="Q124" s="285"/>
      <c r="R124" s="278"/>
      <c r="S124" s="278"/>
      <c r="T124" s="278"/>
    </row>
    <row r="125" spans="1:28" s="305" customFormat="1" hidden="1" outlineLevel="1" x14ac:dyDescent="0.25">
      <c r="A125" s="278"/>
      <c r="B125" s="279" t="str">
        <f t="shared" si="48"/>
        <v/>
      </c>
      <c r="C125" s="278"/>
      <c r="D125" s="278"/>
      <c r="E125" s="278"/>
      <c r="F125" s="278"/>
      <c r="G125" s="278"/>
      <c r="H125" s="290"/>
      <c r="I125" s="280">
        <f t="shared" si="49"/>
        <v>0</v>
      </c>
      <c r="J125" s="281">
        <f t="shared" si="50"/>
        <v>0</v>
      </c>
      <c r="K125" s="282">
        <f>IF(Notes!$B$9="Domestic",I125, IF(Notes!$B$9="Commercial",J125))*$K$115</f>
        <v>0</v>
      </c>
      <c r="L125" s="283">
        <f>(SUM(O125:Q125)+(K125+SUM(M125:Q125))*(INDEX($U$115:$AB$115,MATCH(Notes!$C$16,$U$3:$AB$3,0))-100%))*$L$115</f>
        <v>0</v>
      </c>
      <c r="M125" s="286"/>
      <c r="N125" s="286"/>
      <c r="O125" s="285"/>
      <c r="P125" s="285"/>
      <c r="Q125" s="285"/>
      <c r="R125" s="278"/>
      <c r="S125" s="278"/>
      <c r="T125" s="278"/>
    </row>
    <row r="126" spans="1:28" hidden="1" outlineLevel="1" x14ac:dyDescent="0.25">
      <c r="A126" s="284" t="str">
        <f>C126&amp;D126&amp;E126</f>
        <v/>
      </c>
      <c r="B126" s="284"/>
      <c r="C126" s="284"/>
      <c r="D126" s="284"/>
      <c r="E126" s="284"/>
      <c r="F126" s="284"/>
      <c r="G126" s="284"/>
      <c r="H126" s="284"/>
      <c r="I126" s="284"/>
      <c r="J126" s="284"/>
      <c r="K126" s="284"/>
      <c r="L126" s="284"/>
      <c r="M126" s="284"/>
      <c r="N126" s="284"/>
      <c r="O126" s="284"/>
      <c r="P126" s="284"/>
      <c r="Q126" s="284"/>
      <c r="R126" s="284"/>
      <c r="S126" s="284"/>
      <c r="T126" s="284"/>
    </row>
    <row r="127" spans="1:28" hidden="1" outlineLevel="1" x14ac:dyDescent="0.25"/>
    <row r="128" spans="1:28" hidden="1" outlineLevel="1" x14ac:dyDescent="0.25"/>
    <row r="129" collapsed="1" x14ac:dyDescent="0.25"/>
  </sheetData>
  <sheetProtection algorithmName="SHA-512" hashValue="wtQV5Wmre5r4+kzU+XIymGqyxLexzWw9T3FUHd8WMFf2JR8soBkoDd3bOErsDiqHTI8do/lhTItfkRoomI9FnQ==" saltValue="J7DV+x95A/yXdvnwkpwVSA=="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B0F0"/>
  </sheetPr>
  <dimension ref="A1:F44"/>
  <sheetViews>
    <sheetView view="pageBreakPreview" topLeftCell="A24" zoomScaleSheetLayoutView="100" workbookViewId="0"/>
  </sheetViews>
  <sheetFormatPr defaultColWidth="8.85546875" defaultRowHeight="21" x14ac:dyDescent="0.35"/>
  <cols>
    <col min="1" max="1" width="11" style="25" bestFit="1" customWidth="1"/>
    <col min="2" max="2" width="94.140625" style="25" bestFit="1" customWidth="1"/>
    <col min="3" max="3" width="21.140625" style="44" bestFit="1" customWidth="1"/>
    <col min="4" max="4" width="15.5703125" style="43" customWidth="1"/>
    <col min="5" max="5" width="8.85546875" style="25"/>
    <col min="6" max="6" width="11.42578125" style="25" customWidth="1"/>
    <col min="7" max="7" width="9.85546875" style="25" bestFit="1" customWidth="1"/>
    <col min="8" max="16384" width="8.85546875" style="25"/>
  </cols>
  <sheetData>
    <row r="1" spans="1:4" s="38" customFormat="1" ht="24.95" customHeight="1" thickBot="1" x14ac:dyDescent="0.35">
      <c r="A1" s="21" t="s">
        <v>12</v>
      </c>
      <c r="B1" s="45" t="str">
        <f>Notes!B5</f>
        <v>Redevelopment of Council Workshop</v>
      </c>
      <c r="C1" s="46"/>
      <c r="D1" s="37"/>
    </row>
    <row r="2" spans="1:4" s="38" customFormat="1" ht="24.95" customHeight="1" thickTop="1" thickBot="1" x14ac:dyDescent="0.35">
      <c r="A2" s="21" t="s">
        <v>13</v>
      </c>
      <c r="B2" s="45" t="str">
        <f>Notes!B6</f>
        <v>25-31 Dunn St. Biloela QLD 4715</v>
      </c>
      <c r="C2" s="46"/>
      <c r="D2" s="37"/>
    </row>
    <row r="3" spans="1:4" ht="20.100000000000001" customHeight="1" thickTop="1" x14ac:dyDescent="0.25">
      <c r="A3" s="39"/>
      <c r="B3" s="47" t="s">
        <v>164</v>
      </c>
      <c r="C3" s="48"/>
      <c r="D3" s="49"/>
    </row>
    <row r="4" spans="1:4" ht="15.75" x14ac:dyDescent="0.25">
      <c r="A4" s="50"/>
      <c r="B4" s="51"/>
      <c r="C4" s="52"/>
      <c r="D4" s="53"/>
    </row>
    <row r="5" spans="1:4" ht="18.75" customHeight="1" x14ac:dyDescent="0.25">
      <c r="A5" s="54"/>
      <c r="B5" s="55" t="s">
        <v>29</v>
      </c>
      <c r="C5" s="56" t="s">
        <v>30</v>
      </c>
      <c r="D5" s="252" t="s">
        <v>804</v>
      </c>
    </row>
    <row r="6" spans="1:4" ht="18.75" customHeight="1" x14ac:dyDescent="0.25">
      <c r="A6" s="57">
        <v>1</v>
      </c>
      <c r="B6" s="20" t="str">
        <f ca="1">IFERROR(INDEX(BREAKDOWN!$G$1:$AB$160,MATCH($A6,BREAKDOWN!$G:$G,0),MATCH(BREAKDOWN!$H$3,BREAKDOWN!$G$3:$AB$3,0)),"")</f>
        <v>PRELIMINARIES</v>
      </c>
      <c r="C6" s="322">
        <f ca="1">IFERROR(INDEX(BREAKDOWN!$G$1:$AB$160,MATCH($A6,BREAKDOWN!$G:$G,0),MATCH(BREAKDOWN!$Q$3,BREAKDOWN!$G$3:$AB$3,0)),"")</f>
        <v>0</v>
      </c>
      <c r="D6" s="248">
        <f t="shared" ref="D6:D39" ca="1" si="0">IFERROR(C6/$C$42,0)</f>
        <v>0</v>
      </c>
    </row>
    <row r="7" spans="1:4" ht="18.75" customHeight="1" x14ac:dyDescent="0.25">
      <c r="A7" s="58">
        <f>A6+1</f>
        <v>2</v>
      </c>
      <c r="B7" s="20" t="str">
        <f ca="1">IFERROR(INDEX(BREAKDOWN!$G$1:$AB$160,MATCH($A7,BREAKDOWN!$G:$G,0),MATCH(BREAKDOWN!$H$3,BREAKDOWN!$G$3:$AB$3,0)),"")</f>
        <v>SCAFFOLDING</v>
      </c>
      <c r="C7" s="322">
        <f ca="1">IFERROR(INDEX(BREAKDOWN!$G$1:$AB$160,MATCH(SUMMARY!$A7,BREAKDOWN!$G:$G,0),MATCH(BREAKDOWN!$Q$3,BREAKDOWN!$G$3:$AB$3,0)),"")</f>
        <v>0</v>
      </c>
      <c r="D7" s="248">
        <f t="shared" ca="1" si="0"/>
        <v>0</v>
      </c>
    </row>
    <row r="8" spans="1:4" ht="18.75" customHeight="1" x14ac:dyDescent="0.25">
      <c r="A8" s="58">
        <f t="shared" ref="A8:A30" si="1">A7+1</f>
        <v>3</v>
      </c>
      <c r="B8" s="20" t="str">
        <f ca="1">IFERROR(INDEX(BREAKDOWN!$G$1:$AB$160,MATCH($A8,BREAKDOWN!$G:$G,0),MATCH(BREAKDOWN!$H$3,BREAKDOWN!$G$3:$AB$3,0)),"")</f>
        <v>DEMOLITION</v>
      </c>
      <c r="C8" s="322">
        <f ca="1">IFERROR(INDEX(BREAKDOWN!$G$1:$AB$160,MATCH(SUMMARY!$A8,BREAKDOWN!$G:$G,0),MATCH(BREAKDOWN!$Q$3,BREAKDOWN!$G$3:$AB$3,0)),"")</f>
        <v>0</v>
      </c>
      <c r="D8" s="248">
        <f t="shared" ca="1" si="0"/>
        <v>0</v>
      </c>
    </row>
    <row r="9" spans="1:4" ht="18.75" customHeight="1" x14ac:dyDescent="0.25">
      <c r="A9" s="58">
        <f t="shared" si="1"/>
        <v>4</v>
      </c>
      <c r="B9" s="20" t="str">
        <f ca="1">IFERROR(INDEX(BREAKDOWN!$G$1:$AB$160,MATCH($A9,BREAKDOWN!$G:$G,0),MATCH(BREAKDOWN!$H$3,BREAKDOWN!$G$3:$AB$3,0)),"")</f>
        <v>CIVIL</v>
      </c>
      <c r="C9" s="322">
        <f ca="1">IFERROR(INDEX(BREAKDOWN!$G$1:$AB$160,MATCH(SUMMARY!$A9,BREAKDOWN!$G:$G,0),MATCH(BREAKDOWN!$Q$3,BREAKDOWN!$G$3:$AB$3,0)),"")</f>
        <v>0</v>
      </c>
      <c r="D9" s="248">
        <f t="shared" ca="1" si="0"/>
        <v>0</v>
      </c>
    </row>
    <row r="10" spans="1:4" ht="18.75" customHeight="1" x14ac:dyDescent="0.25">
      <c r="A10" s="58">
        <f t="shared" si="1"/>
        <v>5</v>
      </c>
      <c r="B10" s="20" t="str">
        <f ca="1">IFERROR(INDEX(BREAKDOWN!$G$1:$AB$160,MATCH($A10,BREAKDOWN!$G:$G,0),MATCH(BREAKDOWN!$H$3,BREAKDOWN!$G$3:$AB$3,0)),"")</f>
        <v>DETAILED EXCAVATION</v>
      </c>
      <c r="C10" s="322">
        <f ca="1">IFERROR(INDEX(BREAKDOWN!$G$1:$AB$160,MATCH(SUMMARY!$A10,BREAKDOWN!$G:$G,0),MATCH(BREAKDOWN!$Q$3,BREAKDOWN!$G$3:$AB$3,0)),"")</f>
        <v>0</v>
      </c>
      <c r="D10" s="248">
        <f t="shared" ca="1" si="0"/>
        <v>0</v>
      </c>
    </row>
    <row r="11" spans="1:4" ht="18.75" customHeight="1" x14ac:dyDescent="0.25">
      <c r="A11" s="58">
        <f t="shared" si="1"/>
        <v>6</v>
      </c>
      <c r="B11" s="20" t="str">
        <f ca="1">IFERROR(INDEX(BREAKDOWN!$G$1:$AB$160,MATCH($A11,BREAKDOWN!$G:$G,0),MATCH(BREAKDOWN!$H$3,BREAKDOWN!$G$3:$AB$3,0)),"")</f>
        <v>CONCRETE</v>
      </c>
      <c r="C11" s="322">
        <f ca="1">IFERROR(INDEX(BREAKDOWN!$G$1:$AB$160,MATCH(SUMMARY!$A11,BREAKDOWN!$G:$G,0),MATCH(BREAKDOWN!$Q$3,BREAKDOWN!$G$3:$AB$3,0)),"")</f>
        <v>0</v>
      </c>
      <c r="D11" s="248">
        <f t="shared" ca="1" si="0"/>
        <v>0</v>
      </c>
    </row>
    <row r="12" spans="1:4" ht="18.75" customHeight="1" x14ac:dyDescent="0.25">
      <c r="A12" s="58">
        <f t="shared" si="1"/>
        <v>7</v>
      </c>
      <c r="B12" s="20" t="str">
        <f ca="1">IFERROR(INDEX(BREAKDOWN!$G$1:$AB$160,MATCH($A12,BREAKDOWN!$G:$G,0),MATCH(BREAKDOWN!$H$3,BREAKDOWN!$G$3:$AB$3,0)),"")</f>
        <v>FORMWORK</v>
      </c>
      <c r="C12" s="322">
        <f ca="1">IFERROR(INDEX(BREAKDOWN!$G$1:$AB$160,MATCH(SUMMARY!$A12,BREAKDOWN!$G:$G,0),MATCH(BREAKDOWN!$Q$3,BREAKDOWN!$G$3:$AB$3,0)),"")</f>
        <v>0</v>
      </c>
      <c r="D12" s="248">
        <f t="shared" ca="1" si="0"/>
        <v>0</v>
      </c>
    </row>
    <row r="13" spans="1:4" ht="18.75" customHeight="1" x14ac:dyDescent="0.25">
      <c r="A13" s="58">
        <f t="shared" si="1"/>
        <v>8</v>
      </c>
      <c r="B13" s="20" t="str">
        <f ca="1">IFERROR(INDEX(BREAKDOWN!$G$1:$AB$160,MATCH($A13,BREAKDOWN!$G:$G,0),MATCH(BREAKDOWN!$H$3,BREAKDOWN!$G$3:$AB$3,0)),"")</f>
        <v>REINFORCEMENT</v>
      </c>
      <c r="C13" s="322">
        <f ca="1">IFERROR(INDEX(BREAKDOWN!$G$1:$AB$160,MATCH(SUMMARY!$A13,BREAKDOWN!$G:$G,0),MATCH(BREAKDOWN!$Q$3,BREAKDOWN!$G$3:$AB$3,0)),"")</f>
        <v>0</v>
      </c>
      <c r="D13" s="248">
        <f t="shared" ca="1" si="0"/>
        <v>0</v>
      </c>
    </row>
    <row r="14" spans="1:4" ht="18.75" customHeight="1" x14ac:dyDescent="0.25">
      <c r="A14" s="58">
        <f t="shared" si="1"/>
        <v>9</v>
      </c>
      <c r="B14" s="20" t="str">
        <f ca="1">IFERROR(INDEX(BREAKDOWN!$G$1:$AB$160,MATCH($A14,BREAKDOWN!$G:$G,0),MATCH(BREAKDOWN!$H$3,BREAKDOWN!$G$3:$AB$3,0)),"")</f>
        <v>TERMITE PROTECTION</v>
      </c>
      <c r="C14" s="322">
        <f ca="1">IFERROR(INDEX(BREAKDOWN!$G$1:$AB$160,MATCH(SUMMARY!$A14,BREAKDOWN!$G:$G,0),MATCH(BREAKDOWN!$Q$3,BREAKDOWN!$G$3:$AB$3,0)),"")</f>
        <v>0</v>
      </c>
      <c r="D14" s="248">
        <f t="shared" ca="1" si="0"/>
        <v>0</v>
      </c>
    </row>
    <row r="15" spans="1:4" ht="18.75" customHeight="1" x14ac:dyDescent="0.25">
      <c r="A15" s="58">
        <f t="shared" si="1"/>
        <v>10</v>
      </c>
      <c r="B15" s="20" t="str">
        <f ca="1">IFERROR(INDEX(BREAKDOWN!$G$1:$AB$160,MATCH($A15,BREAKDOWN!$G:$G,0),MATCH(BREAKDOWN!$H$3,BREAKDOWN!$G$3:$AB$3,0)),"")</f>
        <v>ROOFING &amp; METAL CLADDING</v>
      </c>
      <c r="C15" s="322">
        <f ca="1">IFERROR(INDEX(BREAKDOWN!$G$1:$AB$160,MATCH(SUMMARY!$A15,BREAKDOWN!$G:$G,0),MATCH(BREAKDOWN!$Q$3,BREAKDOWN!$G$3:$AB$3,0)),"")</f>
        <v>0</v>
      </c>
      <c r="D15" s="248">
        <f t="shared" ca="1" si="0"/>
        <v>0</v>
      </c>
    </row>
    <row r="16" spans="1:4" ht="18.75" customHeight="1" x14ac:dyDescent="0.25">
      <c r="A16" s="58">
        <f t="shared" si="1"/>
        <v>11</v>
      </c>
      <c r="B16" s="20" t="str">
        <f ca="1">IFERROR(INDEX(BREAKDOWN!$G$1:$AB$160,MATCH($A16,BREAKDOWN!$G:$G,0),MATCH(BREAKDOWN!$H$3,BREAKDOWN!$G$3:$AB$3,0)),"")</f>
        <v>EXTERNAL CLADDING</v>
      </c>
      <c r="C16" s="322">
        <f ca="1">IFERROR(INDEX(BREAKDOWN!$G$1:$AB$160,MATCH(SUMMARY!$A16,BREAKDOWN!$G:$G,0),MATCH(BREAKDOWN!$Q$3,BREAKDOWN!$G$3:$AB$3,0)),"")</f>
        <v>0</v>
      </c>
      <c r="D16" s="248">
        <f t="shared" ca="1" si="0"/>
        <v>0</v>
      </c>
    </row>
    <row r="17" spans="1:4" ht="18.75" customHeight="1" x14ac:dyDescent="0.25">
      <c r="A17" s="58">
        <f t="shared" si="1"/>
        <v>12</v>
      </c>
      <c r="B17" s="20" t="str">
        <f ca="1">IFERROR(INDEX(BREAKDOWN!$G$1:$AB$160,MATCH($A17,BREAKDOWN!$G:$G,0),MATCH(BREAKDOWN!$H$3,BREAKDOWN!$G$3:$AB$3,0)),"")</f>
        <v>CEILINGS &amp; PARTITIONS</v>
      </c>
      <c r="C17" s="322">
        <f ca="1">IFERROR(INDEX(BREAKDOWN!$G$1:$AB$160,MATCH(SUMMARY!$A17,BREAKDOWN!$G:$G,0),MATCH(BREAKDOWN!$Q$3,BREAKDOWN!$G$3:$AB$3,0)),"")</f>
        <v>0</v>
      </c>
      <c r="D17" s="248">
        <f t="shared" ca="1" si="0"/>
        <v>0</v>
      </c>
    </row>
    <row r="18" spans="1:4" ht="18.75" customHeight="1" x14ac:dyDescent="0.25">
      <c r="A18" s="58">
        <f t="shared" si="1"/>
        <v>13</v>
      </c>
      <c r="B18" s="20" t="str">
        <f ca="1">IFERROR(INDEX(BREAKDOWN!$G$1:$AB$160,MATCH($A18,BREAKDOWN!$G:$G,0),MATCH(BREAKDOWN!$H$3,BREAKDOWN!$G$3:$AB$3,0)),"")</f>
        <v>CARPENTRY</v>
      </c>
      <c r="C18" s="322">
        <f ca="1">IFERROR(INDEX(BREAKDOWN!$G$1:$AB$160,MATCH(SUMMARY!$A18,BREAKDOWN!$G:$G,0),MATCH(BREAKDOWN!$Q$3,BREAKDOWN!$G$3:$AB$3,0)),"")</f>
        <v>0</v>
      </c>
      <c r="D18" s="248">
        <f t="shared" ca="1" si="0"/>
        <v>0</v>
      </c>
    </row>
    <row r="19" spans="1:4" ht="18.75" customHeight="1" x14ac:dyDescent="0.25">
      <c r="A19" s="58">
        <f t="shared" si="1"/>
        <v>14</v>
      </c>
      <c r="B19" s="20" t="str">
        <f ca="1">IFERROR(INDEX(BREAKDOWN!$G$1:$AB$160,MATCH($A19,BREAKDOWN!$G:$G,0),MATCH(BREAKDOWN!$H$3,BREAKDOWN!$G$3:$AB$3,0)),"")</f>
        <v>STRUCTURAL STEEL</v>
      </c>
      <c r="C19" s="322">
        <f ca="1">IFERROR(INDEX(BREAKDOWN!$G$1:$AB$160,MATCH(SUMMARY!$A19,BREAKDOWN!$G:$G,0),MATCH(BREAKDOWN!$Q$3,BREAKDOWN!$G$3:$AB$3,0)),"")</f>
        <v>0</v>
      </c>
      <c r="D19" s="248">
        <f t="shared" ca="1" si="0"/>
        <v>0</v>
      </c>
    </row>
    <row r="20" spans="1:4" ht="18.75" customHeight="1" x14ac:dyDescent="0.25">
      <c r="A20" s="58">
        <f t="shared" si="1"/>
        <v>15</v>
      </c>
      <c r="B20" s="20" t="str">
        <f ca="1">IFERROR(INDEX(BREAKDOWN!$G$1:$AB$160,MATCH($A20,BREAKDOWN!$G:$G,0),MATCH(BREAKDOWN!$H$3,BREAKDOWN!$G$3:$AB$3,0)),"")</f>
        <v>METALWORK</v>
      </c>
      <c r="C20" s="322">
        <f ca="1">IFERROR(INDEX(BREAKDOWN!$G$1:$AB$160,MATCH(SUMMARY!$A20,BREAKDOWN!$G:$G,0),MATCH(BREAKDOWN!$Q$3,BREAKDOWN!$G$3:$AB$3,0)),"")</f>
        <v>0</v>
      </c>
      <c r="D20" s="248">
        <f t="shared" ca="1" si="0"/>
        <v>0</v>
      </c>
    </row>
    <row r="21" spans="1:4" ht="18.75" customHeight="1" x14ac:dyDescent="0.25">
      <c r="A21" s="58">
        <f t="shared" si="1"/>
        <v>16</v>
      </c>
      <c r="B21" s="20" t="str">
        <f ca="1">IFERROR(INDEX(BREAKDOWN!$G$1:$AB$160,MATCH($A21,BREAKDOWN!$G:$G,0),MATCH(BREAKDOWN!$H$3,BREAKDOWN!$G$3:$AB$3,0)),"")</f>
        <v>PLUMBING</v>
      </c>
      <c r="C21" s="322">
        <f ca="1">IFERROR(INDEX(BREAKDOWN!$G$1:$AB$160,MATCH(SUMMARY!$A21,BREAKDOWN!$G:$G,0),MATCH(BREAKDOWN!$Q$3,BREAKDOWN!$G$3:$AB$3,0)),"")</f>
        <v>0</v>
      </c>
      <c r="D21" s="248">
        <f t="shared" ca="1" si="0"/>
        <v>0</v>
      </c>
    </row>
    <row r="22" spans="1:4" ht="18.75" customHeight="1" x14ac:dyDescent="0.25">
      <c r="A22" s="58">
        <f t="shared" si="1"/>
        <v>17</v>
      </c>
      <c r="B22" s="20" t="str">
        <f ca="1">IFERROR(INDEX(BREAKDOWN!$G$1:$AB$160,MATCH($A22,BREAKDOWN!$G:$G,0),MATCH(BREAKDOWN!$H$3,BREAKDOWN!$G$3:$AB$3,0)),"")</f>
        <v>PLUMBING PC ITEM</v>
      </c>
      <c r="C22" s="322">
        <f ca="1">IFERROR(INDEX(BREAKDOWN!$G$1:$AB$160,MATCH(SUMMARY!$A22,BREAKDOWN!$G:$G,0),MATCH(BREAKDOWN!$Q$3,BREAKDOWN!$G$3:$AB$3,0)),"")</f>
        <v>0</v>
      </c>
      <c r="D22" s="248">
        <f t="shared" ca="1" si="0"/>
        <v>0</v>
      </c>
    </row>
    <row r="23" spans="1:4" ht="18.75" customHeight="1" x14ac:dyDescent="0.25">
      <c r="A23" s="58">
        <f t="shared" si="1"/>
        <v>18</v>
      </c>
      <c r="B23" s="20" t="str">
        <f ca="1">IFERROR(INDEX(BREAKDOWN!$G$1:$AB$160,MATCH($A23,BREAKDOWN!$G:$G,0),MATCH(BREAKDOWN!$H$3,BREAKDOWN!$G$3:$AB$3,0)),"")</f>
        <v>ELECTRICAL</v>
      </c>
      <c r="C23" s="322">
        <f ca="1">IFERROR(INDEX(BREAKDOWN!$G$1:$AB$160,MATCH(SUMMARY!$A23,BREAKDOWN!$G:$G,0),MATCH(BREAKDOWN!$Q$3,BREAKDOWN!$G$3:$AB$3,0)),"")</f>
        <v>0</v>
      </c>
      <c r="D23" s="248">
        <f t="shared" ca="1" si="0"/>
        <v>0</v>
      </c>
    </row>
    <row r="24" spans="1:4" ht="18.75" customHeight="1" x14ac:dyDescent="0.25">
      <c r="A24" s="58">
        <f t="shared" si="1"/>
        <v>19</v>
      </c>
      <c r="B24" s="20" t="str">
        <f ca="1">IFERROR(INDEX(BREAKDOWN!$G$1:$AB$160,MATCH($A24,BREAKDOWN!$G:$G,0),MATCH(BREAKDOWN!$H$3,BREAKDOWN!$G$3:$AB$3,0)),"")</f>
        <v>ELECTRICAL PC ITEM</v>
      </c>
      <c r="C24" s="322">
        <f ca="1">IFERROR(INDEX(BREAKDOWN!$G$1:$AB$160,MATCH(SUMMARY!$A24,BREAKDOWN!$G:$G,0),MATCH(BREAKDOWN!$Q$3,BREAKDOWN!$G$3:$AB$3,0)),"")</f>
        <v>0</v>
      </c>
      <c r="D24" s="248">
        <f t="shared" ca="1" si="0"/>
        <v>0</v>
      </c>
    </row>
    <row r="25" spans="1:4" ht="18.75" customHeight="1" x14ac:dyDescent="0.25">
      <c r="A25" s="58">
        <f t="shared" si="1"/>
        <v>20</v>
      </c>
      <c r="B25" s="20" t="str">
        <f ca="1">IFERROR(INDEX(BREAKDOWN!$G$1:$AB$160,MATCH($A25,BREAKDOWN!$G:$G,0),MATCH(BREAKDOWN!$H$3,BREAKDOWN!$G$3:$AB$3,0)),"")</f>
        <v>MECHANICAL</v>
      </c>
      <c r="C25" s="322">
        <f ca="1">IFERROR(INDEX(BREAKDOWN!$G$1:$AB$160,MATCH(SUMMARY!$A25,BREAKDOWN!$G:$G,0),MATCH(BREAKDOWN!$Q$3,BREAKDOWN!$G$3:$AB$3,0)),"")</f>
        <v>0</v>
      </c>
      <c r="D25" s="248">
        <f t="shared" ca="1" si="0"/>
        <v>0</v>
      </c>
    </row>
    <row r="26" spans="1:4" ht="18.75" customHeight="1" x14ac:dyDescent="0.25">
      <c r="A26" s="58">
        <f t="shared" si="1"/>
        <v>21</v>
      </c>
      <c r="B26" s="20" t="str">
        <f ca="1">IFERROR(INDEX(BREAKDOWN!$G$1:$AB$160,MATCH($A26,BREAKDOWN!$G:$G,0),MATCH(BREAKDOWN!$H$3,BREAKDOWN!$G$3:$AB$3,0)),"")</f>
        <v>FIRE</v>
      </c>
      <c r="C26" s="322">
        <f ca="1">IFERROR(INDEX(BREAKDOWN!$G$1:$AB$160,MATCH(SUMMARY!$A26,BREAKDOWN!$G:$G,0),MATCH(BREAKDOWN!$Q$3,BREAKDOWN!$G$3:$AB$3,0)),"")</f>
        <v>0</v>
      </c>
      <c r="D26" s="248">
        <f t="shared" ca="1" si="0"/>
        <v>0</v>
      </c>
    </row>
    <row r="27" spans="1:4" ht="18.75" customHeight="1" x14ac:dyDescent="0.25">
      <c r="A27" s="58">
        <f t="shared" si="1"/>
        <v>22</v>
      </c>
      <c r="B27" s="20" t="str">
        <f ca="1">IFERROR(INDEX(BREAKDOWN!$G$1:$AB$160,MATCH($A27,BREAKDOWN!$G:$G,0),MATCH(BREAKDOWN!$H$3,BREAKDOWN!$G$3:$AB$3,0)),"")</f>
        <v>BLOCKWORK</v>
      </c>
      <c r="C27" s="322">
        <f ca="1">IFERROR(INDEX(BREAKDOWN!$G$1:$AB$160,MATCH(SUMMARY!$A27,BREAKDOWN!$G:$G,0),MATCH(BREAKDOWN!$Q$3,BREAKDOWN!$G$3:$AB$3,0)),"")</f>
        <v>0</v>
      </c>
      <c r="D27" s="248">
        <f t="shared" ca="1" si="0"/>
        <v>0</v>
      </c>
    </row>
    <row r="28" spans="1:4" ht="18.75" customHeight="1" x14ac:dyDescent="0.25">
      <c r="A28" s="58">
        <f t="shared" si="1"/>
        <v>23</v>
      </c>
      <c r="B28" s="20" t="str">
        <f ca="1">IFERROR(INDEX(BREAKDOWN!$G$1:$AB$160,MATCH($A28,BREAKDOWN!$G:$G,0),MATCH(BREAKDOWN!$H$3,BREAKDOWN!$G$3:$AB$3,0)),"")</f>
        <v>RENDERING</v>
      </c>
      <c r="C28" s="322">
        <f ca="1">IFERROR(INDEX(BREAKDOWN!$G$1:$AB$160,MATCH(SUMMARY!$A28,BREAKDOWN!$G:$G,0),MATCH(BREAKDOWN!$Q$3,BREAKDOWN!$G$3:$AB$3,0)),"")</f>
        <v>0</v>
      </c>
      <c r="D28" s="248">
        <f t="shared" ca="1" si="0"/>
        <v>0</v>
      </c>
    </row>
    <row r="29" spans="1:4" ht="18.75" customHeight="1" x14ac:dyDescent="0.25">
      <c r="A29" s="58">
        <f t="shared" si="1"/>
        <v>24</v>
      </c>
      <c r="B29" s="20" t="str">
        <f ca="1">IFERROR(INDEX(BREAKDOWN!$G$1:$AB$160,MATCH($A29,BREAKDOWN!$G:$G,0),MATCH(BREAKDOWN!$H$3,BREAKDOWN!$G$3:$AB$3,0)),"")</f>
        <v>PAINTING</v>
      </c>
      <c r="C29" s="322">
        <f ca="1">IFERROR(INDEX(BREAKDOWN!$G$1:$AB$160,MATCH(SUMMARY!$A29,BREAKDOWN!$G:$G,0),MATCH(BREAKDOWN!$Q$3,BREAKDOWN!$G$3:$AB$3,0)),"")</f>
        <v>0</v>
      </c>
      <c r="D29" s="248">
        <f t="shared" ca="1" si="0"/>
        <v>0</v>
      </c>
    </row>
    <row r="30" spans="1:4" ht="18.75" customHeight="1" x14ac:dyDescent="0.25">
      <c r="A30" s="58">
        <f t="shared" si="1"/>
        <v>25</v>
      </c>
      <c r="B30" s="20" t="str">
        <f ca="1">IFERROR(INDEX(BREAKDOWN!$G$1:$AB$160,MATCH($A30,BREAKDOWN!$G:$G,0),MATCH(BREAKDOWN!$H$3,BREAKDOWN!$G$3:$AB$3,0)),"")</f>
        <v>JOINERY</v>
      </c>
      <c r="C30" s="322">
        <f ca="1">IFERROR(INDEX(BREAKDOWN!$G$1:$AB$160,MATCH(SUMMARY!$A30,BREAKDOWN!$G:$G,0),MATCH(BREAKDOWN!$Q$3,BREAKDOWN!$G$3:$AB$3,0)),"")</f>
        <v>0</v>
      </c>
      <c r="D30" s="248">
        <f t="shared" ca="1" si="0"/>
        <v>0</v>
      </c>
    </row>
    <row r="31" spans="1:4" ht="18.75" customHeight="1" x14ac:dyDescent="0.25">
      <c r="A31" s="58">
        <f>A30+1</f>
        <v>26</v>
      </c>
      <c r="B31" s="20" t="str">
        <f ca="1">IFERROR(INDEX(BREAKDOWN!$G$1:$AB$160,MATCH($A31,BREAKDOWN!$G:$G,0),MATCH(BREAKDOWN!$H$3,BREAKDOWN!$G$3:$AB$3,0)),"")</f>
        <v>WINDOWS &amp; DOORS</v>
      </c>
      <c r="C31" s="322">
        <f ca="1">IFERROR(INDEX(BREAKDOWN!$G$1:$AB$160,MATCH(SUMMARY!$A31,BREAKDOWN!$G:$G,0),MATCH(BREAKDOWN!$Q$3,BREAKDOWN!$G$3:$AB$3,0)),"")</f>
        <v>0</v>
      </c>
      <c r="D31" s="248">
        <f t="shared" ca="1" si="0"/>
        <v>0</v>
      </c>
    </row>
    <row r="32" spans="1:4" ht="18.75" customHeight="1" x14ac:dyDescent="0.25">
      <c r="A32" s="58">
        <f t="shared" ref="A32:A39" si="2">A31+1</f>
        <v>27</v>
      </c>
      <c r="B32" s="20" t="str">
        <f ca="1">IFERROR(INDEX(BREAKDOWN!$G$1:$AB$160,MATCH($A32,BREAKDOWN!$G:$G,0),MATCH(BREAKDOWN!$H$3,BREAKDOWN!$G$3:$AB$3,0)),"")</f>
        <v>WATERPROOFING</v>
      </c>
      <c r="C32" s="322">
        <f ca="1">IFERROR(INDEX(BREAKDOWN!$G$1:$AB$160,MATCH(SUMMARY!$A32,BREAKDOWN!$G:$G,0),MATCH(BREAKDOWN!$Q$3,BREAKDOWN!$G$3:$AB$3,0)),"")</f>
        <v>0</v>
      </c>
      <c r="D32" s="248">
        <f t="shared" ca="1" si="0"/>
        <v>0</v>
      </c>
    </row>
    <row r="33" spans="1:6" ht="18.75" customHeight="1" x14ac:dyDescent="0.25">
      <c r="A33" s="58">
        <f t="shared" si="2"/>
        <v>28</v>
      </c>
      <c r="B33" s="20" t="str">
        <f ca="1">IFERROR(INDEX(BREAKDOWN!$G$1:$AB$160,MATCH($A33,BREAKDOWN!$G:$G,0),MATCH(BREAKDOWN!$H$3,BREAKDOWN!$G$3:$AB$3,0)),"")</f>
        <v>TILING</v>
      </c>
      <c r="C33" s="322">
        <f ca="1">IFERROR(INDEX(BREAKDOWN!$G$1:$AB$160,MATCH(SUMMARY!$A33,BREAKDOWN!$G:$G,0),MATCH(BREAKDOWN!$Q$3,BREAKDOWN!$G$3:$AB$3,0)),"")</f>
        <v>0</v>
      </c>
      <c r="D33" s="248">
        <f t="shared" ca="1" si="0"/>
        <v>0</v>
      </c>
    </row>
    <row r="34" spans="1:6" ht="18.75" customHeight="1" x14ac:dyDescent="0.25">
      <c r="A34" s="58">
        <f t="shared" si="2"/>
        <v>29</v>
      </c>
      <c r="B34" s="20" t="str">
        <f ca="1">IFERROR(INDEX(BREAKDOWN!$G$1:$AB$160,MATCH($A34,BREAKDOWN!$G:$G,0),MATCH(BREAKDOWN!$H$3,BREAKDOWN!$G$3:$AB$3,0)),"")</f>
        <v>FLOOR FINISHES</v>
      </c>
      <c r="C34" s="322">
        <f ca="1">IFERROR(INDEX(BREAKDOWN!$G$1:$AB$160,MATCH(SUMMARY!$A34,BREAKDOWN!$G:$G,0),MATCH(BREAKDOWN!$Q$3,BREAKDOWN!$G$3:$AB$3,0)),"")</f>
        <v>0</v>
      </c>
      <c r="D34" s="248">
        <f t="shared" ca="1" si="0"/>
        <v>0</v>
      </c>
    </row>
    <row r="35" spans="1:6" ht="18.75" customHeight="1" x14ac:dyDescent="0.25">
      <c r="A35" s="58">
        <f t="shared" si="2"/>
        <v>30</v>
      </c>
      <c r="B35" s="20" t="str">
        <f ca="1">IFERROR(INDEX(BREAKDOWN!$G$1:$AB$160,MATCH($A35,BREAKDOWN!$G:$G,0),MATCH(BREAKDOWN!$H$3,BREAKDOWN!$G$3:$AB$3,0)),"")</f>
        <v>LIFT</v>
      </c>
      <c r="C35" s="322">
        <f ca="1">IFERROR(INDEX(BREAKDOWN!$G$1:$AB$160,MATCH(SUMMARY!$A35,BREAKDOWN!$G:$G,0),MATCH(BREAKDOWN!$Q$3,BREAKDOWN!$G$3:$AB$3,0)),"")</f>
        <v>0</v>
      </c>
      <c r="D35" s="248">
        <f t="shared" ca="1" si="0"/>
        <v>0</v>
      </c>
    </row>
    <row r="36" spans="1:6" ht="18.75" customHeight="1" x14ac:dyDescent="0.25">
      <c r="A36" s="58">
        <f t="shared" si="2"/>
        <v>31</v>
      </c>
      <c r="B36" s="20" t="str">
        <f ca="1">IFERROR(INDEX(BREAKDOWN!$G$1:$AB$160,MATCH($A36,BREAKDOWN!$G:$G,0),MATCH(BREAKDOWN!$H$3,BREAKDOWN!$G$3:$AB$3,0)),"")</f>
        <v>LANDSCAPING</v>
      </c>
      <c r="C36" s="322">
        <f ca="1">IFERROR(INDEX(BREAKDOWN!$G$1:$AB$160,MATCH(SUMMARY!$A36,BREAKDOWN!$G:$G,0),MATCH(BREAKDOWN!$Q$3,BREAKDOWN!$G$3:$AB$3,0)),"")</f>
        <v>0</v>
      </c>
      <c r="D36" s="248">
        <f t="shared" ca="1" si="0"/>
        <v>0</v>
      </c>
    </row>
    <row r="37" spans="1:6" ht="18.75" customHeight="1" x14ac:dyDescent="0.25">
      <c r="A37" s="58">
        <f t="shared" si="2"/>
        <v>32</v>
      </c>
      <c r="B37" s="20" t="str">
        <f ca="1">IFERROR(INDEX(BREAKDOWN!$G$1:$AB$160,MATCH($A37,BREAKDOWN!$G:$G,0),MATCH(BREAKDOWN!$H$3,BREAKDOWN!$G$3:$AB$3,0)),"")</f>
        <v>FENCING</v>
      </c>
      <c r="C37" s="322">
        <f ca="1">IFERROR(INDEX(BREAKDOWN!$G$1:$AB$160,MATCH(SUMMARY!$A37,BREAKDOWN!$G:$G,0),MATCH(BREAKDOWN!$Q$3,BREAKDOWN!$G$3:$AB$3,0)),"")</f>
        <v>0</v>
      </c>
      <c r="D37" s="248">
        <f t="shared" ca="1" si="0"/>
        <v>0</v>
      </c>
    </row>
    <row r="38" spans="1:6" ht="18.75" customHeight="1" x14ac:dyDescent="0.25">
      <c r="A38" s="58">
        <f t="shared" si="2"/>
        <v>33</v>
      </c>
      <c r="B38" s="20" t="str">
        <f ca="1">IFERROR(INDEX(BREAKDOWN!$G$1:$AB$160,MATCH($A38,BREAKDOWN!$G:$G,0),MATCH(BREAKDOWN!$H$3,BREAKDOWN!$G$3:$AB$3,0)),"")</f>
        <v>MISCELLANEOUS</v>
      </c>
      <c r="C38" s="322">
        <f ca="1">IFERROR(INDEX(BREAKDOWN!$G$1:$AB$160,MATCH(SUMMARY!$A38,BREAKDOWN!$G:$G,0),MATCH(BREAKDOWN!$Q$3,BREAKDOWN!$G$3:$AB$3,0)),"")</f>
        <v>0</v>
      </c>
      <c r="D38" s="248">
        <f t="shared" ca="1" si="0"/>
        <v>0</v>
      </c>
    </row>
    <row r="39" spans="1:6" ht="18.75" customHeight="1" x14ac:dyDescent="0.25">
      <c r="A39" s="58">
        <f t="shared" si="2"/>
        <v>34</v>
      </c>
      <c r="B39" s="20" t="str">
        <f ca="1">IFERROR(INDEX(BREAKDOWN!$G$1:$AB$160,MATCH($A39,BREAKDOWN!$G:$G,0),MATCH(BREAKDOWN!$H$3,BREAKDOWN!$G$3:$AB$3,0)),"")</f>
        <v/>
      </c>
      <c r="C39" s="322" t="str">
        <f ca="1">IFERROR(INDEX(BREAKDOWN!$G$1:$AB$160,MATCH(SUMMARY!$A39,BREAKDOWN!$G:$G,0),MATCH(BREAKDOWN!$Q$3,BREAKDOWN!$G$3:$AB$3,0)),"")</f>
        <v/>
      </c>
      <c r="D39" s="248">
        <f t="shared" ca="1" si="0"/>
        <v>0</v>
      </c>
    </row>
    <row r="40" spans="1:6" ht="18.75" x14ac:dyDescent="0.3">
      <c r="B40" s="59" t="str">
        <f>BREAKDOWN!G158</f>
        <v>CONTINGENCY</v>
      </c>
      <c r="C40" s="60">
        <f ca="1">BREAKDOWN!Q158</f>
        <v>0</v>
      </c>
      <c r="D40" s="248" t="e">
        <f t="shared" ref="D40:D41" ca="1" si="3">C40/$C$42</f>
        <v>#DIV/0!</v>
      </c>
    </row>
    <row r="41" spans="1:6" ht="18.75" x14ac:dyDescent="0.3">
      <c r="B41" s="59" t="str">
        <f>BREAKDOWN!G159</f>
        <v>MARGIN</v>
      </c>
      <c r="C41" s="60">
        <f ca="1">BREAKDOWN!Q159</f>
        <v>0</v>
      </c>
      <c r="D41" s="248" t="e">
        <f t="shared" ca="1" si="3"/>
        <v>#DIV/0!</v>
      </c>
    </row>
    <row r="42" spans="1:6" x14ac:dyDescent="0.35">
      <c r="B42" s="59" t="str">
        <f>BREAKDOWN!G160</f>
        <v>PROJECT TOTAL (ex GST)</v>
      </c>
      <c r="C42" s="60">
        <f ca="1">SUM(C6:C41)</f>
        <v>0</v>
      </c>
      <c r="F42" s="44">
        <f ca="1">C42-BREAKDOWN!Q160</f>
        <v>0</v>
      </c>
    </row>
    <row r="43" spans="1:6" x14ac:dyDescent="0.35">
      <c r="B43" s="199"/>
    </row>
    <row r="44" spans="1:6" ht="30" customHeight="1" thickBot="1" x14ac:dyDescent="0.3">
      <c r="A44" s="40"/>
      <c r="B44" s="41"/>
      <c r="C44" s="61"/>
      <c r="D44" s="42"/>
    </row>
  </sheetData>
  <sheetProtection algorithmName="SHA-512" hashValue="50qJgOEvfzOtPezAcM6hfIJkwJZqZKD7yOka+23U/SmJqSAHhmFWR9UMEV0DEYD69NcIW5T5IVQRXOxuHr3AZw==" saltValue="byJqUnLp6A0sMEExH+1G1Q==" spinCount="100000" sheet="1" objects="1" scenarios="1"/>
  <conditionalFormatting sqref="F42">
    <cfRule type="cellIs" dxfId="239" priority="1" operator="lessThan">
      <formula>0</formula>
    </cfRule>
    <cfRule type="cellIs" dxfId="238" priority="2" operator="greaterThan">
      <formula>0</formula>
    </cfRule>
    <cfRule type="cellIs" dxfId="237" priority="3" operator="equal">
      <formula>0</formula>
    </cfRule>
  </conditionalFormatting>
  <pageMargins left="0.70866141732283472" right="0.70866141732283472" top="0.74803149606299213" bottom="0.74803149606299213" header="0.31496062992125984" footer="0.31496062992125984"/>
  <pageSetup scale="61" orientation="portrait"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00B050"/>
  </sheetPr>
  <dimension ref="A1:AM380"/>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11" width="10.5703125" style="36" hidden="1" customWidth="1" outlineLevel="1"/>
    <col min="12" max="12" width="11.42578125" style="36" hidden="1" customWidth="1" outlineLevel="1"/>
    <col min="13" max="13" width="15.5703125" style="110" customWidth="1" collapsed="1"/>
    <col min="14" max="14" width="15.5703125" style="36" customWidth="1"/>
    <col min="15" max="18" width="15.5703125" style="25" customWidth="1" outlineLevel="1"/>
    <col min="19" max="19" width="15.5703125" style="25" customWidth="1"/>
    <col min="20" max="20" width="21.42578125" style="108" bestFit="1" customWidth="1"/>
    <col min="21" max="21" width="1.140625" style="212" customWidth="1"/>
    <col min="22" max="25" width="15.5703125" style="25" customWidth="1" outlineLevel="1"/>
    <col min="26" max="26" width="17.5703125" style="25" customWidth="1" outlineLevel="1"/>
    <col min="27" max="28" width="18.5703125" style="88" customWidth="1" outlineLevel="1"/>
    <col min="29" max="34" width="18.5703125" style="25" customWidth="1" outlineLevel="1"/>
    <col min="35" max="36" width="18.5703125" style="25" customWidth="1"/>
    <col min="37" max="16384" width="8.85546875" style="25"/>
  </cols>
  <sheetData>
    <row r="1" spans="1:34" s="69" customFormat="1" ht="39.950000000000003" customHeight="1" thickBot="1" x14ac:dyDescent="0.3">
      <c r="A1" s="23" t="s">
        <v>0</v>
      </c>
      <c r="B1" s="63" t="s">
        <v>14</v>
      </c>
      <c r="C1" s="64" t="s">
        <v>826</v>
      </c>
      <c r="D1" s="64" t="s">
        <v>827</v>
      </c>
      <c r="E1" s="64" t="s">
        <v>828</v>
      </c>
      <c r="F1" s="307" t="s">
        <v>900</v>
      </c>
      <c r="G1" s="64" t="s">
        <v>5</v>
      </c>
      <c r="H1" s="64" t="s">
        <v>6</v>
      </c>
      <c r="I1" s="64" t="s">
        <v>7</v>
      </c>
      <c r="J1" s="64" t="s">
        <v>8</v>
      </c>
      <c r="K1" s="64" t="s">
        <v>9</v>
      </c>
      <c r="L1" s="64" t="s">
        <v>10</v>
      </c>
      <c r="M1" s="65" t="s">
        <v>1</v>
      </c>
      <c r="N1" s="66" t="s">
        <v>2</v>
      </c>
      <c r="O1" s="67" t="s">
        <v>26</v>
      </c>
      <c r="P1" s="67" t="s">
        <v>27</v>
      </c>
      <c r="Q1" s="111" t="s">
        <v>28</v>
      </c>
      <c r="R1" s="67" t="s">
        <v>34</v>
      </c>
      <c r="S1" s="67" t="s">
        <v>3</v>
      </c>
      <c r="T1" s="68" t="s">
        <v>4</v>
      </c>
      <c r="U1" s="215"/>
      <c r="V1" s="610" t="s">
        <v>626</v>
      </c>
      <c r="W1" s="611"/>
      <c r="X1" s="611"/>
      <c r="Y1" s="611"/>
      <c r="Z1" s="611"/>
      <c r="AA1" s="81" t="s">
        <v>22</v>
      </c>
      <c r="AB1" s="71"/>
      <c r="AC1" s="626" t="s">
        <v>155</v>
      </c>
      <c r="AD1" s="627"/>
      <c r="AE1" s="627"/>
      <c r="AF1" s="627"/>
      <c r="AG1" s="627"/>
      <c r="AH1" s="628"/>
    </row>
    <row r="2" spans="1:34" s="79" customFormat="1" ht="20.100000000000001" customHeight="1" thickBot="1" x14ac:dyDescent="0.4">
      <c r="A2" s="72">
        <f>'Floor Finishes'!A2+1</f>
        <v>30</v>
      </c>
      <c r="B2" s="73" t="str" cm="1">
        <f t="array" aca="1" ref="B2" ca="1">UPPER(MID(CELL("filename",A1),FIND("]",CELL("filename",A1))+1,255))</f>
        <v>LIFT</v>
      </c>
      <c r="C2" s="74"/>
      <c r="D2" s="74"/>
      <c r="E2" s="74"/>
      <c r="F2" s="74"/>
      <c r="G2" s="74"/>
      <c r="H2" s="74"/>
      <c r="I2" s="74"/>
      <c r="J2" s="74"/>
      <c r="K2" s="74"/>
      <c r="L2" s="74"/>
      <c r="M2" s="75"/>
      <c r="N2" s="76"/>
      <c r="O2" s="77"/>
      <c r="P2" s="77"/>
      <c r="Q2" s="77"/>
      <c r="R2" s="77"/>
      <c r="S2" s="77"/>
      <c r="T2" s="78"/>
      <c r="U2" s="207"/>
      <c r="V2" s="221" t="s">
        <v>26</v>
      </c>
      <c r="W2" s="222" t="s">
        <v>27</v>
      </c>
      <c r="X2" s="222" t="s">
        <v>28</v>
      </c>
      <c r="Y2" s="222" t="s">
        <v>34</v>
      </c>
      <c r="Z2" s="222" t="s">
        <v>615</v>
      </c>
      <c r="AA2" s="80"/>
      <c r="AB2" s="71"/>
      <c r="AC2" s="81" t="s">
        <v>26</v>
      </c>
      <c r="AD2" s="81" t="s">
        <v>36</v>
      </c>
      <c r="AE2" s="81" t="s">
        <v>28</v>
      </c>
      <c r="AF2" s="81" t="s">
        <v>34</v>
      </c>
      <c r="AG2" s="81" t="s">
        <v>32</v>
      </c>
      <c r="AH2" s="81" t="s">
        <v>4</v>
      </c>
    </row>
    <row r="3" spans="1:34" s="79" customFormat="1" ht="21.75" thickBot="1" x14ac:dyDescent="0.4">
      <c r="A3" s="99"/>
      <c r="B3" s="622" t="str">
        <f>"TOTAL"</f>
        <v>TOTAL</v>
      </c>
      <c r="C3" s="623"/>
      <c r="D3" s="623"/>
      <c r="E3" s="623"/>
      <c r="F3" s="623"/>
      <c r="G3" s="623"/>
      <c r="H3" s="623"/>
      <c r="I3" s="623"/>
      <c r="J3" s="623"/>
      <c r="K3" s="623"/>
      <c r="L3" s="623"/>
      <c r="M3" s="623"/>
      <c r="N3" s="624"/>
      <c r="O3" s="100"/>
      <c r="P3" s="100"/>
      <c r="Q3" s="100"/>
      <c r="R3" s="100"/>
      <c r="S3" s="100"/>
      <c r="T3" s="101">
        <f ca="1">SUM(T$2:OFFSET(T3,-1,0))</f>
        <v>0</v>
      </c>
      <c r="U3" s="208"/>
      <c r="V3" s="100"/>
      <c r="W3" s="100"/>
      <c r="X3" s="100"/>
      <c r="Y3" s="100"/>
      <c r="Z3" s="100"/>
      <c r="AA3" s="102"/>
      <c r="AB3" s="103"/>
      <c r="AC3" s="104">
        <f t="shared" ref="AC3:AH3" si="0">SUM(AC1:AC2)</f>
        <v>0</v>
      </c>
      <c r="AD3" s="104">
        <f t="shared" si="0"/>
        <v>0</v>
      </c>
      <c r="AE3" s="104">
        <f t="shared" si="0"/>
        <v>0</v>
      </c>
      <c r="AF3" s="104">
        <f t="shared" si="0"/>
        <v>0</v>
      </c>
      <c r="AG3" s="104">
        <f t="shared" si="0"/>
        <v>0</v>
      </c>
      <c r="AH3" s="104">
        <f t="shared" si="0"/>
        <v>0</v>
      </c>
    </row>
    <row r="4" spans="1:34" s="94" customFormat="1" ht="21" x14ac:dyDescent="0.25">
      <c r="A4" s="105"/>
      <c r="B4" s="25"/>
      <c r="C4" s="36"/>
      <c r="D4" s="36"/>
      <c r="E4" s="36"/>
      <c r="F4" s="36"/>
      <c r="G4" s="36"/>
      <c r="H4" s="36"/>
      <c r="I4" s="36"/>
      <c r="J4" s="36"/>
      <c r="K4" s="36"/>
      <c r="L4" s="36"/>
      <c r="M4" s="106"/>
      <c r="N4" s="32"/>
      <c r="O4" s="25"/>
      <c r="P4" s="25"/>
      <c r="Q4" s="25"/>
      <c r="R4" s="25"/>
      <c r="S4" s="92"/>
      <c r="T4" s="107"/>
      <c r="U4" s="107"/>
      <c r="V4" s="107"/>
      <c r="W4" s="26"/>
      <c r="X4" s="26"/>
      <c r="Y4" s="26"/>
      <c r="Z4" s="26"/>
      <c r="AA4" s="88"/>
      <c r="AB4" s="88"/>
      <c r="AC4" s="81" t="s">
        <v>26</v>
      </c>
      <c r="AD4" s="81" t="s">
        <v>36</v>
      </c>
      <c r="AE4" s="81" t="s">
        <v>28</v>
      </c>
      <c r="AF4" s="81" t="s">
        <v>34</v>
      </c>
      <c r="AG4" s="81" t="s">
        <v>32</v>
      </c>
      <c r="AH4" s="81" t="s">
        <v>4</v>
      </c>
    </row>
    <row r="5" spans="1:34" ht="15.75" x14ac:dyDescent="0.25">
      <c r="M5" s="106"/>
      <c r="U5" s="107"/>
      <c r="V5" s="107"/>
      <c r="W5" s="26"/>
      <c r="X5" s="26"/>
      <c r="Y5" s="26"/>
      <c r="Z5" s="26"/>
    </row>
    <row r="6" spans="1:34" ht="15.75" x14ac:dyDescent="0.25">
      <c r="U6" s="107"/>
      <c r="V6" s="107"/>
      <c r="W6" s="26"/>
      <c r="X6" s="26"/>
      <c r="Y6" s="26"/>
      <c r="Z6" s="26"/>
    </row>
    <row r="7" spans="1:34" ht="15.75" x14ac:dyDescent="0.25">
      <c r="K7" s="109"/>
      <c r="U7" s="107"/>
      <c r="V7" s="107"/>
      <c r="W7" s="26"/>
      <c r="X7" s="26"/>
      <c r="Y7" s="26"/>
      <c r="Z7" s="26"/>
    </row>
    <row r="8" spans="1:34" ht="15.75" x14ac:dyDescent="0.25">
      <c r="T8" s="108">
        <f ca="1">T3-AH3</f>
        <v>0</v>
      </c>
      <c r="U8" s="107"/>
      <c r="V8" s="107"/>
      <c r="W8" s="26"/>
      <c r="X8" s="26"/>
      <c r="Y8" s="26"/>
      <c r="Z8" s="26"/>
    </row>
    <row r="9" spans="1:34" ht="15.75" x14ac:dyDescent="0.25">
      <c r="U9" s="107"/>
      <c r="V9" s="107"/>
      <c r="W9" s="26"/>
      <c r="X9" s="26"/>
      <c r="Y9" s="26"/>
      <c r="Z9" s="26"/>
    </row>
    <row r="10" spans="1:34" ht="15.75" x14ac:dyDescent="0.25">
      <c r="U10" s="107"/>
      <c r="V10" s="107"/>
      <c r="W10" s="26"/>
      <c r="X10" s="26"/>
      <c r="Y10" s="26"/>
      <c r="Z10" s="26"/>
    </row>
    <row r="11" spans="1:34" ht="15.75" x14ac:dyDescent="0.25">
      <c r="U11" s="107"/>
      <c r="V11" s="107"/>
      <c r="W11" s="26"/>
      <c r="X11" s="26"/>
      <c r="Y11" s="26"/>
      <c r="Z11" s="26"/>
    </row>
    <row r="12" spans="1:34" ht="15.75" x14ac:dyDescent="0.25">
      <c r="U12" s="107"/>
      <c r="V12" s="107"/>
      <c r="W12" s="26"/>
      <c r="X12" s="26"/>
      <c r="Y12" s="26"/>
      <c r="Z12" s="26"/>
    </row>
    <row r="13" spans="1:34" ht="15.75" x14ac:dyDescent="0.25">
      <c r="U13" s="107"/>
      <c r="V13" s="107"/>
      <c r="W13" s="26"/>
      <c r="X13" s="26"/>
      <c r="Y13" s="26"/>
      <c r="Z13" s="26"/>
    </row>
    <row r="14" spans="1:34" ht="15.75" x14ac:dyDescent="0.25">
      <c r="U14" s="107"/>
      <c r="V14" s="107"/>
      <c r="W14" s="26"/>
      <c r="X14" s="26"/>
      <c r="Y14" s="26"/>
      <c r="Z14" s="26"/>
    </row>
    <row r="15" spans="1:34" ht="15.75" x14ac:dyDescent="0.25">
      <c r="U15" s="107"/>
      <c r="V15" s="107"/>
      <c r="W15" s="26"/>
      <c r="X15" s="26"/>
      <c r="Y15" s="26"/>
      <c r="Z15" s="26"/>
    </row>
    <row r="16" spans="1:34" ht="15.75" x14ac:dyDescent="0.25">
      <c r="U16" s="107"/>
      <c r="V16" s="107"/>
      <c r="W16" s="26"/>
      <c r="X16" s="26"/>
      <c r="Y16" s="26"/>
      <c r="Z16" s="26"/>
    </row>
    <row r="17" spans="1:39" ht="15.75" x14ac:dyDescent="0.25">
      <c r="U17" s="107"/>
      <c r="V17" s="107"/>
      <c r="W17" s="26"/>
      <c r="X17" s="26"/>
      <c r="Y17" s="26"/>
      <c r="Z17" s="26"/>
    </row>
    <row r="18" spans="1:39" s="110" customFormat="1" ht="15.75" x14ac:dyDescent="0.25">
      <c r="A18" s="25"/>
      <c r="B18" s="25"/>
      <c r="C18" s="36"/>
      <c r="D18" s="36"/>
      <c r="E18" s="36"/>
      <c r="F18" s="36"/>
      <c r="G18" s="36"/>
      <c r="H18" s="36"/>
      <c r="I18" s="36"/>
      <c r="J18" s="36"/>
      <c r="K18" s="36"/>
      <c r="L18" s="36"/>
      <c r="N18" s="36"/>
      <c r="O18" s="25"/>
      <c r="P18" s="25"/>
      <c r="Q18" s="25"/>
      <c r="R18" s="25"/>
      <c r="S18" s="25"/>
      <c r="T18" s="108"/>
      <c r="U18" s="107"/>
      <c r="V18" s="107"/>
      <c r="W18" s="26"/>
      <c r="X18" s="26"/>
      <c r="Y18" s="26"/>
      <c r="Z18" s="26"/>
      <c r="AA18" s="88"/>
      <c r="AB18" s="88"/>
      <c r="AC18" s="25"/>
      <c r="AD18" s="25"/>
      <c r="AE18" s="25"/>
      <c r="AF18" s="25"/>
      <c r="AG18" s="25"/>
      <c r="AH18" s="25"/>
      <c r="AI18" s="25"/>
      <c r="AJ18" s="25"/>
      <c r="AK18" s="25"/>
      <c r="AL18" s="25"/>
      <c r="AM18" s="25"/>
    </row>
    <row r="19" spans="1:39" s="110" customFormat="1" ht="15.75" x14ac:dyDescent="0.25">
      <c r="A19" s="25"/>
      <c r="B19" s="25"/>
      <c r="C19" s="36"/>
      <c r="D19" s="36"/>
      <c r="E19" s="36"/>
      <c r="F19" s="36"/>
      <c r="G19" s="36"/>
      <c r="H19" s="36"/>
      <c r="I19" s="36"/>
      <c r="J19" s="36"/>
      <c r="K19" s="36"/>
      <c r="L19" s="36"/>
      <c r="N19" s="36"/>
      <c r="O19" s="25"/>
      <c r="P19" s="25"/>
      <c r="Q19" s="25"/>
      <c r="R19" s="25"/>
      <c r="S19" s="25"/>
      <c r="T19" s="108"/>
      <c r="U19" s="107"/>
      <c r="V19" s="107"/>
      <c r="W19" s="26"/>
      <c r="X19" s="26"/>
      <c r="Y19" s="26"/>
      <c r="Z19" s="26"/>
      <c r="AA19" s="88"/>
      <c r="AB19" s="88"/>
      <c r="AC19" s="25"/>
      <c r="AD19" s="25"/>
      <c r="AE19" s="25"/>
      <c r="AF19" s="25"/>
      <c r="AG19" s="25"/>
      <c r="AH19" s="25"/>
      <c r="AI19" s="25"/>
      <c r="AJ19" s="25"/>
      <c r="AK19" s="25"/>
      <c r="AL19" s="25"/>
      <c r="AM19" s="25"/>
    </row>
    <row r="20" spans="1:39" s="110" customFormat="1" ht="15.75" x14ac:dyDescent="0.25">
      <c r="A20" s="25"/>
      <c r="B20" s="25"/>
      <c r="C20" s="36"/>
      <c r="D20" s="36"/>
      <c r="E20" s="36"/>
      <c r="F20" s="36"/>
      <c r="G20" s="36"/>
      <c r="H20" s="36"/>
      <c r="I20" s="36"/>
      <c r="J20" s="36"/>
      <c r="K20" s="36"/>
      <c r="L20" s="36"/>
      <c r="N20" s="36"/>
      <c r="O20" s="25"/>
      <c r="P20" s="25"/>
      <c r="Q20" s="25"/>
      <c r="R20" s="25"/>
      <c r="S20" s="25"/>
      <c r="T20" s="108"/>
      <c r="U20" s="107"/>
      <c r="V20" s="107"/>
      <c r="W20" s="26"/>
      <c r="X20" s="26"/>
      <c r="Y20" s="26"/>
      <c r="Z20" s="26"/>
      <c r="AA20" s="88"/>
      <c r="AB20" s="88"/>
      <c r="AC20" s="25"/>
      <c r="AD20" s="25"/>
      <c r="AE20" s="25"/>
      <c r="AF20" s="25"/>
      <c r="AG20" s="25"/>
      <c r="AH20" s="25"/>
      <c r="AI20" s="25"/>
      <c r="AJ20" s="25"/>
      <c r="AK20" s="25"/>
      <c r="AL20" s="25"/>
      <c r="AM20" s="25"/>
    </row>
    <row r="21" spans="1:39" s="110" customFormat="1" ht="15.75" x14ac:dyDescent="0.25">
      <c r="A21" s="25"/>
      <c r="B21" s="25"/>
      <c r="C21" s="36"/>
      <c r="D21" s="36"/>
      <c r="E21" s="36"/>
      <c r="F21" s="36"/>
      <c r="G21" s="36"/>
      <c r="H21" s="36"/>
      <c r="I21" s="36"/>
      <c r="J21" s="36"/>
      <c r="K21" s="36"/>
      <c r="L21" s="36"/>
      <c r="N21" s="36"/>
      <c r="O21" s="25"/>
      <c r="P21" s="25"/>
      <c r="Q21" s="25"/>
      <c r="R21" s="25"/>
      <c r="S21" s="25"/>
      <c r="T21" s="108"/>
      <c r="U21" s="107"/>
      <c r="V21" s="107"/>
      <c r="W21" s="26"/>
      <c r="X21" s="26"/>
      <c r="Y21" s="26"/>
      <c r="Z21" s="26"/>
      <c r="AA21" s="88"/>
      <c r="AB21" s="88"/>
      <c r="AC21" s="25"/>
      <c r="AD21" s="25"/>
      <c r="AE21" s="25"/>
      <c r="AF21" s="25"/>
      <c r="AG21" s="25"/>
      <c r="AH21" s="25"/>
      <c r="AI21" s="25"/>
      <c r="AJ21" s="25"/>
      <c r="AK21" s="25"/>
      <c r="AL21" s="25"/>
      <c r="AM21" s="25"/>
    </row>
    <row r="22" spans="1:39" s="110" customFormat="1" ht="15.75" x14ac:dyDescent="0.25">
      <c r="A22" s="25"/>
      <c r="B22" s="25"/>
      <c r="C22" s="36"/>
      <c r="D22" s="36"/>
      <c r="E22" s="36"/>
      <c r="F22" s="36"/>
      <c r="G22" s="36"/>
      <c r="H22" s="36"/>
      <c r="I22" s="36"/>
      <c r="J22" s="36"/>
      <c r="K22" s="36"/>
      <c r="L22" s="36"/>
      <c r="N22" s="36"/>
      <c r="O22" s="25"/>
      <c r="P22" s="25"/>
      <c r="Q22" s="25"/>
      <c r="R22" s="25"/>
      <c r="S22" s="25"/>
      <c r="T22" s="108"/>
      <c r="U22" s="107"/>
      <c r="V22" s="107"/>
      <c r="W22" s="26"/>
      <c r="X22" s="26"/>
      <c r="Y22" s="26"/>
      <c r="Z22" s="26"/>
      <c r="AA22" s="88"/>
      <c r="AB22" s="88"/>
      <c r="AC22" s="25"/>
      <c r="AD22" s="25"/>
      <c r="AE22" s="25"/>
      <c r="AF22" s="25"/>
      <c r="AG22" s="25"/>
      <c r="AH22" s="25"/>
      <c r="AI22" s="25"/>
      <c r="AJ22" s="25"/>
      <c r="AK22" s="25"/>
      <c r="AL22" s="25"/>
      <c r="AM22" s="25"/>
    </row>
    <row r="23" spans="1:39" s="110" customFormat="1" ht="15.75" x14ac:dyDescent="0.25">
      <c r="A23" s="25"/>
      <c r="B23" s="25"/>
      <c r="C23" s="36"/>
      <c r="D23" s="36"/>
      <c r="E23" s="36"/>
      <c r="F23" s="36"/>
      <c r="G23" s="36"/>
      <c r="H23" s="36"/>
      <c r="I23" s="36"/>
      <c r="J23" s="36"/>
      <c r="K23" s="36"/>
      <c r="L23" s="36"/>
      <c r="N23" s="36"/>
      <c r="O23" s="25"/>
      <c r="P23" s="25"/>
      <c r="Q23" s="25"/>
      <c r="R23" s="25"/>
      <c r="S23" s="25"/>
      <c r="T23" s="108"/>
      <c r="U23" s="107"/>
      <c r="V23" s="107"/>
      <c r="W23" s="26"/>
      <c r="X23" s="26"/>
      <c r="Y23" s="26"/>
      <c r="Z23" s="26"/>
      <c r="AA23" s="88"/>
      <c r="AB23" s="88"/>
      <c r="AC23" s="25"/>
      <c r="AD23" s="25"/>
      <c r="AE23" s="25"/>
      <c r="AF23" s="25"/>
      <c r="AG23" s="25"/>
      <c r="AH23" s="25"/>
      <c r="AI23" s="25"/>
      <c r="AJ23" s="25"/>
      <c r="AK23" s="25"/>
      <c r="AL23" s="25"/>
      <c r="AM23" s="25"/>
    </row>
    <row r="24" spans="1:39" s="110" customFormat="1" ht="15.75" x14ac:dyDescent="0.25">
      <c r="A24" s="25"/>
      <c r="B24" s="25"/>
      <c r="C24" s="36"/>
      <c r="D24" s="36"/>
      <c r="E24" s="36"/>
      <c r="F24" s="36"/>
      <c r="G24" s="36"/>
      <c r="H24" s="36"/>
      <c r="I24" s="36"/>
      <c r="J24" s="36"/>
      <c r="K24" s="36"/>
      <c r="L24" s="36"/>
      <c r="N24" s="36"/>
      <c r="O24" s="25"/>
      <c r="P24" s="25"/>
      <c r="Q24" s="25"/>
      <c r="R24" s="25"/>
      <c r="S24" s="25"/>
      <c r="T24" s="108"/>
      <c r="U24" s="107"/>
      <c r="V24" s="107"/>
      <c r="W24" s="26"/>
      <c r="X24" s="26"/>
      <c r="Y24" s="26"/>
      <c r="Z24" s="26"/>
      <c r="AA24" s="88"/>
      <c r="AB24" s="88"/>
      <c r="AC24" s="25"/>
      <c r="AD24" s="25"/>
      <c r="AE24" s="25"/>
      <c r="AF24" s="25"/>
      <c r="AG24" s="25"/>
      <c r="AH24" s="25"/>
      <c r="AI24" s="25"/>
      <c r="AJ24" s="25"/>
      <c r="AK24" s="25"/>
      <c r="AL24" s="25"/>
      <c r="AM24" s="25"/>
    </row>
    <row r="25" spans="1:39" s="110" customFormat="1" ht="15.75" x14ac:dyDescent="0.25">
      <c r="A25" s="25"/>
      <c r="B25" s="25"/>
      <c r="C25" s="36"/>
      <c r="D25" s="36"/>
      <c r="E25" s="36"/>
      <c r="F25" s="36"/>
      <c r="G25" s="36"/>
      <c r="H25" s="36"/>
      <c r="I25" s="36"/>
      <c r="J25" s="36"/>
      <c r="K25" s="36"/>
      <c r="L25" s="36"/>
      <c r="N25" s="36"/>
      <c r="O25" s="25"/>
      <c r="P25" s="25"/>
      <c r="Q25" s="25"/>
      <c r="R25" s="25"/>
      <c r="S25" s="25"/>
      <c r="T25" s="108"/>
      <c r="U25" s="107"/>
      <c r="V25" s="107"/>
      <c r="W25" s="26"/>
      <c r="X25" s="26"/>
      <c r="Y25" s="26"/>
      <c r="Z25" s="26"/>
      <c r="AA25" s="88"/>
      <c r="AB25" s="88"/>
      <c r="AC25" s="25"/>
      <c r="AD25" s="25"/>
      <c r="AE25" s="25"/>
      <c r="AF25" s="25"/>
      <c r="AG25" s="25"/>
      <c r="AH25" s="25"/>
      <c r="AI25" s="25"/>
      <c r="AJ25" s="25"/>
      <c r="AK25" s="25"/>
      <c r="AL25" s="25"/>
      <c r="AM25" s="25"/>
    </row>
    <row r="26" spans="1:39" s="110" customFormat="1" ht="15.75" x14ac:dyDescent="0.25">
      <c r="A26" s="25"/>
      <c r="B26" s="25"/>
      <c r="C26" s="36"/>
      <c r="D26" s="36"/>
      <c r="E26" s="36"/>
      <c r="F26" s="36"/>
      <c r="G26" s="36"/>
      <c r="H26" s="36"/>
      <c r="I26" s="36"/>
      <c r="J26" s="36"/>
      <c r="K26" s="36"/>
      <c r="L26" s="36"/>
      <c r="N26" s="36"/>
      <c r="O26" s="25"/>
      <c r="P26" s="25"/>
      <c r="Q26" s="25"/>
      <c r="R26" s="25"/>
      <c r="S26" s="25"/>
      <c r="T26" s="108"/>
      <c r="U26" s="107"/>
      <c r="V26" s="107"/>
      <c r="W26" s="26"/>
      <c r="X26" s="26"/>
      <c r="Y26" s="26"/>
      <c r="Z26" s="26"/>
      <c r="AA26" s="88"/>
      <c r="AB26" s="88"/>
      <c r="AC26" s="25"/>
      <c r="AD26" s="25"/>
      <c r="AE26" s="25"/>
      <c r="AF26" s="25"/>
      <c r="AG26" s="25"/>
      <c r="AH26" s="25"/>
      <c r="AI26" s="25"/>
      <c r="AJ26" s="25"/>
      <c r="AK26" s="25"/>
      <c r="AL26" s="25"/>
      <c r="AM26" s="25"/>
    </row>
    <row r="27" spans="1:39" s="110" customFormat="1" ht="15.75" x14ac:dyDescent="0.25">
      <c r="A27" s="25"/>
      <c r="B27" s="25"/>
      <c r="C27" s="36"/>
      <c r="D27" s="36"/>
      <c r="E27" s="36"/>
      <c r="F27" s="36"/>
      <c r="G27" s="36"/>
      <c r="H27" s="36"/>
      <c r="I27" s="36"/>
      <c r="J27" s="36"/>
      <c r="K27" s="36"/>
      <c r="L27" s="36"/>
      <c r="N27" s="36"/>
      <c r="O27" s="25"/>
      <c r="P27" s="25"/>
      <c r="Q27" s="25"/>
      <c r="R27" s="25"/>
      <c r="S27" s="25"/>
      <c r="T27" s="108"/>
      <c r="U27" s="107"/>
      <c r="V27" s="107"/>
      <c r="W27" s="26"/>
      <c r="X27" s="26"/>
      <c r="Y27" s="26"/>
      <c r="Z27" s="26"/>
      <c r="AA27" s="88"/>
      <c r="AB27" s="88"/>
      <c r="AC27" s="25"/>
      <c r="AD27" s="25"/>
      <c r="AE27" s="25"/>
      <c r="AF27" s="25"/>
      <c r="AG27" s="25"/>
      <c r="AH27" s="25"/>
      <c r="AI27" s="25"/>
      <c r="AJ27" s="25"/>
      <c r="AK27" s="25"/>
      <c r="AL27" s="25"/>
      <c r="AM27" s="25"/>
    </row>
    <row r="28" spans="1:39" s="110" customFormat="1" ht="15.75" x14ac:dyDescent="0.25">
      <c r="A28" s="25"/>
      <c r="B28" s="25"/>
      <c r="C28" s="36"/>
      <c r="D28" s="36"/>
      <c r="E28" s="36"/>
      <c r="F28" s="36"/>
      <c r="G28" s="36"/>
      <c r="H28" s="36"/>
      <c r="I28" s="36"/>
      <c r="J28" s="36"/>
      <c r="K28" s="36"/>
      <c r="L28" s="36"/>
      <c r="N28" s="36"/>
      <c r="O28" s="25"/>
      <c r="P28" s="25"/>
      <c r="Q28" s="25"/>
      <c r="R28" s="25"/>
      <c r="S28" s="25"/>
      <c r="T28" s="108"/>
      <c r="U28" s="107"/>
      <c r="V28" s="107"/>
      <c r="W28" s="26"/>
      <c r="X28" s="26"/>
      <c r="Y28" s="26"/>
      <c r="Z28" s="26"/>
      <c r="AA28" s="88"/>
      <c r="AB28" s="88"/>
      <c r="AC28" s="25"/>
      <c r="AD28" s="25"/>
      <c r="AE28" s="25"/>
      <c r="AF28" s="25"/>
      <c r="AG28" s="25"/>
      <c r="AH28" s="25"/>
      <c r="AI28" s="25"/>
      <c r="AJ28" s="25"/>
      <c r="AK28" s="25"/>
      <c r="AL28" s="25"/>
      <c r="AM28" s="25"/>
    </row>
    <row r="29" spans="1:39" s="110" customFormat="1" ht="15.75" x14ac:dyDescent="0.25">
      <c r="A29" s="25"/>
      <c r="B29" s="25"/>
      <c r="C29" s="36"/>
      <c r="D29" s="36"/>
      <c r="E29" s="36"/>
      <c r="F29" s="36"/>
      <c r="G29" s="36"/>
      <c r="H29" s="36"/>
      <c r="I29" s="36"/>
      <c r="J29" s="36"/>
      <c r="K29" s="36"/>
      <c r="L29" s="36"/>
      <c r="N29" s="36"/>
      <c r="O29" s="25"/>
      <c r="P29" s="25"/>
      <c r="Q29" s="25"/>
      <c r="R29" s="25"/>
      <c r="S29" s="25"/>
      <c r="T29" s="108"/>
      <c r="U29" s="107"/>
      <c r="V29" s="107"/>
      <c r="W29" s="26"/>
      <c r="X29" s="26"/>
      <c r="Y29" s="26"/>
      <c r="Z29" s="26"/>
      <c r="AA29" s="88"/>
      <c r="AB29" s="88"/>
      <c r="AC29" s="25"/>
      <c r="AD29" s="25"/>
      <c r="AE29" s="25"/>
      <c r="AF29" s="25"/>
      <c r="AG29" s="25"/>
      <c r="AH29" s="25"/>
      <c r="AI29" s="25"/>
      <c r="AJ29" s="25"/>
      <c r="AK29" s="25"/>
      <c r="AL29" s="25"/>
      <c r="AM29" s="25"/>
    </row>
    <row r="30" spans="1:39" s="110" customFormat="1" ht="15.75" x14ac:dyDescent="0.25">
      <c r="A30" s="25"/>
      <c r="B30" s="25"/>
      <c r="C30" s="36"/>
      <c r="D30" s="36"/>
      <c r="E30" s="36"/>
      <c r="F30" s="36"/>
      <c r="G30" s="36"/>
      <c r="H30" s="36"/>
      <c r="I30" s="36"/>
      <c r="J30" s="36"/>
      <c r="K30" s="36"/>
      <c r="L30" s="36"/>
      <c r="N30" s="36"/>
      <c r="O30" s="25"/>
      <c r="P30" s="25"/>
      <c r="Q30" s="25"/>
      <c r="R30" s="25"/>
      <c r="S30" s="25"/>
      <c r="T30" s="108"/>
      <c r="U30" s="107"/>
      <c r="V30" s="107"/>
      <c r="W30" s="26"/>
      <c r="X30" s="26"/>
      <c r="Y30" s="26"/>
      <c r="Z30" s="26"/>
      <c r="AA30" s="88"/>
      <c r="AB30" s="88"/>
      <c r="AC30" s="25"/>
      <c r="AD30" s="25"/>
      <c r="AE30" s="25"/>
      <c r="AF30" s="25"/>
      <c r="AG30" s="25"/>
      <c r="AH30" s="25"/>
      <c r="AI30" s="25"/>
      <c r="AJ30" s="25"/>
      <c r="AK30" s="25"/>
      <c r="AL30" s="25"/>
      <c r="AM30" s="25"/>
    </row>
    <row r="31" spans="1:39" ht="15.75" x14ac:dyDescent="0.25">
      <c r="U31" s="107"/>
      <c r="V31" s="107"/>
      <c r="W31" s="26"/>
      <c r="X31" s="26"/>
      <c r="Y31" s="26"/>
      <c r="Z31" s="26"/>
    </row>
    <row r="32" spans="1:39" ht="15.75" x14ac:dyDescent="0.25">
      <c r="U32" s="107"/>
      <c r="V32" s="107"/>
      <c r="W32" s="26"/>
      <c r="X32" s="26"/>
      <c r="Y32" s="26"/>
      <c r="Z32" s="26"/>
    </row>
    <row r="33" spans="21:26" ht="15.75" x14ac:dyDescent="0.25">
      <c r="U33" s="107"/>
      <c r="V33" s="107"/>
      <c r="W33" s="26"/>
      <c r="X33" s="26"/>
      <c r="Y33" s="26"/>
      <c r="Z33" s="26"/>
    </row>
    <row r="34" spans="21:26" ht="15.75" x14ac:dyDescent="0.25">
      <c r="U34" s="107"/>
      <c r="V34" s="107"/>
      <c r="W34" s="26"/>
      <c r="X34" s="26"/>
      <c r="Y34" s="26"/>
      <c r="Z34" s="26"/>
    </row>
    <row r="35" spans="21:26" ht="15.75" x14ac:dyDescent="0.25">
      <c r="U35" s="107"/>
      <c r="V35" s="107"/>
      <c r="W35" s="26"/>
      <c r="X35" s="26"/>
      <c r="Y35" s="26"/>
      <c r="Z35" s="26"/>
    </row>
    <row r="36" spans="21:26" ht="15.75" x14ac:dyDescent="0.25">
      <c r="U36" s="107"/>
      <c r="V36" s="107"/>
      <c r="W36" s="26"/>
      <c r="X36" s="26"/>
      <c r="Y36" s="26"/>
      <c r="Z36" s="26"/>
    </row>
    <row r="37" spans="21:26" ht="15.75" x14ac:dyDescent="0.25">
      <c r="U37" s="107"/>
      <c r="V37" s="107"/>
      <c r="W37" s="26"/>
      <c r="X37" s="26"/>
      <c r="Y37" s="26"/>
      <c r="Z37" s="26"/>
    </row>
    <row r="38" spans="21:26" ht="15.75" x14ac:dyDescent="0.25">
      <c r="U38" s="107"/>
      <c r="V38" s="107"/>
      <c r="W38" s="26"/>
      <c r="X38" s="26"/>
      <c r="Y38" s="26"/>
      <c r="Z38" s="26"/>
    </row>
    <row r="39" spans="21:26" ht="15.75" x14ac:dyDescent="0.25">
      <c r="U39" s="107"/>
      <c r="V39" s="107"/>
      <c r="W39" s="26"/>
      <c r="X39" s="26"/>
      <c r="Y39" s="26"/>
      <c r="Z39" s="26"/>
    </row>
    <row r="40" spans="21:26" ht="15.75" x14ac:dyDescent="0.25">
      <c r="U40" s="107"/>
      <c r="V40" s="107"/>
      <c r="W40" s="26"/>
      <c r="X40" s="26"/>
      <c r="Y40" s="26"/>
      <c r="Z40" s="26"/>
    </row>
    <row r="41" spans="21:26" ht="15.75" x14ac:dyDescent="0.25">
      <c r="U41" s="107"/>
      <c r="V41" s="107"/>
      <c r="W41" s="26"/>
      <c r="X41" s="26"/>
      <c r="Y41" s="26"/>
      <c r="Z41" s="26"/>
    </row>
    <row r="42" spans="21:26" ht="15.75" x14ac:dyDescent="0.25">
      <c r="U42" s="107"/>
      <c r="V42" s="107"/>
      <c r="W42" s="26"/>
      <c r="X42" s="26"/>
      <c r="Y42" s="26"/>
      <c r="Z42" s="26"/>
    </row>
    <row r="43" spans="21:26" ht="15.75" x14ac:dyDescent="0.25">
      <c r="U43" s="107"/>
      <c r="V43" s="107"/>
      <c r="W43" s="26"/>
      <c r="X43" s="26"/>
      <c r="Y43" s="26"/>
      <c r="Z43" s="26"/>
    </row>
    <row r="44" spans="21:26" ht="15.75" x14ac:dyDescent="0.25">
      <c r="U44" s="107"/>
      <c r="V44" s="107"/>
      <c r="W44" s="26"/>
      <c r="X44" s="26"/>
      <c r="Y44" s="26"/>
      <c r="Z44" s="26"/>
    </row>
    <row r="45" spans="21:26" ht="15.75" x14ac:dyDescent="0.25">
      <c r="U45" s="107"/>
      <c r="V45" s="107"/>
      <c r="W45" s="26"/>
      <c r="X45" s="26"/>
      <c r="Y45" s="26"/>
      <c r="Z45" s="26"/>
    </row>
    <row r="46" spans="21:26" ht="15.75" x14ac:dyDescent="0.25">
      <c r="U46" s="107"/>
      <c r="V46" s="107"/>
      <c r="W46" s="26"/>
      <c r="X46" s="26"/>
      <c r="Y46" s="26"/>
      <c r="Z46" s="26"/>
    </row>
    <row r="47" spans="21:26" ht="15.75" x14ac:dyDescent="0.25">
      <c r="U47" s="107"/>
      <c r="V47" s="107"/>
      <c r="W47" s="26"/>
      <c r="X47" s="26"/>
      <c r="Y47" s="26"/>
      <c r="Z47" s="26"/>
    </row>
    <row r="48" spans="21:26" ht="15.75" x14ac:dyDescent="0.25">
      <c r="U48" s="107"/>
      <c r="V48" s="107"/>
      <c r="W48" s="26"/>
      <c r="X48" s="26"/>
      <c r="Y48" s="26"/>
      <c r="Z48" s="26"/>
    </row>
    <row r="49" spans="21:26" ht="15.75" x14ac:dyDescent="0.25">
      <c r="U49" s="107"/>
      <c r="V49" s="107"/>
      <c r="W49" s="26"/>
      <c r="X49" s="26"/>
      <c r="Y49" s="26"/>
      <c r="Z49" s="26"/>
    </row>
    <row r="50" spans="21:26" ht="15.75" x14ac:dyDescent="0.25">
      <c r="U50" s="107"/>
      <c r="V50" s="107"/>
      <c r="W50" s="26"/>
      <c r="X50" s="26"/>
      <c r="Y50" s="26"/>
      <c r="Z50" s="26"/>
    </row>
    <row r="51" spans="21:26" ht="15.75" x14ac:dyDescent="0.25">
      <c r="U51" s="107"/>
      <c r="V51" s="107"/>
      <c r="W51" s="26"/>
      <c r="X51" s="26"/>
      <c r="Y51" s="26"/>
      <c r="Z51" s="26"/>
    </row>
    <row r="52" spans="21:26" ht="15.75" x14ac:dyDescent="0.25">
      <c r="U52" s="107"/>
      <c r="V52" s="107"/>
      <c r="W52" s="26"/>
      <c r="X52" s="26"/>
      <c r="Y52" s="26"/>
      <c r="Z52" s="26"/>
    </row>
    <row r="53" spans="21:26" ht="15.75" x14ac:dyDescent="0.25">
      <c r="U53" s="107"/>
      <c r="V53" s="107"/>
      <c r="W53" s="26"/>
      <c r="X53" s="26"/>
      <c r="Y53" s="26"/>
      <c r="Z53" s="26"/>
    </row>
    <row r="54" spans="21:26" ht="15.75" x14ac:dyDescent="0.25">
      <c r="U54" s="107"/>
      <c r="V54" s="107"/>
      <c r="W54" s="26"/>
      <c r="X54" s="26"/>
      <c r="Y54" s="26"/>
      <c r="Z54" s="26"/>
    </row>
    <row r="55" spans="21:26" ht="15.75" x14ac:dyDescent="0.25">
      <c r="U55" s="107"/>
      <c r="V55" s="107"/>
      <c r="W55" s="26"/>
      <c r="X55" s="26"/>
      <c r="Y55" s="26"/>
      <c r="Z55" s="26"/>
    </row>
    <row r="56" spans="21:26" ht="15.75" x14ac:dyDescent="0.25">
      <c r="U56" s="107"/>
      <c r="V56" s="107"/>
      <c r="W56" s="26"/>
      <c r="X56" s="26"/>
      <c r="Y56" s="26"/>
      <c r="Z56" s="26"/>
    </row>
    <row r="57" spans="21:26" ht="15.75" x14ac:dyDescent="0.25">
      <c r="U57" s="107"/>
      <c r="V57" s="107"/>
      <c r="W57" s="26"/>
      <c r="X57" s="26"/>
      <c r="Y57" s="26"/>
      <c r="Z57" s="26"/>
    </row>
    <row r="58" spans="21:26" ht="15.75" x14ac:dyDescent="0.25">
      <c r="U58" s="107"/>
      <c r="V58" s="107"/>
      <c r="W58" s="26"/>
      <c r="X58" s="26"/>
      <c r="Y58" s="26"/>
      <c r="Z58" s="26"/>
    </row>
    <row r="59" spans="21:26" ht="15.75" x14ac:dyDescent="0.25">
      <c r="U59" s="107"/>
      <c r="V59" s="107"/>
      <c r="W59" s="26"/>
      <c r="X59" s="26"/>
      <c r="Y59" s="26"/>
      <c r="Z59" s="26"/>
    </row>
    <row r="60" spans="21:26" ht="15.75" x14ac:dyDescent="0.25">
      <c r="U60" s="107"/>
      <c r="V60" s="107"/>
      <c r="W60" s="26"/>
      <c r="X60" s="26"/>
      <c r="Y60" s="26"/>
      <c r="Z60" s="26"/>
    </row>
    <row r="61" spans="21:26" ht="15.75" x14ac:dyDescent="0.25">
      <c r="U61" s="107"/>
      <c r="V61" s="107"/>
      <c r="W61" s="26"/>
      <c r="X61" s="26"/>
      <c r="Y61" s="26"/>
      <c r="Z61" s="26"/>
    </row>
    <row r="62" spans="21:26" ht="15.75" x14ac:dyDescent="0.25">
      <c r="U62" s="107"/>
      <c r="V62" s="107"/>
      <c r="W62" s="26"/>
      <c r="X62" s="26"/>
      <c r="Y62" s="26"/>
      <c r="Z62" s="26"/>
    </row>
    <row r="63" spans="21:26" ht="15.75" x14ac:dyDescent="0.25">
      <c r="U63" s="107"/>
      <c r="V63" s="107"/>
      <c r="W63" s="26"/>
      <c r="X63" s="26"/>
      <c r="Y63" s="26"/>
      <c r="Z63" s="26"/>
    </row>
    <row r="64" spans="21:26" ht="15.75" x14ac:dyDescent="0.25">
      <c r="U64" s="107"/>
      <c r="V64" s="107"/>
      <c r="W64" s="26"/>
      <c r="X64" s="26"/>
      <c r="Y64" s="26"/>
      <c r="Z64" s="26"/>
    </row>
    <row r="65" spans="21:26" ht="15.75" x14ac:dyDescent="0.25">
      <c r="U65" s="107"/>
      <c r="V65" s="107"/>
      <c r="W65" s="26"/>
      <c r="X65" s="26"/>
      <c r="Y65" s="26"/>
      <c r="Z65" s="26"/>
    </row>
    <row r="66" spans="21:26" ht="15.75" x14ac:dyDescent="0.25">
      <c r="U66" s="107"/>
      <c r="V66" s="107"/>
      <c r="W66" s="26"/>
      <c r="X66" s="26"/>
      <c r="Y66" s="26"/>
      <c r="Z66" s="26"/>
    </row>
    <row r="67" spans="21:26" ht="15.75" x14ac:dyDescent="0.25">
      <c r="U67" s="107"/>
      <c r="V67" s="107"/>
      <c r="W67" s="26"/>
      <c r="X67" s="26"/>
      <c r="Y67" s="26"/>
      <c r="Z67" s="26"/>
    </row>
    <row r="68" spans="21:26" ht="15.75" x14ac:dyDescent="0.25">
      <c r="U68" s="107"/>
      <c r="V68" s="107"/>
      <c r="W68" s="26"/>
      <c r="X68" s="26"/>
      <c r="Y68" s="26"/>
      <c r="Z68" s="26"/>
    </row>
    <row r="69" spans="21:26" ht="15.75" x14ac:dyDescent="0.25">
      <c r="U69" s="107"/>
      <c r="V69" s="107"/>
      <c r="W69" s="26"/>
      <c r="X69" s="26"/>
      <c r="Y69" s="26"/>
      <c r="Z69" s="26"/>
    </row>
    <row r="70" spans="21:26" ht="15.75" x14ac:dyDescent="0.25">
      <c r="U70" s="107"/>
      <c r="V70" s="107"/>
      <c r="W70" s="26"/>
      <c r="X70" s="26"/>
      <c r="Y70" s="26"/>
      <c r="Z70" s="26"/>
    </row>
    <row r="71" spans="21:26" ht="15.75" x14ac:dyDescent="0.25">
      <c r="U71" s="107"/>
      <c r="V71" s="107"/>
      <c r="W71" s="26"/>
      <c r="X71" s="26"/>
      <c r="Y71" s="26"/>
      <c r="Z71" s="26"/>
    </row>
    <row r="72" spans="21:26" ht="15.75" x14ac:dyDescent="0.25">
      <c r="U72" s="107"/>
      <c r="V72" s="107"/>
      <c r="W72" s="26"/>
      <c r="X72" s="26"/>
      <c r="Y72" s="26"/>
      <c r="Z72" s="26"/>
    </row>
    <row r="73" spans="21:26" ht="15.75" x14ac:dyDescent="0.25">
      <c r="U73" s="107"/>
      <c r="V73" s="107"/>
      <c r="W73" s="26"/>
      <c r="X73" s="26"/>
      <c r="Y73" s="26"/>
      <c r="Z73" s="26"/>
    </row>
    <row r="74" spans="21:26" ht="15.75" x14ac:dyDescent="0.25">
      <c r="U74" s="107"/>
      <c r="V74" s="107"/>
      <c r="W74" s="26"/>
      <c r="X74" s="26"/>
      <c r="Y74" s="26"/>
      <c r="Z74" s="26"/>
    </row>
    <row r="75" spans="21:26" ht="15.75" x14ac:dyDescent="0.25">
      <c r="U75" s="107"/>
      <c r="V75" s="107"/>
      <c r="W75" s="26"/>
      <c r="X75" s="26"/>
      <c r="Y75" s="26"/>
      <c r="Z75" s="26"/>
    </row>
    <row r="76" spans="21:26" ht="15.75" x14ac:dyDescent="0.25">
      <c r="U76" s="107"/>
      <c r="V76" s="107"/>
      <c r="W76" s="26"/>
      <c r="X76" s="26"/>
      <c r="Y76" s="26"/>
      <c r="Z76" s="26"/>
    </row>
    <row r="77" spans="21:26" ht="15.75" x14ac:dyDescent="0.25">
      <c r="U77" s="107"/>
      <c r="V77" s="107"/>
      <c r="W77" s="26"/>
      <c r="X77" s="26"/>
      <c r="Y77" s="26"/>
      <c r="Z77" s="26"/>
    </row>
    <row r="78" spans="21:26" ht="15.75" x14ac:dyDescent="0.25">
      <c r="U78" s="107"/>
      <c r="V78" s="107"/>
      <c r="W78" s="26"/>
      <c r="X78" s="26"/>
      <c r="Y78" s="26"/>
      <c r="Z78" s="26"/>
    </row>
    <row r="79" spans="21:26" ht="15.75" x14ac:dyDescent="0.25">
      <c r="U79" s="107"/>
      <c r="V79" s="107"/>
      <c r="W79" s="26"/>
      <c r="X79" s="26"/>
      <c r="Y79" s="26"/>
      <c r="Z79" s="26"/>
    </row>
    <row r="80" spans="21:26" ht="15.75" x14ac:dyDescent="0.25">
      <c r="U80" s="107"/>
      <c r="V80" s="107"/>
      <c r="W80" s="26"/>
      <c r="X80" s="26"/>
      <c r="Y80" s="26"/>
      <c r="Z80" s="26"/>
    </row>
    <row r="81" spans="21:26" ht="15.75" x14ac:dyDescent="0.25">
      <c r="U81" s="107"/>
      <c r="V81" s="107"/>
      <c r="W81" s="26"/>
      <c r="X81" s="26"/>
      <c r="Y81" s="26"/>
      <c r="Z81" s="26"/>
    </row>
    <row r="82" spans="21:26" ht="15.75" x14ac:dyDescent="0.25">
      <c r="U82" s="107"/>
      <c r="V82" s="107"/>
      <c r="W82" s="26"/>
      <c r="X82" s="26"/>
      <c r="Y82" s="26"/>
      <c r="Z82" s="26"/>
    </row>
    <row r="83" spans="21:26" ht="15.75" x14ac:dyDescent="0.25">
      <c r="U83" s="107"/>
      <c r="V83" s="107"/>
      <c r="W83" s="26"/>
      <c r="X83" s="26"/>
      <c r="Y83" s="26"/>
      <c r="Z83" s="26"/>
    </row>
    <row r="84" spans="21:26" ht="15.75" x14ac:dyDescent="0.25">
      <c r="U84" s="107"/>
      <c r="V84" s="107"/>
      <c r="W84" s="26"/>
      <c r="X84" s="26"/>
      <c r="Y84" s="26"/>
      <c r="Z84" s="26"/>
    </row>
    <row r="85" spans="21:26" ht="15.75" x14ac:dyDescent="0.25">
      <c r="U85" s="107"/>
      <c r="V85" s="107"/>
      <c r="W85" s="26"/>
      <c r="X85" s="26"/>
      <c r="Y85" s="26"/>
      <c r="Z85" s="26"/>
    </row>
    <row r="86" spans="21:26" ht="15.75" x14ac:dyDescent="0.25">
      <c r="U86" s="107"/>
      <c r="V86" s="107"/>
      <c r="W86" s="26"/>
      <c r="X86" s="26"/>
      <c r="Y86" s="26"/>
      <c r="Z86" s="26"/>
    </row>
    <row r="87" spans="21:26" ht="15.75" x14ac:dyDescent="0.25">
      <c r="U87" s="107"/>
      <c r="V87" s="107"/>
      <c r="W87" s="26"/>
      <c r="X87" s="26"/>
      <c r="Y87" s="26"/>
      <c r="Z87" s="26"/>
    </row>
    <row r="88" spans="21:26" ht="15.75" x14ac:dyDescent="0.25">
      <c r="U88" s="107"/>
      <c r="V88" s="107"/>
      <c r="W88" s="26"/>
      <c r="X88" s="26"/>
      <c r="Y88" s="26"/>
      <c r="Z88" s="26"/>
    </row>
    <row r="89" spans="21:26" ht="15.75" x14ac:dyDescent="0.25">
      <c r="U89" s="107"/>
      <c r="V89" s="107"/>
      <c r="W89" s="26"/>
      <c r="X89" s="26"/>
      <c r="Y89" s="26"/>
      <c r="Z89" s="26"/>
    </row>
    <row r="90" spans="21:26" ht="15.75" x14ac:dyDescent="0.25">
      <c r="U90" s="107"/>
      <c r="V90" s="107"/>
      <c r="W90" s="26"/>
      <c r="X90" s="26"/>
      <c r="Y90" s="26"/>
      <c r="Z90" s="26"/>
    </row>
    <row r="91" spans="21:26" ht="15.75" x14ac:dyDescent="0.25">
      <c r="U91" s="107"/>
      <c r="V91" s="107"/>
      <c r="W91" s="26"/>
      <c r="X91" s="26"/>
      <c r="Y91" s="26"/>
      <c r="Z91" s="26"/>
    </row>
    <row r="92" spans="21:26" ht="15.75" x14ac:dyDescent="0.25">
      <c r="U92" s="107"/>
      <c r="V92" s="107"/>
      <c r="W92" s="26"/>
      <c r="X92" s="26"/>
      <c r="Y92" s="26"/>
      <c r="Z92" s="26"/>
    </row>
    <row r="93" spans="21:26" ht="15.75" x14ac:dyDescent="0.25">
      <c r="U93" s="107"/>
      <c r="V93" s="107"/>
      <c r="W93" s="26"/>
      <c r="X93" s="26"/>
      <c r="Y93" s="26"/>
      <c r="Z93" s="26"/>
    </row>
    <row r="94" spans="21:26" ht="15.75" x14ac:dyDescent="0.25">
      <c r="U94" s="107"/>
      <c r="V94" s="107"/>
      <c r="W94" s="26"/>
      <c r="X94" s="26"/>
      <c r="Y94" s="26"/>
      <c r="Z94" s="26"/>
    </row>
    <row r="95" spans="21:26" ht="15.75" x14ac:dyDescent="0.25">
      <c r="U95" s="107"/>
      <c r="V95" s="107"/>
      <c r="W95" s="26"/>
      <c r="X95" s="26"/>
      <c r="Y95" s="26"/>
      <c r="Z95" s="26"/>
    </row>
    <row r="96" spans="21:26" ht="15.75" x14ac:dyDescent="0.25">
      <c r="U96" s="107"/>
      <c r="V96" s="107"/>
      <c r="W96" s="26"/>
      <c r="X96" s="26"/>
      <c r="Y96" s="26"/>
      <c r="Z96" s="26"/>
    </row>
    <row r="97" spans="21:26" ht="15.75" x14ac:dyDescent="0.25">
      <c r="U97" s="107"/>
      <c r="V97" s="107"/>
      <c r="W97" s="26"/>
      <c r="X97" s="26"/>
      <c r="Y97" s="26"/>
      <c r="Z97" s="26"/>
    </row>
    <row r="98" spans="21:26" ht="15.75" x14ac:dyDescent="0.25">
      <c r="U98" s="107"/>
      <c r="V98" s="107"/>
      <c r="W98" s="26"/>
      <c r="X98" s="26"/>
      <c r="Y98" s="26"/>
      <c r="Z98" s="26"/>
    </row>
    <row r="99" spans="21:26" ht="15.75" x14ac:dyDescent="0.25">
      <c r="U99" s="107"/>
      <c r="V99" s="107"/>
      <c r="W99" s="26"/>
      <c r="X99" s="26"/>
      <c r="Y99" s="26"/>
      <c r="Z99" s="26"/>
    </row>
    <row r="100" spans="21:26" ht="15.75" x14ac:dyDescent="0.25">
      <c r="U100" s="107"/>
      <c r="V100" s="107"/>
      <c r="W100" s="26"/>
      <c r="X100" s="26"/>
      <c r="Y100" s="26"/>
      <c r="Z100" s="26"/>
    </row>
    <row r="101" spans="21:26" ht="15.75" x14ac:dyDescent="0.25">
      <c r="U101" s="107"/>
      <c r="V101" s="107"/>
      <c r="W101" s="26"/>
      <c r="X101" s="26"/>
      <c r="Y101" s="26"/>
      <c r="Z101" s="26"/>
    </row>
    <row r="102" spans="21:26" ht="15.75" x14ac:dyDescent="0.25">
      <c r="U102" s="107"/>
      <c r="V102" s="107"/>
      <c r="W102" s="26"/>
      <c r="X102" s="26"/>
      <c r="Y102" s="26"/>
      <c r="Z102" s="26"/>
    </row>
    <row r="103" spans="21:26" ht="15.75" x14ac:dyDescent="0.25">
      <c r="U103" s="107"/>
      <c r="V103" s="107"/>
      <c r="W103" s="26"/>
      <c r="X103" s="26"/>
      <c r="Y103" s="26"/>
      <c r="Z103" s="26"/>
    </row>
    <row r="104" spans="21:26" ht="15.75" x14ac:dyDescent="0.25">
      <c r="U104" s="107"/>
      <c r="V104" s="107"/>
      <c r="W104" s="26"/>
      <c r="X104" s="26"/>
      <c r="Y104" s="26"/>
      <c r="Z104" s="26"/>
    </row>
    <row r="105" spans="21:26" ht="15.75" x14ac:dyDescent="0.25">
      <c r="U105" s="107"/>
      <c r="V105" s="107"/>
      <c r="W105" s="26"/>
      <c r="X105" s="26"/>
      <c r="Y105" s="26"/>
      <c r="Z105" s="26"/>
    </row>
    <row r="106" spans="21:26" ht="15.75" x14ac:dyDescent="0.25">
      <c r="U106" s="107"/>
      <c r="V106" s="107"/>
      <c r="W106" s="26"/>
      <c r="X106" s="26"/>
      <c r="Y106" s="26"/>
      <c r="Z106" s="26"/>
    </row>
    <row r="107" spans="21:26" ht="15.75" x14ac:dyDescent="0.25">
      <c r="U107" s="107"/>
      <c r="V107" s="107"/>
      <c r="W107" s="26"/>
      <c r="X107" s="26"/>
      <c r="Y107" s="26"/>
      <c r="Z107" s="26"/>
    </row>
    <row r="108" spans="21:26" ht="15.75" x14ac:dyDescent="0.25">
      <c r="U108" s="107"/>
      <c r="V108" s="107"/>
      <c r="W108" s="26"/>
      <c r="X108" s="26"/>
      <c r="Y108" s="26"/>
      <c r="Z108" s="26"/>
    </row>
    <row r="109" spans="21:26" ht="15.75" x14ac:dyDescent="0.25">
      <c r="U109" s="107"/>
      <c r="V109" s="107"/>
      <c r="W109" s="26"/>
      <c r="X109" s="26"/>
      <c r="Y109" s="26"/>
      <c r="Z109" s="26"/>
    </row>
    <row r="110" spans="21:26" ht="15.75" x14ac:dyDescent="0.25">
      <c r="U110" s="107"/>
      <c r="V110" s="107"/>
      <c r="W110" s="26"/>
      <c r="X110" s="26"/>
      <c r="Y110" s="26"/>
      <c r="Z110" s="26"/>
    </row>
    <row r="111" spans="21:26" ht="15.75" x14ac:dyDescent="0.25">
      <c r="U111" s="107"/>
      <c r="V111" s="107"/>
      <c r="W111" s="26"/>
      <c r="X111" s="26"/>
      <c r="Y111" s="26"/>
      <c r="Z111" s="26"/>
    </row>
    <row r="112" spans="21:26" ht="15.75" x14ac:dyDescent="0.25">
      <c r="U112" s="92"/>
      <c r="V112" s="92"/>
      <c r="W112" s="92"/>
      <c r="X112" s="92"/>
      <c r="Y112" s="92"/>
      <c r="Z112" s="94"/>
    </row>
    <row r="113" spans="21:26" ht="15.75" x14ac:dyDescent="0.25">
      <c r="U113" s="92"/>
      <c r="V113" s="92"/>
      <c r="W113" s="92"/>
      <c r="X113" s="92"/>
      <c r="Y113" s="92"/>
      <c r="Z113" s="94"/>
    </row>
    <row r="114" spans="21:26" ht="15.75" x14ac:dyDescent="0.25">
      <c r="U114" s="92"/>
      <c r="V114" s="92"/>
      <c r="W114" s="92"/>
      <c r="X114" s="92"/>
      <c r="Y114" s="92"/>
      <c r="Z114" s="94"/>
    </row>
    <row r="115" spans="21:26" ht="15.75" x14ac:dyDescent="0.25">
      <c r="U115" s="92"/>
      <c r="V115" s="92"/>
      <c r="W115" s="92"/>
      <c r="X115" s="92"/>
      <c r="Y115" s="92"/>
      <c r="Z115" s="94"/>
    </row>
    <row r="116" spans="21:26" ht="15.75" x14ac:dyDescent="0.25">
      <c r="U116" s="92"/>
      <c r="V116" s="92"/>
      <c r="W116" s="92"/>
      <c r="X116" s="92"/>
      <c r="Y116" s="92"/>
      <c r="Z116" s="94"/>
    </row>
    <row r="117" spans="21:26" ht="15.75" x14ac:dyDescent="0.25">
      <c r="U117" s="92"/>
      <c r="V117" s="92"/>
      <c r="W117" s="92"/>
      <c r="X117" s="92"/>
      <c r="Y117" s="92"/>
      <c r="Z117" s="94"/>
    </row>
    <row r="118" spans="21:26" ht="15.75" x14ac:dyDescent="0.25">
      <c r="U118" s="92"/>
      <c r="V118" s="92"/>
      <c r="W118" s="92"/>
      <c r="X118" s="92"/>
      <c r="Y118" s="92"/>
      <c r="Z118" s="94"/>
    </row>
    <row r="119" spans="21:26" ht="15.75" x14ac:dyDescent="0.25">
      <c r="U119" s="92"/>
      <c r="V119" s="92"/>
      <c r="W119" s="92"/>
      <c r="X119" s="92"/>
      <c r="Y119" s="92"/>
      <c r="Z119" s="94"/>
    </row>
    <row r="120" spans="21:26" ht="15.75" x14ac:dyDescent="0.25">
      <c r="U120" s="92"/>
      <c r="V120" s="92"/>
      <c r="W120" s="92"/>
      <c r="X120" s="92"/>
      <c r="Y120" s="92"/>
      <c r="Z120" s="94"/>
    </row>
    <row r="121" spans="21:26" ht="15.75" x14ac:dyDescent="0.25">
      <c r="U121" s="92"/>
      <c r="V121" s="92"/>
      <c r="W121" s="92"/>
      <c r="X121" s="92"/>
      <c r="Y121" s="92"/>
      <c r="Z121" s="94"/>
    </row>
    <row r="122" spans="21:26" ht="15.75" x14ac:dyDescent="0.25">
      <c r="U122" s="92"/>
      <c r="V122" s="92"/>
      <c r="W122" s="92"/>
      <c r="X122" s="92"/>
      <c r="Y122" s="92"/>
      <c r="Z122" s="94"/>
    </row>
    <row r="123" spans="21:26" ht="15.75" x14ac:dyDescent="0.25">
      <c r="U123" s="92"/>
      <c r="V123" s="92"/>
      <c r="W123" s="92"/>
      <c r="X123" s="92"/>
      <c r="Y123" s="92"/>
      <c r="Z123" s="94"/>
    </row>
    <row r="124" spans="21:26" ht="15.75" x14ac:dyDescent="0.25">
      <c r="U124" s="92"/>
      <c r="V124" s="92"/>
      <c r="W124" s="92"/>
      <c r="X124" s="92"/>
      <c r="Y124" s="92"/>
      <c r="Z124" s="94"/>
    </row>
    <row r="125" spans="21:26" ht="15.75" x14ac:dyDescent="0.25">
      <c r="U125" s="92"/>
      <c r="V125" s="92"/>
      <c r="W125" s="92"/>
      <c r="X125" s="92"/>
      <c r="Y125" s="92"/>
      <c r="Z125" s="94"/>
    </row>
    <row r="126" spans="21:26" ht="15.75" x14ac:dyDescent="0.25">
      <c r="U126" s="92"/>
      <c r="V126" s="92"/>
      <c r="W126" s="92"/>
      <c r="X126" s="92"/>
      <c r="Y126" s="92"/>
      <c r="Z126" s="94"/>
    </row>
    <row r="127" spans="21:26" ht="15.75" x14ac:dyDescent="0.25">
      <c r="U127" s="92"/>
      <c r="V127" s="92"/>
      <c r="W127" s="92"/>
      <c r="X127" s="92"/>
      <c r="Y127" s="92"/>
      <c r="Z127" s="94"/>
    </row>
    <row r="128" spans="21:26" ht="15.75" x14ac:dyDescent="0.25">
      <c r="U128" s="92"/>
      <c r="V128" s="92"/>
      <c r="W128" s="92"/>
      <c r="X128" s="92"/>
      <c r="Y128" s="92"/>
      <c r="Z128" s="94"/>
    </row>
    <row r="129" spans="21:26" ht="15.75" x14ac:dyDescent="0.25">
      <c r="U129" s="92"/>
      <c r="V129" s="92"/>
      <c r="W129" s="92"/>
      <c r="X129" s="92"/>
      <c r="Y129" s="92"/>
      <c r="Z129" s="94"/>
    </row>
    <row r="130" spans="21:26" ht="15.75" x14ac:dyDescent="0.25">
      <c r="U130" s="92"/>
      <c r="V130" s="92"/>
      <c r="W130" s="92"/>
      <c r="X130" s="92"/>
      <c r="Y130" s="92"/>
      <c r="Z130" s="94"/>
    </row>
    <row r="131" spans="21:26" ht="15.75" x14ac:dyDescent="0.25">
      <c r="U131" s="92"/>
      <c r="V131" s="92"/>
      <c r="W131" s="92"/>
      <c r="X131" s="92"/>
      <c r="Y131" s="92"/>
      <c r="Z131" s="94"/>
    </row>
    <row r="132" spans="21:26" ht="15.75" x14ac:dyDescent="0.25">
      <c r="U132" s="92"/>
      <c r="V132" s="92"/>
      <c r="W132" s="92"/>
      <c r="X132" s="92"/>
      <c r="Y132" s="92"/>
      <c r="Z132" s="94"/>
    </row>
    <row r="133" spans="21:26" ht="15.75" x14ac:dyDescent="0.25">
      <c r="U133" s="92"/>
      <c r="V133" s="92"/>
      <c r="W133" s="92"/>
      <c r="X133" s="92"/>
      <c r="Y133" s="92"/>
      <c r="Z133" s="94"/>
    </row>
    <row r="134" spans="21:26" ht="15.75" x14ac:dyDescent="0.25">
      <c r="U134" s="92"/>
      <c r="V134" s="92"/>
      <c r="W134" s="92"/>
      <c r="X134" s="92"/>
      <c r="Y134" s="92"/>
      <c r="Z134" s="94"/>
    </row>
    <row r="135" spans="21:26" ht="15.75" x14ac:dyDescent="0.25">
      <c r="U135" s="92"/>
      <c r="V135" s="92"/>
      <c r="W135" s="92"/>
      <c r="X135" s="92"/>
      <c r="Y135" s="92"/>
      <c r="Z135" s="94"/>
    </row>
    <row r="136" spans="21:26" ht="15.75" x14ac:dyDescent="0.25">
      <c r="U136" s="92"/>
      <c r="V136" s="92"/>
      <c r="W136" s="92"/>
      <c r="X136" s="92"/>
      <c r="Y136" s="92"/>
      <c r="Z136" s="94"/>
    </row>
    <row r="137" spans="21:26" ht="15.75" x14ac:dyDescent="0.25">
      <c r="U137" s="92"/>
      <c r="V137" s="92"/>
      <c r="W137" s="92"/>
      <c r="X137" s="92"/>
      <c r="Y137" s="92"/>
      <c r="Z137" s="94"/>
    </row>
    <row r="138" spans="21:26" ht="15.75" x14ac:dyDescent="0.25">
      <c r="U138" s="92"/>
      <c r="V138" s="92"/>
      <c r="W138" s="92"/>
      <c r="X138" s="92"/>
      <c r="Y138" s="92"/>
      <c r="Z138" s="94"/>
    </row>
    <row r="139" spans="21:26" ht="15.75" x14ac:dyDescent="0.25">
      <c r="U139" s="92"/>
      <c r="V139" s="92"/>
      <c r="W139" s="92"/>
      <c r="X139" s="92"/>
      <c r="Y139" s="92"/>
      <c r="Z139" s="94"/>
    </row>
    <row r="140" spans="21:26" ht="15.75" x14ac:dyDescent="0.25">
      <c r="U140" s="92"/>
      <c r="V140" s="92"/>
      <c r="W140" s="92"/>
      <c r="X140" s="92"/>
      <c r="Y140" s="92"/>
      <c r="Z140" s="94"/>
    </row>
    <row r="141" spans="21:26" ht="15.75" x14ac:dyDescent="0.25">
      <c r="U141" s="92"/>
      <c r="V141" s="92"/>
      <c r="W141" s="92"/>
      <c r="X141" s="92"/>
      <c r="Y141" s="92"/>
      <c r="Z141" s="94"/>
    </row>
    <row r="142" spans="21:26" ht="15.75" x14ac:dyDescent="0.25">
      <c r="U142" s="92"/>
      <c r="V142" s="92"/>
      <c r="W142" s="92"/>
      <c r="X142" s="92"/>
      <c r="Y142" s="92"/>
      <c r="Z142" s="94"/>
    </row>
    <row r="143" spans="21:26" ht="15.75" x14ac:dyDescent="0.25">
      <c r="U143" s="92"/>
      <c r="V143" s="92"/>
      <c r="W143" s="92"/>
      <c r="X143" s="92"/>
      <c r="Y143" s="92"/>
      <c r="Z143" s="94"/>
    </row>
    <row r="144" spans="21:26" ht="15.75" x14ac:dyDescent="0.25">
      <c r="U144" s="92"/>
      <c r="V144" s="92"/>
      <c r="W144" s="92"/>
      <c r="X144" s="92"/>
      <c r="Y144" s="92"/>
      <c r="Z144" s="94"/>
    </row>
    <row r="145" spans="21:26" ht="15.75" x14ac:dyDescent="0.25">
      <c r="U145" s="92"/>
      <c r="V145" s="92"/>
      <c r="W145" s="92"/>
      <c r="X145" s="92"/>
      <c r="Y145" s="92"/>
      <c r="Z145" s="94"/>
    </row>
    <row r="146" spans="21:26" ht="15.75" x14ac:dyDescent="0.25">
      <c r="U146" s="92"/>
      <c r="V146" s="92"/>
      <c r="W146" s="92"/>
      <c r="X146" s="92"/>
      <c r="Y146" s="92"/>
      <c r="Z146" s="94"/>
    </row>
    <row r="147" spans="21:26" ht="15.75" x14ac:dyDescent="0.25">
      <c r="U147" s="92"/>
      <c r="V147" s="92"/>
      <c r="W147" s="92"/>
      <c r="X147" s="92"/>
      <c r="Y147" s="92"/>
      <c r="Z147" s="94"/>
    </row>
    <row r="148" spans="21:26" ht="15.75" x14ac:dyDescent="0.25">
      <c r="U148" s="92"/>
      <c r="V148" s="92"/>
      <c r="W148" s="92"/>
      <c r="X148" s="92"/>
      <c r="Y148" s="92"/>
      <c r="Z148" s="94"/>
    </row>
    <row r="149" spans="21:26" ht="15.75" x14ac:dyDescent="0.25">
      <c r="U149" s="92"/>
      <c r="V149" s="92"/>
      <c r="W149" s="92"/>
      <c r="X149" s="92"/>
      <c r="Y149" s="92"/>
      <c r="Z149" s="94"/>
    </row>
    <row r="150" spans="21:26" ht="15.75" x14ac:dyDescent="0.25">
      <c r="U150" s="92"/>
      <c r="V150" s="92"/>
      <c r="W150" s="92"/>
      <c r="X150" s="92"/>
      <c r="Y150" s="92"/>
      <c r="Z150" s="94"/>
    </row>
    <row r="151" spans="21:26" ht="15.75" x14ac:dyDescent="0.25">
      <c r="U151" s="92"/>
      <c r="V151" s="92"/>
      <c r="W151" s="92"/>
      <c r="X151" s="92"/>
      <c r="Y151" s="92"/>
      <c r="Z151" s="94"/>
    </row>
    <row r="152" spans="21:26" ht="15.75" x14ac:dyDescent="0.25">
      <c r="U152" s="92"/>
      <c r="V152" s="92"/>
      <c r="W152" s="92"/>
      <c r="X152" s="92"/>
      <c r="Y152" s="92"/>
      <c r="Z152" s="94"/>
    </row>
    <row r="153" spans="21:26" ht="15.75" x14ac:dyDescent="0.25">
      <c r="U153" s="92"/>
      <c r="V153" s="92"/>
      <c r="W153" s="92"/>
      <c r="X153" s="92"/>
      <c r="Y153" s="92"/>
      <c r="Z153" s="94"/>
    </row>
    <row r="154" spans="21:26" ht="15.75" x14ac:dyDescent="0.25">
      <c r="U154" s="92"/>
      <c r="V154" s="92"/>
      <c r="W154" s="92"/>
      <c r="X154" s="92"/>
      <c r="Y154" s="92"/>
      <c r="Z154" s="94"/>
    </row>
    <row r="155" spans="21:26" ht="15.75" x14ac:dyDescent="0.25">
      <c r="U155" s="92"/>
      <c r="V155" s="92"/>
      <c r="W155" s="92"/>
      <c r="X155" s="92"/>
      <c r="Y155" s="92"/>
      <c r="Z155" s="94"/>
    </row>
    <row r="156" spans="21:26" ht="15.75" x14ac:dyDescent="0.25">
      <c r="U156" s="92"/>
      <c r="V156" s="92"/>
      <c r="W156" s="92"/>
      <c r="X156" s="92"/>
      <c r="Y156" s="92"/>
      <c r="Z156" s="94"/>
    </row>
    <row r="157" spans="21:26" ht="15.75" x14ac:dyDescent="0.25">
      <c r="U157" s="92"/>
      <c r="V157" s="92"/>
      <c r="W157" s="92"/>
      <c r="X157" s="92"/>
      <c r="Y157" s="92"/>
      <c r="Z157" s="94"/>
    </row>
    <row r="158" spans="21:26" ht="15.75" x14ac:dyDescent="0.25">
      <c r="U158" s="92"/>
      <c r="V158" s="92"/>
      <c r="W158" s="92"/>
      <c r="X158" s="92"/>
      <c r="Y158" s="92"/>
      <c r="Z158" s="94"/>
    </row>
    <row r="159" spans="21:26" ht="15.75" x14ac:dyDescent="0.25">
      <c r="U159" s="92"/>
      <c r="V159" s="92"/>
      <c r="W159" s="92"/>
      <c r="X159" s="92"/>
      <c r="Y159" s="92"/>
      <c r="Z159" s="94"/>
    </row>
    <row r="160" spans="21:26" ht="15.75" x14ac:dyDescent="0.25">
      <c r="U160" s="92"/>
      <c r="V160" s="92"/>
      <c r="W160" s="92"/>
      <c r="X160" s="92"/>
      <c r="Y160" s="92"/>
      <c r="Z160" s="94"/>
    </row>
    <row r="161" spans="21:26" ht="15.75" x14ac:dyDescent="0.25">
      <c r="U161" s="92"/>
      <c r="V161" s="92"/>
      <c r="W161" s="92"/>
      <c r="X161" s="92"/>
      <c r="Y161" s="92"/>
      <c r="Z161" s="94"/>
    </row>
    <row r="162" spans="21:26" ht="15.75" x14ac:dyDescent="0.25">
      <c r="U162" s="92"/>
      <c r="V162" s="92"/>
      <c r="W162" s="92"/>
      <c r="X162" s="92"/>
      <c r="Y162" s="92"/>
      <c r="Z162" s="94"/>
    </row>
    <row r="163" spans="21:26" ht="15.75" x14ac:dyDescent="0.25">
      <c r="U163" s="92"/>
      <c r="V163" s="92"/>
      <c r="W163" s="92"/>
      <c r="X163" s="92"/>
      <c r="Y163" s="92"/>
      <c r="Z163" s="94"/>
    </row>
    <row r="164" spans="21:26" ht="15.75" x14ac:dyDescent="0.25">
      <c r="U164" s="92"/>
      <c r="V164" s="92"/>
      <c r="W164" s="92"/>
      <c r="X164" s="92"/>
      <c r="Y164" s="92"/>
      <c r="Z164" s="94"/>
    </row>
    <row r="165" spans="21:26" ht="15.75" x14ac:dyDescent="0.25">
      <c r="U165" s="92"/>
      <c r="V165" s="92"/>
      <c r="W165" s="92"/>
      <c r="X165" s="92"/>
      <c r="Y165" s="92"/>
      <c r="Z165" s="94"/>
    </row>
    <row r="166" spans="21:26" ht="15.75" x14ac:dyDescent="0.25">
      <c r="U166" s="92"/>
      <c r="V166" s="92"/>
      <c r="W166" s="92"/>
      <c r="X166" s="92"/>
      <c r="Y166" s="92"/>
      <c r="Z166" s="94"/>
    </row>
    <row r="167" spans="21:26" ht="15.75" x14ac:dyDescent="0.25">
      <c r="U167" s="92"/>
      <c r="V167" s="92"/>
      <c r="W167" s="92"/>
      <c r="X167" s="92"/>
      <c r="Y167" s="92"/>
      <c r="Z167" s="94"/>
    </row>
    <row r="168" spans="21:26" ht="15.75" x14ac:dyDescent="0.25">
      <c r="U168" s="92"/>
      <c r="V168" s="92"/>
      <c r="W168" s="92"/>
      <c r="X168" s="92"/>
      <c r="Y168" s="92"/>
      <c r="Z168" s="94"/>
    </row>
    <row r="169" spans="21:26" ht="15.75" x14ac:dyDescent="0.25">
      <c r="U169" s="92"/>
      <c r="V169" s="92"/>
      <c r="W169" s="92"/>
      <c r="X169" s="92"/>
      <c r="Y169" s="92"/>
      <c r="Z169" s="94"/>
    </row>
    <row r="170" spans="21:26" ht="15.75" x14ac:dyDescent="0.25">
      <c r="U170" s="92"/>
      <c r="V170" s="92"/>
      <c r="W170" s="92"/>
      <c r="X170" s="92"/>
      <c r="Y170" s="92"/>
      <c r="Z170" s="94"/>
    </row>
    <row r="171" spans="21:26" ht="15.75" x14ac:dyDescent="0.25">
      <c r="U171" s="92"/>
      <c r="V171" s="92"/>
      <c r="W171" s="92"/>
      <c r="X171" s="92"/>
      <c r="Y171" s="92"/>
      <c r="Z171" s="94"/>
    </row>
    <row r="172" spans="21:26" ht="15.75" x14ac:dyDescent="0.25">
      <c r="U172" s="92"/>
      <c r="V172" s="92"/>
      <c r="W172" s="92"/>
      <c r="X172" s="92"/>
      <c r="Y172" s="92"/>
      <c r="Z172" s="94"/>
    </row>
    <row r="173" spans="21:26" ht="15.75" x14ac:dyDescent="0.25">
      <c r="U173" s="92"/>
      <c r="V173" s="92"/>
      <c r="W173" s="92"/>
      <c r="X173" s="92"/>
      <c r="Y173" s="92"/>
      <c r="Z173" s="94"/>
    </row>
    <row r="174" spans="21:26" ht="15.75" x14ac:dyDescent="0.25">
      <c r="U174" s="92"/>
      <c r="V174" s="92"/>
      <c r="W174" s="92"/>
      <c r="X174" s="92"/>
      <c r="Y174" s="92"/>
      <c r="Z174" s="94"/>
    </row>
    <row r="175" spans="21:26" ht="15.75" x14ac:dyDescent="0.25">
      <c r="U175" s="92"/>
      <c r="V175" s="92"/>
      <c r="W175" s="92"/>
      <c r="X175" s="92"/>
      <c r="Y175" s="92"/>
      <c r="Z175" s="94"/>
    </row>
    <row r="176" spans="21:26" ht="15.75" x14ac:dyDescent="0.25">
      <c r="U176" s="92"/>
      <c r="V176" s="92"/>
      <c r="W176" s="92"/>
      <c r="X176" s="92"/>
      <c r="Y176" s="92"/>
      <c r="Z176" s="94"/>
    </row>
    <row r="177" spans="21:26" ht="15.75" x14ac:dyDescent="0.25">
      <c r="U177" s="92"/>
      <c r="V177" s="92"/>
      <c r="W177" s="92"/>
      <c r="X177" s="92"/>
      <c r="Y177" s="92"/>
      <c r="Z177" s="94"/>
    </row>
    <row r="178" spans="21:26" ht="15.75" x14ac:dyDescent="0.25">
      <c r="U178" s="92"/>
      <c r="V178" s="92"/>
      <c r="W178" s="92"/>
      <c r="X178" s="92"/>
      <c r="Y178" s="92"/>
      <c r="Z178" s="94"/>
    </row>
    <row r="179" spans="21:26" ht="15.75" x14ac:dyDescent="0.25">
      <c r="U179" s="92"/>
      <c r="V179" s="92"/>
      <c r="W179" s="92"/>
      <c r="X179" s="92"/>
      <c r="Y179" s="92"/>
      <c r="Z179" s="94"/>
    </row>
    <row r="180" spans="21:26" ht="15.75" x14ac:dyDescent="0.25">
      <c r="U180" s="92"/>
      <c r="V180" s="92"/>
      <c r="W180" s="92"/>
      <c r="X180" s="92"/>
      <c r="Y180" s="92"/>
      <c r="Z180" s="94"/>
    </row>
    <row r="181" spans="21:26" ht="15.75" x14ac:dyDescent="0.25">
      <c r="U181" s="92"/>
      <c r="V181" s="92"/>
      <c r="W181" s="92"/>
      <c r="X181" s="92"/>
      <c r="Y181" s="92"/>
      <c r="Z181" s="94"/>
    </row>
    <row r="182" spans="21:26" ht="15.75" x14ac:dyDescent="0.25">
      <c r="U182" s="92"/>
      <c r="V182" s="92"/>
      <c r="W182" s="92"/>
      <c r="X182" s="92"/>
      <c r="Y182" s="92"/>
      <c r="Z182" s="94"/>
    </row>
    <row r="183" spans="21:26" ht="15.75" x14ac:dyDescent="0.25">
      <c r="U183" s="92"/>
      <c r="V183" s="92"/>
      <c r="W183" s="92"/>
      <c r="X183" s="92"/>
      <c r="Y183" s="92"/>
      <c r="Z183" s="94"/>
    </row>
    <row r="184" spans="21:26" ht="15.75" x14ac:dyDescent="0.25">
      <c r="U184" s="92"/>
      <c r="V184" s="92"/>
      <c r="W184" s="92"/>
      <c r="X184" s="92"/>
      <c r="Y184" s="92"/>
      <c r="Z184" s="94"/>
    </row>
    <row r="185" spans="21:26" ht="15.75" x14ac:dyDescent="0.25">
      <c r="U185" s="92"/>
      <c r="V185" s="92"/>
      <c r="W185" s="92"/>
      <c r="X185" s="92"/>
      <c r="Y185" s="92"/>
      <c r="Z185" s="94"/>
    </row>
    <row r="186" spans="21:26" ht="15.75" x14ac:dyDescent="0.25">
      <c r="U186" s="92"/>
      <c r="V186" s="92"/>
      <c r="W186" s="92"/>
      <c r="X186" s="92"/>
      <c r="Y186" s="92"/>
      <c r="Z186" s="94"/>
    </row>
    <row r="187" spans="21:26" ht="15.75" x14ac:dyDescent="0.25">
      <c r="U187" s="92"/>
      <c r="V187" s="92"/>
      <c r="W187" s="92"/>
      <c r="X187" s="92"/>
      <c r="Y187" s="92"/>
      <c r="Z187" s="94"/>
    </row>
    <row r="188" spans="21:26" ht="15.75" x14ac:dyDescent="0.25">
      <c r="U188" s="92"/>
      <c r="V188" s="92"/>
      <c r="W188" s="92"/>
      <c r="X188" s="92"/>
      <c r="Y188" s="92"/>
      <c r="Z188" s="94"/>
    </row>
    <row r="189" spans="21:26" ht="15.75" x14ac:dyDescent="0.25">
      <c r="U189" s="92"/>
      <c r="V189" s="92"/>
      <c r="W189" s="92"/>
      <c r="X189" s="92"/>
      <c r="Y189" s="92"/>
      <c r="Z189" s="94"/>
    </row>
    <row r="190" spans="21:26" ht="15.75" x14ac:dyDescent="0.25">
      <c r="U190" s="92"/>
      <c r="V190" s="92"/>
      <c r="W190" s="92"/>
      <c r="X190" s="92"/>
      <c r="Y190" s="92"/>
      <c r="Z190" s="94"/>
    </row>
    <row r="191" spans="21:26" ht="15.75" x14ac:dyDescent="0.25">
      <c r="U191" s="92"/>
      <c r="V191" s="92"/>
      <c r="W191" s="92"/>
      <c r="X191" s="92"/>
      <c r="Y191" s="92"/>
      <c r="Z191" s="94"/>
    </row>
    <row r="192" spans="21:26" ht="15.75" x14ac:dyDescent="0.25">
      <c r="U192" s="92"/>
      <c r="V192" s="92"/>
      <c r="W192" s="92"/>
      <c r="X192" s="92"/>
      <c r="Y192" s="92"/>
      <c r="Z192" s="94"/>
    </row>
    <row r="193" spans="21:26" ht="15.75" x14ac:dyDescent="0.25">
      <c r="U193" s="92"/>
      <c r="V193" s="92"/>
      <c r="W193" s="92"/>
      <c r="X193" s="92"/>
      <c r="Y193" s="92"/>
      <c r="Z193" s="94"/>
    </row>
    <row r="194" spans="21:26" ht="15.75" x14ac:dyDescent="0.25">
      <c r="U194" s="92"/>
      <c r="V194" s="92"/>
      <c r="W194" s="92"/>
      <c r="X194" s="92"/>
      <c r="Y194" s="92"/>
      <c r="Z194" s="94"/>
    </row>
    <row r="195" spans="21:26" ht="15.75" x14ac:dyDescent="0.25">
      <c r="U195" s="92"/>
      <c r="V195" s="92"/>
      <c r="W195" s="92"/>
      <c r="X195" s="92"/>
      <c r="Y195" s="92"/>
      <c r="Z195" s="94"/>
    </row>
    <row r="196" spans="21:26" ht="15.75" x14ac:dyDescent="0.25">
      <c r="U196" s="92"/>
      <c r="V196" s="92"/>
      <c r="W196" s="92"/>
      <c r="X196" s="92"/>
      <c r="Y196" s="92"/>
      <c r="Z196" s="94"/>
    </row>
    <row r="197" spans="21:26" ht="15.75" x14ac:dyDescent="0.25">
      <c r="U197" s="92"/>
      <c r="V197" s="92"/>
      <c r="W197" s="92"/>
      <c r="X197" s="92"/>
      <c r="Y197" s="92"/>
      <c r="Z197" s="94"/>
    </row>
    <row r="198" spans="21:26" ht="15.75" x14ac:dyDescent="0.25">
      <c r="U198" s="92"/>
      <c r="V198" s="92"/>
      <c r="W198" s="92"/>
      <c r="X198" s="92"/>
      <c r="Y198" s="92"/>
      <c r="Z198" s="94"/>
    </row>
    <row r="199" spans="21:26" ht="15.75" x14ac:dyDescent="0.25">
      <c r="U199" s="92"/>
      <c r="V199" s="92"/>
      <c r="W199" s="92"/>
      <c r="X199" s="92"/>
      <c r="Y199" s="92"/>
      <c r="Z199" s="94"/>
    </row>
    <row r="200" spans="21:26" ht="15.75" x14ac:dyDescent="0.25">
      <c r="U200" s="92"/>
      <c r="V200" s="92"/>
      <c r="W200" s="92"/>
      <c r="X200" s="92"/>
      <c r="Y200" s="92"/>
      <c r="Z200" s="94"/>
    </row>
    <row r="201" spans="21:26" ht="15.75" x14ac:dyDescent="0.25">
      <c r="U201" s="92"/>
      <c r="V201" s="92"/>
      <c r="W201" s="92"/>
      <c r="X201" s="92"/>
      <c r="Y201" s="92"/>
      <c r="Z201" s="94"/>
    </row>
    <row r="202" spans="21:26" ht="15.75" x14ac:dyDescent="0.25">
      <c r="U202" s="92"/>
      <c r="V202" s="92"/>
      <c r="W202" s="92"/>
      <c r="X202" s="92"/>
      <c r="Y202" s="92"/>
      <c r="Z202" s="94"/>
    </row>
    <row r="203" spans="21:26" ht="15.75" x14ac:dyDescent="0.25">
      <c r="U203" s="92"/>
      <c r="V203" s="92"/>
      <c r="W203" s="92"/>
      <c r="X203" s="92"/>
      <c r="Y203" s="92"/>
      <c r="Z203" s="94"/>
    </row>
    <row r="204" spans="21:26" ht="15.75" x14ac:dyDescent="0.25">
      <c r="U204" s="92"/>
      <c r="V204" s="92"/>
      <c r="W204" s="92"/>
      <c r="X204" s="92"/>
      <c r="Y204" s="92"/>
      <c r="Z204" s="94"/>
    </row>
    <row r="205" spans="21:26" ht="15.75" x14ac:dyDescent="0.25">
      <c r="U205" s="92"/>
      <c r="V205" s="92"/>
      <c r="W205" s="92"/>
      <c r="X205" s="92"/>
      <c r="Y205" s="92"/>
      <c r="Z205" s="94"/>
    </row>
    <row r="206" spans="21:26" ht="15.75" x14ac:dyDescent="0.25">
      <c r="U206" s="92"/>
      <c r="V206" s="92"/>
      <c r="W206" s="92"/>
      <c r="X206" s="92"/>
      <c r="Y206" s="92"/>
      <c r="Z206" s="94"/>
    </row>
    <row r="207" spans="21:26" ht="15.75" x14ac:dyDescent="0.25">
      <c r="U207" s="92"/>
      <c r="V207" s="92"/>
      <c r="W207" s="92"/>
      <c r="X207" s="92"/>
      <c r="Y207" s="92"/>
      <c r="Z207" s="94"/>
    </row>
    <row r="208" spans="21:26" ht="15.75" x14ac:dyDescent="0.25">
      <c r="U208" s="92"/>
      <c r="V208" s="92"/>
      <c r="W208" s="92"/>
      <c r="X208" s="92"/>
      <c r="Y208" s="92"/>
      <c r="Z208" s="94"/>
    </row>
    <row r="209" spans="21:26" ht="15.75" x14ac:dyDescent="0.25">
      <c r="U209" s="92"/>
      <c r="V209" s="92"/>
      <c r="W209" s="92"/>
      <c r="X209" s="92"/>
      <c r="Y209" s="92"/>
      <c r="Z209" s="94"/>
    </row>
    <row r="210" spans="21:26" ht="15.75" x14ac:dyDescent="0.25">
      <c r="U210" s="92"/>
      <c r="V210" s="92"/>
      <c r="W210" s="92"/>
      <c r="X210" s="92"/>
      <c r="Y210" s="92"/>
      <c r="Z210" s="94"/>
    </row>
    <row r="211" spans="21:26" ht="15.75" x14ac:dyDescent="0.25">
      <c r="U211" s="92"/>
      <c r="V211" s="92"/>
      <c r="W211" s="92"/>
      <c r="X211" s="92"/>
      <c r="Y211" s="92"/>
      <c r="Z211" s="94"/>
    </row>
    <row r="212" spans="21:26" ht="15.75" x14ac:dyDescent="0.25">
      <c r="U212" s="92"/>
      <c r="V212" s="92"/>
      <c r="W212" s="92"/>
      <c r="X212" s="92"/>
      <c r="Y212" s="92"/>
      <c r="Z212" s="94"/>
    </row>
    <row r="213" spans="21:26" ht="15.75" x14ac:dyDescent="0.25">
      <c r="U213" s="92"/>
      <c r="V213" s="92"/>
      <c r="W213" s="92"/>
      <c r="X213" s="92"/>
      <c r="Y213" s="92"/>
      <c r="Z213" s="94"/>
    </row>
    <row r="214" spans="21:26" ht="15.75" x14ac:dyDescent="0.25">
      <c r="U214" s="92"/>
      <c r="V214" s="92"/>
      <c r="W214" s="92"/>
      <c r="X214" s="92"/>
      <c r="Y214" s="92"/>
      <c r="Z214" s="94"/>
    </row>
    <row r="215" spans="21:26" ht="15.75" x14ac:dyDescent="0.25">
      <c r="U215" s="92"/>
      <c r="V215" s="92"/>
      <c r="W215" s="92"/>
      <c r="X215" s="92"/>
      <c r="Y215" s="92"/>
      <c r="Z215" s="94"/>
    </row>
    <row r="216" spans="21:26" ht="15.75" x14ac:dyDescent="0.25">
      <c r="U216" s="92"/>
      <c r="V216" s="92"/>
      <c r="W216" s="92"/>
      <c r="X216" s="92"/>
      <c r="Y216" s="92"/>
      <c r="Z216" s="94"/>
    </row>
    <row r="217" spans="21:26" ht="15.75" x14ac:dyDescent="0.25">
      <c r="U217" s="92"/>
      <c r="V217" s="92"/>
      <c r="W217" s="92"/>
      <c r="X217" s="92"/>
      <c r="Y217" s="92"/>
      <c r="Z217" s="94"/>
    </row>
    <row r="218" spans="21:26" ht="15.75" x14ac:dyDescent="0.25">
      <c r="U218" s="92"/>
      <c r="V218" s="92"/>
      <c r="W218" s="92"/>
      <c r="X218" s="92"/>
      <c r="Y218" s="92"/>
      <c r="Z218" s="94"/>
    </row>
    <row r="219" spans="21:26" ht="15.75" x14ac:dyDescent="0.25">
      <c r="U219" s="92"/>
      <c r="V219" s="92"/>
      <c r="W219" s="92"/>
      <c r="X219" s="92"/>
      <c r="Y219" s="92"/>
      <c r="Z219" s="94"/>
    </row>
    <row r="220" spans="21:26" ht="15.75" x14ac:dyDescent="0.25">
      <c r="U220" s="92"/>
      <c r="V220" s="92"/>
      <c r="W220" s="92"/>
      <c r="X220" s="92"/>
      <c r="Y220" s="92"/>
      <c r="Z220" s="94"/>
    </row>
    <row r="221" spans="21:26" ht="15.75" x14ac:dyDescent="0.25">
      <c r="U221" s="92"/>
      <c r="V221" s="92"/>
      <c r="W221" s="92"/>
      <c r="X221" s="92"/>
      <c r="Y221" s="92"/>
      <c r="Z221" s="94"/>
    </row>
    <row r="222" spans="21:26" ht="15.75" x14ac:dyDescent="0.25">
      <c r="U222" s="92"/>
      <c r="V222" s="92"/>
      <c r="W222" s="92"/>
      <c r="X222" s="92"/>
      <c r="Y222" s="92"/>
      <c r="Z222" s="94"/>
    </row>
    <row r="223" spans="21:26" ht="15.75" x14ac:dyDescent="0.25">
      <c r="U223" s="92"/>
      <c r="V223" s="92"/>
      <c r="W223" s="92"/>
      <c r="X223" s="92"/>
      <c r="Y223" s="92"/>
      <c r="Z223" s="94"/>
    </row>
    <row r="224" spans="21:26" ht="15.75" x14ac:dyDescent="0.25">
      <c r="U224" s="92"/>
      <c r="V224" s="92"/>
      <c r="W224" s="92"/>
      <c r="X224" s="92"/>
      <c r="Y224" s="92"/>
      <c r="Z224" s="94"/>
    </row>
    <row r="225" spans="21:26" ht="15.75" x14ac:dyDescent="0.25">
      <c r="U225" s="92"/>
      <c r="V225" s="92"/>
      <c r="W225" s="92"/>
      <c r="X225" s="92"/>
      <c r="Y225" s="92"/>
      <c r="Z225" s="94"/>
    </row>
    <row r="226" spans="21:26" ht="15.75" x14ac:dyDescent="0.25">
      <c r="U226" s="92"/>
      <c r="V226" s="92"/>
      <c r="W226" s="92"/>
      <c r="X226" s="92"/>
      <c r="Y226" s="92"/>
      <c r="Z226" s="94"/>
    </row>
    <row r="227" spans="21:26" ht="15.75" x14ac:dyDescent="0.25">
      <c r="U227" s="92"/>
      <c r="V227" s="92"/>
      <c r="W227" s="92"/>
      <c r="X227" s="92"/>
      <c r="Y227" s="92"/>
      <c r="Z227" s="94"/>
    </row>
    <row r="228" spans="21:26" ht="15.75" x14ac:dyDescent="0.25">
      <c r="U228" s="92"/>
      <c r="V228" s="92"/>
      <c r="W228" s="92"/>
      <c r="X228" s="92"/>
      <c r="Y228" s="92"/>
      <c r="Z228" s="94"/>
    </row>
    <row r="229" spans="21:26" ht="15.75" x14ac:dyDescent="0.25">
      <c r="U229" s="92"/>
      <c r="V229" s="92"/>
      <c r="W229" s="92"/>
      <c r="X229" s="92"/>
      <c r="Y229" s="92"/>
      <c r="Z229" s="94"/>
    </row>
    <row r="230" spans="21:26" ht="15.75" x14ac:dyDescent="0.25">
      <c r="U230" s="92"/>
      <c r="V230" s="92"/>
      <c r="W230" s="92"/>
      <c r="X230" s="92"/>
      <c r="Y230" s="92"/>
      <c r="Z230" s="94"/>
    </row>
    <row r="231" spans="21:26" ht="15.75" x14ac:dyDescent="0.25">
      <c r="U231" s="92"/>
      <c r="V231" s="92"/>
      <c r="W231" s="92"/>
      <c r="X231" s="92"/>
      <c r="Y231" s="92"/>
      <c r="Z231" s="94"/>
    </row>
    <row r="232" spans="21:26" ht="15.75" x14ac:dyDescent="0.25">
      <c r="U232" s="92"/>
      <c r="V232" s="92"/>
      <c r="W232" s="92"/>
      <c r="X232" s="92"/>
      <c r="Y232" s="92"/>
      <c r="Z232" s="94"/>
    </row>
    <row r="233" spans="21:26" ht="15.75" x14ac:dyDescent="0.25">
      <c r="U233" s="92"/>
      <c r="V233" s="92"/>
      <c r="W233" s="92"/>
      <c r="X233" s="92"/>
      <c r="Y233" s="92"/>
      <c r="Z233" s="94"/>
    </row>
    <row r="234" spans="21:26" ht="15.75" x14ac:dyDescent="0.25">
      <c r="U234" s="92"/>
      <c r="V234" s="92"/>
      <c r="W234" s="92"/>
      <c r="X234" s="92"/>
      <c r="Y234" s="92"/>
      <c r="Z234" s="94"/>
    </row>
    <row r="235" spans="21:26" ht="15.75" x14ac:dyDescent="0.25">
      <c r="U235" s="92"/>
      <c r="V235" s="92"/>
      <c r="W235" s="92"/>
      <c r="X235" s="92"/>
      <c r="Y235" s="92"/>
      <c r="Z235" s="94"/>
    </row>
    <row r="236" spans="21:26" ht="15.75" x14ac:dyDescent="0.25">
      <c r="U236" s="92"/>
      <c r="V236" s="92"/>
      <c r="W236" s="92"/>
      <c r="X236" s="92"/>
      <c r="Y236" s="92"/>
      <c r="Z236" s="94"/>
    </row>
    <row r="237" spans="21:26" ht="15.75" x14ac:dyDescent="0.25">
      <c r="U237" s="107"/>
      <c r="V237" s="26"/>
      <c r="W237" s="26"/>
      <c r="X237" s="26"/>
      <c r="Y237" s="26"/>
      <c r="Z237" s="26"/>
    </row>
    <row r="238" spans="21:26" ht="15.75" x14ac:dyDescent="0.25">
      <c r="U238" s="107"/>
      <c r="V238" s="26"/>
      <c r="W238" s="26"/>
      <c r="X238" s="26"/>
      <c r="Y238" s="26"/>
      <c r="Z238" s="26"/>
    </row>
    <row r="239" spans="21:26" ht="15.75" x14ac:dyDescent="0.25">
      <c r="U239" s="107"/>
      <c r="V239" s="26"/>
      <c r="W239" s="26"/>
      <c r="X239" s="26"/>
      <c r="Y239" s="26"/>
      <c r="Z239" s="26"/>
    </row>
    <row r="240" spans="21:26" ht="15.75" x14ac:dyDescent="0.25">
      <c r="U240" s="107"/>
      <c r="V240" s="26"/>
      <c r="W240" s="26"/>
      <c r="X240" s="26"/>
      <c r="Y240" s="26"/>
      <c r="Z240" s="26"/>
    </row>
    <row r="241" spans="21:26" ht="15.75" x14ac:dyDescent="0.25">
      <c r="U241" s="107"/>
      <c r="V241" s="26"/>
      <c r="W241" s="26"/>
      <c r="X241" s="26"/>
      <c r="Y241" s="26"/>
      <c r="Z241" s="26"/>
    </row>
    <row r="242" spans="21:26" ht="15.75" x14ac:dyDescent="0.25">
      <c r="U242" s="107"/>
      <c r="V242" s="26"/>
      <c r="W242" s="26"/>
      <c r="X242" s="26"/>
      <c r="Y242" s="26"/>
      <c r="Z242" s="26"/>
    </row>
    <row r="243" spans="21:26" ht="15.75" x14ac:dyDescent="0.25">
      <c r="U243" s="107"/>
      <c r="V243" s="26"/>
      <c r="W243" s="26"/>
      <c r="X243" s="26"/>
      <c r="Y243" s="26"/>
      <c r="Z243" s="26"/>
    </row>
    <row r="244" spans="21:26" ht="15.75" x14ac:dyDescent="0.25">
      <c r="U244" s="107"/>
      <c r="V244" s="26"/>
      <c r="W244" s="26"/>
      <c r="X244" s="26"/>
      <c r="Y244" s="26"/>
      <c r="Z244" s="26"/>
    </row>
    <row r="245" spans="21:26" ht="15.75" x14ac:dyDescent="0.25">
      <c r="U245" s="107"/>
      <c r="V245" s="26"/>
      <c r="W245" s="26"/>
      <c r="X245" s="26"/>
      <c r="Y245" s="26"/>
      <c r="Z245" s="26"/>
    </row>
    <row r="246" spans="21:26" ht="15.75" x14ac:dyDescent="0.25">
      <c r="U246" s="107"/>
      <c r="V246" s="26"/>
      <c r="W246" s="26"/>
      <c r="X246" s="26"/>
      <c r="Y246" s="26"/>
      <c r="Z246" s="26"/>
    </row>
    <row r="247" spans="21:26" ht="15.75" x14ac:dyDescent="0.25">
      <c r="U247" s="107"/>
      <c r="V247" s="26"/>
      <c r="W247" s="26"/>
      <c r="X247" s="26"/>
      <c r="Y247" s="26"/>
      <c r="Z247" s="26"/>
    </row>
    <row r="248" spans="21:26" ht="15.75" x14ac:dyDescent="0.25">
      <c r="U248" s="107"/>
      <c r="V248" s="26"/>
      <c r="W248" s="26"/>
      <c r="X248" s="26"/>
      <c r="Y248" s="26"/>
      <c r="Z248" s="26"/>
    </row>
    <row r="249" spans="21:26" ht="15.75" x14ac:dyDescent="0.25">
      <c r="U249" s="107"/>
      <c r="V249" s="26"/>
      <c r="W249" s="26"/>
      <c r="X249" s="26"/>
      <c r="Y249" s="26"/>
      <c r="Z249" s="26"/>
    </row>
    <row r="250" spans="21:26" ht="15.75" x14ac:dyDescent="0.25">
      <c r="U250" s="107"/>
      <c r="V250" s="26"/>
      <c r="W250" s="26"/>
      <c r="X250" s="26"/>
      <c r="Y250" s="26"/>
      <c r="Z250" s="26"/>
    </row>
    <row r="251" spans="21:26" ht="15.75" x14ac:dyDescent="0.25">
      <c r="U251" s="107"/>
      <c r="V251" s="26"/>
      <c r="W251" s="26"/>
      <c r="X251" s="26"/>
      <c r="Y251" s="26"/>
      <c r="Z251" s="26"/>
    </row>
    <row r="252" spans="21:26" ht="15.75" x14ac:dyDescent="0.25">
      <c r="U252" s="107"/>
      <c r="V252" s="26"/>
      <c r="W252" s="26"/>
      <c r="X252" s="26"/>
      <c r="Y252" s="26"/>
      <c r="Z252" s="26"/>
    </row>
    <row r="253" spans="21:26" ht="15.75" x14ac:dyDescent="0.25">
      <c r="U253" s="107"/>
      <c r="V253" s="26"/>
      <c r="W253" s="26"/>
      <c r="X253" s="26"/>
      <c r="Y253" s="26"/>
      <c r="Z253" s="26"/>
    </row>
    <row r="254" spans="21:26" ht="15.75" x14ac:dyDescent="0.25">
      <c r="U254" s="107"/>
      <c r="V254" s="26"/>
      <c r="W254" s="26"/>
      <c r="X254" s="26"/>
      <c r="Y254" s="26"/>
      <c r="Z254" s="26"/>
    </row>
    <row r="255" spans="21:26" ht="15.75" x14ac:dyDescent="0.25">
      <c r="U255" s="107"/>
      <c r="V255" s="26"/>
      <c r="W255" s="26"/>
      <c r="X255" s="26"/>
      <c r="Y255" s="26"/>
      <c r="Z255" s="26"/>
    </row>
    <row r="256" spans="21:26" ht="15.75" x14ac:dyDescent="0.25">
      <c r="U256" s="107"/>
      <c r="V256" s="26"/>
      <c r="W256" s="26"/>
      <c r="X256" s="26"/>
      <c r="Y256" s="26"/>
      <c r="Z256" s="26"/>
    </row>
    <row r="257" spans="21:26" ht="15.75" x14ac:dyDescent="0.25">
      <c r="U257" s="107"/>
      <c r="V257" s="26"/>
      <c r="W257" s="26"/>
      <c r="X257" s="26"/>
      <c r="Y257" s="26"/>
      <c r="Z257" s="26"/>
    </row>
    <row r="258" spans="21:26" ht="15.75" x14ac:dyDescent="0.25">
      <c r="U258" s="107"/>
      <c r="V258" s="26"/>
      <c r="W258" s="26"/>
      <c r="X258" s="26"/>
      <c r="Y258" s="26"/>
      <c r="Z258" s="26"/>
    </row>
    <row r="259" spans="21:26" ht="15.75" x14ac:dyDescent="0.25">
      <c r="U259" s="107"/>
      <c r="V259" s="26"/>
      <c r="W259" s="26"/>
      <c r="X259" s="26"/>
      <c r="Y259" s="26"/>
      <c r="Z259" s="26"/>
    </row>
    <row r="260" spans="21:26" ht="15.75" x14ac:dyDescent="0.25">
      <c r="U260" s="107"/>
      <c r="V260" s="26"/>
      <c r="W260" s="26"/>
      <c r="X260" s="26"/>
      <c r="Y260" s="26"/>
      <c r="Z260" s="26"/>
    </row>
    <row r="261" spans="21:26" ht="15.75" x14ac:dyDescent="0.25">
      <c r="U261" s="107"/>
      <c r="V261" s="26"/>
      <c r="W261" s="26"/>
      <c r="X261" s="26"/>
      <c r="Y261" s="26"/>
      <c r="Z261" s="26"/>
    </row>
    <row r="262" spans="21:26" ht="15.75" x14ac:dyDescent="0.25">
      <c r="U262" s="107"/>
      <c r="V262" s="26"/>
      <c r="W262" s="26"/>
      <c r="X262" s="26"/>
      <c r="Y262" s="26"/>
      <c r="Z262" s="26"/>
    </row>
    <row r="263" spans="21:26" ht="15.75" x14ac:dyDescent="0.25">
      <c r="U263" s="107"/>
      <c r="V263" s="26"/>
      <c r="W263" s="26"/>
      <c r="X263" s="26"/>
      <c r="Y263" s="26"/>
      <c r="Z263" s="26"/>
    </row>
    <row r="264" spans="21:26" ht="15.75" x14ac:dyDescent="0.25">
      <c r="U264" s="107"/>
      <c r="V264" s="26"/>
      <c r="W264" s="26"/>
      <c r="X264" s="26"/>
      <c r="Y264" s="26"/>
      <c r="Z264" s="26"/>
    </row>
    <row r="265" spans="21:26" ht="15.75" x14ac:dyDescent="0.25">
      <c r="U265" s="107"/>
      <c r="V265" s="26"/>
      <c r="W265" s="26"/>
      <c r="X265" s="26"/>
      <c r="Y265" s="26"/>
      <c r="Z265" s="26"/>
    </row>
    <row r="266" spans="21:26" ht="15.75" x14ac:dyDescent="0.25">
      <c r="U266" s="107"/>
      <c r="V266" s="26"/>
      <c r="W266" s="26"/>
      <c r="X266" s="26"/>
      <c r="Y266" s="26"/>
      <c r="Z266" s="26"/>
    </row>
    <row r="267" spans="21:26" ht="15.75" x14ac:dyDescent="0.25">
      <c r="U267" s="107"/>
      <c r="V267" s="26"/>
      <c r="W267" s="26"/>
      <c r="X267" s="26"/>
      <c r="Y267" s="26"/>
      <c r="Z267" s="26"/>
    </row>
    <row r="268" spans="21:26" ht="15.75" x14ac:dyDescent="0.25">
      <c r="U268" s="107"/>
      <c r="V268" s="26"/>
      <c r="W268" s="26"/>
      <c r="X268" s="26"/>
      <c r="Y268" s="26"/>
      <c r="Z268" s="26"/>
    </row>
    <row r="269" spans="21:26" ht="15.75" x14ac:dyDescent="0.25">
      <c r="U269" s="107"/>
      <c r="V269" s="26"/>
      <c r="W269" s="26"/>
      <c r="X269" s="26"/>
      <c r="Y269" s="26"/>
      <c r="Z269" s="26"/>
    </row>
    <row r="270" spans="21:26" ht="15.75" x14ac:dyDescent="0.25">
      <c r="U270" s="107"/>
      <c r="V270" s="26"/>
      <c r="W270" s="26"/>
      <c r="X270" s="26"/>
      <c r="Y270" s="26"/>
      <c r="Z270" s="26"/>
    </row>
    <row r="271" spans="21:26" ht="15.75" x14ac:dyDescent="0.25">
      <c r="U271" s="107"/>
      <c r="V271" s="26"/>
      <c r="W271" s="26"/>
      <c r="X271" s="26"/>
      <c r="Y271" s="26"/>
      <c r="Z271" s="26"/>
    </row>
    <row r="272" spans="21:26" ht="15.75" x14ac:dyDescent="0.25">
      <c r="U272" s="107"/>
      <c r="V272" s="26"/>
      <c r="W272" s="26"/>
      <c r="X272" s="26"/>
      <c r="Y272" s="26"/>
      <c r="Z272" s="26"/>
    </row>
    <row r="273" spans="21:26" ht="15.75" x14ac:dyDescent="0.25">
      <c r="U273" s="107"/>
      <c r="V273" s="26"/>
      <c r="W273" s="26"/>
      <c r="X273" s="26"/>
      <c r="Y273" s="26"/>
      <c r="Z273" s="26"/>
    </row>
    <row r="274" spans="21:26" ht="15.75" x14ac:dyDescent="0.25">
      <c r="U274" s="107"/>
      <c r="V274" s="26"/>
      <c r="W274" s="26"/>
      <c r="X274" s="26"/>
      <c r="Y274" s="26"/>
      <c r="Z274" s="26"/>
    </row>
    <row r="275" spans="21:26" ht="15.75" x14ac:dyDescent="0.25">
      <c r="U275" s="107"/>
      <c r="V275" s="26"/>
      <c r="W275" s="26"/>
      <c r="X275" s="26"/>
      <c r="Y275" s="26"/>
      <c r="Z275" s="26"/>
    </row>
    <row r="276" spans="21:26" ht="15.75" x14ac:dyDescent="0.25">
      <c r="U276" s="107"/>
      <c r="V276" s="26"/>
      <c r="W276" s="26"/>
      <c r="X276" s="26"/>
      <c r="Y276" s="26"/>
      <c r="Z276" s="26"/>
    </row>
    <row r="277" spans="21:26" ht="15.75" x14ac:dyDescent="0.25">
      <c r="U277" s="107"/>
      <c r="V277" s="26"/>
      <c r="W277" s="26"/>
      <c r="X277" s="26"/>
      <c r="Y277" s="26"/>
      <c r="Z277" s="26"/>
    </row>
    <row r="278" spans="21:26" ht="15.75" x14ac:dyDescent="0.25">
      <c r="U278" s="107"/>
      <c r="V278" s="26"/>
      <c r="W278" s="26"/>
      <c r="X278" s="26"/>
      <c r="Y278" s="26"/>
      <c r="Z278" s="26"/>
    </row>
    <row r="279" spans="21:26" ht="15.75" x14ac:dyDescent="0.25">
      <c r="U279" s="107"/>
      <c r="V279" s="26"/>
      <c r="W279" s="26"/>
      <c r="X279" s="26"/>
      <c r="Y279" s="26"/>
      <c r="Z279" s="26"/>
    </row>
    <row r="280" spans="21:26" ht="15.75" x14ac:dyDescent="0.25">
      <c r="U280" s="107"/>
      <c r="V280" s="26"/>
      <c r="W280" s="26"/>
      <c r="X280" s="26"/>
      <c r="Y280" s="26"/>
      <c r="Z280" s="26"/>
    </row>
    <row r="281" spans="21:26" ht="15.75" x14ac:dyDescent="0.25">
      <c r="U281" s="107"/>
      <c r="V281" s="26"/>
      <c r="W281" s="26"/>
      <c r="X281" s="26"/>
      <c r="Y281" s="26"/>
      <c r="Z281" s="26"/>
    </row>
    <row r="282" spans="21:26" ht="15.75" x14ac:dyDescent="0.25">
      <c r="U282" s="107"/>
      <c r="V282" s="26"/>
      <c r="W282" s="26"/>
      <c r="X282" s="26"/>
      <c r="Y282" s="26"/>
      <c r="Z282" s="26"/>
    </row>
    <row r="283" spans="21:26" ht="15.75" x14ac:dyDescent="0.25">
      <c r="U283" s="107"/>
      <c r="V283" s="26"/>
      <c r="W283" s="26"/>
      <c r="X283" s="26"/>
      <c r="Y283" s="26"/>
      <c r="Z283" s="26"/>
    </row>
    <row r="284" spans="21:26" ht="15.75" x14ac:dyDescent="0.25">
      <c r="U284" s="107"/>
      <c r="V284" s="26"/>
      <c r="W284" s="26"/>
      <c r="X284" s="26"/>
      <c r="Y284" s="26"/>
      <c r="Z284" s="26"/>
    </row>
    <row r="285" spans="21:26" ht="15.75" x14ac:dyDescent="0.25">
      <c r="U285" s="107"/>
      <c r="V285" s="26"/>
      <c r="W285" s="26"/>
      <c r="X285" s="26"/>
      <c r="Y285" s="26"/>
      <c r="Z285" s="26"/>
    </row>
    <row r="286" spans="21:26" ht="15.75" x14ac:dyDescent="0.25">
      <c r="U286" s="107"/>
      <c r="V286" s="26"/>
      <c r="W286" s="26"/>
      <c r="X286" s="26"/>
      <c r="Y286" s="26"/>
      <c r="Z286" s="26"/>
    </row>
    <row r="287" spans="21:26" ht="15.75" x14ac:dyDescent="0.25">
      <c r="U287" s="107"/>
      <c r="V287" s="26"/>
      <c r="W287" s="26"/>
      <c r="X287" s="26"/>
      <c r="Y287" s="26"/>
      <c r="Z287" s="26"/>
    </row>
    <row r="288" spans="21:26" ht="15.75" x14ac:dyDescent="0.25">
      <c r="U288" s="107"/>
      <c r="V288" s="26"/>
      <c r="W288" s="26"/>
      <c r="X288" s="26"/>
      <c r="Y288" s="26"/>
      <c r="Z288" s="26"/>
    </row>
    <row r="289" spans="21:26" ht="15.75" x14ac:dyDescent="0.25">
      <c r="U289" s="107"/>
      <c r="V289" s="26"/>
      <c r="W289" s="26"/>
      <c r="X289" s="26"/>
      <c r="Y289" s="26"/>
      <c r="Z289" s="26"/>
    </row>
    <row r="290" spans="21:26" ht="15.75" x14ac:dyDescent="0.25">
      <c r="U290" s="107"/>
      <c r="V290" s="26"/>
      <c r="W290" s="26"/>
      <c r="X290" s="26"/>
      <c r="Y290" s="26"/>
      <c r="Z290" s="26"/>
    </row>
    <row r="291" spans="21:26" ht="15.75" x14ac:dyDescent="0.25">
      <c r="U291" s="107"/>
      <c r="V291" s="26"/>
      <c r="W291" s="26"/>
      <c r="X291" s="26"/>
      <c r="Y291" s="26"/>
      <c r="Z291" s="26"/>
    </row>
    <row r="292" spans="21:26" ht="15.75" x14ac:dyDescent="0.25">
      <c r="U292" s="107"/>
      <c r="V292" s="26"/>
      <c r="W292" s="26"/>
      <c r="X292" s="26"/>
      <c r="Y292" s="26"/>
      <c r="Z292" s="26"/>
    </row>
    <row r="293" spans="21:26" ht="15.75" x14ac:dyDescent="0.25">
      <c r="U293" s="107"/>
      <c r="V293" s="26"/>
      <c r="W293" s="26"/>
      <c r="X293" s="26"/>
      <c r="Y293" s="26"/>
      <c r="Z293" s="26"/>
    </row>
    <row r="294" spans="21:26" ht="15.75" x14ac:dyDescent="0.25">
      <c r="U294" s="107"/>
      <c r="V294" s="26"/>
      <c r="W294" s="26"/>
      <c r="X294" s="26"/>
      <c r="Y294" s="26"/>
      <c r="Z294" s="26"/>
    </row>
    <row r="295" spans="21:26" ht="15.75" x14ac:dyDescent="0.25">
      <c r="U295" s="107"/>
      <c r="V295" s="26"/>
      <c r="W295" s="26"/>
      <c r="X295" s="26"/>
      <c r="Y295" s="26"/>
      <c r="Z295" s="26"/>
    </row>
    <row r="296" spans="21:26" ht="15.75" x14ac:dyDescent="0.25">
      <c r="U296" s="107"/>
      <c r="V296" s="26"/>
      <c r="W296" s="26"/>
      <c r="X296" s="26"/>
      <c r="Y296" s="26"/>
      <c r="Z296" s="26"/>
    </row>
    <row r="297" spans="21:26" ht="15.75" x14ac:dyDescent="0.25">
      <c r="U297" s="107"/>
      <c r="V297" s="26"/>
      <c r="W297" s="26"/>
      <c r="X297" s="26"/>
      <c r="Y297" s="26"/>
      <c r="Z297" s="26"/>
    </row>
    <row r="298" spans="21:26" ht="15.75" x14ac:dyDescent="0.25">
      <c r="U298" s="107"/>
      <c r="V298" s="26"/>
      <c r="W298" s="26"/>
      <c r="X298" s="26"/>
      <c r="Y298" s="26"/>
      <c r="Z298" s="26"/>
    </row>
    <row r="299" spans="21:26" ht="15.75" x14ac:dyDescent="0.25">
      <c r="U299" s="107"/>
      <c r="V299" s="26"/>
      <c r="W299" s="26"/>
      <c r="X299" s="26"/>
      <c r="Y299" s="26"/>
      <c r="Z299" s="26"/>
    </row>
    <row r="300" spans="21:26" ht="15.75" x14ac:dyDescent="0.25">
      <c r="U300" s="107"/>
      <c r="V300" s="26"/>
      <c r="W300" s="26"/>
      <c r="X300" s="26"/>
      <c r="Y300" s="26"/>
      <c r="Z300" s="26"/>
    </row>
    <row r="301" spans="21:26" ht="15.75" x14ac:dyDescent="0.25">
      <c r="U301" s="107"/>
      <c r="V301" s="26"/>
      <c r="W301" s="26"/>
      <c r="X301" s="26"/>
      <c r="Y301" s="26"/>
      <c r="Z301" s="26"/>
    </row>
    <row r="302" spans="21:26" ht="15.75" x14ac:dyDescent="0.25">
      <c r="U302" s="107"/>
      <c r="V302" s="26"/>
      <c r="W302" s="26"/>
      <c r="X302" s="26"/>
      <c r="Y302" s="26"/>
      <c r="Z302" s="26"/>
    </row>
    <row r="303" spans="21:26" ht="15.75" x14ac:dyDescent="0.25">
      <c r="U303" s="107"/>
      <c r="V303" s="26"/>
      <c r="W303" s="26"/>
      <c r="X303" s="26"/>
      <c r="Y303" s="26"/>
      <c r="Z303" s="26"/>
    </row>
    <row r="304" spans="21:26" ht="15.75" x14ac:dyDescent="0.25">
      <c r="U304" s="107"/>
      <c r="V304" s="26"/>
      <c r="W304" s="26"/>
      <c r="X304" s="26"/>
      <c r="Y304" s="26"/>
      <c r="Z304" s="26"/>
    </row>
    <row r="305" spans="21:26" ht="15.75" x14ac:dyDescent="0.25">
      <c r="U305" s="107"/>
      <c r="V305" s="26"/>
      <c r="W305" s="26"/>
      <c r="X305" s="26"/>
      <c r="Y305" s="26"/>
      <c r="Z305" s="26"/>
    </row>
    <row r="306" spans="21:26" ht="15.75" x14ac:dyDescent="0.25">
      <c r="U306" s="107"/>
      <c r="V306" s="26"/>
      <c r="W306" s="26"/>
      <c r="X306" s="26"/>
      <c r="Y306" s="26"/>
      <c r="Z306" s="26"/>
    </row>
    <row r="307" spans="21:26" ht="15.75" x14ac:dyDescent="0.25">
      <c r="U307" s="107"/>
      <c r="V307" s="26"/>
      <c r="W307" s="26"/>
      <c r="X307" s="26"/>
      <c r="Y307" s="26"/>
      <c r="Z307" s="26"/>
    </row>
    <row r="308" spans="21:26" ht="15.75" x14ac:dyDescent="0.25">
      <c r="U308" s="107"/>
      <c r="V308" s="26"/>
      <c r="W308" s="26"/>
      <c r="X308" s="26"/>
      <c r="Y308" s="26"/>
      <c r="Z308" s="26"/>
    </row>
    <row r="309" spans="21:26" ht="15.75" x14ac:dyDescent="0.25">
      <c r="U309" s="107"/>
      <c r="V309" s="26"/>
      <c r="W309" s="26"/>
      <c r="X309" s="26"/>
      <c r="Y309" s="26"/>
      <c r="Z309" s="26"/>
    </row>
    <row r="310" spans="21:26" ht="15.75" x14ac:dyDescent="0.25">
      <c r="U310" s="107"/>
      <c r="V310" s="26"/>
      <c r="W310" s="26"/>
      <c r="X310" s="26"/>
      <c r="Y310" s="26"/>
      <c r="Z310" s="26"/>
    </row>
    <row r="311" spans="21:26" ht="15.75" x14ac:dyDescent="0.25">
      <c r="U311" s="107"/>
      <c r="V311" s="26"/>
      <c r="W311" s="26"/>
      <c r="X311" s="26"/>
      <c r="Y311" s="26"/>
      <c r="Z311" s="26"/>
    </row>
    <row r="312" spans="21:26" ht="15.75" x14ac:dyDescent="0.25">
      <c r="U312" s="107"/>
      <c r="V312" s="26"/>
      <c r="W312" s="26"/>
      <c r="X312" s="26"/>
      <c r="Y312" s="26"/>
      <c r="Z312" s="26"/>
    </row>
    <row r="313" spans="21:26" ht="15.75" x14ac:dyDescent="0.25">
      <c r="U313" s="107"/>
      <c r="V313" s="26"/>
      <c r="W313" s="26"/>
      <c r="X313" s="26"/>
      <c r="Y313" s="26"/>
      <c r="Z313" s="26"/>
    </row>
    <row r="314" spans="21:26" ht="15.75" x14ac:dyDescent="0.25">
      <c r="U314" s="107"/>
      <c r="V314" s="26"/>
      <c r="W314" s="26"/>
      <c r="X314" s="26"/>
      <c r="Y314" s="26"/>
      <c r="Z314" s="26"/>
    </row>
    <row r="315" spans="21:26" ht="15.75" x14ac:dyDescent="0.25">
      <c r="U315" s="107"/>
      <c r="V315" s="26"/>
      <c r="W315" s="26"/>
      <c r="X315" s="26"/>
      <c r="Y315" s="26"/>
      <c r="Z315" s="26"/>
    </row>
    <row r="316" spans="21:26" ht="15.75" x14ac:dyDescent="0.25">
      <c r="U316" s="107"/>
      <c r="V316" s="26"/>
      <c r="W316" s="26"/>
      <c r="X316" s="26"/>
      <c r="Y316" s="26"/>
      <c r="Z316" s="26"/>
    </row>
    <row r="317" spans="21:26" ht="15.75" x14ac:dyDescent="0.25">
      <c r="U317" s="107"/>
      <c r="V317" s="26"/>
      <c r="W317" s="26"/>
      <c r="X317" s="26"/>
      <c r="Y317" s="26"/>
      <c r="Z317" s="26"/>
    </row>
    <row r="318" spans="21:26" ht="15.75" x14ac:dyDescent="0.25">
      <c r="U318" s="107"/>
      <c r="V318" s="26"/>
      <c r="W318" s="26"/>
      <c r="X318" s="26"/>
      <c r="Y318" s="26"/>
      <c r="Z318" s="26"/>
    </row>
    <row r="319" spans="21:26" ht="15.75" x14ac:dyDescent="0.25">
      <c r="U319" s="107"/>
      <c r="V319" s="26"/>
      <c r="W319" s="26"/>
      <c r="X319" s="26"/>
      <c r="Y319" s="26"/>
      <c r="Z319" s="26"/>
    </row>
    <row r="320" spans="21:26" ht="15.75" x14ac:dyDescent="0.25">
      <c r="U320" s="107"/>
      <c r="V320" s="26"/>
      <c r="W320" s="26"/>
      <c r="X320" s="26"/>
      <c r="Y320" s="26"/>
      <c r="Z320" s="26"/>
    </row>
    <row r="321" spans="21:26" ht="15.75" x14ac:dyDescent="0.25">
      <c r="U321" s="107"/>
      <c r="V321" s="26"/>
      <c r="W321" s="26"/>
      <c r="X321" s="26"/>
      <c r="Y321" s="26"/>
      <c r="Z321" s="26"/>
    </row>
    <row r="322" spans="21:26" ht="15.75" x14ac:dyDescent="0.25">
      <c r="U322" s="107"/>
      <c r="V322" s="26"/>
      <c r="W322" s="26"/>
      <c r="X322" s="26"/>
      <c r="Y322" s="26"/>
      <c r="Z322" s="26"/>
    </row>
    <row r="323" spans="21:26" ht="15.75" x14ac:dyDescent="0.25">
      <c r="U323" s="107"/>
      <c r="V323" s="26"/>
      <c r="W323" s="26"/>
      <c r="X323" s="26"/>
      <c r="Y323" s="26"/>
      <c r="Z323" s="26"/>
    </row>
    <row r="324" spans="21:26" ht="15.75" x14ac:dyDescent="0.25">
      <c r="U324" s="107"/>
      <c r="V324" s="26"/>
      <c r="W324" s="26"/>
      <c r="X324" s="26"/>
      <c r="Y324" s="26"/>
      <c r="Z324" s="26"/>
    </row>
    <row r="325" spans="21:26" ht="15.75" x14ac:dyDescent="0.25">
      <c r="U325" s="107"/>
      <c r="V325" s="26"/>
      <c r="W325" s="26"/>
      <c r="X325" s="26"/>
      <c r="Y325" s="26"/>
      <c r="Z325" s="26"/>
    </row>
    <row r="326" spans="21:26" ht="15.75" x14ac:dyDescent="0.25">
      <c r="U326" s="107"/>
      <c r="V326" s="26"/>
      <c r="W326" s="26"/>
      <c r="X326" s="26"/>
      <c r="Y326" s="26"/>
      <c r="Z326" s="26"/>
    </row>
    <row r="327" spans="21:26" ht="15.75" x14ac:dyDescent="0.25">
      <c r="U327" s="107"/>
      <c r="V327" s="26"/>
      <c r="W327" s="26"/>
      <c r="X327" s="26"/>
      <c r="Y327" s="26"/>
      <c r="Z327" s="26"/>
    </row>
    <row r="328" spans="21:26" ht="15.75" x14ac:dyDescent="0.25">
      <c r="U328" s="107"/>
      <c r="V328" s="26"/>
      <c r="W328" s="26"/>
      <c r="X328" s="26"/>
      <c r="Y328" s="26"/>
      <c r="Z328" s="26"/>
    </row>
    <row r="329" spans="21:26" ht="15.75" x14ac:dyDescent="0.25">
      <c r="U329" s="107"/>
      <c r="V329" s="26"/>
      <c r="W329" s="26"/>
      <c r="X329" s="26"/>
      <c r="Y329" s="26"/>
      <c r="Z329" s="26"/>
    </row>
    <row r="330" spans="21:26" ht="15.75" x14ac:dyDescent="0.25">
      <c r="U330" s="107"/>
      <c r="V330" s="26"/>
      <c r="W330" s="26"/>
      <c r="X330" s="26"/>
      <c r="Y330" s="26"/>
      <c r="Z330" s="26"/>
    </row>
    <row r="331" spans="21:26" ht="15.75" x14ac:dyDescent="0.25">
      <c r="U331" s="107"/>
      <c r="V331" s="26"/>
      <c r="W331" s="26"/>
      <c r="X331" s="26"/>
      <c r="Y331" s="26"/>
      <c r="Z331" s="26"/>
    </row>
    <row r="332" spans="21:26" ht="15.75" x14ac:dyDescent="0.25">
      <c r="U332" s="107"/>
      <c r="V332" s="26"/>
      <c r="W332" s="26"/>
      <c r="X332" s="26"/>
      <c r="Y332" s="26"/>
      <c r="Z332" s="26"/>
    </row>
    <row r="333" spans="21:26" ht="15.75" x14ac:dyDescent="0.25">
      <c r="U333" s="107"/>
      <c r="V333" s="26"/>
      <c r="W333" s="26"/>
      <c r="X333" s="26"/>
      <c r="Y333" s="26"/>
      <c r="Z333" s="26"/>
    </row>
    <row r="334" spans="21:26" ht="15.75" x14ac:dyDescent="0.25">
      <c r="U334" s="107"/>
      <c r="V334" s="26"/>
      <c r="W334" s="26"/>
      <c r="X334" s="26"/>
      <c r="Y334" s="26"/>
      <c r="Z334" s="26"/>
    </row>
    <row r="335" spans="21:26" ht="15.75" x14ac:dyDescent="0.25">
      <c r="U335" s="107"/>
      <c r="V335" s="26"/>
      <c r="W335" s="26"/>
      <c r="X335" s="26"/>
      <c r="Y335" s="26"/>
      <c r="Z335" s="26"/>
    </row>
    <row r="336" spans="21:26" ht="15.75" x14ac:dyDescent="0.25">
      <c r="U336" s="107"/>
      <c r="V336" s="26"/>
      <c r="W336" s="26"/>
      <c r="X336" s="26"/>
      <c r="Y336" s="26"/>
      <c r="Z336" s="26"/>
    </row>
    <row r="337" spans="21:26" ht="15.75" x14ac:dyDescent="0.25">
      <c r="U337" s="107"/>
      <c r="V337" s="26"/>
      <c r="W337" s="26"/>
      <c r="X337" s="26"/>
      <c r="Y337" s="26"/>
      <c r="Z337" s="26"/>
    </row>
    <row r="338" spans="21:26" ht="15.75" x14ac:dyDescent="0.25">
      <c r="U338" s="107"/>
      <c r="V338" s="26"/>
      <c r="W338" s="26"/>
      <c r="X338" s="26"/>
      <c r="Y338" s="26"/>
      <c r="Z338" s="26"/>
    </row>
    <row r="339" spans="21:26" ht="15.75" x14ac:dyDescent="0.25">
      <c r="U339" s="107"/>
      <c r="V339" s="26"/>
      <c r="W339" s="26"/>
      <c r="X339" s="26"/>
      <c r="Y339" s="26"/>
      <c r="Z339" s="26"/>
    </row>
    <row r="340" spans="21:26" ht="15.75" x14ac:dyDescent="0.25">
      <c r="U340" s="107"/>
      <c r="V340" s="26"/>
      <c r="W340" s="26"/>
      <c r="X340" s="26"/>
      <c r="Y340" s="26"/>
      <c r="Z340" s="26"/>
    </row>
    <row r="341" spans="21:26" ht="15.75" x14ac:dyDescent="0.25">
      <c r="U341" s="107"/>
      <c r="V341" s="26"/>
      <c r="W341" s="26"/>
      <c r="X341" s="26"/>
      <c r="Y341" s="26"/>
      <c r="Z341" s="26"/>
    </row>
    <row r="342" spans="21:26" ht="15.75" x14ac:dyDescent="0.25">
      <c r="U342" s="107"/>
      <c r="V342" s="26"/>
      <c r="W342" s="26"/>
      <c r="X342" s="26"/>
      <c r="Y342" s="26"/>
      <c r="Z342" s="26"/>
    </row>
    <row r="343" spans="21:26" ht="15.75" x14ac:dyDescent="0.25">
      <c r="U343" s="107"/>
      <c r="V343" s="26"/>
      <c r="W343" s="26"/>
      <c r="X343" s="26"/>
      <c r="Y343" s="26"/>
      <c r="Z343" s="26"/>
    </row>
    <row r="344" spans="21:26" ht="15.75" x14ac:dyDescent="0.25">
      <c r="U344" s="107"/>
      <c r="V344" s="26"/>
      <c r="W344" s="26"/>
      <c r="X344" s="26"/>
      <c r="Y344" s="26"/>
      <c r="Z344" s="26"/>
    </row>
    <row r="345" spans="21:26" ht="15.75" x14ac:dyDescent="0.25">
      <c r="U345" s="107"/>
      <c r="V345" s="26"/>
      <c r="W345" s="26"/>
      <c r="X345" s="26"/>
      <c r="Y345" s="26"/>
      <c r="Z345" s="26"/>
    </row>
    <row r="346" spans="21:26" ht="15.75" x14ac:dyDescent="0.25">
      <c r="U346" s="107"/>
      <c r="V346" s="26"/>
      <c r="W346" s="26"/>
      <c r="X346" s="26"/>
      <c r="Y346" s="26"/>
      <c r="Z346" s="26"/>
    </row>
    <row r="347" spans="21:26" ht="15.75" x14ac:dyDescent="0.25">
      <c r="U347" s="107"/>
      <c r="V347" s="26"/>
      <c r="W347" s="26"/>
      <c r="X347" s="26"/>
      <c r="Y347" s="26"/>
      <c r="Z347" s="26"/>
    </row>
    <row r="348" spans="21:26" ht="15.75" x14ac:dyDescent="0.25">
      <c r="U348" s="107"/>
      <c r="V348" s="26"/>
      <c r="W348" s="26"/>
      <c r="X348" s="26"/>
      <c r="Y348" s="26"/>
      <c r="Z348" s="26"/>
    </row>
    <row r="349" spans="21:26" ht="15.75" x14ac:dyDescent="0.25">
      <c r="U349" s="107"/>
      <c r="V349" s="26"/>
      <c r="W349" s="26"/>
      <c r="X349" s="26"/>
      <c r="Y349" s="26"/>
      <c r="Z349" s="26"/>
    </row>
    <row r="350" spans="21:26" ht="15.75" x14ac:dyDescent="0.25">
      <c r="U350" s="107"/>
      <c r="V350" s="26"/>
      <c r="W350" s="26"/>
      <c r="X350" s="26"/>
      <c r="Y350" s="26"/>
      <c r="Z350" s="26"/>
    </row>
    <row r="351" spans="21:26" ht="15.75" x14ac:dyDescent="0.25">
      <c r="U351" s="107"/>
      <c r="V351" s="26"/>
      <c r="W351" s="26"/>
      <c r="X351" s="26"/>
      <c r="Y351" s="26"/>
      <c r="Z351" s="26"/>
    </row>
    <row r="352" spans="21:26" ht="15.75" x14ac:dyDescent="0.25">
      <c r="U352" s="107"/>
      <c r="V352" s="26"/>
      <c r="W352" s="26"/>
      <c r="X352" s="26"/>
      <c r="Y352" s="26"/>
      <c r="Z352" s="26"/>
    </row>
    <row r="353" spans="21:26" ht="15.75" x14ac:dyDescent="0.25">
      <c r="U353" s="107"/>
      <c r="V353" s="26"/>
      <c r="W353" s="26"/>
      <c r="X353" s="26"/>
      <c r="Y353" s="26"/>
      <c r="Z353" s="26"/>
    </row>
    <row r="354" spans="21:26" ht="15.75" x14ac:dyDescent="0.25">
      <c r="U354" s="107"/>
      <c r="V354" s="26"/>
      <c r="W354" s="26"/>
      <c r="X354" s="26"/>
      <c r="Y354" s="26"/>
      <c r="Z354" s="26"/>
    </row>
    <row r="355" spans="21:26" ht="15.75" x14ac:dyDescent="0.25">
      <c r="U355" s="107"/>
      <c r="V355" s="26"/>
      <c r="W355" s="26"/>
      <c r="X355" s="26"/>
      <c r="Y355" s="26"/>
      <c r="Z355" s="26"/>
    </row>
    <row r="356" spans="21:26" ht="15.75" x14ac:dyDescent="0.25">
      <c r="U356" s="107"/>
      <c r="V356" s="26"/>
      <c r="W356" s="26"/>
      <c r="X356" s="26"/>
      <c r="Y356" s="26"/>
      <c r="Z356" s="26"/>
    </row>
    <row r="357" spans="21:26" ht="15.75" x14ac:dyDescent="0.25">
      <c r="U357" s="107"/>
      <c r="V357" s="26"/>
      <c r="W357" s="26"/>
      <c r="X357" s="26"/>
      <c r="Y357" s="26"/>
      <c r="Z357" s="26"/>
    </row>
    <row r="358" spans="21:26" ht="15.75" x14ac:dyDescent="0.25">
      <c r="U358" s="107"/>
      <c r="V358" s="26"/>
      <c r="W358" s="26"/>
      <c r="X358" s="26"/>
      <c r="Y358" s="26"/>
      <c r="Z358" s="26"/>
    </row>
    <row r="359" spans="21:26" ht="15.75" x14ac:dyDescent="0.25">
      <c r="U359" s="107"/>
      <c r="V359" s="26"/>
      <c r="W359" s="26"/>
      <c r="X359" s="26"/>
      <c r="Y359" s="26"/>
      <c r="Z359" s="26"/>
    </row>
    <row r="360" spans="21:26" ht="15.75" x14ac:dyDescent="0.25">
      <c r="U360" s="107"/>
      <c r="V360" s="26"/>
      <c r="W360" s="26"/>
      <c r="X360" s="26"/>
      <c r="Y360" s="26"/>
      <c r="Z360" s="26"/>
    </row>
    <row r="361" spans="21:26" ht="15.75" x14ac:dyDescent="0.25">
      <c r="U361" s="107"/>
      <c r="V361" s="26"/>
      <c r="W361" s="26"/>
      <c r="X361" s="26"/>
      <c r="Y361" s="26"/>
      <c r="Z361" s="26"/>
    </row>
    <row r="362" spans="21:26" ht="15.75" x14ac:dyDescent="0.25">
      <c r="U362" s="107"/>
      <c r="V362" s="26"/>
      <c r="W362" s="26"/>
      <c r="X362" s="26"/>
      <c r="Y362" s="26"/>
      <c r="Z362" s="26"/>
    </row>
    <row r="363" spans="21:26" ht="15.75" x14ac:dyDescent="0.25">
      <c r="U363" s="107"/>
      <c r="V363" s="26"/>
      <c r="W363" s="26"/>
      <c r="X363" s="26"/>
      <c r="Y363" s="26"/>
      <c r="Z363" s="26"/>
    </row>
    <row r="364" spans="21:26" ht="15.75" x14ac:dyDescent="0.25">
      <c r="U364" s="107"/>
      <c r="V364" s="26"/>
      <c r="W364" s="26"/>
      <c r="X364" s="26"/>
      <c r="Y364" s="26"/>
      <c r="Z364" s="26"/>
    </row>
    <row r="365" spans="21:26" ht="15.75" x14ac:dyDescent="0.25">
      <c r="U365" s="107"/>
      <c r="V365" s="26"/>
      <c r="W365" s="26"/>
      <c r="X365" s="26"/>
      <c r="Y365" s="26"/>
      <c r="Z365" s="26"/>
    </row>
    <row r="366" spans="21:26" ht="15.75" x14ac:dyDescent="0.25">
      <c r="U366" s="107"/>
      <c r="V366" s="26"/>
      <c r="W366" s="26"/>
      <c r="X366" s="26"/>
      <c r="Y366" s="26"/>
      <c r="Z366" s="26"/>
    </row>
    <row r="367" spans="21:26" ht="15.75" x14ac:dyDescent="0.25">
      <c r="U367" s="107"/>
      <c r="V367" s="26"/>
      <c r="W367" s="26"/>
      <c r="X367" s="26"/>
      <c r="Y367" s="26"/>
      <c r="Z367" s="26"/>
    </row>
    <row r="368" spans="21:26" ht="15.75" x14ac:dyDescent="0.25">
      <c r="U368" s="107"/>
      <c r="V368" s="26"/>
      <c r="W368" s="26"/>
      <c r="X368" s="26"/>
      <c r="Y368" s="26"/>
      <c r="Z368" s="26"/>
    </row>
    <row r="369" spans="21:26" ht="15.75" x14ac:dyDescent="0.25">
      <c r="U369" s="107"/>
      <c r="V369" s="26"/>
      <c r="W369" s="26"/>
      <c r="X369" s="26"/>
      <c r="Y369" s="26"/>
      <c r="Z369" s="26"/>
    </row>
    <row r="370" spans="21:26" ht="15.75" x14ac:dyDescent="0.25">
      <c r="U370" s="107"/>
      <c r="V370" s="26"/>
      <c r="W370" s="26"/>
      <c r="X370" s="26"/>
      <c r="Y370" s="26"/>
      <c r="Z370" s="26"/>
    </row>
    <row r="371" spans="21:26" ht="15.75" x14ac:dyDescent="0.25">
      <c r="U371" s="107"/>
      <c r="V371" s="26"/>
      <c r="W371" s="26"/>
      <c r="X371" s="26"/>
      <c r="Y371" s="26"/>
      <c r="Z371" s="26"/>
    </row>
    <row r="372" spans="21:26" ht="15.75" x14ac:dyDescent="0.25">
      <c r="U372" s="107"/>
      <c r="V372" s="26"/>
      <c r="W372" s="26"/>
      <c r="X372" s="26"/>
      <c r="Y372" s="26"/>
      <c r="Z372" s="26"/>
    </row>
    <row r="373" spans="21:26" ht="15.75" x14ac:dyDescent="0.25">
      <c r="U373" s="107"/>
      <c r="V373" s="26"/>
      <c r="W373" s="26"/>
      <c r="X373" s="26"/>
      <c r="Y373" s="26"/>
      <c r="Z373" s="26"/>
    </row>
    <row r="374" spans="21:26" ht="15.75" x14ac:dyDescent="0.25">
      <c r="U374" s="107"/>
      <c r="V374" s="26"/>
      <c r="W374" s="26"/>
      <c r="X374" s="26"/>
      <c r="Y374" s="26"/>
      <c r="Z374" s="26"/>
    </row>
    <row r="375" spans="21:26" ht="15.75" x14ac:dyDescent="0.25">
      <c r="U375" s="107"/>
      <c r="V375" s="26"/>
      <c r="W375" s="26"/>
      <c r="X375" s="26"/>
      <c r="Y375" s="26"/>
      <c r="Z375" s="26"/>
    </row>
    <row r="376" spans="21:26" ht="15.75" x14ac:dyDescent="0.25">
      <c r="U376" s="107"/>
      <c r="V376" s="26"/>
      <c r="W376" s="26"/>
      <c r="X376" s="26"/>
      <c r="Y376" s="26"/>
      <c r="Z376" s="26"/>
    </row>
    <row r="377" spans="21:26" ht="15.75" x14ac:dyDescent="0.25">
      <c r="U377" s="107"/>
      <c r="V377" s="26"/>
      <c r="W377" s="26"/>
      <c r="X377" s="26"/>
      <c r="Y377" s="26"/>
      <c r="Z377" s="26"/>
    </row>
    <row r="378" spans="21:26" ht="15.75" x14ac:dyDescent="0.25">
      <c r="U378" s="107"/>
      <c r="V378" s="26"/>
      <c r="W378" s="26"/>
      <c r="X378" s="26"/>
      <c r="Y378" s="26"/>
      <c r="Z378" s="26"/>
    </row>
    <row r="379" spans="21:26" ht="15.75" x14ac:dyDescent="0.25">
      <c r="U379" s="107"/>
      <c r="V379" s="26"/>
      <c r="W379" s="26"/>
      <c r="X379" s="26"/>
      <c r="Y379" s="26"/>
      <c r="Z379" s="26"/>
    </row>
    <row r="380" spans="21:26" ht="15.75" x14ac:dyDescent="0.25">
      <c r="U380" s="107"/>
      <c r="V380" s="26"/>
      <c r="W380" s="26"/>
      <c r="X380" s="26"/>
      <c r="Y380" s="26"/>
      <c r="Z380" s="26"/>
    </row>
  </sheetData>
  <sheetProtection algorithmName="SHA-512" hashValue="t0p80ybUZXtLm4A8/opaSRwNNOga1N6shCvKykf0WYM1pKz9wgc1GhuBwXtt6kcthpgRPkqQkdKzuc6KvfYbUA==" saltValue="K7wTjkvyeCmqpMYZRSyLBQ==" spinCount="100000" sheet="1" objects="1" scenarios="1"/>
  <mergeCells count="3">
    <mergeCell ref="B3:N3"/>
    <mergeCell ref="AC1:AH1"/>
    <mergeCell ref="V1:Z1"/>
  </mergeCells>
  <pageMargins left="0.70866141732283472" right="0.70866141732283472" top="0.74803149606299213" bottom="0.74803149606299213" header="0.31496062992125984" footer="0.31496062992125984"/>
  <pageSetup scale="4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tabColor rgb="FF00B050"/>
  </sheetPr>
  <dimension ref="A1:AM30"/>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2" style="25" customWidth="1"/>
    <col min="2" max="2" width="58.42578125" style="25" customWidth="1"/>
    <col min="3" max="11" width="10.5703125" style="36" hidden="1" customWidth="1" outlineLevel="1"/>
    <col min="12" max="12" width="11.42578125" style="36" hidden="1" customWidth="1" outlineLevel="1"/>
    <col min="13" max="13" width="15.5703125" style="110" customWidth="1" collapsed="1"/>
    <col min="14" max="14" width="15.5703125" style="36" customWidth="1"/>
    <col min="15" max="18" width="15.5703125" style="25" customWidth="1" outlineLevel="1"/>
    <col min="19" max="19" width="15.5703125" style="25" customWidth="1"/>
    <col min="20" max="20" width="21.42578125" style="108" bestFit="1" customWidth="1"/>
    <col min="21" max="21" width="1.140625" style="212" customWidth="1"/>
    <col min="22" max="25" width="15.5703125" style="25" customWidth="1" outlineLevel="1"/>
    <col min="26" max="26" width="17.5703125" style="25" customWidth="1" outlineLevel="1"/>
    <col min="27" max="28" width="18.5703125" style="88" customWidth="1" outlineLevel="1"/>
    <col min="29" max="34" width="18.5703125" style="25" customWidth="1" outlineLevel="1"/>
    <col min="35" max="36" width="18.5703125" style="25" customWidth="1"/>
    <col min="37" max="16384" width="8.85546875" style="25"/>
  </cols>
  <sheetData>
    <row r="1" spans="1:34" s="69" customFormat="1" ht="39.950000000000003" customHeight="1" thickBot="1" x14ac:dyDescent="0.3">
      <c r="A1" s="23" t="s">
        <v>0</v>
      </c>
      <c r="B1" s="63" t="s">
        <v>14</v>
      </c>
      <c r="C1" s="64" t="s">
        <v>826</v>
      </c>
      <c r="D1" s="64" t="s">
        <v>827</v>
      </c>
      <c r="E1" s="64" t="s">
        <v>828</v>
      </c>
      <c r="F1" s="307" t="s">
        <v>900</v>
      </c>
      <c r="G1" s="64" t="s">
        <v>5</v>
      </c>
      <c r="H1" s="64" t="s">
        <v>6</v>
      </c>
      <c r="I1" s="64" t="s">
        <v>7</v>
      </c>
      <c r="J1" s="64" t="s">
        <v>8</v>
      </c>
      <c r="K1" s="64" t="s">
        <v>9</v>
      </c>
      <c r="L1" s="64" t="s">
        <v>10</v>
      </c>
      <c r="M1" s="65" t="s">
        <v>1</v>
      </c>
      <c r="N1" s="66" t="s">
        <v>2</v>
      </c>
      <c r="O1" s="67" t="s">
        <v>26</v>
      </c>
      <c r="P1" s="67" t="s">
        <v>27</v>
      </c>
      <c r="Q1" s="111" t="s">
        <v>28</v>
      </c>
      <c r="R1" s="67" t="s">
        <v>34</v>
      </c>
      <c r="S1" s="67" t="s">
        <v>3</v>
      </c>
      <c r="T1" s="68" t="s">
        <v>4</v>
      </c>
      <c r="U1" s="215"/>
      <c r="V1" s="610" t="s">
        <v>626</v>
      </c>
      <c r="W1" s="611"/>
      <c r="X1" s="611"/>
      <c r="Y1" s="611"/>
      <c r="Z1" s="611"/>
      <c r="AA1" s="81" t="s">
        <v>22</v>
      </c>
      <c r="AB1" s="71"/>
      <c r="AC1" s="626" t="s">
        <v>155</v>
      </c>
      <c r="AD1" s="627"/>
      <c r="AE1" s="627"/>
      <c r="AF1" s="627"/>
      <c r="AG1" s="627"/>
      <c r="AH1" s="628"/>
    </row>
    <row r="2" spans="1:34" s="79" customFormat="1" ht="20.100000000000001" customHeight="1" thickBot="1" x14ac:dyDescent="0.4">
      <c r="A2" s="72">
        <f>Lift!A2+1</f>
        <v>31</v>
      </c>
      <c r="B2" s="73" t="str" cm="1">
        <f t="array" aca="1" ref="B2" ca="1">UPPER(MID(CELL("filename",A1),FIND("]",CELL("filename",A1))+1,255))</f>
        <v>LANDSCAPING</v>
      </c>
      <c r="C2" s="74"/>
      <c r="D2" s="74"/>
      <c r="E2" s="74"/>
      <c r="F2" s="74"/>
      <c r="G2" s="74"/>
      <c r="H2" s="74"/>
      <c r="I2" s="74"/>
      <c r="J2" s="74"/>
      <c r="K2" s="74"/>
      <c r="L2" s="74"/>
      <c r="M2" s="75"/>
      <c r="N2" s="76"/>
      <c r="O2" s="77"/>
      <c r="P2" s="77"/>
      <c r="Q2" s="77"/>
      <c r="R2" s="77"/>
      <c r="S2" s="77"/>
      <c r="T2" s="78"/>
      <c r="U2" s="207"/>
      <c r="V2" s="221" t="s">
        <v>26</v>
      </c>
      <c r="W2" s="222" t="s">
        <v>27</v>
      </c>
      <c r="X2" s="222" t="s">
        <v>28</v>
      </c>
      <c r="Y2" s="222" t="s">
        <v>34</v>
      </c>
      <c r="Z2" s="222" t="s">
        <v>615</v>
      </c>
      <c r="AA2" s="80"/>
      <c r="AB2" s="71"/>
      <c r="AC2" s="81" t="s">
        <v>26</v>
      </c>
      <c r="AD2" s="81" t="s">
        <v>36</v>
      </c>
      <c r="AE2" s="81" t="s">
        <v>28</v>
      </c>
      <c r="AF2" s="81" t="s">
        <v>34</v>
      </c>
      <c r="AG2" s="81" t="s">
        <v>32</v>
      </c>
      <c r="AH2" s="81" t="s">
        <v>4</v>
      </c>
    </row>
    <row r="3" spans="1:34" s="79" customFormat="1" ht="21.75" thickBot="1" x14ac:dyDescent="0.4">
      <c r="A3" s="99"/>
      <c r="B3" s="622" t="str">
        <f>"TOTAL"</f>
        <v>TOTAL</v>
      </c>
      <c r="C3" s="623"/>
      <c r="D3" s="623"/>
      <c r="E3" s="623"/>
      <c r="F3" s="623"/>
      <c r="G3" s="623"/>
      <c r="H3" s="623"/>
      <c r="I3" s="623"/>
      <c r="J3" s="623"/>
      <c r="K3" s="623"/>
      <c r="L3" s="623"/>
      <c r="M3" s="623"/>
      <c r="N3" s="624"/>
      <c r="O3" s="100"/>
      <c r="P3" s="100"/>
      <c r="Q3" s="100"/>
      <c r="R3" s="100"/>
      <c r="S3" s="100"/>
      <c r="T3" s="101">
        <f ca="1">SUM(T$2:OFFSET(T3,-1,0))</f>
        <v>0</v>
      </c>
      <c r="U3" s="210"/>
      <c r="V3" s="100"/>
      <c r="W3" s="100"/>
      <c r="X3" s="100"/>
      <c r="Y3" s="100"/>
      <c r="Z3" s="100"/>
      <c r="AA3" s="102"/>
      <c r="AB3" s="103"/>
      <c r="AC3" s="104">
        <f t="shared" ref="AC3:AH3" si="0">SUM(AC1:AC2)</f>
        <v>0</v>
      </c>
      <c r="AD3" s="104">
        <f t="shared" si="0"/>
        <v>0</v>
      </c>
      <c r="AE3" s="104">
        <f t="shared" si="0"/>
        <v>0</v>
      </c>
      <c r="AF3" s="104">
        <f t="shared" si="0"/>
        <v>0</v>
      </c>
      <c r="AG3" s="104">
        <f t="shared" si="0"/>
        <v>0</v>
      </c>
      <c r="AH3" s="104">
        <f t="shared" si="0"/>
        <v>0</v>
      </c>
    </row>
    <row r="4" spans="1:34" s="94" customFormat="1" ht="21" x14ac:dyDescent="0.25">
      <c r="A4" s="105"/>
      <c r="B4" s="25"/>
      <c r="C4" s="36"/>
      <c r="D4" s="36"/>
      <c r="E4" s="36"/>
      <c r="F4" s="36"/>
      <c r="G4" s="36"/>
      <c r="H4" s="36"/>
      <c r="I4" s="36"/>
      <c r="J4" s="36"/>
      <c r="K4" s="36"/>
      <c r="L4" s="36"/>
      <c r="M4" s="106"/>
      <c r="N4" s="32"/>
      <c r="O4" s="25"/>
      <c r="P4" s="25"/>
      <c r="Q4" s="25"/>
      <c r="R4" s="25"/>
      <c r="S4" s="92"/>
      <c r="T4" s="107"/>
      <c r="U4" s="212"/>
      <c r="V4" s="25"/>
      <c r="W4" s="25"/>
      <c r="X4" s="25"/>
      <c r="Y4" s="25"/>
      <c r="Z4" s="25"/>
      <c r="AA4" s="88"/>
      <c r="AB4" s="88"/>
      <c r="AC4" s="81" t="s">
        <v>26</v>
      </c>
      <c r="AD4" s="81" t="s">
        <v>36</v>
      </c>
      <c r="AE4" s="81" t="s">
        <v>28</v>
      </c>
      <c r="AF4" s="81" t="s">
        <v>34</v>
      </c>
      <c r="AG4" s="81" t="s">
        <v>32</v>
      </c>
      <c r="AH4" s="81" t="s">
        <v>4</v>
      </c>
    </row>
    <row r="5" spans="1:34" x14ac:dyDescent="0.25">
      <c r="M5" s="106"/>
    </row>
    <row r="7" spans="1:34" x14ac:dyDescent="0.25">
      <c r="K7" s="109"/>
    </row>
    <row r="8" spans="1:34" x14ac:dyDescent="0.25">
      <c r="T8" s="108">
        <f ca="1">T3-AH3</f>
        <v>0</v>
      </c>
    </row>
    <row r="18" spans="1:39" s="110" customFormat="1" x14ac:dyDescent="0.25">
      <c r="A18" s="25"/>
      <c r="B18" s="25"/>
      <c r="C18" s="36"/>
      <c r="D18" s="36"/>
      <c r="E18" s="36"/>
      <c r="F18" s="36"/>
      <c r="G18" s="36"/>
      <c r="H18" s="36"/>
      <c r="I18" s="36"/>
      <c r="J18" s="36"/>
      <c r="K18" s="36"/>
      <c r="L18" s="36"/>
      <c r="N18" s="36"/>
      <c r="O18" s="25"/>
      <c r="P18" s="25"/>
      <c r="Q18" s="25"/>
      <c r="R18" s="25"/>
      <c r="S18" s="25"/>
      <c r="T18" s="108"/>
      <c r="U18" s="212"/>
      <c r="V18" s="25"/>
      <c r="W18" s="25"/>
      <c r="X18" s="25"/>
      <c r="Y18" s="25"/>
      <c r="Z18" s="25"/>
      <c r="AA18" s="88"/>
      <c r="AB18" s="88"/>
      <c r="AC18" s="25"/>
      <c r="AD18" s="25"/>
      <c r="AE18" s="25"/>
      <c r="AF18" s="25"/>
      <c r="AG18" s="25"/>
      <c r="AH18" s="25"/>
      <c r="AI18" s="25"/>
      <c r="AJ18" s="25"/>
      <c r="AK18" s="25"/>
      <c r="AL18" s="25"/>
      <c r="AM18" s="25"/>
    </row>
    <row r="19" spans="1:39" s="110" customFormat="1" x14ac:dyDescent="0.25">
      <c r="A19" s="25"/>
      <c r="B19" s="25"/>
      <c r="C19" s="36"/>
      <c r="D19" s="36"/>
      <c r="E19" s="36"/>
      <c r="F19" s="36"/>
      <c r="G19" s="36"/>
      <c r="H19" s="36"/>
      <c r="I19" s="36"/>
      <c r="J19" s="36"/>
      <c r="K19" s="36"/>
      <c r="L19" s="36"/>
      <c r="N19" s="36"/>
      <c r="O19" s="25"/>
      <c r="P19" s="25"/>
      <c r="Q19" s="25"/>
      <c r="R19" s="25"/>
      <c r="S19" s="25"/>
      <c r="T19" s="108"/>
      <c r="U19" s="212"/>
      <c r="V19" s="25"/>
      <c r="W19" s="25"/>
      <c r="X19" s="25"/>
      <c r="Y19" s="25"/>
      <c r="Z19" s="25"/>
      <c r="AA19" s="88"/>
      <c r="AB19" s="88"/>
      <c r="AC19" s="25"/>
      <c r="AD19" s="25"/>
      <c r="AE19" s="25"/>
      <c r="AF19" s="25"/>
      <c r="AG19" s="25"/>
      <c r="AH19" s="25"/>
      <c r="AI19" s="25"/>
      <c r="AJ19" s="25"/>
      <c r="AK19" s="25"/>
      <c r="AL19" s="25"/>
      <c r="AM19" s="25"/>
    </row>
    <row r="20" spans="1:39" s="110" customFormat="1" x14ac:dyDescent="0.25">
      <c r="A20" s="25"/>
      <c r="B20" s="25"/>
      <c r="C20" s="36"/>
      <c r="D20" s="36"/>
      <c r="E20" s="36"/>
      <c r="F20" s="36"/>
      <c r="G20" s="36"/>
      <c r="H20" s="36"/>
      <c r="I20" s="36"/>
      <c r="J20" s="36"/>
      <c r="K20" s="36"/>
      <c r="L20" s="36"/>
      <c r="N20" s="36"/>
      <c r="O20" s="25"/>
      <c r="P20" s="25"/>
      <c r="Q20" s="25"/>
      <c r="R20" s="25"/>
      <c r="S20" s="25"/>
      <c r="T20" s="108"/>
      <c r="U20" s="212"/>
      <c r="V20" s="25"/>
      <c r="W20" s="25"/>
      <c r="X20" s="25"/>
      <c r="Y20" s="25"/>
      <c r="Z20" s="25"/>
      <c r="AA20" s="88"/>
      <c r="AB20" s="88"/>
      <c r="AC20" s="25"/>
      <c r="AD20" s="25"/>
      <c r="AE20" s="25"/>
      <c r="AF20" s="25"/>
      <c r="AG20" s="25"/>
      <c r="AH20" s="25"/>
      <c r="AI20" s="25"/>
      <c r="AJ20" s="25"/>
      <c r="AK20" s="25"/>
      <c r="AL20" s="25"/>
      <c r="AM20" s="25"/>
    </row>
    <row r="21" spans="1:39" s="110" customFormat="1" x14ac:dyDescent="0.25">
      <c r="A21" s="25"/>
      <c r="B21" s="25"/>
      <c r="C21" s="36"/>
      <c r="D21" s="36"/>
      <c r="E21" s="36"/>
      <c r="F21" s="36"/>
      <c r="G21" s="36"/>
      <c r="H21" s="36"/>
      <c r="I21" s="36"/>
      <c r="J21" s="36"/>
      <c r="K21" s="36"/>
      <c r="L21" s="36"/>
      <c r="N21" s="36"/>
      <c r="O21" s="25"/>
      <c r="P21" s="25"/>
      <c r="Q21" s="25"/>
      <c r="R21" s="25"/>
      <c r="S21" s="25"/>
      <c r="T21" s="108"/>
      <c r="U21" s="212"/>
      <c r="V21" s="25"/>
      <c r="W21" s="25"/>
      <c r="X21" s="25"/>
      <c r="Y21" s="25"/>
      <c r="Z21" s="25"/>
      <c r="AA21" s="88"/>
      <c r="AB21" s="88"/>
      <c r="AC21" s="25"/>
      <c r="AD21" s="25"/>
      <c r="AE21" s="25"/>
      <c r="AF21" s="25"/>
      <c r="AG21" s="25"/>
      <c r="AH21" s="25"/>
      <c r="AI21" s="25"/>
      <c r="AJ21" s="25"/>
      <c r="AK21" s="25"/>
      <c r="AL21" s="25"/>
      <c r="AM21" s="25"/>
    </row>
    <row r="22" spans="1:39" s="110" customFormat="1" x14ac:dyDescent="0.25">
      <c r="A22" s="25"/>
      <c r="B22" s="25"/>
      <c r="C22" s="36"/>
      <c r="D22" s="36"/>
      <c r="E22" s="36"/>
      <c r="F22" s="36"/>
      <c r="G22" s="36"/>
      <c r="H22" s="36"/>
      <c r="I22" s="36"/>
      <c r="J22" s="36"/>
      <c r="K22" s="36"/>
      <c r="L22" s="36"/>
      <c r="N22" s="36"/>
      <c r="O22" s="25"/>
      <c r="P22" s="25"/>
      <c r="Q22" s="25"/>
      <c r="R22" s="25"/>
      <c r="S22" s="25"/>
      <c r="T22" s="108"/>
      <c r="U22" s="212"/>
      <c r="V22" s="25"/>
      <c r="W22" s="25"/>
      <c r="X22" s="25"/>
      <c r="Y22" s="25"/>
      <c r="Z22" s="25"/>
      <c r="AA22" s="88"/>
      <c r="AB22" s="88"/>
      <c r="AC22" s="25"/>
      <c r="AD22" s="25"/>
      <c r="AE22" s="25"/>
      <c r="AF22" s="25"/>
      <c r="AG22" s="25"/>
      <c r="AH22" s="25"/>
      <c r="AI22" s="25"/>
      <c r="AJ22" s="25"/>
      <c r="AK22" s="25"/>
      <c r="AL22" s="25"/>
      <c r="AM22" s="25"/>
    </row>
    <row r="23" spans="1:39" s="110" customFormat="1" x14ac:dyDescent="0.25">
      <c r="A23" s="25"/>
      <c r="B23" s="25"/>
      <c r="C23" s="36"/>
      <c r="D23" s="36"/>
      <c r="E23" s="36"/>
      <c r="F23" s="36"/>
      <c r="G23" s="36"/>
      <c r="H23" s="36"/>
      <c r="I23" s="36"/>
      <c r="J23" s="36"/>
      <c r="K23" s="36"/>
      <c r="L23" s="36"/>
      <c r="N23" s="36"/>
      <c r="O23" s="25"/>
      <c r="P23" s="25"/>
      <c r="Q23" s="25"/>
      <c r="R23" s="25"/>
      <c r="S23" s="25"/>
      <c r="T23" s="108"/>
      <c r="U23" s="212"/>
      <c r="V23" s="25"/>
      <c r="W23" s="25"/>
      <c r="X23" s="25"/>
      <c r="Y23" s="25"/>
      <c r="Z23" s="25"/>
      <c r="AA23" s="88"/>
      <c r="AB23" s="88"/>
      <c r="AC23" s="25"/>
      <c r="AD23" s="25"/>
      <c r="AE23" s="25"/>
      <c r="AF23" s="25"/>
      <c r="AG23" s="25"/>
      <c r="AH23" s="25"/>
      <c r="AI23" s="25"/>
      <c r="AJ23" s="25"/>
      <c r="AK23" s="25"/>
      <c r="AL23" s="25"/>
      <c r="AM23" s="25"/>
    </row>
    <row r="24" spans="1:39" s="110" customFormat="1" x14ac:dyDescent="0.25">
      <c r="A24" s="25"/>
      <c r="B24" s="25"/>
      <c r="C24" s="36"/>
      <c r="D24" s="36"/>
      <c r="E24" s="36"/>
      <c r="F24" s="36"/>
      <c r="G24" s="36"/>
      <c r="H24" s="36"/>
      <c r="I24" s="36"/>
      <c r="J24" s="36"/>
      <c r="K24" s="36"/>
      <c r="L24" s="36"/>
      <c r="N24" s="36"/>
      <c r="O24" s="25"/>
      <c r="P24" s="25"/>
      <c r="Q24" s="25"/>
      <c r="R24" s="25"/>
      <c r="S24" s="25"/>
      <c r="T24" s="108"/>
      <c r="U24" s="212"/>
      <c r="V24" s="25"/>
      <c r="W24" s="25"/>
      <c r="X24" s="25"/>
      <c r="Y24" s="25"/>
      <c r="Z24" s="25"/>
      <c r="AA24" s="88"/>
      <c r="AB24" s="88"/>
      <c r="AC24" s="25"/>
      <c r="AD24" s="25"/>
      <c r="AE24" s="25"/>
      <c r="AF24" s="25"/>
      <c r="AG24" s="25"/>
      <c r="AH24" s="25"/>
      <c r="AI24" s="25"/>
      <c r="AJ24" s="25"/>
      <c r="AK24" s="25"/>
      <c r="AL24" s="25"/>
      <c r="AM24" s="25"/>
    </row>
    <row r="25" spans="1:39" s="110" customFormat="1" x14ac:dyDescent="0.25">
      <c r="A25" s="25"/>
      <c r="B25" s="25"/>
      <c r="C25" s="36"/>
      <c r="D25" s="36"/>
      <c r="E25" s="36"/>
      <c r="F25" s="36"/>
      <c r="G25" s="36"/>
      <c r="H25" s="36"/>
      <c r="I25" s="36"/>
      <c r="J25" s="36"/>
      <c r="K25" s="36"/>
      <c r="L25" s="36"/>
      <c r="N25" s="36"/>
      <c r="O25" s="25"/>
      <c r="P25" s="25"/>
      <c r="Q25" s="25"/>
      <c r="R25" s="25"/>
      <c r="S25" s="25"/>
      <c r="T25" s="108"/>
      <c r="U25" s="212"/>
      <c r="V25" s="25"/>
      <c r="W25" s="25"/>
      <c r="X25" s="25"/>
      <c r="Y25" s="25"/>
      <c r="Z25" s="25"/>
      <c r="AA25" s="88"/>
      <c r="AB25" s="88"/>
      <c r="AC25" s="25"/>
      <c r="AD25" s="25"/>
      <c r="AE25" s="25"/>
      <c r="AF25" s="25"/>
      <c r="AG25" s="25"/>
      <c r="AH25" s="25"/>
      <c r="AI25" s="25"/>
      <c r="AJ25" s="25"/>
      <c r="AK25" s="25"/>
      <c r="AL25" s="25"/>
      <c r="AM25" s="25"/>
    </row>
    <row r="26" spans="1:39" s="110" customFormat="1" x14ac:dyDescent="0.25">
      <c r="A26" s="25"/>
      <c r="B26" s="25"/>
      <c r="C26" s="36"/>
      <c r="D26" s="36"/>
      <c r="E26" s="36"/>
      <c r="F26" s="36"/>
      <c r="G26" s="36"/>
      <c r="H26" s="36"/>
      <c r="I26" s="36"/>
      <c r="J26" s="36"/>
      <c r="K26" s="36"/>
      <c r="L26" s="36"/>
      <c r="N26" s="36"/>
      <c r="O26" s="25"/>
      <c r="P26" s="25"/>
      <c r="Q26" s="25"/>
      <c r="R26" s="25"/>
      <c r="S26" s="25"/>
      <c r="T26" s="108"/>
      <c r="U26" s="212"/>
      <c r="V26" s="25"/>
      <c r="W26" s="25"/>
      <c r="X26" s="25"/>
      <c r="Y26" s="25"/>
      <c r="Z26" s="25"/>
      <c r="AA26" s="88"/>
      <c r="AB26" s="88"/>
      <c r="AC26" s="25"/>
      <c r="AD26" s="25"/>
      <c r="AE26" s="25"/>
      <c r="AF26" s="25"/>
      <c r="AG26" s="25"/>
      <c r="AH26" s="25"/>
      <c r="AI26" s="25"/>
      <c r="AJ26" s="25"/>
      <c r="AK26" s="25"/>
      <c r="AL26" s="25"/>
      <c r="AM26" s="25"/>
    </row>
    <row r="27" spans="1:39" s="110" customFormat="1" x14ac:dyDescent="0.25">
      <c r="A27" s="25"/>
      <c r="B27" s="25"/>
      <c r="C27" s="36"/>
      <c r="D27" s="36"/>
      <c r="E27" s="36"/>
      <c r="F27" s="36"/>
      <c r="G27" s="36"/>
      <c r="H27" s="36"/>
      <c r="I27" s="36"/>
      <c r="J27" s="36"/>
      <c r="K27" s="36"/>
      <c r="L27" s="36"/>
      <c r="N27" s="36"/>
      <c r="O27" s="25"/>
      <c r="P27" s="25"/>
      <c r="Q27" s="25"/>
      <c r="R27" s="25"/>
      <c r="S27" s="25"/>
      <c r="T27" s="108"/>
      <c r="U27" s="212"/>
      <c r="V27" s="25"/>
      <c r="W27" s="25"/>
      <c r="X27" s="25"/>
      <c r="Y27" s="25"/>
      <c r="Z27" s="25"/>
      <c r="AA27" s="88"/>
      <c r="AB27" s="88"/>
      <c r="AC27" s="25"/>
      <c r="AD27" s="25"/>
      <c r="AE27" s="25"/>
      <c r="AF27" s="25"/>
      <c r="AG27" s="25"/>
      <c r="AH27" s="25"/>
      <c r="AI27" s="25"/>
      <c r="AJ27" s="25"/>
      <c r="AK27" s="25"/>
      <c r="AL27" s="25"/>
      <c r="AM27" s="25"/>
    </row>
    <row r="28" spans="1:39" s="110" customFormat="1" x14ac:dyDescent="0.25">
      <c r="A28" s="25"/>
      <c r="B28" s="25"/>
      <c r="C28" s="36"/>
      <c r="D28" s="36"/>
      <c r="E28" s="36"/>
      <c r="F28" s="36"/>
      <c r="G28" s="36"/>
      <c r="H28" s="36"/>
      <c r="I28" s="36"/>
      <c r="J28" s="36"/>
      <c r="K28" s="36"/>
      <c r="L28" s="36"/>
      <c r="N28" s="36"/>
      <c r="O28" s="25"/>
      <c r="P28" s="25"/>
      <c r="Q28" s="25"/>
      <c r="R28" s="25"/>
      <c r="S28" s="25"/>
      <c r="T28" s="108"/>
      <c r="U28" s="212"/>
      <c r="V28" s="25"/>
      <c r="W28" s="25"/>
      <c r="X28" s="25"/>
      <c r="Y28" s="25"/>
      <c r="Z28" s="25"/>
      <c r="AA28" s="88"/>
      <c r="AB28" s="88"/>
      <c r="AC28" s="25"/>
      <c r="AD28" s="25"/>
      <c r="AE28" s="25"/>
      <c r="AF28" s="25"/>
      <c r="AG28" s="25"/>
      <c r="AH28" s="25"/>
      <c r="AI28" s="25"/>
      <c r="AJ28" s="25"/>
      <c r="AK28" s="25"/>
      <c r="AL28" s="25"/>
      <c r="AM28" s="25"/>
    </row>
    <row r="29" spans="1:39" s="110" customFormat="1" x14ac:dyDescent="0.25">
      <c r="A29" s="25"/>
      <c r="B29" s="25"/>
      <c r="C29" s="36"/>
      <c r="D29" s="36"/>
      <c r="E29" s="36"/>
      <c r="F29" s="36"/>
      <c r="G29" s="36"/>
      <c r="H29" s="36"/>
      <c r="I29" s="36"/>
      <c r="J29" s="36"/>
      <c r="K29" s="36"/>
      <c r="L29" s="36"/>
      <c r="N29" s="36"/>
      <c r="O29" s="25"/>
      <c r="P29" s="25"/>
      <c r="Q29" s="25"/>
      <c r="R29" s="25"/>
      <c r="S29" s="25"/>
      <c r="T29" s="108"/>
      <c r="U29" s="212"/>
      <c r="V29" s="25"/>
      <c r="W29" s="25"/>
      <c r="X29" s="25"/>
      <c r="Y29" s="25"/>
      <c r="Z29" s="25"/>
      <c r="AA29" s="88"/>
      <c r="AB29" s="88"/>
      <c r="AC29" s="25"/>
      <c r="AD29" s="25"/>
      <c r="AE29" s="25"/>
      <c r="AF29" s="25"/>
      <c r="AG29" s="25"/>
      <c r="AH29" s="25"/>
      <c r="AI29" s="25"/>
      <c r="AJ29" s="25"/>
      <c r="AK29" s="25"/>
      <c r="AL29" s="25"/>
      <c r="AM29" s="25"/>
    </row>
    <row r="30" spans="1:39" s="110" customFormat="1" x14ac:dyDescent="0.25">
      <c r="A30" s="25"/>
      <c r="B30" s="25"/>
      <c r="C30" s="36"/>
      <c r="D30" s="36"/>
      <c r="E30" s="36"/>
      <c r="F30" s="36"/>
      <c r="G30" s="36"/>
      <c r="H30" s="36"/>
      <c r="I30" s="36"/>
      <c r="J30" s="36"/>
      <c r="K30" s="36"/>
      <c r="L30" s="36"/>
      <c r="N30" s="36"/>
      <c r="O30" s="25"/>
      <c r="P30" s="25"/>
      <c r="Q30" s="25"/>
      <c r="R30" s="25"/>
      <c r="S30" s="25"/>
      <c r="T30" s="108"/>
      <c r="U30" s="212"/>
      <c r="V30" s="25"/>
      <c r="W30" s="25"/>
      <c r="X30" s="25"/>
      <c r="Y30" s="25"/>
      <c r="Z30" s="25"/>
      <c r="AA30" s="88"/>
      <c r="AB30" s="88"/>
      <c r="AC30" s="25"/>
      <c r="AD30" s="25"/>
      <c r="AE30" s="25"/>
      <c r="AF30" s="25"/>
      <c r="AG30" s="25"/>
      <c r="AH30" s="25"/>
      <c r="AI30" s="25"/>
      <c r="AJ30" s="25"/>
      <c r="AK30" s="25"/>
      <c r="AL30" s="25"/>
      <c r="AM30" s="25"/>
    </row>
  </sheetData>
  <sheetProtection algorithmName="SHA-512" hashValue="jfvmswmZZCR5gz12aD1x0kJ7bdrG4rbxJXuGnlyeZXYVCb4ICI86eoob8FqI8f7soXXFcCaVwHSeUuejH6Z81Q==" saltValue="3Nk9PIfCnAiNDSuYtmXJNQ==" spinCount="100000" sheet="1" objects="1" scenarios="1"/>
  <mergeCells count="3">
    <mergeCell ref="B3:N3"/>
    <mergeCell ref="AC1:AH1"/>
    <mergeCell ref="V1:Z1"/>
  </mergeCells>
  <pageMargins left="0.70866141732283472" right="0.70866141732283472" top="0.74803149606299213" bottom="0.74803149606299213" header="0.31496062992125984" footer="0.31496062992125984"/>
  <pageSetup scale="4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00B050"/>
  </sheetPr>
  <dimension ref="A1:AM138"/>
  <sheetViews>
    <sheetView view="pageBreakPreview" zoomScale="70" zoomScaleNormal="85" zoomScaleSheetLayoutView="70" zoomScalePageLayoutView="85" workbookViewId="0">
      <pane ySplit="2" topLeftCell="A76" activePane="bottomLeft" state="frozen"/>
      <selection activeCell="F51" sqref="F51"/>
      <selection pane="bottomLeft"/>
    </sheetView>
  </sheetViews>
  <sheetFormatPr defaultColWidth="8.85546875" defaultRowHeight="15" outlineLevelCol="1" x14ac:dyDescent="0.25"/>
  <cols>
    <col min="1" max="1" width="11" style="25" customWidth="1"/>
    <col min="2" max="2" width="58.42578125" style="25" customWidth="1"/>
    <col min="3" max="6" width="11.42578125" style="36" hidden="1" customWidth="1" outlineLevel="1"/>
    <col min="7" max="11" width="10.5703125" style="36" hidden="1" customWidth="1" outlineLevel="1"/>
    <col min="12" max="12" width="11.42578125" style="36" hidden="1" customWidth="1" outlineLevel="1"/>
    <col min="13" max="13" width="15.5703125" style="110" customWidth="1" collapsed="1"/>
    <col min="14" max="14" width="15.5703125" style="36" customWidth="1"/>
    <col min="15" max="18" width="15.5703125" style="25" customWidth="1" outlineLevel="1"/>
    <col min="19" max="19" width="15.5703125" style="25" customWidth="1"/>
    <col min="20" max="20" width="21.42578125" style="108" bestFit="1" customWidth="1"/>
    <col min="21" max="21" width="1.140625" style="212" customWidth="1"/>
    <col min="22" max="25" width="15.5703125" style="25" customWidth="1" outlineLevel="1"/>
    <col min="26" max="26" width="17.5703125" style="25" customWidth="1" outlineLevel="1"/>
    <col min="27" max="28" width="18.5703125" style="88" customWidth="1" outlineLevel="1"/>
    <col min="29" max="34" width="18.5703125" style="25" customWidth="1" outlineLevel="1"/>
    <col min="35" max="36" width="18.5703125" style="25" customWidth="1"/>
    <col min="37" max="16384" width="8.85546875" style="25"/>
  </cols>
  <sheetData>
    <row r="1" spans="1:34" s="69" customFormat="1" ht="39.950000000000003" customHeight="1" thickBot="1" x14ac:dyDescent="0.3">
      <c r="A1" s="23" t="s">
        <v>0</v>
      </c>
      <c r="B1" s="63" t="s">
        <v>14</v>
      </c>
      <c r="C1" s="64" t="s">
        <v>826</v>
      </c>
      <c r="D1" s="64" t="s">
        <v>827</v>
      </c>
      <c r="E1" s="64" t="s">
        <v>828</v>
      </c>
      <c r="F1" s="307" t="s">
        <v>900</v>
      </c>
      <c r="G1" s="64" t="s">
        <v>5</v>
      </c>
      <c r="H1" s="64" t="s">
        <v>6</v>
      </c>
      <c r="I1" s="64" t="s">
        <v>7</v>
      </c>
      <c r="J1" s="64" t="s">
        <v>8</v>
      </c>
      <c r="K1" s="64" t="s">
        <v>9</v>
      </c>
      <c r="L1" s="64" t="s">
        <v>10</v>
      </c>
      <c r="M1" s="65" t="s">
        <v>1</v>
      </c>
      <c r="N1" s="66" t="s">
        <v>2</v>
      </c>
      <c r="O1" s="67" t="s">
        <v>26</v>
      </c>
      <c r="P1" s="67" t="s">
        <v>27</v>
      </c>
      <c r="Q1" s="111" t="s">
        <v>28</v>
      </c>
      <c r="R1" s="67" t="s">
        <v>34</v>
      </c>
      <c r="S1" s="67" t="s">
        <v>3</v>
      </c>
      <c r="T1" s="68" t="s">
        <v>4</v>
      </c>
      <c r="U1" s="215"/>
      <c r="V1" s="610" t="s">
        <v>626</v>
      </c>
      <c r="W1" s="611"/>
      <c r="X1" s="611"/>
      <c r="Y1" s="611"/>
      <c r="Z1" s="611"/>
      <c r="AA1" s="81" t="s">
        <v>22</v>
      </c>
      <c r="AB1" s="71"/>
      <c r="AC1" s="626" t="s">
        <v>155</v>
      </c>
      <c r="AD1" s="627"/>
      <c r="AE1" s="627"/>
      <c r="AF1" s="627"/>
      <c r="AG1" s="627"/>
      <c r="AH1" s="628"/>
    </row>
    <row r="2" spans="1:34" s="79" customFormat="1" ht="20.100000000000001" customHeight="1" thickBot="1" x14ac:dyDescent="0.4">
      <c r="A2" s="72">
        <f>Landscaping!A2+1</f>
        <v>32</v>
      </c>
      <c r="B2" s="73" t="str" cm="1">
        <f t="array" aca="1" ref="B2" ca="1">UPPER(MID(CELL("filename",A1),FIND("]",CELL("filename",A1))+1,255))</f>
        <v>FENCING</v>
      </c>
      <c r="C2" s="74"/>
      <c r="D2" s="74"/>
      <c r="E2" s="74"/>
      <c r="F2" s="74"/>
      <c r="G2" s="74"/>
      <c r="H2" s="74"/>
      <c r="I2" s="74"/>
      <c r="J2" s="74"/>
      <c r="K2" s="74"/>
      <c r="L2" s="74"/>
      <c r="M2" s="75"/>
      <c r="N2" s="76"/>
      <c r="O2" s="77"/>
      <c r="P2" s="77"/>
      <c r="Q2" s="77"/>
      <c r="R2" s="77"/>
      <c r="S2" s="77"/>
      <c r="T2" s="78"/>
      <c r="U2" s="207"/>
      <c r="V2" s="221" t="s">
        <v>26</v>
      </c>
      <c r="W2" s="222" t="s">
        <v>27</v>
      </c>
      <c r="X2" s="222" t="s">
        <v>28</v>
      </c>
      <c r="Y2" s="222" t="s">
        <v>34</v>
      </c>
      <c r="Z2" s="222" t="s">
        <v>615</v>
      </c>
      <c r="AA2" s="80"/>
      <c r="AB2" s="71"/>
      <c r="AC2" s="81" t="s">
        <v>26</v>
      </c>
      <c r="AD2" s="81" t="s">
        <v>36</v>
      </c>
      <c r="AE2" s="81" t="s">
        <v>28</v>
      </c>
      <c r="AF2" s="81" t="s">
        <v>34</v>
      </c>
      <c r="AG2" s="81" t="s">
        <v>32</v>
      </c>
      <c r="AH2" s="81" t="s">
        <v>4</v>
      </c>
    </row>
    <row r="3" spans="1:34" s="79" customFormat="1" ht="21.75" thickBot="1" x14ac:dyDescent="0.4">
      <c r="A3" s="99"/>
      <c r="B3" s="622" t="str">
        <f>"TOTAL"</f>
        <v>TOTAL</v>
      </c>
      <c r="C3" s="623"/>
      <c r="D3" s="623"/>
      <c r="E3" s="623"/>
      <c r="F3" s="623"/>
      <c r="G3" s="623"/>
      <c r="H3" s="623"/>
      <c r="I3" s="623"/>
      <c r="J3" s="623"/>
      <c r="K3" s="623"/>
      <c r="L3" s="623"/>
      <c r="M3" s="623"/>
      <c r="N3" s="624"/>
      <c r="O3" s="100"/>
      <c r="P3" s="100"/>
      <c r="Q3" s="100"/>
      <c r="R3" s="100"/>
      <c r="S3" s="100"/>
      <c r="T3" s="101">
        <f ca="1">SUM(T$2:OFFSET(T3,-1,0))</f>
        <v>0</v>
      </c>
      <c r="U3" s="208"/>
      <c r="V3" s="100"/>
      <c r="W3" s="100"/>
      <c r="X3" s="100"/>
      <c r="Y3" s="100"/>
      <c r="Z3" s="100"/>
      <c r="AA3" s="102"/>
      <c r="AB3" s="103"/>
      <c r="AC3" s="104">
        <f t="shared" ref="AC3:AH3" si="0">SUM(AC1:AC2)</f>
        <v>0</v>
      </c>
      <c r="AD3" s="104">
        <f t="shared" si="0"/>
        <v>0</v>
      </c>
      <c r="AE3" s="104">
        <f t="shared" si="0"/>
        <v>0</v>
      </c>
      <c r="AF3" s="104">
        <f t="shared" si="0"/>
        <v>0</v>
      </c>
      <c r="AG3" s="104">
        <f t="shared" si="0"/>
        <v>0</v>
      </c>
      <c r="AH3" s="104">
        <f t="shared" si="0"/>
        <v>0</v>
      </c>
    </row>
    <row r="4" spans="1:34" s="94" customFormat="1" ht="21" x14ac:dyDescent="0.25">
      <c r="A4" s="105"/>
      <c r="B4" s="25"/>
      <c r="C4" s="36"/>
      <c r="D4" s="36"/>
      <c r="E4" s="36"/>
      <c r="F4" s="36"/>
      <c r="G4" s="36"/>
      <c r="H4" s="36"/>
      <c r="I4" s="36"/>
      <c r="J4" s="36"/>
      <c r="K4" s="36"/>
      <c r="L4" s="36"/>
      <c r="M4" s="106"/>
      <c r="N4" s="32"/>
      <c r="O4" s="25"/>
      <c r="P4" s="25"/>
      <c r="Q4" s="25"/>
      <c r="R4" s="25"/>
      <c r="S4" s="92"/>
      <c r="T4" s="107"/>
      <c r="U4" s="107"/>
      <c r="V4" s="26"/>
      <c r="W4" s="26"/>
      <c r="X4" s="26"/>
      <c r="Y4" s="26"/>
      <c r="Z4" s="26"/>
      <c r="AA4" s="88"/>
      <c r="AB4" s="88"/>
      <c r="AC4" s="81" t="s">
        <v>26</v>
      </c>
      <c r="AD4" s="81" t="s">
        <v>36</v>
      </c>
      <c r="AE4" s="81" t="s">
        <v>28</v>
      </c>
      <c r="AF4" s="81" t="s">
        <v>34</v>
      </c>
      <c r="AG4" s="81" t="s">
        <v>32</v>
      </c>
      <c r="AH4" s="81" t="s">
        <v>4</v>
      </c>
    </row>
    <row r="5" spans="1:34" ht="15.75" x14ac:dyDescent="0.25">
      <c r="M5" s="106"/>
      <c r="U5" s="107"/>
      <c r="V5" s="26"/>
      <c r="W5" s="26"/>
      <c r="X5" s="26"/>
      <c r="Y5" s="26"/>
      <c r="Z5" s="26"/>
    </row>
    <row r="6" spans="1:34" ht="15.75" x14ac:dyDescent="0.25">
      <c r="U6" s="107"/>
      <c r="V6" s="26"/>
      <c r="W6" s="26"/>
      <c r="X6" s="26"/>
      <c r="Y6" s="26"/>
      <c r="Z6" s="26"/>
    </row>
    <row r="7" spans="1:34" ht="15.75" x14ac:dyDescent="0.25">
      <c r="K7" s="109"/>
      <c r="U7" s="107"/>
      <c r="V7" s="26"/>
      <c r="W7" s="26"/>
      <c r="X7" s="26"/>
      <c r="Y7" s="26"/>
      <c r="Z7" s="26"/>
    </row>
    <row r="8" spans="1:34" ht="15.75" x14ac:dyDescent="0.25">
      <c r="T8" s="108">
        <f ca="1">T3-AH3</f>
        <v>0</v>
      </c>
      <c r="U8" s="107"/>
      <c r="V8" s="26"/>
      <c r="W8" s="26"/>
      <c r="X8" s="26"/>
      <c r="Y8" s="26"/>
      <c r="Z8" s="26"/>
    </row>
    <row r="9" spans="1:34" ht="15.75" x14ac:dyDescent="0.25">
      <c r="U9" s="107"/>
      <c r="V9" s="26"/>
      <c r="W9" s="26"/>
      <c r="X9" s="26"/>
      <c r="Y9" s="26"/>
      <c r="Z9" s="26"/>
    </row>
    <row r="10" spans="1:34" ht="15.75" x14ac:dyDescent="0.25">
      <c r="U10" s="107"/>
      <c r="V10" s="26"/>
      <c r="W10" s="26"/>
      <c r="X10" s="26"/>
      <c r="Y10" s="26"/>
      <c r="Z10" s="26"/>
    </row>
    <row r="11" spans="1:34" ht="15.75" x14ac:dyDescent="0.25">
      <c r="U11" s="107"/>
      <c r="V11" s="26"/>
      <c r="W11" s="26"/>
      <c r="X11" s="26"/>
      <c r="Y11" s="26"/>
      <c r="Z11" s="26"/>
    </row>
    <row r="12" spans="1:34" ht="15.75" x14ac:dyDescent="0.25">
      <c r="U12" s="107"/>
      <c r="V12" s="26"/>
      <c r="W12" s="26"/>
      <c r="X12" s="26"/>
      <c r="Y12" s="26"/>
      <c r="Z12" s="26"/>
    </row>
    <row r="13" spans="1:34" ht="15.75" x14ac:dyDescent="0.25">
      <c r="U13" s="107"/>
      <c r="V13" s="26"/>
      <c r="W13" s="26"/>
      <c r="X13" s="26"/>
      <c r="Y13" s="26"/>
      <c r="Z13" s="26"/>
    </row>
    <row r="14" spans="1:34" ht="15.75" x14ac:dyDescent="0.25">
      <c r="U14" s="107"/>
      <c r="V14" s="26"/>
      <c r="W14" s="26"/>
      <c r="X14" s="26"/>
      <c r="Y14" s="26"/>
      <c r="Z14" s="26"/>
    </row>
    <row r="15" spans="1:34" ht="15.75" x14ac:dyDescent="0.25">
      <c r="U15" s="107"/>
      <c r="V15" s="26"/>
      <c r="W15" s="26"/>
      <c r="X15" s="26"/>
      <c r="Y15" s="26"/>
      <c r="Z15" s="26"/>
    </row>
    <row r="16" spans="1:34" ht="15.75" x14ac:dyDescent="0.25">
      <c r="U16" s="107"/>
      <c r="V16" s="26"/>
      <c r="W16" s="26"/>
      <c r="X16" s="26"/>
      <c r="Y16" s="26"/>
      <c r="Z16" s="26"/>
    </row>
    <row r="17" spans="1:39" ht="15.75" x14ac:dyDescent="0.25">
      <c r="U17" s="107"/>
      <c r="V17" s="26"/>
      <c r="W17" s="26"/>
      <c r="X17" s="26"/>
      <c r="Y17" s="26"/>
      <c r="Z17" s="26"/>
    </row>
    <row r="18" spans="1:39" s="110" customFormat="1" ht="15.75" x14ac:dyDescent="0.25">
      <c r="A18" s="25"/>
      <c r="B18" s="25"/>
      <c r="C18" s="36"/>
      <c r="D18" s="36"/>
      <c r="E18" s="36"/>
      <c r="F18" s="36"/>
      <c r="G18" s="36"/>
      <c r="H18" s="36"/>
      <c r="I18" s="36"/>
      <c r="J18" s="36"/>
      <c r="K18" s="36"/>
      <c r="L18" s="36"/>
      <c r="N18" s="36"/>
      <c r="O18" s="25"/>
      <c r="P18" s="25"/>
      <c r="Q18" s="25"/>
      <c r="R18" s="25"/>
      <c r="S18" s="25"/>
      <c r="T18" s="108"/>
      <c r="U18" s="107"/>
      <c r="V18" s="26"/>
      <c r="W18" s="26"/>
      <c r="X18" s="26"/>
      <c r="Y18" s="26"/>
      <c r="Z18" s="26"/>
      <c r="AA18" s="88"/>
      <c r="AB18" s="88"/>
      <c r="AC18" s="25"/>
      <c r="AD18" s="25"/>
      <c r="AE18" s="25"/>
      <c r="AF18" s="25"/>
      <c r="AG18" s="25"/>
      <c r="AH18" s="25"/>
      <c r="AI18" s="25"/>
      <c r="AJ18" s="25"/>
      <c r="AK18" s="25"/>
      <c r="AL18" s="25"/>
      <c r="AM18" s="25"/>
    </row>
    <row r="19" spans="1:39" s="110" customFormat="1" ht="15.75" x14ac:dyDescent="0.25">
      <c r="A19" s="25"/>
      <c r="B19" s="25"/>
      <c r="C19" s="36"/>
      <c r="D19" s="36"/>
      <c r="E19" s="36"/>
      <c r="F19" s="36"/>
      <c r="G19" s="36"/>
      <c r="H19" s="36"/>
      <c r="I19" s="36"/>
      <c r="J19" s="36"/>
      <c r="K19" s="36"/>
      <c r="L19" s="36"/>
      <c r="N19" s="36"/>
      <c r="O19" s="25"/>
      <c r="P19" s="25"/>
      <c r="Q19" s="25"/>
      <c r="R19" s="25"/>
      <c r="S19" s="25"/>
      <c r="T19" s="108"/>
      <c r="U19" s="107"/>
      <c r="V19" s="26"/>
      <c r="W19" s="26"/>
      <c r="X19" s="26"/>
      <c r="Y19" s="26"/>
      <c r="Z19" s="26"/>
      <c r="AA19" s="88"/>
      <c r="AB19" s="88"/>
      <c r="AC19" s="25"/>
      <c r="AD19" s="25"/>
      <c r="AE19" s="25"/>
      <c r="AF19" s="25"/>
      <c r="AG19" s="25"/>
      <c r="AH19" s="25"/>
      <c r="AI19" s="25"/>
      <c r="AJ19" s="25"/>
      <c r="AK19" s="25"/>
      <c r="AL19" s="25"/>
      <c r="AM19" s="25"/>
    </row>
    <row r="20" spans="1:39" s="110" customFormat="1" ht="15.75" x14ac:dyDescent="0.25">
      <c r="A20" s="25"/>
      <c r="B20" s="25"/>
      <c r="C20" s="36"/>
      <c r="D20" s="36"/>
      <c r="E20" s="36"/>
      <c r="F20" s="36"/>
      <c r="G20" s="36"/>
      <c r="H20" s="36"/>
      <c r="I20" s="36"/>
      <c r="J20" s="36"/>
      <c r="K20" s="36"/>
      <c r="L20" s="36"/>
      <c r="N20" s="36"/>
      <c r="O20" s="25"/>
      <c r="P20" s="25"/>
      <c r="Q20" s="25"/>
      <c r="R20" s="25"/>
      <c r="S20" s="25"/>
      <c r="T20" s="108"/>
      <c r="U20" s="107"/>
      <c r="V20" s="26"/>
      <c r="W20" s="26"/>
      <c r="X20" s="26"/>
      <c r="Y20" s="26"/>
      <c r="Z20" s="26"/>
      <c r="AA20" s="88"/>
      <c r="AB20" s="88"/>
      <c r="AC20" s="25"/>
      <c r="AD20" s="25"/>
      <c r="AE20" s="25"/>
      <c r="AF20" s="25"/>
      <c r="AG20" s="25"/>
      <c r="AH20" s="25"/>
      <c r="AI20" s="25"/>
      <c r="AJ20" s="25"/>
      <c r="AK20" s="25"/>
      <c r="AL20" s="25"/>
      <c r="AM20" s="25"/>
    </row>
    <row r="21" spans="1:39" s="110" customFormat="1" ht="15.75" x14ac:dyDescent="0.25">
      <c r="A21" s="25"/>
      <c r="B21" s="25"/>
      <c r="C21" s="36"/>
      <c r="D21" s="36"/>
      <c r="E21" s="36"/>
      <c r="F21" s="36"/>
      <c r="G21" s="36"/>
      <c r="H21" s="36"/>
      <c r="I21" s="36"/>
      <c r="J21" s="36"/>
      <c r="K21" s="36"/>
      <c r="L21" s="36"/>
      <c r="N21" s="36"/>
      <c r="O21" s="25"/>
      <c r="P21" s="25"/>
      <c r="Q21" s="25"/>
      <c r="R21" s="25"/>
      <c r="S21" s="25"/>
      <c r="T21" s="108"/>
      <c r="U21" s="107"/>
      <c r="V21" s="26"/>
      <c r="W21" s="26"/>
      <c r="X21" s="26"/>
      <c r="Y21" s="26"/>
      <c r="Z21" s="26"/>
      <c r="AA21" s="88"/>
      <c r="AB21" s="88"/>
      <c r="AC21" s="25"/>
      <c r="AD21" s="25"/>
      <c r="AE21" s="25"/>
      <c r="AF21" s="25"/>
      <c r="AG21" s="25"/>
      <c r="AH21" s="25"/>
      <c r="AI21" s="25"/>
      <c r="AJ21" s="25"/>
      <c r="AK21" s="25"/>
      <c r="AL21" s="25"/>
      <c r="AM21" s="25"/>
    </row>
    <row r="22" spans="1:39" s="110" customFormat="1" ht="15.75" x14ac:dyDescent="0.25">
      <c r="A22" s="25"/>
      <c r="B22" s="25"/>
      <c r="C22" s="36"/>
      <c r="D22" s="36"/>
      <c r="E22" s="36"/>
      <c r="F22" s="36"/>
      <c r="G22" s="36"/>
      <c r="H22" s="36"/>
      <c r="I22" s="36"/>
      <c r="J22" s="36"/>
      <c r="K22" s="36"/>
      <c r="L22" s="36"/>
      <c r="N22" s="36"/>
      <c r="O22" s="25"/>
      <c r="P22" s="25"/>
      <c r="Q22" s="25"/>
      <c r="R22" s="25"/>
      <c r="S22" s="25"/>
      <c r="T22" s="108"/>
      <c r="U22" s="107"/>
      <c r="V22" s="26"/>
      <c r="W22" s="26"/>
      <c r="X22" s="26"/>
      <c r="Y22" s="26"/>
      <c r="Z22" s="26"/>
      <c r="AA22" s="88"/>
      <c r="AB22" s="88"/>
      <c r="AC22" s="25"/>
      <c r="AD22" s="25"/>
      <c r="AE22" s="25"/>
      <c r="AF22" s="25"/>
      <c r="AG22" s="25"/>
      <c r="AH22" s="25"/>
      <c r="AI22" s="25"/>
      <c r="AJ22" s="25"/>
      <c r="AK22" s="25"/>
      <c r="AL22" s="25"/>
      <c r="AM22" s="25"/>
    </row>
    <row r="23" spans="1:39" s="110" customFormat="1" ht="15.75" x14ac:dyDescent="0.25">
      <c r="A23" s="25"/>
      <c r="B23" s="25"/>
      <c r="C23" s="36"/>
      <c r="D23" s="36"/>
      <c r="E23" s="36"/>
      <c r="F23" s="36"/>
      <c r="G23" s="36"/>
      <c r="H23" s="36"/>
      <c r="I23" s="36"/>
      <c r="J23" s="36"/>
      <c r="K23" s="36"/>
      <c r="L23" s="36"/>
      <c r="N23" s="36"/>
      <c r="O23" s="25"/>
      <c r="P23" s="25"/>
      <c r="Q23" s="25"/>
      <c r="R23" s="25"/>
      <c r="S23" s="25"/>
      <c r="T23" s="108"/>
      <c r="U23" s="107"/>
      <c r="V23" s="26"/>
      <c r="W23" s="26"/>
      <c r="X23" s="26"/>
      <c r="Y23" s="26"/>
      <c r="Z23" s="26"/>
      <c r="AA23" s="88"/>
      <c r="AB23" s="88"/>
      <c r="AC23" s="25"/>
      <c r="AD23" s="25"/>
      <c r="AE23" s="25"/>
      <c r="AF23" s="25"/>
      <c r="AG23" s="25"/>
      <c r="AH23" s="25"/>
      <c r="AI23" s="25"/>
      <c r="AJ23" s="25"/>
      <c r="AK23" s="25"/>
      <c r="AL23" s="25"/>
      <c r="AM23" s="25"/>
    </row>
    <row r="24" spans="1:39" s="110" customFormat="1" ht="15.75" x14ac:dyDescent="0.25">
      <c r="A24" s="25"/>
      <c r="B24" s="25"/>
      <c r="C24" s="36"/>
      <c r="D24" s="36"/>
      <c r="E24" s="36"/>
      <c r="F24" s="36"/>
      <c r="G24" s="36"/>
      <c r="H24" s="36"/>
      <c r="I24" s="36"/>
      <c r="J24" s="36"/>
      <c r="K24" s="36"/>
      <c r="L24" s="36"/>
      <c r="N24" s="36"/>
      <c r="O24" s="25"/>
      <c r="P24" s="25"/>
      <c r="Q24" s="25"/>
      <c r="R24" s="25"/>
      <c r="S24" s="25"/>
      <c r="T24" s="108"/>
      <c r="U24" s="107"/>
      <c r="V24" s="26"/>
      <c r="W24" s="26"/>
      <c r="X24" s="26"/>
      <c r="Y24" s="26"/>
      <c r="Z24" s="26"/>
      <c r="AA24" s="88"/>
      <c r="AB24" s="88"/>
      <c r="AC24" s="25"/>
      <c r="AD24" s="25"/>
      <c r="AE24" s="25"/>
      <c r="AF24" s="25"/>
      <c r="AG24" s="25"/>
      <c r="AH24" s="25"/>
      <c r="AI24" s="25"/>
      <c r="AJ24" s="25"/>
      <c r="AK24" s="25"/>
      <c r="AL24" s="25"/>
      <c r="AM24" s="25"/>
    </row>
    <row r="25" spans="1:39" s="110" customFormat="1" ht="15.75" x14ac:dyDescent="0.25">
      <c r="A25" s="25"/>
      <c r="B25" s="25"/>
      <c r="C25" s="36"/>
      <c r="D25" s="36"/>
      <c r="E25" s="36"/>
      <c r="F25" s="36"/>
      <c r="G25" s="36"/>
      <c r="H25" s="36"/>
      <c r="I25" s="36"/>
      <c r="J25" s="36"/>
      <c r="K25" s="36"/>
      <c r="L25" s="36"/>
      <c r="N25" s="36"/>
      <c r="O25" s="25"/>
      <c r="P25" s="25"/>
      <c r="Q25" s="25"/>
      <c r="R25" s="25"/>
      <c r="S25" s="25"/>
      <c r="T25" s="108"/>
      <c r="U25" s="107"/>
      <c r="V25" s="26"/>
      <c r="W25" s="26"/>
      <c r="X25" s="26"/>
      <c r="Y25" s="26"/>
      <c r="Z25" s="26"/>
      <c r="AA25" s="88"/>
      <c r="AB25" s="88"/>
      <c r="AC25" s="25"/>
      <c r="AD25" s="25"/>
      <c r="AE25" s="25"/>
      <c r="AF25" s="25"/>
      <c r="AG25" s="25"/>
      <c r="AH25" s="25"/>
      <c r="AI25" s="25"/>
      <c r="AJ25" s="25"/>
      <c r="AK25" s="25"/>
      <c r="AL25" s="25"/>
      <c r="AM25" s="25"/>
    </row>
    <row r="26" spans="1:39" s="110" customFormat="1" ht="15.75" x14ac:dyDescent="0.25">
      <c r="A26" s="25"/>
      <c r="B26" s="25"/>
      <c r="C26" s="36"/>
      <c r="D26" s="36"/>
      <c r="E26" s="36"/>
      <c r="F26" s="36"/>
      <c r="G26" s="36"/>
      <c r="H26" s="36"/>
      <c r="I26" s="36"/>
      <c r="J26" s="36"/>
      <c r="K26" s="36"/>
      <c r="L26" s="36"/>
      <c r="N26" s="36"/>
      <c r="O26" s="25"/>
      <c r="P26" s="25"/>
      <c r="Q26" s="25"/>
      <c r="R26" s="25"/>
      <c r="S26" s="25"/>
      <c r="T26" s="108"/>
      <c r="U26" s="107"/>
      <c r="V26" s="26"/>
      <c r="W26" s="26"/>
      <c r="X26" s="26"/>
      <c r="Y26" s="26"/>
      <c r="Z26" s="26"/>
      <c r="AA26" s="88"/>
      <c r="AB26" s="88"/>
      <c r="AC26" s="25"/>
      <c r="AD26" s="25"/>
      <c r="AE26" s="25"/>
      <c r="AF26" s="25"/>
      <c r="AG26" s="25"/>
      <c r="AH26" s="25"/>
      <c r="AI26" s="25"/>
      <c r="AJ26" s="25"/>
      <c r="AK26" s="25"/>
      <c r="AL26" s="25"/>
      <c r="AM26" s="25"/>
    </row>
    <row r="27" spans="1:39" s="110" customFormat="1" ht="15.75" x14ac:dyDescent="0.25">
      <c r="A27" s="25"/>
      <c r="B27" s="25"/>
      <c r="C27" s="36"/>
      <c r="D27" s="36"/>
      <c r="E27" s="36"/>
      <c r="F27" s="36"/>
      <c r="G27" s="36"/>
      <c r="H27" s="36"/>
      <c r="I27" s="36"/>
      <c r="J27" s="36"/>
      <c r="K27" s="36"/>
      <c r="L27" s="36"/>
      <c r="N27" s="36"/>
      <c r="O27" s="25"/>
      <c r="P27" s="25"/>
      <c r="Q27" s="25"/>
      <c r="R27" s="25"/>
      <c r="S27" s="25"/>
      <c r="T27" s="108"/>
      <c r="U27" s="107"/>
      <c r="V27" s="26"/>
      <c r="W27" s="26"/>
      <c r="X27" s="26"/>
      <c r="Y27" s="26"/>
      <c r="Z27" s="26"/>
      <c r="AA27" s="88"/>
      <c r="AB27" s="88"/>
      <c r="AC27" s="25"/>
      <c r="AD27" s="25"/>
      <c r="AE27" s="25"/>
      <c r="AF27" s="25"/>
      <c r="AG27" s="25"/>
      <c r="AH27" s="25"/>
      <c r="AI27" s="25"/>
      <c r="AJ27" s="25"/>
      <c r="AK27" s="25"/>
      <c r="AL27" s="25"/>
      <c r="AM27" s="25"/>
    </row>
    <row r="28" spans="1:39" s="110" customFormat="1" ht="15.75" x14ac:dyDescent="0.25">
      <c r="A28" s="25"/>
      <c r="B28" s="25"/>
      <c r="C28" s="36"/>
      <c r="D28" s="36"/>
      <c r="E28" s="36"/>
      <c r="F28" s="36"/>
      <c r="G28" s="36"/>
      <c r="H28" s="36"/>
      <c r="I28" s="36"/>
      <c r="J28" s="36"/>
      <c r="K28" s="36"/>
      <c r="L28" s="36"/>
      <c r="N28" s="36"/>
      <c r="O28" s="25"/>
      <c r="P28" s="25"/>
      <c r="Q28" s="25"/>
      <c r="R28" s="25"/>
      <c r="S28" s="25"/>
      <c r="T28" s="108"/>
      <c r="U28" s="107"/>
      <c r="V28" s="26"/>
      <c r="W28" s="26"/>
      <c r="X28" s="26"/>
      <c r="Y28" s="26"/>
      <c r="Z28" s="26"/>
      <c r="AA28" s="88"/>
      <c r="AB28" s="88"/>
      <c r="AC28" s="25"/>
      <c r="AD28" s="25"/>
      <c r="AE28" s="25"/>
      <c r="AF28" s="25"/>
      <c r="AG28" s="25"/>
      <c r="AH28" s="25"/>
      <c r="AI28" s="25"/>
      <c r="AJ28" s="25"/>
      <c r="AK28" s="25"/>
      <c r="AL28" s="25"/>
      <c r="AM28" s="25"/>
    </row>
    <row r="29" spans="1:39" s="110" customFormat="1" ht="15.75" x14ac:dyDescent="0.25">
      <c r="A29" s="25"/>
      <c r="B29" s="25"/>
      <c r="C29" s="36"/>
      <c r="D29" s="36"/>
      <c r="E29" s="36"/>
      <c r="F29" s="36"/>
      <c r="G29" s="36"/>
      <c r="H29" s="36"/>
      <c r="I29" s="36"/>
      <c r="J29" s="36"/>
      <c r="K29" s="36"/>
      <c r="L29" s="36"/>
      <c r="N29" s="36"/>
      <c r="O29" s="25"/>
      <c r="P29" s="25"/>
      <c r="Q29" s="25"/>
      <c r="R29" s="25"/>
      <c r="S29" s="25"/>
      <c r="T29" s="108"/>
      <c r="U29" s="107"/>
      <c r="V29" s="26"/>
      <c r="W29" s="26"/>
      <c r="X29" s="26"/>
      <c r="Y29" s="26"/>
      <c r="Z29" s="26"/>
      <c r="AA29" s="88"/>
      <c r="AB29" s="88"/>
      <c r="AC29" s="25"/>
      <c r="AD29" s="25"/>
      <c r="AE29" s="25"/>
      <c r="AF29" s="25"/>
      <c r="AG29" s="25"/>
      <c r="AH29" s="25"/>
      <c r="AI29" s="25"/>
      <c r="AJ29" s="25"/>
      <c r="AK29" s="25"/>
      <c r="AL29" s="25"/>
      <c r="AM29" s="25"/>
    </row>
    <row r="30" spans="1:39" s="110" customFormat="1" ht="15.75" x14ac:dyDescent="0.25">
      <c r="A30" s="25"/>
      <c r="B30" s="25"/>
      <c r="C30" s="36"/>
      <c r="D30" s="36"/>
      <c r="E30" s="36"/>
      <c r="F30" s="36"/>
      <c r="G30" s="36"/>
      <c r="H30" s="36"/>
      <c r="I30" s="36"/>
      <c r="J30" s="36"/>
      <c r="K30" s="36"/>
      <c r="L30" s="36"/>
      <c r="N30" s="36"/>
      <c r="O30" s="25"/>
      <c r="P30" s="25"/>
      <c r="Q30" s="25"/>
      <c r="R30" s="25"/>
      <c r="S30" s="25"/>
      <c r="T30" s="108"/>
      <c r="U30" s="107"/>
      <c r="V30" s="26"/>
      <c r="W30" s="26"/>
      <c r="X30" s="26"/>
      <c r="Y30" s="26"/>
      <c r="Z30" s="26"/>
      <c r="AA30" s="88"/>
      <c r="AB30" s="88"/>
      <c r="AC30" s="25"/>
      <c r="AD30" s="25"/>
      <c r="AE30" s="25"/>
      <c r="AF30" s="25"/>
      <c r="AG30" s="25"/>
      <c r="AH30" s="25"/>
      <c r="AI30" s="25"/>
      <c r="AJ30" s="25"/>
      <c r="AK30" s="25"/>
      <c r="AL30" s="25"/>
      <c r="AM30" s="25"/>
    </row>
    <row r="31" spans="1:39" ht="15.75" x14ac:dyDescent="0.25">
      <c r="U31" s="107"/>
      <c r="V31" s="26"/>
      <c r="W31" s="26"/>
      <c r="X31" s="26"/>
      <c r="Y31" s="26"/>
      <c r="Z31" s="26"/>
    </row>
    <row r="32" spans="1:39" ht="15.75" x14ac:dyDescent="0.25">
      <c r="U32" s="107"/>
      <c r="V32" s="26"/>
      <c r="W32" s="26"/>
      <c r="X32" s="26"/>
      <c r="Y32" s="26"/>
      <c r="Z32" s="26"/>
    </row>
    <row r="33" spans="21:26" ht="15.75" x14ac:dyDescent="0.25">
      <c r="U33" s="107"/>
      <c r="V33" s="26"/>
      <c r="W33" s="26"/>
      <c r="X33" s="26"/>
      <c r="Y33" s="26"/>
      <c r="Z33" s="26"/>
    </row>
    <row r="34" spans="21:26" ht="15.75" x14ac:dyDescent="0.25">
      <c r="U34" s="107"/>
      <c r="V34" s="26"/>
      <c r="W34" s="26"/>
      <c r="X34" s="26"/>
      <c r="Y34" s="26"/>
      <c r="Z34" s="26"/>
    </row>
    <row r="35" spans="21:26" ht="15.75" x14ac:dyDescent="0.25">
      <c r="U35" s="107"/>
      <c r="V35" s="26"/>
      <c r="W35" s="26"/>
      <c r="X35" s="26"/>
      <c r="Y35" s="26"/>
      <c r="Z35" s="26"/>
    </row>
    <row r="36" spans="21:26" ht="15.75" x14ac:dyDescent="0.25">
      <c r="U36" s="107"/>
      <c r="V36" s="26"/>
      <c r="W36" s="26"/>
      <c r="X36" s="26"/>
      <c r="Y36" s="26"/>
      <c r="Z36" s="26"/>
    </row>
    <row r="37" spans="21:26" ht="15.75" x14ac:dyDescent="0.25">
      <c r="U37" s="107"/>
      <c r="V37" s="26"/>
      <c r="W37" s="26"/>
      <c r="X37" s="26"/>
      <c r="Y37" s="26"/>
      <c r="Z37" s="26"/>
    </row>
    <row r="38" spans="21:26" ht="15.75" x14ac:dyDescent="0.25">
      <c r="U38" s="107"/>
      <c r="V38" s="26"/>
      <c r="W38" s="26"/>
      <c r="X38" s="26"/>
      <c r="Y38" s="26"/>
      <c r="Z38" s="26"/>
    </row>
    <row r="39" spans="21:26" ht="15.75" x14ac:dyDescent="0.25">
      <c r="U39" s="107"/>
      <c r="V39" s="26"/>
      <c r="W39" s="26"/>
      <c r="X39" s="26"/>
      <c r="Y39" s="26"/>
      <c r="Z39" s="26"/>
    </row>
    <row r="40" spans="21:26" ht="15.75" x14ac:dyDescent="0.25">
      <c r="U40" s="107"/>
      <c r="V40" s="26"/>
      <c r="W40" s="26"/>
      <c r="X40" s="26"/>
      <c r="Y40" s="26"/>
      <c r="Z40" s="26"/>
    </row>
    <row r="41" spans="21:26" ht="15.75" x14ac:dyDescent="0.25">
      <c r="U41" s="107"/>
      <c r="V41" s="26"/>
      <c r="W41" s="26"/>
      <c r="X41" s="26"/>
      <c r="Y41" s="26"/>
      <c r="Z41" s="26"/>
    </row>
    <row r="42" spans="21:26" ht="15.75" x14ac:dyDescent="0.25">
      <c r="U42" s="107"/>
      <c r="V42" s="26"/>
      <c r="W42" s="26"/>
      <c r="X42" s="26"/>
      <c r="Y42" s="26"/>
      <c r="Z42" s="26"/>
    </row>
    <row r="43" spans="21:26" ht="15.75" x14ac:dyDescent="0.25">
      <c r="U43" s="107"/>
      <c r="V43" s="26"/>
      <c r="W43" s="26"/>
      <c r="X43" s="26"/>
      <c r="Y43" s="26"/>
      <c r="Z43" s="26"/>
    </row>
    <row r="44" spans="21:26" ht="15.75" x14ac:dyDescent="0.25">
      <c r="U44" s="107"/>
      <c r="V44" s="26"/>
      <c r="W44" s="26"/>
      <c r="X44" s="26"/>
      <c r="Y44" s="26"/>
      <c r="Z44" s="26"/>
    </row>
    <row r="45" spans="21:26" ht="15.75" x14ac:dyDescent="0.25">
      <c r="U45" s="107"/>
      <c r="V45" s="26"/>
      <c r="W45" s="26"/>
      <c r="X45" s="26"/>
      <c r="Y45" s="26"/>
      <c r="Z45" s="26"/>
    </row>
    <row r="46" spans="21:26" ht="15.75" x14ac:dyDescent="0.25">
      <c r="U46" s="107"/>
      <c r="V46" s="26"/>
      <c r="W46" s="26"/>
      <c r="X46" s="26"/>
      <c r="Y46" s="26"/>
      <c r="Z46" s="26"/>
    </row>
    <row r="47" spans="21:26" ht="15.75" x14ac:dyDescent="0.25">
      <c r="U47" s="107"/>
      <c r="V47" s="26"/>
      <c r="W47" s="26"/>
      <c r="X47" s="26"/>
      <c r="Y47" s="26"/>
      <c r="Z47" s="26"/>
    </row>
    <row r="48" spans="21:26" ht="15.75" x14ac:dyDescent="0.25">
      <c r="U48" s="107"/>
      <c r="V48" s="26"/>
      <c r="W48" s="26"/>
      <c r="X48" s="26"/>
      <c r="Y48" s="26"/>
      <c r="Z48" s="26"/>
    </row>
    <row r="49" spans="21:26" ht="15.75" x14ac:dyDescent="0.25">
      <c r="U49" s="107"/>
      <c r="V49" s="26"/>
      <c r="W49" s="26"/>
      <c r="X49" s="26"/>
      <c r="Y49" s="26"/>
      <c r="Z49" s="26"/>
    </row>
    <row r="50" spans="21:26" ht="15.75" x14ac:dyDescent="0.25">
      <c r="U50" s="107"/>
      <c r="V50" s="26"/>
      <c r="W50" s="26"/>
      <c r="X50" s="26"/>
      <c r="Y50" s="26"/>
      <c r="Z50" s="26"/>
    </row>
    <row r="51" spans="21:26" ht="15.75" x14ac:dyDescent="0.25">
      <c r="U51" s="107"/>
      <c r="V51" s="26"/>
      <c r="W51" s="26"/>
      <c r="X51" s="26"/>
      <c r="Y51" s="26"/>
      <c r="Z51" s="26"/>
    </row>
    <row r="52" spans="21:26" ht="15.75" x14ac:dyDescent="0.25">
      <c r="U52" s="107"/>
      <c r="V52" s="26"/>
      <c r="W52" s="26"/>
      <c r="X52" s="26"/>
      <c r="Y52" s="26"/>
      <c r="Z52" s="26"/>
    </row>
    <row r="53" spans="21:26" ht="15.75" x14ac:dyDescent="0.25">
      <c r="U53" s="107"/>
      <c r="V53" s="26"/>
      <c r="W53" s="26"/>
      <c r="X53" s="26"/>
      <c r="Y53" s="26"/>
      <c r="Z53" s="26"/>
    </row>
    <row r="54" spans="21:26" ht="15.75" x14ac:dyDescent="0.25">
      <c r="U54" s="107"/>
      <c r="V54" s="26"/>
      <c r="W54" s="26"/>
      <c r="X54" s="26"/>
      <c r="Y54" s="26"/>
      <c r="Z54" s="26"/>
    </row>
    <row r="55" spans="21:26" ht="15.75" x14ac:dyDescent="0.25">
      <c r="U55" s="107"/>
      <c r="V55" s="26"/>
      <c r="W55" s="26"/>
      <c r="X55" s="26"/>
      <c r="Y55" s="26"/>
      <c r="Z55" s="26"/>
    </row>
    <row r="56" spans="21:26" ht="15.75" x14ac:dyDescent="0.25">
      <c r="U56" s="107"/>
      <c r="V56" s="26"/>
      <c r="W56" s="26"/>
      <c r="X56" s="26"/>
      <c r="Y56" s="26"/>
      <c r="Z56" s="26"/>
    </row>
    <row r="57" spans="21:26" ht="15.75" x14ac:dyDescent="0.25">
      <c r="U57" s="107"/>
      <c r="V57" s="26"/>
      <c r="W57" s="26"/>
      <c r="X57" s="26"/>
      <c r="Y57" s="26"/>
      <c r="Z57" s="26"/>
    </row>
    <row r="58" spans="21:26" ht="15.75" x14ac:dyDescent="0.25">
      <c r="U58" s="107"/>
      <c r="V58" s="26"/>
      <c r="W58" s="26"/>
      <c r="X58" s="26"/>
      <c r="Y58" s="26"/>
      <c r="Z58" s="26"/>
    </row>
    <row r="59" spans="21:26" ht="15.75" x14ac:dyDescent="0.25">
      <c r="U59" s="107"/>
      <c r="V59" s="26"/>
      <c r="W59" s="26"/>
      <c r="X59" s="26"/>
      <c r="Y59" s="26"/>
      <c r="Z59" s="26"/>
    </row>
    <row r="60" spans="21:26" ht="15.75" x14ac:dyDescent="0.25">
      <c r="U60" s="107"/>
      <c r="V60" s="26"/>
      <c r="W60" s="26"/>
      <c r="X60" s="26"/>
      <c r="Y60" s="26"/>
      <c r="Z60" s="26"/>
    </row>
    <row r="61" spans="21:26" ht="15.75" x14ac:dyDescent="0.25">
      <c r="U61" s="107"/>
      <c r="V61" s="26"/>
      <c r="W61" s="26"/>
      <c r="X61" s="26"/>
      <c r="Y61" s="26"/>
      <c r="Z61" s="26"/>
    </row>
    <row r="62" spans="21:26" ht="15.75" x14ac:dyDescent="0.25">
      <c r="U62" s="107"/>
      <c r="V62" s="26"/>
      <c r="W62" s="26"/>
      <c r="X62" s="26"/>
      <c r="Y62" s="26"/>
      <c r="Z62" s="26"/>
    </row>
    <row r="63" spans="21:26" ht="15.75" x14ac:dyDescent="0.25">
      <c r="U63" s="107"/>
      <c r="V63" s="26"/>
      <c r="W63" s="26"/>
      <c r="X63" s="26"/>
      <c r="Y63" s="26"/>
      <c r="Z63" s="26"/>
    </row>
    <row r="64" spans="21:26" ht="15.75" x14ac:dyDescent="0.25">
      <c r="U64" s="107"/>
      <c r="V64" s="26"/>
      <c r="W64" s="26"/>
      <c r="X64" s="26"/>
      <c r="Y64" s="26"/>
      <c r="Z64" s="26"/>
    </row>
    <row r="65" spans="21:26" ht="15.75" x14ac:dyDescent="0.25">
      <c r="U65" s="107"/>
      <c r="V65" s="26"/>
      <c r="W65" s="26"/>
      <c r="X65" s="26"/>
      <c r="Y65" s="26"/>
      <c r="Z65" s="26"/>
    </row>
    <row r="66" spans="21:26" ht="15.75" x14ac:dyDescent="0.25">
      <c r="U66" s="107"/>
      <c r="V66" s="26"/>
      <c r="W66" s="26"/>
      <c r="X66" s="26"/>
      <c r="Y66" s="26"/>
      <c r="Z66" s="26"/>
    </row>
    <row r="67" spans="21:26" ht="15.75" x14ac:dyDescent="0.25">
      <c r="U67" s="107"/>
      <c r="V67" s="26"/>
      <c r="W67" s="26"/>
      <c r="X67" s="26"/>
      <c r="Y67" s="26"/>
      <c r="Z67" s="26"/>
    </row>
    <row r="68" spans="21:26" ht="15.75" x14ac:dyDescent="0.25">
      <c r="U68" s="107"/>
      <c r="V68" s="26"/>
      <c r="W68" s="26"/>
      <c r="X68" s="26"/>
      <c r="Y68" s="26"/>
      <c r="Z68" s="26"/>
    </row>
    <row r="69" spans="21:26" ht="15.75" x14ac:dyDescent="0.25">
      <c r="U69" s="107"/>
      <c r="V69" s="26"/>
      <c r="W69" s="26"/>
      <c r="X69" s="26"/>
      <c r="Y69" s="26"/>
      <c r="Z69" s="26"/>
    </row>
    <row r="70" spans="21:26" ht="15.75" x14ac:dyDescent="0.25">
      <c r="U70" s="107"/>
      <c r="V70" s="26"/>
      <c r="W70" s="26"/>
      <c r="X70" s="26"/>
      <c r="Y70" s="26"/>
      <c r="Z70" s="26"/>
    </row>
    <row r="71" spans="21:26" ht="15.75" x14ac:dyDescent="0.25">
      <c r="U71" s="107"/>
      <c r="V71" s="26"/>
      <c r="W71" s="26"/>
      <c r="X71" s="26"/>
      <c r="Y71" s="26"/>
      <c r="Z71" s="26"/>
    </row>
    <row r="72" spans="21:26" ht="15.75" x14ac:dyDescent="0.25">
      <c r="U72" s="107"/>
      <c r="V72" s="26"/>
      <c r="W72" s="26"/>
      <c r="X72" s="26"/>
      <c r="Y72" s="26"/>
      <c r="Z72" s="26"/>
    </row>
    <row r="73" spans="21:26" ht="15.75" x14ac:dyDescent="0.25">
      <c r="U73" s="107"/>
      <c r="V73" s="26"/>
      <c r="W73" s="26"/>
      <c r="X73" s="26"/>
      <c r="Y73" s="26"/>
      <c r="Z73" s="26"/>
    </row>
    <row r="74" spans="21:26" ht="15.75" x14ac:dyDescent="0.25">
      <c r="U74" s="107"/>
      <c r="V74" s="26"/>
      <c r="W74" s="26"/>
      <c r="X74" s="26"/>
      <c r="Y74" s="26"/>
      <c r="Z74" s="26"/>
    </row>
    <row r="75" spans="21:26" ht="15.75" x14ac:dyDescent="0.25">
      <c r="U75" s="107"/>
      <c r="V75" s="26"/>
      <c r="W75" s="26"/>
      <c r="X75" s="26"/>
      <c r="Y75" s="26"/>
      <c r="Z75" s="26"/>
    </row>
    <row r="76" spans="21:26" ht="15.75" x14ac:dyDescent="0.25">
      <c r="U76" s="107"/>
      <c r="V76" s="26"/>
      <c r="W76" s="26"/>
      <c r="X76" s="26"/>
      <c r="Y76" s="26"/>
      <c r="Z76" s="26"/>
    </row>
    <row r="77" spans="21:26" ht="15.75" x14ac:dyDescent="0.25">
      <c r="U77" s="107"/>
      <c r="V77" s="26"/>
      <c r="W77" s="26"/>
      <c r="X77" s="26"/>
      <c r="Y77" s="26"/>
      <c r="Z77" s="26"/>
    </row>
    <row r="78" spans="21:26" ht="15.75" x14ac:dyDescent="0.25">
      <c r="U78" s="107"/>
      <c r="V78" s="26"/>
      <c r="W78" s="26"/>
      <c r="X78" s="26"/>
      <c r="Y78" s="26"/>
      <c r="Z78" s="26"/>
    </row>
    <row r="79" spans="21:26" ht="15.75" x14ac:dyDescent="0.25">
      <c r="U79" s="107"/>
      <c r="V79" s="26"/>
      <c r="W79" s="26"/>
      <c r="X79" s="26"/>
      <c r="Y79" s="26"/>
      <c r="Z79" s="26"/>
    </row>
    <row r="80" spans="21:26" ht="15.75" x14ac:dyDescent="0.25">
      <c r="U80" s="107"/>
      <c r="V80" s="26"/>
      <c r="W80" s="26"/>
      <c r="X80" s="26"/>
      <c r="Y80" s="26"/>
      <c r="Z80" s="26"/>
    </row>
    <row r="81" spans="21:26" ht="15.75" x14ac:dyDescent="0.25">
      <c r="U81" s="107"/>
      <c r="V81" s="26"/>
      <c r="W81" s="26"/>
      <c r="X81" s="26"/>
      <c r="Y81" s="26"/>
      <c r="Z81" s="26"/>
    </row>
    <row r="82" spans="21:26" ht="15.75" x14ac:dyDescent="0.25">
      <c r="U82" s="107"/>
      <c r="V82" s="26"/>
      <c r="W82" s="26"/>
      <c r="X82" s="26"/>
      <c r="Y82" s="26"/>
      <c r="Z82" s="26"/>
    </row>
    <row r="83" spans="21:26" ht="15.75" x14ac:dyDescent="0.25">
      <c r="U83" s="107"/>
      <c r="V83" s="26"/>
      <c r="W83" s="26"/>
      <c r="X83" s="26"/>
      <c r="Y83" s="26"/>
      <c r="Z83" s="26"/>
    </row>
    <row r="84" spans="21:26" ht="15.75" x14ac:dyDescent="0.25">
      <c r="U84" s="107"/>
      <c r="V84" s="26"/>
      <c r="W84" s="26"/>
      <c r="X84" s="26"/>
      <c r="Y84" s="26"/>
      <c r="Z84" s="26"/>
    </row>
    <row r="85" spans="21:26" ht="15.75" x14ac:dyDescent="0.25">
      <c r="U85" s="107"/>
      <c r="V85" s="26"/>
      <c r="W85" s="26"/>
      <c r="X85" s="26"/>
      <c r="Y85" s="26"/>
      <c r="Z85" s="26"/>
    </row>
    <row r="86" spans="21:26" ht="15.75" x14ac:dyDescent="0.25">
      <c r="U86" s="107"/>
      <c r="V86" s="26"/>
      <c r="W86" s="26"/>
      <c r="X86" s="26"/>
      <c r="Y86" s="26"/>
      <c r="Z86" s="26"/>
    </row>
    <row r="87" spans="21:26" ht="15.75" x14ac:dyDescent="0.25">
      <c r="U87" s="107"/>
      <c r="V87" s="26"/>
      <c r="W87" s="26"/>
      <c r="X87" s="26"/>
      <c r="Y87" s="26"/>
      <c r="Z87" s="26"/>
    </row>
    <row r="88" spans="21:26" ht="15.75" x14ac:dyDescent="0.25">
      <c r="U88" s="107"/>
      <c r="V88" s="26"/>
      <c r="W88" s="26"/>
      <c r="X88" s="26"/>
      <c r="Y88" s="26"/>
      <c r="Z88" s="26"/>
    </row>
    <row r="89" spans="21:26" ht="15.75" x14ac:dyDescent="0.25">
      <c r="U89" s="107"/>
      <c r="V89" s="26"/>
      <c r="W89" s="26"/>
      <c r="X89" s="26"/>
      <c r="Y89" s="26"/>
      <c r="Z89" s="26"/>
    </row>
    <row r="90" spans="21:26" ht="15.75" x14ac:dyDescent="0.25">
      <c r="U90" s="107"/>
      <c r="V90" s="26"/>
      <c r="W90" s="26"/>
      <c r="X90" s="26"/>
      <c r="Y90" s="26"/>
      <c r="Z90" s="26"/>
    </row>
    <row r="91" spans="21:26" ht="15.75" x14ac:dyDescent="0.25">
      <c r="U91" s="107"/>
      <c r="V91" s="26"/>
      <c r="W91" s="26"/>
      <c r="X91" s="26"/>
      <c r="Y91" s="26"/>
      <c r="Z91" s="26"/>
    </row>
    <row r="92" spans="21:26" ht="15.75" x14ac:dyDescent="0.25">
      <c r="U92" s="107"/>
      <c r="V92" s="26"/>
      <c r="W92" s="26"/>
      <c r="X92" s="26"/>
      <c r="Y92" s="26"/>
      <c r="Z92" s="26"/>
    </row>
    <row r="93" spans="21:26" ht="15.75" x14ac:dyDescent="0.25">
      <c r="U93" s="107"/>
      <c r="V93" s="26"/>
      <c r="W93" s="26"/>
      <c r="X93" s="26"/>
      <c r="Y93" s="26"/>
      <c r="Z93" s="26"/>
    </row>
    <row r="94" spans="21:26" ht="15.75" x14ac:dyDescent="0.25">
      <c r="U94" s="107"/>
      <c r="V94" s="26"/>
      <c r="W94" s="26"/>
      <c r="X94" s="26"/>
      <c r="Y94" s="26"/>
      <c r="Z94" s="26"/>
    </row>
    <row r="95" spans="21:26" ht="15.75" x14ac:dyDescent="0.25">
      <c r="U95" s="107"/>
      <c r="V95" s="26"/>
      <c r="W95" s="26"/>
      <c r="X95" s="26"/>
      <c r="Y95" s="26"/>
      <c r="Z95" s="26"/>
    </row>
    <row r="96" spans="21:26" ht="15.75" x14ac:dyDescent="0.25">
      <c r="U96" s="107"/>
      <c r="V96" s="26"/>
      <c r="W96" s="26"/>
      <c r="X96" s="26"/>
      <c r="Y96" s="26"/>
      <c r="Z96" s="26"/>
    </row>
    <row r="97" spans="21:26" ht="15.75" x14ac:dyDescent="0.25">
      <c r="U97" s="107"/>
      <c r="V97" s="26"/>
      <c r="W97" s="26"/>
      <c r="X97" s="26"/>
      <c r="Y97" s="26"/>
      <c r="Z97" s="26"/>
    </row>
    <row r="98" spans="21:26" ht="15.75" x14ac:dyDescent="0.25">
      <c r="U98" s="107"/>
      <c r="V98" s="26"/>
      <c r="W98" s="26"/>
      <c r="X98" s="26"/>
      <c r="Y98" s="26"/>
      <c r="Z98" s="26"/>
    </row>
    <row r="99" spans="21:26" ht="15.75" x14ac:dyDescent="0.25">
      <c r="U99" s="107"/>
      <c r="V99" s="26"/>
      <c r="W99" s="26"/>
      <c r="X99" s="26"/>
      <c r="Y99" s="26"/>
      <c r="Z99" s="26"/>
    </row>
    <row r="100" spans="21:26" ht="15.75" x14ac:dyDescent="0.25">
      <c r="U100" s="107"/>
      <c r="V100" s="26"/>
      <c r="W100" s="26"/>
      <c r="X100" s="26"/>
      <c r="Y100" s="26"/>
      <c r="Z100" s="26"/>
    </row>
    <row r="101" spans="21:26" ht="15.75" x14ac:dyDescent="0.25">
      <c r="U101" s="107"/>
      <c r="V101" s="26"/>
      <c r="W101" s="26"/>
      <c r="X101" s="26"/>
      <c r="Y101" s="26"/>
      <c r="Z101" s="26"/>
    </row>
    <row r="102" spans="21:26" ht="15.75" x14ac:dyDescent="0.25">
      <c r="U102" s="107"/>
      <c r="V102" s="26"/>
      <c r="W102" s="26"/>
      <c r="X102" s="26"/>
      <c r="Y102" s="26"/>
      <c r="Z102" s="26"/>
    </row>
    <row r="103" spans="21:26" ht="15.75" x14ac:dyDescent="0.25">
      <c r="U103" s="107"/>
      <c r="V103" s="26"/>
      <c r="W103" s="26"/>
      <c r="X103" s="26"/>
      <c r="Y103" s="26"/>
      <c r="Z103" s="26"/>
    </row>
    <row r="104" spans="21:26" ht="15.75" x14ac:dyDescent="0.25">
      <c r="U104" s="107"/>
      <c r="V104" s="26"/>
      <c r="W104" s="26"/>
      <c r="X104" s="26"/>
      <c r="Y104" s="26"/>
      <c r="Z104" s="26"/>
    </row>
    <row r="105" spans="21:26" ht="15.75" x14ac:dyDescent="0.25">
      <c r="U105" s="107"/>
      <c r="V105" s="26"/>
      <c r="W105" s="26"/>
      <c r="X105" s="26"/>
      <c r="Y105" s="26"/>
      <c r="Z105" s="26"/>
    </row>
    <row r="106" spans="21:26" ht="15.75" x14ac:dyDescent="0.25">
      <c r="U106" s="107"/>
      <c r="V106" s="26"/>
      <c r="W106" s="26"/>
      <c r="X106" s="26"/>
      <c r="Y106" s="26"/>
      <c r="Z106" s="26"/>
    </row>
    <row r="107" spans="21:26" ht="15.75" x14ac:dyDescent="0.25">
      <c r="U107" s="107"/>
      <c r="V107" s="26"/>
      <c r="W107" s="26"/>
      <c r="X107" s="26"/>
      <c r="Y107" s="26"/>
      <c r="Z107" s="26"/>
    </row>
    <row r="108" spans="21:26" ht="15.75" x14ac:dyDescent="0.25">
      <c r="U108" s="107"/>
      <c r="V108" s="26"/>
      <c r="W108" s="26"/>
      <c r="X108" s="26"/>
      <c r="Y108" s="26"/>
      <c r="Z108" s="26"/>
    </row>
    <row r="109" spans="21:26" ht="15.75" x14ac:dyDescent="0.25">
      <c r="U109" s="107"/>
      <c r="V109" s="26"/>
      <c r="W109" s="26"/>
      <c r="X109" s="26"/>
      <c r="Y109" s="26"/>
      <c r="Z109" s="26"/>
    </row>
    <row r="110" spans="21:26" ht="15.75" x14ac:dyDescent="0.25">
      <c r="U110" s="107"/>
      <c r="V110" s="26"/>
      <c r="W110" s="26"/>
      <c r="X110" s="26"/>
      <c r="Y110" s="26"/>
      <c r="Z110" s="26"/>
    </row>
    <row r="111" spans="21:26" ht="15.75" x14ac:dyDescent="0.25">
      <c r="U111" s="107"/>
      <c r="V111" s="26"/>
      <c r="W111" s="26"/>
      <c r="X111" s="26"/>
      <c r="Y111" s="26"/>
      <c r="Z111" s="26"/>
    </row>
    <row r="112" spans="21:26" ht="15.75" x14ac:dyDescent="0.25">
      <c r="U112" s="107"/>
      <c r="V112" s="26"/>
      <c r="W112" s="26"/>
      <c r="X112" s="26"/>
      <c r="Y112" s="26"/>
      <c r="Z112" s="26"/>
    </row>
    <row r="113" spans="21:26" ht="15.75" x14ac:dyDescent="0.25">
      <c r="U113" s="107"/>
      <c r="V113" s="26"/>
      <c r="W113" s="26"/>
      <c r="X113" s="26"/>
      <c r="Y113" s="26"/>
      <c r="Z113" s="26"/>
    </row>
    <row r="114" spans="21:26" ht="15.75" x14ac:dyDescent="0.25">
      <c r="U114" s="107"/>
      <c r="V114" s="26"/>
      <c r="W114" s="26"/>
      <c r="X114" s="26"/>
      <c r="Y114" s="26"/>
      <c r="Z114" s="26"/>
    </row>
    <row r="115" spans="21:26" ht="15.75" x14ac:dyDescent="0.25">
      <c r="U115" s="107"/>
      <c r="V115" s="26"/>
      <c r="W115" s="26"/>
      <c r="X115" s="26"/>
      <c r="Y115" s="26"/>
      <c r="Z115" s="26"/>
    </row>
    <row r="116" spans="21:26" ht="15.75" x14ac:dyDescent="0.25">
      <c r="U116" s="107"/>
      <c r="V116" s="26"/>
      <c r="W116" s="26"/>
      <c r="X116" s="26"/>
      <c r="Y116" s="26"/>
      <c r="Z116" s="26"/>
    </row>
    <row r="117" spans="21:26" ht="15.75" x14ac:dyDescent="0.25">
      <c r="U117" s="107"/>
      <c r="V117" s="26"/>
      <c r="W117" s="26"/>
      <c r="X117" s="26"/>
      <c r="Y117" s="26"/>
      <c r="Z117" s="26"/>
    </row>
    <row r="118" spans="21:26" ht="15.75" x14ac:dyDescent="0.25">
      <c r="U118" s="107"/>
      <c r="V118" s="26"/>
      <c r="W118" s="26"/>
      <c r="X118" s="26"/>
      <c r="Y118" s="26"/>
      <c r="Z118" s="26"/>
    </row>
    <row r="119" spans="21:26" ht="15.75" x14ac:dyDescent="0.25">
      <c r="U119" s="107"/>
      <c r="V119" s="26"/>
      <c r="W119" s="26"/>
      <c r="X119" s="26"/>
      <c r="Y119" s="26"/>
      <c r="Z119" s="26"/>
    </row>
    <row r="120" spans="21:26" ht="15.75" x14ac:dyDescent="0.25">
      <c r="U120" s="107"/>
      <c r="V120" s="26"/>
      <c r="W120" s="26"/>
      <c r="X120" s="26"/>
      <c r="Y120" s="26"/>
      <c r="Z120" s="26"/>
    </row>
    <row r="121" spans="21:26" ht="15.75" x14ac:dyDescent="0.25">
      <c r="U121" s="107"/>
      <c r="V121" s="26"/>
      <c r="W121" s="26"/>
      <c r="X121" s="26"/>
      <c r="Y121" s="26"/>
      <c r="Z121" s="26"/>
    </row>
    <row r="122" spans="21:26" ht="15.75" x14ac:dyDescent="0.25">
      <c r="U122" s="107"/>
      <c r="V122" s="26"/>
      <c r="W122" s="26"/>
      <c r="X122" s="26"/>
      <c r="Y122" s="26"/>
      <c r="Z122" s="26"/>
    </row>
    <row r="123" spans="21:26" ht="15.75" x14ac:dyDescent="0.25">
      <c r="U123" s="107"/>
      <c r="V123" s="26"/>
      <c r="W123" s="26"/>
      <c r="X123" s="26"/>
      <c r="Y123" s="26"/>
      <c r="Z123" s="26"/>
    </row>
    <row r="124" spans="21:26" ht="15.75" x14ac:dyDescent="0.25">
      <c r="U124" s="107"/>
      <c r="V124" s="26"/>
      <c r="W124" s="26"/>
      <c r="X124" s="26"/>
      <c r="Y124" s="26"/>
      <c r="Z124" s="26"/>
    </row>
    <row r="125" spans="21:26" ht="15.75" x14ac:dyDescent="0.25">
      <c r="U125" s="107"/>
      <c r="V125" s="26"/>
      <c r="W125" s="26"/>
      <c r="X125" s="26"/>
      <c r="Y125" s="26"/>
      <c r="Z125" s="26"/>
    </row>
    <row r="126" spans="21:26" ht="15.75" x14ac:dyDescent="0.25">
      <c r="U126" s="107"/>
      <c r="V126" s="26"/>
      <c r="W126" s="26"/>
      <c r="X126" s="26"/>
      <c r="Y126" s="26"/>
      <c r="Z126" s="26"/>
    </row>
    <row r="127" spans="21:26" ht="15.75" x14ac:dyDescent="0.25">
      <c r="U127" s="107"/>
      <c r="V127" s="26"/>
      <c r="W127" s="26"/>
      <c r="X127" s="26"/>
      <c r="Y127" s="26"/>
      <c r="Z127" s="26"/>
    </row>
    <row r="128" spans="21:26" ht="15.75" x14ac:dyDescent="0.25">
      <c r="U128" s="107"/>
      <c r="V128" s="26"/>
      <c r="W128" s="26"/>
      <c r="X128" s="26"/>
      <c r="Y128" s="26"/>
      <c r="Z128" s="26"/>
    </row>
    <row r="129" spans="21:26" ht="15.75" x14ac:dyDescent="0.25">
      <c r="U129" s="107"/>
      <c r="V129" s="26"/>
      <c r="W129" s="26"/>
      <c r="X129" s="26"/>
      <c r="Y129" s="26"/>
      <c r="Z129" s="26"/>
    </row>
    <row r="130" spans="21:26" ht="15.75" x14ac:dyDescent="0.25">
      <c r="U130" s="107"/>
      <c r="V130" s="26"/>
      <c r="W130" s="26"/>
      <c r="X130" s="26"/>
      <c r="Y130" s="26"/>
      <c r="Z130" s="26"/>
    </row>
    <row r="131" spans="21:26" ht="15.75" x14ac:dyDescent="0.25">
      <c r="U131" s="107"/>
      <c r="V131" s="26"/>
      <c r="W131" s="26"/>
      <c r="X131" s="26"/>
      <c r="Y131" s="26"/>
      <c r="Z131" s="26"/>
    </row>
    <row r="132" spans="21:26" ht="15.75" x14ac:dyDescent="0.25">
      <c r="U132" s="107"/>
      <c r="V132" s="26"/>
      <c r="W132" s="26"/>
      <c r="X132" s="26"/>
      <c r="Y132" s="26"/>
      <c r="Z132" s="26"/>
    </row>
    <row r="133" spans="21:26" ht="15.75" x14ac:dyDescent="0.25">
      <c r="U133" s="107"/>
      <c r="V133" s="26"/>
      <c r="W133" s="26"/>
      <c r="X133" s="26"/>
      <c r="Y133" s="26"/>
      <c r="Z133" s="26"/>
    </row>
    <row r="134" spans="21:26" ht="15.75" x14ac:dyDescent="0.25">
      <c r="U134" s="107"/>
      <c r="V134" s="26"/>
      <c r="W134" s="26"/>
      <c r="X134" s="26"/>
      <c r="Y134" s="26"/>
      <c r="Z134" s="26"/>
    </row>
    <row r="135" spans="21:26" ht="15.75" x14ac:dyDescent="0.25">
      <c r="U135" s="107"/>
      <c r="V135" s="26"/>
      <c r="W135" s="26"/>
      <c r="X135" s="26"/>
      <c r="Y135" s="26"/>
      <c r="Z135" s="26"/>
    </row>
    <row r="136" spans="21:26" ht="15.75" x14ac:dyDescent="0.25">
      <c r="U136" s="107"/>
      <c r="V136" s="26"/>
      <c r="W136" s="26"/>
      <c r="X136" s="26"/>
      <c r="Y136" s="26"/>
      <c r="Z136" s="26"/>
    </row>
    <row r="137" spans="21:26" ht="15.75" x14ac:dyDescent="0.25">
      <c r="U137" s="107"/>
      <c r="V137" s="26"/>
      <c r="W137" s="26"/>
      <c r="X137" s="26"/>
      <c r="Y137" s="26"/>
      <c r="Z137" s="26"/>
    </row>
    <row r="138" spans="21:26" ht="15.75" x14ac:dyDescent="0.25">
      <c r="U138" s="107"/>
      <c r="V138" s="26"/>
      <c r="W138" s="26"/>
      <c r="X138" s="26"/>
      <c r="Y138" s="26"/>
      <c r="Z138" s="26"/>
    </row>
  </sheetData>
  <sheetProtection algorithmName="SHA-512" hashValue="gPGQJNEYtz9LwqDx9TMG5460KBdzmy5sh82VDz+MpHGvHxpc8kCGNOvYCKBTzOuby5oOLZwfllXiSl4MpJCoyg==" saltValue="+uxRIGGA7NEv+g5WyPTFyw==" spinCount="100000" sheet="1" objects="1" scenarios="1"/>
  <mergeCells count="3">
    <mergeCell ref="B3:N3"/>
    <mergeCell ref="AC1:AH1"/>
    <mergeCell ref="V1:Z1"/>
  </mergeCells>
  <pageMargins left="0.70866141732283472" right="0.70866141732283472" top="0.74803149606299213" bottom="0.74803149606299213" header="0.31496062992125984" footer="0.31496062992125984"/>
  <pageSetup scale="4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0B2D0-33C5-407E-AF68-9F0F079D9975}">
  <sheetPr codeName="Sheet61">
    <tabColor rgb="FF00B0F0"/>
  </sheetPr>
  <dimension ref="A1:AA135"/>
  <sheetViews>
    <sheetView topLeftCell="B1" zoomScale="85" zoomScaleNormal="85" workbookViewId="0">
      <selection sqref="A1:P3"/>
    </sheetView>
  </sheetViews>
  <sheetFormatPr defaultRowHeight="15" outlineLevelRow="1" x14ac:dyDescent="0.25"/>
  <cols>
    <col min="1" max="1" width="15.5703125" customWidth="1"/>
    <col min="2" max="2" width="17.85546875" bestFit="1" customWidth="1"/>
    <col min="3" max="6" width="9.5703125" customWidth="1"/>
    <col min="8" max="8" width="11.5703125" customWidth="1"/>
    <col min="9" max="9" width="12.140625" customWidth="1"/>
    <col min="10" max="11" width="13.42578125" customWidth="1"/>
    <col min="12" max="14" width="11.5703125" customWidth="1"/>
    <col min="15" max="16" width="10.5703125" customWidth="1"/>
    <col min="17" max="17" width="10.42578125" customWidth="1"/>
    <col min="18" max="18" width="10.5703125" customWidth="1"/>
    <col min="19" max="19" width="16.85546875" bestFit="1" customWidth="1"/>
    <col min="20" max="21" width="12.140625" customWidth="1"/>
  </cols>
  <sheetData>
    <row r="1" spans="1:27" ht="14.45" customHeight="1" x14ac:dyDescent="0.25">
      <c r="A1" s="661" t="s">
        <v>876</v>
      </c>
      <c r="B1" s="661"/>
      <c r="C1" s="662"/>
      <c r="D1" s="662"/>
      <c r="E1" s="662"/>
      <c r="F1" s="662"/>
      <c r="G1" s="662"/>
      <c r="H1" s="662"/>
      <c r="I1" s="662"/>
      <c r="J1" s="662"/>
      <c r="K1" s="662"/>
      <c r="L1" s="662"/>
      <c r="M1" s="662"/>
      <c r="N1" s="662"/>
      <c r="O1" s="662"/>
      <c r="P1" s="662"/>
      <c r="Q1" s="663" t="s">
        <v>150</v>
      </c>
      <c r="R1" s="664"/>
      <c r="S1" s="666" t="s">
        <v>878</v>
      </c>
      <c r="T1" s="669" t="s">
        <v>210</v>
      </c>
      <c r="U1" s="671" t="s">
        <v>825</v>
      </c>
    </row>
    <row r="2" spans="1:27" x14ac:dyDescent="0.25">
      <c r="A2" s="662"/>
      <c r="B2" s="662"/>
      <c r="C2" s="662"/>
      <c r="D2" s="662"/>
      <c r="E2" s="662"/>
      <c r="F2" s="662"/>
      <c r="G2" s="662"/>
      <c r="H2" s="662"/>
      <c r="I2" s="662"/>
      <c r="J2" s="662"/>
      <c r="K2" s="662"/>
      <c r="L2" s="662"/>
      <c r="M2" s="662"/>
      <c r="N2" s="662"/>
      <c r="O2" s="662"/>
      <c r="P2" s="662"/>
      <c r="Q2" s="665"/>
      <c r="R2" s="664"/>
      <c r="S2" s="667"/>
      <c r="T2" s="670"/>
      <c r="U2" s="672"/>
    </row>
    <row r="3" spans="1:27" x14ac:dyDescent="0.25">
      <c r="A3" s="662"/>
      <c r="B3" s="662"/>
      <c r="C3" s="662"/>
      <c r="D3" s="662"/>
      <c r="E3" s="662"/>
      <c r="F3" s="662"/>
      <c r="G3" s="662"/>
      <c r="H3" s="662"/>
      <c r="I3" s="662"/>
      <c r="J3" s="662"/>
      <c r="K3" s="662"/>
      <c r="L3" s="662"/>
      <c r="M3" s="662"/>
      <c r="N3" s="662"/>
      <c r="O3" s="662"/>
      <c r="P3" s="662"/>
      <c r="Q3" s="673">
        <v>44712</v>
      </c>
      <c r="R3" s="664"/>
      <c r="S3" s="668"/>
      <c r="T3" s="262">
        <v>62.06</v>
      </c>
      <c r="U3" s="263">
        <v>76.959999999999994</v>
      </c>
    </row>
    <row r="4" spans="1:27" ht="45" hidden="1" outlineLevel="1" x14ac:dyDescent="0.3">
      <c r="A4" s="264" t="s">
        <v>14</v>
      </c>
      <c r="B4" s="264" t="s">
        <v>829</v>
      </c>
      <c r="C4" s="264" t="s">
        <v>826</v>
      </c>
      <c r="D4" s="264" t="s">
        <v>827</v>
      </c>
      <c r="E4" s="264" t="s">
        <v>828</v>
      </c>
      <c r="F4" s="264" t="s">
        <v>149</v>
      </c>
      <c r="G4" s="269" t="s">
        <v>823</v>
      </c>
      <c r="H4" s="265" t="s">
        <v>510</v>
      </c>
      <c r="I4" s="266" t="s">
        <v>511</v>
      </c>
      <c r="J4" s="267" t="s">
        <v>26</v>
      </c>
      <c r="K4" s="267" t="s">
        <v>36</v>
      </c>
      <c r="L4" s="660" t="s">
        <v>841</v>
      </c>
      <c r="M4" s="660"/>
      <c r="N4" s="660"/>
      <c r="O4" s="267" t="s">
        <v>28</v>
      </c>
      <c r="P4" s="267" t="s">
        <v>34</v>
      </c>
      <c r="Q4" s="9"/>
      <c r="R4" s="228"/>
      <c r="S4" s="225"/>
      <c r="T4" s="225"/>
    </row>
    <row r="5" spans="1:27" ht="21" hidden="1" outlineLevel="1" x14ac:dyDescent="0.35">
      <c r="A5" s="621" t="s">
        <v>877</v>
      </c>
      <c r="B5" s="621"/>
      <c r="C5" s="621"/>
      <c r="D5" s="621"/>
      <c r="E5" s="621"/>
      <c r="F5" s="621"/>
      <c r="G5" s="621"/>
      <c r="H5" s="621"/>
      <c r="I5" s="621"/>
      <c r="J5" s="621"/>
      <c r="K5" s="621"/>
      <c r="L5" s="621"/>
      <c r="M5" s="621"/>
      <c r="N5" s="621"/>
      <c r="O5" s="621"/>
      <c r="P5" s="621"/>
      <c r="Q5" s="187"/>
      <c r="R5" s="229"/>
      <c r="S5" s="229"/>
      <c r="T5" s="229"/>
    </row>
    <row r="6" spans="1:27" ht="15.75" hidden="1" outlineLevel="1" x14ac:dyDescent="0.25">
      <c r="A6" s="254"/>
      <c r="B6" s="256"/>
      <c r="C6" s="254"/>
      <c r="D6" s="254"/>
      <c r="E6" s="254"/>
      <c r="F6" s="254"/>
      <c r="G6" s="271">
        <v>0.53059999999999996</v>
      </c>
      <c r="H6" s="254"/>
      <c r="I6" s="254"/>
      <c r="J6" s="253">
        <v>1</v>
      </c>
      <c r="K6" s="253">
        <v>1</v>
      </c>
      <c r="L6" s="271">
        <f>1-G6</f>
        <v>0.46940000000000004</v>
      </c>
      <c r="M6" s="254"/>
      <c r="N6" s="254"/>
      <c r="O6" s="254"/>
      <c r="P6" s="254"/>
      <c r="Q6" s="187"/>
      <c r="R6" s="229" t="s">
        <v>826</v>
      </c>
      <c r="S6" s="229" t="s">
        <v>827</v>
      </c>
      <c r="T6" s="229" t="s">
        <v>828</v>
      </c>
      <c r="V6" s="10">
        <v>1</v>
      </c>
      <c r="W6" s="272" t="s">
        <v>879</v>
      </c>
      <c r="X6" s="272" t="s">
        <v>867</v>
      </c>
      <c r="Y6" s="272" t="s">
        <v>868</v>
      </c>
      <c r="Z6" s="272" t="s">
        <v>870</v>
      </c>
      <c r="AA6" s="272" t="s">
        <v>869</v>
      </c>
    </row>
    <row r="7" spans="1:27" hidden="1" outlineLevel="1" x14ac:dyDescent="0.25">
      <c r="A7" s="205"/>
      <c r="B7" s="257" t="str">
        <f t="shared" ref="B7:B14" si="0">C7&amp;D7&amp;E7</f>
        <v>1500mmbutted</v>
      </c>
      <c r="C7" s="4" t="s">
        <v>881</v>
      </c>
      <c r="D7" s="4" t="s">
        <v>883</v>
      </c>
      <c r="E7" s="4"/>
      <c r="F7" s="4"/>
      <c r="G7" s="270">
        <f>HLOOKUP(Notes!$C$16,$W$6:$AA$15,V7,0)*$G$6/62.06</f>
        <v>0.81223009990331929</v>
      </c>
      <c r="H7" s="258">
        <f>$T$3*G7</f>
        <v>50.406999999999996</v>
      </c>
      <c r="I7" s="259">
        <f>$U$3*G7</f>
        <v>62.509228488559451</v>
      </c>
      <c r="J7" s="260">
        <f>IF(Notes!$B$9="Domestic",H7, IF(Notes!$B$9="Commercial",I7))*$J$6</f>
        <v>62.509228488559451</v>
      </c>
      <c r="K7" s="261">
        <f>SUM(L7:N7)*$K$6</f>
        <v>44.593000000000004</v>
      </c>
      <c r="L7" s="255">
        <f>HLOOKUP(Notes!$C$16,$W$6:$AA$15,V7,0)*$L$6</f>
        <v>44.593000000000004</v>
      </c>
      <c r="M7" s="238"/>
      <c r="N7" s="238"/>
      <c r="O7" s="8"/>
      <c r="P7" s="8"/>
      <c r="Q7" s="184"/>
      <c r="R7" s="226"/>
      <c r="S7" s="226"/>
      <c r="T7" s="226"/>
      <c r="V7" s="10">
        <v>2</v>
      </c>
      <c r="W7" s="11">
        <v>114</v>
      </c>
      <c r="X7" s="11">
        <v>95</v>
      </c>
      <c r="Y7" s="11">
        <v>78</v>
      </c>
      <c r="Z7" s="11">
        <v>99</v>
      </c>
      <c r="AA7" s="11">
        <v>92</v>
      </c>
    </row>
    <row r="8" spans="1:27" hidden="1" outlineLevel="1" x14ac:dyDescent="0.25">
      <c r="A8" s="205"/>
      <c r="B8" s="257" t="str">
        <f t="shared" si="0"/>
        <v>1800mmbutted</v>
      </c>
      <c r="C8" s="4" t="s">
        <v>882</v>
      </c>
      <c r="D8" s="4" t="s">
        <v>883</v>
      </c>
      <c r="E8" s="4"/>
      <c r="F8" s="4"/>
      <c r="G8" s="270">
        <f>HLOOKUP(Notes!$C$16,$W$6:$AA$15,V8,0)*$G$6/62.06</f>
        <v>0.89772800515630025</v>
      </c>
      <c r="H8" s="258">
        <f t="shared" ref="H8:H14" si="1">$T$3*G8</f>
        <v>55.712999999999994</v>
      </c>
      <c r="I8" s="259">
        <f t="shared" ref="I8:I14" si="2">$U$3*G8</f>
        <v>69.089147276828868</v>
      </c>
      <c r="J8" s="260">
        <f>IF(Notes!$B$9="Domestic",H8, IF(Notes!$B$9="Commercial",I8))*$J$6</f>
        <v>69.089147276828868</v>
      </c>
      <c r="K8" s="261">
        <f t="shared" ref="K8:K14" si="3">SUM(L8:N8)*$K$6</f>
        <v>49.287000000000006</v>
      </c>
      <c r="L8" s="255">
        <f>HLOOKUP(Notes!$C$16,$W$6:$AA$15,V8,0)*$L$6</f>
        <v>49.287000000000006</v>
      </c>
      <c r="M8" s="238"/>
      <c r="N8" s="238"/>
      <c r="O8" s="186"/>
      <c r="P8" s="8"/>
      <c r="Q8" s="184"/>
      <c r="R8" s="226"/>
      <c r="S8" s="226"/>
      <c r="T8" s="226"/>
      <c r="V8" s="10">
        <v>3</v>
      </c>
      <c r="W8" s="11">
        <v>126</v>
      </c>
      <c r="X8" s="11">
        <v>105</v>
      </c>
      <c r="Y8" s="11">
        <v>83</v>
      </c>
      <c r="Z8" s="11">
        <v>118</v>
      </c>
      <c r="AA8" s="11">
        <v>97</v>
      </c>
    </row>
    <row r="9" spans="1:27" hidden="1" outlineLevel="1" x14ac:dyDescent="0.25">
      <c r="A9" s="205"/>
      <c r="B9" s="257" t="str">
        <f t="shared" si="0"/>
        <v>2100mmbutted</v>
      </c>
      <c r="C9" s="4" t="s">
        <v>557</v>
      </c>
      <c r="D9" s="4" t="s">
        <v>883</v>
      </c>
      <c r="E9" s="4"/>
      <c r="F9" s="4"/>
      <c r="G9" s="270">
        <f>HLOOKUP(Notes!$C$16,$W$6:$AA$15,V9,0)*$G$6/62.06</f>
        <v>1.0003254914598774</v>
      </c>
      <c r="H9" s="258">
        <f t="shared" si="1"/>
        <v>62.080199999999991</v>
      </c>
      <c r="I9" s="259">
        <f t="shared" si="2"/>
        <v>76.98504982275216</v>
      </c>
      <c r="J9" s="260">
        <f>IF(Notes!$B$9="Domestic",H9, IF(Notes!$B$9="Commercial",I9))*$J$6</f>
        <v>76.98504982275216</v>
      </c>
      <c r="K9" s="261">
        <f t="shared" si="3"/>
        <v>54.919800000000002</v>
      </c>
      <c r="L9" s="255">
        <f>HLOOKUP(Notes!$C$16,$W$6:$AA$15,V9,0)*$L$6</f>
        <v>54.919800000000002</v>
      </c>
      <c r="M9" s="238"/>
      <c r="N9" s="238"/>
      <c r="O9" s="186"/>
      <c r="P9" s="8"/>
      <c r="Q9" s="184"/>
      <c r="R9" s="226"/>
      <c r="S9" s="226"/>
      <c r="T9" s="226"/>
      <c r="V9" s="10">
        <v>4</v>
      </c>
      <c r="W9" s="2">
        <f>W8+12</f>
        <v>138</v>
      </c>
      <c r="X9" s="2">
        <f t="shared" ref="X9:AA10" si="4">X8+12</f>
        <v>117</v>
      </c>
      <c r="Y9" s="2">
        <f t="shared" si="4"/>
        <v>95</v>
      </c>
      <c r="Z9" s="2">
        <f t="shared" si="4"/>
        <v>130</v>
      </c>
      <c r="AA9" s="2">
        <f t="shared" si="4"/>
        <v>109</v>
      </c>
    </row>
    <row r="10" spans="1:27" hidden="1" outlineLevel="1" x14ac:dyDescent="0.25">
      <c r="A10" s="205"/>
      <c r="B10" s="257" t="str">
        <f t="shared" si="0"/>
        <v>2400mmbutted</v>
      </c>
      <c r="C10" s="4" t="s">
        <v>558</v>
      </c>
      <c r="D10" s="4" t="s">
        <v>883</v>
      </c>
      <c r="E10" s="4"/>
      <c r="F10" s="4"/>
      <c r="G10" s="270">
        <f>HLOOKUP(Notes!$C$16,$W$6:$AA$15,V10,0)*$G$6/62.06</f>
        <v>1.1029229777634546</v>
      </c>
      <c r="H10" s="258">
        <f t="shared" si="1"/>
        <v>68.447400000000002</v>
      </c>
      <c r="I10" s="259">
        <f t="shared" si="2"/>
        <v>84.880952368675466</v>
      </c>
      <c r="J10" s="260">
        <f>IF(Notes!$B$9="Domestic",H10, IF(Notes!$B$9="Commercial",I10))*$J$6</f>
        <v>84.880952368675466</v>
      </c>
      <c r="K10" s="261">
        <f>SUM(L10:N10)*$K$6</f>
        <v>60.552600000000005</v>
      </c>
      <c r="L10" s="255">
        <f>HLOOKUP(Notes!$C$16,$W$6:$AA$15,V10,0)*$L$6</f>
        <v>60.552600000000005</v>
      </c>
      <c r="M10" s="238"/>
      <c r="N10" s="238"/>
      <c r="O10" s="186"/>
      <c r="P10" s="8"/>
      <c r="Q10" s="184"/>
      <c r="R10" s="226"/>
      <c r="S10" s="226"/>
      <c r="T10" s="226"/>
      <c r="V10" s="10">
        <v>5</v>
      </c>
      <c r="W10" s="2">
        <f>W9+12</f>
        <v>150</v>
      </c>
      <c r="X10" s="2">
        <f t="shared" si="4"/>
        <v>129</v>
      </c>
      <c r="Y10" s="2">
        <f t="shared" si="4"/>
        <v>107</v>
      </c>
      <c r="Z10" s="2">
        <f t="shared" si="4"/>
        <v>142</v>
      </c>
      <c r="AA10" s="2">
        <f t="shared" si="4"/>
        <v>121</v>
      </c>
    </row>
    <row r="11" spans="1:27" hidden="1" outlineLevel="1" x14ac:dyDescent="0.25">
      <c r="A11" s="205"/>
      <c r="B11" s="257" t="str">
        <f t="shared" si="0"/>
        <v>1500mmlapped/capped</v>
      </c>
      <c r="C11" s="4" t="s">
        <v>881</v>
      </c>
      <c r="D11" s="4" t="s">
        <v>884</v>
      </c>
      <c r="E11" s="4"/>
      <c r="F11" s="4"/>
      <c r="G11" s="270">
        <f>HLOOKUP(Notes!$C$16,$W$6:$AA$15,V11,0)*$G$6/62.06</f>
        <v>0.91568256525942626</v>
      </c>
      <c r="H11" s="258">
        <f t="shared" si="1"/>
        <v>56.827259999999995</v>
      </c>
      <c r="I11" s="259">
        <f t="shared" si="2"/>
        <v>70.470930222365439</v>
      </c>
      <c r="J11" s="260">
        <f>IF(Notes!$B$9="Domestic",H11, IF(Notes!$B$9="Commercial",I11))*$J$6</f>
        <v>70.470930222365439</v>
      </c>
      <c r="K11" s="261">
        <f t="shared" si="3"/>
        <v>50.272739999999999</v>
      </c>
      <c r="L11" s="255">
        <f>HLOOKUP(Notes!$C$16,$W$6:$AA$15,V11,0)*$L$6</f>
        <v>50.272739999999999</v>
      </c>
      <c r="M11" s="238"/>
      <c r="N11" s="238"/>
      <c r="O11" s="186"/>
      <c r="P11" s="8"/>
      <c r="Q11" s="184"/>
      <c r="R11" s="226"/>
      <c r="S11" s="226"/>
      <c r="T11" s="226"/>
      <c r="V11" s="10">
        <v>6</v>
      </c>
      <c r="W11" s="2">
        <f>W7+11</f>
        <v>125</v>
      </c>
      <c r="X11" s="2">
        <f>X7+12.1</f>
        <v>107.1</v>
      </c>
      <c r="Y11" s="2">
        <f>Y7+9</f>
        <v>87</v>
      </c>
      <c r="Z11" s="2">
        <f>Z7+8.5</f>
        <v>107.5</v>
      </c>
      <c r="AA11" s="2">
        <f>AA7+10.1</f>
        <v>102.1</v>
      </c>
    </row>
    <row r="12" spans="1:27" hidden="1" outlineLevel="1" x14ac:dyDescent="0.25">
      <c r="A12" s="205"/>
      <c r="B12" s="257" t="str">
        <f t="shared" si="0"/>
        <v>1800mmlapped/capped</v>
      </c>
      <c r="C12" s="4" t="s">
        <v>882</v>
      </c>
      <c r="D12" s="4" t="s">
        <v>884</v>
      </c>
      <c r="E12" s="4"/>
      <c r="F12" s="4"/>
      <c r="G12" s="270">
        <f>HLOOKUP(Notes!$C$16,$W$6:$AA$15,V12,0)*$G$6/62.06</f>
        <v>1.0110127296165001</v>
      </c>
      <c r="H12" s="258">
        <f t="shared" si="1"/>
        <v>62.743450000000003</v>
      </c>
      <c r="I12" s="259">
        <f t="shared" si="2"/>
        <v>77.807539671285838</v>
      </c>
      <c r="J12" s="260">
        <f>IF(Notes!$B$9="Domestic",H12, IF(Notes!$B$9="Commercial",I12))*$J$6</f>
        <v>77.807539671285838</v>
      </c>
      <c r="K12" s="261">
        <f t="shared" si="3"/>
        <v>55.506550000000004</v>
      </c>
      <c r="L12" s="255">
        <f>HLOOKUP(Notes!$C$16,$W$6:$AA$15,V12,0)*$L$6</f>
        <v>55.506550000000004</v>
      </c>
      <c r="M12" s="238"/>
      <c r="N12" s="238"/>
      <c r="O12" s="8"/>
      <c r="P12" s="8"/>
      <c r="Q12" s="184"/>
      <c r="R12" s="226"/>
      <c r="S12" s="226"/>
      <c r="T12" s="226"/>
      <c r="V12" s="10">
        <v>7</v>
      </c>
      <c r="W12" s="2">
        <f>W8+12.1</f>
        <v>138.1</v>
      </c>
      <c r="X12" s="2">
        <f>X8+13.25</f>
        <v>118.25</v>
      </c>
      <c r="Y12" s="2">
        <f>Y8+10.3</f>
        <v>93.3</v>
      </c>
      <c r="Z12" s="2">
        <f>Z8+10</f>
        <v>128</v>
      </c>
      <c r="AA12" s="2">
        <f>AA8+11.3</f>
        <v>108.3</v>
      </c>
    </row>
    <row r="13" spans="1:27" hidden="1" outlineLevel="1" x14ac:dyDescent="0.25">
      <c r="A13" s="205"/>
      <c r="B13" s="257" t="str">
        <f t="shared" si="0"/>
        <v>2100mmlapped/capped</v>
      </c>
      <c r="C13" s="4" t="s">
        <v>557</v>
      </c>
      <c r="D13" s="4" t="s">
        <v>884</v>
      </c>
      <c r="E13" s="4"/>
      <c r="F13" s="4"/>
      <c r="G13" s="270">
        <f>HLOOKUP(Notes!$C$16,$W$6:$AA$15,V13,0)*$G$6/62.06</f>
        <v>1.1264349017080244</v>
      </c>
      <c r="H13" s="258">
        <f t="shared" si="1"/>
        <v>69.906549999999996</v>
      </c>
      <c r="I13" s="259">
        <f t="shared" si="2"/>
        <v>86.690430035449552</v>
      </c>
      <c r="J13" s="260">
        <f>IF(Notes!$B$9="Domestic",H13, IF(Notes!$B$9="Commercial",I13))*$J$6</f>
        <v>86.690430035449552</v>
      </c>
      <c r="K13" s="261">
        <f t="shared" si="3"/>
        <v>61.843450000000004</v>
      </c>
      <c r="L13" s="255">
        <f>HLOOKUP(Notes!$C$16,$W$6:$AA$15,V13,0)*$L$6</f>
        <v>61.843450000000004</v>
      </c>
      <c r="M13" s="238"/>
      <c r="N13" s="238"/>
      <c r="O13" s="186"/>
      <c r="P13" s="8"/>
      <c r="Q13" s="184"/>
      <c r="R13" s="226"/>
      <c r="S13" s="226"/>
      <c r="T13" s="226"/>
      <c r="V13" s="10">
        <v>8</v>
      </c>
      <c r="W13" s="2">
        <f>W12+13.5</f>
        <v>151.6</v>
      </c>
      <c r="X13" s="2">
        <f t="shared" ref="X13:AA13" si="5">X12+13.5</f>
        <v>131.75</v>
      </c>
      <c r="Y13" s="2">
        <f t="shared" si="5"/>
        <v>106.8</v>
      </c>
      <c r="Z13" s="2">
        <f t="shared" si="5"/>
        <v>141.5</v>
      </c>
      <c r="AA13" s="2">
        <f t="shared" si="5"/>
        <v>121.8</v>
      </c>
    </row>
    <row r="14" spans="1:27" hidden="1" outlineLevel="1" x14ac:dyDescent="0.25">
      <c r="A14" s="205"/>
      <c r="B14" s="257" t="str">
        <f t="shared" si="0"/>
        <v>2400mmlapped/capped</v>
      </c>
      <c r="C14" s="4" t="s">
        <v>558</v>
      </c>
      <c r="D14" s="4" t="s">
        <v>884</v>
      </c>
      <c r="E14" s="4"/>
      <c r="F14" s="4"/>
      <c r="G14" s="270">
        <f>HLOOKUP(Notes!$C$16,$W$6:$AA$15,V14,0)*$G$6/62.06</f>
        <v>1.2418570737995487</v>
      </c>
      <c r="H14" s="258">
        <f t="shared" si="1"/>
        <v>77.069649999999996</v>
      </c>
      <c r="I14" s="259">
        <f t="shared" si="2"/>
        <v>95.573320399613266</v>
      </c>
      <c r="J14" s="260">
        <f>IF(Notes!$B$9="Domestic",H14, IF(Notes!$B$9="Commercial",I14))*$J$6</f>
        <v>95.573320399613266</v>
      </c>
      <c r="K14" s="261">
        <f t="shared" si="3"/>
        <v>68.180350000000004</v>
      </c>
      <c r="L14" s="255">
        <f>HLOOKUP(Notes!$C$16,$W$6:$AA$15,V14,0)*$L$6</f>
        <v>68.180350000000004</v>
      </c>
      <c r="M14" s="238"/>
      <c r="N14" s="238"/>
      <c r="O14" s="186"/>
      <c r="P14" s="8"/>
      <c r="Q14" s="184"/>
      <c r="R14" s="226"/>
      <c r="S14" s="226"/>
      <c r="T14" s="226"/>
      <c r="V14" s="10">
        <v>9</v>
      </c>
      <c r="W14" s="2">
        <f>W13+13.5</f>
        <v>165.1</v>
      </c>
      <c r="X14" s="2">
        <f t="shared" ref="X14" si="6">X13+13.5</f>
        <v>145.25</v>
      </c>
      <c r="Y14" s="2">
        <f t="shared" ref="Y14" si="7">Y13+13.5</f>
        <v>120.3</v>
      </c>
      <c r="Z14" s="2">
        <f t="shared" ref="Z14" si="8">Z13+13.5</f>
        <v>155</v>
      </c>
      <c r="AA14" s="2">
        <f t="shared" ref="AA14" si="9">AA13+13.5</f>
        <v>135.30000000000001</v>
      </c>
    </row>
    <row r="15" spans="1:27" hidden="1" outlineLevel="1" x14ac:dyDescent="0.25">
      <c r="A15" s="659" t="str">
        <f>C15&amp;D15&amp;E15</f>
        <v/>
      </c>
      <c r="B15" s="659"/>
      <c r="C15" s="659"/>
      <c r="D15" s="659"/>
      <c r="E15" s="659"/>
      <c r="F15" s="659"/>
      <c r="G15" s="659"/>
      <c r="H15" s="659"/>
      <c r="I15" s="659"/>
      <c r="J15" s="659"/>
      <c r="K15" s="659"/>
      <c r="L15" s="659"/>
      <c r="M15" s="659"/>
      <c r="N15" s="659"/>
      <c r="O15" s="659"/>
      <c r="P15" s="659"/>
      <c r="Q15" s="184"/>
      <c r="R15" s="226"/>
      <c r="S15" s="226"/>
      <c r="T15" s="226"/>
    </row>
    <row r="16" spans="1:27" ht="21" hidden="1" outlineLevel="1" x14ac:dyDescent="0.35">
      <c r="A16" s="621"/>
      <c r="B16" s="621"/>
      <c r="C16" s="621"/>
      <c r="D16" s="621"/>
      <c r="E16" s="621"/>
      <c r="F16" s="621"/>
      <c r="G16" s="621"/>
      <c r="H16" s="621"/>
      <c r="I16" s="621"/>
      <c r="J16" s="621"/>
      <c r="K16" s="621"/>
      <c r="L16" s="621"/>
      <c r="M16" s="621"/>
      <c r="N16" s="621"/>
      <c r="O16" s="621"/>
      <c r="P16" s="621"/>
      <c r="R16" s="229"/>
      <c r="S16" s="229"/>
      <c r="T16" s="229"/>
    </row>
    <row r="17" spans="1:20" ht="15.75" hidden="1" outlineLevel="1" x14ac:dyDescent="0.25">
      <c r="A17" s="254"/>
      <c r="B17" s="256"/>
      <c r="C17" s="254"/>
      <c r="D17" s="254"/>
      <c r="E17" s="254"/>
      <c r="F17" s="254"/>
      <c r="G17" s="254"/>
      <c r="H17" s="254"/>
      <c r="I17" s="254"/>
      <c r="J17" s="253">
        <v>1</v>
      </c>
      <c r="K17" s="253">
        <v>1</v>
      </c>
      <c r="L17" s="254"/>
      <c r="M17" s="254"/>
      <c r="N17" s="254"/>
      <c r="O17" s="254"/>
      <c r="P17" s="254"/>
      <c r="Q17" s="187"/>
      <c r="R17" s="229" t="s">
        <v>826</v>
      </c>
      <c r="S17" s="229" t="s">
        <v>827</v>
      </c>
      <c r="T17" s="229" t="s">
        <v>828</v>
      </c>
    </row>
    <row r="18" spans="1:20" hidden="1" outlineLevel="1" x14ac:dyDescent="0.25">
      <c r="A18" s="205"/>
      <c r="B18" s="257" t="str">
        <f t="shared" ref="B18:B27" si="10">C18&amp;D18&amp;E18</f>
        <v/>
      </c>
      <c r="C18" s="4"/>
      <c r="D18" s="4"/>
      <c r="E18" s="4"/>
      <c r="F18" s="4"/>
      <c r="G18" s="204"/>
      <c r="H18" s="258">
        <f>$T$3*G18</f>
        <v>0</v>
      </c>
      <c r="I18" s="259">
        <f>$U$3*G18</f>
        <v>0</v>
      </c>
      <c r="J18" s="260">
        <f>IF(Notes!$B$9="Domestic",H18, IF(Notes!$B$9="Commercial",I18))*$J$17</f>
        <v>0</v>
      </c>
      <c r="K18" s="261">
        <f>SUM(L18:N18)*$K$17</f>
        <v>0</v>
      </c>
      <c r="L18" s="238"/>
      <c r="M18" s="238"/>
      <c r="N18" s="238"/>
      <c r="O18" s="7"/>
      <c r="P18" s="8"/>
      <c r="R18" s="226"/>
      <c r="S18" s="226"/>
      <c r="T18" s="226"/>
    </row>
    <row r="19" spans="1:20" hidden="1" outlineLevel="1" x14ac:dyDescent="0.25">
      <c r="A19" s="205"/>
      <c r="B19" s="257" t="str">
        <f t="shared" si="10"/>
        <v/>
      </c>
      <c r="C19" s="4"/>
      <c r="D19" s="4"/>
      <c r="E19" s="4"/>
      <c r="F19" s="4"/>
      <c r="G19" s="204"/>
      <c r="H19" s="258">
        <f t="shared" ref="H19:H27" si="11">$T$3*G19</f>
        <v>0</v>
      </c>
      <c r="I19" s="259">
        <f t="shared" ref="I19:I27" si="12">$U$3*G19</f>
        <v>0</v>
      </c>
      <c r="J19" s="260">
        <f>IF(Notes!$B$9="Domestic",H19, IF(Notes!$B$9="Commercial",I19))*$J$17</f>
        <v>0</v>
      </c>
      <c r="K19" s="261">
        <f t="shared" ref="K19:K27" si="13">SUM(L19:N19)*$K$17</f>
        <v>0</v>
      </c>
      <c r="L19" s="238"/>
      <c r="M19" s="238"/>
      <c r="N19" s="238"/>
      <c r="O19" s="7"/>
      <c r="P19" s="8"/>
      <c r="R19" s="226"/>
      <c r="S19" s="226"/>
      <c r="T19" s="226"/>
    </row>
    <row r="20" spans="1:20" hidden="1" outlineLevel="1" x14ac:dyDescent="0.25">
      <c r="A20" s="205"/>
      <c r="B20" s="257" t="str">
        <f t="shared" si="10"/>
        <v/>
      </c>
      <c r="C20" s="4"/>
      <c r="D20" s="4"/>
      <c r="E20" s="4"/>
      <c r="F20" s="4"/>
      <c r="G20" s="204"/>
      <c r="H20" s="258">
        <f t="shared" si="11"/>
        <v>0</v>
      </c>
      <c r="I20" s="259">
        <f t="shared" si="12"/>
        <v>0</v>
      </c>
      <c r="J20" s="260">
        <f>IF(Notes!$B$9="Domestic",H20, IF(Notes!$B$9="Commercial",I20))*$J$17</f>
        <v>0</v>
      </c>
      <c r="K20" s="261">
        <f t="shared" si="13"/>
        <v>0</v>
      </c>
      <c r="L20" s="238"/>
      <c r="M20" s="238"/>
      <c r="N20" s="238"/>
      <c r="O20" s="7"/>
      <c r="P20" s="8"/>
      <c r="R20" s="226"/>
      <c r="S20" s="226"/>
      <c r="T20" s="226"/>
    </row>
    <row r="21" spans="1:20" hidden="1" outlineLevel="1" x14ac:dyDescent="0.25">
      <c r="A21" s="205"/>
      <c r="B21" s="257" t="str">
        <f t="shared" si="10"/>
        <v/>
      </c>
      <c r="C21" s="4"/>
      <c r="D21" s="4"/>
      <c r="E21" s="4"/>
      <c r="F21" s="4"/>
      <c r="G21" s="204"/>
      <c r="H21" s="258">
        <f t="shared" si="11"/>
        <v>0</v>
      </c>
      <c r="I21" s="259">
        <f t="shared" si="12"/>
        <v>0</v>
      </c>
      <c r="J21" s="260">
        <f>IF(Notes!$B$9="Domestic",H21, IF(Notes!$B$9="Commercial",I21))*$J$17</f>
        <v>0</v>
      </c>
      <c r="K21" s="261">
        <f t="shared" si="13"/>
        <v>0</v>
      </c>
      <c r="L21" s="238"/>
      <c r="M21" s="238"/>
      <c r="N21" s="238"/>
      <c r="O21" s="7"/>
      <c r="P21" s="8"/>
      <c r="S21" s="226"/>
      <c r="T21" s="226"/>
    </row>
    <row r="22" spans="1:20" hidden="1" outlineLevel="1" x14ac:dyDescent="0.25">
      <c r="A22" s="205"/>
      <c r="B22" s="257" t="str">
        <f t="shared" si="10"/>
        <v/>
      </c>
      <c r="C22" s="4"/>
      <c r="D22" s="4"/>
      <c r="E22" s="4"/>
      <c r="F22" s="4"/>
      <c r="G22" s="204"/>
      <c r="H22" s="258">
        <f t="shared" si="11"/>
        <v>0</v>
      </c>
      <c r="I22" s="259">
        <f t="shared" si="12"/>
        <v>0</v>
      </c>
      <c r="J22" s="260">
        <f>IF(Notes!$B$9="Domestic",H22, IF(Notes!$B$9="Commercial",I22))*$J$17</f>
        <v>0</v>
      </c>
      <c r="K22" s="261">
        <f t="shared" si="13"/>
        <v>0</v>
      </c>
      <c r="L22" s="238"/>
      <c r="M22" s="238"/>
      <c r="N22" s="238"/>
      <c r="O22" s="7"/>
      <c r="P22" s="8"/>
      <c r="S22" s="226"/>
      <c r="T22" s="226"/>
    </row>
    <row r="23" spans="1:20" hidden="1" outlineLevel="1" x14ac:dyDescent="0.25">
      <c r="A23" s="205"/>
      <c r="B23" s="257" t="str">
        <f t="shared" si="10"/>
        <v/>
      </c>
      <c r="C23" s="4"/>
      <c r="D23" s="4"/>
      <c r="E23" s="4"/>
      <c r="F23" s="4"/>
      <c r="G23" s="204"/>
      <c r="H23" s="258">
        <f t="shared" si="11"/>
        <v>0</v>
      </c>
      <c r="I23" s="259">
        <f t="shared" si="12"/>
        <v>0</v>
      </c>
      <c r="J23" s="260">
        <f>IF(Notes!$B$9="Domestic",H23, IF(Notes!$B$9="Commercial",I23))*$J$17</f>
        <v>0</v>
      </c>
      <c r="K23" s="261">
        <f t="shared" si="13"/>
        <v>0</v>
      </c>
      <c r="L23" s="238"/>
      <c r="M23" s="238"/>
      <c r="N23" s="238"/>
      <c r="O23" s="7"/>
      <c r="P23" s="8"/>
      <c r="S23" s="226"/>
      <c r="T23" s="226"/>
    </row>
    <row r="24" spans="1:20" hidden="1" outlineLevel="1" x14ac:dyDescent="0.25">
      <c r="A24" s="205"/>
      <c r="B24" s="257" t="str">
        <f t="shared" si="10"/>
        <v/>
      </c>
      <c r="C24" s="4"/>
      <c r="D24" s="4"/>
      <c r="E24" s="4"/>
      <c r="F24" s="4"/>
      <c r="G24" s="204"/>
      <c r="H24" s="258">
        <f t="shared" si="11"/>
        <v>0</v>
      </c>
      <c r="I24" s="259">
        <f t="shared" si="12"/>
        <v>0</v>
      </c>
      <c r="J24" s="260">
        <f>IF(Notes!$B$9="Domestic",H24, IF(Notes!$B$9="Commercial",I24))*$J$17</f>
        <v>0</v>
      </c>
      <c r="K24" s="261">
        <f t="shared" si="13"/>
        <v>0</v>
      </c>
      <c r="L24" s="238"/>
      <c r="M24" s="238"/>
      <c r="N24" s="238"/>
      <c r="O24" s="8"/>
      <c r="P24" s="8"/>
      <c r="R24" s="226"/>
      <c r="S24" s="226"/>
      <c r="T24" s="226"/>
    </row>
    <row r="25" spans="1:20" hidden="1" outlineLevel="1" x14ac:dyDescent="0.25">
      <c r="A25" s="205"/>
      <c r="B25" s="257" t="str">
        <f t="shared" si="10"/>
        <v/>
      </c>
      <c r="C25" s="4"/>
      <c r="D25" s="4"/>
      <c r="E25" s="4"/>
      <c r="F25" s="4"/>
      <c r="G25" s="204"/>
      <c r="H25" s="258">
        <f t="shared" si="11"/>
        <v>0</v>
      </c>
      <c r="I25" s="259">
        <f t="shared" si="12"/>
        <v>0</v>
      </c>
      <c r="J25" s="260">
        <f>IF(Notes!$B$9="Domestic",H25, IF(Notes!$B$9="Commercial",I25))*$J$17</f>
        <v>0</v>
      </c>
      <c r="K25" s="261">
        <f t="shared" si="13"/>
        <v>0</v>
      </c>
      <c r="L25" s="238"/>
      <c r="M25" s="238"/>
      <c r="N25" s="238"/>
      <c r="O25" s="8"/>
      <c r="P25" s="8"/>
      <c r="R25" s="226"/>
      <c r="S25" s="226"/>
      <c r="T25" s="226"/>
    </row>
    <row r="26" spans="1:20" hidden="1" outlineLevel="1" x14ac:dyDescent="0.25">
      <c r="A26" s="205"/>
      <c r="B26" s="257" t="str">
        <f t="shared" si="10"/>
        <v/>
      </c>
      <c r="C26" s="4"/>
      <c r="D26" s="4"/>
      <c r="E26" s="4"/>
      <c r="F26" s="4"/>
      <c r="G26" s="204"/>
      <c r="H26" s="258">
        <f t="shared" si="11"/>
        <v>0</v>
      </c>
      <c r="I26" s="259">
        <f t="shared" si="12"/>
        <v>0</v>
      </c>
      <c r="J26" s="260">
        <f>IF(Notes!$B$9="Domestic",H26, IF(Notes!$B$9="Commercial",I26))*$J$17</f>
        <v>0</v>
      </c>
      <c r="K26" s="261">
        <f t="shared" si="13"/>
        <v>0</v>
      </c>
      <c r="L26" s="238"/>
      <c r="M26" s="238"/>
      <c r="N26" s="238"/>
      <c r="O26" s="8"/>
      <c r="P26" s="8"/>
      <c r="R26" s="226"/>
      <c r="S26" s="226"/>
      <c r="T26" s="226"/>
    </row>
    <row r="27" spans="1:20" hidden="1" outlineLevel="1" x14ac:dyDescent="0.25">
      <c r="A27" s="205"/>
      <c r="B27" s="257" t="str">
        <f t="shared" si="10"/>
        <v/>
      </c>
      <c r="C27" s="4"/>
      <c r="D27" s="4"/>
      <c r="E27" s="4"/>
      <c r="F27" s="4"/>
      <c r="G27" s="204"/>
      <c r="H27" s="258">
        <f t="shared" si="11"/>
        <v>0</v>
      </c>
      <c r="I27" s="259">
        <f t="shared" si="12"/>
        <v>0</v>
      </c>
      <c r="J27" s="260">
        <f>IF(Notes!$B$9="Domestic",H27, IF(Notes!$B$9="Commercial",I27))*$J$17</f>
        <v>0</v>
      </c>
      <c r="K27" s="261">
        <f t="shared" si="13"/>
        <v>0</v>
      </c>
      <c r="L27" s="268"/>
      <c r="M27" s="268"/>
      <c r="N27" s="268"/>
      <c r="O27" s="8"/>
      <c r="P27" s="8"/>
      <c r="S27" s="226"/>
      <c r="T27" s="226"/>
    </row>
    <row r="28" spans="1:20" hidden="1" outlineLevel="1" x14ac:dyDescent="0.25">
      <c r="A28" s="659" t="str">
        <f>C28&amp;D28&amp;E28</f>
        <v/>
      </c>
      <c r="B28" s="659"/>
      <c r="C28" s="659"/>
      <c r="D28" s="659"/>
      <c r="E28" s="659"/>
      <c r="F28" s="659"/>
      <c r="G28" s="659"/>
      <c r="H28" s="659"/>
      <c r="I28" s="659"/>
      <c r="J28" s="659"/>
      <c r="K28" s="659"/>
      <c r="L28" s="659"/>
      <c r="M28" s="659"/>
      <c r="N28" s="659"/>
      <c r="O28" s="659"/>
      <c r="P28" s="659"/>
    </row>
    <row r="29" spans="1:20" ht="21" hidden="1" outlineLevel="1" x14ac:dyDescent="0.35">
      <c r="A29" s="621"/>
      <c r="B29" s="621"/>
      <c r="C29" s="621"/>
      <c r="D29" s="621"/>
      <c r="E29" s="621"/>
      <c r="F29" s="621"/>
      <c r="G29" s="621"/>
      <c r="H29" s="621"/>
      <c r="I29" s="621"/>
      <c r="J29" s="621"/>
      <c r="K29" s="621"/>
      <c r="L29" s="621"/>
      <c r="M29" s="621"/>
      <c r="N29" s="621"/>
      <c r="O29" s="621"/>
      <c r="P29" s="621"/>
    </row>
    <row r="30" spans="1:20" ht="15.75" hidden="1" outlineLevel="1" x14ac:dyDescent="0.25">
      <c r="A30" s="254"/>
      <c r="B30" s="256"/>
      <c r="C30" s="254"/>
      <c r="D30" s="254"/>
      <c r="E30" s="254"/>
      <c r="F30" s="254"/>
      <c r="G30" s="254"/>
      <c r="H30" s="254"/>
      <c r="I30" s="254"/>
      <c r="J30" s="253">
        <v>1</v>
      </c>
      <c r="K30" s="253">
        <v>1</v>
      </c>
      <c r="L30" s="254"/>
      <c r="M30" s="254"/>
      <c r="N30" s="254"/>
      <c r="O30" s="254"/>
      <c r="P30" s="254"/>
      <c r="R30" s="229" t="s">
        <v>826</v>
      </c>
      <c r="S30" s="229" t="s">
        <v>827</v>
      </c>
      <c r="T30" s="229" t="s">
        <v>828</v>
      </c>
    </row>
    <row r="31" spans="1:20" hidden="1" outlineLevel="1" x14ac:dyDescent="0.25">
      <c r="A31" s="205"/>
      <c r="B31" s="257" t="str">
        <f t="shared" ref="B31:B40" si="14">C31&amp;D31&amp;E31</f>
        <v/>
      </c>
      <c r="C31" s="4"/>
      <c r="D31" s="4"/>
      <c r="E31" s="4"/>
      <c r="F31" s="4"/>
      <c r="G31" s="204"/>
      <c r="H31" s="258">
        <f>$T$3*G31</f>
        <v>0</v>
      </c>
      <c r="I31" s="259">
        <f>$U$3*G31</f>
        <v>0</v>
      </c>
      <c r="J31" s="260">
        <f>IF(Notes!$B$9="Domestic",H31, IF(Notes!$B$9="Commercial",I31))*$J$30</f>
        <v>0</v>
      </c>
      <c r="K31" s="261">
        <f>SUM(L31:N31)*$K$30</f>
        <v>0</v>
      </c>
      <c r="L31" s="238"/>
      <c r="M31" s="238"/>
      <c r="N31" s="238"/>
      <c r="O31" s="7"/>
      <c r="P31" s="8"/>
    </row>
    <row r="32" spans="1:20" hidden="1" outlineLevel="1" x14ac:dyDescent="0.25">
      <c r="A32" s="205"/>
      <c r="B32" s="257" t="str">
        <f t="shared" si="14"/>
        <v/>
      </c>
      <c r="C32" s="4"/>
      <c r="D32" s="4"/>
      <c r="E32" s="4"/>
      <c r="F32" s="4"/>
      <c r="G32" s="204"/>
      <c r="H32" s="258">
        <f t="shared" ref="H32:H40" si="15">$T$3*G32</f>
        <v>0</v>
      </c>
      <c r="I32" s="259">
        <f t="shared" ref="I32:I40" si="16">$U$3*G32</f>
        <v>0</v>
      </c>
      <c r="J32" s="260">
        <f>IF(Notes!$B$9="Domestic",H32, IF(Notes!$B$9="Commercial",I32))*$J$30</f>
        <v>0</v>
      </c>
      <c r="K32" s="261">
        <f t="shared" ref="K32:K40" si="17">SUM(L32:N32)*$K$30</f>
        <v>0</v>
      </c>
      <c r="L32" s="238"/>
      <c r="M32" s="238"/>
      <c r="N32" s="238"/>
      <c r="O32" s="7"/>
      <c r="P32" s="8"/>
    </row>
    <row r="33" spans="1:20" hidden="1" outlineLevel="1" x14ac:dyDescent="0.25">
      <c r="A33" s="205"/>
      <c r="B33" s="257" t="str">
        <f t="shared" si="14"/>
        <v/>
      </c>
      <c r="C33" s="4"/>
      <c r="D33" s="4"/>
      <c r="E33" s="4"/>
      <c r="F33" s="4"/>
      <c r="G33" s="204"/>
      <c r="H33" s="258">
        <f t="shared" si="15"/>
        <v>0</v>
      </c>
      <c r="I33" s="259">
        <f t="shared" si="16"/>
        <v>0</v>
      </c>
      <c r="J33" s="260">
        <f>IF(Notes!$B$9="Domestic",H33, IF(Notes!$B$9="Commercial",I33))*$J$30</f>
        <v>0</v>
      </c>
      <c r="K33" s="261">
        <f t="shared" si="17"/>
        <v>0</v>
      </c>
      <c r="L33" s="238"/>
      <c r="M33" s="238"/>
      <c r="N33" s="238"/>
      <c r="O33" s="7"/>
      <c r="P33" s="8"/>
    </row>
    <row r="34" spans="1:20" hidden="1" outlineLevel="1" x14ac:dyDescent="0.25">
      <c r="A34" s="205"/>
      <c r="B34" s="257" t="str">
        <f t="shared" si="14"/>
        <v/>
      </c>
      <c r="C34" s="4"/>
      <c r="D34" s="4"/>
      <c r="E34" s="4"/>
      <c r="F34" s="4"/>
      <c r="G34" s="204"/>
      <c r="H34" s="258">
        <f t="shared" si="15"/>
        <v>0</v>
      </c>
      <c r="I34" s="259">
        <f t="shared" si="16"/>
        <v>0</v>
      </c>
      <c r="J34" s="260">
        <f>IF(Notes!$B$9="Domestic",H34, IF(Notes!$B$9="Commercial",I34))*$J$30</f>
        <v>0</v>
      </c>
      <c r="K34" s="261">
        <f t="shared" si="17"/>
        <v>0</v>
      </c>
      <c r="L34" s="238"/>
      <c r="M34" s="238"/>
      <c r="N34" s="238"/>
      <c r="O34" s="7"/>
      <c r="P34" s="8"/>
    </row>
    <row r="35" spans="1:20" hidden="1" outlineLevel="1" x14ac:dyDescent="0.25">
      <c r="A35" s="205"/>
      <c r="B35" s="257" t="str">
        <f t="shared" si="14"/>
        <v/>
      </c>
      <c r="C35" s="4"/>
      <c r="D35" s="4"/>
      <c r="E35" s="4"/>
      <c r="F35" s="4"/>
      <c r="G35" s="204"/>
      <c r="H35" s="258">
        <f t="shared" si="15"/>
        <v>0</v>
      </c>
      <c r="I35" s="259">
        <f t="shared" si="16"/>
        <v>0</v>
      </c>
      <c r="J35" s="260">
        <f>IF(Notes!$B$9="Domestic",H35, IF(Notes!$B$9="Commercial",I35))*$J$30</f>
        <v>0</v>
      </c>
      <c r="K35" s="261">
        <f t="shared" si="17"/>
        <v>0</v>
      </c>
      <c r="L35" s="238"/>
      <c r="M35" s="238"/>
      <c r="N35" s="238"/>
      <c r="O35" s="7"/>
      <c r="P35" s="8"/>
    </row>
    <row r="36" spans="1:20" hidden="1" outlineLevel="1" x14ac:dyDescent="0.25">
      <c r="A36" s="205"/>
      <c r="B36" s="257" t="str">
        <f t="shared" si="14"/>
        <v/>
      </c>
      <c r="C36" s="4"/>
      <c r="D36" s="4"/>
      <c r="E36" s="4"/>
      <c r="F36" s="4"/>
      <c r="G36" s="204"/>
      <c r="H36" s="258">
        <f t="shared" si="15"/>
        <v>0</v>
      </c>
      <c r="I36" s="259">
        <f t="shared" si="16"/>
        <v>0</v>
      </c>
      <c r="J36" s="260">
        <f>IF(Notes!$B$9="Domestic",H36, IF(Notes!$B$9="Commercial",I36))*$J$30</f>
        <v>0</v>
      </c>
      <c r="K36" s="261">
        <f t="shared" si="17"/>
        <v>0</v>
      </c>
      <c r="L36" s="238"/>
      <c r="M36" s="238"/>
      <c r="N36" s="238"/>
      <c r="O36" s="7"/>
      <c r="P36" s="8"/>
    </row>
    <row r="37" spans="1:20" hidden="1" outlineLevel="1" x14ac:dyDescent="0.25">
      <c r="A37" s="205"/>
      <c r="B37" s="257" t="str">
        <f t="shared" si="14"/>
        <v/>
      </c>
      <c r="C37" s="4"/>
      <c r="D37" s="4"/>
      <c r="E37" s="4"/>
      <c r="F37" s="4"/>
      <c r="G37" s="204"/>
      <c r="H37" s="258">
        <f t="shared" si="15"/>
        <v>0</v>
      </c>
      <c r="I37" s="259">
        <f t="shared" si="16"/>
        <v>0</v>
      </c>
      <c r="J37" s="260">
        <f>IF(Notes!$B$9="Domestic",H37, IF(Notes!$B$9="Commercial",I37))*$J$30</f>
        <v>0</v>
      </c>
      <c r="K37" s="261">
        <f t="shared" si="17"/>
        <v>0</v>
      </c>
      <c r="L37" s="238"/>
      <c r="M37" s="238"/>
      <c r="N37" s="238"/>
      <c r="O37" s="8"/>
      <c r="P37" s="8"/>
    </row>
    <row r="38" spans="1:20" hidden="1" outlineLevel="1" x14ac:dyDescent="0.25">
      <c r="A38" s="205"/>
      <c r="B38" s="257" t="str">
        <f t="shared" si="14"/>
        <v/>
      </c>
      <c r="C38" s="4"/>
      <c r="D38" s="4"/>
      <c r="E38" s="4"/>
      <c r="F38" s="4"/>
      <c r="G38" s="204"/>
      <c r="H38" s="258">
        <f t="shared" si="15"/>
        <v>0</v>
      </c>
      <c r="I38" s="259">
        <f t="shared" si="16"/>
        <v>0</v>
      </c>
      <c r="J38" s="260">
        <f>IF(Notes!$B$9="Domestic",H38, IF(Notes!$B$9="Commercial",I38))*$J$30</f>
        <v>0</v>
      </c>
      <c r="K38" s="261">
        <f t="shared" si="17"/>
        <v>0</v>
      </c>
      <c r="L38" s="238"/>
      <c r="M38" s="238"/>
      <c r="N38" s="238"/>
      <c r="O38" s="8"/>
      <c r="P38" s="8"/>
    </row>
    <row r="39" spans="1:20" hidden="1" outlineLevel="1" x14ac:dyDescent="0.25">
      <c r="A39" s="205"/>
      <c r="B39" s="257" t="str">
        <f t="shared" si="14"/>
        <v/>
      </c>
      <c r="C39" s="4"/>
      <c r="D39" s="4"/>
      <c r="E39" s="4"/>
      <c r="F39" s="4"/>
      <c r="G39" s="204"/>
      <c r="H39" s="258">
        <f t="shared" si="15"/>
        <v>0</v>
      </c>
      <c r="I39" s="259">
        <f t="shared" si="16"/>
        <v>0</v>
      </c>
      <c r="J39" s="260">
        <f>IF(Notes!$B$9="Domestic",H39, IF(Notes!$B$9="Commercial",I39))*$J$30</f>
        <v>0</v>
      </c>
      <c r="K39" s="261">
        <f t="shared" si="17"/>
        <v>0</v>
      </c>
      <c r="L39" s="238"/>
      <c r="M39" s="238"/>
      <c r="N39" s="238"/>
      <c r="O39" s="8"/>
      <c r="P39" s="8"/>
    </row>
    <row r="40" spans="1:20" hidden="1" outlineLevel="1" x14ac:dyDescent="0.25">
      <c r="A40" s="205"/>
      <c r="B40" s="257" t="str">
        <f t="shared" si="14"/>
        <v/>
      </c>
      <c r="C40" s="4"/>
      <c r="D40" s="4"/>
      <c r="E40" s="4"/>
      <c r="F40" s="4"/>
      <c r="G40" s="204"/>
      <c r="H40" s="258">
        <f t="shared" si="15"/>
        <v>0</v>
      </c>
      <c r="I40" s="259">
        <f t="shared" si="16"/>
        <v>0</v>
      </c>
      <c r="J40" s="260">
        <f>IF(Notes!$B$9="Domestic",H40, IF(Notes!$B$9="Commercial",I40))*$J$30</f>
        <v>0</v>
      </c>
      <c r="K40" s="261">
        <f t="shared" si="17"/>
        <v>0</v>
      </c>
      <c r="L40" s="268"/>
      <c r="M40" s="268"/>
      <c r="N40" s="268"/>
      <c r="O40" s="8"/>
      <c r="P40" s="8"/>
    </row>
    <row r="41" spans="1:20" hidden="1" outlineLevel="1" x14ac:dyDescent="0.25">
      <c r="A41" s="659" t="str">
        <f>C41&amp;D41&amp;E41</f>
        <v/>
      </c>
      <c r="B41" s="659"/>
      <c r="C41" s="659"/>
      <c r="D41" s="659"/>
      <c r="E41" s="659"/>
      <c r="F41" s="659"/>
      <c r="G41" s="659"/>
      <c r="H41" s="659"/>
      <c r="I41" s="659"/>
      <c r="J41" s="659"/>
      <c r="K41" s="659"/>
      <c r="L41" s="659"/>
      <c r="M41" s="659"/>
      <c r="N41" s="659"/>
      <c r="O41" s="659"/>
      <c r="P41" s="659"/>
    </row>
    <row r="42" spans="1:20" ht="21" hidden="1" outlineLevel="1" x14ac:dyDescent="0.35">
      <c r="A42" s="621"/>
      <c r="B42" s="621"/>
      <c r="C42" s="621"/>
      <c r="D42" s="621"/>
      <c r="E42" s="621"/>
      <c r="F42" s="621"/>
      <c r="G42" s="621"/>
      <c r="H42" s="621"/>
      <c r="I42" s="621"/>
      <c r="J42" s="621"/>
      <c r="K42" s="621"/>
      <c r="L42" s="621"/>
      <c r="M42" s="621"/>
      <c r="N42" s="621"/>
      <c r="O42" s="621"/>
      <c r="P42" s="621"/>
    </row>
    <row r="43" spans="1:20" ht="15.75" hidden="1" outlineLevel="1" x14ac:dyDescent="0.25">
      <c r="A43" s="254"/>
      <c r="B43" s="256"/>
      <c r="C43" s="254"/>
      <c r="D43" s="254"/>
      <c r="E43" s="254"/>
      <c r="F43" s="254"/>
      <c r="G43" s="254"/>
      <c r="H43" s="254"/>
      <c r="I43" s="254"/>
      <c r="J43" s="253">
        <v>1</v>
      </c>
      <c r="K43" s="253">
        <v>1</v>
      </c>
      <c r="L43" s="254"/>
      <c r="M43" s="254"/>
      <c r="N43" s="254"/>
      <c r="O43" s="254"/>
      <c r="P43" s="254"/>
      <c r="R43" s="229" t="s">
        <v>826</v>
      </c>
      <c r="S43" s="229" t="s">
        <v>827</v>
      </c>
      <c r="T43" s="229" t="s">
        <v>828</v>
      </c>
    </row>
    <row r="44" spans="1:20" hidden="1" outlineLevel="1" x14ac:dyDescent="0.25">
      <c r="A44" s="205"/>
      <c r="B44" s="257" t="str">
        <f t="shared" ref="B44:B53" si="18">C44&amp;D44&amp;E44</f>
        <v/>
      </c>
      <c r="C44" s="4"/>
      <c r="D44" s="4"/>
      <c r="E44" s="4"/>
      <c r="F44" s="4"/>
      <c r="G44" s="204"/>
      <c r="H44" s="258">
        <f>$T$3*G44</f>
        <v>0</v>
      </c>
      <c r="I44" s="259">
        <f>$U$3*G44</f>
        <v>0</v>
      </c>
      <c r="J44" s="260">
        <f>IF(Notes!$B$9="Domestic",H44, IF(Notes!$B$9="Commercial",I44))*$J$43</f>
        <v>0</v>
      </c>
      <c r="K44" s="261">
        <f>SUM(L44:N44)*$K$43</f>
        <v>0</v>
      </c>
      <c r="L44" s="238"/>
      <c r="M44" s="238"/>
      <c r="N44" s="238"/>
      <c r="O44" s="7"/>
      <c r="P44" s="8"/>
    </row>
    <row r="45" spans="1:20" hidden="1" outlineLevel="1" x14ac:dyDescent="0.25">
      <c r="A45" s="205"/>
      <c r="B45" s="257" t="str">
        <f t="shared" si="18"/>
        <v/>
      </c>
      <c r="C45" s="4"/>
      <c r="D45" s="4"/>
      <c r="E45" s="4"/>
      <c r="F45" s="4"/>
      <c r="G45" s="204"/>
      <c r="H45" s="258">
        <f t="shared" ref="H45:H53" si="19">$T$3*G45</f>
        <v>0</v>
      </c>
      <c r="I45" s="259">
        <f t="shared" ref="I45:I53" si="20">$U$3*G45</f>
        <v>0</v>
      </c>
      <c r="J45" s="260">
        <f>IF(Notes!$B$9="Domestic",H45, IF(Notes!$B$9="Commercial",I45))*$J$43</f>
        <v>0</v>
      </c>
      <c r="K45" s="261">
        <f t="shared" ref="K45:K53" si="21">SUM(L45:N45)*$K$43</f>
        <v>0</v>
      </c>
      <c r="L45" s="238"/>
      <c r="M45" s="238"/>
      <c r="N45" s="238"/>
      <c r="O45" s="7"/>
      <c r="P45" s="8"/>
    </row>
    <row r="46" spans="1:20" hidden="1" outlineLevel="1" x14ac:dyDescent="0.25">
      <c r="A46" s="205"/>
      <c r="B46" s="257" t="str">
        <f t="shared" si="18"/>
        <v/>
      </c>
      <c r="C46" s="4"/>
      <c r="D46" s="4"/>
      <c r="E46" s="4"/>
      <c r="F46" s="4"/>
      <c r="G46" s="204"/>
      <c r="H46" s="258">
        <f t="shared" si="19"/>
        <v>0</v>
      </c>
      <c r="I46" s="259">
        <f t="shared" si="20"/>
        <v>0</v>
      </c>
      <c r="J46" s="260">
        <f>IF(Notes!$B$9="Domestic",H46, IF(Notes!$B$9="Commercial",I46))*$J$43</f>
        <v>0</v>
      </c>
      <c r="K46" s="261">
        <f t="shared" si="21"/>
        <v>0</v>
      </c>
      <c r="L46" s="238"/>
      <c r="M46" s="238"/>
      <c r="N46" s="238"/>
      <c r="O46" s="7"/>
      <c r="P46" s="8"/>
    </row>
    <row r="47" spans="1:20" hidden="1" outlineLevel="1" x14ac:dyDescent="0.25">
      <c r="A47" s="205"/>
      <c r="B47" s="257" t="str">
        <f t="shared" si="18"/>
        <v/>
      </c>
      <c r="C47" s="4"/>
      <c r="D47" s="4"/>
      <c r="E47" s="4"/>
      <c r="F47" s="4"/>
      <c r="G47" s="204"/>
      <c r="H47" s="258">
        <f t="shared" si="19"/>
        <v>0</v>
      </c>
      <c r="I47" s="259">
        <f t="shared" si="20"/>
        <v>0</v>
      </c>
      <c r="J47" s="260">
        <f>IF(Notes!$B$9="Domestic",H47, IF(Notes!$B$9="Commercial",I47))*$J$43</f>
        <v>0</v>
      </c>
      <c r="K47" s="261">
        <f t="shared" si="21"/>
        <v>0</v>
      </c>
      <c r="L47" s="238"/>
      <c r="M47" s="238"/>
      <c r="N47" s="238"/>
      <c r="O47" s="7"/>
      <c r="P47" s="8"/>
    </row>
    <row r="48" spans="1:20" hidden="1" outlineLevel="1" x14ac:dyDescent="0.25">
      <c r="A48" s="205"/>
      <c r="B48" s="257" t="str">
        <f t="shared" si="18"/>
        <v/>
      </c>
      <c r="C48" s="4"/>
      <c r="D48" s="4"/>
      <c r="E48" s="4"/>
      <c r="F48" s="4"/>
      <c r="G48" s="204"/>
      <c r="H48" s="258">
        <f t="shared" si="19"/>
        <v>0</v>
      </c>
      <c r="I48" s="259">
        <f t="shared" si="20"/>
        <v>0</v>
      </c>
      <c r="J48" s="260">
        <f>IF(Notes!$B$9="Domestic",H48, IF(Notes!$B$9="Commercial",I48))*$J$43</f>
        <v>0</v>
      </c>
      <c r="K48" s="261">
        <f t="shared" si="21"/>
        <v>0</v>
      </c>
      <c r="L48" s="238"/>
      <c r="M48" s="238"/>
      <c r="N48" s="238"/>
      <c r="O48" s="7"/>
      <c r="P48" s="8"/>
    </row>
    <row r="49" spans="1:20" hidden="1" outlineLevel="1" x14ac:dyDescent="0.25">
      <c r="A49" s="205"/>
      <c r="B49" s="257" t="str">
        <f t="shared" si="18"/>
        <v/>
      </c>
      <c r="C49" s="4"/>
      <c r="D49" s="4"/>
      <c r="E49" s="4"/>
      <c r="F49" s="4"/>
      <c r="G49" s="204"/>
      <c r="H49" s="258">
        <f t="shared" si="19"/>
        <v>0</v>
      </c>
      <c r="I49" s="259">
        <f t="shared" si="20"/>
        <v>0</v>
      </c>
      <c r="J49" s="260">
        <f>IF(Notes!$B$9="Domestic",H49, IF(Notes!$B$9="Commercial",I49))*$J$43</f>
        <v>0</v>
      </c>
      <c r="K49" s="261">
        <f t="shared" si="21"/>
        <v>0</v>
      </c>
      <c r="L49" s="238"/>
      <c r="M49" s="238"/>
      <c r="N49" s="238"/>
      <c r="O49" s="7"/>
      <c r="P49" s="8"/>
    </row>
    <row r="50" spans="1:20" hidden="1" outlineLevel="1" x14ac:dyDescent="0.25">
      <c r="A50" s="205"/>
      <c r="B50" s="257" t="str">
        <f t="shared" si="18"/>
        <v/>
      </c>
      <c r="C50" s="4"/>
      <c r="D50" s="4"/>
      <c r="E50" s="4"/>
      <c r="F50" s="4"/>
      <c r="G50" s="204"/>
      <c r="H50" s="258">
        <f t="shared" si="19"/>
        <v>0</v>
      </c>
      <c r="I50" s="259">
        <f t="shared" si="20"/>
        <v>0</v>
      </c>
      <c r="J50" s="260">
        <f>IF(Notes!$B$9="Domestic",H50, IF(Notes!$B$9="Commercial",I50))*$J$43</f>
        <v>0</v>
      </c>
      <c r="K50" s="261">
        <f t="shared" si="21"/>
        <v>0</v>
      </c>
      <c r="L50" s="238"/>
      <c r="M50" s="238"/>
      <c r="N50" s="238"/>
      <c r="O50" s="8"/>
      <c r="P50" s="8"/>
    </row>
    <row r="51" spans="1:20" hidden="1" outlineLevel="1" x14ac:dyDescent="0.25">
      <c r="A51" s="205"/>
      <c r="B51" s="257" t="str">
        <f t="shared" si="18"/>
        <v/>
      </c>
      <c r="C51" s="4"/>
      <c r="D51" s="4"/>
      <c r="E51" s="4"/>
      <c r="F51" s="4"/>
      <c r="G51" s="204"/>
      <c r="H51" s="258">
        <f t="shared" si="19"/>
        <v>0</v>
      </c>
      <c r="I51" s="259">
        <f t="shared" si="20"/>
        <v>0</v>
      </c>
      <c r="J51" s="260">
        <f>IF(Notes!$B$9="Domestic",H51, IF(Notes!$B$9="Commercial",I51))*$J$43</f>
        <v>0</v>
      </c>
      <c r="K51" s="261">
        <f t="shared" si="21"/>
        <v>0</v>
      </c>
      <c r="L51" s="238"/>
      <c r="M51" s="238"/>
      <c r="N51" s="238"/>
      <c r="O51" s="8"/>
      <c r="P51" s="8"/>
    </row>
    <row r="52" spans="1:20" hidden="1" outlineLevel="1" x14ac:dyDescent="0.25">
      <c r="A52" s="205"/>
      <c r="B52" s="257" t="str">
        <f t="shared" si="18"/>
        <v/>
      </c>
      <c r="C52" s="4"/>
      <c r="D52" s="4"/>
      <c r="E52" s="4"/>
      <c r="F52" s="4"/>
      <c r="G52" s="204"/>
      <c r="H52" s="258">
        <f t="shared" si="19"/>
        <v>0</v>
      </c>
      <c r="I52" s="259">
        <f t="shared" si="20"/>
        <v>0</v>
      </c>
      <c r="J52" s="260">
        <f>IF(Notes!$B$9="Domestic",H52, IF(Notes!$B$9="Commercial",I52))*$J$43</f>
        <v>0</v>
      </c>
      <c r="K52" s="261">
        <f t="shared" si="21"/>
        <v>0</v>
      </c>
      <c r="L52" s="238"/>
      <c r="M52" s="238"/>
      <c r="N52" s="238"/>
      <c r="O52" s="8"/>
      <c r="P52" s="8"/>
    </row>
    <row r="53" spans="1:20" hidden="1" outlineLevel="1" x14ac:dyDescent="0.25">
      <c r="A53" s="205"/>
      <c r="B53" s="257" t="str">
        <f t="shared" si="18"/>
        <v/>
      </c>
      <c r="C53" s="4"/>
      <c r="D53" s="4"/>
      <c r="E53" s="4"/>
      <c r="F53" s="4"/>
      <c r="G53" s="204"/>
      <c r="H53" s="258">
        <f t="shared" si="19"/>
        <v>0</v>
      </c>
      <c r="I53" s="259">
        <f t="shared" si="20"/>
        <v>0</v>
      </c>
      <c r="J53" s="260">
        <f>IF(Notes!$B$9="Domestic",H53, IF(Notes!$B$9="Commercial",I53))*$J$43</f>
        <v>0</v>
      </c>
      <c r="K53" s="261">
        <f t="shared" si="21"/>
        <v>0</v>
      </c>
      <c r="L53" s="268"/>
      <c r="M53" s="268"/>
      <c r="N53" s="268"/>
      <c r="O53" s="8"/>
      <c r="P53" s="8"/>
    </row>
    <row r="54" spans="1:20" hidden="1" outlineLevel="1" x14ac:dyDescent="0.25">
      <c r="A54" s="659" t="str">
        <f>C54&amp;D54&amp;E54</f>
        <v/>
      </c>
      <c r="B54" s="659"/>
      <c r="C54" s="659"/>
      <c r="D54" s="659"/>
      <c r="E54" s="659"/>
      <c r="F54" s="659"/>
      <c r="G54" s="659"/>
      <c r="H54" s="659"/>
      <c r="I54" s="659"/>
      <c r="J54" s="659"/>
      <c r="K54" s="659"/>
      <c r="L54" s="659"/>
      <c r="M54" s="659"/>
      <c r="N54" s="659"/>
      <c r="O54" s="659"/>
      <c r="P54" s="659"/>
    </row>
    <row r="55" spans="1:20" ht="21" hidden="1" outlineLevel="1" x14ac:dyDescent="0.35">
      <c r="A55" s="621"/>
      <c r="B55" s="621"/>
      <c r="C55" s="621"/>
      <c r="D55" s="621"/>
      <c r="E55" s="621"/>
      <c r="F55" s="621"/>
      <c r="G55" s="621"/>
      <c r="H55" s="621"/>
      <c r="I55" s="621"/>
      <c r="J55" s="621"/>
      <c r="K55" s="621"/>
      <c r="L55" s="621"/>
      <c r="M55" s="621"/>
      <c r="N55" s="621"/>
      <c r="O55" s="621"/>
      <c r="P55" s="621"/>
    </row>
    <row r="56" spans="1:20" ht="15.75" hidden="1" outlineLevel="1" x14ac:dyDescent="0.25">
      <c r="A56" s="254"/>
      <c r="B56" s="256"/>
      <c r="C56" s="254"/>
      <c r="D56" s="254"/>
      <c r="E56" s="254"/>
      <c r="F56" s="254"/>
      <c r="G56" s="254"/>
      <c r="H56" s="254"/>
      <c r="I56" s="254"/>
      <c r="J56" s="253">
        <v>1</v>
      </c>
      <c r="K56" s="253">
        <v>1</v>
      </c>
      <c r="L56" s="254"/>
      <c r="M56" s="254"/>
      <c r="N56" s="254"/>
      <c r="O56" s="254"/>
      <c r="P56" s="254"/>
      <c r="R56" s="229" t="s">
        <v>826</v>
      </c>
      <c r="S56" s="229" t="s">
        <v>827</v>
      </c>
      <c r="T56" s="229" t="s">
        <v>828</v>
      </c>
    </row>
    <row r="57" spans="1:20" hidden="1" outlineLevel="1" x14ac:dyDescent="0.25">
      <c r="A57" s="205"/>
      <c r="B57" s="257" t="str">
        <f t="shared" ref="B57:B66" si="22">C57&amp;D57&amp;E57</f>
        <v/>
      </c>
      <c r="C57" s="4"/>
      <c r="D57" s="4"/>
      <c r="E57" s="4"/>
      <c r="F57" s="4"/>
      <c r="G57" s="204"/>
      <c r="H57" s="258">
        <f>$T$3*G57</f>
        <v>0</v>
      </c>
      <c r="I57" s="259">
        <f>$U$3*G57</f>
        <v>0</v>
      </c>
      <c r="J57" s="260">
        <f>IF(Notes!$B$9="Domestic",H57, IF(Notes!$B$9="Commercial",I57))*$J$56</f>
        <v>0</v>
      </c>
      <c r="K57" s="261">
        <f>SUM(L57:N57)*$K$56</f>
        <v>0</v>
      </c>
      <c r="L57" s="238"/>
      <c r="M57" s="238"/>
      <c r="N57" s="238"/>
      <c r="O57" s="7"/>
      <c r="P57" s="8"/>
    </row>
    <row r="58" spans="1:20" hidden="1" outlineLevel="1" x14ac:dyDescent="0.25">
      <c r="A58" s="205"/>
      <c r="B58" s="257" t="str">
        <f t="shared" si="22"/>
        <v/>
      </c>
      <c r="C58" s="4"/>
      <c r="D58" s="4"/>
      <c r="E58" s="4"/>
      <c r="F58" s="4"/>
      <c r="G58" s="204"/>
      <c r="H58" s="258">
        <f t="shared" ref="H58:H66" si="23">$T$3*G58</f>
        <v>0</v>
      </c>
      <c r="I58" s="259">
        <f t="shared" ref="I58:I66" si="24">$U$3*G58</f>
        <v>0</v>
      </c>
      <c r="J58" s="260">
        <f>IF(Notes!$B$9="Domestic",H58, IF(Notes!$B$9="Commercial",I58))*$J$56</f>
        <v>0</v>
      </c>
      <c r="K58" s="261">
        <f t="shared" ref="K58:K66" si="25">SUM(L58:N58)*$K$56</f>
        <v>0</v>
      </c>
      <c r="L58" s="238"/>
      <c r="M58" s="238"/>
      <c r="N58" s="238"/>
      <c r="O58" s="7"/>
      <c r="P58" s="8"/>
    </row>
    <row r="59" spans="1:20" hidden="1" outlineLevel="1" x14ac:dyDescent="0.25">
      <c r="A59" s="205"/>
      <c r="B59" s="257" t="str">
        <f t="shared" si="22"/>
        <v/>
      </c>
      <c r="C59" s="4"/>
      <c r="D59" s="4"/>
      <c r="E59" s="4"/>
      <c r="F59" s="4"/>
      <c r="G59" s="204"/>
      <c r="H59" s="258">
        <f t="shared" si="23"/>
        <v>0</v>
      </c>
      <c r="I59" s="259">
        <f t="shared" si="24"/>
        <v>0</v>
      </c>
      <c r="J59" s="260">
        <f>IF(Notes!$B$9="Domestic",H59, IF(Notes!$B$9="Commercial",I59))*$J$56</f>
        <v>0</v>
      </c>
      <c r="K59" s="261">
        <f t="shared" si="25"/>
        <v>0</v>
      </c>
      <c r="L59" s="238"/>
      <c r="M59" s="238"/>
      <c r="N59" s="238"/>
      <c r="O59" s="7"/>
      <c r="P59" s="8"/>
    </row>
    <row r="60" spans="1:20" hidden="1" outlineLevel="1" x14ac:dyDescent="0.25">
      <c r="A60" s="205"/>
      <c r="B60" s="257" t="str">
        <f t="shared" si="22"/>
        <v/>
      </c>
      <c r="C60" s="4"/>
      <c r="D60" s="4"/>
      <c r="E60" s="4"/>
      <c r="F60" s="4"/>
      <c r="G60" s="204"/>
      <c r="H60" s="258">
        <f t="shared" si="23"/>
        <v>0</v>
      </c>
      <c r="I60" s="259">
        <f t="shared" si="24"/>
        <v>0</v>
      </c>
      <c r="J60" s="260">
        <f>IF(Notes!$B$9="Domestic",H60, IF(Notes!$B$9="Commercial",I60))*$J$56</f>
        <v>0</v>
      </c>
      <c r="K60" s="261">
        <f t="shared" si="25"/>
        <v>0</v>
      </c>
      <c r="L60" s="238"/>
      <c r="M60" s="238"/>
      <c r="N60" s="238"/>
      <c r="O60" s="7"/>
      <c r="P60" s="8"/>
    </row>
    <row r="61" spans="1:20" hidden="1" outlineLevel="1" x14ac:dyDescent="0.25">
      <c r="A61" s="205"/>
      <c r="B61" s="257" t="str">
        <f t="shared" si="22"/>
        <v/>
      </c>
      <c r="C61" s="4"/>
      <c r="D61" s="4"/>
      <c r="E61" s="4"/>
      <c r="F61" s="4"/>
      <c r="G61" s="204"/>
      <c r="H61" s="258">
        <f t="shared" si="23"/>
        <v>0</v>
      </c>
      <c r="I61" s="259">
        <f t="shared" si="24"/>
        <v>0</v>
      </c>
      <c r="J61" s="260">
        <f>IF(Notes!$B$9="Domestic",H61, IF(Notes!$B$9="Commercial",I61))*$J$56</f>
        <v>0</v>
      </c>
      <c r="K61" s="261">
        <f t="shared" si="25"/>
        <v>0</v>
      </c>
      <c r="L61" s="238"/>
      <c r="M61" s="238"/>
      <c r="N61" s="238"/>
      <c r="O61" s="7"/>
      <c r="P61" s="8"/>
    </row>
    <row r="62" spans="1:20" hidden="1" outlineLevel="1" x14ac:dyDescent="0.25">
      <c r="A62" s="205"/>
      <c r="B62" s="257" t="str">
        <f t="shared" si="22"/>
        <v/>
      </c>
      <c r="C62" s="4"/>
      <c r="D62" s="4"/>
      <c r="E62" s="4"/>
      <c r="F62" s="4"/>
      <c r="G62" s="204"/>
      <c r="H62" s="258">
        <f t="shared" si="23"/>
        <v>0</v>
      </c>
      <c r="I62" s="259">
        <f t="shared" si="24"/>
        <v>0</v>
      </c>
      <c r="J62" s="260">
        <f>IF(Notes!$B$9="Domestic",H62, IF(Notes!$B$9="Commercial",I62))*$J$56</f>
        <v>0</v>
      </c>
      <c r="K62" s="261">
        <f t="shared" si="25"/>
        <v>0</v>
      </c>
      <c r="L62" s="238"/>
      <c r="M62" s="238"/>
      <c r="N62" s="238"/>
      <c r="O62" s="7"/>
      <c r="P62" s="8"/>
    </row>
    <row r="63" spans="1:20" hidden="1" outlineLevel="1" x14ac:dyDescent="0.25">
      <c r="A63" s="205"/>
      <c r="B63" s="257" t="str">
        <f t="shared" si="22"/>
        <v/>
      </c>
      <c r="C63" s="4"/>
      <c r="D63" s="4"/>
      <c r="E63" s="4"/>
      <c r="F63" s="4"/>
      <c r="G63" s="204"/>
      <c r="H63" s="258">
        <f t="shared" si="23"/>
        <v>0</v>
      </c>
      <c r="I63" s="259">
        <f t="shared" si="24"/>
        <v>0</v>
      </c>
      <c r="J63" s="260">
        <f>IF(Notes!$B$9="Domestic",H63, IF(Notes!$B$9="Commercial",I63))*$J$56</f>
        <v>0</v>
      </c>
      <c r="K63" s="261">
        <f t="shared" si="25"/>
        <v>0</v>
      </c>
      <c r="L63" s="238"/>
      <c r="M63" s="238"/>
      <c r="N63" s="238"/>
      <c r="O63" s="8"/>
      <c r="P63" s="8"/>
    </row>
    <row r="64" spans="1:20" hidden="1" outlineLevel="1" x14ac:dyDescent="0.25">
      <c r="A64" s="205"/>
      <c r="B64" s="257" t="str">
        <f t="shared" si="22"/>
        <v/>
      </c>
      <c r="C64" s="4"/>
      <c r="D64" s="4"/>
      <c r="E64" s="4"/>
      <c r="F64" s="4"/>
      <c r="G64" s="204"/>
      <c r="H64" s="258">
        <f t="shared" si="23"/>
        <v>0</v>
      </c>
      <c r="I64" s="259">
        <f t="shared" si="24"/>
        <v>0</v>
      </c>
      <c r="J64" s="260">
        <f>IF(Notes!$B$9="Domestic",H64, IF(Notes!$B$9="Commercial",I64))*$J$56</f>
        <v>0</v>
      </c>
      <c r="K64" s="261">
        <f t="shared" si="25"/>
        <v>0</v>
      </c>
      <c r="L64" s="238"/>
      <c r="M64" s="238"/>
      <c r="N64" s="238"/>
      <c r="O64" s="8"/>
      <c r="P64" s="8"/>
    </row>
    <row r="65" spans="1:20" hidden="1" outlineLevel="1" x14ac:dyDescent="0.25">
      <c r="A65" s="205"/>
      <c r="B65" s="257" t="str">
        <f t="shared" si="22"/>
        <v/>
      </c>
      <c r="C65" s="4"/>
      <c r="D65" s="4"/>
      <c r="E65" s="4"/>
      <c r="F65" s="4"/>
      <c r="G65" s="204"/>
      <c r="H65" s="258">
        <f t="shared" si="23"/>
        <v>0</v>
      </c>
      <c r="I65" s="259">
        <f t="shared" si="24"/>
        <v>0</v>
      </c>
      <c r="J65" s="260">
        <f>IF(Notes!$B$9="Domestic",H65, IF(Notes!$B$9="Commercial",I65))*$J$56</f>
        <v>0</v>
      </c>
      <c r="K65" s="261">
        <f t="shared" si="25"/>
        <v>0</v>
      </c>
      <c r="L65" s="238"/>
      <c r="M65" s="238"/>
      <c r="N65" s="238"/>
      <c r="O65" s="8"/>
      <c r="P65" s="8"/>
    </row>
    <row r="66" spans="1:20" hidden="1" outlineLevel="1" x14ac:dyDescent="0.25">
      <c r="A66" s="205"/>
      <c r="B66" s="257" t="str">
        <f t="shared" si="22"/>
        <v/>
      </c>
      <c r="C66" s="4"/>
      <c r="D66" s="4"/>
      <c r="E66" s="4"/>
      <c r="F66" s="4"/>
      <c r="G66" s="204"/>
      <c r="H66" s="258">
        <f t="shared" si="23"/>
        <v>0</v>
      </c>
      <c r="I66" s="259">
        <f t="shared" si="24"/>
        <v>0</v>
      </c>
      <c r="J66" s="260">
        <f>IF(Notes!$B$9="Domestic",H66, IF(Notes!$B$9="Commercial",I66))*$J$56</f>
        <v>0</v>
      </c>
      <c r="K66" s="261">
        <f t="shared" si="25"/>
        <v>0</v>
      </c>
      <c r="L66" s="268"/>
      <c r="M66" s="268"/>
      <c r="N66" s="268"/>
      <c r="O66" s="8"/>
      <c r="P66" s="8"/>
    </row>
    <row r="67" spans="1:20" hidden="1" outlineLevel="1" x14ac:dyDescent="0.25">
      <c r="A67" s="659" t="str">
        <f>C67&amp;D67&amp;E67</f>
        <v/>
      </c>
      <c r="B67" s="659"/>
      <c r="C67" s="659"/>
      <c r="D67" s="659"/>
      <c r="E67" s="659"/>
      <c r="F67" s="659"/>
      <c r="G67" s="659"/>
      <c r="H67" s="659"/>
      <c r="I67" s="659"/>
      <c r="J67" s="659"/>
      <c r="K67" s="659"/>
      <c r="L67" s="659"/>
      <c r="M67" s="659"/>
      <c r="N67" s="659"/>
      <c r="O67" s="659"/>
      <c r="P67" s="659"/>
    </row>
    <row r="68" spans="1:20" ht="21" hidden="1" outlineLevel="1" x14ac:dyDescent="0.35">
      <c r="A68" s="621"/>
      <c r="B68" s="621"/>
      <c r="C68" s="621"/>
      <c r="D68" s="621"/>
      <c r="E68" s="621"/>
      <c r="F68" s="621"/>
      <c r="G68" s="621"/>
      <c r="H68" s="621"/>
      <c r="I68" s="621"/>
      <c r="J68" s="621"/>
      <c r="K68" s="621"/>
      <c r="L68" s="621"/>
      <c r="M68" s="621"/>
      <c r="N68" s="621"/>
      <c r="O68" s="621"/>
      <c r="P68" s="621"/>
    </row>
    <row r="69" spans="1:20" ht="15.75" hidden="1" outlineLevel="1" x14ac:dyDescent="0.25">
      <c r="A69" s="254"/>
      <c r="B69" s="256"/>
      <c r="C69" s="254"/>
      <c r="D69" s="254"/>
      <c r="E69" s="254"/>
      <c r="F69" s="254"/>
      <c r="G69" s="254"/>
      <c r="H69" s="254"/>
      <c r="I69" s="254"/>
      <c r="J69" s="253">
        <v>1</v>
      </c>
      <c r="K69" s="253">
        <v>1</v>
      </c>
      <c r="L69" s="254"/>
      <c r="M69" s="254"/>
      <c r="N69" s="254"/>
      <c r="O69" s="254"/>
      <c r="P69" s="254"/>
      <c r="R69" s="229" t="s">
        <v>826</v>
      </c>
      <c r="S69" s="229" t="s">
        <v>827</v>
      </c>
      <c r="T69" s="229" t="s">
        <v>828</v>
      </c>
    </row>
    <row r="70" spans="1:20" hidden="1" outlineLevel="1" x14ac:dyDescent="0.25">
      <c r="A70" s="205"/>
      <c r="B70" s="257" t="str">
        <f t="shared" ref="B70:B79" si="26">C70&amp;D70&amp;E70</f>
        <v/>
      </c>
      <c r="C70" s="4"/>
      <c r="D70" s="4"/>
      <c r="E70" s="4"/>
      <c r="F70" s="4"/>
      <c r="G70" s="204"/>
      <c r="H70" s="258">
        <f>$T$3*G70</f>
        <v>0</v>
      </c>
      <c r="I70" s="259">
        <f>$U$3*G70</f>
        <v>0</v>
      </c>
      <c r="J70" s="260">
        <f>IF(Notes!$B$9="Domestic",H70, IF(Notes!$B$9="Commercial",I70))*$J$69</f>
        <v>0</v>
      </c>
      <c r="K70" s="261">
        <f>SUM(L70:N70)*$K$69</f>
        <v>0</v>
      </c>
      <c r="L70" s="238"/>
      <c r="M70" s="238"/>
      <c r="N70" s="238"/>
      <c r="O70" s="7"/>
      <c r="P70" s="8"/>
    </row>
    <row r="71" spans="1:20" hidden="1" outlineLevel="1" x14ac:dyDescent="0.25">
      <c r="A71" s="205"/>
      <c r="B71" s="257" t="str">
        <f t="shared" si="26"/>
        <v/>
      </c>
      <c r="C71" s="4"/>
      <c r="D71" s="4"/>
      <c r="E71" s="4"/>
      <c r="F71" s="4"/>
      <c r="G71" s="204"/>
      <c r="H71" s="258">
        <f t="shared" ref="H71:H79" si="27">$T$3*G71</f>
        <v>0</v>
      </c>
      <c r="I71" s="259">
        <f t="shared" ref="I71:I79" si="28">$U$3*G71</f>
        <v>0</v>
      </c>
      <c r="J71" s="260">
        <f>IF(Notes!$B$9="Domestic",H71, IF(Notes!$B$9="Commercial",I71))*$J$69</f>
        <v>0</v>
      </c>
      <c r="K71" s="261">
        <f t="shared" ref="K71:K79" si="29">SUM(L71:N71)*$K$69</f>
        <v>0</v>
      </c>
      <c r="L71" s="238"/>
      <c r="M71" s="238"/>
      <c r="N71" s="238"/>
      <c r="O71" s="7"/>
      <c r="P71" s="8"/>
    </row>
    <row r="72" spans="1:20" hidden="1" outlineLevel="1" x14ac:dyDescent="0.25">
      <c r="A72" s="205"/>
      <c r="B72" s="257" t="str">
        <f t="shared" si="26"/>
        <v/>
      </c>
      <c r="C72" s="4"/>
      <c r="D72" s="4"/>
      <c r="E72" s="4"/>
      <c r="F72" s="4"/>
      <c r="G72" s="204"/>
      <c r="H72" s="258">
        <f t="shared" si="27"/>
        <v>0</v>
      </c>
      <c r="I72" s="259">
        <f t="shared" si="28"/>
        <v>0</v>
      </c>
      <c r="J72" s="260">
        <f>IF(Notes!$B$9="Domestic",H72, IF(Notes!$B$9="Commercial",I72))*$J$69</f>
        <v>0</v>
      </c>
      <c r="K72" s="261">
        <f t="shared" si="29"/>
        <v>0</v>
      </c>
      <c r="L72" s="238"/>
      <c r="M72" s="238"/>
      <c r="N72" s="238"/>
      <c r="O72" s="7"/>
      <c r="P72" s="8"/>
    </row>
    <row r="73" spans="1:20" hidden="1" outlineLevel="1" x14ac:dyDescent="0.25">
      <c r="A73" s="205"/>
      <c r="B73" s="257" t="str">
        <f t="shared" si="26"/>
        <v/>
      </c>
      <c r="C73" s="4"/>
      <c r="D73" s="4"/>
      <c r="E73" s="4"/>
      <c r="F73" s="4"/>
      <c r="G73" s="204"/>
      <c r="H73" s="258">
        <f t="shared" si="27"/>
        <v>0</v>
      </c>
      <c r="I73" s="259">
        <f t="shared" si="28"/>
        <v>0</v>
      </c>
      <c r="J73" s="260">
        <f>IF(Notes!$B$9="Domestic",H73, IF(Notes!$B$9="Commercial",I73))*$J$69</f>
        <v>0</v>
      </c>
      <c r="K73" s="261">
        <f t="shared" si="29"/>
        <v>0</v>
      </c>
      <c r="L73" s="238"/>
      <c r="M73" s="238"/>
      <c r="N73" s="238"/>
      <c r="O73" s="7"/>
      <c r="P73" s="8"/>
    </row>
    <row r="74" spans="1:20" hidden="1" outlineLevel="1" x14ac:dyDescent="0.25">
      <c r="A74" s="205"/>
      <c r="B74" s="257" t="str">
        <f t="shared" si="26"/>
        <v/>
      </c>
      <c r="C74" s="4"/>
      <c r="D74" s="4"/>
      <c r="E74" s="4"/>
      <c r="F74" s="4"/>
      <c r="G74" s="204"/>
      <c r="H74" s="258">
        <f t="shared" si="27"/>
        <v>0</v>
      </c>
      <c r="I74" s="259">
        <f t="shared" si="28"/>
        <v>0</v>
      </c>
      <c r="J74" s="260">
        <f>IF(Notes!$B$9="Domestic",H74, IF(Notes!$B$9="Commercial",I74))*$J$69</f>
        <v>0</v>
      </c>
      <c r="K74" s="261">
        <f t="shared" si="29"/>
        <v>0</v>
      </c>
      <c r="L74" s="238"/>
      <c r="M74" s="238"/>
      <c r="N74" s="238"/>
      <c r="O74" s="7"/>
      <c r="P74" s="8"/>
    </row>
    <row r="75" spans="1:20" hidden="1" outlineLevel="1" x14ac:dyDescent="0.25">
      <c r="A75" s="205"/>
      <c r="B75" s="257" t="str">
        <f t="shared" si="26"/>
        <v/>
      </c>
      <c r="C75" s="4"/>
      <c r="D75" s="4"/>
      <c r="E75" s="4"/>
      <c r="F75" s="4"/>
      <c r="G75" s="204"/>
      <c r="H75" s="258">
        <f t="shared" si="27"/>
        <v>0</v>
      </c>
      <c r="I75" s="259">
        <f t="shared" si="28"/>
        <v>0</v>
      </c>
      <c r="J75" s="260">
        <f>IF(Notes!$B$9="Domestic",H75, IF(Notes!$B$9="Commercial",I75))*$J$69</f>
        <v>0</v>
      </c>
      <c r="K75" s="261">
        <f t="shared" si="29"/>
        <v>0</v>
      </c>
      <c r="L75" s="238"/>
      <c r="M75" s="238"/>
      <c r="N75" s="238"/>
      <c r="O75" s="7"/>
      <c r="P75" s="8"/>
    </row>
    <row r="76" spans="1:20" hidden="1" outlineLevel="1" x14ac:dyDescent="0.25">
      <c r="A76" s="205"/>
      <c r="B76" s="257" t="str">
        <f t="shared" si="26"/>
        <v/>
      </c>
      <c r="C76" s="4"/>
      <c r="D76" s="4"/>
      <c r="E76" s="4"/>
      <c r="F76" s="4"/>
      <c r="G76" s="204"/>
      <c r="H76" s="258">
        <f t="shared" si="27"/>
        <v>0</v>
      </c>
      <c r="I76" s="259">
        <f t="shared" si="28"/>
        <v>0</v>
      </c>
      <c r="J76" s="260">
        <f>IF(Notes!$B$9="Domestic",H76, IF(Notes!$B$9="Commercial",I76))*$J$69</f>
        <v>0</v>
      </c>
      <c r="K76" s="261">
        <f t="shared" si="29"/>
        <v>0</v>
      </c>
      <c r="L76" s="238"/>
      <c r="M76" s="238"/>
      <c r="N76" s="238"/>
      <c r="O76" s="8"/>
      <c r="P76" s="8"/>
    </row>
    <row r="77" spans="1:20" hidden="1" outlineLevel="1" x14ac:dyDescent="0.25">
      <c r="A77" s="205"/>
      <c r="B77" s="257" t="str">
        <f t="shared" si="26"/>
        <v/>
      </c>
      <c r="C77" s="4"/>
      <c r="D77" s="4"/>
      <c r="E77" s="4"/>
      <c r="F77" s="4"/>
      <c r="G77" s="204"/>
      <c r="H77" s="258">
        <f t="shared" si="27"/>
        <v>0</v>
      </c>
      <c r="I77" s="259">
        <f t="shared" si="28"/>
        <v>0</v>
      </c>
      <c r="J77" s="260">
        <f>IF(Notes!$B$9="Domestic",H77, IF(Notes!$B$9="Commercial",I77))*$J$69</f>
        <v>0</v>
      </c>
      <c r="K77" s="261">
        <f t="shared" si="29"/>
        <v>0</v>
      </c>
      <c r="L77" s="238"/>
      <c r="M77" s="238"/>
      <c r="N77" s="238"/>
      <c r="O77" s="8"/>
      <c r="P77" s="8"/>
    </row>
    <row r="78" spans="1:20" hidden="1" outlineLevel="1" x14ac:dyDescent="0.25">
      <c r="A78" s="205"/>
      <c r="B78" s="257" t="str">
        <f t="shared" si="26"/>
        <v/>
      </c>
      <c r="C78" s="4"/>
      <c r="D78" s="4"/>
      <c r="E78" s="4"/>
      <c r="F78" s="4"/>
      <c r="G78" s="204"/>
      <c r="H78" s="258">
        <f t="shared" si="27"/>
        <v>0</v>
      </c>
      <c r="I78" s="259">
        <f t="shared" si="28"/>
        <v>0</v>
      </c>
      <c r="J78" s="260">
        <f>IF(Notes!$B$9="Domestic",H78, IF(Notes!$B$9="Commercial",I78))*$J$69</f>
        <v>0</v>
      </c>
      <c r="K78" s="261">
        <f t="shared" si="29"/>
        <v>0</v>
      </c>
      <c r="L78" s="238"/>
      <c r="M78" s="238"/>
      <c r="N78" s="238"/>
      <c r="O78" s="8"/>
      <c r="P78" s="8"/>
    </row>
    <row r="79" spans="1:20" hidden="1" outlineLevel="1" x14ac:dyDescent="0.25">
      <c r="A79" s="205"/>
      <c r="B79" s="257" t="str">
        <f t="shared" si="26"/>
        <v/>
      </c>
      <c r="C79" s="4"/>
      <c r="D79" s="4"/>
      <c r="E79" s="4"/>
      <c r="F79" s="4"/>
      <c r="G79" s="204"/>
      <c r="H79" s="258">
        <f t="shared" si="27"/>
        <v>0</v>
      </c>
      <c r="I79" s="259">
        <f t="shared" si="28"/>
        <v>0</v>
      </c>
      <c r="J79" s="260">
        <f>IF(Notes!$B$9="Domestic",H79, IF(Notes!$B$9="Commercial",I79))*$J$69</f>
        <v>0</v>
      </c>
      <c r="K79" s="261">
        <f t="shared" si="29"/>
        <v>0</v>
      </c>
      <c r="L79" s="268"/>
      <c r="M79" s="268"/>
      <c r="N79" s="268"/>
      <c r="O79" s="8"/>
      <c r="P79" s="8"/>
    </row>
    <row r="80" spans="1:20" hidden="1" outlineLevel="1" x14ac:dyDescent="0.25">
      <c r="A80" s="659" t="str">
        <f>C80&amp;D80&amp;E80</f>
        <v/>
      </c>
      <c r="B80" s="659"/>
      <c r="C80" s="659"/>
      <c r="D80" s="659"/>
      <c r="E80" s="659"/>
      <c r="F80" s="659"/>
      <c r="G80" s="659"/>
      <c r="H80" s="659"/>
      <c r="I80" s="659"/>
      <c r="J80" s="659"/>
      <c r="K80" s="659"/>
      <c r="L80" s="659"/>
      <c r="M80" s="659"/>
      <c r="N80" s="659"/>
      <c r="O80" s="659"/>
      <c r="P80" s="659"/>
    </row>
    <row r="81" spans="1:20" ht="21" hidden="1" outlineLevel="1" x14ac:dyDescent="0.35">
      <c r="A81" s="621"/>
      <c r="B81" s="621"/>
      <c r="C81" s="621"/>
      <c r="D81" s="621"/>
      <c r="E81" s="621"/>
      <c r="F81" s="621"/>
      <c r="G81" s="621"/>
      <c r="H81" s="621"/>
      <c r="I81" s="621"/>
      <c r="J81" s="621"/>
      <c r="K81" s="621"/>
      <c r="L81" s="621"/>
      <c r="M81" s="621"/>
      <c r="N81" s="621"/>
      <c r="O81" s="621"/>
      <c r="P81" s="621"/>
    </row>
    <row r="82" spans="1:20" ht="15.75" hidden="1" outlineLevel="1" x14ac:dyDescent="0.25">
      <c r="A82" s="254"/>
      <c r="B82" s="256"/>
      <c r="C82" s="254"/>
      <c r="D82" s="254"/>
      <c r="E82" s="254"/>
      <c r="F82" s="254"/>
      <c r="G82" s="254"/>
      <c r="H82" s="254"/>
      <c r="I82" s="254"/>
      <c r="J82" s="253">
        <v>1</v>
      </c>
      <c r="K82" s="253">
        <v>1</v>
      </c>
      <c r="L82" s="254"/>
      <c r="M82" s="254"/>
      <c r="N82" s="254"/>
      <c r="O82" s="254"/>
      <c r="P82" s="254"/>
      <c r="R82" s="229" t="s">
        <v>826</v>
      </c>
      <c r="S82" s="229" t="s">
        <v>827</v>
      </c>
      <c r="T82" s="229" t="s">
        <v>828</v>
      </c>
    </row>
    <row r="83" spans="1:20" hidden="1" outlineLevel="1" x14ac:dyDescent="0.25">
      <c r="A83" s="205"/>
      <c r="B83" s="257" t="str">
        <f t="shared" ref="B83:B92" si="30">C83&amp;D83&amp;E83</f>
        <v/>
      </c>
      <c r="C83" s="4"/>
      <c r="D83" s="4"/>
      <c r="E83" s="4"/>
      <c r="F83" s="4"/>
      <c r="G83" s="204"/>
      <c r="H83" s="258">
        <f>$T$3*G83</f>
        <v>0</v>
      </c>
      <c r="I83" s="259">
        <f>$U$3*G83</f>
        <v>0</v>
      </c>
      <c r="J83" s="260">
        <f>IF(Notes!$B$9="Domestic",H83, IF(Notes!$B$9="Commercial",I83))*$J$82</f>
        <v>0</v>
      </c>
      <c r="K83" s="261">
        <f>SUM(L83:N83)*$K$82</f>
        <v>0</v>
      </c>
      <c r="L83" s="238"/>
      <c r="M83" s="238"/>
      <c r="N83" s="238"/>
      <c r="O83" s="7"/>
      <c r="P83" s="8"/>
    </row>
    <row r="84" spans="1:20" hidden="1" outlineLevel="1" x14ac:dyDescent="0.25">
      <c r="A84" s="205"/>
      <c r="B84" s="257" t="str">
        <f t="shared" si="30"/>
        <v/>
      </c>
      <c r="C84" s="4"/>
      <c r="D84" s="4"/>
      <c r="E84" s="4"/>
      <c r="F84" s="4"/>
      <c r="G84" s="204"/>
      <c r="H84" s="258">
        <f t="shared" ref="H84:H92" si="31">$T$3*G84</f>
        <v>0</v>
      </c>
      <c r="I84" s="259">
        <f t="shared" ref="I84:I92" si="32">$U$3*G84</f>
        <v>0</v>
      </c>
      <c r="J84" s="260">
        <f>IF(Notes!$B$9="Domestic",H84, IF(Notes!$B$9="Commercial",I84))*$J$82</f>
        <v>0</v>
      </c>
      <c r="K84" s="261">
        <f t="shared" ref="K84:K92" si="33">SUM(L84:N84)*$K$82</f>
        <v>0</v>
      </c>
      <c r="L84" s="238"/>
      <c r="M84" s="238"/>
      <c r="N84" s="238"/>
      <c r="O84" s="7"/>
      <c r="P84" s="8"/>
    </row>
    <row r="85" spans="1:20" hidden="1" outlineLevel="1" x14ac:dyDescent="0.25">
      <c r="A85" s="205"/>
      <c r="B85" s="257" t="str">
        <f t="shared" si="30"/>
        <v/>
      </c>
      <c r="C85" s="4"/>
      <c r="D85" s="4"/>
      <c r="E85" s="4"/>
      <c r="F85" s="4"/>
      <c r="G85" s="204"/>
      <c r="H85" s="258">
        <f t="shared" si="31"/>
        <v>0</v>
      </c>
      <c r="I85" s="259">
        <f t="shared" si="32"/>
        <v>0</v>
      </c>
      <c r="J85" s="260">
        <f>IF(Notes!$B$9="Domestic",H85, IF(Notes!$B$9="Commercial",I85))*$J$82</f>
        <v>0</v>
      </c>
      <c r="K85" s="261">
        <f t="shared" si="33"/>
        <v>0</v>
      </c>
      <c r="L85" s="238"/>
      <c r="M85" s="238"/>
      <c r="N85" s="238"/>
      <c r="O85" s="7"/>
      <c r="P85" s="8"/>
    </row>
    <row r="86" spans="1:20" hidden="1" outlineLevel="1" x14ac:dyDescent="0.25">
      <c r="A86" s="205"/>
      <c r="B86" s="257" t="str">
        <f t="shared" si="30"/>
        <v/>
      </c>
      <c r="C86" s="4"/>
      <c r="D86" s="4"/>
      <c r="E86" s="4"/>
      <c r="F86" s="4"/>
      <c r="G86" s="204"/>
      <c r="H86" s="258">
        <f t="shared" si="31"/>
        <v>0</v>
      </c>
      <c r="I86" s="259">
        <f t="shared" si="32"/>
        <v>0</v>
      </c>
      <c r="J86" s="260">
        <f>IF(Notes!$B$9="Domestic",H86, IF(Notes!$B$9="Commercial",I86))*$J$82</f>
        <v>0</v>
      </c>
      <c r="K86" s="261">
        <f t="shared" si="33"/>
        <v>0</v>
      </c>
      <c r="L86" s="238"/>
      <c r="M86" s="238"/>
      <c r="N86" s="238"/>
      <c r="O86" s="7"/>
      <c r="P86" s="8"/>
    </row>
    <row r="87" spans="1:20" hidden="1" outlineLevel="1" x14ac:dyDescent="0.25">
      <c r="A87" s="205"/>
      <c r="B87" s="257" t="str">
        <f t="shared" si="30"/>
        <v/>
      </c>
      <c r="C87" s="4"/>
      <c r="D87" s="4"/>
      <c r="E87" s="4"/>
      <c r="F87" s="4"/>
      <c r="G87" s="204"/>
      <c r="H87" s="258">
        <f t="shared" si="31"/>
        <v>0</v>
      </c>
      <c r="I87" s="259">
        <f t="shared" si="32"/>
        <v>0</v>
      </c>
      <c r="J87" s="260">
        <f>IF(Notes!$B$9="Domestic",H87, IF(Notes!$B$9="Commercial",I87))*$J$82</f>
        <v>0</v>
      </c>
      <c r="K87" s="261">
        <f t="shared" si="33"/>
        <v>0</v>
      </c>
      <c r="L87" s="238"/>
      <c r="M87" s="238"/>
      <c r="N87" s="238"/>
      <c r="O87" s="7"/>
      <c r="P87" s="8"/>
    </row>
    <row r="88" spans="1:20" hidden="1" outlineLevel="1" x14ac:dyDescent="0.25">
      <c r="A88" s="205"/>
      <c r="B88" s="257" t="str">
        <f t="shared" si="30"/>
        <v/>
      </c>
      <c r="C88" s="4"/>
      <c r="D88" s="4"/>
      <c r="E88" s="4"/>
      <c r="F88" s="4"/>
      <c r="G88" s="204"/>
      <c r="H88" s="258">
        <f t="shared" si="31"/>
        <v>0</v>
      </c>
      <c r="I88" s="259">
        <f t="shared" si="32"/>
        <v>0</v>
      </c>
      <c r="J88" s="260">
        <f>IF(Notes!$B$9="Domestic",H88, IF(Notes!$B$9="Commercial",I88))*$J$82</f>
        <v>0</v>
      </c>
      <c r="K88" s="261">
        <f t="shared" si="33"/>
        <v>0</v>
      </c>
      <c r="L88" s="238"/>
      <c r="M88" s="238"/>
      <c r="N88" s="238"/>
      <c r="O88" s="7"/>
      <c r="P88" s="8"/>
    </row>
    <row r="89" spans="1:20" hidden="1" outlineLevel="1" x14ac:dyDescent="0.25">
      <c r="A89" s="205"/>
      <c r="B89" s="257" t="str">
        <f t="shared" si="30"/>
        <v/>
      </c>
      <c r="C89" s="4"/>
      <c r="D89" s="4"/>
      <c r="E89" s="4"/>
      <c r="F89" s="4"/>
      <c r="G89" s="204"/>
      <c r="H89" s="258">
        <f t="shared" si="31"/>
        <v>0</v>
      </c>
      <c r="I89" s="259">
        <f t="shared" si="32"/>
        <v>0</v>
      </c>
      <c r="J89" s="260">
        <f>IF(Notes!$B$9="Domestic",H89, IF(Notes!$B$9="Commercial",I89))*$J$82</f>
        <v>0</v>
      </c>
      <c r="K89" s="261">
        <f t="shared" si="33"/>
        <v>0</v>
      </c>
      <c r="L89" s="238"/>
      <c r="M89" s="238"/>
      <c r="N89" s="238"/>
      <c r="O89" s="8"/>
      <c r="P89" s="8"/>
    </row>
    <row r="90" spans="1:20" hidden="1" outlineLevel="1" x14ac:dyDescent="0.25">
      <c r="A90" s="205"/>
      <c r="B90" s="257" t="str">
        <f t="shared" si="30"/>
        <v/>
      </c>
      <c r="C90" s="4"/>
      <c r="D90" s="4"/>
      <c r="E90" s="4"/>
      <c r="F90" s="4"/>
      <c r="G90" s="204"/>
      <c r="H90" s="258">
        <f t="shared" si="31"/>
        <v>0</v>
      </c>
      <c r="I90" s="259">
        <f t="shared" si="32"/>
        <v>0</v>
      </c>
      <c r="J90" s="260">
        <f>IF(Notes!$B$9="Domestic",H90, IF(Notes!$B$9="Commercial",I90))*$J$82</f>
        <v>0</v>
      </c>
      <c r="K90" s="261">
        <f t="shared" si="33"/>
        <v>0</v>
      </c>
      <c r="L90" s="238"/>
      <c r="M90" s="238"/>
      <c r="N90" s="238"/>
      <c r="O90" s="8"/>
      <c r="P90" s="8"/>
    </row>
    <row r="91" spans="1:20" hidden="1" outlineLevel="1" x14ac:dyDescent="0.25">
      <c r="A91" s="205"/>
      <c r="B91" s="257" t="str">
        <f t="shared" si="30"/>
        <v/>
      </c>
      <c r="C91" s="4"/>
      <c r="D91" s="4"/>
      <c r="E91" s="4"/>
      <c r="F91" s="4"/>
      <c r="G91" s="204"/>
      <c r="H91" s="258">
        <f t="shared" si="31"/>
        <v>0</v>
      </c>
      <c r="I91" s="259">
        <f t="shared" si="32"/>
        <v>0</v>
      </c>
      <c r="J91" s="260">
        <f>IF(Notes!$B$9="Domestic",H91, IF(Notes!$B$9="Commercial",I91))*$J$82</f>
        <v>0</v>
      </c>
      <c r="K91" s="261">
        <f t="shared" si="33"/>
        <v>0</v>
      </c>
      <c r="L91" s="238"/>
      <c r="M91" s="238"/>
      <c r="N91" s="238"/>
      <c r="O91" s="8"/>
      <c r="P91" s="8"/>
    </row>
    <row r="92" spans="1:20" hidden="1" outlineLevel="1" x14ac:dyDescent="0.25">
      <c r="A92" s="205"/>
      <c r="B92" s="257" t="str">
        <f t="shared" si="30"/>
        <v/>
      </c>
      <c r="C92" s="4"/>
      <c r="D92" s="4"/>
      <c r="E92" s="4"/>
      <c r="F92" s="4"/>
      <c r="G92" s="204"/>
      <c r="H92" s="258">
        <f t="shared" si="31"/>
        <v>0</v>
      </c>
      <c r="I92" s="259">
        <f t="shared" si="32"/>
        <v>0</v>
      </c>
      <c r="J92" s="260">
        <f>IF(Notes!$B$9="Domestic",H92, IF(Notes!$B$9="Commercial",I92))*$J$82</f>
        <v>0</v>
      </c>
      <c r="K92" s="261">
        <f t="shared" si="33"/>
        <v>0</v>
      </c>
      <c r="L92" s="268"/>
      <c r="M92" s="268"/>
      <c r="N92" s="268"/>
      <c r="O92" s="8"/>
      <c r="P92" s="8"/>
    </row>
    <row r="93" spans="1:20" hidden="1" outlineLevel="1" x14ac:dyDescent="0.25">
      <c r="A93" s="659" t="str">
        <f>C93&amp;D93&amp;E93</f>
        <v/>
      </c>
      <c r="B93" s="659"/>
      <c r="C93" s="659"/>
      <c r="D93" s="659"/>
      <c r="E93" s="659"/>
      <c r="F93" s="659"/>
      <c r="G93" s="659"/>
      <c r="H93" s="659"/>
      <c r="I93" s="659"/>
      <c r="J93" s="659"/>
      <c r="K93" s="659"/>
      <c r="L93" s="659"/>
      <c r="M93" s="659"/>
      <c r="N93" s="659"/>
      <c r="O93" s="659"/>
      <c r="P93" s="659"/>
    </row>
    <row r="94" spans="1:20" ht="21" hidden="1" outlineLevel="1" x14ac:dyDescent="0.35">
      <c r="A94" s="621"/>
      <c r="B94" s="621"/>
      <c r="C94" s="621"/>
      <c r="D94" s="621"/>
      <c r="E94" s="621"/>
      <c r="F94" s="621"/>
      <c r="G94" s="621"/>
      <c r="H94" s="621"/>
      <c r="I94" s="621"/>
      <c r="J94" s="621"/>
      <c r="K94" s="621"/>
      <c r="L94" s="621"/>
      <c r="M94" s="621"/>
      <c r="N94" s="621"/>
      <c r="O94" s="621"/>
      <c r="P94" s="621"/>
    </row>
    <row r="95" spans="1:20" ht="15.75" hidden="1" outlineLevel="1" x14ac:dyDescent="0.25">
      <c r="A95" s="254"/>
      <c r="B95" s="256"/>
      <c r="C95" s="254"/>
      <c r="D95" s="254"/>
      <c r="E95" s="254"/>
      <c r="F95" s="254"/>
      <c r="G95" s="254"/>
      <c r="H95" s="254"/>
      <c r="I95" s="254"/>
      <c r="J95" s="253">
        <v>1</v>
      </c>
      <c r="K95" s="253">
        <v>1</v>
      </c>
      <c r="L95" s="254"/>
      <c r="M95" s="254"/>
      <c r="N95" s="254"/>
      <c r="O95" s="254"/>
      <c r="P95" s="254"/>
      <c r="R95" s="229" t="s">
        <v>826</v>
      </c>
      <c r="S95" s="229" t="s">
        <v>827</v>
      </c>
      <c r="T95" s="229" t="s">
        <v>828</v>
      </c>
    </row>
    <row r="96" spans="1:20" hidden="1" outlineLevel="1" x14ac:dyDescent="0.25">
      <c r="A96" s="205"/>
      <c r="B96" s="257" t="str">
        <f t="shared" ref="B96:B105" si="34">C96&amp;D96&amp;E96</f>
        <v/>
      </c>
      <c r="C96" s="4"/>
      <c r="D96" s="4"/>
      <c r="E96" s="4"/>
      <c r="F96" s="4"/>
      <c r="G96" s="204"/>
      <c r="H96" s="258">
        <f>$T$3*G96</f>
        <v>0</v>
      </c>
      <c r="I96" s="259">
        <f>$U$3*G96</f>
        <v>0</v>
      </c>
      <c r="J96" s="260">
        <f>IF(Notes!$B$9="Domestic",H96, IF(Notes!$B$9="Commercial",I96))*$J$95</f>
        <v>0</v>
      </c>
      <c r="K96" s="261">
        <f>SUM(L96:N96)*$K$95</f>
        <v>0</v>
      </c>
      <c r="L96" s="238"/>
      <c r="M96" s="238"/>
      <c r="N96" s="238"/>
      <c r="O96" s="7"/>
      <c r="P96" s="8"/>
    </row>
    <row r="97" spans="1:20" hidden="1" outlineLevel="1" x14ac:dyDescent="0.25">
      <c r="A97" s="205"/>
      <c r="B97" s="257" t="str">
        <f t="shared" si="34"/>
        <v/>
      </c>
      <c r="C97" s="4"/>
      <c r="D97" s="4"/>
      <c r="E97" s="4"/>
      <c r="F97" s="4"/>
      <c r="G97" s="204"/>
      <c r="H97" s="258">
        <f t="shared" ref="H97:H105" si="35">$T$3*G97</f>
        <v>0</v>
      </c>
      <c r="I97" s="259">
        <f t="shared" ref="I97:I105" si="36">$U$3*G97</f>
        <v>0</v>
      </c>
      <c r="J97" s="260">
        <f>IF(Notes!$B$9="Domestic",H97, IF(Notes!$B$9="Commercial",I97))*$J$95</f>
        <v>0</v>
      </c>
      <c r="K97" s="261">
        <f t="shared" ref="K97:K105" si="37">SUM(L97:N97)*$K$95</f>
        <v>0</v>
      </c>
      <c r="L97" s="238"/>
      <c r="M97" s="238"/>
      <c r="N97" s="238"/>
      <c r="O97" s="7"/>
      <c r="P97" s="8"/>
    </row>
    <row r="98" spans="1:20" hidden="1" outlineLevel="1" x14ac:dyDescent="0.25">
      <c r="A98" s="205"/>
      <c r="B98" s="257" t="str">
        <f t="shared" si="34"/>
        <v/>
      </c>
      <c r="C98" s="4"/>
      <c r="D98" s="4"/>
      <c r="E98" s="4"/>
      <c r="F98" s="4"/>
      <c r="G98" s="204"/>
      <c r="H98" s="258">
        <f t="shared" si="35"/>
        <v>0</v>
      </c>
      <c r="I98" s="259">
        <f t="shared" si="36"/>
        <v>0</v>
      </c>
      <c r="J98" s="260">
        <f>IF(Notes!$B$9="Domestic",H98, IF(Notes!$B$9="Commercial",I98))*$J$95</f>
        <v>0</v>
      </c>
      <c r="K98" s="261">
        <f t="shared" si="37"/>
        <v>0</v>
      </c>
      <c r="L98" s="238"/>
      <c r="M98" s="238"/>
      <c r="N98" s="238"/>
      <c r="O98" s="7"/>
      <c r="P98" s="8"/>
    </row>
    <row r="99" spans="1:20" hidden="1" outlineLevel="1" x14ac:dyDescent="0.25">
      <c r="A99" s="205"/>
      <c r="B99" s="257" t="str">
        <f t="shared" si="34"/>
        <v/>
      </c>
      <c r="C99" s="4"/>
      <c r="D99" s="4"/>
      <c r="E99" s="4"/>
      <c r="F99" s="4"/>
      <c r="G99" s="204"/>
      <c r="H99" s="258">
        <f t="shared" si="35"/>
        <v>0</v>
      </c>
      <c r="I99" s="259">
        <f t="shared" si="36"/>
        <v>0</v>
      </c>
      <c r="J99" s="260">
        <f>IF(Notes!$B$9="Domestic",H99, IF(Notes!$B$9="Commercial",I99))*$J$95</f>
        <v>0</v>
      </c>
      <c r="K99" s="261">
        <f t="shared" si="37"/>
        <v>0</v>
      </c>
      <c r="L99" s="238"/>
      <c r="M99" s="238"/>
      <c r="N99" s="238"/>
      <c r="O99" s="7"/>
      <c r="P99" s="8"/>
    </row>
    <row r="100" spans="1:20" hidden="1" outlineLevel="1" x14ac:dyDescent="0.25">
      <c r="A100" s="205"/>
      <c r="B100" s="257" t="str">
        <f t="shared" si="34"/>
        <v/>
      </c>
      <c r="C100" s="4"/>
      <c r="D100" s="4"/>
      <c r="E100" s="4"/>
      <c r="F100" s="4"/>
      <c r="G100" s="204"/>
      <c r="H100" s="258">
        <f t="shared" si="35"/>
        <v>0</v>
      </c>
      <c r="I100" s="259">
        <f t="shared" si="36"/>
        <v>0</v>
      </c>
      <c r="J100" s="260">
        <f>IF(Notes!$B$9="Domestic",H100, IF(Notes!$B$9="Commercial",I100))*$J$95</f>
        <v>0</v>
      </c>
      <c r="K100" s="261">
        <f t="shared" si="37"/>
        <v>0</v>
      </c>
      <c r="L100" s="238"/>
      <c r="M100" s="238"/>
      <c r="N100" s="238"/>
      <c r="O100" s="7"/>
      <c r="P100" s="8"/>
    </row>
    <row r="101" spans="1:20" hidden="1" outlineLevel="1" x14ac:dyDescent="0.25">
      <c r="A101" s="205"/>
      <c r="B101" s="257" t="str">
        <f t="shared" si="34"/>
        <v/>
      </c>
      <c r="C101" s="4"/>
      <c r="D101" s="4"/>
      <c r="E101" s="4"/>
      <c r="F101" s="4"/>
      <c r="G101" s="204"/>
      <c r="H101" s="258">
        <f t="shared" si="35"/>
        <v>0</v>
      </c>
      <c r="I101" s="259">
        <f t="shared" si="36"/>
        <v>0</v>
      </c>
      <c r="J101" s="260">
        <f>IF(Notes!$B$9="Domestic",H101, IF(Notes!$B$9="Commercial",I101))*$J$95</f>
        <v>0</v>
      </c>
      <c r="K101" s="261">
        <f t="shared" si="37"/>
        <v>0</v>
      </c>
      <c r="L101" s="238"/>
      <c r="M101" s="238"/>
      <c r="N101" s="238"/>
      <c r="O101" s="7"/>
      <c r="P101" s="8"/>
    </row>
    <row r="102" spans="1:20" hidden="1" outlineLevel="1" x14ac:dyDescent="0.25">
      <c r="A102" s="205"/>
      <c r="B102" s="257" t="str">
        <f t="shared" si="34"/>
        <v/>
      </c>
      <c r="C102" s="4"/>
      <c r="D102" s="4"/>
      <c r="E102" s="4"/>
      <c r="F102" s="4"/>
      <c r="G102" s="204"/>
      <c r="H102" s="258">
        <f t="shared" si="35"/>
        <v>0</v>
      </c>
      <c r="I102" s="259">
        <f t="shared" si="36"/>
        <v>0</v>
      </c>
      <c r="J102" s="260">
        <f>IF(Notes!$B$9="Domestic",H102, IF(Notes!$B$9="Commercial",I102))*$J$95</f>
        <v>0</v>
      </c>
      <c r="K102" s="261">
        <f t="shared" si="37"/>
        <v>0</v>
      </c>
      <c r="L102" s="238"/>
      <c r="M102" s="238"/>
      <c r="N102" s="238"/>
      <c r="O102" s="8"/>
      <c r="P102" s="8"/>
    </row>
    <row r="103" spans="1:20" hidden="1" outlineLevel="1" x14ac:dyDescent="0.25">
      <c r="A103" s="205"/>
      <c r="B103" s="257" t="str">
        <f t="shared" si="34"/>
        <v/>
      </c>
      <c r="C103" s="4"/>
      <c r="D103" s="4"/>
      <c r="E103" s="4"/>
      <c r="F103" s="4"/>
      <c r="G103" s="204"/>
      <c r="H103" s="258">
        <f t="shared" si="35"/>
        <v>0</v>
      </c>
      <c r="I103" s="259">
        <f t="shared" si="36"/>
        <v>0</v>
      </c>
      <c r="J103" s="260">
        <f>IF(Notes!$B$9="Domestic",H103, IF(Notes!$B$9="Commercial",I103))*$J$95</f>
        <v>0</v>
      </c>
      <c r="K103" s="261">
        <f t="shared" si="37"/>
        <v>0</v>
      </c>
      <c r="L103" s="238"/>
      <c r="M103" s="238"/>
      <c r="N103" s="238"/>
      <c r="O103" s="8"/>
      <c r="P103" s="8"/>
    </row>
    <row r="104" spans="1:20" hidden="1" outlineLevel="1" x14ac:dyDescent="0.25">
      <c r="A104" s="205"/>
      <c r="B104" s="257" t="str">
        <f t="shared" si="34"/>
        <v/>
      </c>
      <c r="C104" s="4"/>
      <c r="D104" s="4"/>
      <c r="E104" s="4"/>
      <c r="F104" s="4"/>
      <c r="G104" s="204"/>
      <c r="H104" s="258">
        <f t="shared" si="35"/>
        <v>0</v>
      </c>
      <c r="I104" s="259">
        <f t="shared" si="36"/>
        <v>0</v>
      </c>
      <c r="J104" s="260">
        <f>IF(Notes!$B$9="Domestic",H104, IF(Notes!$B$9="Commercial",I104))*$J$95</f>
        <v>0</v>
      </c>
      <c r="K104" s="261">
        <f t="shared" si="37"/>
        <v>0</v>
      </c>
      <c r="L104" s="238"/>
      <c r="M104" s="238"/>
      <c r="N104" s="238"/>
      <c r="O104" s="8"/>
      <c r="P104" s="8"/>
    </row>
    <row r="105" spans="1:20" hidden="1" outlineLevel="1" x14ac:dyDescent="0.25">
      <c r="A105" s="205"/>
      <c r="B105" s="257" t="str">
        <f t="shared" si="34"/>
        <v/>
      </c>
      <c r="C105" s="4"/>
      <c r="D105" s="4"/>
      <c r="E105" s="4"/>
      <c r="F105" s="4"/>
      <c r="G105" s="204"/>
      <c r="H105" s="258">
        <f t="shared" si="35"/>
        <v>0</v>
      </c>
      <c r="I105" s="259">
        <f t="shared" si="36"/>
        <v>0</v>
      </c>
      <c r="J105" s="260">
        <f>IF(Notes!$B$9="Domestic",H105, IF(Notes!$B$9="Commercial",I105))*$J$95</f>
        <v>0</v>
      </c>
      <c r="K105" s="261">
        <f t="shared" si="37"/>
        <v>0</v>
      </c>
      <c r="L105" s="268"/>
      <c r="M105" s="268"/>
      <c r="N105" s="268"/>
      <c r="O105" s="8"/>
      <c r="P105" s="8"/>
    </row>
    <row r="106" spans="1:20" hidden="1" outlineLevel="1" x14ac:dyDescent="0.25">
      <c r="A106" s="659" t="str">
        <f>C106&amp;D106&amp;E106</f>
        <v/>
      </c>
      <c r="B106" s="659"/>
      <c r="C106" s="659"/>
      <c r="D106" s="659"/>
      <c r="E106" s="659"/>
      <c r="F106" s="659"/>
      <c r="G106" s="659"/>
      <c r="H106" s="659"/>
      <c r="I106" s="659"/>
      <c r="J106" s="659"/>
      <c r="K106" s="659"/>
      <c r="L106" s="659"/>
      <c r="M106" s="659"/>
      <c r="N106" s="659"/>
      <c r="O106" s="659"/>
      <c r="P106" s="659"/>
    </row>
    <row r="107" spans="1:20" ht="21" hidden="1" outlineLevel="1" x14ac:dyDescent="0.35">
      <c r="A107" s="621"/>
      <c r="B107" s="621"/>
      <c r="C107" s="621"/>
      <c r="D107" s="621"/>
      <c r="E107" s="621"/>
      <c r="F107" s="621"/>
      <c r="G107" s="621"/>
      <c r="H107" s="621"/>
      <c r="I107" s="621"/>
      <c r="J107" s="621"/>
      <c r="K107" s="621"/>
      <c r="L107" s="621"/>
      <c r="M107" s="621"/>
      <c r="N107" s="621"/>
      <c r="O107" s="621"/>
      <c r="P107" s="621"/>
    </row>
    <row r="108" spans="1:20" ht="15.75" hidden="1" outlineLevel="1" x14ac:dyDescent="0.25">
      <c r="A108" s="254"/>
      <c r="B108" s="256"/>
      <c r="C108" s="254"/>
      <c r="D108" s="254"/>
      <c r="E108" s="254"/>
      <c r="F108" s="254"/>
      <c r="G108" s="254"/>
      <c r="H108" s="254"/>
      <c r="I108" s="254"/>
      <c r="J108" s="253">
        <v>1</v>
      </c>
      <c r="K108" s="253">
        <v>1</v>
      </c>
      <c r="L108" s="254"/>
      <c r="M108" s="254"/>
      <c r="N108" s="254"/>
      <c r="O108" s="254"/>
      <c r="P108" s="254"/>
      <c r="R108" s="229" t="s">
        <v>826</v>
      </c>
      <c r="S108" s="229" t="s">
        <v>827</v>
      </c>
      <c r="T108" s="229" t="s">
        <v>828</v>
      </c>
    </row>
    <row r="109" spans="1:20" hidden="1" outlineLevel="1" x14ac:dyDescent="0.25">
      <c r="A109" s="205"/>
      <c r="B109" s="257" t="str">
        <f t="shared" ref="B109:B118" si="38">C109&amp;D109&amp;E109</f>
        <v/>
      </c>
      <c r="C109" s="4"/>
      <c r="D109" s="4"/>
      <c r="E109" s="4"/>
      <c r="F109" s="4"/>
      <c r="G109" s="204"/>
      <c r="H109" s="258">
        <f>$T$3*G109</f>
        <v>0</v>
      </c>
      <c r="I109" s="259">
        <f>$U$3*G109</f>
        <v>0</v>
      </c>
      <c r="J109" s="260">
        <f>IF(Notes!$B$9="Domestic",H109, IF(Notes!$B$9="Commercial",I109))*$J$108</f>
        <v>0</v>
      </c>
      <c r="K109" s="261">
        <f>SUM(L109:N109)*$K$108</f>
        <v>0</v>
      </c>
      <c r="L109" s="238"/>
      <c r="M109" s="238"/>
      <c r="N109" s="238"/>
      <c r="O109" s="7"/>
      <c r="P109" s="8"/>
    </row>
    <row r="110" spans="1:20" hidden="1" outlineLevel="1" x14ac:dyDescent="0.25">
      <c r="A110" s="205"/>
      <c r="B110" s="257" t="str">
        <f t="shared" si="38"/>
        <v/>
      </c>
      <c r="C110" s="4"/>
      <c r="D110" s="4"/>
      <c r="E110" s="4"/>
      <c r="F110" s="4"/>
      <c r="G110" s="204"/>
      <c r="H110" s="258">
        <f t="shared" ref="H110:H118" si="39">$T$3*G110</f>
        <v>0</v>
      </c>
      <c r="I110" s="259">
        <f t="shared" ref="I110:I118" si="40">$U$3*G110</f>
        <v>0</v>
      </c>
      <c r="J110" s="260">
        <f>IF(Notes!$B$9="Domestic",H110, IF(Notes!$B$9="Commercial",I110))*$J$108</f>
        <v>0</v>
      </c>
      <c r="K110" s="261">
        <f t="shared" ref="K110:K118" si="41">SUM(L110:N110)*$K$108</f>
        <v>0</v>
      </c>
      <c r="L110" s="238"/>
      <c r="M110" s="238"/>
      <c r="N110" s="238"/>
      <c r="O110" s="7"/>
      <c r="P110" s="8"/>
    </row>
    <row r="111" spans="1:20" hidden="1" outlineLevel="1" x14ac:dyDescent="0.25">
      <c r="A111" s="205"/>
      <c r="B111" s="257" t="str">
        <f t="shared" si="38"/>
        <v/>
      </c>
      <c r="C111" s="4"/>
      <c r="D111" s="4"/>
      <c r="E111" s="4"/>
      <c r="F111" s="4"/>
      <c r="G111" s="204"/>
      <c r="H111" s="258">
        <f t="shared" si="39"/>
        <v>0</v>
      </c>
      <c r="I111" s="259">
        <f t="shared" si="40"/>
        <v>0</v>
      </c>
      <c r="J111" s="260">
        <f>IF(Notes!$B$9="Domestic",H111, IF(Notes!$B$9="Commercial",I111))*$J$108</f>
        <v>0</v>
      </c>
      <c r="K111" s="261">
        <f t="shared" si="41"/>
        <v>0</v>
      </c>
      <c r="L111" s="238"/>
      <c r="M111" s="238"/>
      <c r="N111" s="238"/>
      <c r="O111" s="7"/>
      <c r="P111" s="8"/>
    </row>
    <row r="112" spans="1:20" hidden="1" outlineLevel="1" x14ac:dyDescent="0.25">
      <c r="A112" s="205"/>
      <c r="B112" s="257" t="str">
        <f t="shared" si="38"/>
        <v/>
      </c>
      <c r="C112" s="4"/>
      <c r="D112" s="4"/>
      <c r="E112" s="4"/>
      <c r="F112" s="4"/>
      <c r="G112" s="204"/>
      <c r="H112" s="258">
        <f t="shared" si="39"/>
        <v>0</v>
      </c>
      <c r="I112" s="259">
        <f t="shared" si="40"/>
        <v>0</v>
      </c>
      <c r="J112" s="260">
        <f>IF(Notes!$B$9="Domestic",H112, IF(Notes!$B$9="Commercial",I112))*$J$108</f>
        <v>0</v>
      </c>
      <c r="K112" s="261">
        <f t="shared" si="41"/>
        <v>0</v>
      </c>
      <c r="L112" s="238"/>
      <c r="M112" s="238"/>
      <c r="N112" s="238"/>
      <c r="O112" s="7"/>
      <c r="P112" s="8"/>
    </row>
    <row r="113" spans="1:20" hidden="1" outlineLevel="1" x14ac:dyDescent="0.25">
      <c r="A113" s="205"/>
      <c r="B113" s="257" t="str">
        <f t="shared" si="38"/>
        <v/>
      </c>
      <c r="C113" s="4"/>
      <c r="D113" s="4"/>
      <c r="E113" s="4"/>
      <c r="F113" s="4"/>
      <c r="G113" s="204"/>
      <c r="H113" s="258">
        <f t="shared" si="39"/>
        <v>0</v>
      </c>
      <c r="I113" s="259">
        <f t="shared" si="40"/>
        <v>0</v>
      </c>
      <c r="J113" s="260">
        <f>IF(Notes!$B$9="Domestic",H113, IF(Notes!$B$9="Commercial",I113))*$J$108</f>
        <v>0</v>
      </c>
      <c r="K113" s="261">
        <f t="shared" si="41"/>
        <v>0</v>
      </c>
      <c r="L113" s="238"/>
      <c r="M113" s="238"/>
      <c r="N113" s="238"/>
      <c r="O113" s="7"/>
      <c r="P113" s="8"/>
    </row>
    <row r="114" spans="1:20" hidden="1" outlineLevel="1" x14ac:dyDescent="0.25">
      <c r="A114" s="205"/>
      <c r="B114" s="257" t="str">
        <f t="shared" si="38"/>
        <v/>
      </c>
      <c r="C114" s="4"/>
      <c r="D114" s="4"/>
      <c r="E114" s="4"/>
      <c r="F114" s="4"/>
      <c r="G114" s="204"/>
      <c r="H114" s="258">
        <f t="shared" si="39"/>
        <v>0</v>
      </c>
      <c r="I114" s="259">
        <f t="shared" si="40"/>
        <v>0</v>
      </c>
      <c r="J114" s="260">
        <f>IF(Notes!$B$9="Domestic",H114, IF(Notes!$B$9="Commercial",I114))*$J$108</f>
        <v>0</v>
      </c>
      <c r="K114" s="261">
        <f t="shared" si="41"/>
        <v>0</v>
      </c>
      <c r="L114" s="238"/>
      <c r="M114" s="238"/>
      <c r="N114" s="238"/>
      <c r="O114" s="7"/>
      <c r="P114" s="8"/>
    </row>
    <row r="115" spans="1:20" hidden="1" outlineLevel="1" x14ac:dyDescent="0.25">
      <c r="A115" s="205"/>
      <c r="B115" s="257" t="str">
        <f t="shared" si="38"/>
        <v/>
      </c>
      <c r="C115" s="4"/>
      <c r="D115" s="4"/>
      <c r="E115" s="4"/>
      <c r="F115" s="4"/>
      <c r="G115" s="204"/>
      <c r="H115" s="258">
        <f t="shared" si="39"/>
        <v>0</v>
      </c>
      <c r="I115" s="259">
        <f t="shared" si="40"/>
        <v>0</v>
      </c>
      <c r="J115" s="260">
        <f>IF(Notes!$B$9="Domestic",H115, IF(Notes!$B$9="Commercial",I115))*$J$108</f>
        <v>0</v>
      </c>
      <c r="K115" s="261">
        <f t="shared" si="41"/>
        <v>0</v>
      </c>
      <c r="L115" s="238"/>
      <c r="M115" s="238"/>
      <c r="N115" s="238"/>
      <c r="O115" s="8"/>
      <c r="P115" s="8"/>
    </row>
    <row r="116" spans="1:20" hidden="1" outlineLevel="1" x14ac:dyDescent="0.25">
      <c r="A116" s="205"/>
      <c r="B116" s="257" t="str">
        <f t="shared" si="38"/>
        <v/>
      </c>
      <c r="C116" s="4"/>
      <c r="D116" s="4"/>
      <c r="E116" s="4"/>
      <c r="F116" s="4"/>
      <c r="G116" s="204"/>
      <c r="H116" s="258">
        <f t="shared" si="39"/>
        <v>0</v>
      </c>
      <c r="I116" s="259">
        <f t="shared" si="40"/>
        <v>0</v>
      </c>
      <c r="J116" s="260">
        <f>IF(Notes!$B$9="Domestic",H116, IF(Notes!$B$9="Commercial",I116))*$J$108</f>
        <v>0</v>
      </c>
      <c r="K116" s="261">
        <f t="shared" si="41"/>
        <v>0</v>
      </c>
      <c r="L116" s="238"/>
      <c r="M116" s="238"/>
      <c r="N116" s="238"/>
      <c r="O116" s="8"/>
      <c r="P116" s="8"/>
    </row>
    <row r="117" spans="1:20" hidden="1" outlineLevel="1" x14ac:dyDescent="0.25">
      <c r="A117" s="205"/>
      <c r="B117" s="257" t="str">
        <f t="shared" si="38"/>
        <v/>
      </c>
      <c r="C117" s="4"/>
      <c r="D117" s="4"/>
      <c r="E117" s="4"/>
      <c r="F117" s="4"/>
      <c r="G117" s="204"/>
      <c r="H117" s="258">
        <f t="shared" si="39"/>
        <v>0</v>
      </c>
      <c r="I117" s="259">
        <f t="shared" si="40"/>
        <v>0</v>
      </c>
      <c r="J117" s="260">
        <f>IF(Notes!$B$9="Domestic",H117, IF(Notes!$B$9="Commercial",I117))*$J$108</f>
        <v>0</v>
      </c>
      <c r="K117" s="261">
        <f t="shared" si="41"/>
        <v>0</v>
      </c>
      <c r="L117" s="238"/>
      <c r="M117" s="238"/>
      <c r="N117" s="238"/>
      <c r="O117" s="8"/>
      <c r="P117" s="8"/>
    </row>
    <row r="118" spans="1:20" hidden="1" outlineLevel="1" x14ac:dyDescent="0.25">
      <c r="A118" s="205"/>
      <c r="B118" s="257" t="str">
        <f t="shared" si="38"/>
        <v/>
      </c>
      <c r="C118" s="4"/>
      <c r="D118" s="4"/>
      <c r="E118" s="4"/>
      <c r="F118" s="4"/>
      <c r="G118" s="204"/>
      <c r="H118" s="258">
        <f t="shared" si="39"/>
        <v>0</v>
      </c>
      <c r="I118" s="259">
        <f t="shared" si="40"/>
        <v>0</v>
      </c>
      <c r="J118" s="260">
        <f>IF(Notes!$B$9="Domestic",H118, IF(Notes!$B$9="Commercial",I118))*$J$108</f>
        <v>0</v>
      </c>
      <c r="K118" s="261">
        <f t="shared" si="41"/>
        <v>0</v>
      </c>
      <c r="L118" s="268"/>
      <c r="M118" s="268"/>
      <c r="N118" s="268"/>
      <c r="O118" s="8"/>
      <c r="P118" s="8"/>
    </row>
    <row r="119" spans="1:20" hidden="1" outlineLevel="1" x14ac:dyDescent="0.25">
      <c r="A119" s="659" t="str">
        <f>C119&amp;D119&amp;E119</f>
        <v/>
      </c>
      <c r="B119" s="659"/>
      <c r="C119" s="659"/>
      <c r="D119" s="659"/>
      <c r="E119" s="659"/>
      <c r="F119" s="659"/>
      <c r="G119" s="659"/>
      <c r="H119" s="659"/>
      <c r="I119" s="659"/>
      <c r="J119" s="659"/>
      <c r="K119" s="659"/>
      <c r="L119" s="659"/>
      <c r="M119" s="659"/>
      <c r="N119" s="659"/>
      <c r="O119" s="659"/>
      <c r="P119" s="659"/>
    </row>
    <row r="120" spans="1:20" ht="21" hidden="1" outlineLevel="1" x14ac:dyDescent="0.35">
      <c r="A120" s="621"/>
      <c r="B120" s="621"/>
      <c r="C120" s="621"/>
      <c r="D120" s="621"/>
      <c r="E120" s="621"/>
      <c r="F120" s="621"/>
      <c r="G120" s="621"/>
      <c r="H120" s="621"/>
      <c r="I120" s="621"/>
      <c r="J120" s="621"/>
      <c r="K120" s="621"/>
      <c r="L120" s="621"/>
      <c r="M120" s="621"/>
      <c r="N120" s="621"/>
      <c r="O120" s="621"/>
      <c r="P120" s="621"/>
    </row>
    <row r="121" spans="1:20" ht="15.75" hidden="1" outlineLevel="1" x14ac:dyDescent="0.25">
      <c r="A121" s="254"/>
      <c r="B121" s="256"/>
      <c r="C121" s="254"/>
      <c r="D121" s="254"/>
      <c r="E121" s="254"/>
      <c r="F121" s="254"/>
      <c r="G121" s="254"/>
      <c r="H121" s="254"/>
      <c r="I121" s="254"/>
      <c r="J121" s="253">
        <v>1</v>
      </c>
      <c r="K121" s="253">
        <v>1</v>
      </c>
      <c r="L121" s="254"/>
      <c r="M121" s="254"/>
      <c r="N121" s="254"/>
      <c r="O121" s="254"/>
      <c r="P121" s="254"/>
      <c r="R121" s="229" t="s">
        <v>826</v>
      </c>
      <c r="S121" s="229" t="s">
        <v>827</v>
      </c>
      <c r="T121" s="229" t="s">
        <v>828</v>
      </c>
    </row>
    <row r="122" spans="1:20" hidden="1" outlineLevel="1" x14ac:dyDescent="0.25">
      <c r="A122" s="205"/>
      <c r="B122" s="257" t="str">
        <f t="shared" ref="B122:B131" si="42">C122&amp;D122&amp;E122</f>
        <v/>
      </c>
      <c r="C122" s="4"/>
      <c r="D122" s="4"/>
      <c r="E122" s="4"/>
      <c r="F122" s="4"/>
      <c r="G122" s="204"/>
      <c r="H122" s="258">
        <f>$T$3*G122</f>
        <v>0</v>
      </c>
      <c r="I122" s="259">
        <f>$U$3*G122</f>
        <v>0</v>
      </c>
      <c r="J122" s="260">
        <f>IF(Notes!$B$9="Domestic",H122, IF(Notes!$B$9="Commercial",I122))*$J$121</f>
        <v>0</v>
      </c>
      <c r="K122" s="261">
        <f>SUM(L122:N122)*$K$121</f>
        <v>0</v>
      </c>
      <c r="L122" s="238"/>
      <c r="M122" s="238"/>
      <c r="N122" s="238"/>
      <c r="O122" s="7"/>
      <c r="P122" s="8"/>
    </row>
    <row r="123" spans="1:20" hidden="1" outlineLevel="1" x14ac:dyDescent="0.25">
      <c r="A123" s="205"/>
      <c r="B123" s="257" t="str">
        <f t="shared" si="42"/>
        <v/>
      </c>
      <c r="C123" s="4"/>
      <c r="D123" s="4"/>
      <c r="E123" s="4"/>
      <c r="F123" s="4"/>
      <c r="G123" s="204"/>
      <c r="H123" s="258">
        <f t="shared" ref="H123:H131" si="43">$T$3*G123</f>
        <v>0</v>
      </c>
      <c r="I123" s="259">
        <f t="shared" ref="I123:I131" si="44">$U$3*G123</f>
        <v>0</v>
      </c>
      <c r="J123" s="260">
        <f>IF(Notes!$B$9="Domestic",H123, IF(Notes!$B$9="Commercial",I123))*$J$121</f>
        <v>0</v>
      </c>
      <c r="K123" s="261">
        <f t="shared" ref="K123:K131" si="45">SUM(L123:N123)*$K$121</f>
        <v>0</v>
      </c>
      <c r="L123" s="238"/>
      <c r="M123" s="238"/>
      <c r="N123" s="238"/>
      <c r="O123" s="7"/>
      <c r="P123" s="8"/>
    </row>
    <row r="124" spans="1:20" hidden="1" outlineLevel="1" x14ac:dyDescent="0.25">
      <c r="A124" s="205"/>
      <c r="B124" s="257" t="str">
        <f t="shared" si="42"/>
        <v/>
      </c>
      <c r="C124" s="4"/>
      <c r="D124" s="4"/>
      <c r="E124" s="4"/>
      <c r="F124" s="4"/>
      <c r="G124" s="204"/>
      <c r="H124" s="258">
        <f t="shared" si="43"/>
        <v>0</v>
      </c>
      <c r="I124" s="259">
        <f t="shared" si="44"/>
        <v>0</v>
      </c>
      <c r="J124" s="260">
        <f>IF(Notes!$B$9="Domestic",H124, IF(Notes!$B$9="Commercial",I124))*$J$121</f>
        <v>0</v>
      </c>
      <c r="K124" s="261">
        <f t="shared" si="45"/>
        <v>0</v>
      </c>
      <c r="L124" s="238"/>
      <c r="M124" s="238"/>
      <c r="N124" s="238"/>
      <c r="O124" s="7"/>
      <c r="P124" s="8"/>
    </row>
    <row r="125" spans="1:20" hidden="1" outlineLevel="1" x14ac:dyDescent="0.25">
      <c r="A125" s="205"/>
      <c r="B125" s="257" t="str">
        <f t="shared" si="42"/>
        <v/>
      </c>
      <c r="C125" s="4"/>
      <c r="D125" s="4"/>
      <c r="E125" s="4"/>
      <c r="F125" s="4"/>
      <c r="G125" s="204"/>
      <c r="H125" s="258">
        <f t="shared" si="43"/>
        <v>0</v>
      </c>
      <c r="I125" s="259">
        <f t="shared" si="44"/>
        <v>0</v>
      </c>
      <c r="J125" s="260">
        <f>IF(Notes!$B$9="Domestic",H125, IF(Notes!$B$9="Commercial",I125))*$J$121</f>
        <v>0</v>
      </c>
      <c r="K125" s="261">
        <f t="shared" si="45"/>
        <v>0</v>
      </c>
      <c r="L125" s="238"/>
      <c r="M125" s="238"/>
      <c r="N125" s="238"/>
      <c r="O125" s="7"/>
      <c r="P125" s="8"/>
    </row>
    <row r="126" spans="1:20" hidden="1" outlineLevel="1" x14ac:dyDescent="0.25">
      <c r="A126" s="205"/>
      <c r="B126" s="257" t="str">
        <f t="shared" si="42"/>
        <v/>
      </c>
      <c r="C126" s="4"/>
      <c r="D126" s="4"/>
      <c r="E126" s="4"/>
      <c r="F126" s="4"/>
      <c r="G126" s="204"/>
      <c r="H126" s="258">
        <f t="shared" si="43"/>
        <v>0</v>
      </c>
      <c r="I126" s="259">
        <f t="shared" si="44"/>
        <v>0</v>
      </c>
      <c r="J126" s="260">
        <f>IF(Notes!$B$9="Domestic",H126, IF(Notes!$B$9="Commercial",I126))*$J$121</f>
        <v>0</v>
      </c>
      <c r="K126" s="261">
        <f t="shared" si="45"/>
        <v>0</v>
      </c>
      <c r="L126" s="238"/>
      <c r="M126" s="238"/>
      <c r="N126" s="238"/>
      <c r="O126" s="7"/>
      <c r="P126" s="8"/>
    </row>
    <row r="127" spans="1:20" hidden="1" outlineLevel="1" x14ac:dyDescent="0.25">
      <c r="A127" s="205"/>
      <c r="B127" s="257" t="str">
        <f t="shared" si="42"/>
        <v/>
      </c>
      <c r="C127" s="4"/>
      <c r="D127" s="4"/>
      <c r="E127" s="4"/>
      <c r="F127" s="4"/>
      <c r="G127" s="204"/>
      <c r="H127" s="258">
        <f t="shared" si="43"/>
        <v>0</v>
      </c>
      <c r="I127" s="259">
        <f t="shared" si="44"/>
        <v>0</v>
      </c>
      <c r="J127" s="260">
        <f>IF(Notes!$B$9="Domestic",H127, IF(Notes!$B$9="Commercial",I127))*$J$121</f>
        <v>0</v>
      </c>
      <c r="K127" s="261">
        <f t="shared" si="45"/>
        <v>0</v>
      </c>
      <c r="L127" s="238"/>
      <c r="M127" s="238"/>
      <c r="N127" s="238"/>
      <c r="O127" s="7"/>
      <c r="P127" s="8"/>
    </row>
    <row r="128" spans="1:20" hidden="1" outlineLevel="1" x14ac:dyDescent="0.25">
      <c r="A128" s="205"/>
      <c r="B128" s="257" t="str">
        <f t="shared" si="42"/>
        <v/>
      </c>
      <c r="C128" s="4"/>
      <c r="D128" s="4"/>
      <c r="E128" s="4"/>
      <c r="F128" s="4"/>
      <c r="G128" s="204"/>
      <c r="H128" s="258">
        <f t="shared" si="43"/>
        <v>0</v>
      </c>
      <c r="I128" s="259">
        <f t="shared" si="44"/>
        <v>0</v>
      </c>
      <c r="J128" s="260">
        <f>IF(Notes!$B$9="Domestic",H128, IF(Notes!$B$9="Commercial",I128))*$J$121</f>
        <v>0</v>
      </c>
      <c r="K128" s="261">
        <f t="shared" si="45"/>
        <v>0</v>
      </c>
      <c r="L128" s="238"/>
      <c r="M128" s="238"/>
      <c r="N128" s="238"/>
      <c r="O128" s="8"/>
      <c r="P128" s="8"/>
    </row>
    <row r="129" spans="1:16" hidden="1" outlineLevel="1" x14ac:dyDescent="0.25">
      <c r="A129" s="205"/>
      <c r="B129" s="257" t="str">
        <f t="shared" si="42"/>
        <v/>
      </c>
      <c r="C129" s="4"/>
      <c r="D129" s="4"/>
      <c r="E129" s="4"/>
      <c r="F129" s="4"/>
      <c r="G129" s="204"/>
      <c r="H129" s="258">
        <f t="shared" si="43"/>
        <v>0</v>
      </c>
      <c r="I129" s="259">
        <f t="shared" si="44"/>
        <v>0</v>
      </c>
      <c r="J129" s="260">
        <f>IF(Notes!$B$9="Domestic",H129, IF(Notes!$B$9="Commercial",I129))*$J$121</f>
        <v>0</v>
      </c>
      <c r="K129" s="261">
        <f t="shared" si="45"/>
        <v>0</v>
      </c>
      <c r="L129" s="238"/>
      <c r="M129" s="238"/>
      <c r="N129" s="238"/>
      <c r="O129" s="8"/>
      <c r="P129" s="8"/>
    </row>
    <row r="130" spans="1:16" hidden="1" outlineLevel="1" x14ac:dyDescent="0.25">
      <c r="A130" s="205"/>
      <c r="B130" s="257" t="str">
        <f t="shared" si="42"/>
        <v/>
      </c>
      <c r="C130" s="4"/>
      <c r="D130" s="4"/>
      <c r="E130" s="4"/>
      <c r="F130" s="4"/>
      <c r="G130" s="204"/>
      <c r="H130" s="258">
        <f t="shared" si="43"/>
        <v>0</v>
      </c>
      <c r="I130" s="259">
        <f t="shared" si="44"/>
        <v>0</v>
      </c>
      <c r="J130" s="260">
        <f>IF(Notes!$B$9="Domestic",H130, IF(Notes!$B$9="Commercial",I130))*$J$121</f>
        <v>0</v>
      </c>
      <c r="K130" s="261">
        <f t="shared" si="45"/>
        <v>0</v>
      </c>
      <c r="L130" s="238"/>
      <c r="M130" s="238"/>
      <c r="N130" s="238"/>
      <c r="O130" s="8"/>
      <c r="P130" s="8"/>
    </row>
    <row r="131" spans="1:16" hidden="1" outlineLevel="1" x14ac:dyDescent="0.25">
      <c r="A131" s="205"/>
      <c r="B131" s="257" t="str">
        <f t="shared" si="42"/>
        <v/>
      </c>
      <c r="C131" s="4"/>
      <c r="D131" s="4"/>
      <c r="E131" s="4"/>
      <c r="F131" s="4"/>
      <c r="G131" s="204"/>
      <c r="H131" s="258">
        <f t="shared" si="43"/>
        <v>0</v>
      </c>
      <c r="I131" s="259">
        <f t="shared" si="44"/>
        <v>0</v>
      </c>
      <c r="J131" s="260">
        <f>IF(Notes!$B$9="Domestic",H131, IF(Notes!$B$9="Commercial",I131))*$J$121</f>
        <v>0</v>
      </c>
      <c r="K131" s="261">
        <f t="shared" si="45"/>
        <v>0</v>
      </c>
      <c r="L131" s="268"/>
      <c r="M131" s="268"/>
      <c r="N131" s="268"/>
      <c r="O131" s="8"/>
      <c r="P131" s="8"/>
    </row>
    <row r="132" spans="1:16" hidden="1" outlineLevel="1" x14ac:dyDescent="0.25">
      <c r="A132" s="659" t="str">
        <f>C132&amp;D132&amp;E132</f>
        <v/>
      </c>
      <c r="B132" s="659"/>
      <c r="C132" s="659"/>
      <c r="D132" s="659"/>
      <c r="E132" s="659"/>
      <c r="F132" s="659"/>
      <c r="G132" s="659"/>
      <c r="H132" s="659"/>
      <c r="I132" s="659"/>
      <c r="J132" s="659"/>
      <c r="K132" s="659"/>
      <c r="L132" s="659"/>
      <c r="M132" s="659"/>
      <c r="N132" s="659"/>
      <c r="O132" s="659"/>
      <c r="P132" s="659"/>
    </row>
    <row r="133" spans="1:16" hidden="1" outlineLevel="1" x14ac:dyDescent="0.25"/>
    <row r="134" spans="1:16" hidden="1" outlineLevel="1" x14ac:dyDescent="0.25"/>
    <row r="135" spans="1:16" collapsed="1" x14ac:dyDescent="0.25"/>
  </sheetData>
  <sheetProtection algorithmName="SHA-512" hashValue="mXo0Ph+nNV757iyaKiSDcWSxOH/ojtET9xALKkbBNLyYc7lENowldJ9h7mksw1tCELFo6EwfYmFaUQCaydL7zw==" saltValue="D1dFsdEPNQ//zUIwK824bg==" spinCount="100000" sheet="1" objects="1" scenarios="1"/>
  <mergeCells count="27">
    <mergeCell ref="A1:P3"/>
    <mergeCell ref="Q1:R2"/>
    <mergeCell ref="S1:S3"/>
    <mergeCell ref="T1:T2"/>
    <mergeCell ref="U1:U2"/>
    <mergeCell ref="Q3:R3"/>
    <mergeCell ref="A68:P68"/>
    <mergeCell ref="L4:N4"/>
    <mergeCell ref="A5:P5"/>
    <mergeCell ref="A15:P15"/>
    <mergeCell ref="A16:P16"/>
    <mergeCell ref="A28:P28"/>
    <mergeCell ref="A29:P29"/>
    <mergeCell ref="A41:P41"/>
    <mergeCell ref="A42:P42"/>
    <mergeCell ref="A54:P54"/>
    <mergeCell ref="A55:P55"/>
    <mergeCell ref="A67:P67"/>
    <mergeCell ref="A119:P119"/>
    <mergeCell ref="A120:P120"/>
    <mergeCell ref="A132:P132"/>
    <mergeCell ref="A80:P80"/>
    <mergeCell ref="A81:P81"/>
    <mergeCell ref="A93:P93"/>
    <mergeCell ref="A94:P94"/>
    <mergeCell ref="A106:P106"/>
    <mergeCell ref="A107:P10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00B050"/>
  </sheetPr>
  <dimension ref="A1:S145"/>
  <sheetViews>
    <sheetView view="pageBreakPreview" zoomScale="70" zoomScaleNormal="85" zoomScaleSheetLayoutView="70" zoomScalePageLayoutView="85" workbookViewId="0">
      <pane ySplit="2" topLeftCell="A3" activePane="bottomLeft" state="frozen"/>
      <selection activeCell="F51" sqref="F51"/>
      <selection pane="bottomLeft"/>
    </sheetView>
  </sheetViews>
  <sheetFormatPr defaultColWidth="8.85546875" defaultRowHeight="15" outlineLevelCol="1" x14ac:dyDescent="0.25"/>
  <cols>
    <col min="1" max="1" width="12.42578125" style="25" bestFit="1" customWidth="1"/>
    <col min="2" max="2" width="58.42578125" style="25" customWidth="1"/>
    <col min="3" max="3" width="15.5703125" style="110" customWidth="1"/>
    <col min="4" max="4" width="15.5703125" style="36" customWidth="1"/>
    <col min="5" max="5" width="15.5703125" style="25" customWidth="1"/>
    <col min="6" max="6" width="21.42578125" style="108" bestFit="1" customWidth="1"/>
    <col min="7" max="7" width="1.140625" style="212" customWidth="1"/>
    <col min="8" max="11" width="15.5703125" style="25" customWidth="1" outlineLevel="1"/>
    <col min="12" max="12" width="17.5703125" style="25" customWidth="1" outlineLevel="1"/>
    <col min="13" max="14" width="18.5703125" style="88" customWidth="1" outlineLevel="1"/>
    <col min="15" max="16" width="18.5703125" style="25" customWidth="1"/>
    <col min="17" max="16384" width="8.85546875" style="25"/>
  </cols>
  <sheetData>
    <row r="1" spans="1:19" s="69" customFormat="1" ht="39.950000000000003" customHeight="1" thickBot="1" x14ac:dyDescent="0.3">
      <c r="A1" s="23" t="s">
        <v>0</v>
      </c>
      <c r="B1" s="63" t="s">
        <v>14</v>
      </c>
      <c r="C1" s="65" t="s">
        <v>1</v>
      </c>
      <c r="D1" s="66" t="s">
        <v>2</v>
      </c>
      <c r="E1" s="67" t="s">
        <v>3</v>
      </c>
      <c r="F1" s="68" t="s">
        <v>4</v>
      </c>
      <c r="G1" s="215"/>
      <c r="H1" s="610" t="s">
        <v>626</v>
      </c>
      <c r="I1" s="611"/>
      <c r="J1" s="611"/>
      <c r="K1" s="611"/>
      <c r="L1" s="611"/>
      <c r="M1" s="81" t="s">
        <v>22</v>
      </c>
      <c r="N1" s="71"/>
    </row>
    <row r="2" spans="1:19" s="79" customFormat="1" ht="20.100000000000001" customHeight="1" thickBot="1" x14ac:dyDescent="0.4">
      <c r="A2" s="72">
        <f>Fencing!A2+1</f>
        <v>33</v>
      </c>
      <c r="B2" s="73" t="s" cm="1">
        <v>2490</v>
      </c>
      <c r="C2" s="75"/>
      <c r="D2" s="76"/>
      <c r="E2" s="77"/>
      <c r="F2" s="78"/>
      <c r="G2" s="207"/>
      <c r="H2" s="221" t="s">
        <v>26</v>
      </c>
      <c r="I2" s="222" t="s">
        <v>27</v>
      </c>
      <c r="J2" s="222" t="s">
        <v>28</v>
      </c>
      <c r="K2" s="222" t="s">
        <v>34</v>
      </c>
      <c r="L2" s="222" t="s">
        <v>615</v>
      </c>
      <c r="M2" s="80"/>
      <c r="N2" s="71"/>
    </row>
    <row r="3" spans="1:19" s="90" customFormat="1" ht="18.75" x14ac:dyDescent="0.25">
      <c r="A3" s="82">
        <f ca="1">IF(C3&gt;0,MAX($A$1:OFFSET(A3,-1,0))+0.01,"")</f>
        <v>33.01</v>
      </c>
      <c r="B3" s="27" t="s">
        <v>148</v>
      </c>
      <c r="C3" s="83">
        <v>1</v>
      </c>
      <c r="D3" s="29" t="s">
        <v>24</v>
      </c>
      <c r="E3" s="85"/>
      <c r="F3" s="86">
        <f>IF(E3="inc",0,IF(C3="",0,C3*E3))</f>
        <v>0</v>
      </c>
      <c r="G3" s="208"/>
      <c r="H3" s="30"/>
      <c r="I3" s="30"/>
      <c r="J3" s="30"/>
      <c r="K3" s="30"/>
      <c r="L3" s="30"/>
      <c r="M3" s="87"/>
      <c r="N3" s="88"/>
      <c r="O3" s="25"/>
      <c r="P3" s="25"/>
      <c r="Q3" s="25"/>
      <c r="R3" s="25"/>
      <c r="S3" s="25"/>
    </row>
    <row r="4" spans="1:19" s="94" customFormat="1" ht="15.75" x14ac:dyDescent="0.25">
      <c r="A4" s="24"/>
      <c r="B4" s="24" t="s">
        <v>196</v>
      </c>
      <c r="C4" s="32">
        <v>120.247</v>
      </c>
      <c r="D4" s="32" t="s">
        <v>11</v>
      </c>
      <c r="E4" s="26"/>
      <c r="F4" s="33"/>
      <c r="G4" s="209"/>
      <c r="H4" s="26"/>
      <c r="I4" s="26"/>
      <c r="J4" s="26"/>
      <c r="K4" s="26"/>
      <c r="L4" s="26"/>
      <c r="M4" s="34"/>
      <c r="N4" s="32"/>
      <c r="O4" s="44"/>
    </row>
    <row r="5" spans="1:19" s="94" customFormat="1" ht="15.75" x14ac:dyDescent="0.25">
      <c r="A5" s="24"/>
      <c r="B5" s="24"/>
      <c r="C5" s="32" t="s">
        <v>2346</v>
      </c>
      <c r="D5" s="32">
        <v>0</v>
      </c>
      <c r="E5" s="26"/>
      <c r="F5" s="33"/>
      <c r="G5" s="210"/>
      <c r="H5" s="26"/>
      <c r="I5" s="26"/>
      <c r="J5" s="26"/>
      <c r="K5" s="26"/>
      <c r="L5" s="26"/>
      <c r="M5" s="34"/>
      <c r="N5" s="32"/>
      <c r="O5" s="44"/>
    </row>
    <row r="6" spans="1:19" s="90" customFormat="1" ht="18.75" x14ac:dyDescent="0.25">
      <c r="A6" s="82">
        <f ca="1">IF(C6&gt;0,MAX($A$1:OFFSET(A6,-1,0))+0.01,"")</f>
        <v>33.019999999999996</v>
      </c>
      <c r="B6" s="27" t="s">
        <v>137</v>
      </c>
      <c r="C6" s="97">
        <v>0.9</v>
      </c>
      <c r="D6" s="29" t="s">
        <v>11</v>
      </c>
      <c r="E6" s="85"/>
      <c r="F6" s="86">
        <f>IF(E6="inc",0,IF(C6="",0,C6*E6))</f>
        <v>0</v>
      </c>
      <c r="G6" s="208"/>
      <c r="H6" s="30"/>
      <c r="I6" s="30"/>
      <c r="J6" s="30"/>
      <c r="K6" s="30"/>
      <c r="L6" s="30"/>
      <c r="M6" s="87"/>
      <c r="N6" s="88"/>
      <c r="O6" s="25"/>
      <c r="P6" s="25"/>
      <c r="Q6" s="25"/>
      <c r="R6" s="25"/>
      <c r="S6" s="25"/>
    </row>
    <row r="7" spans="1:19" s="94" customFormat="1" ht="15.75" x14ac:dyDescent="0.25">
      <c r="A7" s="24"/>
      <c r="B7" s="24" t="s">
        <v>2317</v>
      </c>
      <c r="C7" s="32">
        <v>0.9</v>
      </c>
      <c r="D7" s="32" t="s">
        <v>11</v>
      </c>
      <c r="E7" s="26"/>
      <c r="F7" s="33"/>
      <c r="G7" s="210"/>
      <c r="H7" s="26"/>
      <c r="I7" s="26"/>
      <c r="J7" s="26"/>
      <c r="K7" s="26"/>
      <c r="L7" s="26"/>
      <c r="M7" s="34"/>
      <c r="N7" s="32"/>
      <c r="O7" s="44"/>
    </row>
    <row r="8" spans="1:19" s="94" customFormat="1" ht="15.75" x14ac:dyDescent="0.25">
      <c r="A8" s="24"/>
      <c r="B8" s="24"/>
      <c r="C8" s="32" t="s">
        <v>2346</v>
      </c>
      <c r="D8" s="32">
        <v>0</v>
      </c>
      <c r="E8" s="26"/>
      <c r="F8" s="33"/>
      <c r="G8" s="210"/>
      <c r="H8" s="26"/>
      <c r="I8" s="26"/>
      <c r="J8" s="26"/>
      <c r="K8" s="26"/>
      <c r="L8" s="26"/>
      <c r="M8" s="34"/>
      <c r="N8" s="32"/>
      <c r="O8" s="44"/>
    </row>
    <row r="9" spans="1:19" s="90" customFormat="1" ht="18.75" x14ac:dyDescent="0.25">
      <c r="A9" s="82">
        <f ca="1">IF(C9&gt;0,MAX($A$1:OFFSET(A9,-1,0))+0.01,"")</f>
        <v>33.029999999999994</v>
      </c>
      <c r="B9" s="27" t="s">
        <v>576</v>
      </c>
      <c r="C9" s="97">
        <v>8</v>
      </c>
      <c r="D9" s="29" t="s">
        <v>5</v>
      </c>
      <c r="E9" s="85"/>
      <c r="F9" s="86">
        <f>IF(E9="inc",0,IF(C9="",0,C9*E9))</f>
        <v>0</v>
      </c>
      <c r="G9" s="208"/>
      <c r="H9" s="30"/>
      <c r="I9" s="30"/>
      <c r="J9" s="30"/>
      <c r="K9" s="30"/>
      <c r="L9" s="30"/>
      <c r="M9" s="87"/>
      <c r="N9" s="88"/>
      <c r="O9" s="25"/>
      <c r="P9" s="25"/>
      <c r="Q9" s="25"/>
      <c r="R9" s="25"/>
      <c r="S9" s="25"/>
    </row>
    <row r="10" spans="1:19" s="94" customFormat="1" ht="15.75" x14ac:dyDescent="0.25">
      <c r="A10" s="24" t="s">
        <v>2410</v>
      </c>
      <c r="B10" s="24" t="s">
        <v>2411</v>
      </c>
      <c r="C10" s="32">
        <v>8</v>
      </c>
      <c r="D10" s="32" t="s">
        <v>5</v>
      </c>
      <c r="E10" s="26"/>
      <c r="F10" s="33"/>
      <c r="G10" s="210"/>
      <c r="H10" s="26"/>
      <c r="I10" s="26"/>
      <c r="J10" s="26"/>
      <c r="K10" s="26"/>
      <c r="L10" s="26"/>
      <c r="M10" s="34"/>
      <c r="N10" s="32"/>
      <c r="O10" s="44"/>
    </row>
    <row r="11" spans="1:19" s="94" customFormat="1" ht="15.75" x14ac:dyDescent="0.25">
      <c r="A11" s="24"/>
      <c r="B11" s="24"/>
      <c r="C11" s="32" t="s">
        <v>2346</v>
      </c>
      <c r="D11" s="32">
        <v>0</v>
      </c>
      <c r="E11" s="26"/>
      <c r="F11" s="33"/>
      <c r="G11" s="210"/>
      <c r="H11" s="26"/>
      <c r="I11" s="26"/>
      <c r="J11" s="26"/>
      <c r="K11" s="26"/>
      <c r="L11" s="26"/>
      <c r="M11" s="34"/>
      <c r="N11" s="32"/>
      <c r="O11" s="44"/>
    </row>
    <row r="12" spans="1:19" s="90" customFormat="1" ht="18.75" x14ac:dyDescent="0.25">
      <c r="A12" s="82">
        <f ca="1">IF(C12&gt;0,MAX($A$1:OFFSET(A12,-1,0))+0.01,"")</f>
        <v>33.039999999999992</v>
      </c>
      <c r="B12" s="27" t="s">
        <v>2320</v>
      </c>
      <c r="C12" s="98">
        <v>32</v>
      </c>
      <c r="D12" s="29" t="s">
        <v>5</v>
      </c>
      <c r="E12" s="85"/>
      <c r="F12" s="86">
        <f>IF(E12="inc",0,IF(C12="",0,C12*E12))</f>
        <v>0</v>
      </c>
      <c r="G12" s="208"/>
      <c r="H12" s="30"/>
      <c r="I12" s="30"/>
      <c r="J12" s="30"/>
      <c r="K12" s="30"/>
      <c r="L12" s="30"/>
      <c r="M12" s="87"/>
      <c r="N12" s="88"/>
      <c r="O12" s="25"/>
      <c r="P12" s="25"/>
      <c r="Q12" s="25"/>
      <c r="R12" s="25"/>
      <c r="S12" s="25"/>
    </row>
    <row r="13" spans="1:19" s="94" customFormat="1" ht="15.75" x14ac:dyDescent="0.25">
      <c r="A13" s="24"/>
      <c r="B13" s="387" t="s">
        <v>2412</v>
      </c>
      <c r="C13" s="32">
        <v>8</v>
      </c>
      <c r="D13" s="32" t="s">
        <v>5</v>
      </c>
      <c r="E13" s="26"/>
      <c r="F13" s="33"/>
      <c r="G13" s="210"/>
      <c r="H13" s="26"/>
      <c r="I13" s="26"/>
      <c r="J13" s="26"/>
      <c r="K13" s="26"/>
      <c r="L13" s="26"/>
      <c r="M13" s="34"/>
      <c r="N13" s="32"/>
      <c r="O13" s="44"/>
    </row>
    <row r="14" spans="1:19" s="94" customFormat="1" ht="15.75" x14ac:dyDescent="0.25">
      <c r="A14" s="24"/>
      <c r="B14" s="387" t="s">
        <v>2413</v>
      </c>
      <c r="C14" s="32">
        <v>1</v>
      </c>
      <c r="D14" s="32" t="s">
        <v>5</v>
      </c>
      <c r="E14" s="26"/>
      <c r="F14" s="33"/>
      <c r="G14" s="210"/>
      <c r="H14" s="26"/>
      <c r="I14" s="26"/>
      <c r="J14" s="26"/>
      <c r="K14" s="26"/>
      <c r="L14" s="26"/>
      <c r="M14" s="34"/>
      <c r="N14" s="32"/>
      <c r="O14" s="44"/>
    </row>
    <row r="15" spans="1:19" s="94" customFormat="1" ht="15.75" x14ac:dyDescent="0.25">
      <c r="A15" s="24"/>
      <c r="B15" s="387" t="s">
        <v>2414</v>
      </c>
      <c r="C15" s="32">
        <v>6</v>
      </c>
      <c r="D15" s="32" t="s">
        <v>5</v>
      </c>
      <c r="E15" s="26"/>
      <c r="F15" s="33"/>
      <c r="G15" s="210"/>
      <c r="H15" s="26"/>
      <c r="I15" s="26"/>
      <c r="J15" s="26"/>
      <c r="K15" s="26"/>
      <c r="L15" s="26"/>
      <c r="M15" s="34"/>
      <c r="N15" s="32"/>
      <c r="O15" s="44"/>
    </row>
    <row r="16" spans="1:19" s="94" customFormat="1" ht="15.75" x14ac:dyDescent="0.25">
      <c r="A16" s="24"/>
      <c r="B16" s="387" t="s">
        <v>2415</v>
      </c>
      <c r="C16" s="32">
        <v>1</v>
      </c>
      <c r="D16" s="32" t="s">
        <v>5</v>
      </c>
      <c r="E16" s="26"/>
      <c r="F16" s="33"/>
      <c r="G16" s="210"/>
      <c r="H16" s="26"/>
      <c r="I16" s="26"/>
      <c r="J16" s="26"/>
      <c r="K16" s="26"/>
      <c r="L16" s="26"/>
      <c r="M16" s="34"/>
      <c r="N16" s="32"/>
      <c r="O16" s="44"/>
    </row>
    <row r="17" spans="1:19" s="94" customFormat="1" ht="15.75" x14ac:dyDescent="0.25">
      <c r="A17" s="24"/>
      <c r="B17" s="387" t="s">
        <v>2416</v>
      </c>
      <c r="C17" s="32">
        <v>6</v>
      </c>
      <c r="D17" s="32" t="s">
        <v>5</v>
      </c>
      <c r="E17" s="26"/>
      <c r="F17" s="33"/>
      <c r="G17" s="210"/>
      <c r="H17" s="26"/>
      <c r="I17" s="26"/>
      <c r="J17" s="26"/>
      <c r="K17" s="26"/>
      <c r="L17" s="26"/>
      <c r="M17" s="34"/>
      <c r="N17" s="32"/>
      <c r="O17" s="44"/>
    </row>
    <row r="18" spans="1:19" s="94" customFormat="1" ht="15.75" x14ac:dyDescent="0.25">
      <c r="A18" s="24"/>
      <c r="B18" s="387" t="s">
        <v>2417</v>
      </c>
      <c r="C18" s="32">
        <v>6</v>
      </c>
      <c r="D18" s="32" t="s">
        <v>5</v>
      </c>
      <c r="E18" s="26"/>
      <c r="F18" s="33"/>
      <c r="G18" s="210"/>
      <c r="H18" s="26"/>
      <c r="I18" s="26"/>
      <c r="J18" s="26"/>
      <c r="K18" s="26"/>
      <c r="L18" s="26"/>
      <c r="M18" s="34"/>
      <c r="N18" s="32"/>
      <c r="O18" s="44"/>
    </row>
    <row r="19" spans="1:19" s="94" customFormat="1" ht="15.75" x14ac:dyDescent="0.25">
      <c r="A19" s="24"/>
      <c r="B19" s="387" t="s">
        <v>2418</v>
      </c>
      <c r="C19" s="32">
        <v>1</v>
      </c>
      <c r="D19" s="32" t="s">
        <v>5</v>
      </c>
      <c r="E19" s="26"/>
      <c r="F19" s="33"/>
      <c r="G19" s="210"/>
      <c r="H19" s="26"/>
      <c r="I19" s="26"/>
      <c r="J19" s="26"/>
      <c r="K19" s="26"/>
      <c r="L19" s="26"/>
      <c r="M19" s="34"/>
      <c r="N19" s="32"/>
      <c r="O19" s="44"/>
    </row>
    <row r="20" spans="1:19" s="94" customFormat="1" ht="15.75" x14ac:dyDescent="0.25">
      <c r="A20" s="24"/>
      <c r="B20" s="387" t="s">
        <v>2318</v>
      </c>
      <c r="C20" s="32">
        <v>1</v>
      </c>
      <c r="D20" s="32" t="s">
        <v>5</v>
      </c>
      <c r="E20" s="26"/>
      <c r="F20" s="33"/>
      <c r="G20" s="210"/>
      <c r="H20" s="26"/>
      <c r="I20" s="26"/>
      <c r="J20" s="26"/>
      <c r="K20" s="26"/>
      <c r="L20" s="26"/>
      <c r="M20" s="34"/>
      <c r="N20" s="32"/>
      <c r="O20" s="44"/>
    </row>
    <row r="21" spans="1:19" s="94" customFormat="1" ht="15.75" x14ac:dyDescent="0.25">
      <c r="A21" s="24"/>
      <c r="B21" s="387" t="s">
        <v>2319</v>
      </c>
      <c r="C21" s="32">
        <v>1</v>
      </c>
      <c r="D21" s="32" t="s">
        <v>5</v>
      </c>
      <c r="E21" s="26"/>
      <c r="F21" s="33"/>
      <c r="G21" s="210"/>
      <c r="H21" s="26"/>
      <c r="I21" s="26"/>
      <c r="J21" s="26"/>
      <c r="K21" s="26"/>
      <c r="L21" s="26"/>
      <c r="M21" s="34"/>
      <c r="N21" s="32"/>
      <c r="O21" s="44"/>
    </row>
    <row r="22" spans="1:19" s="94" customFormat="1" ht="15.75" x14ac:dyDescent="0.25">
      <c r="A22" s="24"/>
      <c r="B22" s="387" t="s">
        <v>2419</v>
      </c>
      <c r="C22" s="32">
        <v>1</v>
      </c>
      <c r="D22" s="32" t="s">
        <v>5</v>
      </c>
      <c r="E22" s="26"/>
      <c r="F22" s="33"/>
      <c r="G22" s="210"/>
      <c r="H22" s="26"/>
      <c r="I22" s="26"/>
      <c r="J22" s="26"/>
      <c r="K22" s="26"/>
      <c r="L22" s="26"/>
      <c r="M22" s="34"/>
      <c r="N22" s="32"/>
      <c r="O22" s="44"/>
    </row>
    <row r="23" spans="1:19" s="94" customFormat="1" ht="15.75" x14ac:dyDescent="0.25">
      <c r="A23" s="24"/>
      <c r="B23" s="24"/>
      <c r="C23" s="32" t="s">
        <v>2346</v>
      </c>
      <c r="D23" s="32">
        <v>0</v>
      </c>
      <c r="E23" s="26"/>
      <c r="F23" s="33"/>
      <c r="G23" s="210"/>
      <c r="H23" s="26"/>
      <c r="I23" s="26"/>
      <c r="J23" s="26"/>
      <c r="K23" s="26"/>
      <c r="L23" s="26"/>
      <c r="M23" s="34"/>
      <c r="N23" s="32"/>
      <c r="O23" s="44"/>
    </row>
    <row r="24" spans="1:19" s="90" customFormat="1" ht="18.75" x14ac:dyDescent="0.25">
      <c r="A24" s="82">
        <f ca="1">IF(C24&gt;0,MAX($A$1:OFFSET(A24,-1,0))+0.01,"")</f>
        <v>33.04999999999999</v>
      </c>
      <c r="B24" s="27" t="s">
        <v>2435</v>
      </c>
      <c r="C24" s="98">
        <v>1</v>
      </c>
      <c r="D24" s="29" t="s">
        <v>24</v>
      </c>
      <c r="E24" s="85"/>
      <c r="F24" s="86">
        <f>IF(E24="inc",0,IF(C24="",0,C24*E24))</f>
        <v>0</v>
      </c>
      <c r="G24" s="208"/>
      <c r="H24" s="30"/>
      <c r="I24" s="30">
        <v>12960.93</v>
      </c>
      <c r="J24" s="30"/>
      <c r="K24" s="30"/>
      <c r="L24" s="30"/>
      <c r="M24" s="87" t="s">
        <v>2434</v>
      </c>
      <c r="N24" s="88"/>
      <c r="O24" s="25"/>
      <c r="P24" s="25"/>
      <c r="Q24" s="25"/>
      <c r="R24" s="25"/>
      <c r="S24" s="25"/>
    </row>
    <row r="25" spans="1:19" s="94" customFormat="1" ht="15.75" x14ac:dyDescent="0.25">
      <c r="A25" s="24"/>
      <c r="B25" s="24"/>
      <c r="C25" s="32">
        <v>1</v>
      </c>
      <c r="D25" s="32" t="s">
        <v>5</v>
      </c>
      <c r="E25" s="26"/>
      <c r="F25" s="33"/>
      <c r="G25" s="210"/>
      <c r="H25" s="26"/>
      <c r="I25" s="26"/>
      <c r="J25" s="26"/>
      <c r="K25" s="26"/>
      <c r="L25" s="26"/>
      <c r="M25" s="34"/>
      <c r="N25" s="32"/>
      <c r="O25" s="44"/>
    </row>
    <row r="26" spans="1:19" s="94" customFormat="1" ht="15.75" x14ac:dyDescent="0.25">
      <c r="A26" s="24"/>
      <c r="B26" s="24"/>
      <c r="C26" s="32" t="s">
        <v>2346</v>
      </c>
      <c r="D26" s="32">
        <v>0</v>
      </c>
      <c r="E26" s="26"/>
      <c r="F26" s="33"/>
      <c r="G26" s="210"/>
      <c r="H26" s="26"/>
      <c r="I26" s="26"/>
      <c r="J26" s="26"/>
      <c r="K26" s="26"/>
      <c r="L26" s="26"/>
      <c r="M26" s="34"/>
      <c r="N26" s="32"/>
      <c r="O26" s="44"/>
    </row>
    <row r="27" spans="1:19" s="79" customFormat="1" ht="21.75" thickBot="1" x14ac:dyDescent="0.4">
      <c r="A27" s="99"/>
      <c r="B27" s="394" t="s">
        <v>4</v>
      </c>
      <c r="C27" s="395"/>
      <c r="D27" s="396"/>
      <c r="E27" s="100"/>
      <c r="F27" s="101">
        <f ca="1">SUM(F$2:OFFSET(F27,-1,0))</f>
        <v>0</v>
      </c>
      <c r="G27" s="210"/>
      <c r="H27" s="100"/>
      <c r="I27" s="100"/>
      <c r="J27" s="100"/>
      <c r="K27" s="100"/>
      <c r="L27" s="100"/>
      <c r="M27" s="102"/>
      <c r="N27" s="103"/>
    </row>
    <row r="28" spans="1:19" s="94" customFormat="1" ht="15.75" x14ac:dyDescent="0.25">
      <c r="A28" s="105"/>
      <c r="B28" s="25"/>
      <c r="C28" s="106"/>
      <c r="D28" s="32"/>
      <c r="E28" s="92"/>
      <c r="F28" s="107"/>
      <c r="G28" s="107"/>
      <c r="H28" s="26"/>
      <c r="I28" s="26"/>
      <c r="J28" s="26"/>
      <c r="K28" s="26"/>
      <c r="L28" s="26"/>
      <c r="M28" s="88"/>
      <c r="N28" s="88"/>
    </row>
    <row r="29" spans="1:19" ht="15.75" x14ac:dyDescent="0.25">
      <c r="C29" s="106"/>
      <c r="G29" s="107"/>
      <c r="H29" s="26"/>
      <c r="I29" s="26"/>
      <c r="J29" s="26"/>
      <c r="K29" s="26"/>
      <c r="L29" s="26"/>
    </row>
    <row r="30" spans="1:19" ht="15.75" x14ac:dyDescent="0.25">
      <c r="G30" s="107"/>
      <c r="H30" s="26"/>
      <c r="I30" s="26"/>
      <c r="J30" s="26"/>
      <c r="K30" s="26"/>
      <c r="L30" s="26"/>
    </row>
    <row r="31" spans="1:19" ht="15.75" x14ac:dyDescent="0.25">
      <c r="G31" s="107"/>
      <c r="H31" s="26"/>
      <c r="I31" s="26"/>
      <c r="J31" s="26"/>
      <c r="K31" s="26"/>
      <c r="L31" s="26"/>
    </row>
    <row r="32" spans="1:19" ht="15.75" x14ac:dyDescent="0.25">
      <c r="F32" s="108" t="e">
        <f ca="1">F27-#REF!</f>
        <v>#REF!</v>
      </c>
      <c r="G32" s="107"/>
      <c r="H32" s="26"/>
      <c r="I32" s="26"/>
      <c r="J32" s="26"/>
      <c r="K32" s="26"/>
      <c r="L32" s="26"/>
    </row>
    <row r="33" spans="1:19" ht="15.75" x14ac:dyDescent="0.25">
      <c r="G33" s="107"/>
      <c r="H33" s="26"/>
      <c r="I33" s="26"/>
      <c r="J33" s="26"/>
      <c r="K33" s="26"/>
      <c r="L33" s="26"/>
    </row>
    <row r="34" spans="1:19" ht="15.75" x14ac:dyDescent="0.25">
      <c r="G34" s="107"/>
      <c r="H34" s="26"/>
      <c r="I34" s="26"/>
      <c r="J34" s="26"/>
      <c r="K34" s="26"/>
      <c r="L34" s="26"/>
    </row>
    <row r="35" spans="1:19" ht="15.75" x14ac:dyDescent="0.25">
      <c r="G35" s="107"/>
      <c r="H35" s="26"/>
      <c r="I35" s="26"/>
      <c r="J35" s="26"/>
      <c r="K35" s="26"/>
      <c r="L35" s="26"/>
    </row>
    <row r="36" spans="1:19" ht="15.75" x14ac:dyDescent="0.25">
      <c r="G36" s="107"/>
      <c r="H36" s="26"/>
      <c r="I36" s="26"/>
      <c r="J36" s="26"/>
      <c r="K36" s="26"/>
      <c r="L36" s="26"/>
    </row>
    <row r="37" spans="1:19" ht="15.75" x14ac:dyDescent="0.25">
      <c r="G37" s="107"/>
      <c r="H37" s="26"/>
      <c r="I37" s="26"/>
      <c r="J37" s="26"/>
      <c r="K37" s="26"/>
      <c r="L37" s="26"/>
    </row>
    <row r="38" spans="1:19" ht="15.75" x14ac:dyDescent="0.25">
      <c r="G38" s="107"/>
      <c r="H38" s="26"/>
      <c r="I38" s="26"/>
      <c r="J38" s="26"/>
      <c r="K38" s="26"/>
      <c r="L38" s="26"/>
    </row>
    <row r="39" spans="1:19" ht="15.75" x14ac:dyDescent="0.25">
      <c r="G39" s="107"/>
      <c r="H39" s="26"/>
      <c r="I39" s="26"/>
      <c r="J39" s="26"/>
      <c r="K39" s="26"/>
      <c r="L39" s="26"/>
    </row>
    <row r="40" spans="1:19" ht="15.75" x14ac:dyDescent="0.25">
      <c r="G40" s="107"/>
      <c r="H40" s="26"/>
      <c r="I40" s="26"/>
      <c r="J40" s="26"/>
      <c r="K40" s="26"/>
      <c r="L40" s="26"/>
    </row>
    <row r="41" spans="1:19" ht="15.75" x14ac:dyDescent="0.25">
      <c r="G41" s="107"/>
      <c r="H41" s="26"/>
      <c r="I41" s="26"/>
      <c r="J41" s="26"/>
      <c r="K41" s="26"/>
      <c r="L41" s="26"/>
    </row>
    <row r="42" spans="1:19" s="110" customFormat="1" ht="15.75" x14ac:dyDescent="0.25">
      <c r="A42" s="25"/>
      <c r="B42" s="25"/>
      <c r="D42" s="36"/>
      <c r="E42" s="25"/>
      <c r="F42" s="108"/>
      <c r="G42" s="107"/>
      <c r="H42" s="26"/>
      <c r="I42" s="26"/>
      <c r="J42" s="26"/>
      <c r="K42" s="26"/>
      <c r="L42" s="26"/>
      <c r="M42" s="88"/>
      <c r="N42" s="88"/>
      <c r="O42" s="25"/>
      <c r="P42" s="25"/>
      <c r="Q42" s="25"/>
      <c r="R42" s="25"/>
      <c r="S42" s="25"/>
    </row>
    <row r="43" spans="1:19" s="110" customFormat="1" ht="15.75" x14ac:dyDescent="0.25">
      <c r="A43" s="25"/>
      <c r="B43" s="25"/>
      <c r="D43" s="36"/>
      <c r="E43" s="25"/>
      <c r="F43" s="108"/>
      <c r="G43" s="107"/>
      <c r="H43" s="26"/>
      <c r="I43" s="26"/>
      <c r="J43" s="26"/>
      <c r="K43" s="26"/>
      <c r="L43" s="26"/>
      <c r="M43" s="88"/>
      <c r="N43" s="88"/>
      <c r="O43" s="25"/>
      <c r="P43" s="25"/>
      <c r="Q43" s="25"/>
      <c r="R43" s="25"/>
      <c r="S43" s="25"/>
    </row>
    <row r="44" spans="1:19" s="110" customFormat="1" ht="15.75" x14ac:dyDescent="0.25">
      <c r="A44" s="25"/>
      <c r="B44" s="25"/>
      <c r="D44" s="36"/>
      <c r="E44" s="25"/>
      <c r="F44" s="108"/>
      <c r="G44" s="107"/>
      <c r="H44" s="26"/>
      <c r="I44" s="26"/>
      <c r="J44" s="26"/>
      <c r="K44" s="26"/>
      <c r="L44" s="26"/>
      <c r="M44" s="88"/>
      <c r="N44" s="88"/>
      <c r="O44" s="25"/>
      <c r="P44" s="25"/>
      <c r="Q44" s="25"/>
      <c r="R44" s="25"/>
      <c r="S44" s="25"/>
    </row>
    <row r="45" spans="1:19" s="110" customFormat="1" ht="15.75" x14ac:dyDescent="0.25">
      <c r="A45" s="25"/>
      <c r="B45" s="25"/>
      <c r="D45" s="36"/>
      <c r="E45" s="25"/>
      <c r="F45" s="108"/>
      <c r="G45" s="107"/>
      <c r="H45" s="26"/>
      <c r="I45" s="26"/>
      <c r="J45" s="26"/>
      <c r="K45" s="26"/>
      <c r="L45" s="26"/>
      <c r="M45" s="88"/>
      <c r="N45" s="88"/>
      <c r="O45" s="25"/>
      <c r="P45" s="25"/>
      <c r="Q45" s="25"/>
      <c r="R45" s="25"/>
      <c r="S45" s="25"/>
    </row>
    <row r="46" spans="1:19" s="110" customFormat="1" ht="15.75" x14ac:dyDescent="0.25">
      <c r="A46" s="25"/>
      <c r="B46" s="25"/>
      <c r="D46" s="36"/>
      <c r="E46" s="25"/>
      <c r="F46" s="108"/>
      <c r="G46" s="107"/>
      <c r="H46" s="26"/>
      <c r="I46" s="26"/>
      <c r="J46" s="26"/>
      <c r="K46" s="26"/>
      <c r="L46" s="26"/>
      <c r="M46" s="88"/>
      <c r="N46" s="88"/>
      <c r="O46" s="25"/>
      <c r="P46" s="25"/>
      <c r="Q46" s="25"/>
      <c r="R46" s="25"/>
      <c r="S46" s="25"/>
    </row>
    <row r="47" spans="1:19" s="110" customFormat="1" ht="15.75" x14ac:dyDescent="0.25">
      <c r="A47" s="25"/>
      <c r="B47" s="25"/>
      <c r="D47" s="36"/>
      <c r="E47" s="25"/>
      <c r="F47" s="108"/>
      <c r="G47" s="107"/>
      <c r="H47" s="26"/>
      <c r="I47" s="26"/>
      <c r="J47" s="26"/>
      <c r="K47" s="26"/>
      <c r="L47" s="26"/>
      <c r="M47" s="88"/>
      <c r="N47" s="88"/>
      <c r="O47" s="25"/>
      <c r="P47" s="25"/>
      <c r="Q47" s="25"/>
      <c r="R47" s="25"/>
      <c r="S47" s="25"/>
    </row>
    <row r="48" spans="1:19" s="110" customFormat="1" ht="15.75" x14ac:dyDescent="0.25">
      <c r="A48" s="25"/>
      <c r="B48" s="25"/>
      <c r="D48" s="36"/>
      <c r="E48" s="25"/>
      <c r="F48" s="108"/>
      <c r="G48" s="107"/>
      <c r="H48" s="26"/>
      <c r="I48" s="26"/>
      <c r="J48" s="26"/>
      <c r="K48" s="26"/>
      <c r="L48" s="26"/>
      <c r="M48" s="88"/>
      <c r="N48" s="88"/>
      <c r="O48" s="25"/>
      <c r="P48" s="25"/>
      <c r="Q48" s="25"/>
      <c r="R48" s="25"/>
      <c r="S48" s="25"/>
    </row>
    <row r="49" spans="1:19" s="110" customFormat="1" ht="15.75" x14ac:dyDescent="0.25">
      <c r="A49" s="25"/>
      <c r="B49" s="25"/>
      <c r="D49" s="36"/>
      <c r="E49" s="25"/>
      <c r="F49" s="108"/>
      <c r="G49" s="107"/>
      <c r="H49" s="26"/>
      <c r="I49" s="26"/>
      <c r="J49" s="26"/>
      <c r="K49" s="26"/>
      <c r="L49" s="26"/>
      <c r="M49" s="88"/>
      <c r="N49" s="88"/>
      <c r="O49" s="25"/>
      <c r="P49" s="25"/>
      <c r="Q49" s="25"/>
      <c r="R49" s="25"/>
      <c r="S49" s="25"/>
    </row>
    <row r="50" spans="1:19" s="110" customFormat="1" ht="15.75" x14ac:dyDescent="0.25">
      <c r="A50" s="25"/>
      <c r="B50" s="25"/>
      <c r="D50" s="36"/>
      <c r="E50" s="25"/>
      <c r="F50" s="108"/>
      <c r="G50" s="107"/>
      <c r="H50" s="26"/>
      <c r="I50" s="26"/>
      <c r="J50" s="26"/>
      <c r="K50" s="26"/>
      <c r="L50" s="26"/>
      <c r="M50" s="88"/>
      <c r="N50" s="88"/>
      <c r="O50" s="25"/>
      <c r="P50" s="25"/>
      <c r="Q50" s="25"/>
      <c r="R50" s="25"/>
      <c r="S50" s="25"/>
    </row>
    <row r="51" spans="1:19" s="110" customFormat="1" ht="15.75" x14ac:dyDescent="0.25">
      <c r="A51" s="25"/>
      <c r="B51" s="25"/>
      <c r="D51" s="36"/>
      <c r="E51" s="25"/>
      <c r="F51" s="108"/>
      <c r="G51" s="107"/>
      <c r="H51" s="26"/>
      <c r="I51" s="26"/>
      <c r="J51" s="26"/>
      <c r="K51" s="26"/>
      <c r="L51" s="26"/>
      <c r="M51" s="88"/>
      <c r="N51" s="88"/>
      <c r="O51" s="25"/>
      <c r="P51" s="25"/>
      <c r="Q51" s="25"/>
      <c r="R51" s="25"/>
      <c r="S51" s="25"/>
    </row>
    <row r="52" spans="1:19" s="110" customFormat="1" ht="15.75" x14ac:dyDescent="0.25">
      <c r="A52" s="25"/>
      <c r="B52" s="25"/>
      <c r="D52" s="36"/>
      <c r="E52" s="25"/>
      <c r="F52" s="108"/>
      <c r="G52" s="107"/>
      <c r="H52" s="26"/>
      <c r="I52" s="26"/>
      <c r="J52" s="26"/>
      <c r="K52" s="26"/>
      <c r="L52" s="26"/>
      <c r="M52" s="88"/>
      <c r="N52" s="88"/>
      <c r="O52" s="25"/>
      <c r="P52" s="25"/>
      <c r="Q52" s="25"/>
      <c r="R52" s="25"/>
      <c r="S52" s="25"/>
    </row>
    <row r="53" spans="1:19" s="110" customFormat="1" ht="15.75" x14ac:dyDescent="0.25">
      <c r="A53" s="25"/>
      <c r="B53" s="25"/>
      <c r="D53" s="36"/>
      <c r="E53" s="25"/>
      <c r="F53" s="108"/>
      <c r="G53" s="107"/>
      <c r="H53" s="26"/>
      <c r="I53" s="26"/>
      <c r="J53" s="26"/>
      <c r="K53" s="26"/>
      <c r="L53" s="26"/>
      <c r="M53" s="88"/>
      <c r="N53" s="88"/>
      <c r="O53" s="25"/>
      <c r="P53" s="25"/>
      <c r="Q53" s="25"/>
      <c r="R53" s="25"/>
      <c r="S53" s="25"/>
    </row>
    <row r="54" spans="1:19" s="110" customFormat="1" ht="15.75" x14ac:dyDescent="0.25">
      <c r="A54" s="25"/>
      <c r="B54" s="25"/>
      <c r="D54" s="36"/>
      <c r="E54" s="25"/>
      <c r="F54" s="108"/>
      <c r="G54" s="107"/>
      <c r="H54" s="26"/>
      <c r="I54" s="26"/>
      <c r="J54" s="26"/>
      <c r="K54" s="26"/>
      <c r="L54" s="26"/>
      <c r="M54" s="88"/>
      <c r="N54" s="88"/>
      <c r="O54" s="25"/>
      <c r="P54" s="25"/>
      <c r="Q54" s="25"/>
      <c r="R54" s="25"/>
      <c r="S54" s="25"/>
    </row>
    <row r="55" spans="1:19" ht="15.75" x14ac:dyDescent="0.25">
      <c r="G55" s="107"/>
      <c r="H55" s="26"/>
      <c r="I55" s="26"/>
      <c r="J55" s="26"/>
      <c r="K55" s="26"/>
      <c r="L55" s="26"/>
    </row>
    <row r="56" spans="1:19" ht="15.75" x14ac:dyDescent="0.25">
      <c r="G56" s="107"/>
      <c r="H56" s="26"/>
      <c r="I56" s="26"/>
      <c r="J56" s="26"/>
      <c r="K56" s="26"/>
      <c r="L56" s="26"/>
    </row>
    <row r="57" spans="1:19" ht="15.75" x14ac:dyDescent="0.25">
      <c r="G57" s="107"/>
      <c r="H57" s="26"/>
      <c r="I57" s="26"/>
      <c r="J57" s="26"/>
      <c r="K57" s="26"/>
      <c r="L57" s="26"/>
    </row>
    <row r="58" spans="1:19" ht="15.75" x14ac:dyDescent="0.25">
      <c r="G58" s="107"/>
      <c r="H58" s="26"/>
      <c r="I58" s="26"/>
      <c r="J58" s="26"/>
      <c r="K58" s="26"/>
      <c r="L58" s="26"/>
    </row>
    <row r="59" spans="1:19" ht="15.75" x14ac:dyDescent="0.25">
      <c r="G59" s="107"/>
      <c r="H59" s="26"/>
      <c r="I59" s="26"/>
      <c r="J59" s="26"/>
      <c r="K59" s="26"/>
      <c r="L59" s="26"/>
    </row>
    <row r="60" spans="1:19" ht="15.75" x14ac:dyDescent="0.25">
      <c r="G60" s="107"/>
      <c r="H60" s="26"/>
      <c r="I60" s="26"/>
      <c r="J60" s="26"/>
      <c r="K60" s="26"/>
      <c r="L60" s="26"/>
    </row>
    <row r="61" spans="1:19" ht="15.75" x14ac:dyDescent="0.25">
      <c r="G61" s="107"/>
      <c r="H61" s="26"/>
      <c r="I61" s="26"/>
      <c r="J61" s="26"/>
      <c r="K61" s="26"/>
      <c r="L61" s="26"/>
    </row>
    <row r="62" spans="1:19" ht="15.75" x14ac:dyDescent="0.25">
      <c r="G62" s="107"/>
      <c r="H62" s="26"/>
      <c r="I62" s="26"/>
      <c r="J62" s="26"/>
      <c r="K62" s="26"/>
      <c r="L62" s="26"/>
    </row>
    <row r="63" spans="1:19" ht="15.75" x14ac:dyDescent="0.25">
      <c r="G63" s="107"/>
      <c r="H63" s="26"/>
      <c r="I63" s="26"/>
      <c r="J63" s="26"/>
      <c r="K63" s="26"/>
      <c r="L63" s="26"/>
    </row>
    <row r="64" spans="1:19" ht="15.75" x14ac:dyDescent="0.25">
      <c r="G64" s="107"/>
      <c r="H64" s="26"/>
      <c r="I64" s="26"/>
      <c r="J64" s="26"/>
      <c r="K64" s="26"/>
      <c r="L64" s="26"/>
    </row>
    <row r="65" spans="7:12" ht="15.75" x14ac:dyDescent="0.25">
      <c r="G65" s="107"/>
      <c r="H65" s="26"/>
      <c r="I65" s="26"/>
      <c r="J65" s="26"/>
      <c r="K65" s="26"/>
      <c r="L65" s="26"/>
    </row>
    <row r="66" spans="7:12" ht="15.75" x14ac:dyDescent="0.25">
      <c r="G66" s="107"/>
      <c r="H66" s="26"/>
      <c r="I66" s="26"/>
      <c r="J66" s="26"/>
      <c r="K66" s="26"/>
      <c r="L66" s="26"/>
    </row>
    <row r="67" spans="7:12" ht="15.75" x14ac:dyDescent="0.25">
      <c r="G67" s="107"/>
      <c r="H67" s="26"/>
      <c r="I67" s="26"/>
      <c r="J67" s="26"/>
      <c r="K67" s="26"/>
      <c r="L67" s="26"/>
    </row>
    <row r="68" spans="7:12" ht="15.75" x14ac:dyDescent="0.25">
      <c r="G68" s="107"/>
      <c r="H68" s="26"/>
      <c r="I68" s="26"/>
      <c r="J68" s="26"/>
      <c r="K68" s="26"/>
      <c r="L68" s="26"/>
    </row>
    <row r="69" spans="7:12" ht="15.75" x14ac:dyDescent="0.25">
      <c r="G69" s="107"/>
      <c r="H69" s="26"/>
      <c r="I69" s="26"/>
      <c r="J69" s="26"/>
      <c r="K69" s="26"/>
      <c r="L69" s="26"/>
    </row>
    <row r="70" spans="7:12" ht="15.75" x14ac:dyDescent="0.25">
      <c r="G70" s="107"/>
      <c r="H70" s="26"/>
      <c r="I70" s="26"/>
      <c r="J70" s="26"/>
      <c r="K70" s="26"/>
      <c r="L70" s="26"/>
    </row>
    <row r="71" spans="7:12" ht="15.75" x14ac:dyDescent="0.25">
      <c r="G71" s="107"/>
      <c r="H71" s="26"/>
      <c r="I71" s="26"/>
      <c r="J71" s="26"/>
      <c r="K71" s="26"/>
      <c r="L71" s="26"/>
    </row>
    <row r="72" spans="7:12" ht="15.75" x14ac:dyDescent="0.25">
      <c r="G72" s="107"/>
      <c r="H72" s="26"/>
      <c r="I72" s="26"/>
      <c r="J72" s="26"/>
      <c r="K72" s="26"/>
      <c r="L72" s="26"/>
    </row>
    <row r="73" spans="7:12" ht="15.75" x14ac:dyDescent="0.25">
      <c r="G73" s="107"/>
      <c r="H73" s="26"/>
      <c r="I73" s="26"/>
      <c r="J73" s="26"/>
      <c r="K73" s="26"/>
      <c r="L73" s="26"/>
    </row>
    <row r="74" spans="7:12" ht="15.75" x14ac:dyDescent="0.25">
      <c r="G74" s="107"/>
      <c r="H74" s="26"/>
      <c r="I74" s="26"/>
      <c r="J74" s="26"/>
      <c r="K74" s="26"/>
      <c r="L74" s="26"/>
    </row>
    <row r="75" spans="7:12" ht="15.75" x14ac:dyDescent="0.25">
      <c r="G75" s="107"/>
      <c r="H75" s="26"/>
      <c r="I75" s="26"/>
      <c r="J75" s="26"/>
      <c r="K75" s="26"/>
      <c r="L75" s="26"/>
    </row>
    <row r="76" spans="7:12" ht="15.75" x14ac:dyDescent="0.25">
      <c r="G76" s="107"/>
      <c r="H76" s="26"/>
      <c r="I76" s="26"/>
      <c r="J76" s="26"/>
      <c r="K76" s="26"/>
      <c r="L76" s="26"/>
    </row>
    <row r="77" spans="7:12" ht="15.75" x14ac:dyDescent="0.25">
      <c r="G77" s="107"/>
      <c r="H77" s="26"/>
      <c r="I77" s="26"/>
      <c r="J77" s="26"/>
      <c r="K77" s="26"/>
      <c r="L77" s="26"/>
    </row>
    <row r="78" spans="7:12" ht="15.75" x14ac:dyDescent="0.25">
      <c r="G78" s="107"/>
      <c r="H78" s="26"/>
      <c r="I78" s="26"/>
      <c r="J78" s="26"/>
      <c r="K78" s="26"/>
      <c r="L78" s="26"/>
    </row>
    <row r="79" spans="7:12" ht="15.75" x14ac:dyDescent="0.25">
      <c r="G79" s="107"/>
      <c r="H79" s="26"/>
      <c r="I79" s="26"/>
      <c r="J79" s="26"/>
      <c r="K79" s="26"/>
      <c r="L79" s="26"/>
    </row>
    <row r="80" spans="7:12" ht="15.75" x14ac:dyDescent="0.25">
      <c r="G80" s="107"/>
      <c r="H80" s="26"/>
      <c r="I80" s="26"/>
      <c r="J80" s="26"/>
      <c r="K80" s="26"/>
      <c r="L80" s="26"/>
    </row>
    <row r="81" spans="7:12" ht="15.75" x14ac:dyDescent="0.25">
      <c r="G81" s="107"/>
      <c r="H81" s="26"/>
      <c r="I81" s="26"/>
      <c r="J81" s="26"/>
      <c r="K81" s="26"/>
      <c r="L81" s="26"/>
    </row>
    <row r="82" spans="7:12" ht="15.75" x14ac:dyDescent="0.25">
      <c r="G82" s="107"/>
      <c r="H82" s="26"/>
      <c r="I82" s="26"/>
      <c r="J82" s="26"/>
      <c r="K82" s="26"/>
      <c r="L82" s="26"/>
    </row>
    <row r="83" spans="7:12" ht="15.75" x14ac:dyDescent="0.25">
      <c r="G83" s="107"/>
      <c r="H83" s="26"/>
      <c r="I83" s="26"/>
      <c r="J83" s="26"/>
      <c r="K83" s="26"/>
      <c r="L83" s="26"/>
    </row>
    <row r="84" spans="7:12" ht="15.75" x14ac:dyDescent="0.25">
      <c r="G84" s="107"/>
      <c r="H84" s="26"/>
      <c r="I84" s="26"/>
      <c r="J84" s="26"/>
      <c r="K84" s="26"/>
      <c r="L84" s="26"/>
    </row>
    <row r="85" spans="7:12" ht="15.75" x14ac:dyDescent="0.25">
      <c r="G85" s="107"/>
      <c r="H85" s="26"/>
      <c r="I85" s="26"/>
      <c r="J85" s="26"/>
      <c r="K85" s="26"/>
      <c r="L85" s="26"/>
    </row>
    <row r="86" spans="7:12" ht="15.75" x14ac:dyDescent="0.25">
      <c r="G86" s="107"/>
      <c r="H86" s="26"/>
      <c r="I86" s="26"/>
      <c r="J86" s="26"/>
      <c r="K86" s="26"/>
      <c r="L86" s="26"/>
    </row>
    <row r="87" spans="7:12" ht="15.75" x14ac:dyDescent="0.25">
      <c r="G87" s="107"/>
      <c r="H87" s="26"/>
      <c r="I87" s="26"/>
      <c r="J87" s="26"/>
      <c r="K87" s="26"/>
      <c r="L87" s="26"/>
    </row>
    <row r="88" spans="7:12" ht="15.75" x14ac:dyDescent="0.25">
      <c r="G88" s="107"/>
      <c r="H88" s="26"/>
      <c r="I88" s="26"/>
      <c r="J88" s="26"/>
      <c r="K88" s="26"/>
      <c r="L88" s="26"/>
    </row>
    <row r="89" spans="7:12" ht="15.75" x14ac:dyDescent="0.25">
      <c r="G89" s="107"/>
      <c r="H89" s="26"/>
      <c r="I89" s="26"/>
      <c r="J89" s="26"/>
      <c r="K89" s="26"/>
      <c r="L89" s="26"/>
    </row>
    <row r="90" spans="7:12" ht="15.75" x14ac:dyDescent="0.25">
      <c r="G90" s="107"/>
      <c r="H90" s="26"/>
      <c r="I90" s="26"/>
      <c r="J90" s="26"/>
      <c r="K90" s="26"/>
      <c r="L90" s="26"/>
    </row>
    <row r="91" spans="7:12" ht="15.75" x14ac:dyDescent="0.25">
      <c r="G91" s="107"/>
      <c r="H91" s="26"/>
      <c r="I91" s="26"/>
      <c r="J91" s="26"/>
      <c r="K91" s="26"/>
      <c r="L91" s="26"/>
    </row>
    <row r="92" spans="7:12" ht="15.75" x14ac:dyDescent="0.25">
      <c r="G92" s="107"/>
      <c r="H92" s="26"/>
      <c r="I92" s="26"/>
      <c r="J92" s="26"/>
      <c r="K92" s="26"/>
      <c r="L92" s="26"/>
    </row>
    <row r="93" spans="7:12" ht="15.75" x14ac:dyDescent="0.25">
      <c r="G93" s="107"/>
      <c r="H93" s="26"/>
      <c r="I93" s="26"/>
      <c r="J93" s="26"/>
      <c r="K93" s="26"/>
      <c r="L93" s="26"/>
    </row>
    <row r="94" spans="7:12" ht="15.75" x14ac:dyDescent="0.25">
      <c r="G94" s="107"/>
      <c r="H94" s="26"/>
      <c r="I94" s="26"/>
      <c r="J94" s="26"/>
      <c r="K94" s="26"/>
      <c r="L94" s="26"/>
    </row>
    <row r="95" spans="7:12" ht="15.75" x14ac:dyDescent="0.25">
      <c r="G95" s="107"/>
      <c r="H95" s="26"/>
      <c r="I95" s="26"/>
      <c r="J95" s="26"/>
      <c r="K95" s="26"/>
      <c r="L95" s="26"/>
    </row>
    <row r="96" spans="7:12" ht="15.75" x14ac:dyDescent="0.25">
      <c r="G96" s="107"/>
      <c r="H96" s="26"/>
      <c r="I96" s="26"/>
      <c r="J96" s="26"/>
      <c r="K96" s="26"/>
      <c r="L96" s="26"/>
    </row>
    <row r="97" spans="7:12" ht="15.75" x14ac:dyDescent="0.25">
      <c r="G97" s="107"/>
      <c r="H97" s="26"/>
      <c r="I97" s="26"/>
      <c r="J97" s="26"/>
      <c r="K97" s="26"/>
      <c r="L97" s="26"/>
    </row>
    <row r="98" spans="7:12" ht="15.75" x14ac:dyDescent="0.25">
      <c r="G98" s="107"/>
      <c r="H98" s="26"/>
      <c r="I98" s="26"/>
      <c r="J98" s="26"/>
      <c r="K98" s="26"/>
      <c r="L98" s="26"/>
    </row>
    <row r="99" spans="7:12" ht="15.75" x14ac:dyDescent="0.25">
      <c r="G99" s="107"/>
      <c r="H99" s="26"/>
      <c r="I99" s="26"/>
      <c r="J99" s="26"/>
      <c r="K99" s="26"/>
      <c r="L99" s="26"/>
    </row>
    <row r="100" spans="7:12" ht="15.75" x14ac:dyDescent="0.25">
      <c r="G100" s="107"/>
      <c r="H100" s="26"/>
      <c r="I100" s="26"/>
      <c r="J100" s="26"/>
      <c r="K100" s="26"/>
      <c r="L100" s="26"/>
    </row>
    <row r="101" spans="7:12" ht="15.75" x14ac:dyDescent="0.25">
      <c r="G101" s="107"/>
      <c r="H101" s="26"/>
      <c r="I101" s="26"/>
      <c r="J101" s="26"/>
      <c r="K101" s="26"/>
      <c r="L101" s="26"/>
    </row>
    <row r="102" spans="7:12" ht="15.75" x14ac:dyDescent="0.25">
      <c r="G102" s="107"/>
      <c r="H102" s="26"/>
      <c r="I102" s="26"/>
      <c r="J102" s="26"/>
      <c r="K102" s="26"/>
      <c r="L102" s="26"/>
    </row>
    <row r="103" spans="7:12" ht="15.75" x14ac:dyDescent="0.25">
      <c r="G103" s="107"/>
      <c r="H103" s="26"/>
      <c r="I103" s="26"/>
      <c r="J103" s="26"/>
      <c r="K103" s="26"/>
      <c r="L103" s="26"/>
    </row>
    <row r="104" spans="7:12" ht="15.75" x14ac:dyDescent="0.25">
      <c r="G104" s="107"/>
      <c r="H104" s="26"/>
      <c r="I104" s="26"/>
      <c r="J104" s="26"/>
      <c r="K104" s="26"/>
      <c r="L104" s="26"/>
    </row>
    <row r="105" spans="7:12" ht="15.75" x14ac:dyDescent="0.25">
      <c r="G105" s="107"/>
      <c r="H105" s="26"/>
      <c r="I105" s="26"/>
      <c r="J105" s="26"/>
      <c r="K105" s="26"/>
      <c r="L105" s="26"/>
    </row>
    <row r="106" spans="7:12" ht="15.75" x14ac:dyDescent="0.25">
      <c r="G106" s="107"/>
      <c r="H106" s="26"/>
      <c r="I106" s="26"/>
      <c r="J106" s="26"/>
      <c r="K106" s="26"/>
      <c r="L106" s="26"/>
    </row>
    <row r="107" spans="7:12" ht="15.75" x14ac:dyDescent="0.25">
      <c r="G107" s="107"/>
      <c r="H107" s="26"/>
      <c r="I107" s="26"/>
      <c r="J107" s="26"/>
      <c r="K107" s="26"/>
      <c r="L107" s="26"/>
    </row>
    <row r="108" spans="7:12" ht="15.75" x14ac:dyDescent="0.25">
      <c r="G108" s="107"/>
      <c r="H108" s="26"/>
      <c r="I108" s="26"/>
      <c r="J108" s="26"/>
      <c r="K108" s="26"/>
      <c r="L108" s="26"/>
    </row>
    <row r="109" spans="7:12" ht="15.75" x14ac:dyDescent="0.25">
      <c r="G109" s="107"/>
      <c r="H109" s="26"/>
      <c r="I109" s="26"/>
      <c r="J109" s="26"/>
      <c r="K109" s="26"/>
      <c r="L109" s="26"/>
    </row>
    <row r="110" spans="7:12" ht="15.75" x14ac:dyDescent="0.25">
      <c r="G110" s="107"/>
      <c r="H110" s="26"/>
      <c r="I110" s="26"/>
      <c r="J110" s="26"/>
      <c r="K110" s="26"/>
      <c r="L110" s="26"/>
    </row>
    <row r="111" spans="7:12" ht="15.75" x14ac:dyDescent="0.25">
      <c r="G111" s="107"/>
      <c r="H111" s="26"/>
      <c r="I111" s="26"/>
      <c r="J111" s="26"/>
      <c r="K111" s="26"/>
      <c r="L111" s="26"/>
    </row>
    <row r="112" spans="7:12" ht="15.75" x14ac:dyDescent="0.25">
      <c r="G112" s="107"/>
      <c r="H112" s="26"/>
      <c r="I112" s="26"/>
      <c r="J112" s="26"/>
      <c r="K112" s="26"/>
      <c r="L112" s="26"/>
    </row>
    <row r="113" spans="7:12" ht="15.75" x14ac:dyDescent="0.25">
      <c r="G113" s="107"/>
      <c r="H113" s="26"/>
      <c r="I113" s="26"/>
      <c r="J113" s="26"/>
      <c r="K113" s="26"/>
      <c r="L113" s="26"/>
    </row>
    <row r="114" spans="7:12" ht="15.75" x14ac:dyDescent="0.25">
      <c r="G114" s="107"/>
      <c r="H114" s="26"/>
      <c r="I114" s="26"/>
      <c r="J114" s="26"/>
      <c r="K114" s="26"/>
      <c r="L114" s="26"/>
    </row>
    <row r="115" spans="7:12" ht="15.75" x14ac:dyDescent="0.25">
      <c r="G115" s="107"/>
      <c r="H115" s="26"/>
      <c r="I115" s="26"/>
      <c r="J115" s="26"/>
      <c r="K115" s="26"/>
      <c r="L115" s="26"/>
    </row>
    <row r="116" spans="7:12" ht="15.75" x14ac:dyDescent="0.25">
      <c r="G116" s="107"/>
      <c r="H116" s="26"/>
      <c r="I116" s="26"/>
      <c r="J116" s="26"/>
      <c r="K116" s="26"/>
      <c r="L116" s="26"/>
    </row>
    <row r="117" spans="7:12" ht="15.75" x14ac:dyDescent="0.25">
      <c r="G117" s="107"/>
      <c r="H117" s="26"/>
      <c r="I117" s="26"/>
      <c r="J117" s="26"/>
      <c r="K117" s="26"/>
      <c r="L117" s="26"/>
    </row>
    <row r="118" spans="7:12" ht="15.75" x14ac:dyDescent="0.25">
      <c r="G118" s="107"/>
      <c r="H118" s="26"/>
      <c r="I118" s="26"/>
      <c r="J118" s="26"/>
      <c r="K118" s="26"/>
      <c r="L118" s="26"/>
    </row>
    <row r="119" spans="7:12" ht="15.75" x14ac:dyDescent="0.25">
      <c r="G119" s="107"/>
      <c r="H119" s="26"/>
      <c r="I119" s="26"/>
      <c r="J119" s="26"/>
      <c r="K119" s="26"/>
      <c r="L119" s="26"/>
    </row>
    <row r="120" spans="7:12" ht="15.75" x14ac:dyDescent="0.25">
      <c r="G120" s="107"/>
      <c r="H120" s="26"/>
      <c r="I120" s="26"/>
      <c r="J120" s="26"/>
      <c r="K120" s="26"/>
      <c r="L120" s="26"/>
    </row>
    <row r="121" spans="7:12" ht="15.75" x14ac:dyDescent="0.25">
      <c r="G121" s="107"/>
      <c r="H121" s="26"/>
      <c r="I121" s="26"/>
      <c r="J121" s="26"/>
      <c r="K121" s="26"/>
      <c r="L121" s="26"/>
    </row>
    <row r="122" spans="7:12" ht="15.75" x14ac:dyDescent="0.25">
      <c r="G122" s="107"/>
      <c r="H122" s="26"/>
      <c r="I122" s="26"/>
      <c r="J122" s="26"/>
      <c r="K122" s="26"/>
      <c r="L122" s="26"/>
    </row>
    <row r="123" spans="7:12" ht="15.75" x14ac:dyDescent="0.25">
      <c r="G123" s="107"/>
      <c r="H123" s="26"/>
      <c r="I123" s="26"/>
      <c r="J123" s="26"/>
      <c r="K123" s="26"/>
      <c r="L123" s="26"/>
    </row>
    <row r="124" spans="7:12" ht="15.75" x14ac:dyDescent="0.25">
      <c r="G124" s="107"/>
      <c r="H124" s="26"/>
      <c r="I124" s="26"/>
      <c r="J124" s="26"/>
      <c r="K124" s="26"/>
      <c r="L124" s="26"/>
    </row>
    <row r="125" spans="7:12" ht="15.75" x14ac:dyDescent="0.25">
      <c r="G125" s="107"/>
      <c r="H125" s="26"/>
      <c r="I125" s="26"/>
      <c r="J125" s="26"/>
      <c r="K125" s="26"/>
      <c r="L125" s="26"/>
    </row>
    <row r="126" spans="7:12" ht="15.75" x14ac:dyDescent="0.25">
      <c r="G126" s="107"/>
      <c r="H126" s="26"/>
      <c r="I126" s="26"/>
      <c r="J126" s="26"/>
      <c r="K126" s="26"/>
      <c r="L126" s="26"/>
    </row>
    <row r="127" spans="7:12" ht="15.75" x14ac:dyDescent="0.25">
      <c r="G127" s="107"/>
      <c r="H127" s="26"/>
      <c r="I127" s="26"/>
      <c r="J127" s="26"/>
      <c r="K127" s="26"/>
      <c r="L127" s="26"/>
    </row>
    <row r="128" spans="7:12" ht="15.75" x14ac:dyDescent="0.25">
      <c r="G128" s="107"/>
      <c r="H128" s="26"/>
      <c r="I128" s="26"/>
      <c r="J128" s="26"/>
      <c r="K128" s="26"/>
      <c r="L128" s="26"/>
    </row>
    <row r="129" spans="7:12" ht="15.75" x14ac:dyDescent="0.25">
      <c r="G129" s="107"/>
      <c r="H129" s="26"/>
      <c r="I129" s="26"/>
      <c r="J129" s="26"/>
      <c r="K129" s="26"/>
      <c r="L129" s="26"/>
    </row>
    <row r="130" spans="7:12" ht="15.75" x14ac:dyDescent="0.25">
      <c r="G130" s="107"/>
      <c r="H130" s="26"/>
      <c r="I130" s="26"/>
      <c r="J130" s="26"/>
      <c r="K130" s="26"/>
      <c r="L130" s="26"/>
    </row>
    <row r="131" spans="7:12" ht="15.75" x14ac:dyDescent="0.25">
      <c r="G131" s="107"/>
      <c r="H131" s="26"/>
      <c r="I131" s="26"/>
      <c r="J131" s="26"/>
      <c r="K131" s="26"/>
      <c r="L131" s="26"/>
    </row>
    <row r="132" spans="7:12" ht="15.75" x14ac:dyDescent="0.25">
      <c r="G132" s="107"/>
      <c r="H132" s="26"/>
      <c r="I132" s="26"/>
      <c r="J132" s="26"/>
      <c r="K132" s="26"/>
      <c r="L132" s="26"/>
    </row>
    <row r="133" spans="7:12" ht="15.75" x14ac:dyDescent="0.25">
      <c r="G133" s="107"/>
      <c r="H133" s="26"/>
      <c r="I133" s="26"/>
      <c r="J133" s="26"/>
      <c r="K133" s="26"/>
      <c r="L133" s="26"/>
    </row>
    <row r="134" spans="7:12" ht="15.75" x14ac:dyDescent="0.25">
      <c r="G134" s="107"/>
      <c r="H134" s="26"/>
      <c r="I134" s="26"/>
      <c r="J134" s="26"/>
      <c r="K134" s="26"/>
      <c r="L134" s="26"/>
    </row>
    <row r="135" spans="7:12" ht="15.75" x14ac:dyDescent="0.25">
      <c r="G135" s="107"/>
      <c r="H135" s="26"/>
      <c r="I135" s="26"/>
      <c r="J135" s="26"/>
      <c r="K135" s="26"/>
      <c r="L135" s="26"/>
    </row>
    <row r="136" spans="7:12" ht="15.75" x14ac:dyDescent="0.25">
      <c r="G136" s="107"/>
      <c r="H136" s="26"/>
      <c r="I136" s="26"/>
      <c r="J136" s="26"/>
      <c r="K136" s="26"/>
      <c r="L136" s="26"/>
    </row>
    <row r="137" spans="7:12" ht="15.75" x14ac:dyDescent="0.25">
      <c r="G137" s="107"/>
      <c r="H137" s="26"/>
      <c r="I137" s="26"/>
      <c r="J137" s="26"/>
      <c r="K137" s="26"/>
      <c r="L137" s="26"/>
    </row>
    <row r="138" spans="7:12" ht="15.75" x14ac:dyDescent="0.25">
      <c r="G138" s="107"/>
      <c r="H138" s="26"/>
      <c r="I138" s="26"/>
      <c r="J138" s="26"/>
      <c r="K138" s="26"/>
      <c r="L138" s="26"/>
    </row>
    <row r="139" spans="7:12" ht="15.75" x14ac:dyDescent="0.25">
      <c r="G139" s="107"/>
      <c r="H139" s="26"/>
      <c r="I139" s="26"/>
      <c r="J139" s="26"/>
      <c r="K139" s="26"/>
      <c r="L139" s="26"/>
    </row>
    <row r="140" spans="7:12" ht="15.75" x14ac:dyDescent="0.25">
      <c r="G140" s="107"/>
      <c r="H140" s="26"/>
      <c r="I140" s="26"/>
      <c r="J140" s="26"/>
      <c r="K140" s="26"/>
      <c r="L140" s="26"/>
    </row>
    <row r="141" spans="7:12" ht="15.75" x14ac:dyDescent="0.25">
      <c r="G141" s="107"/>
      <c r="H141" s="26"/>
      <c r="I141" s="26"/>
      <c r="J141" s="26"/>
      <c r="K141" s="26"/>
      <c r="L141" s="26"/>
    </row>
    <row r="142" spans="7:12" ht="15.75" x14ac:dyDescent="0.25">
      <c r="G142" s="107"/>
      <c r="H142" s="26"/>
      <c r="I142" s="26"/>
      <c r="J142" s="26"/>
      <c r="K142" s="26"/>
      <c r="L142" s="26"/>
    </row>
    <row r="143" spans="7:12" ht="15.75" x14ac:dyDescent="0.25">
      <c r="G143" s="107"/>
      <c r="H143" s="26"/>
      <c r="I143" s="26"/>
      <c r="J143" s="26"/>
      <c r="K143" s="26"/>
      <c r="L143" s="26"/>
    </row>
    <row r="144" spans="7:12" ht="15.75" x14ac:dyDescent="0.25">
      <c r="G144" s="107"/>
      <c r="H144" s="26"/>
      <c r="I144" s="26"/>
      <c r="J144" s="26"/>
      <c r="K144" s="26"/>
      <c r="L144" s="26"/>
    </row>
    <row r="145" spans="7:12" ht="15.75" x14ac:dyDescent="0.25">
      <c r="G145" s="107"/>
      <c r="H145" s="26"/>
      <c r="I145" s="26"/>
      <c r="J145" s="26"/>
      <c r="K145" s="26"/>
      <c r="L145" s="26"/>
    </row>
  </sheetData>
  <mergeCells count="1">
    <mergeCell ref="H1:L1"/>
  </mergeCells>
  <conditionalFormatting sqref="D4:D5 D7:D8 D10:D11 D13:D23 D25:D26">
    <cfRule type="cellIs" dxfId="13" priority="218" operator="equal">
      <formula>0</formula>
    </cfRule>
  </conditionalFormatting>
  <dataValidations count="1">
    <dataValidation type="list" allowBlank="1" showInputMessage="1" sqref="H3:L3 H6:L6 H9:L9 H12:L12 H24:L24" xr:uid="{D75DA4B2-6A8E-4ADE-8E89-F83B501E68B5}">
      <formula1>"inc"</formula1>
    </dataValidation>
  </dataValidations>
  <pageMargins left="0.70866141732283472" right="0.70866141732283472" top="0.74803149606299213" bottom="0.74803149606299213" header="0.31496062992125984" footer="0.31496062992125984"/>
  <pageSetup scale="4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00000000-0002-0000-2800-000000000000}">
          <x14:formula1>
            <xm:f>Unit!$A$4:$A$11</xm:f>
          </x14:formula1>
          <xm:sqref>D3 D24 D12 D6 D9</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rgb="FFFFFF00"/>
  </sheetPr>
  <dimension ref="A1:AM424"/>
  <sheetViews>
    <sheetView view="pageBreakPreview" zoomScale="70" zoomScaleNormal="85" zoomScaleSheetLayoutView="70" zoomScalePageLayoutView="85" workbookViewId="0">
      <pane ySplit="1" topLeftCell="A2" activePane="bottomLeft" state="frozen"/>
      <selection activeCell="F30" sqref="F30"/>
      <selection pane="bottomLeft"/>
    </sheetView>
  </sheetViews>
  <sheetFormatPr defaultColWidth="8.85546875" defaultRowHeight="15" outlineLevelRow="1" outlineLevelCol="1" x14ac:dyDescent="0.25"/>
  <cols>
    <col min="1" max="1" width="11" style="25" customWidth="1"/>
    <col min="2" max="2" width="58.42578125" style="25" customWidth="1"/>
    <col min="3" max="11" width="10.5703125" style="36" customWidth="1" outlineLevel="1"/>
    <col min="12" max="12" width="11.42578125" style="36" customWidth="1" outlineLevel="1"/>
    <col min="13" max="13" width="15.5703125" style="110" customWidth="1"/>
    <col min="14" max="14" width="15.5703125" style="36" customWidth="1"/>
    <col min="15" max="18" width="15.5703125" style="25" customWidth="1" outlineLevel="1"/>
    <col min="19" max="19" width="15.5703125" style="25" customWidth="1"/>
    <col min="20" max="20" width="21.42578125" style="108" bestFit="1" customWidth="1"/>
    <col min="21" max="21" width="1.140625" style="212" customWidth="1"/>
    <col min="22" max="25" width="15.5703125" style="25" customWidth="1" outlineLevel="1"/>
    <col min="26" max="26" width="17.5703125" style="25" customWidth="1" outlineLevel="1"/>
    <col min="27" max="28" width="18.5703125" style="88" customWidth="1" outlineLevel="1"/>
    <col min="29" max="34" width="18.5703125" style="25" customWidth="1" outlineLevel="1"/>
    <col min="35" max="36" width="18.5703125" style="25" customWidth="1"/>
    <col min="37" max="16384" width="8.85546875" style="25"/>
  </cols>
  <sheetData>
    <row r="1" spans="1:39" s="69" customFormat="1" ht="39.950000000000003" customHeight="1" thickBot="1" x14ac:dyDescent="0.3">
      <c r="A1" s="23" t="s">
        <v>0</v>
      </c>
      <c r="B1" s="63" t="s">
        <v>14</v>
      </c>
      <c r="C1" s="64" t="s">
        <v>826</v>
      </c>
      <c r="D1" s="64" t="s">
        <v>827</v>
      </c>
      <c r="E1" s="64" t="s">
        <v>828</v>
      </c>
      <c r="F1" s="307" t="s">
        <v>900</v>
      </c>
      <c r="G1" s="64" t="s">
        <v>5</v>
      </c>
      <c r="H1" s="64" t="s">
        <v>6</v>
      </c>
      <c r="I1" s="64" t="s">
        <v>7</v>
      </c>
      <c r="J1" s="64" t="s">
        <v>8</v>
      </c>
      <c r="K1" s="64" t="s">
        <v>9</v>
      </c>
      <c r="L1" s="64" t="s">
        <v>10</v>
      </c>
      <c r="M1" s="65" t="s">
        <v>1</v>
      </c>
      <c r="N1" s="66" t="s">
        <v>2</v>
      </c>
      <c r="O1" s="67" t="s">
        <v>26</v>
      </c>
      <c r="P1" s="67" t="s">
        <v>27</v>
      </c>
      <c r="Q1" s="111" t="s">
        <v>28</v>
      </c>
      <c r="R1" s="67" t="s">
        <v>34</v>
      </c>
      <c r="S1" s="67" t="s">
        <v>3</v>
      </c>
      <c r="T1" s="68" t="s">
        <v>4</v>
      </c>
      <c r="U1" s="215"/>
      <c r="V1" s="610" t="s">
        <v>626</v>
      </c>
      <c r="W1" s="611"/>
      <c r="X1" s="611"/>
      <c r="Y1" s="611"/>
      <c r="Z1" s="611"/>
      <c r="AA1" s="81" t="s">
        <v>22</v>
      </c>
      <c r="AB1" s="71"/>
      <c r="AC1" s="626" t="s">
        <v>155</v>
      </c>
      <c r="AD1" s="627"/>
      <c r="AE1" s="627"/>
      <c r="AF1" s="627"/>
      <c r="AG1" s="627"/>
      <c r="AH1" s="628"/>
    </row>
    <row r="2" spans="1:39" s="79" customFormat="1" ht="20.100000000000001" customHeight="1" thickBot="1" x14ac:dyDescent="0.4">
      <c r="A2" s="72">
        <f>Miscellaneous!A2+1</f>
        <v>34</v>
      </c>
      <c r="B2" s="73" t="str" cm="1">
        <f t="array" aca="1" ref="B2" ca="1">UPPER(MID(CELL("filename",A1),FIND("]",CELL("filename",A1))+1,255))</f>
        <v>STANDARD BLANK</v>
      </c>
      <c r="C2" s="74"/>
      <c r="D2" s="74"/>
      <c r="E2" s="74"/>
      <c r="F2" s="74"/>
      <c r="G2" s="74"/>
      <c r="H2" s="74"/>
      <c r="I2" s="74"/>
      <c r="J2" s="74"/>
      <c r="K2" s="74"/>
      <c r="L2" s="74"/>
      <c r="M2" s="75"/>
      <c r="N2" s="76"/>
      <c r="O2" s="77"/>
      <c r="P2" s="77"/>
      <c r="Q2" s="77"/>
      <c r="R2" s="77"/>
      <c r="S2" s="77"/>
      <c r="T2" s="78"/>
      <c r="U2" s="207"/>
      <c r="V2" s="221" t="s">
        <v>26</v>
      </c>
      <c r="W2" s="222" t="s">
        <v>27</v>
      </c>
      <c r="X2" s="222" t="s">
        <v>28</v>
      </c>
      <c r="Y2" s="222" t="s">
        <v>34</v>
      </c>
      <c r="Z2" s="222" t="s">
        <v>615</v>
      </c>
      <c r="AA2" s="80"/>
      <c r="AB2" s="71"/>
      <c r="AC2" s="81" t="s">
        <v>26</v>
      </c>
      <c r="AD2" s="81" t="s">
        <v>36</v>
      </c>
      <c r="AE2" s="81" t="s">
        <v>28</v>
      </c>
      <c r="AF2" s="81" t="s">
        <v>34</v>
      </c>
      <c r="AG2" s="81" t="s">
        <v>32</v>
      </c>
      <c r="AH2" s="81" t="s">
        <v>4</v>
      </c>
    </row>
    <row r="3" spans="1:39" s="90" customFormat="1" ht="18.75" x14ac:dyDescent="0.25">
      <c r="A3" s="82" t="str">
        <f ca="1">IF(M3&gt;0,MAX($A$1:OFFSET(A3,-1,0))+0.01,"")</f>
        <v/>
      </c>
      <c r="B3" s="27"/>
      <c r="C3" s="28"/>
      <c r="D3" s="28"/>
      <c r="E3" s="28"/>
      <c r="F3" s="28"/>
      <c r="G3" s="28"/>
      <c r="H3" s="28"/>
      <c r="I3" s="28"/>
      <c r="J3" s="35"/>
      <c r="K3" s="35"/>
      <c r="L3" s="35"/>
      <c r="M3" s="97">
        <f>SUM(M4:M13)</f>
        <v>0</v>
      </c>
      <c r="N3" s="29"/>
      <c r="O3" s="84">
        <f>IFERROR(IF($Z3&lt;&gt;0,0,IF($Z3="inc",0,IF(V3&lt;&gt;0,V3/$M3,IF(V3="inc",0,SUMPRODUCT($M4:$M13,O4:O13)/$M3)))),0)*Notes!$C$17</f>
        <v>0</v>
      </c>
      <c r="P3" s="84">
        <f>IFERROR(IF($Z3&lt;&gt;0,0,IF($Z3="inc",0,IF(W3&lt;&gt;0,W3/$M3,IF(W3="inc",0,SUMPRODUCT($M4:$M13,P4:P13)/$M3)))),0)*Notes!$C$17</f>
        <v>0</v>
      </c>
      <c r="Q3" s="84">
        <f>IFERROR(IF($Z3&lt;&gt;0,0,IF($Z3="inc",0,IF(X3&lt;&gt;0,X3/$M3,IF(X3="inc",0,SUMPRODUCT($M4:$M13,Q4:Q13)/$M3)))),0)*Notes!$C$17</f>
        <v>0</v>
      </c>
      <c r="R3" s="84">
        <f>IFERROR(IF($Z3&lt;&gt;0,0,IF($Z3="inc",0,IF(Y3&lt;&gt;0,Y3/$M3,IF(Y3="inc",0,SUMPRODUCT($M4:$M13,R4:R13)/$M3)))),0)*Notes!$C$17</f>
        <v>0</v>
      </c>
      <c r="S3" s="85">
        <f>IFERROR(IF(Z3="inc","inc",IF(AND(Z3&gt;0,M3&gt;0),Z3/M3,IF(SUM(O3:R3)&gt;0,SUM(O3:R3),0))),0)</f>
        <v>0</v>
      </c>
      <c r="T3" s="86">
        <f>IF(S3="inc",0,IF(M3="",0,M3*S3))</f>
        <v>0</v>
      </c>
      <c r="U3" s="208"/>
      <c r="V3" s="30"/>
      <c r="W3" s="30"/>
      <c r="X3" s="30"/>
      <c r="Y3" s="30"/>
      <c r="Z3" s="30"/>
      <c r="AA3" s="87"/>
      <c r="AB3" s="88"/>
      <c r="AC3" s="89">
        <f>IFERROR($M3*O3,0)</f>
        <v>0</v>
      </c>
      <c r="AD3" s="89">
        <f>IFERROR($M3*P3,0)</f>
        <v>0</v>
      </c>
      <c r="AE3" s="89">
        <f>IFERROR($M3*Q3,0)</f>
        <v>0</v>
      </c>
      <c r="AF3" s="89">
        <f>IFERROR($M3*R3,0)</f>
        <v>0</v>
      </c>
      <c r="AG3" s="89">
        <f>IFERROR(Z3,0)</f>
        <v>0</v>
      </c>
      <c r="AH3" s="89">
        <f>IFERROR(IF(SUM(AC3:AG3)&gt;0,SUM(AC3:AG3),0),0)</f>
        <v>0</v>
      </c>
      <c r="AI3" s="25"/>
      <c r="AJ3" s="25"/>
      <c r="AK3" s="25"/>
      <c r="AL3" s="25"/>
      <c r="AM3" s="25"/>
    </row>
    <row r="4" spans="1:39" s="94" customFormat="1" ht="15.75" x14ac:dyDescent="0.25">
      <c r="A4" s="24"/>
      <c r="B4" s="24"/>
      <c r="C4" s="22"/>
      <c r="D4" s="22"/>
      <c r="E4" s="22"/>
      <c r="F4" s="22"/>
      <c r="G4" s="22"/>
      <c r="H4" s="22"/>
      <c r="I4" s="22"/>
      <c r="J4" s="22"/>
      <c r="K4" s="22"/>
      <c r="L4" s="22"/>
      <c r="M4" s="32" t="str">
        <f t="shared" ref="M4:M13" si="0">IF(SUM(G4:L4)=0,"",IF(G4=0,1,G4)*IF(H4=0,1,H4)*IF(I4=0,1,I4)*IF(J4=0,1,J4)*IF(K4=0,1,K4)*IF(L4=0,1,L4))</f>
        <v/>
      </c>
      <c r="N4" s="32">
        <f t="shared" ref="N4:N13" si="1">IF(COUNTA(G4:L4)=0,0,IF(M4="","",IF(J4-SUM(G4+H4+I4+K4+L4)=J4,"Lm",IF(COUNTA(G4:L4)&gt;4,"ERROR",IF(L4&gt;0,"m3",IF(COUNTA(K4,J4)=2,"m3",IF(COUNTA(G4:J4)=4,"m3",IF(COUNTA(H4:J4)=3,"m3",IF(K4&gt;0,"m2",IF(COUNTA(H4,I4)=2,"m2",IF(COUNTA(G4:J4)=3,"m2",IF(COUNTA(H4:J4)=2,"m2",IF(COUNTA(G4:J4)=2,"Lm",IF(H4&gt;0,"Lm",IF(I4&gt;0,"Lm",IF(G4&gt;0,"No.",))))))))))))))))</f>
        <v>0</v>
      </c>
      <c r="O4" s="26"/>
      <c r="P4" s="26"/>
      <c r="Q4" s="26"/>
      <c r="R4" s="26"/>
      <c r="S4" s="26"/>
      <c r="T4" s="33"/>
      <c r="U4" s="210"/>
      <c r="V4" s="26"/>
      <c r="W4" s="26"/>
      <c r="X4" s="26"/>
      <c r="Y4" s="26"/>
      <c r="Z4" s="26"/>
      <c r="AA4" s="34"/>
      <c r="AB4" s="32"/>
      <c r="AC4" s="89"/>
      <c r="AD4" s="89"/>
      <c r="AE4" s="89"/>
      <c r="AF4" s="89"/>
      <c r="AG4" s="89"/>
      <c r="AH4" s="89"/>
      <c r="AI4" s="44"/>
    </row>
    <row r="5" spans="1:39" s="94" customFormat="1" ht="15.75" hidden="1" outlineLevel="1" x14ac:dyDescent="0.25">
      <c r="A5" s="24"/>
      <c r="B5" s="24"/>
      <c r="C5" s="22"/>
      <c r="D5" s="22"/>
      <c r="E5" s="22"/>
      <c r="F5" s="22"/>
      <c r="G5" s="22"/>
      <c r="H5" s="22"/>
      <c r="I5" s="22"/>
      <c r="J5" s="22"/>
      <c r="K5" s="22"/>
      <c r="L5" s="22"/>
      <c r="M5" s="32" t="str">
        <f t="shared" si="0"/>
        <v/>
      </c>
      <c r="N5" s="32">
        <f t="shared" si="1"/>
        <v>0</v>
      </c>
      <c r="O5" s="26"/>
      <c r="P5" s="26"/>
      <c r="Q5" s="26"/>
      <c r="R5" s="26"/>
      <c r="S5" s="26"/>
      <c r="T5" s="33"/>
      <c r="U5" s="210"/>
      <c r="V5" s="26"/>
      <c r="W5" s="26"/>
      <c r="X5" s="26"/>
      <c r="Y5" s="26"/>
      <c r="Z5" s="26"/>
      <c r="AA5" s="34"/>
      <c r="AB5" s="32"/>
      <c r="AC5" s="89"/>
      <c r="AD5" s="89"/>
      <c r="AE5" s="89"/>
      <c r="AF5" s="89"/>
      <c r="AG5" s="89"/>
      <c r="AH5" s="89"/>
      <c r="AI5" s="44"/>
    </row>
    <row r="6" spans="1:39" s="94" customFormat="1" ht="15.75" hidden="1" outlineLevel="1" x14ac:dyDescent="0.25">
      <c r="A6" s="24"/>
      <c r="B6" s="24"/>
      <c r="C6" s="22"/>
      <c r="D6" s="22"/>
      <c r="E6" s="22"/>
      <c r="F6" s="22"/>
      <c r="G6" s="22"/>
      <c r="H6" s="22"/>
      <c r="I6" s="22"/>
      <c r="J6" s="22"/>
      <c r="K6" s="22"/>
      <c r="L6" s="22"/>
      <c r="M6" s="32" t="str">
        <f t="shared" si="0"/>
        <v/>
      </c>
      <c r="N6" s="32">
        <f t="shared" si="1"/>
        <v>0</v>
      </c>
      <c r="O6" s="26"/>
      <c r="P6" s="26"/>
      <c r="Q6" s="26"/>
      <c r="R6" s="26"/>
      <c r="S6" s="26"/>
      <c r="T6" s="33"/>
      <c r="U6" s="210"/>
      <c r="V6" s="26"/>
      <c r="W6" s="26"/>
      <c r="X6" s="26"/>
      <c r="Y6" s="26"/>
      <c r="Z6" s="26"/>
      <c r="AA6" s="34"/>
      <c r="AB6" s="32"/>
      <c r="AC6" s="89"/>
      <c r="AD6" s="89"/>
      <c r="AE6" s="89"/>
      <c r="AF6" s="89"/>
      <c r="AG6" s="89"/>
      <c r="AH6" s="89"/>
      <c r="AI6" s="44"/>
    </row>
    <row r="7" spans="1:39" s="94" customFormat="1" ht="15.75" hidden="1" outlineLevel="1" x14ac:dyDescent="0.25">
      <c r="A7" s="24"/>
      <c r="B7" s="24"/>
      <c r="C7" s="22"/>
      <c r="D7" s="22"/>
      <c r="E7" s="22"/>
      <c r="F7" s="22"/>
      <c r="G7" s="22"/>
      <c r="H7" s="22"/>
      <c r="I7" s="22"/>
      <c r="J7" s="22"/>
      <c r="K7" s="22"/>
      <c r="L7" s="22"/>
      <c r="M7" s="32" t="str">
        <f t="shared" si="0"/>
        <v/>
      </c>
      <c r="N7" s="32">
        <f t="shared" si="1"/>
        <v>0</v>
      </c>
      <c r="O7" s="26"/>
      <c r="P7" s="26"/>
      <c r="Q7" s="26"/>
      <c r="R7" s="26"/>
      <c r="S7" s="26"/>
      <c r="T7" s="33"/>
      <c r="U7" s="210"/>
      <c r="V7" s="26"/>
      <c r="W7" s="26"/>
      <c r="X7" s="26"/>
      <c r="Y7" s="26"/>
      <c r="Z7" s="26"/>
      <c r="AA7" s="34"/>
      <c r="AB7" s="32"/>
      <c r="AC7" s="89"/>
      <c r="AD7" s="89"/>
      <c r="AE7" s="89"/>
      <c r="AF7" s="89"/>
      <c r="AG7" s="89"/>
      <c r="AH7" s="89"/>
      <c r="AI7" s="44"/>
    </row>
    <row r="8" spans="1:39" s="94" customFormat="1" ht="15.75" hidden="1" outlineLevel="1" x14ac:dyDescent="0.25">
      <c r="A8" s="24"/>
      <c r="B8" s="24"/>
      <c r="C8" s="22"/>
      <c r="D8" s="22"/>
      <c r="E8" s="22"/>
      <c r="F8" s="22"/>
      <c r="G8" s="22"/>
      <c r="H8" s="22"/>
      <c r="I8" s="22"/>
      <c r="J8" s="22"/>
      <c r="K8" s="22"/>
      <c r="L8" s="22"/>
      <c r="M8" s="32" t="str">
        <f t="shared" si="0"/>
        <v/>
      </c>
      <c r="N8" s="32">
        <f t="shared" si="1"/>
        <v>0</v>
      </c>
      <c r="O8" s="26"/>
      <c r="P8" s="26"/>
      <c r="Q8" s="26"/>
      <c r="R8" s="26"/>
      <c r="S8" s="26"/>
      <c r="T8" s="33"/>
      <c r="U8" s="210"/>
      <c r="V8" s="26"/>
      <c r="W8" s="26"/>
      <c r="X8" s="26"/>
      <c r="Y8" s="26"/>
      <c r="Z8" s="26"/>
      <c r="AA8" s="34"/>
      <c r="AB8" s="32"/>
      <c r="AC8" s="89"/>
      <c r="AD8" s="89"/>
      <c r="AE8" s="89"/>
      <c r="AF8" s="89"/>
      <c r="AG8" s="89"/>
      <c r="AH8" s="89"/>
      <c r="AI8" s="44"/>
    </row>
    <row r="9" spans="1:39" s="94" customFormat="1" ht="15.75" hidden="1" outlineLevel="1" x14ac:dyDescent="0.25">
      <c r="A9" s="24"/>
      <c r="B9" s="24"/>
      <c r="C9" s="22"/>
      <c r="D9" s="22"/>
      <c r="E9" s="22"/>
      <c r="F9" s="22"/>
      <c r="G9" s="22"/>
      <c r="H9" s="22"/>
      <c r="I9" s="22"/>
      <c r="J9" s="22"/>
      <c r="K9" s="22"/>
      <c r="L9" s="22"/>
      <c r="M9" s="32" t="str">
        <f t="shared" si="0"/>
        <v/>
      </c>
      <c r="N9" s="32">
        <f t="shared" si="1"/>
        <v>0</v>
      </c>
      <c r="O9" s="26"/>
      <c r="P9" s="26"/>
      <c r="Q9" s="26"/>
      <c r="R9" s="26"/>
      <c r="S9" s="26"/>
      <c r="T9" s="33"/>
      <c r="U9" s="210"/>
      <c r="V9" s="26"/>
      <c r="W9" s="26"/>
      <c r="X9" s="26"/>
      <c r="Y9" s="26"/>
      <c r="Z9" s="26"/>
      <c r="AA9" s="34"/>
      <c r="AB9" s="32"/>
      <c r="AC9" s="89"/>
      <c r="AD9" s="89"/>
      <c r="AE9" s="89"/>
      <c r="AF9" s="89"/>
      <c r="AG9" s="89"/>
      <c r="AH9" s="89"/>
      <c r="AI9" s="44"/>
    </row>
    <row r="10" spans="1:39" s="94" customFormat="1" ht="15.75" hidden="1" outlineLevel="1" x14ac:dyDescent="0.25">
      <c r="A10" s="24"/>
      <c r="B10" s="24"/>
      <c r="C10" s="22"/>
      <c r="D10" s="22"/>
      <c r="E10" s="22"/>
      <c r="F10" s="22"/>
      <c r="G10" s="22"/>
      <c r="H10" s="22"/>
      <c r="I10" s="22"/>
      <c r="J10" s="22"/>
      <c r="K10" s="22"/>
      <c r="L10" s="22"/>
      <c r="M10" s="32" t="str">
        <f t="shared" si="0"/>
        <v/>
      </c>
      <c r="N10" s="32">
        <f t="shared" si="1"/>
        <v>0</v>
      </c>
      <c r="O10" s="26"/>
      <c r="P10" s="26"/>
      <c r="Q10" s="26"/>
      <c r="R10" s="26"/>
      <c r="S10" s="26"/>
      <c r="T10" s="33"/>
      <c r="U10" s="210"/>
      <c r="V10" s="26"/>
      <c r="W10" s="26"/>
      <c r="X10" s="26"/>
      <c r="Y10" s="26"/>
      <c r="Z10" s="26"/>
      <c r="AA10" s="34"/>
      <c r="AB10" s="32"/>
      <c r="AC10" s="89"/>
      <c r="AD10" s="89"/>
      <c r="AE10" s="89"/>
      <c r="AF10" s="89"/>
      <c r="AG10" s="89"/>
      <c r="AH10" s="89"/>
      <c r="AI10" s="44"/>
    </row>
    <row r="11" spans="1:39" s="94" customFormat="1" ht="15.75" hidden="1" outlineLevel="1" x14ac:dyDescent="0.25">
      <c r="A11" s="24"/>
      <c r="B11" s="24"/>
      <c r="C11" s="22"/>
      <c r="D11" s="22"/>
      <c r="E11" s="22"/>
      <c r="F11" s="22"/>
      <c r="G11" s="22"/>
      <c r="H11" s="22"/>
      <c r="I11" s="22"/>
      <c r="J11" s="22"/>
      <c r="K11" s="22"/>
      <c r="L11" s="22"/>
      <c r="M11" s="32" t="str">
        <f t="shared" si="0"/>
        <v/>
      </c>
      <c r="N11" s="32">
        <f t="shared" si="1"/>
        <v>0</v>
      </c>
      <c r="O11" s="26"/>
      <c r="P11" s="26"/>
      <c r="Q11" s="26"/>
      <c r="R11" s="26"/>
      <c r="S11" s="26"/>
      <c r="T11" s="33"/>
      <c r="U11" s="208"/>
      <c r="V11" s="26"/>
      <c r="W11" s="26"/>
      <c r="X11" s="26"/>
      <c r="Y11" s="26"/>
      <c r="Z11" s="26"/>
      <c r="AA11" s="34"/>
      <c r="AB11" s="32"/>
      <c r="AC11" s="89"/>
      <c r="AD11" s="89"/>
      <c r="AE11" s="89"/>
      <c r="AF11" s="89"/>
      <c r="AG11" s="89"/>
      <c r="AH11" s="89"/>
      <c r="AI11" s="44"/>
    </row>
    <row r="12" spans="1:39" s="94" customFormat="1" ht="15.75" hidden="1" outlineLevel="1" x14ac:dyDescent="0.25">
      <c r="A12" s="24"/>
      <c r="B12" s="24"/>
      <c r="C12" s="22"/>
      <c r="D12" s="22"/>
      <c r="E12" s="22"/>
      <c r="F12" s="22"/>
      <c r="G12" s="22"/>
      <c r="H12" s="22"/>
      <c r="I12" s="22"/>
      <c r="J12" s="22"/>
      <c r="K12" s="22"/>
      <c r="L12" s="22"/>
      <c r="M12" s="32" t="str">
        <f t="shared" si="0"/>
        <v/>
      </c>
      <c r="N12" s="32">
        <f t="shared" si="1"/>
        <v>0</v>
      </c>
      <c r="O12" s="26"/>
      <c r="P12" s="26"/>
      <c r="Q12" s="26"/>
      <c r="R12" s="26"/>
      <c r="S12" s="26"/>
      <c r="T12" s="33"/>
      <c r="U12" s="210"/>
      <c r="V12" s="26"/>
      <c r="W12" s="26"/>
      <c r="X12" s="26"/>
      <c r="Y12" s="26"/>
      <c r="Z12" s="26"/>
      <c r="AA12" s="34"/>
      <c r="AB12" s="32"/>
      <c r="AC12" s="89"/>
      <c r="AD12" s="89"/>
      <c r="AE12" s="89"/>
      <c r="AF12" s="89"/>
      <c r="AG12" s="89"/>
      <c r="AH12" s="89"/>
      <c r="AI12" s="44"/>
    </row>
    <row r="13" spans="1:39" s="94" customFormat="1" ht="15.75" collapsed="1" x14ac:dyDescent="0.25">
      <c r="A13" s="24"/>
      <c r="B13" s="24"/>
      <c r="C13" s="22"/>
      <c r="D13" s="22"/>
      <c r="E13" s="22"/>
      <c r="F13" s="22"/>
      <c r="G13" s="22"/>
      <c r="H13" s="22"/>
      <c r="I13" s="22"/>
      <c r="J13" s="22"/>
      <c r="K13" s="22"/>
      <c r="L13" s="22"/>
      <c r="M13" s="32" t="str">
        <f t="shared" si="0"/>
        <v/>
      </c>
      <c r="N13" s="32">
        <f t="shared" si="1"/>
        <v>0</v>
      </c>
      <c r="O13" s="26"/>
      <c r="P13" s="26"/>
      <c r="Q13" s="26"/>
      <c r="R13" s="26"/>
      <c r="S13" s="26"/>
      <c r="T13" s="33"/>
      <c r="U13" s="210"/>
      <c r="V13" s="26"/>
      <c r="W13" s="26"/>
      <c r="X13" s="26"/>
      <c r="Y13" s="26"/>
      <c r="Z13" s="26"/>
      <c r="AA13" s="34"/>
      <c r="AB13" s="32"/>
      <c r="AC13" s="89"/>
      <c r="AD13" s="89"/>
      <c r="AE13" s="89"/>
      <c r="AF13" s="89"/>
      <c r="AG13" s="89"/>
      <c r="AH13" s="89"/>
      <c r="AI13" s="44"/>
    </row>
    <row r="14" spans="1:39" s="90" customFormat="1" ht="18.75" x14ac:dyDescent="0.25">
      <c r="A14" s="82" t="str">
        <f ca="1">IF(M14&gt;0,MAX($A$1:OFFSET(A14,-1,0))+0.01,"")</f>
        <v/>
      </c>
      <c r="B14" s="27"/>
      <c r="C14" s="28"/>
      <c r="D14" s="28"/>
      <c r="E14" s="28"/>
      <c r="F14" s="28"/>
      <c r="G14" s="28"/>
      <c r="H14" s="28"/>
      <c r="I14" s="28"/>
      <c r="J14" s="35"/>
      <c r="K14" s="35"/>
      <c r="L14" s="35"/>
      <c r="M14" s="97">
        <f>SUM(M15:M24)</f>
        <v>0</v>
      </c>
      <c r="N14" s="29"/>
      <c r="O14" s="84">
        <f>IFERROR(IF($Z14&lt;&gt;0,0,IF($Z14="inc",0,IF(V14&lt;&gt;0,V14/$M14,IF(V14="inc",0,SUMPRODUCT($M15:$M24,O15:O24)/$M14)))),0)*Notes!$C$17</f>
        <v>0</v>
      </c>
      <c r="P14" s="84">
        <f>IFERROR(IF($Z14&lt;&gt;0,0,IF($Z14="inc",0,IF(W14&lt;&gt;0,W14/$M14,IF(W14="inc",0,SUMPRODUCT($M15:$M24,P15:P24)/$M14)))),0)*Notes!$C$17</f>
        <v>0</v>
      </c>
      <c r="Q14" s="84">
        <f>IFERROR(IF($Z14&lt;&gt;0,0,IF($Z14="inc",0,IF(X14&lt;&gt;0,X14/$M14,IF(X14="inc",0,SUMPRODUCT($M15:$M24,Q15:Q24)/$M14)))),0)*Notes!$C$17</f>
        <v>0</v>
      </c>
      <c r="R14" s="84">
        <f>IFERROR(IF($Z14&lt;&gt;0,0,IF($Z14="inc",0,IF(Y14&lt;&gt;0,Y14/$M14,IF(Y14="inc",0,SUMPRODUCT($M15:$M24,R15:R24)/$M14)))),0)*Notes!$C$17</f>
        <v>0</v>
      </c>
      <c r="S14" s="85">
        <f>IFERROR(IF(Z14="inc","inc",IF(AND(Z14&gt;0,M14&gt;0),Z14/M14,IF(SUM(O14:R14)&gt;0,SUM(O14:R14),0))),0)</f>
        <v>0</v>
      </c>
      <c r="T14" s="86">
        <f>IF(S14="inc",0,IF(M14="",0,M14*S14))</f>
        <v>0</v>
      </c>
      <c r="U14" s="208"/>
      <c r="V14" s="30"/>
      <c r="W14" s="30"/>
      <c r="X14" s="30"/>
      <c r="Y14" s="30"/>
      <c r="Z14" s="30"/>
      <c r="AA14" s="87"/>
      <c r="AB14" s="88"/>
      <c r="AC14" s="89">
        <f>IFERROR($M14*O14,0)</f>
        <v>0</v>
      </c>
      <c r="AD14" s="89">
        <f>IFERROR($M14*P14,0)</f>
        <v>0</v>
      </c>
      <c r="AE14" s="89">
        <f>IFERROR($M14*Q14,0)</f>
        <v>0</v>
      </c>
      <c r="AF14" s="89">
        <f>IFERROR($M14*R14,0)</f>
        <v>0</v>
      </c>
      <c r="AG14" s="89">
        <f>IFERROR(Z14,0)</f>
        <v>0</v>
      </c>
      <c r="AH14" s="89">
        <f>IFERROR(IF(SUM(AC14:AG14)&gt;0,SUM(AC14:AG14),0),0)</f>
        <v>0</v>
      </c>
      <c r="AI14" s="25"/>
      <c r="AJ14" s="25"/>
      <c r="AK14" s="25"/>
      <c r="AL14" s="25"/>
      <c r="AM14" s="25"/>
    </row>
    <row r="15" spans="1:39" s="94" customFormat="1" ht="15.75" x14ac:dyDescent="0.25">
      <c r="A15" s="24"/>
      <c r="B15" s="24"/>
      <c r="C15" s="22"/>
      <c r="D15" s="22"/>
      <c r="E15" s="22"/>
      <c r="F15" s="22"/>
      <c r="G15" s="22"/>
      <c r="H15" s="22"/>
      <c r="I15" s="22"/>
      <c r="J15" s="22"/>
      <c r="K15" s="22"/>
      <c r="L15" s="22"/>
      <c r="M15" s="32" t="str">
        <f t="shared" ref="M15:M24" si="2">IF(SUM(G15:L15)=0,"",IF(G15=0,1,G15)*IF(H15=0,1,H15)*IF(I15=0,1,I15)*IF(J15=0,1,J15)*IF(K15=0,1,K15)*IF(L15=0,1,L15))</f>
        <v/>
      </c>
      <c r="N15" s="32">
        <f t="shared" ref="N15:N24" si="3">IF(COUNTA(G15:L15)=0,0,IF(M15="","",IF(J15-SUM(G15+H15+I15+K15+L15)=J15,"Lm",IF(COUNTA(G15:L15)&gt;4,"ERROR",IF(L15&gt;0,"m3",IF(COUNTA(K15,J15)=2,"m3",IF(COUNTA(G15:J15)=4,"m3",IF(COUNTA(H15:J15)=3,"m3",IF(K15&gt;0,"m2",IF(COUNTA(H15,I15)=2,"m2",IF(COUNTA(G15:J15)=3,"m2",IF(COUNTA(H15:J15)=2,"m2",IF(COUNTA(G15:J15)=2,"Lm",IF(H15&gt;0,"Lm",IF(I15&gt;0,"Lm",IF(G15&gt;0,"No.",))))))))))))))))</f>
        <v>0</v>
      </c>
      <c r="O15" s="26"/>
      <c r="P15" s="26"/>
      <c r="Q15" s="26"/>
      <c r="R15" s="26"/>
      <c r="S15" s="26"/>
      <c r="T15" s="33"/>
      <c r="U15" s="210"/>
      <c r="V15" s="26"/>
      <c r="W15" s="26"/>
      <c r="X15" s="26"/>
      <c r="Y15" s="26"/>
      <c r="Z15" s="26"/>
      <c r="AA15" s="34"/>
      <c r="AB15" s="32"/>
      <c r="AC15" s="89"/>
      <c r="AD15" s="89"/>
      <c r="AE15" s="89"/>
      <c r="AF15" s="89"/>
      <c r="AG15" s="89"/>
      <c r="AH15" s="89"/>
      <c r="AI15" s="44"/>
    </row>
    <row r="16" spans="1:39" s="94" customFormat="1" ht="15.75" hidden="1" outlineLevel="1" x14ac:dyDescent="0.25">
      <c r="A16" s="24"/>
      <c r="B16" s="24"/>
      <c r="C16" s="22"/>
      <c r="D16" s="22"/>
      <c r="E16" s="22"/>
      <c r="F16" s="22"/>
      <c r="G16" s="22"/>
      <c r="H16" s="22"/>
      <c r="I16" s="22"/>
      <c r="J16" s="22"/>
      <c r="K16" s="22"/>
      <c r="L16" s="22"/>
      <c r="M16" s="32" t="str">
        <f t="shared" si="2"/>
        <v/>
      </c>
      <c r="N16" s="32">
        <f t="shared" si="3"/>
        <v>0</v>
      </c>
      <c r="O16" s="26"/>
      <c r="P16" s="26"/>
      <c r="Q16" s="26"/>
      <c r="R16" s="26"/>
      <c r="S16" s="26"/>
      <c r="T16" s="33"/>
      <c r="U16" s="210"/>
      <c r="V16" s="26"/>
      <c r="W16" s="26"/>
      <c r="X16" s="26"/>
      <c r="Y16" s="26"/>
      <c r="Z16" s="26"/>
      <c r="AA16" s="34"/>
      <c r="AB16" s="32"/>
      <c r="AC16" s="89"/>
      <c r="AD16" s="89"/>
      <c r="AE16" s="89"/>
      <c r="AF16" s="89"/>
      <c r="AG16" s="89"/>
      <c r="AH16" s="89"/>
      <c r="AI16" s="44"/>
    </row>
    <row r="17" spans="1:39" s="94" customFormat="1" ht="15.75" hidden="1" outlineLevel="1" x14ac:dyDescent="0.25">
      <c r="A17" s="24"/>
      <c r="B17" s="24"/>
      <c r="C17" s="22"/>
      <c r="D17" s="22"/>
      <c r="E17" s="22"/>
      <c r="F17" s="22"/>
      <c r="G17" s="22"/>
      <c r="H17" s="22"/>
      <c r="I17" s="22"/>
      <c r="J17" s="22"/>
      <c r="K17" s="22"/>
      <c r="L17" s="22"/>
      <c r="M17" s="32" t="str">
        <f t="shared" si="2"/>
        <v/>
      </c>
      <c r="N17" s="32">
        <f t="shared" si="3"/>
        <v>0</v>
      </c>
      <c r="O17" s="26"/>
      <c r="P17" s="26"/>
      <c r="Q17" s="26"/>
      <c r="R17" s="26"/>
      <c r="S17" s="26"/>
      <c r="T17" s="33"/>
      <c r="U17" s="210"/>
      <c r="V17" s="26"/>
      <c r="W17" s="26"/>
      <c r="X17" s="26"/>
      <c r="Y17" s="26"/>
      <c r="Z17" s="26"/>
      <c r="AA17" s="34"/>
      <c r="AB17" s="32"/>
      <c r="AC17" s="89"/>
      <c r="AD17" s="89"/>
      <c r="AE17" s="89"/>
      <c r="AF17" s="89"/>
      <c r="AG17" s="89"/>
      <c r="AH17" s="89"/>
      <c r="AI17" s="44"/>
    </row>
    <row r="18" spans="1:39" s="94" customFormat="1" ht="15.75" hidden="1" outlineLevel="1" x14ac:dyDescent="0.25">
      <c r="A18" s="24"/>
      <c r="B18" s="24"/>
      <c r="C18" s="22"/>
      <c r="D18" s="22"/>
      <c r="E18" s="22"/>
      <c r="F18" s="22"/>
      <c r="G18" s="22"/>
      <c r="H18" s="22"/>
      <c r="I18" s="22"/>
      <c r="J18" s="22"/>
      <c r="K18" s="22"/>
      <c r="L18" s="22"/>
      <c r="M18" s="32" t="str">
        <f t="shared" si="2"/>
        <v/>
      </c>
      <c r="N18" s="32">
        <f t="shared" si="3"/>
        <v>0</v>
      </c>
      <c r="O18" s="26"/>
      <c r="P18" s="26"/>
      <c r="Q18" s="26"/>
      <c r="R18" s="26"/>
      <c r="S18" s="26"/>
      <c r="T18" s="33"/>
      <c r="U18" s="210"/>
      <c r="V18" s="26"/>
      <c r="W18" s="26"/>
      <c r="X18" s="26"/>
      <c r="Y18" s="26"/>
      <c r="Z18" s="26"/>
      <c r="AA18" s="34"/>
      <c r="AB18" s="32"/>
      <c r="AC18" s="89"/>
      <c r="AD18" s="89"/>
      <c r="AE18" s="89"/>
      <c r="AF18" s="89"/>
      <c r="AG18" s="89"/>
      <c r="AH18" s="89"/>
      <c r="AI18" s="44"/>
    </row>
    <row r="19" spans="1:39" s="94" customFormat="1" ht="15.75" hidden="1" outlineLevel="1" x14ac:dyDescent="0.25">
      <c r="A19" s="24"/>
      <c r="B19" s="24"/>
      <c r="C19" s="22"/>
      <c r="D19" s="22"/>
      <c r="E19" s="22"/>
      <c r="F19" s="22"/>
      <c r="G19" s="22"/>
      <c r="H19" s="22"/>
      <c r="I19" s="22"/>
      <c r="J19" s="22"/>
      <c r="K19" s="22"/>
      <c r="L19" s="22"/>
      <c r="M19" s="32" t="str">
        <f t="shared" si="2"/>
        <v/>
      </c>
      <c r="N19" s="32">
        <f t="shared" si="3"/>
        <v>0</v>
      </c>
      <c r="O19" s="26"/>
      <c r="P19" s="26"/>
      <c r="Q19" s="26"/>
      <c r="R19" s="26"/>
      <c r="S19" s="26"/>
      <c r="T19" s="33"/>
      <c r="U19" s="210"/>
      <c r="V19" s="26"/>
      <c r="W19" s="26"/>
      <c r="X19" s="26"/>
      <c r="Y19" s="26"/>
      <c r="Z19" s="26"/>
      <c r="AA19" s="34"/>
      <c r="AB19" s="32"/>
      <c r="AC19" s="89"/>
      <c r="AD19" s="89"/>
      <c r="AE19" s="89"/>
      <c r="AF19" s="89"/>
      <c r="AG19" s="89"/>
      <c r="AH19" s="89"/>
      <c r="AI19" s="44"/>
    </row>
    <row r="20" spans="1:39" s="94" customFormat="1" ht="15.75" hidden="1" outlineLevel="1" x14ac:dyDescent="0.25">
      <c r="A20" s="24"/>
      <c r="B20" s="24"/>
      <c r="C20" s="22"/>
      <c r="D20" s="22"/>
      <c r="E20" s="22"/>
      <c r="F20" s="22"/>
      <c r="G20" s="22"/>
      <c r="H20" s="22"/>
      <c r="I20" s="22"/>
      <c r="J20" s="22"/>
      <c r="K20" s="22"/>
      <c r="L20" s="22"/>
      <c r="M20" s="32" t="str">
        <f t="shared" si="2"/>
        <v/>
      </c>
      <c r="N20" s="32">
        <f t="shared" si="3"/>
        <v>0</v>
      </c>
      <c r="O20" s="26"/>
      <c r="P20" s="26"/>
      <c r="Q20" s="26"/>
      <c r="R20" s="26"/>
      <c r="S20" s="26"/>
      <c r="T20" s="33"/>
      <c r="U20" s="210"/>
      <c r="V20" s="26"/>
      <c r="W20" s="26"/>
      <c r="X20" s="26"/>
      <c r="Y20" s="26"/>
      <c r="Z20" s="26"/>
      <c r="AA20" s="34"/>
      <c r="AB20" s="32"/>
      <c r="AC20" s="89"/>
      <c r="AD20" s="89"/>
      <c r="AE20" s="89"/>
      <c r="AF20" s="89"/>
      <c r="AG20" s="89"/>
      <c r="AH20" s="89"/>
      <c r="AI20" s="44"/>
    </row>
    <row r="21" spans="1:39" s="94" customFormat="1" ht="15.75" hidden="1" outlineLevel="1" x14ac:dyDescent="0.25">
      <c r="A21" s="24"/>
      <c r="B21" s="24"/>
      <c r="C21" s="22"/>
      <c r="D21" s="22"/>
      <c r="E21" s="22"/>
      <c r="F21" s="22"/>
      <c r="G21" s="22"/>
      <c r="H21" s="22"/>
      <c r="I21" s="22"/>
      <c r="J21" s="22"/>
      <c r="K21" s="22"/>
      <c r="L21" s="22"/>
      <c r="M21" s="32" t="str">
        <f t="shared" si="2"/>
        <v/>
      </c>
      <c r="N21" s="32">
        <f t="shared" si="3"/>
        <v>0</v>
      </c>
      <c r="O21" s="26"/>
      <c r="P21" s="26"/>
      <c r="Q21" s="26"/>
      <c r="R21" s="26"/>
      <c r="S21" s="26"/>
      <c r="T21" s="33"/>
      <c r="U21" s="210"/>
      <c r="V21" s="26"/>
      <c r="W21" s="26"/>
      <c r="X21" s="26"/>
      <c r="Y21" s="26"/>
      <c r="Z21" s="26"/>
      <c r="AA21" s="34"/>
      <c r="AB21" s="32"/>
      <c r="AC21" s="89"/>
      <c r="AD21" s="89"/>
      <c r="AE21" s="89"/>
      <c r="AF21" s="89"/>
      <c r="AG21" s="89"/>
      <c r="AH21" s="89"/>
      <c r="AI21" s="44"/>
    </row>
    <row r="22" spans="1:39" s="94" customFormat="1" ht="15.75" hidden="1" outlineLevel="1" x14ac:dyDescent="0.25">
      <c r="A22" s="24"/>
      <c r="B22" s="24"/>
      <c r="C22" s="22"/>
      <c r="D22" s="22"/>
      <c r="E22" s="22"/>
      <c r="F22" s="22"/>
      <c r="G22" s="22"/>
      <c r="H22" s="22"/>
      <c r="I22" s="22"/>
      <c r="J22" s="22"/>
      <c r="K22" s="22"/>
      <c r="L22" s="22"/>
      <c r="M22" s="32" t="str">
        <f t="shared" si="2"/>
        <v/>
      </c>
      <c r="N22" s="32">
        <f t="shared" si="3"/>
        <v>0</v>
      </c>
      <c r="O22" s="26"/>
      <c r="P22" s="26"/>
      <c r="Q22" s="26"/>
      <c r="R22" s="26"/>
      <c r="S22" s="26"/>
      <c r="T22" s="33"/>
      <c r="U22" s="208"/>
      <c r="V22" s="26"/>
      <c r="W22" s="26"/>
      <c r="X22" s="26"/>
      <c r="Y22" s="26"/>
      <c r="Z22" s="26"/>
      <c r="AA22" s="34"/>
      <c r="AB22" s="32"/>
      <c r="AC22" s="89"/>
      <c r="AD22" s="89"/>
      <c r="AE22" s="89"/>
      <c r="AF22" s="89"/>
      <c r="AG22" s="89"/>
      <c r="AH22" s="89"/>
      <c r="AI22" s="44"/>
    </row>
    <row r="23" spans="1:39" s="94" customFormat="1" ht="15.75" hidden="1" outlineLevel="1" x14ac:dyDescent="0.25">
      <c r="A23" s="24"/>
      <c r="B23" s="24"/>
      <c r="C23" s="22"/>
      <c r="D23" s="22"/>
      <c r="E23" s="22"/>
      <c r="F23" s="22"/>
      <c r="G23" s="22"/>
      <c r="H23" s="22"/>
      <c r="I23" s="22"/>
      <c r="J23" s="22"/>
      <c r="K23" s="22"/>
      <c r="L23" s="22"/>
      <c r="M23" s="32" t="str">
        <f t="shared" si="2"/>
        <v/>
      </c>
      <c r="N23" s="32">
        <f t="shared" si="3"/>
        <v>0</v>
      </c>
      <c r="O23" s="26"/>
      <c r="P23" s="26"/>
      <c r="Q23" s="26"/>
      <c r="R23" s="26"/>
      <c r="S23" s="26"/>
      <c r="T23" s="33"/>
      <c r="U23" s="210"/>
      <c r="V23" s="26"/>
      <c r="W23" s="26"/>
      <c r="X23" s="26"/>
      <c r="Y23" s="26"/>
      <c r="Z23" s="26"/>
      <c r="AA23" s="34"/>
      <c r="AB23" s="32"/>
      <c r="AC23" s="89"/>
      <c r="AD23" s="89"/>
      <c r="AE23" s="89"/>
      <c r="AF23" s="89"/>
      <c r="AG23" s="89"/>
      <c r="AH23" s="89"/>
      <c r="AI23" s="44"/>
    </row>
    <row r="24" spans="1:39" s="94" customFormat="1" ht="15.75" collapsed="1" x14ac:dyDescent="0.25">
      <c r="A24" s="24"/>
      <c r="B24" s="24"/>
      <c r="C24" s="22"/>
      <c r="D24" s="22"/>
      <c r="E24" s="22"/>
      <c r="F24" s="22"/>
      <c r="G24" s="22"/>
      <c r="H24" s="22"/>
      <c r="I24" s="22"/>
      <c r="J24" s="22"/>
      <c r="K24" s="22"/>
      <c r="L24" s="22"/>
      <c r="M24" s="32" t="str">
        <f t="shared" si="2"/>
        <v/>
      </c>
      <c r="N24" s="32">
        <f t="shared" si="3"/>
        <v>0</v>
      </c>
      <c r="O24" s="26"/>
      <c r="P24" s="26"/>
      <c r="Q24" s="26"/>
      <c r="R24" s="26"/>
      <c r="S24" s="26"/>
      <c r="T24" s="33"/>
      <c r="U24" s="210"/>
      <c r="V24" s="26"/>
      <c r="W24" s="26"/>
      <c r="X24" s="26"/>
      <c r="Y24" s="26"/>
      <c r="Z24" s="26"/>
      <c r="AA24" s="34"/>
      <c r="AB24" s="32"/>
      <c r="AC24" s="89"/>
      <c r="AD24" s="89"/>
      <c r="AE24" s="89"/>
      <c r="AF24" s="89"/>
      <c r="AG24" s="89"/>
      <c r="AH24" s="89"/>
      <c r="AI24" s="44"/>
    </row>
    <row r="25" spans="1:39" s="90" customFormat="1" ht="18.75" x14ac:dyDescent="0.25">
      <c r="A25" s="82" t="str">
        <f ca="1">IF(M25&gt;0,MAX($A$1:OFFSET(A25,-1,0))+0.01,"")</f>
        <v/>
      </c>
      <c r="B25" s="27"/>
      <c r="C25" s="28"/>
      <c r="D25" s="28"/>
      <c r="E25" s="28"/>
      <c r="F25" s="28"/>
      <c r="G25" s="28"/>
      <c r="H25" s="28"/>
      <c r="I25" s="28"/>
      <c r="J25" s="35"/>
      <c r="K25" s="35"/>
      <c r="L25" s="35"/>
      <c r="M25" s="97">
        <f>SUM(M26:M35)</f>
        <v>0</v>
      </c>
      <c r="N25" s="29"/>
      <c r="O25" s="84">
        <f>IFERROR(IF($Z25&lt;&gt;0,0,IF($Z25="inc",0,IF(V25&lt;&gt;0,V25/$M25,IF(V25="inc",0,SUMPRODUCT($M26:$M35,O26:O35)/$M25)))),0)*Notes!$C$17</f>
        <v>0</v>
      </c>
      <c r="P25" s="84">
        <f>IFERROR(IF($Z25&lt;&gt;0,0,IF($Z25="inc",0,IF(W25&lt;&gt;0,W25/$M25,IF(W25="inc",0,SUMPRODUCT($M26:$M35,P26:P35)/$M25)))),0)*Notes!$C$17</f>
        <v>0</v>
      </c>
      <c r="Q25" s="84">
        <f>IFERROR(IF($Z25&lt;&gt;0,0,IF($Z25="inc",0,IF(X25&lt;&gt;0,X25/$M25,IF(X25="inc",0,SUMPRODUCT($M26:$M35,Q26:Q35)/$M25)))),0)*Notes!$C$17</f>
        <v>0</v>
      </c>
      <c r="R25" s="84">
        <f>IFERROR(IF($Z25&lt;&gt;0,0,IF($Z25="inc",0,IF(Y25&lt;&gt;0,Y25/$M25,IF(Y25="inc",0,SUMPRODUCT($M26:$M35,R26:R35)/$M25)))),0)*Notes!$C$17</f>
        <v>0</v>
      </c>
      <c r="S25" s="85">
        <f>IFERROR(IF(Z25="inc","inc",IF(AND(Z25&gt;0,M25&gt;0),Z25/M25,IF(SUM(O25:R25)&gt;0,SUM(O25:R25),0))),0)</f>
        <v>0</v>
      </c>
      <c r="T25" s="86">
        <f>IF(S25="inc",0,IF(M25="",0,M25*S25))</f>
        <v>0</v>
      </c>
      <c r="U25" s="208"/>
      <c r="V25" s="30"/>
      <c r="W25" s="30"/>
      <c r="X25" s="30"/>
      <c r="Y25" s="30"/>
      <c r="Z25" s="30"/>
      <c r="AA25" s="87"/>
      <c r="AB25" s="88"/>
      <c r="AC25" s="89">
        <f>IFERROR($M25*O25,0)</f>
        <v>0</v>
      </c>
      <c r="AD25" s="89">
        <f>IFERROR($M25*P25,0)</f>
        <v>0</v>
      </c>
      <c r="AE25" s="89">
        <f>IFERROR($M25*Q25,0)</f>
        <v>0</v>
      </c>
      <c r="AF25" s="89">
        <f>IFERROR($M25*R25,0)</f>
        <v>0</v>
      </c>
      <c r="AG25" s="89">
        <f>IFERROR(Z25,0)</f>
        <v>0</v>
      </c>
      <c r="AH25" s="89">
        <f>IFERROR(IF(SUM(AC25:AG25)&gt;0,SUM(AC25:AG25),0),0)</f>
        <v>0</v>
      </c>
      <c r="AI25" s="25"/>
      <c r="AJ25" s="25"/>
      <c r="AK25" s="25"/>
      <c r="AL25" s="25"/>
      <c r="AM25" s="25"/>
    </row>
    <row r="26" spans="1:39" s="94" customFormat="1" ht="15.75" x14ac:dyDescent="0.25">
      <c r="A26" s="24"/>
      <c r="B26" s="24"/>
      <c r="C26" s="22"/>
      <c r="D26" s="22"/>
      <c r="E26" s="22"/>
      <c r="F26" s="22"/>
      <c r="G26" s="22"/>
      <c r="H26" s="22"/>
      <c r="I26" s="22"/>
      <c r="J26" s="22"/>
      <c r="K26" s="22"/>
      <c r="L26" s="22"/>
      <c r="M26" s="32" t="str">
        <f t="shared" ref="M26:M35" si="4">IF(SUM(G26:L26)=0,"",IF(G26=0,1,G26)*IF(H26=0,1,H26)*IF(I26=0,1,I26)*IF(J26=0,1,J26)*IF(K26=0,1,K26)*IF(L26=0,1,L26))</f>
        <v/>
      </c>
      <c r="N26" s="32">
        <f t="shared" ref="N26:N35" si="5">IF(COUNTA(G26:L26)=0,0,IF(M26="","",IF(J26-SUM(G26+H26+I26+K26+L26)=J26,"Lm",IF(COUNTA(G26:L26)&gt;4,"ERROR",IF(L26&gt;0,"m3",IF(COUNTA(K26,J26)=2,"m3",IF(COUNTA(G26:J26)=4,"m3",IF(COUNTA(H26:J26)=3,"m3",IF(K26&gt;0,"m2",IF(COUNTA(H26,I26)=2,"m2",IF(COUNTA(G26:J26)=3,"m2",IF(COUNTA(H26:J26)=2,"m2",IF(COUNTA(G26:J26)=2,"Lm",IF(H26&gt;0,"Lm",IF(I26&gt;0,"Lm",IF(G26&gt;0,"No.",))))))))))))))))</f>
        <v>0</v>
      </c>
      <c r="O26" s="26"/>
      <c r="P26" s="26"/>
      <c r="Q26" s="26"/>
      <c r="R26" s="26"/>
      <c r="S26" s="26"/>
      <c r="T26" s="33"/>
      <c r="U26" s="210"/>
      <c r="V26" s="26"/>
      <c r="W26" s="26"/>
      <c r="X26" s="26"/>
      <c r="Y26" s="26"/>
      <c r="Z26" s="26"/>
      <c r="AA26" s="34"/>
      <c r="AB26" s="32"/>
      <c r="AC26" s="89"/>
      <c r="AD26" s="89"/>
      <c r="AE26" s="89"/>
      <c r="AF26" s="89"/>
      <c r="AG26" s="89"/>
      <c r="AH26" s="89"/>
      <c r="AI26" s="44"/>
    </row>
    <row r="27" spans="1:39" s="94" customFormat="1" ht="15.75" hidden="1" outlineLevel="1" x14ac:dyDescent="0.25">
      <c r="A27" s="24"/>
      <c r="B27" s="24"/>
      <c r="C27" s="22"/>
      <c r="D27" s="22"/>
      <c r="E27" s="22"/>
      <c r="F27" s="22"/>
      <c r="G27" s="22"/>
      <c r="H27" s="22"/>
      <c r="I27" s="22"/>
      <c r="J27" s="22"/>
      <c r="K27" s="22"/>
      <c r="L27" s="22"/>
      <c r="M27" s="32" t="str">
        <f t="shared" si="4"/>
        <v/>
      </c>
      <c r="N27" s="32">
        <f t="shared" si="5"/>
        <v>0</v>
      </c>
      <c r="O27" s="26"/>
      <c r="P27" s="26"/>
      <c r="Q27" s="26"/>
      <c r="R27" s="26"/>
      <c r="S27" s="26"/>
      <c r="T27" s="33"/>
      <c r="U27" s="210"/>
      <c r="V27" s="26"/>
      <c r="W27" s="26"/>
      <c r="X27" s="26"/>
      <c r="Y27" s="26"/>
      <c r="Z27" s="26"/>
      <c r="AA27" s="34"/>
      <c r="AB27" s="32"/>
      <c r="AC27" s="89"/>
      <c r="AD27" s="89"/>
      <c r="AE27" s="89"/>
      <c r="AF27" s="89"/>
      <c r="AG27" s="89"/>
      <c r="AH27" s="89"/>
      <c r="AI27" s="44"/>
    </row>
    <row r="28" spans="1:39" s="94" customFormat="1" ht="15.75" hidden="1" outlineLevel="1" x14ac:dyDescent="0.25">
      <c r="A28" s="24"/>
      <c r="B28" s="24"/>
      <c r="C28" s="22"/>
      <c r="D28" s="22"/>
      <c r="E28" s="22"/>
      <c r="F28" s="22"/>
      <c r="G28" s="22"/>
      <c r="H28" s="22"/>
      <c r="I28" s="22"/>
      <c r="J28" s="22"/>
      <c r="K28" s="22"/>
      <c r="L28" s="22"/>
      <c r="M28" s="32" t="str">
        <f t="shared" si="4"/>
        <v/>
      </c>
      <c r="N28" s="32">
        <f t="shared" si="5"/>
        <v>0</v>
      </c>
      <c r="O28" s="26"/>
      <c r="P28" s="26"/>
      <c r="Q28" s="26"/>
      <c r="R28" s="26"/>
      <c r="S28" s="26"/>
      <c r="T28" s="33"/>
      <c r="U28" s="210"/>
      <c r="V28" s="26"/>
      <c r="W28" s="26"/>
      <c r="X28" s="26"/>
      <c r="Y28" s="26"/>
      <c r="Z28" s="26"/>
      <c r="AA28" s="34"/>
      <c r="AB28" s="32"/>
      <c r="AC28" s="89"/>
      <c r="AD28" s="89"/>
      <c r="AE28" s="89"/>
      <c r="AF28" s="89"/>
      <c r="AG28" s="89"/>
      <c r="AH28" s="89"/>
      <c r="AI28" s="44"/>
    </row>
    <row r="29" spans="1:39" s="94" customFormat="1" ht="15.75" hidden="1" outlineLevel="1" x14ac:dyDescent="0.25">
      <c r="A29" s="24"/>
      <c r="B29" s="24"/>
      <c r="C29" s="22"/>
      <c r="D29" s="22"/>
      <c r="E29" s="22"/>
      <c r="F29" s="22"/>
      <c r="G29" s="22"/>
      <c r="H29" s="22"/>
      <c r="I29" s="22"/>
      <c r="J29" s="22"/>
      <c r="K29" s="22"/>
      <c r="L29" s="22"/>
      <c r="M29" s="32" t="str">
        <f t="shared" si="4"/>
        <v/>
      </c>
      <c r="N29" s="32">
        <f t="shared" si="5"/>
        <v>0</v>
      </c>
      <c r="O29" s="26"/>
      <c r="P29" s="26"/>
      <c r="Q29" s="26"/>
      <c r="R29" s="26"/>
      <c r="S29" s="26"/>
      <c r="T29" s="33"/>
      <c r="U29" s="210"/>
      <c r="V29" s="26"/>
      <c r="W29" s="26"/>
      <c r="X29" s="26"/>
      <c r="Y29" s="26"/>
      <c r="Z29" s="26"/>
      <c r="AA29" s="34"/>
      <c r="AB29" s="32"/>
      <c r="AC29" s="89"/>
      <c r="AD29" s="89"/>
      <c r="AE29" s="89"/>
      <c r="AF29" s="89"/>
      <c r="AG29" s="89"/>
      <c r="AH29" s="89"/>
      <c r="AI29" s="44"/>
    </row>
    <row r="30" spans="1:39" s="94" customFormat="1" ht="15.75" hidden="1" outlineLevel="1" x14ac:dyDescent="0.25">
      <c r="A30" s="24"/>
      <c r="B30" s="24"/>
      <c r="C30" s="22"/>
      <c r="D30" s="22"/>
      <c r="E30" s="22"/>
      <c r="F30" s="22"/>
      <c r="G30" s="22"/>
      <c r="H30" s="22"/>
      <c r="I30" s="22"/>
      <c r="J30" s="22"/>
      <c r="K30" s="22"/>
      <c r="L30" s="22"/>
      <c r="M30" s="32" t="str">
        <f t="shared" si="4"/>
        <v/>
      </c>
      <c r="N30" s="32">
        <f t="shared" si="5"/>
        <v>0</v>
      </c>
      <c r="O30" s="26"/>
      <c r="P30" s="26"/>
      <c r="Q30" s="26"/>
      <c r="R30" s="26"/>
      <c r="S30" s="26"/>
      <c r="T30" s="33"/>
      <c r="U30" s="210"/>
      <c r="V30" s="26"/>
      <c r="W30" s="26"/>
      <c r="X30" s="26"/>
      <c r="Y30" s="26"/>
      <c r="Z30" s="26"/>
      <c r="AA30" s="34"/>
      <c r="AB30" s="32"/>
      <c r="AC30" s="89"/>
      <c r="AD30" s="89"/>
      <c r="AE30" s="89"/>
      <c r="AF30" s="89"/>
      <c r="AG30" s="89"/>
      <c r="AH30" s="89"/>
      <c r="AI30" s="44"/>
    </row>
    <row r="31" spans="1:39" s="94" customFormat="1" ht="15.75" hidden="1" outlineLevel="1" x14ac:dyDescent="0.25">
      <c r="A31" s="24"/>
      <c r="B31" s="24"/>
      <c r="C31" s="22"/>
      <c r="D31" s="22"/>
      <c r="E31" s="22"/>
      <c r="F31" s="22"/>
      <c r="G31" s="22"/>
      <c r="H31" s="22"/>
      <c r="I31" s="22"/>
      <c r="J31" s="22"/>
      <c r="K31" s="22"/>
      <c r="L31" s="22"/>
      <c r="M31" s="32" t="str">
        <f t="shared" si="4"/>
        <v/>
      </c>
      <c r="N31" s="32">
        <f t="shared" si="5"/>
        <v>0</v>
      </c>
      <c r="O31" s="26"/>
      <c r="P31" s="26"/>
      <c r="Q31" s="26"/>
      <c r="R31" s="26"/>
      <c r="S31" s="26"/>
      <c r="T31" s="33"/>
      <c r="U31" s="210"/>
      <c r="V31" s="26"/>
      <c r="W31" s="26"/>
      <c r="X31" s="26"/>
      <c r="Y31" s="26"/>
      <c r="Z31" s="26"/>
      <c r="AA31" s="34"/>
      <c r="AB31" s="32"/>
      <c r="AC31" s="89"/>
      <c r="AD31" s="89"/>
      <c r="AE31" s="89"/>
      <c r="AF31" s="89"/>
      <c r="AG31" s="89"/>
      <c r="AH31" s="89"/>
      <c r="AI31" s="44"/>
    </row>
    <row r="32" spans="1:39" s="94" customFormat="1" ht="15.75" hidden="1" outlineLevel="1" x14ac:dyDescent="0.25">
      <c r="A32" s="24"/>
      <c r="B32" s="24"/>
      <c r="C32" s="22"/>
      <c r="D32" s="22"/>
      <c r="E32" s="22"/>
      <c r="F32" s="22"/>
      <c r="G32" s="22"/>
      <c r="H32" s="22"/>
      <c r="I32" s="22"/>
      <c r="J32" s="22"/>
      <c r="K32" s="22"/>
      <c r="L32" s="22"/>
      <c r="M32" s="32" t="str">
        <f t="shared" si="4"/>
        <v/>
      </c>
      <c r="N32" s="32">
        <f t="shared" si="5"/>
        <v>0</v>
      </c>
      <c r="O32" s="26"/>
      <c r="P32" s="26"/>
      <c r="Q32" s="26"/>
      <c r="R32" s="26"/>
      <c r="S32" s="26"/>
      <c r="T32" s="33"/>
      <c r="U32" s="210"/>
      <c r="V32" s="26"/>
      <c r="W32" s="26"/>
      <c r="X32" s="26"/>
      <c r="Y32" s="26"/>
      <c r="Z32" s="26"/>
      <c r="AA32" s="34"/>
      <c r="AB32" s="32"/>
      <c r="AC32" s="89"/>
      <c r="AD32" s="89"/>
      <c r="AE32" s="89"/>
      <c r="AF32" s="89"/>
      <c r="AG32" s="89"/>
      <c r="AH32" s="89"/>
      <c r="AI32" s="44"/>
    </row>
    <row r="33" spans="1:39" s="94" customFormat="1" ht="15.75" hidden="1" outlineLevel="1" x14ac:dyDescent="0.25">
      <c r="A33" s="24"/>
      <c r="B33" s="24"/>
      <c r="C33" s="22"/>
      <c r="D33" s="22"/>
      <c r="E33" s="22"/>
      <c r="F33" s="22"/>
      <c r="G33" s="22"/>
      <c r="H33" s="22"/>
      <c r="I33" s="22"/>
      <c r="J33" s="22"/>
      <c r="K33" s="22"/>
      <c r="L33" s="22"/>
      <c r="M33" s="32" t="str">
        <f t="shared" si="4"/>
        <v/>
      </c>
      <c r="N33" s="32">
        <f t="shared" si="5"/>
        <v>0</v>
      </c>
      <c r="O33" s="26"/>
      <c r="P33" s="26"/>
      <c r="Q33" s="26"/>
      <c r="R33" s="26"/>
      <c r="S33" s="26"/>
      <c r="T33" s="33"/>
      <c r="U33" s="208"/>
      <c r="V33" s="26"/>
      <c r="W33" s="26"/>
      <c r="X33" s="26"/>
      <c r="Y33" s="26"/>
      <c r="Z33" s="26"/>
      <c r="AA33" s="34"/>
      <c r="AB33" s="32"/>
      <c r="AC33" s="89"/>
      <c r="AD33" s="89"/>
      <c r="AE33" s="89"/>
      <c r="AF33" s="89"/>
      <c r="AG33" s="89"/>
      <c r="AH33" s="89"/>
      <c r="AI33" s="44"/>
    </row>
    <row r="34" spans="1:39" s="94" customFormat="1" ht="15.75" hidden="1" outlineLevel="1" x14ac:dyDescent="0.25">
      <c r="A34" s="24"/>
      <c r="B34" s="24"/>
      <c r="C34" s="22"/>
      <c r="D34" s="22"/>
      <c r="E34" s="22"/>
      <c r="F34" s="22"/>
      <c r="G34" s="22"/>
      <c r="H34" s="22"/>
      <c r="I34" s="22"/>
      <c r="J34" s="22"/>
      <c r="K34" s="22"/>
      <c r="L34" s="22"/>
      <c r="M34" s="32" t="str">
        <f t="shared" si="4"/>
        <v/>
      </c>
      <c r="N34" s="32">
        <f t="shared" si="5"/>
        <v>0</v>
      </c>
      <c r="O34" s="26"/>
      <c r="P34" s="26"/>
      <c r="Q34" s="26"/>
      <c r="R34" s="26"/>
      <c r="S34" s="26"/>
      <c r="T34" s="33"/>
      <c r="U34" s="210"/>
      <c r="V34" s="26"/>
      <c r="W34" s="26"/>
      <c r="X34" s="26"/>
      <c r="Y34" s="26"/>
      <c r="Z34" s="26"/>
      <c r="AA34" s="34"/>
      <c r="AB34" s="32"/>
      <c r="AC34" s="89"/>
      <c r="AD34" s="89"/>
      <c r="AE34" s="89"/>
      <c r="AF34" s="89"/>
      <c r="AG34" s="89"/>
      <c r="AH34" s="89"/>
      <c r="AI34" s="44"/>
    </row>
    <row r="35" spans="1:39" s="94" customFormat="1" ht="15.75" collapsed="1" x14ac:dyDescent="0.25">
      <c r="A35" s="24"/>
      <c r="B35" s="24"/>
      <c r="C35" s="22"/>
      <c r="D35" s="22"/>
      <c r="E35" s="22"/>
      <c r="F35" s="22"/>
      <c r="G35" s="22"/>
      <c r="H35" s="22"/>
      <c r="I35" s="22"/>
      <c r="J35" s="22"/>
      <c r="K35" s="22"/>
      <c r="L35" s="22"/>
      <c r="M35" s="32" t="str">
        <f t="shared" si="4"/>
        <v/>
      </c>
      <c r="N35" s="32">
        <f t="shared" si="5"/>
        <v>0</v>
      </c>
      <c r="O35" s="26"/>
      <c r="P35" s="26"/>
      <c r="Q35" s="26"/>
      <c r="R35" s="26"/>
      <c r="S35" s="26"/>
      <c r="T35" s="33"/>
      <c r="U35" s="210"/>
      <c r="V35" s="26"/>
      <c r="W35" s="26"/>
      <c r="X35" s="26"/>
      <c r="Y35" s="26"/>
      <c r="Z35" s="26"/>
      <c r="AA35" s="34"/>
      <c r="AB35" s="32"/>
      <c r="AC35" s="89"/>
      <c r="AD35" s="89"/>
      <c r="AE35" s="89"/>
      <c r="AF35" s="89"/>
      <c r="AG35" s="89"/>
      <c r="AH35" s="89"/>
      <c r="AI35" s="44"/>
    </row>
    <row r="36" spans="1:39" s="90" customFormat="1" ht="18.75" x14ac:dyDescent="0.25">
      <c r="A36" s="82" t="str">
        <f ca="1">IF(M36&gt;0,MAX($A$1:OFFSET(A36,-1,0))+0.01,"")</f>
        <v/>
      </c>
      <c r="B36" s="27"/>
      <c r="C36" s="28"/>
      <c r="D36" s="28"/>
      <c r="E36" s="28"/>
      <c r="F36" s="28"/>
      <c r="G36" s="28"/>
      <c r="H36" s="28"/>
      <c r="I36" s="28"/>
      <c r="J36" s="35"/>
      <c r="K36" s="35"/>
      <c r="L36" s="35"/>
      <c r="M36" s="97">
        <f>SUM(M37:M46)</f>
        <v>0</v>
      </c>
      <c r="N36" s="29"/>
      <c r="O36" s="84">
        <f>IFERROR(IF($Z36&lt;&gt;0,0,IF($Z36="inc",0,IF(V36&lt;&gt;0,V36/$M36,IF(V36="inc",0,SUMPRODUCT($M37:$M46,O37:O46)/$M36)))),0)*Notes!$C$17</f>
        <v>0</v>
      </c>
      <c r="P36" s="84">
        <f>IFERROR(IF($Z36&lt;&gt;0,0,IF($Z36="inc",0,IF(W36&lt;&gt;0,W36/$M36,IF(W36="inc",0,SUMPRODUCT($M37:$M46,P37:P46)/$M36)))),0)*Notes!$C$17</f>
        <v>0</v>
      </c>
      <c r="Q36" s="84">
        <f>IFERROR(IF($Z36&lt;&gt;0,0,IF($Z36="inc",0,IF(X36&lt;&gt;0,X36/$M36,IF(X36="inc",0,SUMPRODUCT($M37:$M46,Q37:Q46)/$M36)))),0)*Notes!$C$17</f>
        <v>0</v>
      </c>
      <c r="R36" s="84">
        <f>IFERROR(IF($Z36&lt;&gt;0,0,IF($Z36="inc",0,IF(Y36&lt;&gt;0,Y36/$M36,IF(Y36="inc",0,SUMPRODUCT($M37:$M46,R37:R46)/$M36)))),0)*Notes!$C$17</f>
        <v>0</v>
      </c>
      <c r="S36" s="85">
        <f>IFERROR(IF(Z36="inc","inc",IF(AND(Z36&gt;0,M36&gt;0),Z36/M36,IF(SUM(O36:R36)&gt;0,SUM(O36:R36),0))),0)</f>
        <v>0</v>
      </c>
      <c r="T36" s="86">
        <f>IF(S36="inc",0,IF(M36="",0,M36*S36))</f>
        <v>0</v>
      </c>
      <c r="U36" s="208"/>
      <c r="V36" s="30"/>
      <c r="W36" s="30"/>
      <c r="X36" s="30"/>
      <c r="Y36" s="30"/>
      <c r="Z36" s="30"/>
      <c r="AA36" s="87"/>
      <c r="AB36" s="88"/>
      <c r="AC36" s="89">
        <f>IFERROR($M36*O36,0)</f>
        <v>0</v>
      </c>
      <c r="AD36" s="89">
        <f>IFERROR($M36*P36,0)</f>
        <v>0</v>
      </c>
      <c r="AE36" s="89">
        <f>IFERROR($M36*Q36,0)</f>
        <v>0</v>
      </c>
      <c r="AF36" s="89">
        <f>IFERROR($M36*R36,0)</f>
        <v>0</v>
      </c>
      <c r="AG36" s="89">
        <f>IFERROR(Z36,0)</f>
        <v>0</v>
      </c>
      <c r="AH36" s="89">
        <f>IFERROR(IF(SUM(AC36:AG36)&gt;0,SUM(AC36:AG36),0),0)</f>
        <v>0</v>
      </c>
      <c r="AI36" s="25"/>
      <c r="AJ36" s="25"/>
      <c r="AK36" s="25"/>
      <c r="AL36" s="25"/>
      <c r="AM36" s="25"/>
    </row>
    <row r="37" spans="1:39" s="94" customFormat="1" ht="15.75" x14ac:dyDescent="0.25">
      <c r="A37" s="24"/>
      <c r="B37" s="24"/>
      <c r="C37" s="22"/>
      <c r="D37" s="22"/>
      <c r="E37" s="22"/>
      <c r="F37" s="22"/>
      <c r="G37" s="22"/>
      <c r="H37" s="22"/>
      <c r="I37" s="22"/>
      <c r="J37" s="22"/>
      <c r="K37" s="22"/>
      <c r="L37" s="22"/>
      <c r="M37" s="32" t="str">
        <f t="shared" ref="M37:M46" si="6">IF(SUM(G37:L37)=0,"",IF(G37=0,1,G37)*IF(H37=0,1,H37)*IF(I37=0,1,I37)*IF(J37=0,1,J37)*IF(K37=0,1,K37)*IF(L37=0,1,L37))</f>
        <v/>
      </c>
      <c r="N37" s="32">
        <f t="shared" ref="N37:N46" si="7">IF(COUNTA(G37:L37)=0,0,IF(M37="","",IF(J37-SUM(G37+H37+I37+K37+L37)=J37,"Lm",IF(COUNTA(G37:L37)&gt;4,"ERROR",IF(L37&gt;0,"m3",IF(COUNTA(K37,J37)=2,"m3",IF(COUNTA(G37:J37)=4,"m3",IF(COUNTA(H37:J37)=3,"m3",IF(K37&gt;0,"m2",IF(COUNTA(H37,I37)=2,"m2",IF(COUNTA(G37:J37)=3,"m2",IF(COUNTA(H37:J37)=2,"m2",IF(COUNTA(G37:J37)=2,"Lm",IF(H37&gt;0,"Lm",IF(I37&gt;0,"Lm",IF(G37&gt;0,"No.",))))))))))))))))</f>
        <v>0</v>
      </c>
      <c r="O37" s="26"/>
      <c r="P37" s="26"/>
      <c r="Q37" s="26"/>
      <c r="R37" s="26"/>
      <c r="S37" s="26"/>
      <c r="T37" s="33"/>
      <c r="U37" s="210"/>
      <c r="V37" s="26"/>
      <c r="W37" s="26"/>
      <c r="X37" s="26"/>
      <c r="Y37" s="26"/>
      <c r="Z37" s="26"/>
      <c r="AA37" s="34"/>
      <c r="AB37" s="32"/>
      <c r="AC37" s="89"/>
      <c r="AD37" s="89"/>
      <c r="AE37" s="89"/>
      <c r="AF37" s="89"/>
      <c r="AG37" s="89"/>
      <c r="AH37" s="89"/>
      <c r="AI37" s="44"/>
    </row>
    <row r="38" spans="1:39" s="94" customFormat="1" ht="15.75" hidden="1" outlineLevel="1" x14ac:dyDescent="0.25">
      <c r="A38" s="24"/>
      <c r="B38" s="24"/>
      <c r="C38" s="22"/>
      <c r="D38" s="22"/>
      <c r="E38" s="22"/>
      <c r="F38" s="22"/>
      <c r="G38" s="22"/>
      <c r="H38" s="22"/>
      <c r="I38" s="22"/>
      <c r="J38" s="22"/>
      <c r="K38" s="22"/>
      <c r="L38" s="22"/>
      <c r="M38" s="32" t="str">
        <f t="shared" si="6"/>
        <v/>
      </c>
      <c r="N38" s="32">
        <f t="shared" si="7"/>
        <v>0</v>
      </c>
      <c r="O38" s="26"/>
      <c r="P38" s="26"/>
      <c r="Q38" s="26"/>
      <c r="R38" s="26"/>
      <c r="S38" s="26"/>
      <c r="T38" s="33"/>
      <c r="U38" s="210"/>
      <c r="V38" s="26"/>
      <c r="W38" s="26"/>
      <c r="X38" s="26"/>
      <c r="Y38" s="26"/>
      <c r="Z38" s="26"/>
      <c r="AA38" s="34"/>
      <c r="AB38" s="32"/>
      <c r="AC38" s="89"/>
      <c r="AD38" s="89"/>
      <c r="AE38" s="89"/>
      <c r="AF38" s="89"/>
      <c r="AG38" s="89"/>
      <c r="AH38" s="89"/>
      <c r="AI38" s="44"/>
    </row>
    <row r="39" spans="1:39" s="94" customFormat="1" ht="15.75" hidden="1" outlineLevel="1" x14ac:dyDescent="0.25">
      <c r="A39" s="24"/>
      <c r="B39" s="24"/>
      <c r="C39" s="22"/>
      <c r="D39" s="22"/>
      <c r="E39" s="22"/>
      <c r="F39" s="22"/>
      <c r="G39" s="22"/>
      <c r="H39" s="22"/>
      <c r="I39" s="22"/>
      <c r="J39" s="22"/>
      <c r="K39" s="22"/>
      <c r="L39" s="22"/>
      <c r="M39" s="32" t="str">
        <f t="shared" si="6"/>
        <v/>
      </c>
      <c r="N39" s="32">
        <f t="shared" si="7"/>
        <v>0</v>
      </c>
      <c r="O39" s="26"/>
      <c r="P39" s="26"/>
      <c r="Q39" s="26"/>
      <c r="R39" s="26"/>
      <c r="S39" s="26"/>
      <c r="T39" s="33"/>
      <c r="U39" s="210"/>
      <c r="V39" s="26"/>
      <c r="W39" s="26"/>
      <c r="X39" s="26"/>
      <c r="Y39" s="26"/>
      <c r="Z39" s="26"/>
      <c r="AA39" s="34"/>
      <c r="AB39" s="32"/>
      <c r="AC39" s="89"/>
      <c r="AD39" s="89"/>
      <c r="AE39" s="89"/>
      <c r="AF39" s="89"/>
      <c r="AG39" s="89"/>
      <c r="AH39" s="89"/>
      <c r="AI39" s="44"/>
    </row>
    <row r="40" spans="1:39" s="94" customFormat="1" ht="15.75" hidden="1" outlineLevel="1" x14ac:dyDescent="0.25">
      <c r="A40" s="24"/>
      <c r="B40" s="24"/>
      <c r="C40" s="22"/>
      <c r="D40" s="22"/>
      <c r="E40" s="22"/>
      <c r="F40" s="22"/>
      <c r="G40" s="22"/>
      <c r="H40" s="22"/>
      <c r="I40" s="22"/>
      <c r="J40" s="22"/>
      <c r="K40" s="22"/>
      <c r="L40" s="22"/>
      <c r="M40" s="32" t="str">
        <f t="shared" si="6"/>
        <v/>
      </c>
      <c r="N40" s="32">
        <f t="shared" si="7"/>
        <v>0</v>
      </c>
      <c r="O40" s="26"/>
      <c r="P40" s="26"/>
      <c r="Q40" s="26"/>
      <c r="R40" s="26"/>
      <c r="S40" s="26"/>
      <c r="T40" s="33"/>
      <c r="U40" s="210"/>
      <c r="V40" s="26"/>
      <c r="W40" s="26"/>
      <c r="X40" s="26"/>
      <c r="Y40" s="26"/>
      <c r="Z40" s="26"/>
      <c r="AA40" s="34"/>
      <c r="AB40" s="32"/>
      <c r="AC40" s="89"/>
      <c r="AD40" s="89"/>
      <c r="AE40" s="89"/>
      <c r="AF40" s="89"/>
      <c r="AG40" s="89"/>
      <c r="AH40" s="89"/>
      <c r="AI40" s="44"/>
    </row>
    <row r="41" spans="1:39" s="94" customFormat="1" ht="15.75" hidden="1" outlineLevel="1" x14ac:dyDescent="0.25">
      <c r="A41" s="24"/>
      <c r="B41" s="24"/>
      <c r="C41" s="22"/>
      <c r="D41" s="22"/>
      <c r="E41" s="22"/>
      <c r="F41" s="22"/>
      <c r="G41" s="22"/>
      <c r="H41" s="22"/>
      <c r="I41" s="22"/>
      <c r="J41" s="22"/>
      <c r="K41" s="22"/>
      <c r="L41" s="22"/>
      <c r="M41" s="32" t="str">
        <f t="shared" si="6"/>
        <v/>
      </c>
      <c r="N41" s="32">
        <f t="shared" si="7"/>
        <v>0</v>
      </c>
      <c r="O41" s="26"/>
      <c r="P41" s="26"/>
      <c r="Q41" s="26"/>
      <c r="R41" s="26"/>
      <c r="S41" s="26"/>
      <c r="T41" s="33"/>
      <c r="U41" s="210"/>
      <c r="V41" s="26"/>
      <c r="W41" s="26"/>
      <c r="X41" s="26"/>
      <c r="Y41" s="26"/>
      <c r="Z41" s="26"/>
      <c r="AA41" s="34"/>
      <c r="AB41" s="32"/>
      <c r="AC41" s="89"/>
      <c r="AD41" s="89"/>
      <c r="AE41" s="89"/>
      <c r="AF41" s="89"/>
      <c r="AG41" s="89"/>
      <c r="AH41" s="89"/>
      <c r="AI41" s="44"/>
    </row>
    <row r="42" spans="1:39" s="94" customFormat="1" ht="15.75" hidden="1" outlineLevel="1" x14ac:dyDescent="0.25">
      <c r="A42" s="24"/>
      <c r="B42" s="24"/>
      <c r="C42" s="22"/>
      <c r="D42" s="22"/>
      <c r="E42" s="22"/>
      <c r="F42" s="22"/>
      <c r="G42" s="22"/>
      <c r="H42" s="22"/>
      <c r="I42" s="22"/>
      <c r="J42" s="22"/>
      <c r="K42" s="22"/>
      <c r="L42" s="22"/>
      <c r="M42" s="32" t="str">
        <f t="shared" si="6"/>
        <v/>
      </c>
      <c r="N42" s="32">
        <f t="shared" si="7"/>
        <v>0</v>
      </c>
      <c r="O42" s="26"/>
      <c r="P42" s="26"/>
      <c r="Q42" s="26"/>
      <c r="R42" s="26"/>
      <c r="S42" s="26"/>
      <c r="T42" s="33"/>
      <c r="U42" s="210"/>
      <c r="V42" s="26"/>
      <c r="W42" s="26"/>
      <c r="X42" s="26"/>
      <c r="Y42" s="26"/>
      <c r="Z42" s="26"/>
      <c r="AA42" s="34"/>
      <c r="AB42" s="32"/>
      <c r="AC42" s="89"/>
      <c r="AD42" s="89"/>
      <c r="AE42" s="89"/>
      <c r="AF42" s="89"/>
      <c r="AG42" s="89"/>
      <c r="AH42" s="89"/>
      <c r="AI42" s="44"/>
    </row>
    <row r="43" spans="1:39" s="94" customFormat="1" ht="15.75" hidden="1" outlineLevel="1" x14ac:dyDescent="0.25">
      <c r="A43" s="24"/>
      <c r="B43" s="24"/>
      <c r="C43" s="22"/>
      <c r="D43" s="22"/>
      <c r="E43" s="22"/>
      <c r="F43" s="22"/>
      <c r="G43" s="22"/>
      <c r="H43" s="22"/>
      <c r="I43" s="22"/>
      <c r="J43" s="22"/>
      <c r="K43" s="22"/>
      <c r="L43" s="22"/>
      <c r="M43" s="32" t="str">
        <f t="shared" si="6"/>
        <v/>
      </c>
      <c r="N43" s="32">
        <f t="shared" si="7"/>
        <v>0</v>
      </c>
      <c r="O43" s="26"/>
      <c r="P43" s="26"/>
      <c r="Q43" s="26"/>
      <c r="R43" s="26"/>
      <c r="S43" s="26"/>
      <c r="T43" s="33"/>
      <c r="U43" s="210"/>
      <c r="V43" s="26"/>
      <c r="W43" s="26"/>
      <c r="X43" s="26"/>
      <c r="Y43" s="26"/>
      <c r="Z43" s="26"/>
      <c r="AA43" s="34"/>
      <c r="AB43" s="32"/>
      <c r="AC43" s="89"/>
      <c r="AD43" s="89"/>
      <c r="AE43" s="89"/>
      <c r="AF43" s="89"/>
      <c r="AG43" s="89"/>
      <c r="AH43" s="89"/>
      <c r="AI43" s="44"/>
    </row>
    <row r="44" spans="1:39" s="94" customFormat="1" ht="15.75" hidden="1" outlineLevel="1" x14ac:dyDescent="0.25">
      <c r="A44" s="24"/>
      <c r="B44" s="24"/>
      <c r="C44" s="22"/>
      <c r="D44" s="22"/>
      <c r="E44" s="22"/>
      <c r="F44" s="22"/>
      <c r="G44" s="22"/>
      <c r="H44" s="22"/>
      <c r="I44" s="22"/>
      <c r="J44" s="22"/>
      <c r="K44" s="22"/>
      <c r="L44" s="22"/>
      <c r="M44" s="32" t="str">
        <f t="shared" si="6"/>
        <v/>
      </c>
      <c r="N44" s="32">
        <f t="shared" si="7"/>
        <v>0</v>
      </c>
      <c r="O44" s="26"/>
      <c r="P44" s="26"/>
      <c r="Q44" s="26"/>
      <c r="R44" s="26"/>
      <c r="S44" s="26"/>
      <c r="T44" s="33"/>
      <c r="U44" s="208"/>
      <c r="V44" s="26"/>
      <c r="W44" s="26"/>
      <c r="X44" s="26"/>
      <c r="Y44" s="26"/>
      <c r="Z44" s="26"/>
      <c r="AA44" s="34"/>
      <c r="AB44" s="32"/>
      <c r="AC44" s="89"/>
      <c r="AD44" s="89"/>
      <c r="AE44" s="89"/>
      <c r="AF44" s="89"/>
      <c r="AG44" s="89"/>
      <c r="AH44" s="89"/>
      <c r="AI44" s="44"/>
    </row>
    <row r="45" spans="1:39" s="94" customFormat="1" ht="15.75" hidden="1" outlineLevel="1" x14ac:dyDescent="0.25">
      <c r="A45" s="24"/>
      <c r="B45" s="24"/>
      <c r="C45" s="22"/>
      <c r="D45" s="22"/>
      <c r="E45" s="22"/>
      <c r="F45" s="22"/>
      <c r="G45" s="22"/>
      <c r="H45" s="22"/>
      <c r="I45" s="22"/>
      <c r="J45" s="22"/>
      <c r="K45" s="22"/>
      <c r="L45" s="22"/>
      <c r="M45" s="32" t="str">
        <f t="shared" si="6"/>
        <v/>
      </c>
      <c r="N45" s="32">
        <f t="shared" si="7"/>
        <v>0</v>
      </c>
      <c r="O45" s="26"/>
      <c r="P45" s="26"/>
      <c r="Q45" s="26"/>
      <c r="R45" s="26"/>
      <c r="S45" s="26"/>
      <c r="T45" s="33"/>
      <c r="U45" s="210"/>
      <c r="V45" s="26"/>
      <c r="W45" s="26"/>
      <c r="X45" s="26"/>
      <c r="Y45" s="26"/>
      <c r="Z45" s="26"/>
      <c r="AA45" s="34"/>
      <c r="AB45" s="32"/>
      <c r="AC45" s="89"/>
      <c r="AD45" s="89"/>
      <c r="AE45" s="89"/>
      <c r="AF45" s="89"/>
      <c r="AG45" s="89"/>
      <c r="AH45" s="89"/>
      <c r="AI45" s="44"/>
    </row>
    <row r="46" spans="1:39" s="94" customFormat="1" ht="15.75" collapsed="1" x14ac:dyDescent="0.25">
      <c r="A46" s="24"/>
      <c r="B46" s="24"/>
      <c r="C46" s="22"/>
      <c r="D46" s="22"/>
      <c r="E46" s="22"/>
      <c r="F46" s="22"/>
      <c r="G46" s="22"/>
      <c r="H46" s="22"/>
      <c r="I46" s="22"/>
      <c r="J46" s="22"/>
      <c r="K46" s="22"/>
      <c r="L46" s="22"/>
      <c r="M46" s="32" t="str">
        <f t="shared" si="6"/>
        <v/>
      </c>
      <c r="N46" s="32">
        <f t="shared" si="7"/>
        <v>0</v>
      </c>
      <c r="O46" s="26"/>
      <c r="P46" s="26"/>
      <c r="Q46" s="26"/>
      <c r="R46" s="26"/>
      <c r="S46" s="26"/>
      <c r="T46" s="33"/>
      <c r="U46" s="210"/>
      <c r="V46" s="26"/>
      <c r="W46" s="26"/>
      <c r="X46" s="26"/>
      <c r="Y46" s="26"/>
      <c r="Z46" s="26"/>
      <c r="AA46" s="34"/>
      <c r="AB46" s="32"/>
      <c r="AC46" s="89"/>
      <c r="AD46" s="89"/>
      <c r="AE46" s="89"/>
      <c r="AF46" s="89"/>
      <c r="AG46" s="89"/>
      <c r="AH46" s="89"/>
      <c r="AI46" s="44"/>
    </row>
    <row r="47" spans="1:39" s="90" customFormat="1" ht="18.75" x14ac:dyDescent="0.25">
      <c r="A47" s="82" t="str">
        <f ca="1">IF(M47&gt;0,MAX($A$1:OFFSET(A47,-1,0))+0.01,"")</f>
        <v/>
      </c>
      <c r="B47" s="27"/>
      <c r="C47" s="28"/>
      <c r="D47" s="28"/>
      <c r="E47" s="28"/>
      <c r="F47" s="28"/>
      <c r="G47" s="28"/>
      <c r="H47" s="28"/>
      <c r="I47" s="28"/>
      <c r="J47" s="35"/>
      <c r="K47" s="35"/>
      <c r="L47" s="35"/>
      <c r="M47" s="97">
        <f>SUM(M48:M57)</f>
        <v>0</v>
      </c>
      <c r="N47" s="29"/>
      <c r="O47" s="84">
        <f>IFERROR(IF($Z47&lt;&gt;0,0,IF($Z47="inc",0,IF(V47&lt;&gt;0,V47/$M47,IF(V47="inc",0,SUMPRODUCT($M48:$M57,O48:O57)/$M47)))),0)*Notes!$C$17</f>
        <v>0</v>
      </c>
      <c r="P47" s="84">
        <f>IFERROR(IF($Z47&lt;&gt;0,0,IF($Z47="inc",0,IF(W47&lt;&gt;0,W47/$M47,IF(W47="inc",0,SUMPRODUCT($M48:$M57,P48:P57)/$M47)))),0)*Notes!$C$17</f>
        <v>0</v>
      </c>
      <c r="Q47" s="84">
        <f>IFERROR(IF($Z47&lt;&gt;0,0,IF($Z47="inc",0,IF(X47&lt;&gt;0,X47/$M47,IF(X47="inc",0,SUMPRODUCT($M48:$M57,Q48:Q57)/$M47)))),0)*Notes!$C$17</f>
        <v>0</v>
      </c>
      <c r="R47" s="84">
        <f>IFERROR(IF($Z47&lt;&gt;0,0,IF($Z47="inc",0,IF(Y47&lt;&gt;0,Y47/$M47,IF(Y47="inc",0,SUMPRODUCT($M48:$M57,R48:R57)/$M47)))),0)*Notes!$C$17</f>
        <v>0</v>
      </c>
      <c r="S47" s="85">
        <f>IFERROR(IF(Z47="inc","inc",IF(AND(Z47&gt;0,M47&gt;0),Z47/M47,IF(SUM(O47:R47)&gt;0,SUM(O47:R47),0))),0)</f>
        <v>0</v>
      </c>
      <c r="T47" s="86">
        <f>IF(S47="inc",0,IF(M47="",0,M47*S47))</f>
        <v>0</v>
      </c>
      <c r="U47" s="208"/>
      <c r="V47" s="30"/>
      <c r="W47" s="30"/>
      <c r="X47" s="30"/>
      <c r="Y47" s="30"/>
      <c r="Z47" s="30"/>
      <c r="AA47" s="87"/>
      <c r="AB47" s="88"/>
      <c r="AC47" s="89">
        <f>IFERROR($M47*O47,0)</f>
        <v>0</v>
      </c>
      <c r="AD47" s="89">
        <f>IFERROR($M47*P47,0)</f>
        <v>0</v>
      </c>
      <c r="AE47" s="89">
        <f>IFERROR($M47*Q47,0)</f>
        <v>0</v>
      </c>
      <c r="AF47" s="89">
        <f>IFERROR($M47*R47,0)</f>
        <v>0</v>
      </c>
      <c r="AG47" s="89">
        <f>IFERROR(Z47,0)</f>
        <v>0</v>
      </c>
      <c r="AH47" s="89">
        <f>IFERROR(IF(SUM(AC47:AG47)&gt;0,SUM(AC47:AG47),0),0)</f>
        <v>0</v>
      </c>
      <c r="AI47" s="25"/>
      <c r="AJ47" s="25"/>
      <c r="AK47" s="25"/>
      <c r="AL47" s="25"/>
      <c r="AM47" s="25"/>
    </row>
    <row r="48" spans="1:39" s="94" customFormat="1" ht="15.75" x14ac:dyDescent="0.25">
      <c r="A48" s="24"/>
      <c r="B48" s="24"/>
      <c r="C48" s="22"/>
      <c r="D48" s="22"/>
      <c r="E48" s="22"/>
      <c r="F48" s="22"/>
      <c r="G48" s="22"/>
      <c r="H48" s="22"/>
      <c r="I48" s="22"/>
      <c r="J48" s="22"/>
      <c r="K48" s="22"/>
      <c r="L48" s="22"/>
      <c r="M48" s="32" t="str">
        <f t="shared" ref="M48:M57" si="8">IF(SUM(G48:L48)=0,"",IF(G48=0,1,G48)*IF(H48=0,1,H48)*IF(I48=0,1,I48)*IF(J48=0,1,J48)*IF(K48=0,1,K48)*IF(L48=0,1,L48))</f>
        <v/>
      </c>
      <c r="N48" s="32">
        <f t="shared" ref="N48:N57" si="9">IF(COUNTA(G48:L48)=0,0,IF(M48="","",IF(J48-SUM(G48+H48+I48+K48+L48)=J48,"Lm",IF(COUNTA(G48:L48)&gt;4,"ERROR",IF(L48&gt;0,"m3",IF(COUNTA(K48,J48)=2,"m3",IF(COUNTA(G48:J48)=4,"m3",IF(COUNTA(H48:J48)=3,"m3",IF(K48&gt;0,"m2",IF(COUNTA(H48,I48)=2,"m2",IF(COUNTA(G48:J48)=3,"m2",IF(COUNTA(H48:J48)=2,"m2",IF(COUNTA(G48:J48)=2,"Lm",IF(H48&gt;0,"Lm",IF(I48&gt;0,"Lm",IF(G48&gt;0,"No.",))))))))))))))))</f>
        <v>0</v>
      </c>
      <c r="O48" s="26"/>
      <c r="P48" s="26"/>
      <c r="Q48" s="26"/>
      <c r="R48" s="26"/>
      <c r="S48" s="26"/>
      <c r="T48" s="33"/>
      <c r="U48" s="210"/>
      <c r="V48" s="26"/>
      <c r="W48" s="26"/>
      <c r="X48" s="26"/>
      <c r="Y48" s="26"/>
      <c r="Z48" s="26"/>
      <c r="AA48" s="34"/>
      <c r="AB48" s="32"/>
      <c r="AC48" s="89"/>
      <c r="AD48" s="89"/>
      <c r="AE48" s="89"/>
      <c r="AF48" s="89"/>
      <c r="AG48" s="89"/>
      <c r="AH48" s="89"/>
      <c r="AI48" s="44"/>
    </row>
    <row r="49" spans="1:39" s="94" customFormat="1" ht="15.75" hidden="1" outlineLevel="1" x14ac:dyDescent="0.25">
      <c r="A49" s="24"/>
      <c r="B49" s="24"/>
      <c r="C49" s="22"/>
      <c r="D49" s="22"/>
      <c r="E49" s="22"/>
      <c r="F49" s="22"/>
      <c r="G49" s="22"/>
      <c r="H49" s="22"/>
      <c r="I49" s="22"/>
      <c r="J49" s="22"/>
      <c r="K49" s="22"/>
      <c r="L49" s="22"/>
      <c r="M49" s="32" t="str">
        <f t="shared" si="8"/>
        <v/>
      </c>
      <c r="N49" s="32">
        <f t="shared" si="9"/>
        <v>0</v>
      </c>
      <c r="O49" s="26"/>
      <c r="P49" s="26"/>
      <c r="Q49" s="26"/>
      <c r="R49" s="26"/>
      <c r="S49" s="26"/>
      <c r="T49" s="33"/>
      <c r="U49" s="210"/>
      <c r="V49" s="26"/>
      <c r="W49" s="26"/>
      <c r="X49" s="26"/>
      <c r="Y49" s="26"/>
      <c r="Z49" s="26"/>
      <c r="AA49" s="34"/>
      <c r="AB49" s="32"/>
      <c r="AC49" s="89"/>
      <c r="AD49" s="89"/>
      <c r="AE49" s="89"/>
      <c r="AF49" s="89"/>
      <c r="AG49" s="89"/>
      <c r="AH49" s="89"/>
      <c r="AI49" s="44"/>
    </row>
    <row r="50" spans="1:39" s="94" customFormat="1" ht="15.75" hidden="1" outlineLevel="1" x14ac:dyDescent="0.25">
      <c r="A50" s="24"/>
      <c r="B50" s="24"/>
      <c r="C50" s="22"/>
      <c r="D50" s="22"/>
      <c r="E50" s="22"/>
      <c r="F50" s="22"/>
      <c r="G50" s="22"/>
      <c r="H50" s="22"/>
      <c r="I50" s="22"/>
      <c r="J50" s="22"/>
      <c r="K50" s="22"/>
      <c r="L50" s="22"/>
      <c r="M50" s="32" t="str">
        <f t="shared" si="8"/>
        <v/>
      </c>
      <c r="N50" s="32">
        <f t="shared" si="9"/>
        <v>0</v>
      </c>
      <c r="O50" s="26"/>
      <c r="P50" s="26"/>
      <c r="Q50" s="26"/>
      <c r="R50" s="26"/>
      <c r="S50" s="26"/>
      <c r="T50" s="33"/>
      <c r="U50" s="210"/>
      <c r="V50" s="26"/>
      <c r="W50" s="26"/>
      <c r="X50" s="26"/>
      <c r="Y50" s="26"/>
      <c r="Z50" s="26"/>
      <c r="AA50" s="34"/>
      <c r="AB50" s="32"/>
      <c r="AC50" s="89"/>
      <c r="AD50" s="89"/>
      <c r="AE50" s="89"/>
      <c r="AF50" s="89"/>
      <c r="AG50" s="89"/>
      <c r="AH50" s="89"/>
      <c r="AI50" s="44"/>
    </row>
    <row r="51" spans="1:39" s="94" customFormat="1" ht="15.75" hidden="1" outlineLevel="1" x14ac:dyDescent="0.25">
      <c r="A51" s="24"/>
      <c r="B51" s="24"/>
      <c r="C51" s="22"/>
      <c r="D51" s="22"/>
      <c r="E51" s="22"/>
      <c r="F51" s="22"/>
      <c r="G51" s="22"/>
      <c r="H51" s="22"/>
      <c r="I51" s="22"/>
      <c r="J51" s="22"/>
      <c r="K51" s="22"/>
      <c r="L51" s="22"/>
      <c r="M51" s="32" t="str">
        <f t="shared" si="8"/>
        <v/>
      </c>
      <c r="N51" s="32">
        <f t="shared" si="9"/>
        <v>0</v>
      </c>
      <c r="O51" s="26"/>
      <c r="P51" s="26"/>
      <c r="Q51" s="26"/>
      <c r="R51" s="26"/>
      <c r="S51" s="26"/>
      <c r="T51" s="33"/>
      <c r="U51" s="210"/>
      <c r="V51" s="26"/>
      <c r="W51" s="26"/>
      <c r="X51" s="26"/>
      <c r="Y51" s="26"/>
      <c r="Z51" s="26"/>
      <c r="AA51" s="34"/>
      <c r="AB51" s="32"/>
      <c r="AC51" s="89"/>
      <c r="AD51" s="89"/>
      <c r="AE51" s="89"/>
      <c r="AF51" s="89"/>
      <c r="AG51" s="89"/>
      <c r="AH51" s="89"/>
      <c r="AI51" s="44"/>
    </row>
    <row r="52" spans="1:39" s="94" customFormat="1" ht="15.75" hidden="1" outlineLevel="1" x14ac:dyDescent="0.25">
      <c r="A52" s="24"/>
      <c r="B52" s="24"/>
      <c r="C52" s="22"/>
      <c r="D52" s="22"/>
      <c r="E52" s="22"/>
      <c r="F52" s="22"/>
      <c r="G52" s="22"/>
      <c r="H52" s="22"/>
      <c r="I52" s="22"/>
      <c r="J52" s="22"/>
      <c r="K52" s="22"/>
      <c r="L52" s="22"/>
      <c r="M52" s="32" t="str">
        <f t="shared" si="8"/>
        <v/>
      </c>
      <c r="N52" s="32">
        <f t="shared" si="9"/>
        <v>0</v>
      </c>
      <c r="O52" s="26"/>
      <c r="P52" s="26"/>
      <c r="Q52" s="26"/>
      <c r="R52" s="26"/>
      <c r="S52" s="26"/>
      <c r="T52" s="33"/>
      <c r="U52" s="210"/>
      <c r="V52" s="26"/>
      <c r="W52" s="26"/>
      <c r="X52" s="26"/>
      <c r="Y52" s="26"/>
      <c r="Z52" s="26"/>
      <c r="AA52" s="34"/>
      <c r="AB52" s="32"/>
      <c r="AC52" s="89"/>
      <c r="AD52" s="89"/>
      <c r="AE52" s="89"/>
      <c r="AF52" s="89"/>
      <c r="AG52" s="89"/>
      <c r="AH52" s="89"/>
      <c r="AI52" s="44"/>
    </row>
    <row r="53" spans="1:39" s="94" customFormat="1" ht="15.75" hidden="1" outlineLevel="1" x14ac:dyDescent="0.25">
      <c r="A53" s="24"/>
      <c r="B53" s="24"/>
      <c r="C53" s="22"/>
      <c r="D53" s="22"/>
      <c r="E53" s="22"/>
      <c r="F53" s="22"/>
      <c r="G53" s="22"/>
      <c r="H53" s="22"/>
      <c r="I53" s="22"/>
      <c r="J53" s="22"/>
      <c r="K53" s="22"/>
      <c r="L53" s="22"/>
      <c r="M53" s="32" t="str">
        <f t="shared" si="8"/>
        <v/>
      </c>
      <c r="N53" s="32">
        <f t="shared" si="9"/>
        <v>0</v>
      </c>
      <c r="O53" s="26"/>
      <c r="P53" s="26"/>
      <c r="Q53" s="26"/>
      <c r="R53" s="26"/>
      <c r="S53" s="26"/>
      <c r="T53" s="33"/>
      <c r="U53" s="210"/>
      <c r="V53" s="26"/>
      <c r="W53" s="26"/>
      <c r="X53" s="26"/>
      <c r="Y53" s="26"/>
      <c r="Z53" s="26"/>
      <c r="AA53" s="34"/>
      <c r="AB53" s="32"/>
      <c r="AC53" s="89"/>
      <c r="AD53" s="89"/>
      <c r="AE53" s="89"/>
      <c r="AF53" s="89"/>
      <c r="AG53" s="89"/>
      <c r="AH53" s="89"/>
      <c r="AI53" s="44"/>
    </row>
    <row r="54" spans="1:39" s="94" customFormat="1" ht="15.75" hidden="1" outlineLevel="1" x14ac:dyDescent="0.25">
      <c r="A54" s="24"/>
      <c r="B54" s="24"/>
      <c r="C54" s="22"/>
      <c r="D54" s="22"/>
      <c r="E54" s="22"/>
      <c r="F54" s="22"/>
      <c r="G54" s="22"/>
      <c r="H54" s="22"/>
      <c r="I54" s="22"/>
      <c r="J54" s="22"/>
      <c r="K54" s="22"/>
      <c r="L54" s="22"/>
      <c r="M54" s="32" t="str">
        <f t="shared" si="8"/>
        <v/>
      </c>
      <c r="N54" s="32">
        <f t="shared" si="9"/>
        <v>0</v>
      </c>
      <c r="O54" s="26"/>
      <c r="P54" s="26"/>
      <c r="Q54" s="26"/>
      <c r="R54" s="26"/>
      <c r="S54" s="26"/>
      <c r="T54" s="33"/>
      <c r="U54" s="210"/>
      <c r="V54" s="26"/>
      <c r="W54" s="26"/>
      <c r="X54" s="26"/>
      <c r="Y54" s="26"/>
      <c r="Z54" s="26"/>
      <c r="AA54" s="34"/>
      <c r="AB54" s="32"/>
      <c r="AC54" s="89"/>
      <c r="AD54" s="89"/>
      <c r="AE54" s="89"/>
      <c r="AF54" s="89"/>
      <c r="AG54" s="89"/>
      <c r="AH54" s="89"/>
      <c r="AI54" s="44"/>
    </row>
    <row r="55" spans="1:39" s="94" customFormat="1" ht="15.75" hidden="1" outlineLevel="1" x14ac:dyDescent="0.25">
      <c r="A55" s="24"/>
      <c r="B55" s="24"/>
      <c r="C55" s="22"/>
      <c r="D55" s="22"/>
      <c r="E55" s="22"/>
      <c r="F55" s="22"/>
      <c r="G55" s="22"/>
      <c r="H55" s="22"/>
      <c r="I55" s="22"/>
      <c r="J55" s="22"/>
      <c r="K55" s="22"/>
      <c r="L55" s="22"/>
      <c r="M55" s="32" t="str">
        <f t="shared" si="8"/>
        <v/>
      </c>
      <c r="N55" s="32">
        <f t="shared" si="9"/>
        <v>0</v>
      </c>
      <c r="O55" s="26"/>
      <c r="P55" s="26"/>
      <c r="Q55" s="26"/>
      <c r="R55" s="26"/>
      <c r="S55" s="26"/>
      <c r="T55" s="33"/>
      <c r="U55" s="208"/>
      <c r="V55" s="26"/>
      <c r="W55" s="26"/>
      <c r="X55" s="26"/>
      <c r="Y55" s="26"/>
      <c r="Z55" s="26"/>
      <c r="AA55" s="34"/>
      <c r="AB55" s="32"/>
      <c r="AC55" s="89"/>
      <c r="AD55" s="89"/>
      <c r="AE55" s="89"/>
      <c r="AF55" s="89"/>
      <c r="AG55" s="89"/>
      <c r="AH55" s="89"/>
      <c r="AI55" s="44"/>
    </row>
    <row r="56" spans="1:39" s="94" customFormat="1" ht="15.75" hidden="1" outlineLevel="1" x14ac:dyDescent="0.25">
      <c r="A56" s="24"/>
      <c r="B56" s="24"/>
      <c r="C56" s="22"/>
      <c r="D56" s="22"/>
      <c r="E56" s="22"/>
      <c r="F56" s="22"/>
      <c r="G56" s="22"/>
      <c r="H56" s="22"/>
      <c r="I56" s="22"/>
      <c r="J56" s="22"/>
      <c r="K56" s="22"/>
      <c r="L56" s="22"/>
      <c r="M56" s="32" t="str">
        <f t="shared" si="8"/>
        <v/>
      </c>
      <c r="N56" s="32">
        <f t="shared" si="9"/>
        <v>0</v>
      </c>
      <c r="O56" s="26"/>
      <c r="P56" s="26"/>
      <c r="Q56" s="26"/>
      <c r="R56" s="26"/>
      <c r="S56" s="26"/>
      <c r="T56" s="33"/>
      <c r="U56" s="210"/>
      <c r="V56" s="26"/>
      <c r="W56" s="26"/>
      <c r="X56" s="26"/>
      <c r="Y56" s="26"/>
      <c r="Z56" s="26"/>
      <c r="AA56" s="34"/>
      <c r="AB56" s="32"/>
      <c r="AC56" s="89"/>
      <c r="AD56" s="89"/>
      <c r="AE56" s="89"/>
      <c r="AF56" s="89"/>
      <c r="AG56" s="89"/>
      <c r="AH56" s="89"/>
      <c r="AI56" s="44"/>
    </row>
    <row r="57" spans="1:39" s="94" customFormat="1" ht="15.75" collapsed="1" x14ac:dyDescent="0.25">
      <c r="A57" s="24"/>
      <c r="B57" s="24"/>
      <c r="C57" s="22"/>
      <c r="D57" s="22"/>
      <c r="E57" s="22"/>
      <c r="F57" s="22"/>
      <c r="G57" s="22"/>
      <c r="H57" s="22"/>
      <c r="I57" s="22"/>
      <c r="J57" s="22"/>
      <c r="K57" s="22"/>
      <c r="L57" s="22"/>
      <c r="M57" s="32" t="str">
        <f t="shared" si="8"/>
        <v/>
      </c>
      <c r="N57" s="32">
        <f t="shared" si="9"/>
        <v>0</v>
      </c>
      <c r="O57" s="26"/>
      <c r="P57" s="26"/>
      <c r="Q57" s="26"/>
      <c r="R57" s="26"/>
      <c r="S57" s="26"/>
      <c r="T57" s="33"/>
      <c r="U57" s="210"/>
      <c r="V57" s="26"/>
      <c r="W57" s="26"/>
      <c r="X57" s="26"/>
      <c r="Y57" s="26"/>
      <c r="Z57" s="26"/>
      <c r="AA57" s="34"/>
      <c r="AB57" s="32"/>
      <c r="AC57" s="89"/>
      <c r="AD57" s="89"/>
      <c r="AE57" s="89"/>
      <c r="AF57" s="89"/>
      <c r="AG57" s="89"/>
      <c r="AH57" s="89"/>
      <c r="AI57" s="44"/>
    </row>
    <row r="58" spans="1:39" s="90" customFormat="1" ht="18.75" x14ac:dyDescent="0.25">
      <c r="A58" s="82" t="str">
        <f ca="1">IF(M58&gt;0,MAX($A$1:OFFSET(A58,-1,0))+0.01,"")</f>
        <v/>
      </c>
      <c r="B58" s="27"/>
      <c r="C58" s="28"/>
      <c r="D58" s="28"/>
      <c r="E58" s="28"/>
      <c r="F58" s="28"/>
      <c r="G58" s="28"/>
      <c r="H58" s="28"/>
      <c r="I58" s="28"/>
      <c r="J58" s="35"/>
      <c r="K58" s="35"/>
      <c r="L58" s="35"/>
      <c r="M58" s="97">
        <f>SUM(M59:M68)</f>
        <v>0</v>
      </c>
      <c r="N58" s="29"/>
      <c r="O58" s="84">
        <f>IFERROR(IF($Z58&lt;&gt;0,0,IF($Z58="inc",0,IF(V58&lt;&gt;0,V58/$M58,IF(V58="inc",0,SUMPRODUCT($M59:$M68,O59:O68)/$M58)))),0)*Notes!$C$17</f>
        <v>0</v>
      </c>
      <c r="P58" s="84">
        <f>IFERROR(IF($Z58&lt;&gt;0,0,IF($Z58="inc",0,IF(W58&lt;&gt;0,W58/$M58,IF(W58="inc",0,SUMPRODUCT($M59:$M68,P59:P68)/$M58)))),0)*Notes!$C$17</f>
        <v>0</v>
      </c>
      <c r="Q58" s="84">
        <f>IFERROR(IF($Z58&lt;&gt;0,0,IF($Z58="inc",0,IF(X58&lt;&gt;0,X58/$M58,IF(X58="inc",0,SUMPRODUCT($M59:$M68,Q59:Q68)/$M58)))),0)*Notes!$C$17</f>
        <v>0</v>
      </c>
      <c r="R58" s="84">
        <f>IFERROR(IF($Z58&lt;&gt;0,0,IF($Z58="inc",0,IF(Y58&lt;&gt;0,Y58/$M58,IF(Y58="inc",0,SUMPRODUCT($M59:$M68,R59:R68)/$M58)))),0)*Notes!$C$17</f>
        <v>0</v>
      </c>
      <c r="S58" s="85">
        <f>IFERROR(IF(Z58="inc","inc",IF(AND(Z58&gt;0,M58&gt;0),Z58/M58,IF(SUM(O58:R58)&gt;0,SUM(O58:R58),0))),0)</f>
        <v>0</v>
      </c>
      <c r="T58" s="86">
        <f>IF(S58="inc",0,IF(M58="",0,M58*S58))</f>
        <v>0</v>
      </c>
      <c r="U58" s="208"/>
      <c r="V58" s="30"/>
      <c r="W58" s="30"/>
      <c r="X58" s="30"/>
      <c r="Y58" s="30"/>
      <c r="Z58" s="30"/>
      <c r="AA58" s="87"/>
      <c r="AB58" s="88"/>
      <c r="AC58" s="89">
        <f>IFERROR($M58*O58,0)</f>
        <v>0</v>
      </c>
      <c r="AD58" s="89">
        <f>IFERROR($M58*P58,0)</f>
        <v>0</v>
      </c>
      <c r="AE58" s="89">
        <f>IFERROR($M58*Q58,0)</f>
        <v>0</v>
      </c>
      <c r="AF58" s="89">
        <f>IFERROR($M58*R58,0)</f>
        <v>0</v>
      </c>
      <c r="AG58" s="89">
        <f>IFERROR(Z58,0)</f>
        <v>0</v>
      </c>
      <c r="AH58" s="89">
        <f>IFERROR(IF(SUM(AC58:AG58)&gt;0,SUM(AC58:AG58),0),0)</f>
        <v>0</v>
      </c>
      <c r="AI58" s="25"/>
      <c r="AJ58" s="25"/>
      <c r="AK58" s="25"/>
      <c r="AL58" s="25"/>
      <c r="AM58" s="25"/>
    </row>
    <row r="59" spans="1:39" s="94" customFormat="1" ht="15.75" x14ac:dyDescent="0.25">
      <c r="A59" s="24"/>
      <c r="B59" s="24"/>
      <c r="C59" s="22"/>
      <c r="D59" s="22"/>
      <c r="E59" s="22"/>
      <c r="F59" s="22"/>
      <c r="G59" s="22"/>
      <c r="H59" s="22"/>
      <c r="I59" s="22"/>
      <c r="J59" s="22"/>
      <c r="K59" s="22"/>
      <c r="L59" s="22"/>
      <c r="M59" s="32" t="str">
        <f t="shared" ref="M59:M68" si="10">IF(SUM(G59:L59)=0,"",IF(G59=0,1,G59)*IF(H59=0,1,H59)*IF(I59=0,1,I59)*IF(J59=0,1,J59)*IF(K59=0,1,K59)*IF(L59=0,1,L59))</f>
        <v/>
      </c>
      <c r="N59" s="32">
        <f t="shared" ref="N59:N68" si="11">IF(COUNTA(G59:L59)=0,0,IF(M59="","",IF(J59-SUM(G59+H59+I59+K59+L59)=J59,"Lm",IF(COUNTA(G59:L59)&gt;4,"ERROR",IF(L59&gt;0,"m3",IF(COUNTA(K59,J59)=2,"m3",IF(COUNTA(G59:J59)=4,"m3",IF(COUNTA(H59:J59)=3,"m3",IF(K59&gt;0,"m2",IF(COUNTA(H59,I59)=2,"m2",IF(COUNTA(G59:J59)=3,"m2",IF(COUNTA(H59:J59)=2,"m2",IF(COUNTA(G59:J59)=2,"Lm",IF(H59&gt;0,"Lm",IF(I59&gt;0,"Lm",IF(G59&gt;0,"No.",))))))))))))))))</f>
        <v>0</v>
      </c>
      <c r="O59" s="26"/>
      <c r="P59" s="26"/>
      <c r="Q59" s="26"/>
      <c r="R59" s="26"/>
      <c r="S59" s="26"/>
      <c r="T59" s="33"/>
      <c r="U59" s="210"/>
      <c r="V59" s="26"/>
      <c r="W59" s="26"/>
      <c r="X59" s="26"/>
      <c r="Y59" s="26"/>
      <c r="Z59" s="26"/>
      <c r="AA59" s="34"/>
      <c r="AB59" s="32"/>
      <c r="AC59" s="89"/>
      <c r="AD59" s="89"/>
      <c r="AE59" s="89"/>
      <c r="AF59" s="89"/>
      <c r="AG59" s="89"/>
      <c r="AH59" s="89"/>
      <c r="AI59" s="44"/>
    </row>
    <row r="60" spans="1:39" s="94" customFormat="1" ht="15.75" hidden="1" outlineLevel="1" x14ac:dyDescent="0.25">
      <c r="A60" s="24"/>
      <c r="B60" s="24"/>
      <c r="C60" s="22"/>
      <c r="D60" s="22"/>
      <c r="E60" s="22"/>
      <c r="F60" s="22"/>
      <c r="G60" s="22"/>
      <c r="H60" s="22"/>
      <c r="I60" s="22"/>
      <c r="J60" s="22"/>
      <c r="K60" s="22"/>
      <c r="L60" s="22"/>
      <c r="M60" s="32" t="str">
        <f t="shared" si="10"/>
        <v/>
      </c>
      <c r="N60" s="32">
        <f t="shared" si="11"/>
        <v>0</v>
      </c>
      <c r="O60" s="26"/>
      <c r="P60" s="26"/>
      <c r="Q60" s="26"/>
      <c r="R60" s="26"/>
      <c r="S60" s="26"/>
      <c r="T60" s="33"/>
      <c r="U60" s="210"/>
      <c r="V60" s="26"/>
      <c r="W60" s="26"/>
      <c r="X60" s="26"/>
      <c r="Y60" s="26"/>
      <c r="Z60" s="26"/>
      <c r="AA60" s="34"/>
      <c r="AB60" s="32"/>
      <c r="AC60" s="89"/>
      <c r="AD60" s="89"/>
      <c r="AE60" s="89"/>
      <c r="AF60" s="89"/>
      <c r="AG60" s="89"/>
      <c r="AH60" s="89"/>
      <c r="AI60" s="44"/>
    </row>
    <row r="61" spans="1:39" s="94" customFormat="1" ht="15.75" hidden="1" outlineLevel="1" x14ac:dyDescent="0.25">
      <c r="A61" s="24"/>
      <c r="B61" s="24"/>
      <c r="C61" s="22"/>
      <c r="D61" s="22"/>
      <c r="E61" s="22"/>
      <c r="F61" s="22"/>
      <c r="G61" s="22"/>
      <c r="H61" s="22"/>
      <c r="I61" s="22"/>
      <c r="J61" s="22"/>
      <c r="K61" s="22"/>
      <c r="L61" s="22"/>
      <c r="M61" s="32" t="str">
        <f t="shared" si="10"/>
        <v/>
      </c>
      <c r="N61" s="32">
        <f t="shared" si="11"/>
        <v>0</v>
      </c>
      <c r="O61" s="26"/>
      <c r="P61" s="26"/>
      <c r="Q61" s="26"/>
      <c r="R61" s="26"/>
      <c r="S61" s="26"/>
      <c r="T61" s="33"/>
      <c r="U61" s="210"/>
      <c r="V61" s="26"/>
      <c r="W61" s="26"/>
      <c r="X61" s="26"/>
      <c r="Y61" s="26"/>
      <c r="Z61" s="26"/>
      <c r="AA61" s="34"/>
      <c r="AB61" s="32"/>
      <c r="AC61" s="89"/>
      <c r="AD61" s="89"/>
      <c r="AE61" s="89"/>
      <c r="AF61" s="89"/>
      <c r="AG61" s="89"/>
      <c r="AH61" s="89"/>
      <c r="AI61" s="44"/>
    </row>
    <row r="62" spans="1:39" s="94" customFormat="1" ht="15.75" hidden="1" outlineLevel="1" x14ac:dyDescent="0.25">
      <c r="A62" s="24"/>
      <c r="B62" s="24"/>
      <c r="C62" s="22"/>
      <c r="D62" s="22"/>
      <c r="E62" s="22"/>
      <c r="F62" s="22"/>
      <c r="G62" s="22"/>
      <c r="H62" s="22"/>
      <c r="I62" s="22"/>
      <c r="J62" s="22"/>
      <c r="K62" s="22"/>
      <c r="L62" s="22"/>
      <c r="M62" s="32" t="str">
        <f t="shared" si="10"/>
        <v/>
      </c>
      <c r="N62" s="32">
        <f t="shared" si="11"/>
        <v>0</v>
      </c>
      <c r="O62" s="26"/>
      <c r="P62" s="26"/>
      <c r="Q62" s="26"/>
      <c r="R62" s="26"/>
      <c r="S62" s="26"/>
      <c r="T62" s="33"/>
      <c r="U62" s="210"/>
      <c r="V62" s="26"/>
      <c r="W62" s="26"/>
      <c r="X62" s="26"/>
      <c r="Y62" s="26"/>
      <c r="Z62" s="26"/>
      <c r="AA62" s="34"/>
      <c r="AB62" s="32"/>
      <c r="AC62" s="89"/>
      <c r="AD62" s="89"/>
      <c r="AE62" s="89"/>
      <c r="AF62" s="89"/>
      <c r="AG62" s="89"/>
      <c r="AH62" s="89"/>
      <c r="AI62" s="44"/>
    </row>
    <row r="63" spans="1:39" s="94" customFormat="1" ht="15.75" hidden="1" outlineLevel="1" x14ac:dyDescent="0.25">
      <c r="A63" s="24"/>
      <c r="B63" s="24"/>
      <c r="C63" s="22"/>
      <c r="D63" s="22"/>
      <c r="E63" s="22"/>
      <c r="F63" s="22"/>
      <c r="G63" s="22"/>
      <c r="H63" s="22"/>
      <c r="I63" s="22"/>
      <c r="J63" s="22"/>
      <c r="K63" s="22"/>
      <c r="L63" s="22"/>
      <c r="M63" s="32" t="str">
        <f t="shared" si="10"/>
        <v/>
      </c>
      <c r="N63" s="32">
        <f t="shared" si="11"/>
        <v>0</v>
      </c>
      <c r="O63" s="26"/>
      <c r="P63" s="26"/>
      <c r="Q63" s="26"/>
      <c r="R63" s="26"/>
      <c r="S63" s="26"/>
      <c r="T63" s="33"/>
      <c r="U63" s="210"/>
      <c r="V63" s="26"/>
      <c r="W63" s="26"/>
      <c r="X63" s="26"/>
      <c r="Y63" s="26"/>
      <c r="Z63" s="26"/>
      <c r="AA63" s="34"/>
      <c r="AB63" s="32"/>
      <c r="AC63" s="89"/>
      <c r="AD63" s="89"/>
      <c r="AE63" s="89"/>
      <c r="AF63" s="89"/>
      <c r="AG63" s="89"/>
      <c r="AH63" s="89"/>
      <c r="AI63" s="44"/>
    </row>
    <row r="64" spans="1:39" s="94" customFormat="1" ht="15.75" hidden="1" outlineLevel="1" x14ac:dyDescent="0.25">
      <c r="A64" s="24"/>
      <c r="B64" s="24"/>
      <c r="C64" s="22"/>
      <c r="D64" s="22"/>
      <c r="E64" s="22"/>
      <c r="F64" s="22"/>
      <c r="G64" s="22"/>
      <c r="H64" s="22"/>
      <c r="I64" s="22"/>
      <c r="J64" s="22"/>
      <c r="K64" s="22"/>
      <c r="L64" s="22"/>
      <c r="M64" s="32" t="str">
        <f t="shared" si="10"/>
        <v/>
      </c>
      <c r="N64" s="32">
        <f t="shared" si="11"/>
        <v>0</v>
      </c>
      <c r="O64" s="26"/>
      <c r="P64" s="26"/>
      <c r="Q64" s="26"/>
      <c r="R64" s="26"/>
      <c r="S64" s="26"/>
      <c r="T64" s="33"/>
      <c r="U64" s="210"/>
      <c r="V64" s="26"/>
      <c r="W64" s="26"/>
      <c r="X64" s="26"/>
      <c r="Y64" s="26"/>
      <c r="Z64" s="26"/>
      <c r="AA64" s="34"/>
      <c r="AB64" s="32"/>
      <c r="AC64" s="89"/>
      <c r="AD64" s="89"/>
      <c r="AE64" s="89"/>
      <c r="AF64" s="89"/>
      <c r="AG64" s="89"/>
      <c r="AH64" s="89"/>
      <c r="AI64" s="44"/>
    </row>
    <row r="65" spans="1:39" s="94" customFormat="1" ht="15.75" hidden="1" outlineLevel="1" x14ac:dyDescent="0.25">
      <c r="A65" s="24"/>
      <c r="B65" s="24"/>
      <c r="C65" s="22"/>
      <c r="D65" s="22"/>
      <c r="E65" s="22"/>
      <c r="F65" s="22"/>
      <c r="G65" s="22"/>
      <c r="H65" s="22"/>
      <c r="I65" s="22"/>
      <c r="J65" s="22"/>
      <c r="K65" s="22"/>
      <c r="L65" s="22"/>
      <c r="M65" s="32" t="str">
        <f t="shared" si="10"/>
        <v/>
      </c>
      <c r="N65" s="32">
        <f t="shared" si="11"/>
        <v>0</v>
      </c>
      <c r="O65" s="26"/>
      <c r="P65" s="26"/>
      <c r="Q65" s="26"/>
      <c r="R65" s="26"/>
      <c r="S65" s="26"/>
      <c r="T65" s="33"/>
      <c r="U65" s="210"/>
      <c r="V65" s="26"/>
      <c r="W65" s="26"/>
      <c r="X65" s="26"/>
      <c r="Y65" s="26"/>
      <c r="Z65" s="26"/>
      <c r="AA65" s="34"/>
      <c r="AB65" s="32"/>
      <c r="AC65" s="89"/>
      <c r="AD65" s="89"/>
      <c r="AE65" s="89"/>
      <c r="AF65" s="89"/>
      <c r="AG65" s="89"/>
      <c r="AH65" s="89"/>
      <c r="AI65" s="44"/>
    </row>
    <row r="66" spans="1:39" s="94" customFormat="1" ht="15.75" hidden="1" outlineLevel="1" x14ac:dyDescent="0.25">
      <c r="A66" s="24"/>
      <c r="B66" s="24"/>
      <c r="C66" s="22"/>
      <c r="D66" s="22"/>
      <c r="E66" s="22"/>
      <c r="F66" s="22"/>
      <c r="G66" s="22"/>
      <c r="H66" s="22"/>
      <c r="I66" s="22"/>
      <c r="J66" s="22"/>
      <c r="K66" s="22"/>
      <c r="L66" s="22"/>
      <c r="M66" s="32" t="str">
        <f t="shared" si="10"/>
        <v/>
      </c>
      <c r="N66" s="32">
        <f t="shared" si="11"/>
        <v>0</v>
      </c>
      <c r="O66" s="26"/>
      <c r="P66" s="26"/>
      <c r="Q66" s="26"/>
      <c r="R66" s="26"/>
      <c r="S66" s="26"/>
      <c r="T66" s="33"/>
      <c r="U66" s="208"/>
      <c r="V66" s="26"/>
      <c r="W66" s="26"/>
      <c r="X66" s="26"/>
      <c r="Y66" s="26"/>
      <c r="Z66" s="26"/>
      <c r="AA66" s="34"/>
      <c r="AB66" s="32"/>
      <c r="AC66" s="89"/>
      <c r="AD66" s="89"/>
      <c r="AE66" s="89"/>
      <c r="AF66" s="89"/>
      <c r="AG66" s="89"/>
      <c r="AH66" s="89"/>
      <c r="AI66" s="44"/>
    </row>
    <row r="67" spans="1:39" s="94" customFormat="1" ht="15.75" hidden="1" outlineLevel="1" x14ac:dyDescent="0.25">
      <c r="A67" s="24"/>
      <c r="B67" s="24"/>
      <c r="C67" s="22"/>
      <c r="D67" s="22"/>
      <c r="E67" s="22"/>
      <c r="F67" s="22"/>
      <c r="G67" s="22"/>
      <c r="H67" s="22"/>
      <c r="I67" s="22"/>
      <c r="J67" s="22"/>
      <c r="K67" s="22"/>
      <c r="L67" s="22"/>
      <c r="M67" s="32" t="str">
        <f t="shared" si="10"/>
        <v/>
      </c>
      <c r="N67" s="32">
        <f t="shared" si="11"/>
        <v>0</v>
      </c>
      <c r="O67" s="26"/>
      <c r="P67" s="26"/>
      <c r="Q67" s="26"/>
      <c r="R67" s="26"/>
      <c r="S67" s="26"/>
      <c r="T67" s="33"/>
      <c r="U67" s="210"/>
      <c r="V67" s="26"/>
      <c r="W67" s="26"/>
      <c r="X67" s="26"/>
      <c r="Y67" s="26"/>
      <c r="Z67" s="26"/>
      <c r="AA67" s="34"/>
      <c r="AB67" s="32"/>
      <c r="AC67" s="89"/>
      <c r="AD67" s="89"/>
      <c r="AE67" s="89"/>
      <c r="AF67" s="89"/>
      <c r="AG67" s="89"/>
      <c r="AH67" s="89"/>
      <c r="AI67" s="44"/>
    </row>
    <row r="68" spans="1:39" s="94" customFormat="1" ht="15.75" collapsed="1" x14ac:dyDescent="0.25">
      <c r="A68" s="24"/>
      <c r="B68" s="24"/>
      <c r="C68" s="22"/>
      <c r="D68" s="22"/>
      <c r="E68" s="22"/>
      <c r="F68" s="22"/>
      <c r="G68" s="22"/>
      <c r="H68" s="22"/>
      <c r="I68" s="22"/>
      <c r="J68" s="22"/>
      <c r="K68" s="22"/>
      <c r="L68" s="22"/>
      <c r="M68" s="32" t="str">
        <f t="shared" si="10"/>
        <v/>
      </c>
      <c r="N68" s="32">
        <f t="shared" si="11"/>
        <v>0</v>
      </c>
      <c r="O68" s="26"/>
      <c r="P68" s="26"/>
      <c r="Q68" s="26"/>
      <c r="R68" s="26"/>
      <c r="S68" s="26"/>
      <c r="T68" s="33"/>
      <c r="U68" s="210"/>
      <c r="V68" s="26"/>
      <c r="W68" s="26"/>
      <c r="X68" s="26"/>
      <c r="Y68" s="26"/>
      <c r="Z68" s="26"/>
      <c r="AA68" s="34"/>
      <c r="AB68" s="32"/>
      <c r="AC68" s="89"/>
      <c r="AD68" s="89"/>
      <c r="AE68" s="89"/>
      <c r="AF68" s="89"/>
      <c r="AG68" s="89"/>
      <c r="AH68" s="89"/>
      <c r="AI68" s="44"/>
    </row>
    <row r="69" spans="1:39" s="90" customFormat="1" ht="18.75" x14ac:dyDescent="0.25">
      <c r="A69" s="82" t="str">
        <f ca="1">IF(M69&gt;0,MAX($A$1:OFFSET(A69,-1,0))+0.01,"")</f>
        <v/>
      </c>
      <c r="B69" s="27"/>
      <c r="C69" s="28"/>
      <c r="D69" s="28"/>
      <c r="E69" s="28"/>
      <c r="F69" s="28"/>
      <c r="G69" s="28"/>
      <c r="H69" s="28"/>
      <c r="I69" s="28"/>
      <c r="J69" s="35"/>
      <c r="K69" s="35"/>
      <c r="L69" s="35"/>
      <c r="M69" s="97">
        <f>SUM(M70:M79)</f>
        <v>0</v>
      </c>
      <c r="N69" s="29"/>
      <c r="O69" s="84">
        <f>IFERROR(IF($Z69&lt;&gt;0,0,IF($Z69="inc",0,IF(V69&lt;&gt;0,V69/$M69,IF(V69="inc",0,SUMPRODUCT($M70:$M79,O70:O79)/$M69)))),0)*Notes!$C$17</f>
        <v>0</v>
      </c>
      <c r="P69" s="84">
        <f>IFERROR(IF($Z69&lt;&gt;0,0,IF($Z69="inc",0,IF(W69&lt;&gt;0,W69/$M69,IF(W69="inc",0,SUMPRODUCT($M70:$M79,P70:P79)/$M69)))),0)*Notes!$C$17</f>
        <v>0</v>
      </c>
      <c r="Q69" s="84">
        <f>IFERROR(IF($Z69&lt;&gt;0,0,IF($Z69="inc",0,IF(X69&lt;&gt;0,X69/$M69,IF(X69="inc",0,SUMPRODUCT($M70:$M79,Q70:Q79)/$M69)))),0)*Notes!$C$17</f>
        <v>0</v>
      </c>
      <c r="R69" s="84">
        <f>IFERROR(IF($Z69&lt;&gt;0,0,IF($Z69="inc",0,IF(Y69&lt;&gt;0,Y69/$M69,IF(Y69="inc",0,SUMPRODUCT($M70:$M79,R70:R79)/$M69)))),0)*Notes!$C$17</f>
        <v>0</v>
      </c>
      <c r="S69" s="85">
        <f>IFERROR(IF(Z69="inc","inc",IF(AND(Z69&gt;0,M69&gt;0),Z69/M69,IF(SUM(O69:R69)&gt;0,SUM(O69:R69),0))),0)</f>
        <v>0</v>
      </c>
      <c r="T69" s="86">
        <f>IF(S69="inc",0,IF(M69="",0,M69*S69))</f>
        <v>0</v>
      </c>
      <c r="U69" s="208"/>
      <c r="V69" s="30"/>
      <c r="W69" s="30"/>
      <c r="X69" s="30"/>
      <c r="Y69" s="30"/>
      <c r="Z69" s="30"/>
      <c r="AA69" s="87"/>
      <c r="AB69" s="88"/>
      <c r="AC69" s="89">
        <f>IFERROR($M69*O69,0)</f>
        <v>0</v>
      </c>
      <c r="AD69" s="89">
        <f>IFERROR($M69*P69,0)</f>
        <v>0</v>
      </c>
      <c r="AE69" s="89">
        <f>IFERROR($M69*Q69,0)</f>
        <v>0</v>
      </c>
      <c r="AF69" s="89">
        <f>IFERROR($M69*R69,0)</f>
        <v>0</v>
      </c>
      <c r="AG69" s="89">
        <f>IFERROR(Z69,0)</f>
        <v>0</v>
      </c>
      <c r="AH69" s="89">
        <f>IFERROR(IF(SUM(AC69:AG69)&gt;0,SUM(AC69:AG69),0),0)</f>
        <v>0</v>
      </c>
      <c r="AI69" s="25"/>
      <c r="AJ69" s="25"/>
      <c r="AK69" s="25"/>
      <c r="AL69" s="25"/>
      <c r="AM69" s="25"/>
    </row>
    <row r="70" spans="1:39" s="94" customFormat="1" ht="15.75" x14ac:dyDescent="0.25">
      <c r="A70" s="24"/>
      <c r="B70" s="24"/>
      <c r="C70" s="22"/>
      <c r="D70" s="22"/>
      <c r="E70" s="22"/>
      <c r="F70" s="22"/>
      <c r="G70" s="22"/>
      <c r="H70" s="22"/>
      <c r="I70" s="22"/>
      <c r="J70" s="22"/>
      <c r="K70" s="22"/>
      <c r="L70" s="22"/>
      <c r="M70" s="32" t="str">
        <f t="shared" ref="M70:M79" si="12">IF(SUM(G70:L70)=0,"",IF(G70=0,1,G70)*IF(H70=0,1,H70)*IF(I70=0,1,I70)*IF(J70=0,1,J70)*IF(K70=0,1,K70)*IF(L70=0,1,L70))</f>
        <v/>
      </c>
      <c r="N70" s="32">
        <f t="shared" ref="N70:N79" si="13">IF(COUNTA(G70:L70)=0,0,IF(M70="","",IF(J70-SUM(G70+H70+I70+K70+L70)=J70,"Lm",IF(COUNTA(G70:L70)&gt;4,"ERROR",IF(L70&gt;0,"m3",IF(COUNTA(K70,J70)=2,"m3",IF(COUNTA(G70:J70)=4,"m3",IF(COUNTA(H70:J70)=3,"m3",IF(K70&gt;0,"m2",IF(COUNTA(H70,I70)=2,"m2",IF(COUNTA(G70:J70)=3,"m2",IF(COUNTA(H70:J70)=2,"m2",IF(COUNTA(G70:J70)=2,"Lm",IF(H70&gt;0,"Lm",IF(I70&gt;0,"Lm",IF(G70&gt;0,"No.",))))))))))))))))</f>
        <v>0</v>
      </c>
      <c r="O70" s="26"/>
      <c r="P70" s="26"/>
      <c r="Q70" s="26"/>
      <c r="R70" s="26"/>
      <c r="S70" s="26"/>
      <c r="T70" s="33"/>
      <c r="U70" s="210"/>
      <c r="V70" s="26"/>
      <c r="W70" s="26"/>
      <c r="X70" s="26"/>
      <c r="Y70" s="26"/>
      <c r="Z70" s="26"/>
      <c r="AA70" s="34"/>
      <c r="AB70" s="32"/>
      <c r="AC70" s="89"/>
      <c r="AD70" s="89"/>
      <c r="AE70" s="89"/>
      <c r="AF70" s="89"/>
      <c r="AG70" s="89"/>
      <c r="AH70" s="89"/>
      <c r="AI70" s="44"/>
    </row>
    <row r="71" spans="1:39" s="94" customFormat="1" ht="15.75" hidden="1" outlineLevel="1" x14ac:dyDescent="0.25">
      <c r="A71" s="24"/>
      <c r="B71" s="24"/>
      <c r="C71" s="22"/>
      <c r="D71" s="22"/>
      <c r="E71" s="22"/>
      <c r="F71" s="22"/>
      <c r="G71" s="22"/>
      <c r="H71" s="22"/>
      <c r="I71" s="22"/>
      <c r="J71" s="22"/>
      <c r="K71" s="22"/>
      <c r="L71" s="22"/>
      <c r="M71" s="32" t="str">
        <f t="shared" si="12"/>
        <v/>
      </c>
      <c r="N71" s="32">
        <f t="shared" si="13"/>
        <v>0</v>
      </c>
      <c r="O71" s="26"/>
      <c r="P71" s="26"/>
      <c r="Q71" s="26"/>
      <c r="R71" s="26"/>
      <c r="S71" s="26"/>
      <c r="T71" s="33"/>
      <c r="U71" s="210"/>
      <c r="V71" s="26"/>
      <c r="W71" s="26"/>
      <c r="X71" s="26"/>
      <c r="Y71" s="26"/>
      <c r="Z71" s="26"/>
      <c r="AA71" s="34"/>
      <c r="AB71" s="32"/>
      <c r="AC71" s="89"/>
      <c r="AD71" s="89"/>
      <c r="AE71" s="89"/>
      <c r="AF71" s="89"/>
      <c r="AG71" s="89"/>
      <c r="AH71" s="89"/>
      <c r="AI71" s="44"/>
    </row>
    <row r="72" spans="1:39" s="94" customFormat="1" ht="15.75" hidden="1" outlineLevel="1" x14ac:dyDescent="0.25">
      <c r="A72" s="24"/>
      <c r="B72" s="24"/>
      <c r="C72" s="22"/>
      <c r="D72" s="22"/>
      <c r="E72" s="22"/>
      <c r="F72" s="22"/>
      <c r="G72" s="22"/>
      <c r="H72" s="22"/>
      <c r="I72" s="22"/>
      <c r="J72" s="22"/>
      <c r="K72" s="22"/>
      <c r="L72" s="22"/>
      <c r="M72" s="32" t="str">
        <f t="shared" si="12"/>
        <v/>
      </c>
      <c r="N72" s="32">
        <f t="shared" si="13"/>
        <v>0</v>
      </c>
      <c r="O72" s="26"/>
      <c r="P72" s="26"/>
      <c r="Q72" s="26"/>
      <c r="R72" s="26"/>
      <c r="S72" s="26"/>
      <c r="T72" s="33"/>
      <c r="U72" s="210"/>
      <c r="V72" s="26"/>
      <c r="W72" s="26"/>
      <c r="X72" s="26"/>
      <c r="Y72" s="26"/>
      <c r="Z72" s="26"/>
      <c r="AA72" s="34"/>
      <c r="AB72" s="32"/>
      <c r="AC72" s="89"/>
      <c r="AD72" s="89"/>
      <c r="AE72" s="89"/>
      <c r="AF72" s="89"/>
      <c r="AG72" s="89"/>
      <c r="AH72" s="89"/>
      <c r="AI72" s="44"/>
    </row>
    <row r="73" spans="1:39" s="94" customFormat="1" ht="15.75" hidden="1" outlineLevel="1" x14ac:dyDescent="0.25">
      <c r="A73" s="24"/>
      <c r="B73" s="24"/>
      <c r="C73" s="22"/>
      <c r="D73" s="22"/>
      <c r="E73" s="22"/>
      <c r="F73" s="22"/>
      <c r="G73" s="22"/>
      <c r="H73" s="22"/>
      <c r="I73" s="22"/>
      <c r="J73" s="22"/>
      <c r="K73" s="22"/>
      <c r="L73" s="22"/>
      <c r="M73" s="32" t="str">
        <f t="shared" si="12"/>
        <v/>
      </c>
      <c r="N73" s="32">
        <f t="shared" si="13"/>
        <v>0</v>
      </c>
      <c r="O73" s="26"/>
      <c r="P73" s="26"/>
      <c r="Q73" s="26"/>
      <c r="R73" s="26"/>
      <c r="S73" s="26"/>
      <c r="T73" s="33"/>
      <c r="U73" s="210"/>
      <c r="V73" s="26"/>
      <c r="W73" s="26"/>
      <c r="X73" s="26"/>
      <c r="Y73" s="26"/>
      <c r="Z73" s="26"/>
      <c r="AA73" s="34"/>
      <c r="AB73" s="32"/>
      <c r="AC73" s="89"/>
      <c r="AD73" s="89"/>
      <c r="AE73" s="89"/>
      <c r="AF73" s="89"/>
      <c r="AG73" s="89"/>
      <c r="AH73" s="89"/>
      <c r="AI73" s="44"/>
    </row>
    <row r="74" spans="1:39" s="94" customFormat="1" ht="15.75" hidden="1" outlineLevel="1" x14ac:dyDescent="0.25">
      <c r="A74" s="24"/>
      <c r="B74" s="24"/>
      <c r="C74" s="22"/>
      <c r="D74" s="22"/>
      <c r="E74" s="22"/>
      <c r="F74" s="22"/>
      <c r="G74" s="22"/>
      <c r="H74" s="22"/>
      <c r="I74" s="22"/>
      <c r="J74" s="22"/>
      <c r="K74" s="22"/>
      <c r="L74" s="22"/>
      <c r="M74" s="32" t="str">
        <f t="shared" si="12"/>
        <v/>
      </c>
      <c r="N74" s="32">
        <f t="shared" si="13"/>
        <v>0</v>
      </c>
      <c r="O74" s="26"/>
      <c r="P74" s="26"/>
      <c r="Q74" s="26"/>
      <c r="R74" s="26"/>
      <c r="S74" s="26"/>
      <c r="T74" s="33"/>
      <c r="U74" s="210"/>
      <c r="V74" s="26"/>
      <c r="W74" s="26"/>
      <c r="X74" s="26"/>
      <c r="Y74" s="26"/>
      <c r="Z74" s="26"/>
      <c r="AA74" s="34"/>
      <c r="AB74" s="32"/>
      <c r="AC74" s="89"/>
      <c r="AD74" s="89"/>
      <c r="AE74" s="89"/>
      <c r="AF74" s="89"/>
      <c r="AG74" s="89"/>
      <c r="AH74" s="89"/>
      <c r="AI74" s="44"/>
    </row>
    <row r="75" spans="1:39" s="94" customFormat="1" ht="15.75" hidden="1" outlineLevel="1" x14ac:dyDescent="0.25">
      <c r="A75" s="24"/>
      <c r="B75" s="24"/>
      <c r="C75" s="22"/>
      <c r="D75" s="22"/>
      <c r="E75" s="22"/>
      <c r="F75" s="22"/>
      <c r="G75" s="22"/>
      <c r="H75" s="22"/>
      <c r="I75" s="22"/>
      <c r="J75" s="22"/>
      <c r="K75" s="22"/>
      <c r="L75" s="22"/>
      <c r="M75" s="32" t="str">
        <f t="shared" si="12"/>
        <v/>
      </c>
      <c r="N75" s="32">
        <f t="shared" si="13"/>
        <v>0</v>
      </c>
      <c r="O75" s="26"/>
      <c r="P75" s="26"/>
      <c r="Q75" s="26"/>
      <c r="R75" s="26"/>
      <c r="S75" s="26"/>
      <c r="T75" s="33"/>
      <c r="U75" s="210"/>
      <c r="V75" s="26"/>
      <c r="W75" s="26"/>
      <c r="X75" s="26"/>
      <c r="Y75" s="26"/>
      <c r="Z75" s="26"/>
      <c r="AA75" s="34"/>
      <c r="AB75" s="32"/>
      <c r="AC75" s="89"/>
      <c r="AD75" s="89"/>
      <c r="AE75" s="89"/>
      <c r="AF75" s="89"/>
      <c r="AG75" s="89"/>
      <c r="AH75" s="89"/>
      <c r="AI75" s="44"/>
    </row>
    <row r="76" spans="1:39" s="94" customFormat="1" ht="15.75" hidden="1" outlineLevel="1" x14ac:dyDescent="0.25">
      <c r="A76" s="24"/>
      <c r="B76" s="24"/>
      <c r="C76" s="22"/>
      <c r="D76" s="22"/>
      <c r="E76" s="22"/>
      <c r="F76" s="22"/>
      <c r="G76" s="22"/>
      <c r="H76" s="22"/>
      <c r="I76" s="22"/>
      <c r="J76" s="22"/>
      <c r="K76" s="22"/>
      <c r="L76" s="22"/>
      <c r="M76" s="32" t="str">
        <f t="shared" si="12"/>
        <v/>
      </c>
      <c r="N76" s="32">
        <f t="shared" si="13"/>
        <v>0</v>
      </c>
      <c r="O76" s="26"/>
      <c r="P76" s="26"/>
      <c r="Q76" s="26"/>
      <c r="R76" s="26"/>
      <c r="S76" s="26"/>
      <c r="T76" s="33"/>
      <c r="U76" s="210"/>
      <c r="V76" s="26"/>
      <c r="W76" s="26"/>
      <c r="X76" s="26"/>
      <c r="Y76" s="26"/>
      <c r="Z76" s="26"/>
      <c r="AA76" s="34"/>
      <c r="AB76" s="32"/>
      <c r="AC76" s="89"/>
      <c r="AD76" s="89"/>
      <c r="AE76" s="89"/>
      <c r="AF76" s="89"/>
      <c r="AG76" s="89"/>
      <c r="AH76" s="89"/>
      <c r="AI76" s="44"/>
    </row>
    <row r="77" spans="1:39" s="94" customFormat="1" ht="15.75" hidden="1" outlineLevel="1" x14ac:dyDescent="0.25">
      <c r="A77" s="24"/>
      <c r="B77" s="24"/>
      <c r="C77" s="22"/>
      <c r="D77" s="22"/>
      <c r="E77" s="22"/>
      <c r="F77" s="22"/>
      <c r="G77" s="22"/>
      <c r="H77" s="22"/>
      <c r="I77" s="22"/>
      <c r="J77" s="22"/>
      <c r="K77" s="22"/>
      <c r="L77" s="22"/>
      <c r="M77" s="32" t="str">
        <f t="shared" si="12"/>
        <v/>
      </c>
      <c r="N77" s="32">
        <f t="shared" si="13"/>
        <v>0</v>
      </c>
      <c r="O77" s="26"/>
      <c r="P77" s="26"/>
      <c r="Q77" s="26"/>
      <c r="R77" s="26"/>
      <c r="S77" s="26"/>
      <c r="T77" s="33"/>
      <c r="U77" s="208"/>
      <c r="V77" s="26"/>
      <c r="W77" s="26"/>
      <c r="X77" s="26"/>
      <c r="Y77" s="26"/>
      <c r="Z77" s="26"/>
      <c r="AA77" s="34"/>
      <c r="AB77" s="32"/>
      <c r="AC77" s="89"/>
      <c r="AD77" s="89"/>
      <c r="AE77" s="89"/>
      <c r="AF77" s="89"/>
      <c r="AG77" s="89"/>
      <c r="AH77" s="89"/>
      <c r="AI77" s="44"/>
    </row>
    <row r="78" spans="1:39" s="94" customFormat="1" ht="15.75" hidden="1" outlineLevel="1" x14ac:dyDescent="0.25">
      <c r="A78" s="24"/>
      <c r="B78" s="24"/>
      <c r="C78" s="22"/>
      <c r="D78" s="22"/>
      <c r="E78" s="22"/>
      <c r="F78" s="22"/>
      <c r="G78" s="22"/>
      <c r="H78" s="22"/>
      <c r="I78" s="22"/>
      <c r="J78" s="22"/>
      <c r="K78" s="22"/>
      <c r="L78" s="22"/>
      <c r="M78" s="32" t="str">
        <f t="shared" si="12"/>
        <v/>
      </c>
      <c r="N78" s="32">
        <f t="shared" si="13"/>
        <v>0</v>
      </c>
      <c r="O78" s="26"/>
      <c r="P78" s="26"/>
      <c r="Q78" s="26"/>
      <c r="R78" s="26"/>
      <c r="S78" s="26"/>
      <c r="T78" s="33"/>
      <c r="U78" s="210"/>
      <c r="V78" s="26"/>
      <c r="W78" s="26"/>
      <c r="X78" s="26"/>
      <c r="Y78" s="26"/>
      <c r="Z78" s="26"/>
      <c r="AA78" s="34"/>
      <c r="AB78" s="32"/>
      <c r="AC78" s="89"/>
      <c r="AD78" s="89"/>
      <c r="AE78" s="89"/>
      <c r="AF78" s="89"/>
      <c r="AG78" s="89"/>
      <c r="AH78" s="89"/>
      <c r="AI78" s="44"/>
    </row>
    <row r="79" spans="1:39" s="94" customFormat="1" ht="15.75" collapsed="1" x14ac:dyDescent="0.25">
      <c r="A79" s="24"/>
      <c r="B79" s="24"/>
      <c r="C79" s="22"/>
      <c r="D79" s="22"/>
      <c r="E79" s="22"/>
      <c r="F79" s="22"/>
      <c r="G79" s="22"/>
      <c r="H79" s="22"/>
      <c r="I79" s="22"/>
      <c r="J79" s="22"/>
      <c r="K79" s="22"/>
      <c r="L79" s="22"/>
      <c r="M79" s="32" t="str">
        <f t="shared" si="12"/>
        <v/>
      </c>
      <c r="N79" s="32">
        <f t="shared" si="13"/>
        <v>0</v>
      </c>
      <c r="O79" s="26"/>
      <c r="P79" s="26"/>
      <c r="Q79" s="26"/>
      <c r="R79" s="26"/>
      <c r="S79" s="26"/>
      <c r="T79" s="33"/>
      <c r="U79" s="210"/>
      <c r="V79" s="26"/>
      <c r="W79" s="26"/>
      <c r="X79" s="26"/>
      <c r="Y79" s="26"/>
      <c r="Z79" s="26"/>
      <c r="AA79" s="34"/>
      <c r="AB79" s="32"/>
      <c r="AC79" s="89"/>
      <c r="AD79" s="89"/>
      <c r="AE79" s="89"/>
      <c r="AF79" s="89"/>
      <c r="AG79" s="89"/>
      <c r="AH79" s="89"/>
      <c r="AI79" s="44"/>
    </row>
    <row r="80" spans="1:39" s="90" customFormat="1" ht="18.75" x14ac:dyDescent="0.25">
      <c r="A80" s="82" t="str">
        <f ca="1">IF(M80&gt;0,MAX($A$1:OFFSET(A80,-1,0))+0.01,"")</f>
        <v/>
      </c>
      <c r="B80" s="27"/>
      <c r="C80" s="28"/>
      <c r="D80" s="28"/>
      <c r="E80" s="28"/>
      <c r="F80" s="28"/>
      <c r="G80" s="28"/>
      <c r="H80" s="28"/>
      <c r="I80" s="28"/>
      <c r="J80" s="35"/>
      <c r="K80" s="35"/>
      <c r="L80" s="35"/>
      <c r="M80" s="97">
        <f>SUM(M81:M90)</f>
        <v>0</v>
      </c>
      <c r="N80" s="29"/>
      <c r="O80" s="84">
        <f>IFERROR(IF($Z80&lt;&gt;0,0,IF($Z80="inc",0,IF(V80&lt;&gt;0,V80/$M80,IF(V80="inc",0,SUMPRODUCT($M81:$M90,O81:O90)/$M80)))),0)*Notes!$C$17</f>
        <v>0</v>
      </c>
      <c r="P80" s="84">
        <f>IFERROR(IF($Z80&lt;&gt;0,0,IF($Z80="inc",0,IF(W80&lt;&gt;0,W80/$M80,IF(W80="inc",0,SUMPRODUCT($M81:$M90,P81:P90)/$M80)))),0)*Notes!$C$17</f>
        <v>0</v>
      </c>
      <c r="Q80" s="84">
        <f>IFERROR(IF($Z80&lt;&gt;0,0,IF($Z80="inc",0,IF(X80&lt;&gt;0,X80/$M80,IF(X80="inc",0,SUMPRODUCT($M81:$M90,Q81:Q90)/$M80)))),0)*Notes!$C$17</f>
        <v>0</v>
      </c>
      <c r="R80" s="84">
        <f>IFERROR(IF($Z80&lt;&gt;0,0,IF($Z80="inc",0,IF(Y80&lt;&gt;0,Y80/$M80,IF(Y80="inc",0,SUMPRODUCT($M81:$M90,R81:R90)/$M80)))),0)*Notes!$C$17</f>
        <v>0</v>
      </c>
      <c r="S80" s="85">
        <f>IFERROR(IF(Z80="inc","inc",IF(AND(Z80&gt;0,M80&gt;0),Z80/M80,IF(SUM(O80:R80)&gt;0,SUM(O80:R80),0))),0)</f>
        <v>0</v>
      </c>
      <c r="T80" s="86">
        <f>IF(S80="inc",0,IF(M80="",0,M80*S80))</f>
        <v>0</v>
      </c>
      <c r="U80" s="208"/>
      <c r="V80" s="30"/>
      <c r="W80" s="30"/>
      <c r="X80" s="30"/>
      <c r="Y80" s="30"/>
      <c r="Z80" s="30"/>
      <c r="AA80" s="87"/>
      <c r="AB80" s="88"/>
      <c r="AC80" s="89">
        <f>IFERROR($M80*O80,0)</f>
        <v>0</v>
      </c>
      <c r="AD80" s="89">
        <f>IFERROR($M80*P80,0)</f>
        <v>0</v>
      </c>
      <c r="AE80" s="89">
        <f>IFERROR($M80*Q80,0)</f>
        <v>0</v>
      </c>
      <c r="AF80" s="89">
        <f>IFERROR($M80*R80,0)</f>
        <v>0</v>
      </c>
      <c r="AG80" s="89">
        <f>IFERROR(Z80,0)</f>
        <v>0</v>
      </c>
      <c r="AH80" s="89">
        <f>IFERROR(IF(SUM(AC80:AG80)&gt;0,SUM(AC80:AG80),0),0)</f>
        <v>0</v>
      </c>
      <c r="AI80" s="25"/>
      <c r="AJ80" s="25"/>
      <c r="AK80" s="25"/>
      <c r="AL80" s="25"/>
      <c r="AM80" s="25"/>
    </row>
    <row r="81" spans="1:39" s="94" customFormat="1" ht="15.75" x14ac:dyDescent="0.25">
      <c r="A81" s="24"/>
      <c r="B81" s="24"/>
      <c r="C81" s="22"/>
      <c r="D81" s="22"/>
      <c r="E81" s="22"/>
      <c r="F81" s="22"/>
      <c r="G81" s="22"/>
      <c r="H81" s="22"/>
      <c r="I81" s="22"/>
      <c r="J81" s="22"/>
      <c r="K81" s="22"/>
      <c r="L81" s="22"/>
      <c r="M81" s="32" t="str">
        <f t="shared" ref="M81:M90" si="14">IF(SUM(G81:L81)=0,"",IF(G81=0,1,G81)*IF(H81=0,1,H81)*IF(I81=0,1,I81)*IF(J81=0,1,J81)*IF(K81=0,1,K81)*IF(L81=0,1,L81))</f>
        <v/>
      </c>
      <c r="N81" s="32">
        <f t="shared" ref="N81:N90" si="15">IF(COUNTA(G81:L81)=0,0,IF(M81="","",IF(J81-SUM(G81+H81+I81+K81+L81)=J81,"Lm",IF(COUNTA(G81:L81)&gt;4,"ERROR",IF(L81&gt;0,"m3",IF(COUNTA(K81,J81)=2,"m3",IF(COUNTA(G81:J81)=4,"m3",IF(COUNTA(H81:J81)=3,"m3",IF(K81&gt;0,"m2",IF(COUNTA(H81,I81)=2,"m2",IF(COUNTA(G81:J81)=3,"m2",IF(COUNTA(H81:J81)=2,"m2",IF(COUNTA(G81:J81)=2,"Lm",IF(H81&gt;0,"Lm",IF(I81&gt;0,"Lm",IF(G81&gt;0,"No.",))))))))))))))))</f>
        <v>0</v>
      </c>
      <c r="O81" s="26"/>
      <c r="P81" s="26"/>
      <c r="Q81" s="26"/>
      <c r="R81" s="26"/>
      <c r="S81" s="26"/>
      <c r="T81" s="33"/>
      <c r="U81" s="210"/>
      <c r="V81" s="26"/>
      <c r="W81" s="26"/>
      <c r="X81" s="26"/>
      <c r="Y81" s="26"/>
      <c r="Z81" s="26"/>
      <c r="AA81" s="34"/>
      <c r="AB81" s="32"/>
      <c r="AC81" s="89"/>
      <c r="AD81" s="89"/>
      <c r="AE81" s="89"/>
      <c r="AF81" s="89"/>
      <c r="AG81" s="89"/>
      <c r="AH81" s="89"/>
      <c r="AI81" s="44"/>
    </row>
    <row r="82" spans="1:39" s="94" customFormat="1" ht="15.75" hidden="1" outlineLevel="1" x14ac:dyDescent="0.25">
      <c r="A82" s="24"/>
      <c r="B82" s="24"/>
      <c r="C82" s="22"/>
      <c r="D82" s="22"/>
      <c r="E82" s="22"/>
      <c r="F82" s="22"/>
      <c r="G82" s="22"/>
      <c r="H82" s="22"/>
      <c r="I82" s="22"/>
      <c r="J82" s="22"/>
      <c r="K82" s="22"/>
      <c r="L82" s="22"/>
      <c r="M82" s="32" t="str">
        <f t="shared" si="14"/>
        <v/>
      </c>
      <c r="N82" s="32">
        <f t="shared" si="15"/>
        <v>0</v>
      </c>
      <c r="O82" s="26"/>
      <c r="P82" s="26"/>
      <c r="Q82" s="26"/>
      <c r="R82" s="26"/>
      <c r="S82" s="26"/>
      <c r="T82" s="33"/>
      <c r="U82" s="210"/>
      <c r="V82" s="26"/>
      <c r="W82" s="26"/>
      <c r="X82" s="26"/>
      <c r="Y82" s="26"/>
      <c r="Z82" s="26"/>
      <c r="AA82" s="34"/>
      <c r="AB82" s="32"/>
      <c r="AC82" s="89"/>
      <c r="AD82" s="89"/>
      <c r="AE82" s="89"/>
      <c r="AF82" s="89"/>
      <c r="AG82" s="89"/>
      <c r="AH82" s="89"/>
      <c r="AI82" s="44"/>
    </row>
    <row r="83" spans="1:39" s="94" customFormat="1" ht="15.75" hidden="1" outlineLevel="1" x14ac:dyDescent="0.25">
      <c r="A83" s="24"/>
      <c r="B83" s="24"/>
      <c r="C83" s="22"/>
      <c r="D83" s="22"/>
      <c r="E83" s="22"/>
      <c r="F83" s="22"/>
      <c r="G83" s="22"/>
      <c r="H83" s="22"/>
      <c r="I83" s="22"/>
      <c r="J83" s="22"/>
      <c r="K83" s="22"/>
      <c r="L83" s="22"/>
      <c r="M83" s="32" t="str">
        <f t="shared" si="14"/>
        <v/>
      </c>
      <c r="N83" s="32">
        <f t="shared" si="15"/>
        <v>0</v>
      </c>
      <c r="O83" s="26"/>
      <c r="P83" s="26"/>
      <c r="Q83" s="26"/>
      <c r="R83" s="26"/>
      <c r="S83" s="26"/>
      <c r="T83" s="33"/>
      <c r="U83" s="210"/>
      <c r="V83" s="26"/>
      <c r="W83" s="26"/>
      <c r="X83" s="26"/>
      <c r="Y83" s="26"/>
      <c r="Z83" s="26"/>
      <c r="AA83" s="34"/>
      <c r="AB83" s="32"/>
      <c r="AC83" s="89"/>
      <c r="AD83" s="89"/>
      <c r="AE83" s="89"/>
      <c r="AF83" s="89"/>
      <c r="AG83" s="89"/>
      <c r="AH83" s="89"/>
      <c r="AI83" s="44"/>
    </row>
    <row r="84" spans="1:39" s="94" customFormat="1" ht="15.75" hidden="1" outlineLevel="1" x14ac:dyDescent="0.25">
      <c r="A84" s="24"/>
      <c r="B84" s="24"/>
      <c r="C84" s="22"/>
      <c r="D84" s="22"/>
      <c r="E84" s="22"/>
      <c r="F84" s="22"/>
      <c r="G84" s="22"/>
      <c r="H84" s="22"/>
      <c r="I84" s="22"/>
      <c r="J84" s="22"/>
      <c r="K84" s="22"/>
      <c r="L84" s="22"/>
      <c r="M84" s="32" t="str">
        <f t="shared" si="14"/>
        <v/>
      </c>
      <c r="N84" s="32">
        <f t="shared" si="15"/>
        <v>0</v>
      </c>
      <c r="O84" s="26"/>
      <c r="P84" s="26"/>
      <c r="Q84" s="26"/>
      <c r="R84" s="26"/>
      <c r="S84" s="26"/>
      <c r="T84" s="33"/>
      <c r="U84" s="210"/>
      <c r="V84" s="26"/>
      <c r="W84" s="26"/>
      <c r="X84" s="26"/>
      <c r="Y84" s="26"/>
      <c r="Z84" s="26"/>
      <c r="AA84" s="34"/>
      <c r="AB84" s="32"/>
      <c r="AC84" s="89"/>
      <c r="AD84" s="89"/>
      <c r="AE84" s="89"/>
      <c r="AF84" s="89"/>
      <c r="AG84" s="89"/>
      <c r="AH84" s="89"/>
      <c r="AI84" s="44"/>
    </row>
    <row r="85" spans="1:39" s="94" customFormat="1" ht="15.75" hidden="1" outlineLevel="1" x14ac:dyDescent="0.25">
      <c r="A85" s="24"/>
      <c r="B85" s="24"/>
      <c r="C85" s="22"/>
      <c r="D85" s="22"/>
      <c r="E85" s="22"/>
      <c r="F85" s="22"/>
      <c r="G85" s="22"/>
      <c r="H85" s="22"/>
      <c r="I85" s="22"/>
      <c r="J85" s="22"/>
      <c r="K85" s="22"/>
      <c r="L85" s="22"/>
      <c r="M85" s="32" t="str">
        <f t="shared" si="14"/>
        <v/>
      </c>
      <c r="N85" s="32">
        <f t="shared" si="15"/>
        <v>0</v>
      </c>
      <c r="O85" s="26"/>
      <c r="P85" s="26"/>
      <c r="Q85" s="26"/>
      <c r="R85" s="26"/>
      <c r="S85" s="26"/>
      <c r="T85" s="33"/>
      <c r="U85" s="210"/>
      <c r="V85" s="26"/>
      <c r="W85" s="26"/>
      <c r="X85" s="26"/>
      <c r="Y85" s="26"/>
      <c r="Z85" s="26"/>
      <c r="AA85" s="34"/>
      <c r="AB85" s="32"/>
      <c r="AC85" s="89"/>
      <c r="AD85" s="89"/>
      <c r="AE85" s="89"/>
      <c r="AF85" s="89"/>
      <c r="AG85" s="89"/>
      <c r="AH85" s="89"/>
      <c r="AI85" s="44"/>
    </row>
    <row r="86" spans="1:39" s="94" customFormat="1" ht="15.75" hidden="1" outlineLevel="1" x14ac:dyDescent="0.25">
      <c r="A86" s="24"/>
      <c r="B86" s="24"/>
      <c r="C86" s="22"/>
      <c r="D86" s="22"/>
      <c r="E86" s="22"/>
      <c r="F86" s="22"/>
      <c r="G86" s="22"/>
      <c r="H86" s="22"/>
      <c r="I86" s="22"/>
      <c r="J86" s="22"/>
      <c r="K86" s="22"/>
      <c r="L86" s="22"/>
      <c r="M86" s="32" t="str">
        <f t="shared" si="14"/>
        <v/>
      </c>
      <c r="N86" s="32">
        <f t="shared" si="15"/>
        <v>0</v>
      </c>
      <c r="O86" s="26"/>
      <c r="P86" s="26"/>
      <c r="Q86" s="26"/>
      <c r="R86" s="26"/>
      <c r="S86" s="26"/>
      <c r="T86" s="33"/>
      <c r="U86" s="210"/>
      <c r="V86" s="26"/>
      <c r="W86" s="26"/>
      <c r="X86" s="26"/>
      <c r="Y86" s="26"/>
      <c r="Z86" s="26"/>
      <c r="AA86" s="34"/>
      <c r="AB86" s="32"/>
      <c r="AC86" s="89"/>
      <c r="AD86" s="89"/>
      <c r="AE86" s="89"/>
      <c r="AF86" s="89"/>
      <c r="AG86" s="89"/>
      <c r="AH86" s="89"/>
      <c r="AI86" s="44"/>
    </row>
    <row r="87" spans="1:39" s="94" customFormat="1" ht="15.75" hidden="1" outlineLevel="1" x14ac:dyDescent="0.25">
      <c r="A87" s="24"/>
      <c r="B87" s="24"/>
      <c r="C87" s="22"/>
      <c r="D87" s="22"/>
      <c r="E87" s="22"/>
      <c r="F87" s="22"/>
      <c r="G87" s="22"/>
      <c r="H87" s="22"/>
      <c r="I87" s="22"/>
      <c r="J87" s="22"/>
      <c r="K87" s="22"/>
      <c r="L87" s="22"/>
      <c r="M87" s="32" t="str">
        <f t="shared" si="14"/>
        <v/>
      </c>
      <c r="N87" s="32">
        <f t="shared" si="15"/>
        <v>0</v>
      </c>
      <c r="O87" s="26"/>
      <c r="P87" s="26"/>
      <c r="Q87" s="26"/>
      <c r="R87" s="26"/>
      <c r="S87" s="26"/>
      <c r="T87" s="33"/>
      <c r="U87" s="210"/>
      <c r="V87" s="26"/>
      <c r="W87" s="26"/>
      <c r="X87" s="26"/>
      <c r="Y87" s="26"/>
      <c r="Z87" s="26"/>
      <c r="AA87" s="34"/>
      <c r="AB87" s="32"/>
      <c r="AC87" s="89"/>
      <c r="AD87" s="89"/>
      <c r="AE87" s="89"/>
      <c r="AF87" s="89"/>
      <c r="AG87" s="89"/>
      <c r="AH87" s="89"/>
      <c r="AI87" s="44"/>
    </row>
    <row r="88" spans="1:39" s="94" customFormat="1" ht="15.75" hidden="1" outlineLevel="1" x14ac:dyDescent="0.25">
      <c r="A88" s="24"/>
      <c r="B88" s="24"/>
      <c r="C88" s="22"/>
      <c r="D88" s="22"/>
      <c r="E88" s="22"/>
      <c r="F88" s="22"/>
      <c r="G88" s="22"/>
      <c r="H88" s="22"/>
      <c r="I88" s="22"/>
      <c r="J88" s="22"/>
      <c r="K88" s="22"/>
      <c r="L88" s="22"/>
      <c r="M88" s="32" t="str">
        <f t="shared" si="14"/>
        <v/>
      </c>
      <c r="N88" s="32">
        <f t="shared" si="15"/>
        <v>0</v>
      </c>
      <c r="O88" s="26"/>
      <c r="P88" s="26"/>
      <c r="Q88" s="26"/>
      <c r="R88" s="26"/>
      <c r="S88" s="26"/>
      <c r="T88" s="33"/>
      <c r="U88" s="208"/>
      <c r="V88" s="26"/>
      <c r="W88" s="26"/>
      <c r="X88" s="26"/>
      <c r="Y88" s="26"/>
      <c r="Z88" s="26"/>
      <c r="AA88" s="34"/>
      <c r="AB88" s="32"/>
      <c r="AC88" s="89"/>
      <c r="AD88" s="89"/>
      <c r="AE88" s="89"/>
      <c r="AF88" s="89"/>
      <c r="AG88" s="89"/>
      <c r="AH88" s="89"/>
      <c r="AI88" s="44"/>
    </row>
    <row r="89" spans="1:39" s="94" customFormat="1" ht="15.75" hidden="1" outlineLevel="1" x14ac:dyDescent="0.25">
      <c r="A89" s="24"/>
      <c r="B89" s="24"/>
      <c r="C89" s="22"/>
      <c r="D89" s="22"/>
      <c r="E89" s="22"/>
      <c r="F89" s="22"/>
      <c r="G89" s="22"/>
      <c r="H89" s="22"/>
      <c r="I89" s="22"/>
      <c r="J89" s="22"/>
      <c r="K89" s="22"/>
      <c r="L89" s="22"/>
      <c r="M89" s="32" t="str">
        <f t="shared" si="14"/>
        <v/>
      </c>
      <c r="N89" s="32">
        <f t="shared" si="15"/>
        <v>0</v>
      </c>
      <c r="O89" s="26"/>
      <c r="P89" s="26"/>
      <c r="Q89" s="26"/>
      <c r="R89" s="26"/>
      <c r="S89" s="26"/>
      <c r="T89" s="33"/>
      <c r="U89" s="210"/>
      <c r="V89" s="26"/>
      <c r="W89" s="26"/>
      <c r="X89" s="26"/>
      <c r="Y89" s="26"/>
      <c r="Z89" s="26"/>
      <c r="AA89" s="34"/>
      <c r="AB89" s="32"/>
      <c r="AC89" s="89"/>
      <c r="AD89" s="89"/>
      <c r="AE89" s="89"/>
      <c r="AF89" s="89"/>
      <c r="AG89" s="89"/>
      <c r="AH89" s="89"/>
      <c r="AI89" s="44"/>
    </row>
    <row r="90" spans="1:39" s="94" customFormat="1" ht="15.75" collapsed="1" x14ac:dyDescent="0.25">
      <c r="A90" s="24"/>
      <c r="B90" s="24"/>
      <c r="C90" s="22"/>
      <c r="D90" s="22"/>
      <c r="E90" s="22"/>
      <c r="F90" s="22"/>
      <c r="G90" s="22"/>
      <c r="H90" s="22"/>
      <c r="I90" s="22"/>
      <c r="J90" s="22"/>
      <c r="K90" s="22"/>
      <c r="L90" s="22"/>
      <c r="M90" s="32" t="str">
        <f t="shared" si="14"/>
        <v/>
      </c>
      <c r="N90" s="32">
        <f t="shared" si="15"/>
        <v>0</v>
      </c>
      <c r="O90" s="26"/>
      <c r="P90" s="26"/>
      <c r="Q90" s="26"/>
      <c r="R90" s="26"/>
      <c r="S90" s="26"/>
      <c r="T90" s="33"/>
      <c r="U90" s="210"/>
      <c r="V90" s="26"/>
      <c r="W90" s="26"/>
      <c r="X90" s="26"/>
      <c r="Y90" s="26"/>
      <c r="Z90" s="26"/>
      <c r="AA90" s="34"/>
      <c r="AB90" s="32"/>
      <c r="AC90" s="89"/>
      <c r="AD90" s="89"/>
      <c r="AE90" s="89"/>
      <c r="AF90" s="89"/>
      <c r="AG90" s="89"/>
      <c r="AH90" s="89"/>
      <c r="AI90" s="44"/>
    </row>
    <row r="91" spans="1:39" s="90" customFormat="1" ht="18.75" x14ac:dyDescent="0.25">
      <c r="A91" s="82" t="str">
        <f ca="1">IF(M91&gt;0,MAX($A$1:OFFSET(A91,-1,0))+0.01,"")</f>
        <v/>
      </c>
      <c r="B91" s="27"/>
      <c r="C91" s="28"/>
      <c r="D91" s="28"/>
      <c r="E91" s="28"/>
      <c r="F91" s="28"/>
      <c r="G91" s="28"/>
      <c r="H91" s="28"/>
      <c r="I91" s="28"/>
      <c r="J91" s="35"/>
      <c r="K91" s="35"/>
      <c r="L91" s="35"/>
      <c r="M91" s="97">
        <f>SUM(M92:M101)</f>
        <v>0</v>
      </c>
      <c r="N91" s="29"/>
      <c r="O91" s="84">
        <f>IFERROR(IF($Z91&lt;&gt;0,0,IF($Z91="inc",0,IF(V91&lt;&gt;0,V91/$M91,IF(V91="inc",0,SUMPRODUCT($M92:$M101,O92:O101)/$M91)))),0)*Notes!$C$17</f>
        <v>0</v>
      </c>
      <c r="P91" s="84">
        <f>IFERROR(IF($Z91&lt;&gt;0,0,IF($Z91="inc",0,IF(W91&lt;&gt;0,W91/$M91,IF(W91="inc",0,SUMPRODUCT($M92:$M101,P92:P101)/$M91)))),0)*Notes!$C$17</f>
        <v>0</v>
      </c>
      <c r="Q91" s="84">
        <f>IFERROR(IF($Z91&lt;&gt;0,0,IF($Z91="inc",0,IF(X91&lt;&gt;0,X91/$M91,IF(X91="inc",0,SUMPRODUCT($M92:$M101,Q92:Q101)/$M91)))),0)*Notes!$C$17</f>
        <v>0</v>
      </c>
      <c r="R91" s="84">
        <f>IFERROR(IF($Z91&lt;&gt;0,0,IF($Z91="inc",0,IF(Y91&lt;&gt;0,Y91/$M91,IF(Y91="inc",0,SUMPRODUCT($M92:$M101,R92:R101)/$M91)))),0)*Notes!$C$17</f>
        <v>0</v>
      </c>
      <c r="S91" s="85">
        <f>IFERROR(IF(Z91="inc","inc",IF(AND(Z91&gt;0,M91&gt;0),Z91/M91,IF(SUM(O91:R91)&gt;0,SUM(O91:R91),0))),0)</f>
        <v>0</v>
      </c>
      <c r="T91" s="86">
        <f>IF(S91="inc",0,IF(M91="",0,M91*S91))</f>
        <v>0</v>
      </c>
      <c r="U91" s="208"/>
      <c r="V91" s="30"/>
      <c r="W91" s="30"/>
      <c r="X91" s="30"/>
      <c r="Y91" s="30"/>
      <c r="Z91" s="30"/>
      <c r="AA91" s="87"/>
      <c r="AB91" s="88"/>
      <c r="AC91" s="89">
        <f>IFERROR($M91*O91,0)</f>
        <v>0</v>
      </c>
      <c r="AD91" s="89">
        <f>IFERROR($M91*P91,0)</f>
        <v>0</v>
      </c>
      <c r="AE91" s="89">
        <f>IFERROR($M91*Q91,0)</f>
        <v>0</v>
      </c>
      <c r="AF91" s="89">
        <f>IFERROR($M91*R91,0)</f>
        <v>0</v>
      </c>
      <c r="AG91" s="89">
        <f>IFERROR(Z91,0)</f>
        <v>0</v>
      </c>
      <c r="AH91" s="89">
        <f>IFERROR(IF(SUM(AC91:AG91)&gt;0,SUM(AC91:AG91),0),0)</f>
        <v>0</v>
      </c>
      <c r="AI91" s="25"/>
      <c r="AJ91" s="25"/>
      <c r="AK91" s="25"/>
      <c r="AL91" s="25"/>
      <c r="AM91" s="25"/>
    </row>
    <row r="92" spans="1:39" s="94" customFormat="1" ht="15.75" x14ac:dyDescent="0.25">
      <c r="A92" s="24"/>
      <c r="B92" s="24"/>
      <c r="C92" s="22"/>
      <c r="D92" s="22"/>
      <c r="E92" s="22"/>
      <c r="F92" s="22"/>
      <c r="G92" s="22"/>
      <c r="H92" s="22"/>
      <c r="I92" s="22"/>
      <c r="J92" s="22"/>
      <c r="K92" s="22"/>
      <c r="L92" s="22"/>
      <c r="M92" s="32" t="str">
        <f t="shared" ref="M92:M101" si="16">IF(SUM(G92:L92)=0,"",IF(G92=0,1,G92)*IF(H92=0,1,H92)*IF(I92=0,1,I92)*IF(J92=0,1,J92)*IF(K92=0,1,K92)*IF(L92=0,1,L92))</f>
        <v/>
      </c>
      <c r="N92" s="32">
        <f t="shared" ref="N92:N101" si="17">IF(COUNTA(G92:L92)=0,0,IF(M92="","",IF(J92-SUM(G92+H92+I92+K92+L92)=J92,"Lm",IF(COUNTA(G92:L92)&gt;4,"ERROR",IF(L92&gt;0,"m3",IF(COUNTA(K92,J92)=2,"m3",IF(COUNTA(G92:J92)=4,"m3",IF(COUNTA(H92:J92)=3,"m3",IF(K92&gt;0,"m2",IF(COUNTA(H92,I92)=2,"m2",IF(COUNTA(G92:J92)=3,"m2",IF(COUNTA(H92:J92)=2,"m2",IF(COUNTA(G92:J92)=2,"Lm",IF(H92&gt;0,"Lm",IF(I92&gt;0,"Lm",IF(G92&gt;0,"No.",))))))))))))))))</f>
        <v>0</v>
      </c>
      <c r="O92" s="26"/>
      <c r="P92" s="26"/>
      <c r="Q92" s="26"/>
      <c r="R92" s="26"/>
      <c r="S92" s="26"/>
      <c r="T92" s="33"/>
      <c r="U92" s="210"/>
      <c r="V92" s="26"/>
      <c r="W92" s="26"/>
      <c r="X92" s="26"/>
      <c r="Y92" s="26"/>
      <c r="Z92" s="26"/>
      <c r="AA92" s="34"/>
      <c r="AB92" s="32"/>
      <c r="AC92" s="89"/>
      <c r="AD92" s="89"/>
      <c r="AE92" s="89"/>
      <c r="AF92" s="89"/>
      <c r="AG92" s="89"/>
      <c r="AH92" s="89"/>
      <c r="AI92" s="44"/>
    </row>
    <row r="93" spans="1:39" s="94" customFormat="1" ht="15.75" hidden="1" outlineLevel="1" x14ac:dyDescent="0.25">
      <c r="A93" s="24"/>
      <c r="B93" s="24"/>
      <c r="C93" s="22"/>
      <c r="D93" s="22"/>
      <c r="E93" s="22"/>
      <c r="F93" s="22"/>
      <c r="G93" s="22"/>
      <c r="H93" s="22"/>
      <c r="I93" s="22"/>
      <c r="J93" s="22"/>
      <c r="K93" s="22"/>
      <c r="L93" s="22"/>
      <c r="M93" s="32" t="str">
        <f t="shared" si="16"/>
        <v/>
      </c>
      <c r="N93" s="32">
        <f t="shared" si="17"/>
        <v>0</v>
      </c>
      <c r="O93" s="26"/>
      <c r="P93" s="26"/>
      <c r="Q93" s="26"/>
      <c r="R93" s="26"/>
      <c r="S93" s="26"/>
      <c r="T93" s="33"/>
      <c r="U93" s="210"/>
      <c r="V93" s="26"/>
      <c r="W93" s="26"/>
      <c r="X93" s="26"/>
      <c r="Y93" s="26"/>
      <c r="Z93" s="26"/>
      <c r="AA93" s="34"/>
      <c r="AB93" s="32"/>
      <c r="AC93" s="89"/>
      <c r="AD93" s="89"/>
      <c r="AE93" s="89"/>
      <c r="AF93" s="89"/>
      <c r="AG93" s="89"/>
      <c r="AH93" s="89"/>
      <c r="AI93" s="44"/>
    </row>
    <row r="94" spans="1:39" s="94" customFormat="1" ht="15.75" hidden="1" outlineLevel="1" x14ac:dyDescent="0.25">
      <c r="A94" s="24"/>
      <c r="B94" s="24"/>
      <c r="C94" s="22"/>
      <c r="D94" s="22"/>
      <c r="E94" s="22"/>
      <c r="F94" s="22"/>
      <c r="G94" s="22"/>
      <c r="H94" s="22"/>
      <c r="I94" s="22"/>
      <c r="J94" s="22"/>
      <c r="K94" s="22"/>
      <c r="L94" s="22"/>
      <c r="M94" s="32" t="str">
        <f t="shared" si="16"/>
        <v/>
      </c>
      <c r="N94" s="32">
        <f t="shared" si="17"/>
        <v>0</v>
      </c>
      <c r="O94" s="26"/>
      <c r="P94" s="26"/>
      <c r="Q94" s="26"/>
      <c r="R94" s="26"/>
      <c r="S94" s="26"/>
      <c r="T94" s="33"/>
      <c r="U94" s="210"/>
      <c r="V94" s="26"/>
      <c r="W94" s="26"/>
      <c r="X94" s="26"/>
      <c r="Y94" s="26"/>
      <c r="Z94" s="26"/>
      <c r="AA94" s="34"/>
      <c r="AB94" s="32"/>
      <c r="AC94" s="89"/>
      <c r="AD94" s="89"/>
      <c r="AE94" s="89"/>
      <c r="AF94" s="89"/>
      <c r="AG94" s="89"/>
      <c r="AH94" s="89"/>
      <c r="AI94" s="44"/>
    </row>
    <row r="95" spans="1:39" s="94" customFormat="1" ht="15.75" hidden="1" outlineLevel="1" x14ac:dyDescent="0.25">
      <c r="A95" s="24"/>
      <c r="B95" s="24"/>
      <c r="C95" s="22"/>
      <c r="D95" s="22"/>
      <c r="E95" s="22"/>
      <c r="F95" s="22"/>
      <c r="G95" s="22"/>
      <c r="H95" s="22"/>
      <c r="I95" s="22"/>
      <c r="J95" s="22"/>
      <c r="K95" s="22"/>
      <c r="L95" s="22"/>
      <c r="M95" s="32" t="str">
        <f t="shared" si="16"/>
        <v/>
      </c>
      <c r="N95" s="32">
        <f t="shared" si="17"/>
        <v>0</v>
      </c>
      <c r="O95" s="26"/>
      <c r="P95" s="26"/>
      <c r="Q95" s="26"/>
      <c r="R95" s="26"/>
      <c r="S95" s="26"/>
      <c r="T95" s="33"/>
      <c r="U95" s="210"/>
      <c r="V95" s="26"/>
      <c r="W95" s="26"/>
      <c r="X95" s="26"/>
      <c r="Y95" s="26"/>
      <c r="Z95" s="26"/>
      <c r="AA95" s="34"/>
      <c r="AB95" s="32"/>
      <c r="AC95" s="89"/>
      <c r="AD95" s="89"/>
      <c r="AE95" s="89"/>
      <c r="AF95" s="89"/>
      <c r="AG95" s="89"/>
      <c r="AH95" s="89"/>
      <c r="AI95" s="44"/>
    </row>
    <row r="96" spans="1:39" s="94" customFormat="1" ht="15.75" hidden="1" outlineLevel="1" x14ac:dyDescent="0.25">
      <c r="A96" s="24"/>
      <c r="B96" s="24"/>
      <c r="C96" s="22"/>
      <c r="D96" s="22"/>
      <c r="E96" s="22"/>
      <c r="F96" s="22"/>
      <c r="G96" s="22"/>
      <c r="H96" s="22"/>
      <c r="I96" s="22"/>
      <c r="J96" s="22"/>
      <c r="K96" s="22"/>
      <c r="L96" s="22"/>
      <c r="M96" s="32" t="str">
        <f t="shared" si="16"/>
        <v/>
      </c>
      <c r="N96" s="32">
        <f t="shared" si="17"/>
        <v>0</v>
      </c>
      <c r="O96" s="26"/>
      <c r="P96" s="26"/>
      <c r="Q96" s="26"/>
      <c r="R96" s="26"/>
      <c r="S96" s="26"/>
      <c r="T96" s="33"/>
      <c r="U96" s="210"/>
      <c r="V96" s="26"/>
      <c r="W96" s="26"/>
      <c r="X96" s="26"/>
      <c r="Y96" s="26"/>
      <c r="Z96" s="26"/>
      <c r="AA96" s="34"/>
      <c r="AB96" s="32"/>
      <c r="AC96" s="89"/>
      <c r="AD96" s="89"/>
      <c r="AE96" s="89"/>
      <c r="AF96" s="89"/>
      <c r="AG96" s="89"/>
      <c r="AH96" s="89"/>
      <c r="AI96" s="44"/>
    </row>
    <row r="97" spans="1:39" s="94" customFormat="1" ht="15.75" hidden="1" outlineLevel="1" x14ac:dyDescent="0.25">
      <c r="A97" s="24"/>
      <c r="B97" s="24"/>
      <c r="C97" s="22"/>
      <c r="D97" s="22"/>
      <c r="E97" s="22"/>
      <c r="F97" s="22"/>
      <c r="G97" s="22"/>
      <c r="H97" s="22"/>
      <c r="I97" s="22"/>
      <c r="J97" s="22"/>
      <c r="K97" s="22"/>
      <c r="L97" s="22"/>
      <c r="M97" s="32" t="str">
        <f t="shared" si="16"/>
        <v/>
      </c>
      <c r="N97" s="32">
        <f t="shared" si="17"/>
        <v>0</v>
      </c>
      <c r="O97" s="26"/>
      <c r="P97" s="26"/>
      <c r="Q97" s="26"/>
      <c r="R97" s="26"/>
      <c r="S97" s="26"/>
      <c r="T97" s="33"/>
      <c r="U97" s="210"/>
      <c r="V97" s="26"/>
      <c r="W97" s="26"/>
      <c r="X97" s="26"/>
      <c r="Y97" s="26"/>
      <c r="Z97" s="26"/>
      <c r="AA97" s="34"/>
      <c r="AB97" s="32"/>
      <c r="AC97" s="89"/>
      <c r="AD97" s="89"/>
      <c r="AE97" s="89"/>
      <c r="AF97" s="89"/>
      <c r="AG97" s="89"/>
      <c r="AH97" s="89"/>
      <c r="AI97" s="44"/>
    </row>
    <row r="98" spans="1:39" s="94" customFormat="1" ht="15.75" hidden="1" outlineLevel="1" x14ac:dyDescent="0.25">
      <c r="A98" s="24"/>
      <c r="B98" s="24"/>
      <c r="C98" s="22"/>
      <c r="D98" s="22"/>
      <c r="E98" s="22"/>
      <c r="F98" s="22"/>
      <c r="G98" s="22"/>
      <c r="H98" s="22"/>
      <c r="I98" s="22"/>
      <c r="J98" s="22"/>
      <c r="K98" s="22"/>
      <c r="L98" s="22"/>
      <c r="M98" s="32" t="str">
        <f t="shared" si="16"/>
        <v/>
      </c>
      <c r="N98" s="32">
        <f t="shared" si="17"/>
        <v>0</v>
      </c>
      <c r="O98" s="26"/>
      <c r="P98" s="26"/>
      <c r="Q98" s="26"/>
      <c r="R98" s="26"/>
      <c r="S98" s="26"/>
      <c r="T98" s="33"/>
      <c r="U98" s="210"/>
      <c r="V98" s="26"/>
      <c r="W98" s="26"/>
      <c r="X98" s="26"/>
      <c r="Y98" s="26"/>
      <c r="Z98" s="26"/>
      <c r="AA98" s="34"/>
      <c r="AB98" s="32"/>
      <c r="AC98" s="89"/>
      <c r="AD98" s="89"/>
      <c r="AE98" s="89"/>
      <c r="AF98" s="89"/>
      <c r="AG98" s="89"/>
      <c r="AH98" s="89"/>
      <c r="AI98" s="44"/>
    </row>
    <row r="99" spans="1:39" s="94" customFormat="1" ht="15.75" hidden="1" outlineLevel="1" x14ac:dyDescent="0.25">
      <c r="A99" s="24"/>
      <c r="B99" s="24"/>
      <c r="C99" s="22"/>
      <c r="D99" s="22"/>
      <c r="E99" s="22"/>
      <c r="F99" s="22"/>
      <c r="G99" s="22"/>
      <c r="H99" s="22"/>
      <c r="I99" s="22"/>
      <c r="J99" s="22"/>
      <c r="K99" s="22"/>
      <c r="L99" s="22"/>
      <c r="M99" s="32" t="str">
        <f t="shared" si="16"/>
        <v/>
      </c>
      <c r="N99" s="32">
        <f t="shared" si="17"/>
        <v>0</v>
      </c>
      <c r="O99" s="26"/>
      <c r="P99" s="26"/>
      <c r="Q99" s="26"/>
      <c r="R99" s="26"/>
      <c r="S99" s="26"/>
      <c r="T99" s="33"/>
      <c r="U99" s="208"/>
      <c r="V99" s="26"/>
      <c r="W99" s="26"/>
      <c r="X99" s="26"/>
      <c r="Y99" s="26"/>
      <c r="Z99" s="26"/>
      <c r="AA99" s="34"/>
      <c r="AB99" s="32"/>
      <c r="AC99" s="89"/>
      <c r="AD99" s="89"/>
      <c r="AE99" s="89"/>
      <c r="AF99" s="89"/>
      <c r="AG99" s="89"/>
      <c r="AH99" s="89"/>
      <c r="AI99" s="44"/>
    </row>
    <row r="100" spans="1:39" s="94" customFormat="1" ht="15.75" hidden="1" outlineLevel="1" x14ac:dyDescent="0.25">
      <c r="A100" s="24"/>
      <c r="B100" s="24"/>
      <c r="C100" s="22"/>
      <c r="D100" s="22"/>
      <c r="E100" s="22"/>
      <c r="F100" s="22"/>
      <c r="G100" s="22"/>
      <c r="H100" s="22"/>
      <c r="I100" s="22"/>
      <c r="J100" s="22"/>
      <c r="K100" s="22"/>
      <c r="L100" s="22"/>
      <c r="M100" s="32" t="str">
        <f t="shared" si="16"/>
        <v/>
      </c>
      <c r="N100" s="32">
        <f t="shared" si="17"/>
        <v>0</v>
      </c>
      <c r="O100" s="26"/>
      <c r="P100" s="26"/>
      <c r="Q100" s="26"/>
      <c r="R100" s="26"/>
      <c r="S100" s="26"/>
      <c r="T100" s="33"/>
      <c r="U100" s="210"/>
      <c r="V100" s="26"/>
      <c r="W100" s="26"/>
      <c r="X100" s="26"/>
      <c r="Y100" s="26"/>
      <c r="Z100" s="26"/>
      <c r="AA100" s="34"/>
      <c r="AB100" s="32"/>
      <c r="AC100" s="89"/>
      <c r="AD100" s="89"/>
      <c r="AE100" s="89"/>
      <c r="AF100" s="89"/>
      <c r="AG100" s="89"/>
      <c r="AH100" s="89"/>
      <c r="AI100" s="44"/>
    </row>
    <row r="101" spans="1:39" s="94" customFormat="1" ht="15.75" collapsed="1" x14ac:dyDescent="0.25">
      <c r="A101" s="24"/>
      <c r="B101" s="24"/>
      <c r="C101" s="22"/>
      <c r="D101" s="22"/>
      <c r="E101" s="22"/>
      <c r="F101" s="22"/>
      <c r="G101" s="22"/>
      <c r="H101" s="22"/>
      <c r="I101" s="22"/>
      <c r="J101" s="22"/>
      <c r="K101" s="22"/>
      <c r="L101" s="22"/>
      <c r="M101" s="32" t="str">
        <f t="shared" si="16"/>
        <v/>
      </c>
      <c r="N101" s="32">
        <f t="shared" si="17"/>
        <v>0</v>
      </c>
      <c r="O101" s="26"/>
      <c r="P101" s="26"/>
      <c r="Q101" s="26"/>
      <c r="R101" s="26"/>
      <c r="S101" s="26"/>
      <c r="T101" s="33"/>
      <c r="U101" s="210"/>
      <c r="V101" s="26"/>
      <c r="W101" s="26"/>
      <c r="X101" s="26"/>
      <c r="Y101" s="26"/>
      <c r="Z101" s="26"/>
      <c r="AA101" s="34"/>
      <c r="AB101" s="32"/>
      <c r="AC101" s="89"/>
      <c r="AD101" s="89"/>
      <c r="AE101" s="89"/>
      <c r="AF101" s="89"/>
      <c r="AG101" s="89"/>
      <c r="AH101" s="89"/>
      <c r="AI101" s="44"/>
    </row>
    <row r="102" spans="1:39" s="90" customFormat="1" ht="18.75" x14ac:dyDescent="0.25">
      <c r="A102" s="82" t="str">
        <f ca="1">IF(M102&gt;0,MAX($A$1:OFFSET(A102,-1,0))+0.01,"")</f>
        <v/>
      </c>
      <c r="B102" s="27"/>
      <c r="C102" s="28"/>
      <c r="D102" s="28"/>
      <c r="E102" s="28"/>
      <c r="F102" s="28"/>
      <c r="G102" s="28"/>
      <c r="H102" s="28"/>
      <c r="I102" s="28"/>
      <c r="J102" s="35"/>
      <c r="K102" s="35"/>
      <c r="L102" s="35"/>
      <c r="M102" s="97">
        <f>SUM(M103:M112)</f>
        <v>0</v>
      </c>
      <c r="N102" s="29"/>
      <c r="O102" s="84">
        <f>IFERROR(IF($Z102&lt;&gt;0,0,IF($Z102="inc",0,IF(V102&lt;&gt;0,V102/$M102,IF(V102="inc",0,SUMPRODUCT($M103:$M112,O103:O112)/$M102)))),0)*Notes!$C$17</f>
        <v>0</v>
      </c>
      <c r="P102" s="84">
        <f>IFERROR(IF($Z102&lt;&gt;0,0,IF($Z102="inc",0,IF(W102&lt;&gt;0,W102/$M102,IF(W102="inc",0,SUMPRODUCT($M103:$M112,P103:P112)/$M102)))),0)*Notes!$C$17</f>
        <v>0</v>
      </c>
      <c r="Q102" s="84">
        <f>IFERROR(IF($Z102&lt;&gt;0,0,IF($Z102="inc",0,IF(X102&lt;&gt;0,X102/$M102,IF(X102="inc",0,SUMPRODUCT($M103:$M112,Q103:Q112)/$M102)))),0)*Notes!$C$17</f>
        <v>0</v>
      </c>
      <c r="R102" s="84">
        <f>IFERROR(IF($Z102&lt;&gt;0,0,IF($Z102="inc",0,IF(Y102&lt;&gt;0,Y102/$M102,IF(Y102="inc",0,SUMPRODUCT($M103:$M112,R103:R112)/$M102)))),0)*Notes!$C$17</f>
        <v>0</v>
      </c>
      <c r="S102" s="85">
        <f>IFERROR(IF(Z102="inc","inc",IF(AND(Z102&gt;0,M102&gt;0),Z102/M102,IF(SUM(O102:R102)&gt;0,SUM(O102:R102),0))),0)</f>
        <v>0</v>
      </c>
      <c r="T102" s="86">
        <f>IF(S102="inc",0,IF(M102="",0,M102*S102))</f>
        <v>0</v>
      </c>
      <c r="U102" s="208"/>
      <c r="V102" s="30"/>
      <c r="W102" s="30"/>
      <c r="X102" s="30"/>
      <c r="Y102" s="30"/>
      <c r="Z102" s="30"/>
      <c r="AA102" s="87"/>
      <c r="AB102" s="88"/>
      <c r="AC102" s="89">
        <f>IFERROR($M102*O102,0)</f>
        <v>0</v>
      </c>
      <c r="AD102" s="89">
        <f>IFERROR($M102*P102,0)</f>
        <v>0</v>
      </c>
      <c r="AE102" s="89">
        <f>IFERROR($M102*Q102,0)</f>
        <v>0</v>
      </c>
      <c r="AF102" s="89">
        <f>IFERROR($M102*R102,0)</f>
        <v>0</v>
      </c>
      <c r="AG102" s="89">
        <f>IFERROR(Z102,0)</f>
        <v>0</v>
      </c>
      <c r="AH102" s="89">
        <f>IFERROR(IF(SUM(AC102:AG102)&gt;0,SUM(AC102:AG102),0),0)</f>
        <v>0</v>
      </c>
      <c r="AI102" s="25"/>
      <c r="AJ102" s="25"/>
      <c r="AK102" s="25"/>
      <c r="AL102" s="25"/>
      <c r="AM102" s="25"/>
    </row>
    <row r="103" spans="1:39" s="94" customFormat="1" ht="15.75" x14ac:dyDescent="0.25">
      <c r="A103" s="24"/>
      <c r="B103" s="24"/>
      <c r="C103" s="22"/>
      <c r="D103" s="22"/>
      <c r="E103" s="22"/>
      <c r="F103" s="22"/>
      <c r="G103" s="22"/>
      <c r="H103" s="22"/>
      <c r="I103" s="22"/>
      <c r="J103" s="22"/>
      <c r="K103" s="22"/>
      <c r="L103" s="22"/>
      <c r="M103" s="32" t="str">
        <f t="shared" ref="M103:M112" si="18">IF(SUM(G103:L103)=0,"",IF(G103=0,1,G103)*IF(H103=0,1,H103)*IF(I103=0,1,I103)*IF(J103=0,1,J103)*IF(K103=0,1,K103)*IF(L103=0,1,L103))</f>
        <v/>
      </c>
      <c r="N103" s="32">
        <f t="shared" ref="N103:N112" si="19">IF(COUNTA(G103:L103)=0,0,IF(M103="","",IF(J103-SUM(G103+H103+I103+K103+L103)=J103,"Lm",IF(COUNTA(G103:L103)&gt;4,"ERROR",IF(L103&gt;0,"m3",IF(COUNTA(K103,J103)=2,"m3",IF(COUNTA(G103:J103)=4,"m3",IF(COUNTA(H103:J103)=3,"m3",IF(K103&gt;0,"m2",IF(COUNTA(H103,I103)=2,"m2",IF(COUNTA(G103:J103)=3,"m2",IF(COUNTA(H103:J103)=2,"m2",IF(COUNTA(G103:J103)=2,"Lm",IF(H103&gt;0,"Lm",IF(I103&gt;0,"Lm",IF(G103&gt;0,"No.",))))))))))))))))</f>
        <v>0</v>
      </c>
      <c r="O103" s="26"/>
      <c r="P103" s="26"/>
      <c r="Q103" s="26"/>
      <c r="R103" s="26"/>
      <c r="S103" s="26"/>
      <c r="T103" s="33"/>
      <c r="U103" s="210"/>
      <c r="V103" s="26"/>
      <c r="W103" s="26"/>
      <c r="X103" s="26"/>
      <c r="Y103" s="26"/>
      <c r="Z103" s="26"/>
      <c r="AA103" s="34"/>
      <c r="AB103" s="32"/>
      <c r="AC103" s="89"/>
      <c r="AD103" s="89"/>
      <c r="AE103" s="89"/>
      <c r="AF103" s="89"/>
      <c r="AG103" s="89"/>
      <c r="AH103" s="89"/>
      <c r="AI103" s="44"/>
    </row>
    <row r="104" spans="1:39" s="94" customFormat="1" ht="15.75" hidden="1" outlineLevel="1" x14ac:dyDescent="0.25">
      <c r="A104" s="24"/>
      <c r="B104" s="24"/>
      <c r="C104" s="22"/>
      <c r="D104" s="22"/>
      <c r="E104" s="22"/>
      <c r="F104" s="22"/>
      <c r="G104" s="22"/>
      <c r="H104" s="22"/>
      <c r="I104" s="22"/>
      <c r="J104" s="22"/>
      <c r="K104" s="22"/>
      <c r="L104" s="22"/>
      <c r="M104" s="32" t="str">
        <f t="shared" si="18"/>
        <v/>
      </c>
      <c r="N104" s="32">
        <f t="shared" si="19"/>
        <v>0</v>
      </c>
      <c r="O104" s="26"/>
      <c r="P104" s="26"/>
      <c r="Q104" s="26"/>
      <c r="R104" s="26"/>
      <c r="S104" s="26"/>
      <c r="T104" s="33"/>
      <c r="U104" s="210"/>
      <c r="V104" s="26"/>
      <c r="W104" s="26"/>
      <c r="X104" s="26"/>
      <c r="Y104" s="26"/>
      <c r="Z104" s="26"/>
      <c r="AA104" s="34"/>
      <c r="AB104" s="32"/>
      <c r="AC104" s="89"/>
      <c r="AD104" s="89"/>
      <c r="AE104" s="89"/>
      <c r="AF104" s="89"/>
      <c r="AG104" s="89"/>
      <c r="AH104" s="89"/>
      <c r="AI104" s="44"/>
    </row>
    <row r="105" spans="1:39" s="94" customFormat="1" ht="15.75" hidden="1" outlineLevel="1" x14ac:dyDescent="0.25">
      <c r="A105" s="24"/>
      <c r="B105" s="24"/>
      <c r="C105" s="22"/>
      <c r="D105" s="22"/>
      <c r="E105" s="22"/>
      <c r="F105" s="22"/>
      <c r="G105" s="22"/>
      <c r="H105" s="22"/>
      <c r="I105" s="22"/>
      <c r="J105" s="22"/>
      <c r="K105" s="22"/>
      <c r="L105" s="22"/>
      <c r="M105" s="32" t="str">
        <f t="shared" si="18"/>
        <v/>
      </c>
      <c r="N105" s="32">
        <f t="shared" si="19"/>
        <v>0</v>
      </c>
      <c r="O105" s="26"/>
      <c r="P105" s="26"/>
      <c r="Q105" s="26"/>
      <c r="R105" s="26"/>
      <c r="S105" s="26"/>
      <c r="T105" s="33"/>
      <c r="U105" s="210"/>
      <c r="V105" s="26"/>
      <c r="W105" s="26"/>
      <c r="X105" s="26"/>
      <c r="Y105" s="26"/>
      <c r="Z105" s="26"/>
      <c r="AA105" s="34"/>
      <c r="AB105" s="32"/>
      <c r="AC105" s="89"/>
      <c r="AD105" s="89"/>
      <c r="AE105" s="89"/>
      <c r="AF105" s="89"/>
      <c r="AG105" s="89"/>
      <c r="AH105" s="89"/>
      <c r="AI105" s="44"/>
    </row>
    <row r="106" spans="1:39" s="94" customFormat="1" ht="15.75" hidden="1" outlineLevel="1" x14ac:dyDescent="0.25">
      <c r="A106" s="24"/>
      <c r="B106" s="24"/>
      <c r="C106" s="22"/>
      <c r="D106" s="22"/>
      <c r="E106" s="22"/>
      <c r="F106" s="22"/>
      <c r="G106" s="22"/>
      <c r="H106" s="22"/>
      <c r="I106" s="22"/>
      <c r="J106" s="22"/>
      <c r="K106" s="22"/>
      <c r="L106" s="22"/>
      <c r="M106" s="32" t="str">
        <f t="shared" si="18"/>
        <v/>
      </c>
      <c r="N106" s="32">
        <f t="shared" si="19"/>
        <v>0</v>
      </c>
      <c r="O106" s="26"/>
      <c r="P106" s="26"/>
      <c r="Q106" s="26"/>
      <c r="R106" s="26"/>
      <c r="S106" s="26"/>
      <c r="T106" s="33"/>
      <c r="U106" s="210"/>
      <c r="V106" s="26"/>
      <c r="W106" s="26"/>
      <c r="X106" s="26"/>
      <c r="Y106" s="26"/>
      <c r="Z106" s="26"/>
      <c r="AA106" s="34"/>
      <c r="AB106" s="32"/>
      <c r="AC106" s="89"/>
      <c r="AD106" s="89"/>
      <c r="AE106" s="89"/>
      <c r="AF106" s="89"/>
      <c r="AG106" s="89"/>
      <c r="AH106" s="89"/>
      <c r="AI106" s="44"/>
    </row>
    <row r="107" spans="1:39" s="94" customFormat="1" ht="15.75" hidden="1" outlineLevel="1" x14ac:dyDescent="0.25">
      <c r="A107" s="24"/>
      <c r="B107" s="24"/>
      <c r="C107" s="22"/>
      <c r="D107" s="22"/>
      <c r="E107" s="22"/>
      <c r="F107" s="22"/>
      <c r="G107" s="22"/>
      <c r="H107" s="22"/>
      <c r="I107" s="22"/>
      <c r="J107" s="22"/>
      <c r="K107" s="22"/>
      <c r="L107" s="22"/>
      <c r="M107" s="32" t="str">
        <f t="shared" si="18"/>
        <v/>
      </c>
      <c r="N107" s="32">
        <f t="shared" si="19"/>
        <v>0</v>
      </c>
      <c r="O107" s="26"/>
      <c r="P107" s="26"/>
      <c r="Q107" s="26"/>
      <c r="R107" s="26"/>
      <c r="S107" s="26"/>
      <c r="T107" s="33"/>
      <c r="U107" s="210"/>
      <c r="V107" s="26"/>
      <c r="W107" s="26"/>
      <c r="X107" s="26"/>
      <c r="Y107" s="26"/>
      <c r="Z107" s="26"/>
      <c r="AA107" s="34"/>
      <c r="AB107" s="32"/>
      <c r="AC107" s="89"/>
      <c r="AD107" s="89"/>
      <c r="AE107" s="89"/>
      <c r="AF107" s="89"/>
      <c r="AG107" s="89"/>
      <c r="AH107" s="89"/>
      <c r="AI107" s="44"/>
    </row>
    <row r="108" spans="1:39" s="94" customFormat="1" ht="15.75" hidden="1" outlineLevel="1" x14ac:dyDescent="0.25">
      <c r="A108" s="24"/>
      <c r="B108" s="24"/>
      <c r="C108" s="22"/>
      <c r="D108" s="22"/>
      <c r="E108" s="22"/>
      <c r="F108" s="22"/>
      <c r="G108" s="22"/>
      <c r="H108" s="22"/>
      <c r="I108" s="22"/>
      <c r="J108" s="22"/>
      <c r="K108" s="22"/>
      <c r="L108" s="22"/>
      <c r="M108" s="32" t="str">
        <f t="shared" si="18"/>
        <v/>
      </c>
      <c r="N108" s="32">
        <f t="shared" si="19"/>
        <v>0</v>
      </c>
      <c r="O108" s="26"/>
      <c r="P108" s="26"/>
      <c r="Q108" s="26"/>
      <c r="R108" s="26"/>
      <c r="S108" s="26"/>
      <c r="T108" s="33"/>
      <c r="U108" s="210"/>
      <c r="V108" s="26"/>
      <c r="W108" s="26"/>
      <c r="X108" s="26"/>
      <c r="Y108" s="26"/>
      <c r="Z108" s="26"/>
      <c r="AA108" s="34"/>
      <c r="AB108" s="32"/>
      <c r="AC108" s="89"/>
      <c r="AD108" s="89"/>
      <c r="AE108" s="89"/>
      <c r="AF108" s="89"/>
      <c r="AG108" s="89"/>
      <c r="AH108" s="89"/>
      <c r="AI108" s="44"/>
    </row>
    <row r="109" spans="1:39" s="94" customFormat="1" ht="15.75" hidden="1" outlineLevel="1" x14ac:dyDescent="0.25">
      <c r="A109" s="24"/>
      <c r="B109" s="24"/>
      <c r="C109" s="22"/>
      <c r="D109" s="22"/>
      <c r="E109" s="22"/>
      <c r="F109" s="22"/>
      <c r="G109" s="22"/>
      <c r="H109" s="22"/>
      <c r="I109" s="22"/>
      <c r="J109" s="22"/>
      <c r="K109" s="22"/>
      <c r="L109" s="22"/>
      <c r="M109" s="32" t="str">
        <f t="shared" si="18"/>
        <v/>
      </c>
      <c r="N109" s="32">
        <f t="shared" si="19"/>
        <v>0</v>
      </c>
      <c r="O109" s="26"/>
      <c r="P109" s="26"/>
      <c r="Q109" s="26"/>
      <c r="R109" s="26"/>
      <c r="S109" s="26"/>
      <c r="T109" s="33"/>
      <c r="U109" s="210"/>
      <c r="V109" s="26"/>
      <c r="W109" s="26"/>
      <c r="X109" s="26"/>
      <c r="Y109" s="26"/>
      <c r="Z109" s="26"/>
      <c r="AA109" s="34"/>
      <c r="AB109" s="32"/>
      <c r="AC109" s="89"/>
      <c r="AD109" s="89"/>
      <c r="AE109" s="89"/>
      <c r="AF109" s="89"/>
      <c r="AG109" s="89"/>
      <c r="AH109" s="89"/>
      <c r="AI109" s="44"/>
    </row>
    <row r="110" spans="1:39" s="94" customFormat="1" ht="15.75" hidden="1" outlineLevel="1" x14ac:dyDescent="0.25">
      <c r="A110" s="24"/>
      <c r="B110" s="24"/>
      <c r="C110" s="22"/>
      <c r="D110" s="22"/>
      <c r="E110" s="22"/>
      <c r="F110" s="22"/>
      <c r="G110" s="22"/>
      <c r="H110" s="22"/>
      <c r="I110" s="22"/>
      <c r="J110" s="22"/>
      <c r="K110" s="22"/>
      <c r="L110" s="22"/>
      <c r="M110" s="32" t="str">
        <f t="shared" si="18"/>
        <v/>
      </c>
      <c r="N110" s="32">
        <f t="shared" si="19"/>
        <v>0</v>
      </c>
      <c r="O110" s="26"/>
      <c r="P110" s="26"/>
      <c r="Q110" s="26"/>
      <c r="R110" s="26"/>
      <c r="S110" s="26"/>
      <c r="T110" s="33"/>
      <c r="U110" s="208"/>
      <c r="V110" s="26"/>
      <c r="W110" s="26"/>
      <c r="X110" s="26"/>
      <c r="Y110" s="26"/>
      <c r="Z110" s="26"/>
      <c r="AA110" s="34"/>
      <c r="AB110" s="32"/>
      <c r="AC110" s="89"/>
      <c r="AD110" s="89"/>
      <c r="AE110" s="89"/>
      <c r="AF110" s="89"/>
      <c r="AG110" s="89"/>
      <c r="AH110" s="89"/>
      <c r="AI110" s="44"/>
    </row>
    <row r="111" spans="1:39" s="94" customFormat="1" ht="15.75" hidden="1" outlineLevel="1" x14ac:dyDescent="0.25">
      <c r="A111" s="24"/>
      <c r="B111" s="24"/>
      <c r="C111" s="22"/>
      <c r="D111" s="22"/>
      <c r="E111" s="22"/>
      <c r="F111" s="22"/>
      <c r="G111" s="22"/>
      <c r="H111" s="22"/>
      <c r="I111" s="22"/>
      <c r="J111" s="22"/>
      <c r="K111" s="22"/>
      <c r="L111" s="22"/>
      <c r="M111" s="32" t="str">
        <f t="shared" si="18"/>
        <v/>
      </c>
      <c r="N111" s="32">
        <f t="shared" si="19"/>
        <v>0</v>
      </c>
      <c r="O111" s="26"/>
      <c r="P111" s="26"/>
      <c r="Q111" s="26"/>
      <c r="R111" s="26"/>
      <c r="S111" s="26"/>
      <c r="T111" s="33"/>
      <c r="U111" s="210"/>
      <c r="V111" s="26"/>
      <c r="W111" s="26"/>
      <c r="X111" s="26"/>
      <c r="Y111" s="26"/>
      <c r="Z111" s="26"/>
      <c r="AA111" s="34"/>
      <c r="AB111" s="32"/>
      <c r="AC111" s="89"/>
      <c r="AD111" s="89"/>
      <c r="AE111" s="89"/>
      <c r="AF111" s="89"/>
      <c r="AG111" s="89"/>
      <c r="AH111" s="89"/>
      <c r="AI111" s="44"/>
    </row>
    <row r="112" spans="1:39" s="94" customFormat="1" ht="15.75" collapsed="1" x14ac:dyDescent="0.25">
      <c r="A112" s="24"/>
      <c r="B112" s="24"/>
      <c r="C112" s="22"/>
      <c r="D112" s="22"/>
      <c r="E112" s="22"/>
      <c r="F112" s="22"/>
      <c r="G112" s="22"/>
      <c r="H112" s="22"/>
      <c r="I112" s="22"/>
      <c r="J112" s="22"/>
      <c r="K112" s="22"/>
      <c r="L112" s="22"/>
      <c r="M112" s="32" t="str">
        <f t="shared" si="18"/>
        <v/>
      </c>
      <c r="N112" s="32">
        <f t="shared" si="19"/>
        <v>0</v>
      </c>
      <c r="O112" s="26"/>
      <c r="P112" s="26"/>
      <c r="Q112" s="26"/>
      <c r="R112" s="26"/>
      <c r="S112" s="26"/>
      <c r="T112" s="33"/>
      <c r="U112" s="210"/>
      <c r="V112" s="26"/>
      <c r="W112" s="26"/>
      <c r="X112" s="26"/>
      <c r="Y112" s="26"/>
      <c r="Z112" s="26"/>
      <c r="AA112" s="34"/>
      <c r="AB112" s="32"/>
      <c r="AC112" s="89"/>
      <c r="AD112" s="89"/>
      <c r="AE112" s="89"/>
      <c r="AF112" s="89"/>
      <c r="AG112" s="89"/>
      <c r="AH112" s="89"/>
      <c r="AI112" s="44"/>
    </row>
    <row r="113" spans="1:39" s="79" customFormat="1" ht="21.75" thickBot="1" x14ac:dyDescent="0.4">
      <c r="A113" s="99"/>
      <c r="B113" s="622" t="str">
        <f>"TOTAL"</f>
        <v>TOTAL</v>
      </c>
      <c r="C113" s="623"/>
      <c r="D113" s="623"/>
      <c r="E113" s="623"/>
      <c r="F113" s="623"/>
      <c r="G113" s="623"/>
      <c r="H113" s="623"/>
      <c r="I113" s="623"/>
      <c r="J113" s="623"/>
      <c r="K113" s="623"/>
      <c r="L113" s="623"/>
      <c r="M113" s="623"/>
      <c r="N113" s="624"/>
      <c r="O113" s="100"/>
      <c r="P113" s="100"/>
      <c r="Q113" s="100"/>
      <c r="R113" s="100"/>
      <c r="S113" s="100"/>
      <c r="T113" s="101">
        <f ca="1">SUM(T$2:OFFSET(T113,-1,0))</f>
        <v>0</v>
      </c>
      <c r="U113" s="208"/>
      <c r="V113" s="100"/>
      <c r="W113" s="100"/>
      <c r="X113" s="100"/>
      <c r="Y113" s="100"/>
      <c r="Z113" s="100"/>
      <c r="AA113" s="102"/>
      <c r="AB113" s="103"/>
      <c r="AC113" s="104">
        <f t="shared" ref="AC113:AH113" si="20">SUM(AC1:AC112)</f>
        <v>0</v>
      </c>
      <c r="AD113" s="104">
        <f t="shared" si="20"/>
        <v>0</v>
      </c>
      <c r="AE113" s="104">
        <f t="shared" si="20"/>
        <v>0</v>
      </c>
      <c r="AF113" s="104">
        <f t="shared" si="20"/>
        <v>0</v>
      </c>
      <c r="AG113" s="104">
        <f t="shared" si="20"/>
        <v>0</v>
      </c>
      <c r="AH113" s="104">
        <f t="shared" si="20"/>
        <v>0</v>
      </c>
    </row>
    <row r="114" spans="1:39" s="94" customFormat="1" ht="21" x14ac:dyDescent="0.25">
      <c r="A114" s="105"/>
      <c r="B114" s="25"/>
      <c r="C114" s="36"/>
      <c r="D114" s="36"/>
      <c r="E114" s="36"/>
      <c r="F114" s="36"/>
      <c r="G114" s="36"/>
      <c r="H114" s="36"/>
      <c r="I114" s="36"/>
      <c r="J114" s="36"/>
      <c r="K114" s="36"/>
      <c r="L114" s="36"/>
      <c r="M114" s="106"/>
      <c r="N114" s="32"/>
      <c r="O114" s="25"/>
      <c r="P114" s="25"/>
      <c r="Q114" s="25"/>
      <c r="R114" s="25"/>
      <c r="S114" s="92"/>
      <c r="T114" s="107"/>
      <c r="U114" s="107"/>
      <c r="V114" s="107"/>
      <c r="W114" s="107"/>
      <c r="X114" s="26"/>
      <c r="Y114" s="26"/>
      <c r="Z114" s="26"/>
      <c r="AA114" s="88"/>
      <c r="AB114" s="88"/>
      <c r="AC114" s="81" t="s">
        <v>26</v>
      </c>
      <c r="AD114" s="81" t="s">
        <v>36</v>
      </c>
      <c r="AE114" s="81" t="s">
        <v>28</v>
      </c>
      <c r="AF114" s="81" t="s">
        <v>34</v>
      </c>
      <c r="AG114" s="81" t="s">
        <v>32</v>
      </c>
      <c r="AH114" s="81" t="s">
        <v>4</v>
      </c>
    </row>
    <row r="115" spans="1:39" ht="15.75" x14ac:dyDescent="0.25">
      <c r="M115" s="106"/>
      <c r="U115" s="107"/>
      <c r="V115" s="107"/>
      <c r="W115" s="107"/>
      <c r="X115" s="26"/>
      <c r="Y115" s="26"/>
      <c r="Z115" s="26"/>
    </row>
    <row r="116" spans="1:39" ht="15.75" x14ac:dyDescent="0.25">
      <c r="U116" s="107"/>
      <c r="V116" s="107"/>
      <c r="W116" s="107"/>
      <c r="X116" s="26"/>
      <c r="Y116" s="26"/>
      <c r="Z116" s="26"/>
    </row>
    <row r="117" spans="1:39" ht="15.75" x14ac:dyDescent="0.25">
      <c r="K117" s="109"/>
      <c r="U117" s="107"/>
      <c r="V117" s="107"/>
      <c r="W117" s="107"/>
      <c r="X117" s="26"/>
      <c r="Y117" s="26"/>
      <c r="Z117" s="26"/>
    </row>
    <row r="118" spans="1:39" ht="15.75" x14ac:dyDescent="0.25">
      <c r="T118" s="108">
        <f ca="1">T113-AH113</f>
        <v>0</v>
      </c>
      <c r="U118" s="107"/>
      <c r="V118" s="107"/>
      <c r="W118" s="107"/>
      <c r="X118" s="26"/>
      <c r="Y118" s="26"/>
      <c r="Z118" s="26"/>
    </row>
    <row r="119" spans="1:39" ht="15.75" x14ac:dyDescent="0.25">
      <c r="U119" s="107"/>
      <c r="V119" s="107"/>
      <c r="W119" s="107"/>
      <c r="X119" s="26"/>
      <c r="Y119" s="26"/>
      <c r="Z119" s="26"/>
    </row>
    <row r="120" spans="1:39" ht="15.75" x14ac:dyDescent="0.25">
      <c r="U120" s="107"/>
      <c r="V120" s="107"/>
      <c r="W120" s="107"/>
      <c r="X120" s="26"/>
      <c r="Y120" s="26"/>
      <c r="Z120" s="26"/>
    </row>
    <row r="121" spans="1:39" ht="15.75" x14ac:dyDescent="0.25">
      <c r="U121" s="107"/>
      <c r="V121" s="107"/>
      <c r="W121" s="107"/>
      <c r="X121" s="26"/>
      <c r="Y121" s="26"/>
      <c r="Z121" s="26"/>
    </row>
    <row r="122" spans="1:39" ht="15.75" x14ac:dyDescent="0.25">
      <c r="U122" s="107"/>
      <c r="V122" s="107"/>
      <c r="W122" s="107"/>
      <c r="X122" s="26"/>
      <c r="Y122" s="26"/>
      <c r="Z122" s="26"/>
    </row>
    <row r="123" spans="1:39" ht="15.75" x14ac:dyDescent="0.25">
      <c r="U123" s="107"/>
      <c r="V123" s="107"/>
      <c r="W123" s="107"/>
      <c r="X123" s="26"/>
      <c r="Y123" s="26"/>
      <c r="Z123" s="26"/>
    </row>
    <row r="124" spans="1:39" ht="15.75" x14ac:dyDescent="0.25">
      <c r="U124" s="107"/>
      <c r="V124" s="107"/>
      <c r="W124" s="107"/>
      <c r="X124" s="26"/>
      <c r="Y124" s="26"/>
      <c r="Z124" s="26"/>
    </row>
    <row r="125" spans="1:39" ht="15.75" x14ac:dyDescent="0.25">
      <c r="U125" s="107"/>
      <c r="V125" s="107"/>
      <c r="W125" s="107"/>
      <c r="X125" s="26"/>
      <c r="Y125" s="26"/>
      <c r="Z125" s="26"/>
    </row>
    <row r="126" spans="1:39" ht="15.75" x14ac:dyDescent="0.25">
      <c r="U126" s="107"/>
      <c r="V126" s="107"/>
      <c r="W126" s="107"/>
      <c r="X126" s="26"/>
      <c r="Y126" s="26"/>
      <c r="Z126" s="26"/>
    </row>
    <row r="127" spans="1:39" ht="15.75" x14ac:dyDescent="0.25">
      <c r="U127" s="107"/>
      <c r="V127" s="107"/>
      <c r="W127" s="107"/>
      <c r="X127" s="26"/>
      <c r="Y127" s="26"/>
      <c r="Z127" s="26"/>
    </row>
    <row r="128" spans="1:39" s="110" customFormat="1" ht="15.75" x14ac:dyDescent="0.25">
      <c r="A128" s="25"/>
      <c r="B128" s="25"/>
      <c r="C128" s="36"/>
      <c r="D128" s="36"/>
      <c r="E128" s="36"/>
      <c r="F128" s="36"/>
      <c r="G128" s="36"/>
      <c r="H128" s="36"/>
      <c r="I128" s="36"/>
      <c r="J128" s="36"/>
      <c r="K128" s="36"/>
      <c r="L128" s="36"/>
      <c r="N128" s="36"/>
      <c r="O128" s="25"/>
      <c r="P128" s="25"/>
      <c r="Q128" s="25"/>
      <c r="R128" s="25"/>
      <c r="S128" s="25"/>
      <c r="T128" s="108"/>
      <c r="U128" s="107"/>
      <c r="V128" s="107"/>
      <c r="W128" s="107"/>
      <c r="X128" s="26"/>
      <c r="Y128" s="26"/>
      <c r="Z128" s="26"/>
      <c r="AA128" s="88"/>
      <c r="AB128" s="88"/>
      <c r="AC128" s="25"/>
      <c r="AD128" s="25"/>
      <c r="AE128" s="25"/>
      <c r="AF128" s="25"/>
      <c r="AG128" s="25"/>
      <c r="AH128" s="25"/>
      <c r="AI128" s="25"/>
      <c r="AJ128" s="25"/>
      <c r="AK128" s="25"/>
      <c r="AL128" s="25"/>
      <c r="AM128" s="25"/>
    </row>
    <row r="129" spans="1:39" s="110" customFormat="1" ht="15.75" x14ac:dyDescent="0.25">
      <c r="A129" s="25"/>
      <c r="B129" s="25"/>
      <c r="C129" s="36"/>
      <c r="D129" s="36"/>
      <c r="E129" s="36"/>
      <c r="F129" s="36"/>
      <c r="G129" s="36"/>
      <c r="H129" s="36"/>
      <c r="I129" s="36"/>
      <c r="J129" s="36"/>
      <c r="K129" s="36"/>
      <c r="L129" s="36"/>
      <c r="N129" s="36"/>
      <c r="O129" s="25"/>
      <c r="P129" s="25"/>
      <c r="Q129" s="25"/>
      <c r="R129" s="25"/>
      <c r="S129" s="25"/>
      <c r="T129" s="108"/>
      <c r="U129" s="107"/>
      <c r="V129" s="107"/>
      <c r="W129" s="107"/>
      <c r="X129" s="26"/>
      <c r="Y129" s="26"/>
      <c r="Z129" s="26"/>
      <c r="AA129" s="88"/>
      <c r="AB129" s="88"/>
      <c r="AC129" s="25"/>
      <c r="AD129" s="25"/>
      <c r="AE129" s="25"/>
      <c r="AF129" s="25"/>
      <c r="AG129" s="25"/>
      <c r="AH129" s="25"/>
      <c r="AI129" s="25"/>
      <c r="AJ129" s="25"/>
      <c r="AK129" s="25"/>
      <c r="AL129" s="25"/>
      <c r="AM129" s="25"/>
    </row>
    <row r="130" spans="1:39" s="110" customFormat="1" ht="15.75" x14ac:dyDescent="0.25">
      <c r="A130" s="25"/>
      <c r="B130" s="25"/>
      <c r="C130" s="36"/>
      <c r="D130" s="36"/>
      <c r="E130" s="36"/>
      <c r="F130" s="36"/>
      <c r="G130" s="36"/>
      <c r="H130" s="36"/>
      <c r="I130" s="36"/>
      <c r="J130" s="36"/>
      <c r="K130" s="36"/>
      <c r="L130" s="36"/>
      <c r="N130" s="36"/>
      <c r="O130" s="25"/>
      <c r="P130" s="25"/>
      <c r="Q130" s="25"/>
      <c r="R130" s="25"/>
      <c r="S130" s="25"/>
      <c r="T130" s="108"/>
      <c r="U130" s="107"/>
      <c r="V130" s="107"/>
      <c r="W130" s="107"/>
      <c r="X130" s="26"/>
      <c r="Y130" s="26"/>
      <c r="Z130" s="26"/>
      <c r="AA130" s="88"/>
      <c r="AB130" s="88"/>
      <c r="AC130" s="25"/>
      <c r="AD130" s="25"/>
      <c r="AE130" s="25"/>
      <c r="AF130" s="25"/>
      <c r="AG130" s="25"/>
      <c r="AH130" s="25"/>
      <c r="AI130" s="25"/>
      <c r="AJ130" s="25"/>
      <c r="AK130" s="25"/>
      <c r="AL130" s="25"/>
      <c r="AM130" s="25"/>
    </row>
    <row r="131" spans="1:39" s="110" customFormat="1" ht="15.75" x14ac:dyDescent="0.25">
      <c r="A131" s="25"/>
      <c r="B131" s="25"/>
      <c r="C131" s="36"/>
      <c r="D131" s="36"/>
      <c r="E131" s="36"/>
      <c r="F131" s="36"/>
      <c r="G131" s="36"/>
      <c r="H131" s="36"/>
      <c r="I131" s="36"/>
      <c r="J131" s="36"/>
      <c r="K131" s="36"/>
      <c r="L131" s="36"/>
      <c r="N131" s="36"/>
      <c r="O131" s="25"/>
      <c r="P131" s="25"/>
      <c r="Q131" s="25"/>
      <c r="R131" s="25"/>
      <c r="S131" s="25"/>
      <c r="T131" s="108"/>
      <c r="U131" s="107"/>
      <c r="V131" s="107"/>
      <c r="W131" s="107"/>
      <c r="X131" s="26"/>
      <c r="Y131" s="26"/>
      <c r="Z131" s="26"/>
      <c r="AA131" s="88"/>
      <c r="AB131" s="88"/>
      <c r="AC131" s="25"/>
      <c r="AD131" s="25"/>
      <c r="AE131" s="25"/>
      <c r="AF131" s="25"/>
      <c r="AG131" s="25"/>
      <c r="AH131" s="25"/>
      <c r="AI131" s="25"/>
      <c r="AJ131" s="25"/>
      <c r="AK131" s="25"/>
      <c r="AL131" s="25"/>
      <c r="AM131" s="25"/>
    </row>
    <row r="132" spans="1:39" s="110" customFormat="1" ht="15.75" x14ac:dyDescent="0.25">
      <c r="A132" s="25"/>
      <c r="B132" s="25"/>
      <c r="C132" s="36"/>
      <c r="D132" s="36"/>
      <c r="E132" s="36"/>
      <c r="F132" s="36"/>
      <c r="G132" s="36"/>
      <c r="H132" s="36"/>
      <c r="I132" s="36"/>
      <c r="J132" s="36"/>
      <c r="K132" s="36"/>
      <c r="L132" s="36"/>
      <c r="N132" s="36"/>
      <c r="O132" s="25"/>
      <c r="P132" s="25"/>
      <c r="Q132" s="25"/>
      <c r="R132" s="25"/>
      <c r="S132" s="25"/>
      <c r="T132" s="108"/>
      <c r="U132" s="107"/>
      <c r="V132" s="107"/>
      <c r="W132" s="107"/>
      <c r="X132" s="26"/>
      <c r="Y132" s="26"/>
      <c r="Z132" s="26"/>
      <c r="AA132" s="88"/>
      <c r="AB132" s="88"/>
      <c r="AC132" s="25"/>
      <c r="AD132" s="25"/>
      <c r="AE132" s="25"/>
      <c r="AF132" s="25"/>
      <c r="AG132" s="25"/>
      <c r="AH132" s="25"/>
      <c r="AI132" s="25"/>
      <c r="AJ132" s="25"/>
      <c r="AK132" s="25"/>
      <c r="AL132" s="25"/>
      <c r="AM132" s="25"/>
    </row>
    <row r="133" spans="1:39" s="110" customFormat="1" ht="15.75" x14ac:dyDescent="0.25">
      <c r="A133" s="25"/>
      <c r="B133" s="25"/>
      <c r="C133" s="36"/>
      <c r="D133" s="36"/>
      <c r="E133" s="36"/>
      <c r="F133" s="36"/>
      <c r="G133" s="36"/>
      <c r="H133" s="36"/>
      <c r="I133" s="36"/>
      <c r="J133" s="36"/>
      <c r="K133" s="36"/>
      <c r="L133" s="36"/>
      <c r="N133" s="36"/>
      <c r="O133" s="25"/>
      <c r="P133" s="25"/>
      <c r="Q133" s="25"/>
      <c r="R133" s="25"/>
      <c r="S133" s="25"/>
      <c r="T133" s="108"/>
      <c r="U133" s="107"/>
      <c r="V133" s="107"/>
      <c r="W133" s="107"/>
      <c r="X133" s="26"/>
      <c r="Y133" s="26"/>
      <c r="Z133" s="26"/>
      <c r="AA133" s="88"/>
      <c r="AB133" s="88"/>
      <c r="AC133" s="25"/>
      <c r="AD133" s="25"/>
      <c r="AE133" s="25"/>
      <c r="AF133" s="25"/>
      <c r="AG133" s="25"/>
      <c r="AH133" s="25"/>
      <c r="AI133" s="25"/>
      <c r="AJ133" s="25"/>
      <c r="AK133" s="25"/>
      <c r="AL133" s="25"/>
      <c r="AM133" s="25"/>
    </row>
    <row r="134" spans="1:39" s="110" customFormat="1" ht="15.75" x14ac:dyDescent="0.25">
      <c r="A134" s="25"/>
      <c r="B134" s="25"/>
      <c r="C134" s="36"/>
      <c r="D134" s="36"/>
      <c r="E134" s="36"/>
      <c r="F134" s="36"/>
      <c r="G134" s="36"/>
      <c r="H134" s="36"/>
      <c r="I134" s="36"/>
      <c r="J134" s="36"/>
      <c r="K134" s="36"/>
      <c r="L134" s="36"/>
      <c r="N134" s="36"/>
      <c r="O134" s="25"/>
      <c r="P134" s="25"/>
      <c r="Q134" s="25"/>
      <c r="R134" s="25"/>
      <c r="S134" s="25"/>
      <c r="T134" s="108"/>
      <c r="U134" s="107"/>
      <c r="V134" s="107"/>
      <c r="W134" s="107"/>
      <c r="X134" s="26"/>
      <c r="Y134" s="26"/>
      <c r="Z134" s="26"/>
      <c r="AA134" s="88"/>
      <c r="AB134" s="88"/>
      <c r="AC134" s="25"/>
      <c r="AD134" s="25"/>
      <c r="AE134" s="25"/>
      <c r="AF134" s="25"/>
      <c r="AG134" s="25"/>
      <c r="AH134" s="25"/>
      <c r="AI134" s="25"/>
      <c r="AJ134" s="25"/>
      <c r="AK134" s="25"/>
      <c r="AL134" s="25"/>
      <c r="AM134" s="25"/>
    </row>
    <row r="135" spans="1:39" s="110" customFormat="1" ht="15.75" x14ac:dyDescent="0.25">
      <c r="A135" s="25"/>
      <c r="B135" s="25"/>
      <c r="C135" s="36"/>
      <c r="D135" s="36"/>
      <c r="E135" s="36"/>
      <c r="F135" s="36"/>
      <c r="G135" s="36"/>
      <c r="H135" s="36"/>
      <c r="I135" s="36"/>
      <c r="J135" s="36"/>
      <c r="K135" s="36"/>
      <c r="L135" s="36"/>
      <c r="N135" s="36"/>
      <c r="O135" s="25"/>
      <c r="P135" s="25"/>
      <c r="Q135" s="25"/>
      <c r="R135" s="25"/>
      <c r="S135" s="25"/>
      <c r="T135" s="108"/>
      <c r="U135" s="107"/>
      <c r="V135" s="107"/>
      <c r="W135" s="107"/>
      <c r="X135" s="26"/>
      <c r="Y135" s="26"/>
      <c r="Z135" s="26"/>
      <c r="AA135" s="88"/>
      <c r="AB135" s="88"/>
      <c r="AC135" s="25"/>
      <c r="AD135" s="25"/>
      <c r="AE135" s="25"/>
      <c r="AF135" s="25"/>
      <c r="AG135" s="25"/>
      <c r="AH135" s="25"/>
      <c r="AI135" s="25"/>
      <c r="AJ135" s="25"/>
      <c r="AK135" s="25"/>
      <c r="AL135" s="25"/>
      <c r="AM135" s="25"/>
    </row>
    <row r="136" spans="1:39" s="110" customFormat="1" ht="15.75" x14ac:dyDescent="0.25">
      <c r="A136" s="25"/>
      <c r="B136" s="25"/>
      <c r="C136" s="36"/>
      <c r="D136" s="36"/>
      <c r="E136" s="36"/>
      <c r="F136" s="36"/>
      <c r="G136" s="36"/>
      <c r="H136" s="36"/>
      <c r="I136" s="36"/>
      <c r="J136" s="36"/>
      <c r="K136" s="36"/>
      <c r="L136" s="36"/>
      <c r="N136" s="36"/>
      <c r="O136" s="25"/>
      <c r="P136" s="25"/>
      <c r="Q136" s="25"/>
      <c r="R136" s="25"/>
      <c r="S136" s="25"/>
      <c r="T136" s="108"/>
      <c r="U136" s="107"/>
      <c r="V136" s="107"/>
      <c r="W136" s="107"/>
      <c r="X136" s="26"/>
      <c r="Y136" s="26"/>
      <c r="Z136" s="26"/>
      <c r="AA136" s="88"/>
      <c r="AB136" s="88"/>
      <c r="AC136" s="25"/>
      <c r="AD136" s="25"/>
      <c r="AE136" s="25"/>
      <c r="AF136" s="25"/>
      <c r="AG136" s="25"/>
      <c r="AH136" s="25"/>
      <c r="AI136" s="25"/>
      <c r="AJ136" s="25"/>
      <c r="AK136" s="25"/>
      <c r="AL136" s="25"/>
      <c r="AM136" s="25"/>
    </row>
    <row r="137" spans="1:39" s="110" customFormat="1" ht="15.75" x14ac:dyDescent="0.25">
      <c r="A137" s="25"/>
      <c r="B137" s="25"/>
      <c r="C137" s="36"/>
      <c r="D137" s="36"/>
      <c r="E137" s="36"/>
      <c r="F137" s="36"/>
      <c r="G137" s="36"/>
      <c r="H137" s="36"/>
      <c r="I137" s="36"/>
      <c r="J137" s="36"/>
      <c r="K137" s="36"/>
      <c r="L137" s="36"/>
      <c r="N137" s="36"/>
      <c r="O137" s="25"/>
      <c r="P137" s="25"/>
      <c r="Q137" s="25"/>
      <c r="R137" s="25"/>
      <c r="S137" s="25"/>
      <c r="T137" s="108"/>
      <c r="U137" s="107"/>
      <c r="V137" s="107"/>
      <c r="W137" s="107"/>
      <c r="X137" s="26"/>
      <c r="Y137" s="26"/>
      <c r="Z137" s="26"/>
      <c r="AA137" s="88"/>
      <c r="AB137" s="88"/>
      <c r="AC137" s="25"/>
      <c r="AD137" s="25"/>
      <c r="AE137" s="25"/>
      <c r="AF137" s="25"/>
      <c r="AG137" s="25"/>
      <c r="AH137" s="25"/>
      <c r="AI137" s="25"/>
      <c r="AJ137" s="25"/>
      <c r="AK137" s="25"/>
      <c r="AL137" s="25"/>
      <c r="AM137" s="25"/>
    </row>
    <row r="138" spans="1:39" s="110" customFormat="1" ht="15.75" x14ac:dyDescent="0.25">
      <c r="A138" s="25"/>
      <c r="B138" s="25"/>
      <c r="C138" s="36"/>
      <c r="D138" s="36"/>
      <c r="E138" s="36"/>
      <c r="F138" s="36"/>
      <c r="G138" s="36"/>
      <c r="H138" s="36"/>
      <c r="I138" s="36"/>
      <c r="J138" s="36"/>
      <c r="K138" s="36"/>
      <c r="L138" s="36"/>
      <c r="N138" s="36"/>
      <c r="O138" s="25"/>
      <c r="P138" s="25"/>
      <c r="Q138" s="25"/>
      <c r="R138" s="25"/>
      <c r="S138" s="25"/>
      <c r="T138" s="108"/>
      <c r="U138" s="107"/>
      <c r="V138" s="107"/>
      <c r="W138" s="107"/>
      <c r="X138" s="26"/>
      <c r="Y138" s="26"/>
      <c r="Z138" s="26"/>
      <c r="AA138" s="88"/>
      <c r="AB138" s="88"/>
      <c r="AC138" s="25"/>
      <c r="AD138" s="25"/>
      <c r="AE138" s="25"/>
      <c r="AF138" s="25"/>
      <c r="AG138" s="25"/>
      <c r="AH138" s="25"/>
      <c r="AI138" s="25"/>
      <c r="AJ138" s="25"/>
      <c r="AK138" s="25"/>
      <c r="AL138" s="25"/>
      <c r="AM138" s="25"/>
    </row>
    <row r="139" spans="1:39" s="110" customFormat="1" ht="15.75" x14ac:dyDescent="0.25">
      <c r="A139" s="25"/>
      <c r="B139" s="25"/>
      <c r="C139" s="36"/>
      <c r="D139" s="36"/>
      <c r="E139" s="36"/>
      <c r="F139" s="36"/>
      <c r="G139" s="36"/>
      <c r="H139" s="36"/>
      <c r="I139" s="36"/>
      <c r="J139" s="36"/>
      <c r="K139" s="36"/>
      <c r="L139" s="36"/>
      <c r="N139" s="36"/>
      <c r="O139" s="25"/>
      <c r="P139" s="25"/>
      <c r="Q139" s="25"/>
      <c r="R139" s="25"/>
      <c r="S139" s="25"/>
      <c r="T139" s="108"/>
      <c r="U139" s="107"/>
      <c r="V139" s="107"/>
      <c r="W139" s="107"/>
      <c r="X139" s="26"/>
      <c r="Y139" s="26"/>
      <c r="Z139" s="26"/>
      <c r="AA139" s="88"/>
      <c r="AB139" s="88"/>
      <c r="AC139" s="25"/>
      <c r="AD139" s="25"/>
      <c r="AE139" s="25"/>
      <c r="AF139" s="25"/>
      <c r="AG139" s="25"/>
      <c r="AH139" s="25"/>
      <c r="AI139" s="25"/>
      <c r="AJ139" s="25"/>
      <c r="AK139" s="25"/>
      <c r="AL139" s="25"/>
      <c r="AM139" s="25"/>
    </row>
    <row r="140" spans="1:39" s="110" customFormat="1" ht="15.75" x14ac:dyDescent="0.25">
      <c r="A140" s="25"/>
      <c r="B140" s="25"/>
      <c r="C140" s="36"/>
      <c r="D140" s="36"/>
      <c r="E140" s="36"/>
      <c r="F140" s="36"/>
      <c r="G140" s="36"/>
      <c r="H140" s="36"/>
      <c r="I140" s="36"/>
      <c r="J140" s="36"/>
      <c r="K140" s="36"/>
      <c r="L140" s="36"/>
      <c r="N140" s="36"/>
      <c r="O140" s="25"/>
      <c r="P140" s="25"/>
      <c r="Q140" s="25"/>
      <c r="R140" s="25"/>
      <c r="S140" s="25"/>
      <c r="T140" s="108"/>
      <c r="U140" s="107"/>
      <c r="V140" s="107"/>
      <c r="W140" s="107"/>
      <c r="X140" s="26"/>
      <c r="Y140" s="26"/>
      <c r="Z140" s="26"/>
      <c r="AA140" s="88"/>
      <c r="AB140" s="88"/>
      <c r="AC140" s="25"/>
      <c r="AD140" s="25"/>
      <c r="AE140" s="25"/>
      <c r="AF140" s="25"/>
      <c r="AG140" s="25"/>
      <c r="AH140" s="25"/>
      <c r="AI140" s="25"/>
      <c r="AJ140" s="25"/>
      <c r="AK140" s="25"/>
      <c r="AL140" s="25"/>
      <c r="AM140" s="25"/>
    </row>
    <row r="141" spans="1:39" ht="15.75" x14ac:dyDescent="0.25">
      <c r="U141" s="107"/>
      <c r="V141" s="107"/>
      <c r="W141" s="107"/>
      <c r="X141" s="26"/>
      <c r="Y141" s="26"/>
      <c r="Z141" s="26"/>
    </row>
    <row r="142" spans="1:39" ht="15.75" x14ac:dyDescent="0.25">
      <c r="U142" s="107"/>
      <c r="V142" s="107"/>
      <c r="W142" s="107"/>
      <c r="X142" s="26"/>
      <c r="Y142" s="26"/>
      <c r="Z142" s="26"/>
    </row>
    <row r="143" spans="1:39" ht="15.75" x14ac:dyDescent="0.25">
      <c r="U143" s="107"/>
      <c r="V143" s="107"/>
      <c r="W143" s="107"/>
      <c r="X143" s="26"/>
      <c r="Y143" s="26"/>
      <c r="Z143" s="26"/>
    </row>
    <row r="144" spans="1:39" ht="15.75" x14ac:dyDescent="0.25">
      <c r="U144" s="107"/>
      <c r="V144" s="107"/>
      <c r="W144" s="107"/>
      <c r="X144" s="26"/>
      <c r="Y144" s="26"/>
      <c r="Z144" s="26"/>
    </row>
    <row r="145" spans="21:26" ht="15.75" x14ac:dyDescent="0.25">
      <c r="U145" s="107"/>
      <c r="V145" s="107"/>
      <c r="W145" s="107"/>
      <c r="X145" s="26"/>
      <c r="Y145" s="26"/>
      <c r="Z145" s="26"/>
    </row>
    <row r="146" spans="21:26" ht="15.75" x14ac:dyDescent="0.25">
      <c r="U146" s="107"/>
      <c r="V146" s="107"/>
      <c r="W146" s="107"/>
      <c r="X146" s="26"/>
      <c r="Y146" s="26"/>
      <c r="Z146" s="26"/>
    </row>
    <row r="147" spans="21:26" ht="15.75" x14ac:dyDescent="0.25">
      <c r="U147" s="107"/>
      <c r="V147" s="107"/>
      <c r="W147" s="107"/>
      <c r="X147" s="26"/>
      <c r="Y147" s="26"/>
      <c r="Z147" s="26"/>
    </row>
    <row r="148" spans="21:26" ht="15.75" x14ac:dyDescent="0.25">
      <c r="U148" s="107"/>
      <c r="V148" s="107"/>
      <c r="W148" s="107"/>
      <c r="X148" s="26"/>
      <c r="Y148" s="26"/>
      <c r="Z148" s="26"/>
    </row>
    <row r="149" spans="21:26" ht="15.75" x14ac:dyDescent="0.25">
      <c r="U149" s="107"/>
      <c r="V149" s="107"/>
      <c r="W149" s="107"/>
      <c r="X149" s="26"/>
      <c r="Y149" s="26"/>
      <c r="Z149" s="26"/>
    </row>
    <row r="150" spans="21:26" ht="15.75" x14ac:dyDescent="0.25">
      <c r="U150" s="107"/>
      <c r="V150" s="107"/>
      <c r="W150" s="107"/>
      <c r="X150" s="26"/>
      <c r="Y150" s="26"/>
      <c r="Z150" s="26"/>
    </row>
    <row r="151" spans="21:26" ht="15.75" x14ac:dyDescent="0.25">
      <c r="U151" s="107"/>
      <c r="V151" s="107"/>
      <c r="W151" s="107"/>
      <c r="X151" s="26"/>
      <c r="Y151" s="26"/>
      <c r="Z151" s="26"/>
    </row>
    <row r="152" spans="21:26" ht="15.75" x14ac:dyDescent="0.25">
      <c r="U152" s="107"/>
      <c r="V152" s="107"/>
      <c r="W152" s="107"/>
      <c r="X152" s="26"/>
      <c r="Y152" s="26"/>
      <c r="Z152" s="26"/>
    </row>
    <row r="153" spans="21:26" ht="15.75" x14ac:dyDescent="0.25">
      <c r="U153" s="107"/>
      <c r="V153" s="107"/>
      <c r="W153" s="107"/>
      <c r="X153" s="26"/>
      <c r="Y153" s="26"/>
      <c r="Z153" s="26"/>
    </row>
    <row r="154" spans="21:26" ht="15.75" x14ac:dyDescent="0.25">
      <c r="U154" s="107"/>
      <c r="V154" s="107"/>
      <c r="W154" s="107"/>
      <c r="X154" s="26"/>
      <c r="Y154" s="26"/>
      <c r="Z154" s="26"/>
    </row>
    <row r="155" spans="21:26" ht="15.75" x14ac:dyDescent="0.25">
      <c r="U155" s="107"/>
      <c r="V155" s="107"/>
      <c r="W155" s="107"/>
      <c r="X155" s="26"/>
      <c r="Y155" s="26"/>
      <c r="Z155" s="26"/>
    </row>
    <row r="156" spans="21:26" ht="15.75" x14ac:dyDescent="0.25">
      <c r="U156" s="107"/>
      <c r="V156" s="107"/>
      <c r="W156" s="107"/>
      <c r="X156" s="26"/>
      <c r="Y156" s="26"/>
      <c r="Z156" s="26"/>
    </row>
    <row r="157" spans="21:26" ht="15.75" x14ac:dyDescent="0.25">
      <c r="U157" s="107"/>
      <c r="V157" s="107"/>
      <c r="W157" s="107"/>
      <c r="X157" s="26"/>
      <c r="Y157" s="26"/>
      <c r="Z157" s="26"/>
    </row>
    <row r="158" spans="21:26" ht="15.75" x14ac:dyDescent="0.25">
      <c r="U158" s="107"/>
      <c r="V158" s="107"/>
      <c r="W158" s="107"/>
      <c r="X158" s="26"/>
      <c r="Y158" s="26"/>
      <c r="Z158" s="26"/>
    </row>
    <row r="159" spans="21:26" ht="15.75" x14ac:dyDescent="0.25">
      <c r="U159" s="107"/>
      <c r="V159" s="107"/>
      <c r="W159" s="107"/>
      <c r="X159" s="26"/>
      <c r="Y159" s="26"/>
      <c r="Z159" s="26"/>
    </row>
    <row r="160" spans="21:26" ht="15.75" x14ac:dyDescent="0.25">
      <c r="U160" s="107"/>
      <c r="V160" s="107"/>
      <c r="W160" s="107"/>
      <c r="X160" s="26"/>
      <c r="Y160" s="26"/>
      <c r="Z160" s="26"/>
    </row>
    <row r="161" spans="21:26" ht="15.75" x14ac:dyDescent="0.25">
      <c r="U161" s="107"/>
      <c r="V161" s="107"/>
      <c r="W161" s="107"/>
      <c r="X161" s="26"/>
      <c r="Y161" s="26"/>
      <c r="Z161" s="26"/>
    </row>
    <row r="162" spans="21:26" ht="15.75" x14ac:dyDescent="0.25">
      <c r="U162" s="107"/>
      <c r="V162" s="107"/>
      <c r="W162" s="107"/>
      <c r="X162" s="26"/>
      <c r="Y162" s="26"/>
      <c r="Z162" s="26"/>
    </row>
    <row r="163" spans="21:26" ht="15.75" x14ac:dyDescent="0.25">
      <c r="U163" s="107"/>
      <c r="V163" s="107"/>
      <c r="W163" s="107"/>
      <c r="X163" s="26"/>
      <c r="Y163" s="26"/>
      <c r="Z163" s="26"/>
    </row>
    <row r="164" spans="21:26" ht="15.75" x14ac:dyDescent="0.25">
      <c r="U164" s="107"/>
      <c r="V164" s="107"/>
      <c r="W164" s="107"/>
      <c r="X164" s="26"/>
      <c r="Y164" s="26"/>
      <c r="Z164" s="26"/>
    </row>
    <row r="165" spans="21:26" ht="15.75" x14ac:dyDescent="0.25">
      <c r="U165" s="107"/>
      <c r="V165" s="107"/>
      <c r="W165" s="107"/>
      <c r="X165" s="26"/>
      <c r="Y165" s="26"/>
      <c r="Z165" s="26"/>
    </row>
    <row r="166" spans="21:26" ht="15.75" x14ac:dyDescent="0.25">
      <c r="U166" s="107"/>
      <c r="V166" s="107"/>
      <c r="W166" s="107"/>
      <c r="X166" s="26"/>
      <c r="Y166" s="26"/>
      <c r="Z166" s="26"/>
    </row>
    <row r="167" spans="21:26" ht="15.75" x14ac:dyDescent="0.25">
      <c r="U167" s="107"/>
      <c r="V167" s="107"/>
      <c r="W167" s="107"/>
      <c r="X167" s="26"/>
      <c r="Y167" s="26"/>
      <c r="Z167" s="26"/>
    </row>
    <row r="168" spans="21:26" ht="15.75" x14ac:dyDescent="0.25">
      <c r="U168" s="107"/>
      <c r="V168" s="107"/>
      <c r="W168" s="107"/>
      <c r="X168" s="26"/>
      <c r="Y168" s="26"/>
      <c r="Z168" s="26"/>
    </row>
    <row r="169" spans="21:26" ht="15.75" x14ac:dyDescent="0.25">
      <c r="U169" s="107"/>
      <c r="V169" s="107"/>
      <c r="W169" s="107"/>
      <c r="X169" s="26"/>
      <c r="Y169" s="26"/>
      <c r="Z169" s="26"/>
    </row>
    <row r="170" spans="21:26" ht="15.75" x14ac:dyDescent="0.25">
      <c r="U170" s="107"/>
      <c r="V170" s="107"/>
      <c r="W170" s="107"/>
      <c r="X170" s="26"/>
      <c r="Y170" s="26"/>
      <c r="Z170" s="26"/>
    </row>
    <row r="171" spans="21:26" ht="15.75" x14ac:dyDescent="0.25">
      <c r="U171" s="107"/>
      <c r="V171" s="107"/>
      <c r="W171" s="107"/>
      <c r="X171" s="26"/>
      <c r="Y171" s="26"/>
      <c r="Z171" s="26"/>
    </row>
    <row r="172" spans="21:26" ht="15.75" x14ac:dyDescent="0.25">
      <c r="U172" s="107"/>
      <c r="V172" s="107"/>
      <c r="W172" s="107"/>
      <c r="X172" s="26"/>
      <c r="Y172" s="26"/>
      <c r="Z172" s="26"/>
    </row>
    <row r="173" spans="21:26" ht="15.75" x14ac:dyDescent="0.25">
      <c r="U173" s="107"/>
      <c r="V173" s="107"/>
      <c r="W173" s="107"/>
      <c r="X173" s="26"/>
      <c r="Y173" s="26"/>
      <c r="Z173" s="26"/>
    </row>
    <row r="174" spans="21:26" ht="15.75" x14ac:dyDescent="0.25">
      <c r="U174" s="107"/>
      <c r="V174" s="107"/>
      <c r="W174" s="107"/>
      <c r="X174" s="26"/>
      <c r="Y174" s="26"/>
      <c r="Z174" s="26"/>
    </row>
    <row r="175" spans="21:26" ht="15.75" x14ac:dyDescent="0.25">
      <c r="U175" s="107"/>
      <c r="V175" s="107"/>
      <c r="W175" s="107"/>
      <c r="X175" s="26"/>
      <c r="Y175" s="26"/>
      <c r="Z175" s="26"/>
    </row>
    <row r="176" spans="21:26" ht="15.75" x14ac:dyDescent="0.25">
      <c r="U176" s="107"/>
      <c r="V176" s="107"/>
      <c r="W176" s="107"/>
      <c r="X176" s="26"/>
      <c r="Y176" s="26"/>
      <c r="Z176" s="26"/>
    </row>
    <row r="177" spans="21:26" ht="15.75" x14ac:dyDescent="0.25">
      <c r="U177" s="107"/>
      <c r="V177" s="107"/>
      <c r="W177" s="107"/>
      <c r="X177" s="26"/>
      <c r="Y177" s="26"/>
      <c r="Z177" s="26"/>
    </row>
    <row r="178" spans="21:26" ht="15.75" x14ac:dyDescent="0.25">
      <c r="U178" s="107"/>
      <c r="V178" s="107"/>
      <c r="W178" s="107"/>
      <c r="X178" s="26"/>
      <c r="Y178" s="26"/>
      <c r="Z178" s="26"/>
    </row>
    <row r="179" spans="21:26" ht="15.75" x14ac:dyDescent="0.25">
      <c r="U179" s="107"/>
      <c r="V179" s="107"/>
      <c r="W179" s="107"/>
      <c r="X179" s="26"/>
      <c r="Y179" s="26"/>
      <c r="Z179" s="26"/>
    </row>
    <row r="180" spans="21:26" ht="15.75" x14ac:dyDescent="0.25">
      <c r="U180" s="107"/>
      <c r="V180" s="107"/>
      <c r="W180" s="107"/>
      <c r="X180" s="26"/>
      <c r="Y180" s="26"/>
      <c r="Z180" s="26"/>
    </row>
    <row r="181" spans="21:26" ht="15.75" x14ac:dyDescent="0.25">
      <c r="U181" s="107"/>
      <c r="V181" s="107"/>
      <c r="W181" s="107"/>
      <c r="X181" s="26"/>
      <c r="Y181" s="26"/>
      <c r="Z181" s="26"/>
    </row>
    <row r="182" spans="21:26" ht="15.75" x14ac:dyDescent="0.25">
      <c r="U182" s="107"/>
      <c r="V182" s="107"/>
      <c r="W182" s="107"/>
      <c r="X182" s="26"/>
      <c r="Y182" s="26"/>
      <c r="Z182" s="26"/>
    </row>
    <row r="183" spans="21:26" ht="15.75" x14ac:dyDescent="0.25">
      <c r="U183" s="107"/>
      <c r="V183" s="107"/>
      <c r="W183" s="107"/>
      <c r="X183" s="26"/>
      <c r="Y183" s="26"/>
      <c r="Z183" s="26"/>
    </row>
    <row r="184" spans="21:26" ht="15.75" x14ac:dyDescent="0.25">
      <c r="U184" s="107"/>
      <c r="V184" s="107"/>
      <c r="W184" s="107"/>
      <c r="X184" s="26"/>
      <c r="Y184" s="26"/>
      <c r="Z184" s="26"/>
    </row>
    <row r="185" spans="21:26" ht="15.75" x14ac:dyDescent="0.25">
      <c r="U185" s="107"/>
      <c r="V185" s="107"/>
      <c r="W185" s="107"/>
      <c r="X185" s="26"/>
      <c r="Y185" s="26"/>
      <c r="Z185" s="26"/>
    </row>
    <row r="186" spans="21:26" ht="15.75" x14ac:dyDescent="0.25">
      <c r="U186" s="107"/>
      <c r="V186" s="107"/>
      <c r="W186" s="107"/>
      <c r="X186" s="26"/>
      <c r="Y186" s="26"/>
      <c r="Z186" s="26"/>
    </row>
    <row r="187" spans="21:26" ht="15.75" x14ac:dyDescent="0.25">
      <c r="U187" s="107"/>
      <c r="V187" s="107"/>
      <c r="W187" s="107"/>
      <c r="X187" s="26"/>
      <c r="Y187" s="26"/>
      <c r="Z187" s="26"/>
    </row>
    <row r="188" spans="21:26" ht="15.75" x14ac:dyDescent="0.25">
      <c r="U188" s="107"/>
      <c r="V188" s="107"/>
      <c r="W188" s="107"/>
      <c r="X188" s="26"/>
      <c r="Y188" s="26"/>
      <c r="Z188" s="26"/>
    </row>
    <row r="189" spans="21:26" ht="15.75" x14ac:dyDescent="0.25">
      <c r="U189" s="107"/>
      <c r="V189" s="107"/>
      <c r="W189" s="107"/>
      <c r="X189" s="26"/>
      <c r="Y189" s="26"/>
      <c r="Z189" s="26"/>
    </row>
    <row r="190" spans="21:26" ht="15.75" x14ac:dyDescent="0.25">
      <c r="U190" s="107"/>
      <c r="V190" s="107"/>
      <c r="W190" s="107"/>
      <c r="X190" s="26"/>
      <c r="Y190" s="26"/>
      <c r="Z190" s="26"/>
    </row>
    <row r="191" spans="21:26" ht="15.75" x14ac:dyDescent="0.25">
      <c r="U191" s="107"/>
      <c r="V191" s="107"/>
      <c r="W191" s="107"/>
      <c r="X191" s="26"/>
      <c r="Y191" s="26"/>
      <c r="Z191" s="26"/>
    </row>
    <row r="192" spans="21:26" ht="15.75" x14ac:dyDescent="0.25">
      <c r="U192" s="107"/>
      <c r="V192" s="107"/>
      <c r="W192" s="107"/>
      <c r="X192" s="26"/>
      <c r="Y192" s="26"/>
      <c r="Z192" s="26"/>
    </row>
    <row r="193" spans="21:26" ht="15.75" x14ac:dyDescent="0.25">
      <c r="U193" s="107"/>
      <c r="V193" s="107"/>
      <c r="W193" s="107"/>
      <c r="X193" s="26"/>
      <c r="Y193" s="26"/>
      <c r="Z193" s="26"/>
    </row>
    <row r="194" spans="21:26" ht="15.75" x14ac:dyDescent="0.25">
      <c r="U194" s="107"/>
      <c r="V194" s="107"/>
      <c r="W194" s="107"/>
      <c r="X194" s="26"/>
      <c r="Y194" s="26"/>
      <c r="Z194" s="26"/>
    </row>
    <row r="195" spans="21:26" ht="15.75" x14ac:dyDescent="0.25">
      <c r="U195" s="107"/>
      <c r="V195" s="107"/>
      <c r="W195" s="107"/>
      <c r="X195" s="26"/>
      <c r="Y195" s="26"/>
      <c r="Z195" s="26"/>
    </row>
    <row r="196" spans="21:26" ht="15.75" x14ac:dyDescent="0.25">
      <c r="U196" s="107"/>
      <c r="V196" s="107"/>
      <c r="W196" s="107"/>
      <c r="X196" s="26"/>
      <c r="Y196" s="26"/>
      <c r="Z196" s="26"/>
    </row>
    <row r="197" spans="21:26" ht="15.75" x14ac:dyDescent="0.25">
      <c r="U197" s="107"/>
      <c r="V197" s="107"/>
      <c r="W197" s="107"/>
      <c r="X197" s="26"/>
      <c r="Y197" s="26"/>
      <c r="Z197" s="26"/>
    </row>
    <row r="198" spans="21:26" ht="15.75" x14ac:dyDescent="0.25">
      <c r="U198" s="107"/>
      <c r="V198" s="107"/>
      <c r="W198" s="107"/>
      <c r="X198" s="26"/>
      <c r="Y198" s="26"/>
      <c r="Z198" s="26"/>
    </row>
    <row r="199" spans="21:26" ht="15.75" x14ac:dyDescent="0.25">
      <c r="U199" s="107"/>
      <c r="V199" s="107"/>
      <c r="W199" s="107"/>
      <c r="X199" s="26"/>
      <c r="Y199" s="26"/>
      <c r="Z199" s="26"/>
    </row>
    <row r="200" spans="21:26" ht="15.75" x14ac:dyDescent="0.25">
      <c r="U200" s="107"/>
      <c r="V200" s="107"/>
      <c r="W200" s="107"/>
      <c r="X200" s="26"/>
      <c r="Y200" s="26"/>
      <c r="Z200" s="26"/>
    </row>
    <row r="201" spans="21:26" ht="15.75" x14ac:dyDescent="0.25">
      <c r="U201" s="107"/>
      <c r="V201" s="107"/>
      <c r="W201" s="107"/>
      <c r="X201" s="26"/>
      <c r="Y201" s="26"/>
      <c r="Z201" s="26"/>
    </row>
    <row r="202" spans="21:26" ht="15.75" x14ac:dyDescent="0.25">
      <c r="U202" s="107"/>
      <c r="V202" s="107"/>
      <c r="W202" s="107"/>
      <c r="X202" s="26"/>
      <c r="Y202" s="26"/>
      <c r="Z202" s="26"/>
    </row>
    <row r="203" spans="21:26" ht="15.75" x14ac:dyDescent="0.25">
      <c r="U203" s="107"/>
      <c r="V203" s="107"/>
      <c r="W203" s="107"/>
      <c r="X203" s="26"/>
      <c r="Y203" s="26"/>
      <c r="Z203" s="26"/>
    </row>
    <row r="204" spans="21:26" ht="15.75" x14ac:dyDescent="0.25">
      <c r="U204" s="107"/>
      <c r="V204" s="107"/>
      <c r="W204" s="107"/>
      <c r="X204" s="26"/>
      <c r="Y204" s="26"/>
      <c r="Z204" s="26"/>
    </row>
    <row r="205" spans="21:26" ht="15.75" x14ac:dyDescent="0.25">
      <c r="U205" s="107"/>
      <c r="V205" s="107"/>
      <c r="W205" s="107"/>
      <c r="X205" s="26"/>
      <c r="Y205" s="26"/>
      <c r="Z205" s="26"/>
    </row>
    <row r="206" spans="21:26" ht="15.75" x14ac:dyDescent="0.25">
      <c r="U206" s="107"/>
      <c r="V206" s="107"/>
      <c r="W206" s="107"/>
      <c r="X206" s="26"/>
      <c r="Y206" s="26"/>
      <c r="Z206" s="26"/>
    </row>
    <row r="207" spans="21:26" ht="15.75" x14ac:dyDescent="0.25">
      <c r="U207" s="107"/>
      <c r="V207" s="107"/>
      <c r="W207" s="107"/>
      <c r="X207" s="26"/>
      <c r="Y207" s="26"/>
      <c r="Z207" s="26"/>
    </row>
    <row r="208" spans="21:26" ht="15.75" x14ac:dyDescent="0.25">
      <c r="U208" s="107"/>
      <c r="V208" s="107"/>
      <c r="W208" s="107"/>
      <c r="X208" s="26"/>
      <c r="Y208" s="26"/>
      <c r="Z208" s="26"/>
    </row>
    <row r="209" spans="21:26" ht="15.75" x14ac:dyDescent="0.25">
      <c r="U209" s="107"/>
      <c r="V209" s="107"/>
      <c r="W209" s="107"/>
      <c r="X209" s="26"/>
      <c r="Y209" s="26"/>
      <c r="Z209" s="26"/>
    </row>
    <row r="210" spans="21:26" ht="15.75" x14ac:dyDescent="0.25">
      <c r="U210" s="107"/>
      <c r="V210" s="107"/>
      <c r="W210" s="107"/>
      <c r="X210" s="26"/>
      <c r="Y210" s="26"/>
      <c r="Z210" s="26"/>
    </row>
    <row r="211" spans="21:26" ht="15.75" x14ac:dyDescent="0.25">
      <c r="U211" s="107"/>
      <c r="V211" s="107"/>
      <c r="W211" s="107"/>
      <c r="X211" s="26"/>
      <c r="Y211" s="26"/>
      <c r="Z211" s="26"/>
    </row>
    <row r="212" spans="21:26" ht="15.75" x14ac:dyDescent="0.25">
      <c r="U212" s="107"/>
      <c r="V212" s="107"/>
      <c r="W212" s="107"/>
      <c r="X212" s="26"/>
      <c r="Y212" s="26"/>
      <c r="Z212" s="26"/>
    </row>
    <row r="213" spans="21:26" ht="15.75" x14ac:dyDescent="0.25">
      <c r="U213" s="107"/>
      <c r="V213" s="107"/>
      <c r="W213" s="107"/>
      <c r="X213" s="26"/>
      <c r="Y213" s="26"/>
      <c r="Z213" s="26"/>
    </row>
    <row r="214" spans="21:26" ht="15.75" x14ac:dyDescent="0.25">
      <c r="U214" s="107"/>
      <c r="V214" s="107"/>
      <c r="W214" s="107"/>
      <c r="X214" s="26"/>
      <c r="Y214" s="26"/>
      <c r="Z214" s="26"/>
    </row>
    <row r="215" spans="21:26" ht="15.75" x14ac:dyDescent="0.25">
      <c r="U215" s="107"/>
      <c r="V215" s="107"/>
      <c r="W215" s="107"/>
      <c r="X215" s="26"/>
      <c r="Y215" s="26"/>
      <c r="Z215" s="26"/>
    </row>
    <row r="216" spans="21:26" ht="15.75" x14ac:dyDescent="0.25">
      <c r="U216" s="107"/>
      <c r="V216" s="107"/>
      <c r="W216" s="107"/>
      <c r="X216" s="26"/>
      <c r="Y216" s="26"/>
      <c r="Z216" s="26"/>
    </row>
    <row r="217" spans="21:26" ht="15.75" x14ac:dyDescent="0.25">
      <c r="U217" s="107"/>
      <c r="V217" s="107"/>
      <c r="W217" s="107"/>
      <c r="X217" s="26"/>
      <c r="Y217" s="26"/>
      <c r="Z217" s="26"/>
    </row>
    <row r="218" spans="21:26" ht="15.75" x14ac:dyDescent="0.25">
      <c r="U218" s="107"/>
      <c r="V218" s="107"/>
      <c r="W218" s="107"/>
      <c r="X218" s="26"/>
      <c r="Y218" s="26"/>
      <c r="Z218" s="26"/>
    </row>
    <row r="219" spans="21:26" ht="15.75" x14ac:dyDescent="0.25">
      <c r="U219" s="107"/>
      <c r="V219" s="107"/>
      <c r="W219" s="107"/>
      <c r="X219" s="26"/>
      <c r="Y219" s="26"/>
      <c r="Z219" s="26"/>
    </row>
    <row r="220" spans="21:26" ht="15.75" x14ac:dyDescent="0.25">
      <c r="U220" s="107"/>
      <c r="V220" s="107"/>
      <c r="W220" s="107"/>
      <c r="X220" s="26"/>
      <c r="Y220" s="26"/>
      <c r="Z220" s="26"/>
    </row>
    <row r="221" spans="21:26" ht="15.75" x14ac:dyDescent="0.25">
      <c r="U221" s="107"/>
      <c r="V221" s="107"/>
      <c r="W221" s="107"/>
      <c r="X221" s="26"/>
      <c r="Y221" s="26"/>
      <c r="Z221" s="26"/>
    </row>
    <row r="222" spans="21:26" ht="15.75" x14ac:dyDescent="0.25">
      <c r="U222" s="107"/>
      <c r="V222" s="107"/>
      <c r="W222" s="107"/>
      <c r="X222" s="26"/>
      <c r="Y222" s="26"/>
      <c r="Z222" s="26"/>
    </row>
    <row r="223" spans="21:26" ht="15.75" x14ac:dyDescent="0.25">
      <c r="U223" s="107"/>
      <c r="V223" s="107"/>
      <c r="W223" s="107"/>
      <c r="X223" s="26"/>
      <c r="Y223" s="26"/>
      <c r="Z223" s="26"/>
    </row>
    <row r="224" spans="21:26" ht="15.75" x14ac:dyDescent="0.25">
      <c r="U224" s="107"/>
      <c r="V224" s="107"/>
      <c r="W224" s="107"/>
      <c r="X224" s="26"/>
      <c r="Y224" s="26"/>
      <c r="Z224" s="26"/>
    </row>
    <row r="225" spans="21:26" ht="15.75" x14ac:dyDescent="0.25">
      <c r="U225" s="107"/>
      <c r="V225" s="107"/>
      <c r="W225" s="107"/>
      <c r="X225" s="26"/>
      <c r="Y225" s="26"/>
      <c r="Z225" s="26"/>
    </row>
    <row r="226" spans="21:26" ht="15.75" x14ac:dyDescent="0.25">
      <c r="U226" s="107"/>
      <c r="V226" s="107"/>
      <c r="W226" s="107"/>
      <c r="X226" s="26"/>
      <c r="Y226" s="26"/>
      <c r="Z226" s="26"/>
    </row>
    <row r="227" spans="21:26" ht="15.75" x14ac:dyDescent="0.25">
      <c r="U227" s="107"/>
      <c r="V227" s="107"/>
      <c r="W227" s="107"/>
      <c r="X227" s="26"/>
      <c r="Y227" s="26"/>
      <c r="Z227" s="26"/>
    </row>
    <row r="228" spans="21:26" ht="15.75" x14ac:dyDescent="0.25">
      <c r="U228" s="107"/>
      <c r="V228" s="107"/>
      <c r="W228" s="107"/>
      <c r="X228" s="26"/>
      <c r="Y228" s="26"/>
      <c r="Z228" s="26"/>
    </row>
    <row r="229" spans="21:26" ht="15.75" x14ac:dyDescent="0.25">
      <c r="U229" s="107"/>
      <c r="V229" s="107"/>
      <c r="W229" s="107"/>
      <c r="X229" s="26"/>
      <c r="Y229" s="26"/>
      <c r="Z229" s="26"/>
    </row>
    <row r="230" spans="21:26" ht="15.75" x14ac:dyDescent="0.25">
      <c r="U230" s="107"/>
      <c r="V230" s="107"/>
      <c r="W230" s="107"/>
      <c r="X230" s="26"/>
      <c r="Y230" s="26"/>
      <c r="Z230" s="26"/>
    </row>
    <row r="231" spans="21:26" ht="15.75" x14ac:dyDescent="0.25">
      <c r="U231" s="107"/>
      <c r="V231" s="107"/>
      <c r="W231" s="107"/>
      <c r="X231" s="26"/>
      <c r="Y231" s="26"/>
      <c r="Z231" s="26"/>
    </row>
    <row r="232" spans="21:26" ht="15.75" x14ac:dyDescent="0.25">
      <c r="U232" s="107"/>
      <c r="V232" s="107"/>
      <c r="W232" s="107"/>
      <c r="X232" s="26"/>
      <c r="Y232" s="26"/>
      <c r="Z232" s="26"/>
    </row>
    <row r="233" spans="21:26" ht="15.75" x14ac:dyDescent="0.25">
      <c r="U233" s="107"/>
      <c r="V233" s="107"/>
      <c r="W233" s="107"/>
      <c r="X233" s="26"/>
      <c r="Y233" s="26"/>
      <c r="Z233" s="26"/>
    </row>
    <row r="234" spans="21:26" ht="15.75" x14ac:dyDescent="0.25">
      <c r="U234" s="107"/>
      <c r="V234" s="107"/>
      <c r="W234" s="107"/>
      <c r="X234" s="26"/>
      <c r="Y234" s="26"/>
      <c r="Z234" s="26"/>
    </row>
    <row r="235" spans="21:26" ht="15.75" x14ac:dyDescent="0.25">
      <c r="U235" s="107"/>
      <c r="V235" s="107"/>
      <c r="W235" s="107"/>
      <c r="X235" s="26"/>
      <c r="Y235" s="26"/>
      <c r="Z235" s="26"/>
    </row>
    <row r="236" spans="21:26" ht="15.75" x14ac:dyDescent="0.25">
      <c r="U236" s="107"/>
      <c r="V236" s="107"/>
      <c r="W236" s="107"/>
      <c r="X236" s="26"/>
      <c r="Y236" s="26"/>
      <c r="Z236" s="26"/>
    </row>
    <row r="237" spans="21:26" ht="15.75" x14ac:dyDescent="0.25">
      <c r="U237" s="107"/>
      <c r="V237" s="107"/>
      <c r="W237" s="107"/>
      <c r="X237" s="26"/>
      <c r="Y237" s="26"/>
      <c r="Z237" s="26"/>
    </row>
    <row r="238" spans="21:26" ht="15.75" x14ac:dyDescent="0.25">
      <c r="U238" s="107"/>
      <c r="V238" s="107"/>
      <c r="W238" s="107"/>
      <c r="X238" s="26"/>
      <c r="Y238" s="26"/>
      <c r="Z238" s="26"/>
    </row>
    <row r="239" spans="21:26" ht="15.75" x14ac:dyDescent="0.25">
      <c r="U239" s="107"/>
      <c r="V239" s="107"/>
      <c r="W239" s="107"/>
      <c r="X239" s="26"/>
      <c r="Y239" s="26"/>
      <c r="Z239" s="26"/>
    </row>
    <row r="240" spans="21:26" ht="15.75" x14ac:dyDescent="0.25">
      <c r="U240" s="107"/>
      <c r="V240" s="107"/>
      <c r="W240" s="107"/>
      <c r="X240" s="26"/>
      <c r="Y240" s="26"/>
      <c r="Z240" s="26"/>
    </row>
    <row r="241" spans="21:26" ht="15.75" x14ac:dyDescent="0.25">
      <c r="U241" s="107"/>
      <c r="V241" s="107"/>
      <c r="W241" s="107"/>
      <c r="X241" s="26"/>
      <c r="Y241" s="26"/>
      <c r="Z241" s="26"/>
    </row>
    <row r="242" spans="21:26" ht="15.75" x14ac:dyDescent="0.25">
      <c r="U242" s="107"/>
      <c r="V242" s="107"/>
      <c r="W242" s="107"/>
      <c r="X242" s="26"/>
      <c r="Y242" s="26"/>
      <c r="Z242" s="26"/>
    </row>
    <row r="243" spans="21:26" ht="15.75" x14ac:dyDescent="0.25">
      <c r="U243" s="107"/>
      <c r="V243" s="107"/>
      <c r="W243" s="107"/>
      <c r="X243" s="26"/>
      <c r="Y243" s="26"/>
      <c r="Z243" s="26"/>
    </row>
    <row r="244" spans="21:26" ht="15.75" x14ac:dyDescent="0.25">
      <c r="U244" s="107"/>
      <c r="V244" s="107"/>
      <c r="W244" s="107"/>
      <c r="X244" s="26"/>
      <c r="Y244" s="26"/>
      <c r="Z244" s="26"/>
    </row>
    <row r="245" spans="21:26" ht="15.75" x14ac:dyDescent="0.25">
      <c r="U245" s="107"/>
      <c r="V245" s="107"/>
      <c r="W245" s="107"/>
      <c r="X245" s="26"/>
      <c r="Y245" s="26"/>
      <c r="Z245" s="26"/>
    </row>
    <row r="246" spans="21:26" ht="15.75" x14ac:dyDescent="0.25">
      <c r="U246" s="107"/>
      <c r="V246" s="107"/>
      <c r="W246" s="107"/>
      <c r="X246" s="26"/>
      <c r="Y246" s="26"/>
      <c r="Z246" s="26"/>
    </row>
    <row r="247" spans="21:26" ht="15.75" x14ac:dyDescent="0.25">
      <c r="U247" s="107"/>
      <c r="V247" s="107"/>
      <c r="W247" s="107"/>
      <c r="X247" s="26"/>
      <c r="Y247" s="26"/>
      <c r="Z247" s="26"/>
    </row>
    <row r="248" spans="21:26" ht="15.75" x14ac:dyDescent="0.25">
      <c r="U248" s="107"/>
      <c r="V248" s="107"/>
      <c r="W248" s="107"/>
      <c r="X248" s="26"/>
      <c r="Y248" s="26"/>
      <c r="Z248" s="26"/>
    </row>
    <row r="249" spans="21:26" ht="15.75" x14ac:dyDescent="0.25">
      <c r="U249" s="107"/>
      <c r="V249" s="107"/>
      <c r="W249" s="107"/>
      <c r="X249" s="26"/>
      <c r="Y249" s="26"/>
      <c r="Z249" s="26"/>
    </row>
    <row r="250" spans="21:26" ht="15.75" x14ac:dyDescent="0.25">
      <c r="U250" s="107"/>
      <c r="V250" s="107"/>
      <c r="W250" s="107"/>
      <c r="X250" s="26"/>
      <c r="Y250" s="26"/>
      <c r="Z250" s="26"/>
    </row>
    <row r="251" spans="21:26" ht="15.75" x14ac:dyDescent="0.25">
      <c r="U251" s="107"/>
      <c r="V251" s="107"/>
      <c r="W251" s="107"/>
      <c r="X251" s="26"/>
      <c r="Y251" s="26"/>
      <c r="Z251" s="26"/>
    </row>
    <row r="252" spans="21:26" ht="15.75" x14ac:dyDescent="0.25">
      <c r="U252" s="107"/>
      <c r="V252" s="107"/>
      <c r="W252" s="107"/>
      <c r="X252" s="26"/>
      <c r="Y252" s="26"/>
      <c r="Z252" s="26"/>
    </row>
    <row r="253" spans="21:26" ht="15.75" x14ac:dyDescent="0.25">
      <c r="U253" s="107"/>
      <c r="V253" s="107"/>
      <c r="W253" s="107"/>
      <c r="X253" s="26"/>
      <c r="Y253" s="26"/>
      <c r="Z253" s="26"/>
    </row>
    <row r="254" spans="21:26" ht="15.75" x14ac:dyDescent="0.25">
      <c r="U254" s="107"/>
      <c r="V254" s="107"/>
      <c r="W254" s="107"/>
      <c r="X254" s="26"/>
      <c r="Y254" s="26"/>
      <c r="Z254" s="26"/>
    </row>
    <row r="255" spans="21:26" ht="15.75" x14ac:dyDescent="0.25">
      <c r="U255" s="107"/>
      <c r="V255" s="107"/>
      <c r="W255" s="107"/>
      <c r="X255" s="26"/>
      <c r="Y255" s="26"/>
      <c r="Z255" s="26"/>
    </row>
    <row r="256" spans="21:26" ht="15.75" x14ac:dyDescent="0.25">
      <c r="U256" s="107"/>
      <c r="V256" s="107"/>
      <c r="W256" s="107"/>
      <c r="X256" s="26"/>
      <c r="Y256" s="26"/>
      <c r="Z256" s="26"/>
    </row>
    <row r="257" spans="21:26" ht="15.75" x14ac:dyDescent="0.25">
      <c r="U257" s="107"/>
      <c r="V257" s="107"/>
      <c r="W257" s="107"/>
      <c r="X257" s="26"/>
      <c r="Y257" s="26"/>
      <c r="Z257" s="26"/>
    </row>
    <row r="258" spans="21:26" ht="15.75" x14ac:dyDescent="0.25">
      <c r="U258" s="107"/>
      <c r="V258" s="107"/>
      <c r="W258" s="107"/>
      <c r="X258" s="26"/>
      <c r="Y258" s="26"/>
      <c r="Z258" s="26"/>
    </row>
    <row r="259" spans="21:26" ht="15.75" x14ac:dyDescent="0.25">
      <c r="U259" s="107"/>
      <c r="V259" s="107"/>
      <c r="W259" s="107"/>
      <c r="X259" s="26"/>
      <c r="Y259" s="26"/>
      <c r="Z259" s="26"/>
    </row>
    <row r="260" spans="21:26" ht="15.75" x14ac:dyDescent="0.25">
      <c r="U260" s="107"/>
      <c r="V260" s="107"/>
      <c r="W260" s="107"/>
      <c r="X260" s="26"/>
      <c r="Y260" s="26"/>
      <c r="Z260" s="26"/>
    </row>
    <row r="261" spans="21:26" ht="15.75" x14ac:dyDescent="0.25">
      <c r="U261" s="107"/>
      <c r="V261" s="107"/>
      <c r="W261" s="107"/>
      <c r="X261" s="26"/>
      <c r="Y261" s="26"/>
      <c r="Z261" s="26"/>
    </row>
    <row r="262" spans="21:26" ht="15.75" x14ac:dyDescent="0.25">
      <c r="U262" s="107"/>
      <c r="V262" s="107"/>
      <c r="W262" s="107"/>
      <c r="X262" s="26"/>
      <c r="Y262" s="26"/>
      <c r="Z262" s="26"/>
    </row>
    <row r="263" spans="21:26" ht="15.75" x14ac:dyDescent="0.25">
      <c r="U263" s="107"/>
      <c r="V263" s="107"/>
      <c r="W263" s="107"/>
      <c r="X263" s="26"/>
      <c r="Y263" s="26"/>
      <c r="Z263" s="26"/>
    </row>
    <row r="264" spans="21:26" ht="15.75" x14ac:dyDescent="0.25">
      <c r="U264" s="107"/>
      <c r="V264" s="107"/>
      <c r="W264" s="107"/>
      <c r="X264" s="26"/>
      <c r="Y264" s="26"/>
      <c r="Z264" s="26"/>
    </row>
    <row r="265" spans="21:26" ht="15.75" x14ac:dyDescent="0.25">
      <c r="U265" s="107"/>
      <c r="V265" s="107"/>
      <c r="W265" s="107"/>
      <c r="X265" s="26"/>
      <c r="Y265" s="26"/>
      <c r="Z265" s="26"/>
    </row>
    <row r="266" spans="21:26" ht="15.75" x14ac:dyDescent="0.25">
      <c r="U266" s="107"/>
      <c r="V266" s="107"/>
      <c r="W266" s="107"/>
      <c r="X266" s="26"/>
      <c r="Y266" s="26"/>
      <c r="Z266" s="26"/>
    </row>
    <row r="267" spans="21:26" ht="15.75" x14ac:dyDescent="0.25">
      <c r="U267" s="107"/>
      <c r="V267" s="107"/>
      <c r="W267" s="107"/>
      <c r="X267" s="26"/>
      <c r="Y267" s="26"/>
      <c r="Z267" s="26"/>
    </row>
    <row r="268" spans="21:26" ht="15.75" x14ac:dyDescent="0.25">
      <c r="U268" s="107"/>
      <c r="V268" s="107"/>
      <c r="W268" s="107"/>
      <c r="X268" s="26"/>
      <c r="Y268" s="26"/>
      <c r="Z268" s="26"/>
    </row>
    <row r="269" spans="21:26" ht="15.75" x14ac:dyDescent="0.25">
      <c r="U269" s="107"/>
      <c r="V269" s="107"/>
      <c r="W269" s="107"/>
      <c r="X269" s="26"/>
      <c r="Y269" s="26"/>
      <c r="Z269" s="26"/>
    </row>
    <row r="270" spans="21:26" ht="15.75" x14ac:dyDescent="0.25">
      <c r="U270" s="107"/>
      <c r="V270" s="107"/>
      <c r="W270" s="107"/>
      <c r="X270" s="26"/>
      <c r="Y270" s="26"/>
      <c r="Z270" s="26"/>
    </row>
    <row r="271" spans="21:26" ht="15.75" x14ac:dyDescent="0.25">
      <c r="U271" s="107"/>
      <c r="V271" s="107"/>
      <c r="W271" s="107"/>
      <c r="X271" s="26"/>
      <c r="Y271" s="26"/>
      <c r="Z271" s="26"/>
    </row>
    <row r="272" spans="21:26" ht="15.75" x14ac:dyDescent="0.25">
      <c r="U272" s="107"/>
      <c r="V272" s="107"/>
      <c r="W272" s="107"/>
      <c r="X272" s="26"/>
      <c r="Y272" s="26"/>
      <c r="Z272" s="26"/>
    </row>
    <row r="273" spans="21:26" ht="15.75" x14ac:dyDescent="0.25">
      <c r="U273" s="107"/>
      <c r="V273" s="107"/>
      <c r="W273" s="107"/>
      <c r="X273" s="26"/>
      <c r="Y273" s="26"/>
      <c r="Z273" s="26"/>
    </row>
    <row r="274" spans="21:26" ht="15.75" x14ac:dyDescent="0.25">
      <c r="U274" s="107"/>
      <c r="V274" s="107"/>
      <c r="W274" s="107"/>
      <c r="X274" s="26"/>
      <c r="Y274" s="26"/>
      <c r="Z274" s="26"/>
    </row>
    <row r="275" spans="21:26" ht="15.75" x14ac:dyDescent="0.25">
      <c r="U275" s="107"/>
      <c r="V275" s="107"/>
      <c r="W275" s="107"/>
      <c r="X275" s="26"/>
      <c r="Y275" s="26"/>
      <c r="Z275" s="26"/>
    </row>
    <row r="276" spans="21:26" ht="15.75" x14ac:dyDescent="0.25">
      <c r="U276" s="107"/>
      <c r="V276" s="107"/>
      <c r="W276" s="107"/>
      <c r="X276" s="26"/>
      <c r="Y276" s="26"/>
      <c r="Z276" s="26"/>
    </row>
    <row r="277" spans="21:26" ht="15.75" x14ac:dyDescent="0.25">
      <c r="U277" s="107"/>
      <c r="V277" s="107"/>
      <c r="W277" s="107"/>
      <c r="X277" s="26"/>
      <c r="Y277" s="26"/>
      <c r="Z277" s="26"/>
    </row>
    <row r="278" spans="21:26" ht="15.75" x14ac:dyDescent="0.25">
      <c r="U278" s="107"/>
      <c r="V278" s="107"/>
      <c r="W278" s="107"/>
      <c r="X278" s="26"/>
      <c r="Y278" s="26"/>
      <c r="Z278" s="26"/>
    </row>
    <row r="279" spans="21:26" ht="15.75" x14ac:dyDescent="0.25">
      <c r="U279" s="107"/>
      <c r="V279" s="107"/>
      <c r="W279" s="107"/>
      <c r="X279" s="26"/>
      <c r="Y279" s="26"/>
      <c r="Z279" s="26"/>
    </row>
    <row r="280" spans="21:26" ht="15.75" x14ac:dyDescent="0.25">
      <c r="U280" s="107"/>
      <c r="V280" s="107"/>
      <c r="W280" s="107"/>
      <c r="X280" s="26"/>
      <c r="Y280" s="26"/>
      <c r="Z280" s="26"/>
    </row>
    <row r="281" spans="21:26" ht="15.75" x14ac:dyDescent="0.25">
      <c r="U281" s="107"/>
      <c r="V281" s="107"/>
      <c r="W281" s="107"/>
      <c r="X281" s="26"/>
      <c r="Y281" s="26"/>
      <c r="Z281" s="26"/>
    </row>
    <row r="282" spans="21:26" ht="15.75" x14ac:dyDescent="0.25">
      <c r="U282" s="107"/>
      <c r="V282" s="107"/>
      <c r="W282" s="107"/>
      <c r="X282" s="26"/>
      <c r="Y282" s="26"/>
      <c r="Z282" s="26"/>
    </row>
    <row r="283" spans="21:26" ht="15.75" x14ac:dyDescent="0.25">
      <c r="U283" s="107"/>
      <c r="V283" s="107"/>
      <c r="W283" s="107"/>
      <c r="X283" s="26"/>
      <c r="Y283" s="26"/>
      <c r="Z283" s="26"/>
    </row>
    <row r="284" spans="21:26" ht="15.75" x14ac:dyDescent="0.25">
      <c r="U284" s="107"/>
      <c r="V284" s="107"/>
      <c r="W284" s="107"/>
      <c r="X284" s="26"/>
      <c r="Y284" s="26"/>
      <c r="Z284" s="26"/>
    </row>
    <row r="285" spans="21:26" ht="15.75" x14ac:dyDescent="0.25">
      <c r="U285" s="107"/>
      <c r="V285" s="107"/>
      <c r="W285" s="107"/>
      <c r="X285" s="26"/>
      <c r="Y285" s="26"/>
      <c r="Z285" s="26"/>
    </row>
    <row r="286" spans="21:26" ht="15.75" x14ac:dyDescent="0.25">
      <c r="U286" s="107"/>
      <c r="V286" s="107"/>
      <c r="W286" s="107"/>
      <c r="X286" s="26"/>
      <c r="Y286" s="26"/>
      <c r="Z286" s="26"/>
    </row>
    <row r="287" spans="21:26" ht="15.75" x14ac:dyDescent="0.25">
      <c r="U287" s="107"/>
      <c r="V287" s="107"/>
      <c r="W287" s="107"/>
      <c r="X287" s="26"/>
      <c r="Y287" s="26"/>
      <c r="Z287" s="26"/>
    </row>
    <row r="288" spans="21:26" ht="15.75" x14ac:dyDescent="0.25">
      <c r="U288" s="107"/>
      <c r="V288" s="107"/>
      <c r="W288" s="107"/>
      <c r="X288" s="26"/>
      <c r="Y288" s="26"/>
      <c r="Z288" s="26"/>
    </row>
    <row r="289" spans="21:26" ht="15.75" x14ac:dyDescent="0.25">
      <c r="U289" s="107"/>
      <c r="V289" s="107"/>
      <c r="W289" s="107"/>
      <c r="X289" s="26"/>
      <c r="Y289" s="26"/>
      <c r="Z289" s="26"/>
    </row>
    <row r="290" spans="21:26" ht="15.75" x14ac:dyDescent="0.25">
      <c r="U290" s="107"/>
      <c r="V290" s="107"/>
      <c r="W290" s="107"/>
      <c r="X290" s="26"/>
      <c r="Y290" s="26"/>
      <c r="Z290" s="26"/>
    </row>
    <row r="291" spans="21:26" ht="15.75" x14ac:dyDescent="0.25">
      <c r="U291" s="107"/>
      <c r="V291" s="107"/>
      <c r="W291" s="107"/>
      <c r="X291" s="26"/>
      <c r="Y291" s="26"/>
      <c r="Z291" s="26"/>
    </row>
    <row r="292" spans="21:26" ht="15.75" x14ac:dyDescent="0.25">
      <c r="U292" s="107"/>
      <c r="V292" s="107"/>
      <c r="W292" s="107"/>
      <c r="X292" s="26"/>
      <c r="Y292" s="26"/>
      <c r="Z292" s="26"/>
    </row>
    <row r="293" spans="21:26" ht="15.75" x14ac:dyDescent="0.25">
      <c r="U293" s="107"/>
      <c r="V293" s="107"/>
      <c r="W293" s="107"/>
      <c r="X293" s="26"/>
      <c r="Y293" s="26"/>
      <c r="Z293" s="26"/>
    </row>
    <row r="294" spans="21:26" ht="15.75" x14ac:dyDescent="0.25">
      <c r="U294" s="107"/>
      <c r="V294" s="107"/>
      <c r="W294" s="107"/>
      <c r="X294" s="26"/>
      <c r="Y294" s="26"/>
      <c r="Z294" s="26"/>
    </row>
    <row r="295" spans="21:26" ht="15.75" x14ac:dyDescent="0.25">
      <c r="U295" s="107"/>
      <c r="V295" s="107"/>
      <c r="W295" s="107"/>
      <c r="X295" s="26"/>
      <c r="Y295" s="26"/>
      <c r="Z295" s="26"/>
    </row>
    <row r="296" spans="21:26" ht="15.75" x14ac:dyDescent="0.25">
      <c r="U296" s="107"/>
      <c r="V296" s="107"/>
      <c r="W296" s="107"/>
      <c r="X296" s="26"/>
      <c r="Y296" s="26"/>
      <c r="Z296" s="26"/>
    </row>
    <row r="297" spans="21:26" ht="15.75" x14ac:dyDescent="0.25">
      <c r="U297" s="107"/>
      <c r="V297" s="107"/>
      <c r="W297" s="107"/>
      <c r="X297" s="26"/>
      <c r="Y297" s="26"/>
      <c r="Z297" s="26"/>
    </row>
    <row r="298" spans="21:26" ht="15.75" x14ac:dyDescent="0.25">
      <c r="U298" s="107"/>
      <c r="V298" s="107"/>
      <c r="W298" s="107"/>
      <c r="X298" s="26"/>
      <c r="Y298" s="26"/>
      <c r="Z298" s="26"/>
    </row>
    <row r="299" spans="21:26" ht="15.75" x14ac:dyDescent="0.25">
      <c r="U299" s="107"/>
      <c r="V299" s="107"/>
      <c r="W299" s="107"/>
      <c r="X299" s="26"/>
      <c r="Y299" s="26"/>
      <c r="Z299" s="26"/>
    </row>
    <row r="300" spans="21:26" ht="15.75" x14ac:dyDescent="0.25">
      <c r="U300" s="107"/>
      <c r="V300" s="107"/>
      <c r="W300" s="107"/>
      <c r="X300" s="26"/>
      <c r="Y300" s="26"/>
      <c r="Z300" s="26"/>
    </row>
    <row r="301" spans="21:26" ht="15.75" x14ac:dyDescent="0.25">
      <c r="U301" s="107"/>
      <c r="V301" s="107"/>
      <c r="W301" s="107"/>
      <c r="X301" s="26"/>
      <c r="Y301" s="26"/>
      <c r="Z301" s="26"/>
    </row>
    <row r="302" spans="21:26" ht="15.75" x14ac:dyDescent="0.25">
      <c r="U302" s="107"/>
      <c r="V302" s="107"/>
      <c r="W302" s="107"/>
      <c r="X302" s="26"/>
      <c r="Y302" s="26"/>
      <c r="Z302" s="26"/>
    </row>
    <row r="303" spans="21:26" ht="15.75" x14ac:dyDescent="0.25">
      <c r="U303" s="107"/>
      <c r="V303" s="107"/>
      <c r="W303" s="107"/>
      <c r="X303" s="26"/>
      <c r="Y303" s="26"/>
      <c r="Z303" s="26"/>
    </row>
    <row r="304" spans="21:26" ht="15.75" x14ac:dyDescent="0.25">
      <c r="U304" s="107"/>
      <c r="V304" s="107"/>
      <c r="W304" s="107"/>
      <c r="X304" s="26"/>
      <c r="Y304" s="26"/>
      <c r="Z304" s="26"/>
    </row>
    <row r="305" spans="21:26" ht="15.75" x14ac:dyDescent="0.25">
      <c r="U305" s="107"/>
      <c r="V305" s="107"/>
      <c r="W305" s="107"/>
      <c r="X305" s="26"/>
      <c r="Y305" s="26"/>
      <c r="Z305" s="26"/>
    </row>
    <row r="306" spans="21:26" ht="15.75" x14ac:dyDescent="0.25">
      <c r="U306" s="107"/>
      <c r="V306" s="107"/>
      <c r="W306" s="107"/>
      <c r="X306" s="26"/>
      <c r="Y306" s="26"/>
      <c r="Z306" s="26"/>
    </row>
    <row r="307" spans="21:26" ht="15.75" x14ac:dyDescent="0.25">
      <c r="U307" s="107"/>
      <c r="V307" s="107"/>
      <c r="W307" s="107"/>
      <c r="X307" s="26"/>
      <c r="Y307" s="26"/>
      <c r="Z307" s="26"/>
    </row>
    <row r="308" spans="21:26" ht="15.75" x14ac:dyDescent="0.25">
      <c r="U308" s="107"/>
      <c r="V308" s="107"/>
      <c r="W308" s="107"/>
      <c r="X308" s="26"/>
      <c r="Y308" s="26"/>
      <c r="Z308" s="26"/>
    </row>
    <row r="309" spans="21:26" ht="15.75" x14ac:dyDescent="0.25">
      <c r="U309" s="107"/>
      <c r="V309" s="107"/>
      <c r="W309" s="107"/>
      <c r="X309" s="26"/>
      <c r="Y309" s="26"/>
      <c r="Z309" s="26"/>
    </row>
    <row r="310" spans="21:26" ht="15.75" x14ac:dyDescent="0.25">
      <c r="U310" s="107"/>
      <c r="V310" s="107"/>
      <c r="W310" s="107"/>
      <c r="X310" s="26"/>
      <c r="Y310" s="26"/>
      <c r="Z310" s="26"/>
    </row>
    <row r="311" spans="21:26" ht="15.75" x14ac:dyDescent="0.25">
      <c r="U311" s="107"/>
      <c r="V311" s="107"/>
      <c r="W311" s="107"/>
      <c r="X311" s="26"/>
      <c r="Y311" s="26"/>
      <c r="Z311" s="26"/>
    </row>
    <row r="312" spans="21:26" ht="15.75" x14ac:dyDescent="0.25">
      <c r="U312" s="107"/>
      <c r="V312" s="107"/>
      <c r="W312" s="107"/>
      <c r="X312" s="26"/>
      <c r="Y312" s="26"/>
      <c r="Z312" s="26"/>
    </row>
    <row r="313" spans="21:26" ht="15.75" x14ac:dyDescent="0.25">
      <c r="U313" s="107"/>
      <c r="V313" s="107"/>
      <c r="W313" s="107"/>
      <c r="X313" s="26"/>
      <c r="Y313" s="26"/>
      <c r="Z313" s="26"/>
    </row>
    <row r="314" spans="21:26" ht="15.75" x14ac:dyDescent="0.25">
      <c r="U314" s="107"/>
      <c r="V314" s="107"/>
      <c r="W314" s="107"/>
      <c r="X314" s="26"/>
      <c r="Y314" s="26"/>
      <c r="Z314" s="26"/>
    </row>
    <row r="315" spans="21:26" ht="15.75" x14ac:dyDescent="0.25">
      <c r="U315" s="107"/>
      <c r="V315" s="107"/>
      <c r="W315" s="107"/>
      <c r="X315" s="26"/>
      <c r="Y315" s="26"/>
      <c r="Z315" s="26"/>
    </row>
    <row r="316" spans="21:26" ht="15.75" x14ac:dyDescent="0.25">
      <c r="U316" s="107"/>
      <c r="V316" s="107"/>
      <c r="W316" s="107"/>
      <c r="X316" s="26"/>
      <c r="Y316" s="26"/>
      <c r="Z316" s="26"/>
    </row>
    <row r="317" spans="21:26" ht="15.75" x14ac:dyDescent="0.25">
      <c r="U317" s="107"/>
      <c r="V317" s="107"/>
      <c r="W317" s="107"/>
      <c r="X317" s="26"/>
      <c r="Y317" s="26"/>
      <c r="Z317" s="26"/>
    </row>
    <row r="318" spans="21:26" ht="15.75" x14ac:dyDescent="0.25">
      <c r="U318" s="107"/>
      <c r="V318" s="107"/>
      <c r="W318" s="107"/>
      <c r="X318" s="26"/>
      <c r="Y318" s="26"/>
      <c r="Z318" s="26"/>
    </row>
    <row r="319" spans="21:26" ht="15.75" x14ac:dyDescent="0.25">
      <c r="U319" s="107"/>
      <c r="V319" s="107"/>
      <c r="W319" s="107"/>
      <c r="X319" s="26"/>
      <c r="Y319" s="26"/>
      <c r="Z319" s="26"/>
    </row>
    <row r="320" spans="21:26" ht="15.75" x14ac:dyDescent="0.25">
      <c r="U320" s="107"/>
      <c r="V320" s="107"/>
      <c r="W320" s="107"/>
      <c r="X320" s="26"/>
      <c r="Y320" s="26"/>
      <c r="Z320" s="26"/>
    </row>
    <row r="321" spans="21:26" ht="15.75" x14ac:dyDescent="0.25">
      <c r="U321" s="107"/>
      <c r="V321" s="107"/>
      <c r="W321" s="107"/>
      <c r="X321" s="26"/>
      <c r="Y321" s="26"/>
      <c r="Z321" s="26"/>
    </row>
    <row r="322" spans="21:26" ht="15.75" x14ac:dyDescent="0.25">
      <c r="U322" s="107"/>
      <c r="V322" s="107"/>
      <c r="W322" s="107"/>
      <c r="X322" s="26"/>
      <c r="Y322" s="26"/>
      <c r="Z322" s="26"/>
    </row>
    <row r="323" spans="21:26" ht="15.75" x14ac:dyDescent="0.25">
      <c r="U323" s="107"/>
      <c r="V323" s="107"/>
      <c r="W323" s="107"/>
      <c r="X323" s="26"/>
      <c r="Y323" s="26"/>
      <c r="Z323" s="26"/>
    </row>
    <row r="324" spans="21:26" ht="15.75" x14ac:dyDescent="0.25">
      <c r="U324" s="107"/>
      <c r="V324" s="107"/>
      <c r="W324" s="107"/>
      <c r="X324" s="26"/>
      <c r="Y324" s="26"/>
      <c r="Z324" s="26"/>
    </row>
    <row r="325" spans="21:26" ht="15.75" x14ac:dyDescent="0.25">
      <c r="U325" s="107"/>
      <c r="V325" s="107"/>
      <c r="W325" s="107"/>
      <c r="X325" s="26"/>
      <c r="Y325" s="26"/>
      <c r="Z325" s="26"/>
    </row>
    <row r="326" spans="21:26" ht="15.75" x14ac:dyDescent="0.25">
      <c r="U326" s="107"/>
      <c r="V326" s="107"/>
      <c r="W326" s="107"/>
      <c r="X326" s="26"/>
      <c r="Y326" s="26"/>
      <c r="Z326" s="26"/>
    </row>
    <row r="327" spans="21:26" ht="15.75" x14ac:dyDescent="0.25">
      <c r="U327" s="107"/>
      <c r="V327" s="107"/>
      <c r="W327" s="107"/>
      <c r="X327" s="26"/>
      <c r="Y327" s="26"/>
      <c r="Z327" s="26"/>
    </row>
    <row r="328" spans="21:26" ht="15.75" x14ac:dyDescent="0.25">
      <c r="U328" s="107"/>
      <c r="V328" s="107"/>
      <c r="W328" s="107"/>
      <c r="X328" s="26"/>
      <c r="Y328" s="26"/>
      <c r="Z328" s="26"/>
    </row>
    <row r="329" spans="21:26" ht="15.75" x14ac:dyDescent="0.25">
      <c r="U329" s="107"/>
      <c r="V329" s="107"/>
      <c r="W329" s="107"/>
      <c r="X329" s="26"/>
      <c r="Y329" s="26"/>
      <c r="Z329" s="26"/>
    </row>
    <row r="330" spans="21:26" ht="15.75" x14ac:dyDescent="0.25">
      <c r="U330" s="107"/>
      <c r="V330" s="107"/>
      <c r="W330" s="107"/>
      <c r="X330" s="26"/>
      <c r="Y330" s="26"/>
      <c r="Z330" s="26"/>
    </row>
    <row r="331" spans="21:26" ht="15.75" x14ac:dyDescent="0.25">
      <c r="U331" s="107"/>
      <c r="V331" s="107"/>
      <c r="W331" s="107"/>
      <c r="X331" s="26"/>
      <c r="Y331" s="26"/>
      <c r="Z331" s="26"/>
    </row>
    <row r="332" spans="21:26" ht="15.75" x14ac:dyDescent="0.25">
      <c r="U332" s="107"/>
      <c r="V332" s="107"/>
      <c r="W332" s="107"/>
      <c r="X332" s="26"/>
      <c r="Y332" s="26"/>
      <c r="Z332" s="26"/>
    </row>
    <row r="333" spans="21:26" ht="15.75" x14ac:dyDescent="0.25">
      <c r="U333" s="107"/>
      <c r="V333" s="107"/>
      <c r="W333" s="107"/>
      <c r="X333" s="26"/>
      <c r="Y333" s="26"/>
      <c r="Z333" s="26"/>
    </row>
    <row r="334" spans="21:26" ht="15.75" x14ac:dyDescent="0.25">
      <c r="U334" s="107"/>
      <c r="V334" s="107"/>
      <c r="W334" s="107"/>
      <c r="X334" s="26"/>
      <c r="Y334" s="26"/>
      <c r="Z334" s="26"/>
    </row>
    <row r="335" spans="21:26" ht="15.75" x14ac:dyDescent="0.25">
      <c r="U335" s="107"/>
      <c r="V335" s="107"/>
      <c r="W335" s="107"/>
      <c r="X335" s="26"/>
      <c r="Y335" s="26"/>
      <c r="Z335" s="26"/>
    </row>
    <row r="336" spans="21:26" ht="15.75" x14ac:dyDescent="0.25">
      <c r="U336" s="107"/>
      <c r="V336" s="107"/>
      <c r="W336" s="107"/>
      <c r="X336" s="26"/>
      <c r="Y336" s="26"/>
      <c r="Z336" s="26"/>
    </row>
    <row r="337" spans="21:26" ht="15.75" x14ac:dyDescent="0.25">
      <c r="U337" s="107"/>
      <c r="V337" s="107"/>
      <c r="W337" s="107"/>
      <c r="X337" s="26"/>
      <c r="Y337" s="26"/>
      <c r="Z337" s="26"/>
    </row>
    <row r="338" spans="21:26" ht="15.75" x14ac:dyDescent="0.25">
      <c r="U338" s="107"/>
      <c r="V338" s="107"/>
      <c r="W338" s="107"/>
      <c r="X338" s="26"/>
      <c r="Y338" s="26"/>
      <c r="Z338" s="26"/>
    </row>
    <row r="339" spans="21:26" ht="15.75" x14ac:dyDescent="0.25">
      <c r="U339" s="107"/>
      <c r="V339" s="107"/>
      <c r="W339" s="107"/>
      <c r="X339" s="26"/>
      <c r="Y339" s="26"/>
      <c r="Z339" s="26"/>
    </row>
    <row r="340" spans="21:26" ht="15.75" x14ac:dyDescent="0.25">
      <c r="U340" s="107"/>
      <c r="V340" s="107"/>
      <c r="W340" s="107"/>
      <c r="X340" s="26"/>
      <c r="Y340" s="26"/>
      <c r="Z340" s="26"/>
    </row>
    <row r="341" spans="21:26" ht="15.75" x14ac:dyDescent="0.25">
      <c r="U341" s="107"/>
      <c r="V341" s="107"/>
      <c r="W341" s="107"/>
      <c r="X341" s="26"/>
      <c r="Y341" s="26"/>
      <c r="Z341" s="26"/>
    </row>
    <row r="342" spans="21:26" ht="15.75" x14ac:dyDescent="0.25">
      <c r="U342" s="107"/>
      <c r="V342" s="107"/>
      <c r="W342" s="107"/>
      <c r="X342" s="26"/>
      <c r="Y342" s="26"/>
      <c r="Z342" s="26"/>
    </row>
    <row r="343" spans="21:26" ht="15.75" x14ac:dyDescent="0.25">
      <c r="U343" s="107"/>
      <c r="V343" s="107"/>
      <c r="W343" s="107"/>
      <c r="X343" s="26"/>
      <c r="Y343" s="26"/>
      <c r="Z343" s="26"/>
    </row>
    <row r="344" spans="21:26" ht="15.75" x14ac:dyDescent="0.25">
      <c r="U344" s="107"/>
      <c r="V344" s="107"/>
      <c r="W344" s="107"/>
      <c r="X344" s="26"/>
      <c r="Y344" s="26"/>
      <c r="Z344" s="26"/>
    </row>
    <row r="345" spans="21:26" ht="15.75" x14ac:dyDescent="0.25">
      <c r="U345" s="107"/>
      <c r="V345" s="107"/>
      <c r="W345" s="107"/>
      <c r="X345" s="26"/>
      <c r="Y345" s="26"/>
      <c r="Z345" s="26"/>
    </row>
    <row r="346" spans="21:26" ht="15.75" x14ac:dyDescent="0.25">
      <c r="U346" s="107"/>
      <c r="V346" s="107"/>
      <c r="W346" s="107"/>
      <c r="X346" s="26"/>
      <c r="Y346" s="26"/>
      <c r="Z346" s="26"/>
    </row>
    <row r="347" spans="21:26" ht="15.75" x14ac:dyDescent="0.25">
      <c r="U347" s="107"/>
      <c r="V347" s="107"/>
      <c r="W347" s="107"/>
      <c r="X347" s="26"/>
      <c r="Y347" s="26"/>
      <c r="Z347" s="26"/>
    </row>
    <row r="348" spans="21:26" ht="15.75" x14ac:dyDescent="0.25">
      <c r="U348" s="107"/>
      <c r="V348" s="107"/>
      <c r="W348" s="107"/>
      <c r="X348" s="26"/>
      <c r="Y348" s="26"/>
      <c r="Z348" s="26"/>
    </row>
    <row r="349" spans="21:26" ht="15.75" x14ac:dyDescent="0.25">
      <c r="U349" s="107"/>
      <c r="V349" s="107"/>
      <c r="W349" s="107"/>
      <c r="X349" s="26"/>
      <c r="Y349" s="26"/>
      <c r="Z349" s="26"/>
    </row>
    <row r="350" spans="21:26" ht="15.75" x14ac:dyDescent="0.25">
      <c r="U350" s="107"/>
      <c r="V350" s="107"/>
      <c r="W350" s="107"/>
      <c r="X350" s="26"/>
      <c r="Y350" s="26"/>
      <c r="Z350" s="26"/>
    </row>
    <row r="351" spans="21:26" ht="15.75" x14ac:dyDescent="0.25">
      <c r="U351" s="107"/>
      <c r="V351" s="107"/>
      <c r="W351" s="107"/>
      <c r="X351" s="26"/>
      <c r="Y351" s="26"/>
      <c r="Z351" s="26"/>
    </row>
    <row r="352" spans="21:26" ht="15.75" x14ac:dyDescent="0.25">
      <c r="U352" s="107"/>
      <c r="V352" s="107"/>
      <c r="W352" s="107"/>
      <c r="X352" s="26"/>
      <c r="Y352" s="26"/>
      <c r="Z352" s="26"/>
    </row>
    <row r="353" spans="21:26" ht="15.75" x14ac:dyDescent="0.25">
      <c r="U353" s="107"/>
      <c r="V353" s="107"/>
      <c r="W353" s="107"/>
      <c r="X353" s="26"/>
      <c r="Y353" s="26"/>
      <c r="Z353" s="26"/>
    </row>
    <row r="354" spans="21:26" ht="15.75" x14ac:dyDescent="0.25">
      <c r="U354" s="107"/>
      <c r="V354" s="107"/>
      <c r="W354" s="107"/>
      <c r="X354" s="26"/>
      <c r="Y354" s="26"/>
      <c r="Z354" s="26"/>
    </row>
    <row r="355" spans="21:26" ht="15.75" x14ac:dyDescent="0.25">
      <c r="U355" s="107"/>
      <c r="V355" s="107"/>
      <c r="W355" s="107"/>
      <c r="X355" s="26"/>
      <c r="Y355" s="26"/>
      <c r="Z355" s="26"/>
    </row>
    <row r="356" spans="21:26" ht="15.75" x14ac:dyDescent="0.25">
      <c r="U356" s="107"/>
      <c r="V356" s="107"/>
      <c r="W356" s="107"/>
      <c r="X356" s="26"/>
      <c r="Y356" s="26"/>
      <c r="Z356" s="26"/>
    </row>
    <row r="357" spans="21:26" ht="15.75" x14ac:dyDescent="0.25">
      <c r="U357" s="107"/>
      <c r="V357" s="107"/>
      <c r="W357" s="107"/>
      <c r="X357" s="26"/>
      <c r="Y357" s="26"/>
      <c r="Z357" s="26"/>
    </row>
    <row r="358" spans="21:26" ht="15.75" x14ac:dyDescent="0.25">
      <c r="U358" s="107"/>
      <c r="V358" s="107"/>
      <c r="W358" s="107"/>
      <c r="X358" s="26"/>
      <c r="Y358" s="26"/>
      <c r="Z358" s="26"/>
    </row>
    <row r="359" spans="21:26" ht="15.75" x14ac:dyDescent="0.25">
      <c r="U359" s="107"/>
      <c r="V359" s="107"/>
      <c r="W359" s="107"/>
      <c r="X359" s="26"/>
      <c r="Y359" s="26"/>
      <c r="Z359" s="26"/>
    </row>
    <row r="360" spans="21:26" ht="15.75" x14ac:dyDescent="0.25">
      <c r="U360" s="107"/>
      <c r="V360" s="107"/>
      <c r="W360" s="107"/>
      <c r="X360" s="26"/>
      <c r="Y360" s="26"/>
      <c r="Z360" s="26"/>
    </row>
    <row r="361" spans="21:26" ht="15.75" x14ac:dyDescent="0.25">
      <c r="U361" s="107"/>
      <c r="V361" s="107"/>
      <c r="W361" s="107"/>
      <c r="X361" s="26"/>
      <c r="Y361" s="26"/>
      <c r="Z361" s="26"/>
    </row>
    <row r="362" spans="21:26" ht="15.75" x14ac:dyDescent="0.25">
      <c r="U362" s="107"/>
      <c r="V362" s="107"/>
      <c r="W362" s="107"/>
      <c r="X362" s="26"/>
      <c r="Y362" s="26"/>
      <c r="Z362" s="26"/>
    </row>
    <row r="363" spans="21:26" ht="15.75" x14ac:dyDescent="0.25">
      <c r="U363" s="107"/>
      <c r="V363" s="107"/>
      <c r="W363" s="107"/>
      <c r="X363" s="26"/>
      <c r="Y363" s="26"/>
      <c r="Z363" s="26"/>
    </row>
    <row r="364" spans="21:26" ht="15.75" x14ac:dyDescent="0.25">
      <c r="U364" s="107"/>
      <c r="V364" s="107"/>
      <c r="W364" s="107"/>
      <c r="X364" s="26"/>
      <c r="Y364" s="26"/>
      <c r="Z364" s="26"/>
    </row>
    <row r="365" spans="21:26" ht="15.75" x14ac:dyDescent="0.25">
      <c r="U365" s="107"/>
      <c r="V365" s="107"/>
      <c r="W365" s="107"/>
      <c r="X365" s="26"/>
      <c r="Y365" s="26"/>
      <c r="Z365" s="26"/>
    </row>
    <row r="366" spans="21:26" ht="15.75" x14ac:dyDescent="0.25">
      <c r="U366" s="107"/>
      <c r="V366" s="107"/>
      <c r="W366" s="107"/>
      <c r="X366" s="26"/>
      <c r="Y366" s="26"/>
      <c r="Z366" s="26"/>
    </row>
    <row r="367" spans="21:26" ht="15.75" x14ac:dyDescent="0.25">
      <c r="U367" s="107"/>
      <c r="V367" s="107"/>
      <c r="W367" s="107"/>
      <c r="X367" s="26"/>
      <c r="Y367" s="26"/>
      <c r="Z367" s="26"/>
    </row>
    <row r="368" spans="21:26" ht="15.75" x14ac:dyDescent="0.25">
      <c r="U368" s="107"/>
      <c r="V368" s="107"/>
      <c r="W368" s="107"/>
      <c r="X368" s="26"/>
      <c r="Y368" s="26"/>
      <c r="Z368" s="26"/>
    </row>
    <row r="369" spans="21:26" ht="15.75" x14ac:dyDescent="0.25">
      <c r="U369" s="107"/>
      <c r="V369" s="107"/>
      <c r="W369" s="107"/>
      <c r="X369" s="26"/>
      <c r="Y369" s="26"/>
      <c r="Z369" s="26"/>
    </row>
    <row r="370" spans="21:26" ht="15.75" x14ac:dyDescent="0.25">
      <c r="U370" s="107"/>
      <c r="V370" s="107"/>
      <c r="W370" s="107"/>
      <c r="X370" s="26"/>
      <c r="Y370" s="26"/>
      <c r="Z370" s="26"/>
    </row>
    <row r="371" spans="21:26" ht="15.75" x14ac:dyDescent="0.25">
      <c r="U371" s="107"/>
      <c r="V371" s="107"/>
      <c r="W371" s="107"/>
      <c r="X371" s="26"/>
      <c r="Y371" s="26"/>
      <c r="Z371" s="26"/>
    </row>
    <row r="372" spans="21:26" ht="15.75" x14ac:dyDescent="0.25">
      <c r="U372" s="107"/>
      <c r="V372" s="107"/>
      <c r="W372" s="107"/>
      <c r="X372" s="26"/>
      <c r="Y372" s="26"/>
      <c r="Z372" s="26"/>
    </row>
    <row r="373" spans="21:26" ht="15.75" x14ac:dyDescent="0.25">
      <c r="U373" s="107"/>
      <c r="V373" s="107"/>
      <c r="W373" s="107"/>
      <c r="X373" s="26"/>
      <c r="Y373" s="26"/>
      <c r="Z373" s="26"/>
    </row>
    <row r="374" spans="21:26" ht="15.75" x14ac:dyDescent="0.25">
      <c r="U374" s="107"/>
      <c r="V374" s="107"/>
      <c r="W374" s="107"/>
      <c r="X374" s="26"/>
      <c r="Y374" s="26"/>
      <c r="Z374" s="26"/>
    </row>
    <row r="375" spans="21:26" ht="15.75" x14ac:dyDescent="0.25">
      <c r="U375" s="107"/>
      <c r="V375" s="107"/>
      <c r="W375" s="107"/>
      <c r="X375" s="26"/>
      <c r="Y375" s="26"/>
      <c r="Z375" s="26"/>
    </row>
    <row r="376" spans="21:26" ht="15.75" x14ac:dyDescent="0.25">
      <c r="U376" s="107"/>
      <c r="V376" s="107"/>
      <c r="W376" s="107"/>
      <c r="X376" s="26"/>
      <c r="Y376" s="26"/>
      <c r="Z376" s="26"/>
    </row>
    <row r="377" spans="21:26" ht="15.75" x14ac:dyDescent="0.25">
      <c r="U377" s="107"/>
      <c r="V377" s="107"/>
      <c r="W377" s="107"/>
      <c r="X377" s="26"/>
      <c r="Y377" s="26"/>
      <c r="Z377" s="26"/>
    </row>
    <row r="378" spans="21:26" ht="15.75" x14ac:dyDescent="0.25">
      <c r="U378" s="107"/>
      <c r="V378" s="107"/>
      <c r="W378" s="107"/>
      <c r="X378" s="26"/>
      <c r="Y378" s="26"/>
      <c r="Z378" s="26"/>
    </row>
    <row r="379" spans="21:26" ht="15.75" x14ac:dyDescent="0.25">
      <c r="U379" s="107"/>
      <c r="V379" s="107"/>
      <c r="W379" s="107"/>
      <c r="X379" s="26"/>
      <c r="Y379" s="26"/>
      <c r="Z379" s="26"/>
    </row>
    <row r="380" spans="21:26" ht="15.75" x14ac:dyDescent="0.25">
      <c r="U380" s="107"/>
      <c r="V380" s="107"/>
      <c r="W380" s="107"/>
      <c r="X380" s="26"/>
      <c r="Y380" s="26"/>
      <c r="Z380" s="26"/>
    </row>
    <row r="381" spans="21:26" ht="15.75" x14ac:dyDescent="0.25">
      <c r="U381" s="107"/>
      <c r="V381" s="107"/>
      <c r="W381" s="107"/>
      <c r="X381" s="26"/>
      <c r="Y381" s="26"/>
      <c r="Z381" s="26"/>
    </row>
    <row r="382" spans="21:26" ht="15.75" x14ac:dyDescent="0.25">
      <c r="U382" s="107"/>
      <c r="V382" s="107"/>
      <c r="W382" s="107"/>
      <c r="X382" s="26"/>
      <c r="Y382" s="26"/>
      <c r="Z382" s="26"/>
    </row>
    <row r="383" spans="21:26" ht="15.75" x14ac:dyDescent="0.25">
      <c r="U383" s="107"/>
      <c r="V383" s="107"/>
      <c r="W383" s="107"/>
      <c r="X383" s="26"/>
      <c r="Y383" s="26"/>
      <c r="Z383" s="26"/>
    </row>
    <row r="384" spans="21:26" ht="15.75" x14ac:dyDescent="0.25">
      <c r="U384" s="107"/>
      <c r="V384" s="107"/>
      <c r="W384" s="107"/>
      <c r="X384" s="26"/>
      <c r="Y384" s="26"/>
      <c r="Z384" s="26"/>
    </row>
    <row r="385" spans="21:26" ht="15.75" x14ac:dyDescent="0.25">
      <c r="U385" s="107"/>
      <c r="V385" s="26"/>
      <c r="W385" s="26"/>
      <c r="X385" s="26"/>
      <c r="Y385" s="26"/>
      <c r="Z385" s="26"/>
    </row>
    <row r="386" spans="21:26" ht="15.75" x14ac:dyDescent="0.25">
      <c r="U386" s="107"/>
      <c r="V386" s="26"/>
      <c r="W386" s="26"/>
      <c r="X386" s="26"/>
      <c r="Y386" s="26"/>
      <c r="Z386" s="26"/>
    </row>
    <row r="387" spans="21:26" ht="15.75" x14ac:dyDescent="0.25">
      <c r="U387" s="107"/>
      <c r="V387" s="26"/>
      <c r="W387" s="26"/>
      <c r="X387" s="26"/>
      <c r="Y387" s="26"/>
      <c r="Z387" s="26"/>
    </row>
    <row r="388" spans="21:26" ht="15.75" x14ac:dyDescent="0.25">
      <c r="U388" s="107"/>
      <c r="V388" s="26"/>
      <c r="W388" s="26"/>
      <c r="X388" s="26"/>
      <c r="Y388" s="26"/>
      <c r="Z388" s="26"/>
    </row>
    <row r="389" spans="21:26" ht="15.75" x14ac:dyDescent="0.25">
      <c r="U389" s="107"/>
      <c r="V389" s="26"/>
      <c r="W389" s="26"/>
      <c r="X389" s="26"/>
      <c r="Y389" s="26"/>
      <c r="Z389" s="26"/>
    </row>
    <row r="390" spans="21:26" ht="15.75" x14ac:dyDescent="0.25">
      <c r="U390" s="107"/>
      <c r="V390" s="26"/>
      <c r="W390" s="26"/>
      <c r="X390" s="26"/>
      <c r="Y390" s="26"/>
      <c r="Z390" s="26"/>
    </row>
    <row r="391" spans="21:26" ht="15.75" x14ac:dyDescent="0.25">
      <c r="U391" s="107"/>
      <c r="V391" s="26"/>
      <c r="W391" s="26"/>
      <c r="X391" s="26"/>
      <c r="Y391" s="26"/>
      <c r="Z391" s="26"/>
    </row>
    <row r="392" spans="21:26" ht="15.75" x14ac:dyDescent="0.25">
      <c r="U392" s="107"/>
      <c r="V392" s="26"/>
      <c r="W392" s="26"/>
      <c r="X392" s="26"/>
      <c r="Y392" s="26"/>
      <c r="Z392" s="26"/>
    </row>
    <row r="393" spans="21:26" ht="15.75" x14ac:dyDescent="0.25">
      <c r="U393" s="107"/>
      <c r="V393" s="26"/>
      <c r="W393" s="26"/>
      <c r="X393" s="26"/>
      <c r="Y393" s="26"/>
      <c r="Z393" s="26"/>
    </row>
    <row r="394" spans="21:26" ht="15.75" x14ac:dyDescent="0.25">
      <c r="U394" s="107"/>
      <c r="V394" s="26"/>
      <c r="W394" s="26"/>
      <c r="X394" s="26"/>
      <c r="Y394" s="26"/>
      <c r="Z394" s="26"/>
    </row>
    <row r="395" spans="21:26" ht="15.75" x14ac:dyDescent="0.25">
      <c r="U395" s="107"/>
      <c r="V395" s="26"/>
      <c r="W395" s="26"/>
      <c r="X395" s="26"/>
      <c r="Y395" s="26"/>
      <c r="Z395" s="26"/>
    </row>
    <row r="396" spans="21:26" ht="15.75" x14ac:dyDescent="0.25">
      <c r="U396" s="107"/>
      <c r="V396" s="26"/>
      <c r="W396" s="26"/>
      <c r="X396" s="26"/>
      <c r="Y396" s="26"/>
      <c r="Z396" s="26"/>
    </row>
    <row r="397" spans="21:26" ht="15.75" x14ac:dyDescent="0.25">
      <c r="U397" s="107"/>
      <c r="V397" s="26"/>
      <c r="W397" s="26"/>
      <c r="X397" s="26"/>
      <c r="Y397" s="26"/>
      <c r="Z397" s="26"/>
    </row>
    <row r="398" spans="21:26" ht="15.75" x14ac:dyDescent="0.25">
      <c r="U398" s="107"/>
      <c r="V398" s="26"/>
      <c r="W398" s="26"/>
      <c r="X398" s="26"/>
      <c r="Y398" s="26"/>
      <c r="Z398" s="26"/>
    </row>
    <row r="399" spans="21:26" ht="15.75" x14ac:dyDescent="0.25">
      <c r="U399" s="107"/>
      <c r="V399" s="26"/>
      <c r="W399" s="26"/>
      <c r="X399" s="26"/>
      <c r="Y399" s="26"/>
      <c r="Z399" s="26"/>
    </row>
    <row r="400" spans="21:26" ht="15.75" x14ac:dyDescent="0.25">
      <c r="U400" s="107"/>
      <c r="V400" s="26"/>
      <c r="W400" s="26"/>
      <c r="X400" s="26"/>
      <c r="Y400" s="26"/>
      <c r="Z400" s="26"/>
    </row>
    <row r="401" spans="21:26" ht="15.75" x14ac:dyDescent="0.25">
      <c r="U401" s="107"/>
      <c r="V401" s="26"/>
      <c r="W401" s="26"/>
      <c r="X401" s="26"/>
      <c r="Y401" s="26"/>
      <c r="Z401" s="26"/>
    </row>
    <row r="402" spans="21:26" ht="15.75" x14ac:dyDescent="0.25">
      <c r="U402" s="107"/>
      <c r="V402" s="26"/>
      <c r="W402" s="26"/>
      <c r="X402" s="26"/>
      <c r="Y402" s="26"/>
      <c r="Z402" s="26"/>
    </row>
    <row r="403" spans="21:26" ht="15.75" x14ac:dyDescent="0.25">
      <c r="U403" s="107"/>
      <c r="V403" s="26"/>
      <c r="W403" s="26"/>
      <c r="X403" s="26"/>
      <c r="Y403" s="26"/>
      <c r="Z403" s="26"/>
    </row>
    <row r="404" spans="21:26" ht="15.75" x14ac:dyDescent="0.25">
      <c r="U404" s="107"/>
      <c r="V404" s="26"/>
      <c r="W404" s="26"/>
      <c r="X404" s="26"/>
      <c r="Y404" s="26"/>
      <c r="Z404" s="26"/>
    </row>
    <row r="405" spans="21:26" ht="15.75" x14ac:dyDescent="0.25">
      <c r="U405" s="107"/>
      <c r="V405" s="26"/>
      <c r="W405" s="26"/>
      <c r="X405" s="26"/>
      <c r="Y405" s="26"/>
      <c r="Z405" s="26"/>
    </row>
    <row r="406" spans="21:26" ht="15.75" x14ac:dyDescent="0.25">
      <c r="U406" s="107"/>
      <c r="V406" s="26"/>
      <c r="W406" s="26"/>
      <c r="X406" s="26"/>
      <c r="Y406" s="26"/>
      <c r="Z406" s="26"/>
    </row>
    <row r="407" spans="21:26" ht="15.75" x14ac:dyDescent="0.25">
      <c r="U407" s="107"/>
      <c r="V407" s="26"/>
      <c r="W407" s="26"/>
      <c r="X407" s="26"/>
      <c r="Y407" s="26"/>
      <c r="Z407" s="26"/>
    </row>
    <row r="408" spans="21:26" ht="15.75" x14ac:dyDescent="0.25">
      <c r="U408" s="107"/>
      <c r="V408" s="26"/>
      <c r="W408" s="26"/>
      <c r="X408" s="26"/>
      <c r="Y408" s="26"/>
      <c r="Z408" s="26"/>
    </row>
    <row r="409" spans="21:26" ht="15.75" x14ac:dyDescent="0.25">
      <c r="U409" s="107"/>
      <c r="V409" s="26"/>
      <c r="W409" s="26"/>
      <c r="X409" s="26"/>
      <c r="Y409" s="26"/>
      <c r="Z409" s="26"/>
    </row>
    <row r="410" spans="21:26" ht="15.75" x14ac:dyDescent="0.25">
      <c r="U410" s="107"/>
      <c r="V410" s="26"/>
      <c r="W410" s="26"/>
      <c r="X410" s="26"/>
      <c r="Y410" s="26"/>
      <c r="Z410" s="26"/>
    </row>
    <row r="411" spans="21:26" ht="15.75" x14ac:dyDescent="0.25">
      <c r="U411" s="107"/>
      <c r="V411" s="26"/>
      <c r="W411" s="26"/>
      <c r="X411" s="26"/>
      <c r="Y411" s="26"/>
      <c r="Z411" s="26"/>
    </row>
    <row r="412" spans="21:26" ht="15.75" x14ac:dyDescent="0.25">
      <c r="U412" s="107"/>
      <c r="V412" s="26"/>
      <c r="W412" s="26"/>
      <c r="X412" s="26"/>
      <c r="Y412" s="26"/>
      <c r="Z412" s="26"/>
    </row>
    <row r="413" spans="21:26" ht="15.75" x14ac:dyDescent="0.25">
      <c r="U413" s="107"/>
      <c r="V413" s="26"/>
      <c r="W413" s="26"/>
      <c r="X413" s="26"/>
      <c r="Y413" s="26"/>
      <c r="Z413" s="26"/>
    </row>
    <row r="414" spans="21:26" ht="15.75" x14ac:dyDescent="0.25">
      <c r="U414" s="107"/>
      <c r="V414" s="26"/>
      <c r="W414" s="26"/>
      <c r="X414" s="26"/>
      <c r="Y414" s="26"/>
      <c r="Z414" s="26"/>
    </row>
    <row r="415" spans="21:26" ht="15.75" x14ac:dyDescent="0.25">
      <c r="U415" s="107"/>
      <c r="V415" s="26"/>
      <c r="W415" s="26"/>
      <c r="X415" s="26"/>
      <c r="Y415" s="26"/>
      <c r="Z415" s="26"/>
    </row>
    <row r="416" spans="21:26" ht="15.75" x14ac:dyDescent="0.25">
      <c r="U416" s="107"/>
      <c r="V416" s="26"/>
      <c r="W416" s="26"/>
      <c r="X416" s="26"/>
      <c r="Y416" s="26"/>
      <c r="Z416" s="26"/>
    </row>
    <row r="417" spans="21:26" ht="15.75" x14ac:dyDescent="0.25">
      <c r="U417" s="107"/>
      <c r="V417" s="26"/>
      <c r="W417" s="26"/>
      <c r="X417" s="26"/>
      <c r="Y417" s="26"/>
      <c r="Z417" s="26"/>
    </row>
    <row r="418" spans="21:26" ht="15.75" x14ac:dyDescent="0.25">
      <c r="U418" s="107"/>
      <c r="V418" s="26"/>
      <c r="W418" s="26"/>
      <c r="X418" s="26"/>
      <c r="Y418" s="26"/>
      <c r="Z418" s="26"/>
    </row>
    <row r="419" spans="21:26" ht="15.75" x14ac:dyDescent="0.25">
      <c r="U419" s="107"/>
      <c r="V419" s="26"/>
      <c r="W419" s="26"/>
      <c r="X419" s="26"/>
      <c r="Y419" s="26"/>
      <c r="Z419" s="26"/>
    </row>
    <row r="420" spans="21:26" ht="15.75" x14ac:dyDescent="0.25">
      <c r="U420" s="107"/>
      <c r="V420" s="26"/>
      <c r="W420" s="26"/>
      <c r="X420" s="26"/>
      <c r="Y420" s="26"/>
      <c r="Z420" s="26"/>
    </row>
    <row r="421" spans="21:26" ht="15.75" x14ac:dyDescent="0.25">
      <c r="U421" s="107"/>
      <c r="V421" s="26"/>
      <c r="W421" s="26"/>
      <c r="X421" s="26"/>
      <c r="Y421" s="26"/>
      <c r="Z421" s="26"/>
    </row>
    <row r="422" spans="21:26" ht="15.75" x14ac:dyDescent="0.25">
      <c r="U422" s="107"/>
      <c r="V422" s="26"/>
      <c r="W422" s="26"/>
      <c r="X422" s="26"/>
      <c r="Y422" s="26"/>
      <c r="Z422" s="26"/>
    </row>
    <row r="423" spans="21:26" ht="15.75" x14ac:dyDescent="0.25">
      <c r="U423" s="107"/>
      <c r="V423" s="26"/>
      <c r="W423" s="26"/>
      <c r="X423" s="26"/>
      <c r="Y423" s="26"/>
      <c r="Z423" s="26"/>
    </row>
    <row r="424" spans="21:26" ht="15.75" x14ac:dyDescent="0.25">
      <c r="U424" s="107"/>
      <c r="V424" s="26"/>
      <c r="W424" s="26"/>
      <c r="X424" s="26"/>
      <c r="Y424" s="26"/>
      <c r="Z424" s="26"/>
    </row>
  </sheetData>
  <sheetProtection algorithmName="SHA-512" hashValue="+LRkNtEwAinc7MMm6x9tw9l89/fHsQHOdVXZxPtmodphsb75Zh9DvzGJIwXIcz+vqeJv/QyS2D4BoMVosBB/mA==" saltValue="6N2UdZudYG9At+cYGZATSg==" spinCount="100000" sheet="1" objects="1" scenarios="1"/>
  <mergeCells count="3">
    <mergeCell ref="V1:Z1"/>
    <mergeCell ref="AC1:AH1"/>
    <mergeCell ref="B113:N113"/>
  </mergeCells>
  <conditionalFormatting sqref="C59:C60">
    <cfRule type="notContainsBlanks" dxfId="12" priority="17">
      <formula>LEN(TRIM(C59))&gt;0</formula>
    </cfRule>
  </conditionalFormatting>
  <conditionalFormatting sqref="K59:K60">
    <cfRule type="cellIs" dxfId="11" priority="30" operator="between">
      <formula>0.00000001</formula>
      <formula>9999999</formula>
    </cfRule>
  </conditionalFormatting>
  <conditionalFormatting sqref="N4:N13">
    <cfRule type="cellIs" dxfId="10" priority="10" operator="equal">
      <formula>0</formula>
    </cfRule>
  </conditionalFormatting>
  <conditionalFormatting sqref="N15:N24">
    <cfRule type="cellIs" dxfId="9" priority="9" operator="equal">
      <formula>0</formula>
    </cfRule>
  </conditionalFormatting>
  <conditionalFormatting sqref="N26:N35">
    <cfRule type="cellIs" dxfId="8" priority="8" operator="equal">
      <formula>0</formula>
    </cfRule>
  </conditionalFormatting>
  <conditionalFormatting sqref="N37:N46">
    <cfRule type="cellIs" dxfId="7" priority="7" operator="equal">
      <formula>0</formula>
    </cfRule>
  </conditionalFormatting>
  <conditionalFormatting sqref="N48:N57">
    <cfRule type="cellIs" dxfId="6" priority="6" operator="equal">
      <formula>0</formula>
    </cfRule>
  </conditionalFormatting>
  <conditionalFormatting sqref="N59:N68">
    <cfRule type="cellIs" dxfId="5" priority="5" operator="equal">
      <formula>0</formula>
    </cfRule>
  </conditionalFormatting>
  <conditionalFormatting sqref="N70:N79">
    <cfRule type="cellIs" dxfId="4" priority="4" operator="equal">
      <formula>0</formula>
    </cfRule>
  </conditionalFormatting>
  <conditionalFormatting sqref="N81:N90">
    <cfRule type="cellIs" dxfId="3" priority="3" operator="equal">
      <formula>0</formula>
    </cfRule>
  </conditionalFormatting>
  <conditionalFormatting sqref="N92:N101">
    <cfRule type="cellIs" dxfId="2" priority="2" operator="equal">
      <formula>0</formula>
    </cfRule>
  </conditionalFormatting>
  <conditionalFormatting sqref="N103:N112">
    <cfRule type="cellIs" dxfId="1" priority="1" operator="equal">
      <formula>0</formula>
    </cfRule>
  </conditionalFormatting>
  <conditionalFormatting sqref="O59:P60">
    <cfRule type="cellIs" dxfId="0" priority="12" operator="equal">
      <formula>0</formula>
    </cfRule>
  </conditionalFormatting>
  <dataValidations count="1">
    <dataValidation type="list" allowBlank="1" showInputMessage="1" sqref="V3:Z3 V14:Z14 V25:Z25 V36:Z36 V47:Z47 V58:Z58 V69:Z69 V80:Z80 V91:Z91 V102:Z102" xr:uid="{DE4A80CE-897A-40CB-8919-649B1BAD94C0}">
      <formula1>"inc"</formula1>
    </dataValidation>
  </dataValidations>
  <pageMargins left="0.7" right="0.7" top="0.75" bottom="0.75" header="0.3" footer="0.3"/>
  <pageSetup scale="18" orientation="landscape"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units from the dropdown box" xr:uid="{DF661C4F-BB24-4262-A1F8-092000659643}">
          <x14:formula1>
            <xm:f>Unit!$A$4:$A$11</xm:f>
          </x14:formula1>
          <xm:sqref>N3 N36 N25 N14 N47 N58 N91 N80 N69 N102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F42"/>
  <sheetViews>
    <sheetView view="pageBreakPreview" topLeftCell="A10" zoomScaleSheetLayoutView="100" workbookViewId="0"/>
  </sheetViews>
  <sheetFormatPr defaultColWidth="8.85546875" defaultRowHeight="21" x14ac:dyDescent="0.35"/>
  <cols>
    <col min="1" max="1" width="11" style="25" bestFit="1" customWidth="1"/>
    <col min="2" max="2" width="94.140625" style="25" bestFit="1" customWidth="1"/>
    <col min="3" max="3" width="21.140625" style="44" bestFit="1" customWidth="1"/>
    <col min="4" max="4" width="15.5703125" style="43" customWidth="1"/>
    <col min="5" max="5" width="8.85546875" style="25"/>
    <col min="6" max="6" width="11.42578125" style="25" customWidth="1"/>
    <col min="7" max="7" width="9.85546875" style="25" bestFit="1" customWidth="1"/>
    <col min="8" max="16384" width="8.85546875" style="25"/>
  </cols>
  <sheetData>
    <row r="1" spans="1:4" s="38" customFormat="1" ht="24.95" customHeight="1" thickBot="1" x14ac:dyDescent="0.35">
      <c r="A1" s="21" t="s">
        <v>12</v>
      </c>
      <c r="B1" s="45" t="str">
        <f>Notes!B5</f>
        <v>Redevelopment of Council Workshop</v>
      </c>
      <c r="C1" s="46"/>
      <c r="D1" s="37"/>
    </row>
    <row r="2" spans="1:4" s="38" customFormat="1" ht="24.95" customHeight="1" thickTop="1" thickBot="1" x14ac:dyDescent="0.35">
      <c r="A2" s="21" t="s">
        <v>13</v>
      </c>
      <c r="B2" s="45" t="str">
        <f>Notes!B6</f>
        <v>25-31 Dunn St. Biloela QLD 4715</v>
      </c>
      <c r="C2" s="46"/>
      <c r="D2" s="37"/>
    </row>
    <row r="3" spans="1:4" ht="20.100000000000001" customHeight="1" thickTop="1" x14ac:dyDescent="0.25">
      <c r="A3" s="39"/>
      <c r="B3" s="47" t="s">
        <v>164</v>
      </c>
      <c r="C3" s="48"/>
      <c r="D3" s="49"/>
    </row>
    <row r="4" spans="1:4" ht="15.75" x14ac:dyDescent="0.25">
      <c r="A4" s="242"/>
      <c r="B4" s="243"/>
      <c r="C4" s="244"/>
      <c r="D4" s="245"/>
    </row>
    <row r="5" spans="1:4" ht="18.75" customHeight="1" x14ac:dyDescent="0.25">
      <c r="A5" s="246"/>
      <c r="B5" s="247" t="s">
        <v>29</v>
      </c>
      <c r="C5" s="252" t="s">
        <v>30</v>
      </c>
      <c r="D5" s="252" t="s">
        <v>804</v>
      </c>
    </row>
    <row r="6" spans="1:4" ht="18.75" customHeight="1" x14ac:dyDescent="0.25">
      <c r="A6" s="57">
        <v>1</v>
      </c>
      <c r="B6" s="20" t="str">
        <f ca="1">IFERROR(INDEX(BREAKDOWN!$G$1:$AB$160,MATCH($A6,BREAKDOWN!$G:$G,0),MATCH(BREAKDOWN!$H$3,BREAKDOWN!$G$3:$AB$3,0)),"")</f>
        <v>PRELIMINARIES</v>
      </c>
      <c r="C6" s="322">
        <f ca="1">IFERROR(INDEX(BREAKDOWN!$G$1:$AB$160,MATCH($A6,BREAKDOWN!$G:$G,0),MATCH(BREAKDOWN!$AB$3,BREAKDOWN!$G$3:$AB$3,0)),"")</f>
        <v>0</v>
      </c>
      <c r="D6" s="248">
        <f ca="1">IFERROR(C6/$C$40,0)</f>
        <v>0</v>
      </c>
    </row>
    <row r="7" spans="1:4" ht="18.75" customHeight="1" x14ac:dyDescent="0.25">
      <c r="A7" s="58">
        <f>A6+1</f>
        <v>2</v>
      </c>
      <c r="B7" s="20" t="str">
        <f ca="1">IFERROR(INDEX(BREAKDOWN!$G$1:$AB$160,MATCH($A7,BREAKDOWN!$G:$G,0),MATCH(BREAKDOWN!$H$3,BREAKDOWN!$G$3:$AB$3,0)),"")</f>
        <v>SCAFFOLDING</v>
      </c>
      <c r="C7" s="322">
        <f ca="1">IFERROR(INDEX(BREAKDOWN!$G$1:$AB$160,MATCH($A7,BREAKDOWN!$G:$G,0),MATCH(BREAKDOWN!$AB$3,BREAKDOWN!$G$3:$AB$3,0)),"")</f>
        <v>0</v>
      </c>
      <c r="D7" s="248">
        <f t="shared" ref="D7:D38" ca="1" si="0">IFERROR(C7/$C$40,0)</f>
        <v>0</v>
      </c>
    </row>
    <row r="8" spans="1:4" ht="18.75" customHeight="1" x14ac:dyDescent="0.25">
      <c r="A8" s="58">
        <f t="shared" ref="A8:A30" si="1">A7+1</f>
        <v>3</v>
      </c>
      <c r="B8" s="20" t="str">
        <f ca="1">IFERROR(INDEX(BREAKDOWN!$G$1:$AB$160,MATCH($A8,BREAKDOWN!$G:$G,0),MATCH(BREAKDOWN!$H$3,BREAKDOWN!$G$3:$AB$3,0)),"")</f>
        <v>DEMOLITION</v>
      </c>
      <c r="C8" s="322">
        <f ca="1">IFERROR(INDEX(BREAKDOWN!$G$1:$AB$160,MATCH($A8,BREAKDOWN!$G:$G,0),MATCH(BREAKDOWN!$AB$3,BREAKDOWN!$G$3:$AB$3,0)),"")</f>
        <v>0</v>
      </c>
      <c r="D8" s="248">
        <f t="shared" ca="1" si="0"/>
        <v>0</v>
      </c>
    </row>
    <row r="9" spans="1:4" ht="18.75" customHeight="1" x14ac:dyDescent="0.25">
      <c r="A9" s="58">
        <f t="shared" si="1"/>
        <v>4</v>
      </c>
      <c r="B9" s="20" t="str">
        <f ca="1">IFERROR(INDEX(BREAKDOWN!$G$1:$AB$160,MATCH($A9,BREAKDOWN!$G:$G,0),MATCH(BREAKDOWN!$H$3,BREAKDOWN!$G$3:$AB$3,0)),"")</f>
        <v>CIVIL</v>
      </c>
      <c r="C9" s="322">
        <f ca="1">IFERROR(INDEX(BREAKDOWN!$G$1:$AB$160,MATCH($A9,BREAKDOWN!$G:$G,0),MATCH(BREAKDOWN!$AB$3,BREAKDOWN!$G$3:$AB$3,0)),"")</f>
        <v>0</v>
      </c>
      <c r="D9" s="248">
        <f t="shared" ca="1" si="0"/>
        <v>0</v>
      </c>
    </row>
    <row r="10" spans="1:4" ht="18.75" customHeight="1" x14ac:dyDescent="0.25">
      <c r="A10" s="58">
        <f t="shared" si="1"/>
        <v>5</v>
      </c>
      <c r="B10" s="20" t="str">
        <f ca="1">IFERROR(INDEX(BREAKDOWN!$G$1:$AB$160,MATCH($A10,BREAKDOWN!$G:$G,0),MATCH(BREAKDOWN!$H$3,BREAKDOWN!$G$3:$AB$3,0)),"")</f>
        <v>DETAILED EXCAVATION</v>
      </c>
      <c r="C10" s="322">
        <f ca="1">IFERROR(INDEX(BREAKDOWN!$G$1:$AB$160,MATCH($A10,BREAKDOWN!$G:$G,0),MATCH(BREAKDOWN!$AB$3,BREAKDOWN!$G$3:$AB$3,0)),"")</f>
        <v>0</v>
      </c>
      <c r="D10" s="248">
        <f t="shared" ca="1" si="0"/>
        <v>0</v>
      </c>
    </row>
    <row r="11" spans="1:4" ht="18.75" customHeight="1" x14ac:dyDescent="0.25">
      <c r="A11" s="58">
        <f t="shared" si="1"/>
        <v>6</v>
      </c>
      <c r="B11" s="20" t="str">
        <f ca="1">IFERROR(INDEX(BREAKDOWN!$G$1:$AB$160,MATCH($A11,BREAKDOWN!$G:$G,0),MATCH(BREAKDOWN!$H$3,BREAKDOWN!$G$3:$AB$3,0)),"")</f>
        <v>CONCRETE</v>
      </c>
      <c r="C11" s="322">
        <f ca="1">IFERROR(INDEX(BREAKDOWN!$G$1:$AB$160,MATCH($A11,BREAKDOWN!$G:$G,0),MATCH(BREAKDOWN!$AB$3,BREAKDOWN!$G$3:$AB$3,0)),"")</f>
        <v>0</v>
      </c>
      <c r="D11" s="248">
        <f t="shared" ca="1" si="0"/>
        <v>0</v>
      </c>
    </row>
    <row r="12" spans="1:4" ht="18.75" customHeight="1" x14ac:dyDescent="0.25">
      <c r="A12" s="58">
        <f t="shared" si="1"/>
        <v>7</v>
      </c>
      <c r="B12" s="20" t="str">
        <f ca="1">IFERROR(INDEX(BREAKDOWN!$G$1:$AB$160,MATCH($A12,BREAKDOWN!$G:$G,0),MATCH(BREAKDOWN!$H$3,BREAKDOWN!$G$3:$AB$3,0)),"")</f>
        <v>FORMWORK</v>
      </c>
      <c r="C12" s="322">
        <f ca="1">IFERROR(INDEX(BREAKDOWN!$G$1:$AB$160,MATCH($A12,BREAKDOWN!$G:$G,0),MATCH(BREAKDOWN!$AB$3,BREAKDOWN!$G$3:$AB$3,0)),"")</f>
        <v>0</v>
      </c>
      <c r="D12" s="248">
        <f t="shared" ca="1" si="0"/>
        <v>0</v>
      </c>
    </row>
    <row r="13" spans="1:4" ht="18.75" customHeight="1" x14ac:dyDescent="0.25">
      <c r="A13" s="58">
        <f t="shared" si="1"/>
        <v>8</v>
      </c>
      <c r="B13" s="20" t="str">
        <f ca="1">IFERROR(INDEX(BREAKDOWN!$G$1:$AB$160,MATCH($A13,BREAKDOWN!$G:$G,0),MATCH(BREAKDOWN!$H$3,BREAKDOWN!$G$3:$AB$3,0)),"")</f>
        <v>REINFORCEMENT</v>
      </c>
      <c r="C13" s="322">
        <f ca="1">IFERROR(INDEX(BREAKDOWN!$G$1:$AB$160,MATCH($A13,BREAKDOWN!$G:$G,0),MATCH(BREAKDOWN!$AB$3,BREAKDOWN!$G$3:$AB$3,0)),"")</f>
        <v>0</v>
      </c>
      <c r="D13" s="248">
        <f t="shared" ca="1" si="0"/>
        <v>0</v>
      </c>
    </row>
    <row r="14" spans="1:4" ht="18.75" customHeight="1" x14ac:dyDescent="0.25">
      <c r="A14" s="58">
        <f t="shared" si="1"/>
        <v>9</v>
      </c>
      <c r="B14" s="20" t="str">
        <f ca="1">IFERROR(INDEX(BREAKDOWN!$G$1:$AB$160,MATCH($A14,BREAKDOWN!$G:$G,0),MATCH(BREAKDOWN!$H$3,BREAKDOWN!$G$3:$AB$3,0)),"")</f>
        <v>TERMITE PROTECTION</v>
      </c>
      <c r="C14" s="322">
        <f ca="1">IFERROR(INDEX(BREAKDOWN!$G$1:$AB$160,MATCH($A14,BREAKDOWN!$G:$G,0),MATCH(BREAKDOWN!$AB$3,BREAKDOWN!$G$3:$AB$3,0)),"")</f>
        <v>0</v>
      </c>
      <c r="D14" s="248">
        <f t="shared" ca="1" si="0"/>
        <v>0</v>
      </c>
    </row>
    <row r="15" spans="1:4" ht="18.75" customHeight="1" x14ac:dyDescent="0.25">
      <c r="A15" s="58">
        <f t="shared" si="1"/>
        <v>10</v>
      </c>
      <c r="B15" s="20" t="str">
        <f ca="1">IFERROR(INDEX(BREAKDOWN!$G$1:$AB$160,MATCH($A15,BREAKDOWN!$G:$G,0),MATCH(BREAKDOWN!$H$3,BREAKDOWN!$G$3:$AB$3,0)),"")</f>
        <v>ROOFING &amp; METAL CLADDING</v>
      </c>
      <c r="C15" s="322">
        <f ca="1">IFERROR(INDEX(BREAKDOWN!$G$1:$AB$160,MATCH($A15,BREAKDOWN!$G:$G,0),MATCH(BREAKDOWN!$AB$3,BREAKDOWN!$G$3:$AB$3,0)),"")</f>
        <v>0</v>
      </c>
      <c r="D15" s="248">
        <f t="shared" ca="1" si="0"/>
        <v>0</v>
      </c>
    </row>
    <row r="16" spans="1:4" ht="18.75" customHeight="1" x14ac:dyDescent="0.25">
      <c r="A16" s="58">
        <f t="shared" si="1"/>
        <v>11</v>
      </c>
      <c r="B16" s="20" t="str">
        <f ca="1">IFERROR(INDEX(BREAKDOWN!$G$1:$AB$160,MATCH($A16,BREAKDOWN!$G:$G,0),MATCH(BREAKDOWN!$H$3,BREAKDOWN!$G$3:$AB$3,0)),"")</f>
        <v>EXTERNAL CLADDING</v>
      </c>
      <c r="C16" s="322">
        <f ca="1">IFERROR(INDEX(BREAKDOWN!$G$1:$AB$160,MATCH($A16,BREAKDOWN!$G:$G,0),MATCH(BREAKDOWN!$AB$3,BREAKDOWN!$G$3:$AB$3,0)),"")</f>
        <v>0</v>
      </c>
      <c r="D16" s="248">
        <f t="shared" ca="1" si="0"/>
        <v>0</v>
      </c>
    </row>
    <row r="17" spans="1:4" ht="18.75" customHeight="1" x14ac:dyDescent="0.25">
      <c r="A17" s="58">
        <f t="shared" si="1"/>
        <v>12</v>
      </c>
      <c r="B17" s="20" t="str">
        <f ca="1">IFERROR(INDEX(BREAKDOWN!$G$1:$AB$160,MATCH($A17,BREAKDOWN!$G:$G,0),MATCH(BREAKDOWN!$H$3,BREAKDOWN!$G$3:$AB$3,0)),"")</f>
        <v>CEILINGS &amp; PARTITIONS</v>
      </c>
      <c r="C17" s="322">
        <f ca="1">IFERROR(INDEX(BREAKDOWN!$G$1:$AB$160,MATCH($A17,BREAKDOWN!$G:$G,0),MATCH(BREAKDOWN!$AB$3,BREAKDOWN!$G$3:$AB$3,0)),"")</f>
        <v>0</v>
      </c>
      <c r="D17" s="248">
        <f t="shared" ca="1" si="0"/>
        <v>0</v>
      </c>
    </row>
    <row r="18" spans="1:4" ht="18.75" customHeight="1" x14ac:dyDescent="0.25">
      <c r="A18" s="58">
        <f t="shared" si="1"/>
        <v>13</v>
      </c>
      <c r="B18" s="20" t="str">
        <f ca="1">IFERROR(INDEX(BREAKDOWN!$G$1:$AB$160,MATCH($A18,BREAKDOWN!$G:$G,0),MATCH(BREAKDOWN!$H$3,BREAKDOWN!$G$3:$AB$3,0)),"")</f>
        <v>CARPENTRY</v>
      </c>
      <c r="C18" s="322">
        <f ca="1">IFERROR(INDEX(BREAKDOWN!$G$1:$AB$160,MATCH($A18,BREAKDOWN!$G:$G,0),MATCH(BREAKDOWN!$AB$3,BREAKDOWN!$G$3:$AB$3,0)),"")</f>
        <v>0</v>
      </c>
      <c r="D18" s="248">
        <f t="shared" ca="1" si="0"/>
        <v>0</v>
      </c>
    </row>
    <row r="19" spans="1:4" ht="18.75" customHeight="1" x14ac:dyDescent="0.25">
      <c r="A19" s="58">
        <f t="shared" si="1"/>
        <v>14</v>
      </c>
      <c r="B19" s="20" t="str">
        <f ca="1">IFERROR(INDEX(BREAKDOWN!$G$1:$AB$160,MATCH($A19,BREAKDOWN!$G:$G,0),MATCH(BREAKDOWN!$H$3,BREAKDOWN!$G$3:$AB$3,0)),"")</f>
        <v>STRUCTURAL STEEL</v>
      </c>
      <c r="C19" s="322">
        <f ca="1">IFERROR(INDEX(BREAKDOWN!$G$1:$AB$160,MATCH($A19,BREAKDOWN!$G:$G,0),MATCH(BREAKDOWN!$AB$3,BREAKDOWN!$G$3:$AB$3,0)),"")</f>
        <v>0</v>
      </c>
      <c r="D19" s="248">
        <f t="shared" ca="1" si="0"/>
        <v>0</v>
      </c>
    </row>
    <row r="20" spans="1:4" ht="18.75" customHeight="1" x14ac:dyDescent="0.25">
      <c r="A20" s="58">
        <f t="shared" si="1"/>
        <v>15</v>
      </c>
      <c r="B20" s="20" t="str">
        <f ca="1">IFERROR(INDEX(BREAKDOWN!$G$1:$AB$160,MATCH($A20,BREAKDOWN!$G:$G,0),MATCH(BREAKDOWN!$H$3,BREAKDOWN!$G$3:$AB$3,0)),"")</f>
        <v>METALWORK</v>
      </c>
      <c r="C20" s="322">
        <f ca="1">IFERROR(INDEX(BREAKDOWN!$G$1:$AB$160,MATCH($A20,BREAKDOWN!$G:$G,0),MATCH(BREAKDOWN!$AB$3,BREAKDOWN!$G$3:$AB$3,0)),"")</f>
        <v>0</v>
      </c>
      <c r="D20" s="248">
        <f t="shared" ca="1" si="0"/>
        <v>0</v>
      </c>
    </row>
    <row r="21" spans="1:4" ht="18.75" customHeight="1" x14ac:dyDescent="0.25">
      <c r="A21" s="58">
        <f t="shared" si="1"/>
        <v>16</v>
      </c>
      <c r="B21" s="20" t="str">
        <f ca="1">IFERROR(INDEX(BREAKDOWN!$G$1:$AB$160,MATCH($A21,BREAKDOWN!$G:$G,0),MATCH(BREAKDOWN!$H$3,BREAKDOWN!$G$3:$AB$3,0)),"")</f>
        <v>PLUMBING</v>
      </c>
      <c r="C21" s="322">
        <f ca="1">IFERROR(INDEX(BREAKDOWN!$G$1:$AB$160,MATCH($A21,BREAKDOWN!$G:$G,0),MATCH(BREAKDOWN!$AB$3,BREAKDOWN!$G$3:$AB$3,0)),"")</f>
        <v>0</v>
      </c>
      <c r="D21" s="248">
        <f t="shared" ca="1" si="0"/>
        <v>0</v>
      </c>
    </row>
    <row r="22" spans="1:4" ht="18.75" customHeight="1" x14ac:dyDescent="0.25">
      <c r="A22" s="58">
        <f t="shared" si="1"/>
        <v>17</v>
      </c>
      <c r="B22" s="20" t="str">
        <f ca="1">IFERROR(INDEX(BREAKDOWN!$G$1:$AB$160,MATCH($A22,BREAKDOWN!$G:$G,0),MATCH(BREAKDOWN!$H$3,BREAKDOWN!$G$3:$AB$3,0)),"")</f>
        <v>PLUMBING PC ITEM</v>
      </c>
      <c r="C22" s="322">
        <f ca="1">IFERROR(INDEX(BREAKDOWN!$G$1:$AB$160,MATCH($A22,BREAKDOWN!$G:$G,0),MATCH(BREAKDOWN!$AB$3,BREAKDOWN!$G$3:$AB$3,0)),"")</f>
        <v>0</v>
      </c>
      <c r="D22" s="248">
        <f t="shared" ca="1" si="0"/>
        <v>0</v>
      </c>
    </row>
    <row r="23" spans="1:4" ht="18.75" customHeight="1" x14ac:dyDescent="0.25">
      <c r="A23" s="58">
        <f t="shared" si="1"/>
        <v>18</v>
      </c>
      <c r="B23" s="20" t="str">
        <f ca="1">IFERROR(INDEX(BREAKDOWN!$G$1:$AB$160,MATCH($A23,BREAKDOWN!$G:$G,0),MATCH(BREAKDOWN!$H$3,BREAKDOWN!$G$3:$AB$3,0)),"")</f>
        <v>ELECTRICAL</v>
      </c>
      <c r="C23" s="322">
        <f ca="1">IFERROR(INDEX(BREAKDOWN!$G$1:$AB$160,MATCH($A23,BREAKDOWN!$G:$G,0),MATCH(BREAKDOWN!$AB$3,BREAKDOWN!$G$3:$AB$3,0)),"")</f>
        <v>0</v>
      </c>
      <c r="D23" s="248">
        <f t="shared" ca="1" si="0"/>
        <v>0</v>
      </c>
    </row>
    <row r="24" spans="1:4" ht="18.75" customHeight="1" x14ac:dyDescent="0.25">
      <c r="A24" s="58">
        <f t="shared" si="1"/>
        <v>19</v>
      </c>
      <c r="B24" s="20" t="str">
        <f ca="1">IFERROR(INDEX(BREAKDOWN!$G$1:$AB$160,MATCH($A24,BREAKDOWN!$G:$G,0),MATCH(BREAKDOWN!$H$3,BREAKDOWN!$G$3:$AB$3,0)),"")</f>
        <v>ELECTRICAL PC ITEM</v>
      </c>
      <c r="C24" s="322">
        <f ca="1">IFERROR(INDEX(BREAKDOWN!$G$1:$AB$160,MATCH($A24,BREAKDOWN!$G:$G,0),MATCH(BREAKDOWN!$AB$3,BREAKDOWN!$G$3:$AB$3,0)),"")</f>
        <v>0</v>
      </c>
      <c r="D24" s="248">
        <f t="shared" ca="1" si="0"/>
        <v>0</v>
      </c>
    </row>
    <row r="25" spans="1:4" ht="18.75" customHeight="1" x14ac:dyDescent="0.25">
      <c r="A25" s="58">
        <f t="shared" si="1"/>
        <v>20</v>
      </c>
      <c r="B25" s="20" t="str">
        <f ca="1">IFERROR(INDEX(BREAKDOWN!$G$1:$AB$160,MATCH($A25,BREAKDOWN!$G:$G,0),MATCH(BREAKDOWN!$H$3,BREAKDOWN!$G$3:$AB$3,0)),"")</f>
        <v>MECHANICAL</v>
      </c>
      <c r="C25" s="322">
        <f ca="1">IFERROR(INDEX(BREAKDOWN!$G$1:$AB$160,MATCH($A25,BREAKDOWN!$G:$G,0),MATCH(BREAKDOWN!$AB$3,BREAKDOWN!$G$3:$AB$3,0)),"")</f>
        <v>0</v>
      </c>
      <c r="D25" s="248">
        <f t="shared" ca="1" si="0"/>
        <v>0</v>
      </c>
    </row>
    <row r="26" spans="1:4" ht="18.75" customHeight="1" x14ac:dyDescent="0.25">
      <c r="A26" s="58">
        <f t="shared" si="1"/>
        <v>21</v>
      </c>
      <c r="B26" s="20" t="str">
        <f ca="1">IFERROR(INDEX(BREAKDOWN!$G$1:$AB$160,MATCH($A26,BREAKDOWN!$G:$G,0),MATCH(BREAKDOWN!$H$3,BREAKDOWN!$G$3:$AB$3,0)),"")</f>
        <v>FIRE</v>
      </c>
      <c r="C26" s="322">
        <f ca="1">IFERROR(INDEX(BREAKDOWN!$G$1:$AB$160,MATCH($A26,BREAKDOWN!$G:$G,0),MATCH(BREAKDOWN!$AB$3,BREAKDOWN!$G$3:$AB$3,0)),"")</f>
        <v>0</v>
      </c>
      <c r="D26" s="248">
        <f t="shared" ca="1" si="0"/>
        <v>0</v>
      </c>
    </row>
    <row r="27" spans="1:4" ht="18.75" customHeight="1" x14ac:dyDescent="0.25">
      <c r="A27" s="58">
        <f t="shared" si="1"/>
        <v>22</v>
      </c>
      <c r="B27" s="20" t="str">
        <f ca="1">IFERROR(INDEX(BREAKDOWN!$G$1:$AB$160,MATCH($A27,BREAKDOWN!$G:$G,0),MATCH(BREAKDOWN!$H$3,BREAKDOWN!$G$3:$AB$3,0)),"")</f>
        <v>BLOCKWORK</v>
      </c>
      <c r="C27" s="322">
        <f ca="1">IFERROR(INDEX(BREAKDOWN!$G$1:$AB$160,MATCH($A27,BREAKDOWN!$G:$G,0),MATCH(BREAKDOWN!$AB$3,BREAKDOWN!$G$3:$AB$3,0)),"")</f>
        <v>0</v>
      </c>
      <c r="D27" s="248">
        <f t="shared" ca="1" si="0"/>
        <v>0</v>
      </c>
    </row>
    <row r="28" spans="1:4" ht="18.75" customHeight="1" x14ac:dyDescent="0.25">
      <c r="A28" s="58">
        <f t="shared" si="1"/>
        <v>23</v>
      </c>
      <c r="B28" s="20" t="str">
        <f ca="1">IFERROR(INDEX(BREAKDOWN!$G$1:$AB$160,MATCH($A28,BREAKDOWN!$G:$G,0),MATCH(BREAKDOWN!$H$3,BREAKDOWN!$G$3:$AB$3,0)),"")</f>
        <v>RENDERING</v>
      </c>
      <c r="C28" s="322">
        <f ca="1">IFERROR(INDEX(BREAKDOWN!$G$1:$AB$160,MATCH($A28,BREAKDOWN!$G:$G,0),MATCH(BREAKDOWN!$AB$3,BREAKDOWN!$G$3:$AB$3,0)),"")</f>
        <v>0</v>
      </c>
      <c r="D28" s="248">
        <f t="shared" ca="1" si="0"/>
        <v>0</v>
      </c>
    </row>
    <row r="29" spans="1:4" ht="18.75" customHeight="1" x14ac:dyDescent="0.25">
      <c r="A29" s="58">
        <f t="shared" si="1"/>
        <v>24</v>
      </c>
      <c r="B29" s="20" t="str">
        <f ca="1">IFERROR(INDEX(BREAKDOWN!$G$1:$AB$160,MATCH($A29,BREAKDOWN!$G:$G,0),MATCH(BREAKDOWN!$H$3,BREAKDOWN!$G$3:$AB$3,0)),"")</f>
        <v>PAINTING</v>
      </c>
      <c r="C29" s="322">
        <f ca="1">IFERROR(INDEX(BREAKDOWN!$G$1:$AB$160,MATCH($A29,BREAKDOWN!$G:$G,0),MATCH(BREAKDOWN!$AB$3,BREAKDOWN!$G$3:$AB$3,0)),"")</f>
        <v>0</v>
      </c>
      <c r="D29" s="248">
        <f t="shared" ca="1" si="0"/>
        <v>0</v>
      </c>
    </row>
    <row r="30" spans="1:4" ht="18.75" customHeight="1" x14ac:dyDescent="0.25">
      <c r="A30" s="58">
        <f t="shared" si="1"/>
        <v>25</v>
      </c>
      <c r="B30" s="20" t="str">
        <f ca="1">IFERROR(INDEX(BREAKDOWN!$G$1:$AB$160,MATCH($A30,BREAKDOWN!$G:$G,0),MATCH(BREAKDOWN!$H$3,BREAKDOWN!$G$3:$AB$3,0)),"")</f>
        <v>JOINERY</v>
      </c>
      <c r="C30" s="322">
        <f ca="1">IFERROR(INDEX(BREAKDOWN!$G$1:$AB$160,MATCH($A30,BREAKDOWN!$G:$G,0),MATCH(BREAKDOWN!$AB$3,BREAKDOWN!$G$3:$AB$3,0)),"")</f>
        <v>0</v>
      </c>
      <c r="D30" s="248">
        <f t="shared" ca="1" si="0"/>
        <v>0</v>
      </c>
    </row>
    <row r="31" spans="1:4" ht="18.75" customHeight="1" x14ac:dyDescent="0.25">
      <c r="A31" s="58">
        <f>A30+1</f>
        <v>26</v>
      </c>
      <c r="B31" s="20" t="str">
        <f ca="1">IFERROR(INDEX(BREAKDOWN!$G$1:$AB$160,MATCH($A31,BREAKDOWN!$G:$G,0),MATCH(BREAKDOWN!$H$3,BREAKDOWN!$G$3:$AB$3,0)),"")</f>
        <v>WINDOWS &amp; DOORS</v>
      </c>
      <c r="C31" s="322">
        <f ca="1">IFERROR(INDEX(BREAKDOWN!$G$1:$AB$160,MATCH($A31,BREAKDOWN!$G:$G,0),MATCH(BREAKDOWN!$AB$3,BREAKDOWN!$G$3:$AB$3,0)),"")</f>
        <v>0</v>
      </c>
      <c r="D31" s="248">
        <f t="shared" ca="1" si="0"/>
        <v>0</v>
      </c>
    </row>
    <row r="32" spans="1:4" ht="18.75" customHeight="1" x14ac:dyDescent="0.25">
      <c r="A32" s="58">
        <f t="shared" ref="A32:A39" si="2">A31+1</f>
        <v>27</v>
      </c>
      <c r="B32" s="20" t="str">
        <f ca="1">IFERROR(INDEX(BREAKDOWN!$G$1:$AB$160,MATCH($A32,BREAKDOWN!$G:$G,0),MATCH(BREAKDOWN!$H$3,BREAKDOWN!$G$3:$AB$3,0)),"")</f>
        <v>WATERPROOFING</v>
      </c>
      <c r="C32" s="322">
        <f ca="1">IFERROR(INDEX(BREAKDOWN!$G$1:$AB$160,MATCH($A32,BREAKDOWN!$G:$G,0),MATCH(BREAKDOWN!$AB$3,BREAKDOWN!$G$3:$AB$3,0)),"")</f>
        <v>0</v>
      </c>
      <c r="D32" s="248">
        <f t="shared" ca="1" si="0"/>
        <v>0</v>
      </c>
    </row>
    <row r="33" spans="1:6" ht="18.75" customHeight="1" x14ac:dyDescent="0.25">
      <c r="A33" s="58">
        <f t="shared" si="2"/>
        <v>28</v>
      </c>
      <c r="B33" s="20" t="str">
        <f ca="1">IFERROR(INDEX(BREAKDOWN!$G$1:$AB$160,MATCH($A33,BREAKDOWN!$G:$G,0),MATCH(BREAKDOWN!$H$3,BREAKDOWN!$G$3:$AB$3,0)),"")</f>
        <v>TILING</v>
      </c>
      <c r="C33" s="322">
        <f ca="1">IFERROR(INDEX(BREAKDOWN!$G$1:$AB$160,MATCH($A33,BREAKDOWN!$G:$G,0),MATCH(BREAKDOWN!$AB$3,BREAKDOWN!$G$3:$AB$3,0)),"")</f>
        <v>0</v>
      </c>
      <c r="D33" s="248">
        <f t="shared" ca="1" si="0"/>
        <v>0</v>
      </c>
    </row>
    <row r="34" spans="1:6" ht="18.75" customHeight="1" x14ac:dyDescent="0.25">
      <c r="A34" s="58">
        <f t="shared" si="2"/>
        <v>29</v>
      </c>
      <c r="B34" s="20" t="str">
        <f ca="1">IFERROR(INDEX(BREAKDOWN!$G$1:$AB$160,MATCH($A34,BREAKDOWN!$G:$G,0),MATCH(BREAKDOWN!$H$3,BREAKDOWN!$G$3:$AB$3,0)),"")</f>
        <v>FLOOR FINISHES</v>
      </c>
      <c r="C34" s="322">
        <f ca="1">IFERROR(INDEX(BREAKDOWN!$G$1:$AB$160,MATCH($A34,BREAKDOWN!$G:$G,0),MATCH(BREAKDOWN!$AB$3,BREAKDOWN!$G$3:$AB$3,0)),"")</f>
        <v>0</v>
      </c>
      <c r="D34" s="248">
        <f t="shared" ca="1" si="0"/>
        <v>0</v>
      </c>
    </row>
    <row r="35" spans="1:6" ht="18.75" customHeight="1" x14ac:dyDescent="0.25">
      <c r="A35" s="58">
        <f t="shared" si="2"/>
        <v>30</v>
      </c>
      <c r="B35" s="20" t="str">
        <f ca="1">IFERROR(INDEX(BREAKDOWN!$G$1:$AB$160,MATCH($A35,BREAKDOWN!$G:$G,0),MATCH(BREAKDOWN!$H$3,BREAKDOWN!$G$3:$AB$3,0)),"")</f>
        <v>LIFT</v>
      </c>
      <c r="C35" s="322">
        <f ca="1">IFERROR(INDEX(BREAKDOWN!$G$1:$AB$160,MATCH($A35,BREAKDOWN!$G:$G,0),MATCH(BREAKDOWN!$AB$3,BREAKDOWN!$G$3:$AB$3,0)),"")</f>
        <v>0</v>
      </c>
      <c r="D35" s="248">
        <f t="shared" ca="1" si="0"/>
        <v>0</v>
      </c>
    </row>
    <row r="36" spans="1:6" ht="18.75" customHeight="1" x14ac:dyDescent="0.25">
      <c r="A36" s="58">
        <f t="shared" si="2"/>
        <v>31</v>
      </c>
      <c r="B36" s="20" t="str">
        <f ca="1">IFERROR(INDEX(BREAKDOWN!$G$1:$AB$160,MATCH($A36,BREAKDOWN!$G:$G,0),MATCH(BREAKDOWN!$H$3,BREAKDOWN!$G$3:$AB$3,0)),"")</f>
        <v>LANDSCAPING</v>
      </c>
      <c r="C36" s="322">
        <f ca="1">IFERROR(INDEX(BREAKDOWN!$G$1:$AB$160,MATCH($A36,BREAKDOWN!$G:$G,0),MATCH(BREAKDOWN!$AB$3,BREAKDOWN!$G$3:$AB$3,0)),"")</f>
        <v>0</v>
      </c>
      <c r="D36" s="248">
        <f t="shared" ca="1" si="0"/>
        <v>0</v>
      </c>
    </row>
    <row r="37" spans="1:6" ht="18.75" customHeight="1" x14ac:dyDescent="0.25">
      <c r="A37" s="58">
        <f t="shared" si="2"/>
        <v>32</v>
      </c>
      <c r="B37" s="20" t="str">
        <f ca="1">IFERROR(INDEX(BREAKDOWN!$G$1:$AB$160,MATCH($A37,BREAKDOWN!$G:$G,0),MATCH(BREAKDOWN!$H$3,BREAKDOWN!$G$3:$AB$3,0)),"")</f>
        <v>FENCING</v>
      </c>
      <c r="C37" s="322">
        <f ca="1">IFERROR(INDEX(BREAKDOWN!$G$1:$AB$160,MATCH($A37,BREAKDOWN!$G:$G,0),MATCH(BREAKDOWN!$AB$3,BREAKDOWN!$G$3:$AB$3,0)),"")</f>
        <v>0</v>
      </c>
      <c r="D37" s="248">
        <f t="shared" ca="1" si="0"/>
        <v>0</v>
      </c>
    </row>
    <row r="38" spans="1:6" ht="18.75" customHeight="1" x14ac:dyDescent="0.25">
      <c r="A38" s="58">
        <f t="shared" si="2"/>
        <v>33</v>
      </c>
      <c r="B38" s="20" t="str">
        <f ca="1">IFERROR(INDEX(BREAKDOWN!$G$1:$AB$160,MATCH($A38,BREAKDOWN!$G:$G,0),MATCH(BREAKDOWN!$H$3,BREAKDOWN!$G$3:$AB$3,0)),"")</f>
        <v>MISCELLANEOUS</v>
      </c>
      <c r="C38" s="322">
        <f ca="1">IFERROR(INDEX(BREAKDOWN!$G$1:$AB$160,MATCH($A38,BREAKDOWN!$G:$G,0),MATCH(BREAKDOWN!$AB$3,BREAKDOWN!$G$3:$AB$3,0)),"")</f>
        <v>0</v>
      </c>
      <c r="D38" s="248">
        <f t="shared" ca="1" si="0"/>
        <v>0</v>
      </c>
    </row>
    <row r="39" spans="1:6" ht="18.75" customHeight="1" x14ac:dyDescent="0.25">
      <c r="A39" s="58">
        <f t="shared" si="2"/>
        <v>34</v>
      </c>
      <c r="B39" s="20" t="str">
        <f ca="1">IFERROR(INDEX(BREAKDOWN!$G$1:$AB$160,MATCH($A39,BREAKDOWN!$G:$G,0),MATCH(BREAKDOWN!$H$3,BREAKDOWN!$G$3:$AB$3,0)),"")</f>
        <v/>
      </c>
      <c r="C39" s="322" t="str">
        <f ca="1">IFERROR(INDEX(BREAKDOWN!$G$1:$AB$160,MATCH($A39,BREAKDOWN!$G:$G,0),MATCH(BREAKDOWN!$AB$3,BREAKDOWN!$G$3:$AB$3,0)),"")</f>
        <v/>
      </c>
      <c r="D39" s="248">
        <f t="shared" ref="D39" ca="1" si="3">IFERROR(C39/$C$40,0)</f>
        <v>0</v>
      </c>
    </row>
    <row r="40" spans="1:6" x14ac:dyDescent="0.25">
      <c r="A40" s="19"/>
      <c r="B40" s="249" t="str">
        <f>BREAKDOWN!G160</f>
        <v>PROJECT TOTAL (ex GST)</v>
      </c>
      <c r="C40" s="250">
        <f ca="1">SUM(C6:C38)</f>
        <v>0</v>
      </c>
      <c r="D40" s="251"/>
      <c r="F40" s="44">
        <f ca="1">C40-BREAKDOWN!Q160</f>
        <v>0</v>
      </c>
    </row>
    <row r="42" spans="1:6" ht="30" customHeight="1" thickBot="1" x14ac:dyDescent="0.3">
      <c r="A42" s="40"/>
      <c r="B42" s="41"/>
      <c r="C42" s="61"/>
      <c r="D42" s="42"/>
    </row>
  </sheetData>
  <sheetProtection algorithmName="SHA-512" hashValue="3et3oil1Mnl/nFuAI6xcJWmhxpGZR6tz0jo8Z3tXg05sct64a4KMrFQxF3Wp4ahQBjW3ZqPyJIxRSO6JxBcmyg==" saltValue="XE3pqfGUFH5Ste4Kp2AG6A==" spinCount="100000" sheet="1" objects="1" scenarios="1"/>
  <conditionalFormatting sqref="F40">
    <cfRule type="cellIs" dxfId="236" priority="1" operator="lessThan">
      <formula>0</formula>
    </cfRule>
    <cfRule type="cellIs" dxfId="235" priority="2" operator="greaterThan">
      <formula>0</formula>
    </cfRule>
    <cfRule type="cellIs" dxfId="234" priority="3" operator="equal">
      <formula>0</formula>
    </cfRule>
  </conditionalFormatting>
  <pageMargins left="0.70866141732283472" right="0.70866141732283472" top="0.74803149606299213" bottom="0.74803149606299213" header="0.31496062992125984" footer="0.31496062992125984"/>
  <pageSetup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AD164"/>
  <sheetViews>
    <sheetView view="pageBreakPreview" topLeftCell="G1" zoomScale="70" zoomScaleNormal="85" zoomScaleSheetLayoutView="70" zoomScalePageLayoutView="85" workbookViewId="0">
      <pane ySplit="3" topLeftCell="A4" activePane="bottomLeft" state="frozen"/>
      <selection activeCell="L81" sqref="L81"/>
      <selection pane="bottomLeft"/>
    </sheetView>
  </sheetViews>
  <sheetFormatPr defaultColWidth="8.85546875" defaultRowHeight="15" outlineLevelCol="1" x14ac:dyDescent="0.25"/>
  <cols>
    <col min="1" max="1" width="10.42578125" style="526" hidden="1" customWidth="1" outlineLevel="1"/>
    <col min="2" max="2" width="9.5703125" style="526" hidden="1" customWidth="1" outlineLevel="1"/>
    <col min="3" max="4" width="10" style="526" hidden="1" customWidth="1" outlineLevel="1"/>
    <col min="5" max="5" width="9" style="526" hidden="1" customWidth="1" outlineLevel="1"/>
    <col min="6" max="6" width="10" style="526" hidden="1" customWidth="1" outlineLevel="1"/>
    <col min="7" max="7" width="12.42578125" style="528" customWidth="1" collapsed="1"/>
    <col min="8" max="8" width="61" style="19" customWidth="1"/>
    <col min="9" max="9" width="10.5703125" style="519" customWidth="1"/>
    <col min="10" max="10" width="10.5703125" style="529" customWidth="1"/>
    <col min="11" max="14" width="14.42578125" style="62" customWidth="1" outlineLevel="1"/>
    <col min="15" max="15" width="17.140625" style="62" customWidth="1" outlineLevel="1"/>
    <col min="16" max="16" width="14.42578125" style="62" bestFit="1" customWidth="1"/>
    <col min="17" max="17" width="18.5703125" style="530" customWidth="1"/>
    <col min="18" max="18" width="47.5703125" style="19" customWidth="1"/>
    <col min="19" max="19" width="15.42578125" style="519" customWidth="1"/>
    <col min="20" max="20" width="15.42578125" style="62" customWidth="1"/>
    <col min="21" max="21" width="15.42578125" style="19" customWidth="1" outlineLevel="1"/>
    <col min="22" max="22" width="16.42578125" style="19" customWidth="1" outlineLevel="1"/>
    <col min="23" max="24" width="16.140625" style="19" customWidth="1" outlineLevel="1"/>
    <col min="25" max="28" width="16.5703125" style="19" customWidth="1" outlineLevel="1"/>
    <col min="29" max="29" width="15.140625" style="19" customWidth="1" outlineLevel="1"/>
    <col min="30" max="16384" width="8.85546875" style="19"/>
  </cols>
  <sheetData>
    <row r="1" spans="1:30" s="454" customFormat="1" ht="19.5" thickBot="1" x14ac:dyDescent="0.3">
      <c r="A1" s="447"/>
      <c r="B1" s="447"/>
      <c r="C1" s="447"/>
      <c r="D1" s="447"/>
      <c r="E1" s="447"/>
      <c r="F1" s="448"/>
      <c r="G1" s="449" t="s">
        <v>12</v>
      </c>
      <c r="H1" s="45" t="str">
        <f>Notes!$B$5</f>
        <v>Redevelopment of Council Workshop</v>
      </c>
      <c r="I1" s="450" t="s">
        <v>16</v>
      </c>
      <c r="J1" s="451"/>
      <c r="K1" s="452"/>
      <c r="L1" s="452"/>
      <c r="M1" s="452"/>
      <c r="N1" s="452"/>
      <c r="O1" s="452"/>
      <c r="P1" s="452"/>
      <c r="Q1" s="453">
        <f ca="1">TODAY()</f>
        <v>45050</v>
      </c>
      <c r="S1" s="455"/>
      <c r="T1" s="456"/>
    </row>
    <row r="2" spans="1:30" s="454" customFormat="1" ht="20.25" thickTop="1" thickBot="1" x14ac:dyDescent="0.3">
      <c r="A2" s="607" t="s">
        <v>364</v>
      </c>
      <c r="B2" s="608"/>
      <c r="C2" s="608"/>
      <c r="D2" s="608"/>
      <c r="E2" s="608"/>
      <c r="F2" s="609"/>
      <c r="G2" s="602" t="s">
        <v>41</v>
      </c>
      <c r="H2" s="603"/>
      <c r="I2" s="603"/>
      <c r="J2" s="603"/>
      <c r="K2" s="603"/>
      <c r="L2" s="603"/>
      <c r="M2" s="603"/>
      <c r="N2" s="603"/>
      <c r="O2" s="603"/>
      <c r="P2" s="603"/>
      <c r="Q2" s="604"/>
      <c r="S2" s="455"/>
      <c r="T2" s="456"/>
      <c r="U2" s="605" t="s">
        <v>41</v>
      </c>
      <c r="V2" s="606"/>
      <c r="W2" s="606"/>
      <c r="X2" s="606"/>
      <c r="Y2" s="606"/>
      <c r="Z2" s="606"/>
      <c r="AA2" s="606"/>
      <c r="AB2" s="606"/>
    </row>
    <row r="3" spans="1:30" s="469" customFormat="1" ht="48.75" thickTop="1" thickBot="1" x14ac:dyDescent="0.3">
      <c r="A3" s="457" t="s">
        <v>365</v>
      </c>
      <c r="B3" s="457" t="s">
        <v>366</v>
      </c>
      <c r="C3" s="457" t="s">
        <v>367</v>
      </c>
      <c r="D3" s="457" t="s">
        <v>368</v>
      </c>
      <c r="E3" s="457" t="s">
        <v>369</v>
      </c>
      <c r="F3" s="458" t="s">
        <v>370</v>
      </c>
      <c r="G3" s="459" t="s">
        <v>0</v>
      </c>
      <c r="H3" s="460" t="s">
        <v>14</v>
      </c>
      <c r="I3" s="461" t="s">
        <v>1</v>
      </c>
      <c r="J3" s="460" t="s">
        <v>2</v>
      </c>
      <c r="K3" s="462" t="s">
        <v>26</v>
      </c>
      <c r="L3" s="462" t="s">
        <v>27</v>
      </c>
      <c r="M3" s="462" t="s">
        <v>28</v>
      </c>
      <c r="N3" s="462" t="s">
        <v>34</v>
      </c>
      <c r="O3" s="462" t="s">
        <v>615</v>
      </c>
      <c r="P3" s="463" t="s">
        <v>3</v>
      </c>
      <c r="Q3" s="464" t="s">
        <v>4</v>
      </c>
      <c r="R3" s="465" t="s">
        <v>22</v>
      </c>
      <c r="S3" s="466" t="s">
        <v>716</v>
      </c>
      <c r="T3" s="467" t="s">
        <v>717</v>
      </c>
      <c r="U3" s="468" t="s">
        <v>37</v>
      </c>
      <c r="V3" s="468" t="s">
        <v>38</v>
      </c>
      <c r="W3" s="468" t="s">
        <v>39</v>
      </c>
      <c r="X3" s="468" t="s">
        <v>40</v>
      </c>
      <c r="Y3" s="468" t="s">
        <v>161</v>
      </c>
      <c r="Z3" s="468" t="s">
        <v>239</v>
      </c>
      <c r="AA3" s="468" t="s">
        <v>240</v>
      </c>
      <c r="AB3" s="468" t="s">
        <v>241</v>
      </c>
    </row>
    <row r="4" spans="1:30" s="483" customFormat="1" ht="15.75" x14ac:dyDescent="0.25">
      <c r="A4" s="470"/>
      <c r="B4" s="470"/>
      <c r="C4" s="470"/>
      <c r="D4" s="470"/>
      <c r="E4" s="470"/>
      <c r="F4" s="471"/>
      <c r="G4" s="472">
        <f ca="1">ROUNDDOWN(MAX(G$1:OFFSET(G4,-1,0))+1,0)</f>
        <v>1</v>
      </c>
      <c r="H4" s="473" t="str">
        <f ca="1">INDEX(Preliminaries!B:B,MATCH(BREAKDOWN!G4,Preliminaries!A:A))</f>
        <v>PRELIMINARIES</v>
      </c>
      <c r="I4" s="474"/>
      <c r="J4" s="475"/>
      <c r="K4" s="476"/>
      <c r="L4" s="476"/>
      <c r="M4" s="476"/>
      <c r="N4" s="476"/>
      <c r="O4" s="476"/>
      <c r="P4" s="476"/>
      <c r="Q4" s="477">
        <f ca="1">SUMIFS(Q:Q,$G:$G,"&gt;"&amp;$G4,$G:$G,"&lt;"&amp;($G4+1))</f>
        <v>0</v>
      </c>
      <c r="R4" s="478">
        <f ca="1">Q4
-INDEX(INDIRECT("'"&amp;H4&amp;"'!B:T"),MATCH($Q$3,INDIRECT("'"&amp;H4&amp;"'!B:B"),0),MATCH($Q$3,INDIRECT("'"&amp;H4&amp;"'!B$1:T$1"),0))
-(SUMIFS(U:U,$G:$G,"&gt;"&amp;$G4,$G:$G,"&lt;"&amp;($G4+1))-SUMIFS(U:U,$G:$G,"&gt;"&amp;$G4,$G:$G,"&lt;"&amp;($G4+1))/INDEX('Labour Rates'!F$4:F$35,MATCH(ROUNDDOWN(BREAKDOWN!G4,0),'Labour Rates'!A$4:A$35)))</f>
        <v>0</v>
      </c>
      <c r="S4" s="479"/>
      <c r="T4" s="480"/>
      <c r="U4" s="481"/>
      <c r="V4" s="481"/>
      <c r="W4" s="481"/>
      <c r="X4" s="481"/>
      <c r="Y4" s="481"/>
      <c r="Z4" s="481"/>
      <c r="AA4" s="481"/>
      <c r="AB4" s="482">
        <f ca="1">SUM(AB5:AB14)</f>
        <v>0</v>
      </c>
    </row>
    <row r="5" spans="1:30" s="483" customFormat="1" ht="15.75" x14ac:dyDescent="0.25">
      <c r="A5" s="484"/>
      <c r="B5" s="484"/>
      <c r="C5" s="484"/>
      <c r="D5" s="484"/>
      <c r="E5" s="484"/>
      <c r="F5" s="485"/>
      <c r="G5" s="486">
        <f ca="1">OFFSET(G5,-1,0)+0.01</f>
        <v>1.01</v>
      </c>
      <c r="H5" s="487" t="str">
        <f t="shared" ref="H5:H14" ca="1" si="0">IF($I5&lt;&gt;0,
INDEX(INDIRECT("'"&amp;INDEX($H:$H,MATCH(ROUNDDOWN($G5,0),$G:$G))&amp;"'!$B:$T"),
MATCH($G5,INDIRECT("'"&amp;INDEX($H:$H,MATCH(ROUNDDOWN($G5,0),$G:$G))&amp;"'!$A:$A"),0),
MATCH(H$3,INDIRECT("'"&amp;INDEX($H:$H,MATCH(ROUNDDOWN($G5,0),$G:$G))&amp;"'!$B$1:$T$1"),0)),0)</f>
        <v>Project Team</v>
      </c>
      <c r="I5" s="488">
        <f t="shared" ref="I5:J14" ca="1" si="1">IFERROR(
INDEX(INDIRECT("'"&amp;INDEX($H:$H,MATCH(ROUNDDOWN($G5,0),$G:$G))&amp;"'!$B:$T"),
MATCH($G5,INDIRECT("'"&amp;INDEX($H:$H,MATCH(ROUNDDOWN($G5,0),$G:$G))&amp;"'!$A:$A"),0),
MATCH(I$3,INDIRECT("'"&amp;INDEX($H:$H,MATCH(ROUNDDOWN($G5,0),$G:$G))&amp;"'!$B$1:$T$1"),0)),0)</f>
        <v>1</v>
      </c>
      <c r="J5" s="489" t="str">
        <f t="shared" ca="1" si="1"/>
        <v>item</v>
      </c>
      <c r="K5" s="490">
        <f ca="1">IFERROR(
INDEX(INDIRECT("'"&amp;INDEX($H:$H,MATCH(ROUNDDOWN($G5,0),$G:$G))&amp;"'!$B:$T"),
MATCH($G5,INDIRECT("'"&amp;INDEX($H:$H,MATCH(ROUNDDOWN($G5,0),$G:$G))&amp;"'!$A:$A"),0),
MATCH(K$3,INDIRECT("'"&amp;INDEX($H:$H,MATCH(ROUNDDOWN($G5,0),$G:$G))&amp;"'!$B$1:$T$1"),0)),0)
*INDEX('Labour Rates'!F$4:F$35,MATCH(ROUNDDOWN(BREAKDOWN!G5,0),'Labour Rates'!A$4:A$35))</f>
        <v>0</v>
      </c>
      <c r="L5" s="490">
        <f t="shared" ref="L5:N14" ca="1" si="2">IFERROR(
INDEX(INDIRECT("'"&amp;INDEX($H:$H,MATCH(ROUNDDOWN($G5,0),$G:$G))&amp;"'!$B:$T"),
MATCH($G5,INDIRECT("'"&amp;INDEX($H:$H,MATCH(ROUNDDOWN($G5,0),$G:$G))&amp;"'!$A:$A"),0),
MATCH(L$3,INDIRECT("'"&amp;INDEX($H:$H,MATCH(ROUNDDOWN($G5,0),$G:$G))&amp;"'!$B$1:$T$1"),0)),0)</f>
        <v>0</v>
      </c>
      <c r="M5" s="490">
        <f t="shared" ca="1" si="2"/>
        <v>0</v>
      </c>
      <c r="N5" s="490">
        <f t="shared" ca="1" si="2"/>
        <v>0</v>
      </c>
      <c r="O5" s="490">
        <f t="shared" ref="O5:O14" ca="1" si="3">IFERROR(
INDEX(INDIRECT("'"&amp;INDEX($H:$H,MATCH(ROUNDDOWN($G5,0),$G:$G))&amp;"'!$V:$Z"),
MATCH($G5,INDIRECT("'"&amp;INDEX($H:$H,MATCH(ROUNDDOWN($G5,0),$G:$G))&amp;"'!$A:$A"),0),
MATCH(O$3,INDIRECT("'"&amp;INDEX($H:$H,MATCH(ROUNDDOWN($G5,0),$G:$G))&amp;"'!$V$2:$Z$2"),0)),0)</f>
        <v>0</v>
      </c>
      <c r="P5" s="491">
        <f t="shared" ref="P5:P14" ca="1" si="4">IFERROR(IF(O5="inc","inc",IF(AND(O5&gt;0,I5&gt;0),O5/I5,IF(SUM(K5:N5)&gt;0,SUM(K5:N5),0))),0)</f>
        <v>0</v>
      </c>
      <c r="Q5" s="492">
        <f t="shared" ref="Q5:Q14" ca="1" si="5">IFERROR(IF(P5="",0,I5*P5),0)</f>
        <v>0</v>
      </c>
      <c r="R5" s="493" t="str">
        <f t="shared" ref="R5:R14" ca="1" si="6">IFERROR(
INDEX(INDIRECT("'"&amp;INDEX($H:$H,MATCH(ROUNDDOWN($G5,0),$G:$G))&amp;"'!$W:$AA"),
MATCH($G5,INDIRECT("'"&amp;INDEX($H:$H,MATCH(ROUNDDOWN($G5,0),$G:$G))&amp;"'!$A:$A"),0),
MATCH(R$3,INDIRECT("'"&amp;INDEX($H:$H,MATCH(ROUNDDOWN($G5,0),$G:$G))&amp;"'!$W$1:$AA$1"),0)),"")</f>
        <v/>
      </c>
      <c r="S5" s="494" t="str">
        <f ca="1">IFERROR(U5/T5,"")</f>
        <v/>
      </c>
      <c r="T5" s="495" t="s">
        <v>616</v>
      </c>
      <c r="U5" s="496">
        <f ca="1">IF($Y5&gt;0, 0, IFERROR($I5*K5,0))</f>
        <v>0</v>
      </c>
      <c r="V5" s="496">
        <f t="shared" ref="V5:V14" ca="1" si="7">IF($Y5&gt;0, 0, IFERROR($I5*L5,0))</f>
        <v>0</v>
      </c>
      <c r="W5" s="496">
        <f t="shared" ref="W5:W14" ca="1" si="8">IF($Y5&gt;0, 0, IFERROR($I5*M5,0))</f>
        <v>0</v>
      </c>
      <c r="X5" s="496">
        <f t="shared" ref="X5:X14" ca="1" si="9">IF($Y5&gt;0, 0, IFERROR($I5*N5,0))</f>
        <v>0</v>
      </c>
      <c r="Y5" s="497">
        <f t="shared" ref="Y5:Y14" ca="1" si="10">IF(I5&gt;0,O5,0)</f>
        <v>0</v>
      </c>
      <c r="Z5" s="497">
        <f t="shared" ref="Z5:Z14" ca="1" si="11">Q5*$I$158</f>
        <v>0</v>
      </c>
      <c r="AA5" s="497">
        <f t="shared" ref="AA5:AA14" ca="1" si="12">Q5*$I$159</f>
        <v>0</v>
      </c>
      <c r="AB5" s="497">
        <f t="shared" ref="AB5:AB14" ca="1" si="13">SUM(U5:AA5)</f>
        <v>0</v>
      </c>
      <c r="AC5" s="498">
        <f t="shared" ref="AC5:AC14" ca="1" si="14">SUM(U5:Y5)-Q5</f>
        <v>0</v>
      </c>
    </row>
    <row r="6" spans="1:30" s="500" customFormat="1" ht="15.75" x14ac:dyDescent="0.25">
      <c r="A6" s="484"/>
      <c r="B6" s="484"/>
      <c r="C6" s="484"/>
      <c r="D6" s="484"/>
      <c r="E6" s="484"/>
      <c r="F6" s="485"/>
      <c r="G6" s="486">
        <f t="shared" ref="G6:G14" ca="1" si="15">OFFSET(G6,-1,0)+0.01</f>
        <v>1.02</v>
      </c>
      <c r="H6" s="487" t="str">
        <f t="shared" ca="1" si="0"/>
        <v>Site Preliminaries</v>
      </c>
      <c r="I6" s="488">
        <f t="shared" ca="1" si="1"/>
        <v>1</v>
      </c>
      <c r="J6" s="489" t="str">
        <f t="shared" ca="1" si="1"/>
        <v>item</v>
      </c>
      <c r="K6" s="490">
        <f ca="1">IFERROR(
INDEX(INDIRECT("'"&amp;INDEX($H:$H,MATCH(ROUNDDOWN($G6,0),$G:$G))&amp;"'!$B:$T"),
MATCH($G6,INDIRECT("'"&amp;INDEX($H:$H,MATCH(ROUNDDOWN($G6,0),$G:$G))&amp;"'!$A:$A"),0),
MATCH(K$3,INDIRECT("'"&amp;INDEX($H:$H,MATCH(ROUNDDOWN($G6,0),$G:$G))&amp;"'!$B$1:$T$1"),0)),0)
*INDEX('Labour Rates'!F$4:F$35,MATCH(ROUNDDOWN(BREAKDOWN!G6,0),'Labour Rates'!A$4:A$35))</f>
        <v>0</v>
      </c>
      <c r="L6" s="490">
        <f t="shared" ca="1" si="2"/>
        <v>0</v>
      </c>
      <c r="M6" s="490">
        <f t="shared" ca="1" si="2"/>
        <v>0</v>
      </c>
      <c r="N6" s="490">
        <f t="shared" ca="1" si="2"/>
        <v>0</v>
      </c>
      <c r="O6" s="490">
        <f t="shared" ca="1" si="3"/>
        <v>0</v>
      </c>
      <c r="P6" s="491">
        <f t="shared" ca="1" si="4"/>
        <v>0</v>
      </c>
      <c r="Q6" s="492">
        <f t="shared" ca="1" si="5"/>
        <v>0</v>
      </c>
      <c r="R6" s="493" t="str">
        <f t="shared" ca="1" si="6"/>
        <v/>
      </c>
      <c r="S6" s="494">
        <f ca="1">IFERROR(U6/T6,"")</f>
        <v>0</v>
      </c>
      <c r="T6" s="499">
        <f ca="1">IF(I6=0,0,INDEX('Labour Rates'!E$4:E$35,MATCH(ROUNDDOWN(BREAKDOWN!G6,0),'Labour Rates'!A$4:A$35)))</f>
        <v>80.84</v>
      </c>
      <c r="U6" s="496">
        <f t="shared" ref="U6:U14" ca="1" si="16">IF($Y6&gt;0, 0, IFERROR($I6*K6,0))</f>
        <v>0</v>
      </c>
      <c r="V6" s="496">
        <f t="shared" ca="1" si="7"/>
        <v>0</v>
      </c>
      <c r="W6" s="496">
        <f t="shared" ca="1" si="8"/>
        <v>0</v>
      </c>
      <c r="X6" s="496">
        <f t="shared" ca="1" si="9"/>
        <v>0</v>
      </c>
      <c r="Y6" s="497">
        <f t="shared" ca="1" si="10"/>
        <v>0</v>
      </c>
      <c r="Z6" s="497">
        <f t="shared" ca="1" si="11"/>
        <v>0</v>
      </c>
      <c r="AA6" s="497">
        <f t="shared" ca="1" si="12"/>
        <v>0</v>
      </c>
      <c r="AB6" s="497">
        <f t="shared" ca="1" si="13"/>
        <v>0</v>
      </c>
      <c r="AC6" s="498">
        <f t="shared" ca="1" si="14"/>
        <v>0</v>
      </c>
    </row>
    <row r="7" spans="1:30" s="500" customFormat="1" ht="15.75" x14ac:dyDescent="0.25">
      <c r="A7" s="484"/>
      <c r="B7" s="484"/>
      <c r="C7" s="484"/>
      <c r="D7" s="484"/>
      <c r="E7" s="484"/>
      <c r="F7" s="485"/>
      <c r="G7" s="486">
        <f t="shared" ca="1" si="15"/>
        <v>1.03</v>
      </c>
      <c r="H7" s="487" t="str">
        <f t="shared" ca="1" si="0"/>
        <v>Final Clean</v>
      </c>
      <c r="I7" s="488">
        <f t="shared" ca="1" si="1"/>
        <v>1</v>
      </c>
      <c r="J7" s="489" t="str">
        <f t="shared" ca="1" si="1"/>
        <v>item</v>
      </c>
      <c r="K7" s="490">
        <f ca="1">IFERROR(
INDEX(INDIRECT("'"&amp;INDEX($H:$H,MATCH(ROUNDDOWN($G7,0),$G:$G))&amp;"'!$B:$T"),
MATCH($G7,INDIRECT("'"&amp;INDEX($H:$H,MATCH(ROUNDDOWN($G7,0),$G:$G))&amp;"'!$A:$A"),0),
MATCH(K$3,INDIRECT("'"&amp;INDEX($H:$H,MATCH(ROUNDDOWN($G7,0),$G:$G))&amp;"'!$B$1:$T$1"),0)),0)
*INDEX('Labour Rates'!F$4:F$35,MATCH(ROUNDDOWN(BREAKDOWN!G7,0),'Labour Rates'!A$4:A$35))</f>
        <v>0</v>
      </c>
      <c r="L7" s="490">
        <f t="shared" ca="1" si="2"/>
        <v>0</v>
      </c>
      <c r="M7" s="490">
        <f t="shared" ca="1" si="2"/>
        <v>0</v>
      </c>
      <c r="N7" s="490">
        <f t="shared" ca="1" si="2"/>
        <v>0</v>
      </c>
      <c r="O7" s="490">
        <f t="shared" ca="1" si="3"/>
        <v>0</v>
      </c>
      <c r="P7" s="491">
        <f t="shared" ca="1" si="4"/>
        <v>0</v>
      </c>
      <c r="Q7" s="492">
        <f t="shared" ca="1" si="5"/>
        <v>0</v>
      </c>
      <c r="R7" s="493" t="str">
        <f t="shared" ca="1" si="6"/>
        <v/>
      </c>
      <c r="S7" s="494">
        <f t="shared" ref="S7:S16" ca="1" si="17">IFERROR(U7/T7,"")</f>
        <v>0</v>
      </c>
      <c r="T7" s="499">
        <f ca="1">IF(I7=0,0,INDEX('Labour Rates'!E$4:E$35,MATCH(ROUNDDOWN(BREAKDOWN!G7,0),'Labour Rates'!A$4:A$35)))</f>
        <v>80.84</v>
      </c>
      <c r="U7" s="496">
        <f t="shared" ca="1" si="16"/>
        <v>0</v>
      </c>
      <c r="V7" s="496">
        <f t="shared" ca="1" si="7"/>
        <v>0</v>
      </c>
      <c r="W7" s="496">
        <f t="shared" ca="1" si="8"/>
        <v>0</v>
      </c>
      <c r="X7" s="496">
        <f t="shared" ca="1" si="9"/>
        <v>0</v>
      </c>
      <c r="Y7" s="497">
        <f t="shared" ca="1" si="10"/>
        <v>0</v>
      </c>
      <c r="Z7" s="497">
        <f t="shared" ca="1" si="11"/>
        <v>0</v>
      </c>
      <c r="AA7" s="497">
        <f t="shared" ca="1" si="12"/>
        <v>0</v>
      </c>
      <c r="AB7" s="497">
        <f t="shared" ca="1" si="13"/>
        <v>0</v>
      </c>
      <c r="AC7" s="498">
        <f t="shared" ca="1" si="14"/>
        <v>0</v>
      </c>
    </row>
    <row r="8" spans="1:30" s="483" customFormat="1" ht="15.75" x14ac:dyDescent="0.25">
      <c r="A8" s="484"/>
      <c r="B8" s="484"/>
      <c r="C8" s="485"/>
      <c r="D8" s="485"/>
      <c r="E8" s="484"/>
      <c r="F8" s="485"/>
      <c r="G8" s="486">
        <f t="shared" ca="1" si="15"/>
        <v>1.04</v>
      </c>
      <c r="H8" s="487" t="str">
        <f t="shared" ca="1" si="0"/>
        <v>Site Sheds &amp; Toilets</v>
      </c>
      <c r="I8" s="488">
        <f t="shared" ca="1" si="1"/>
        <v>1</v>
      </c>
      <c r="J8" s="489" t="str">
        <f t="shared" ca="1" si="1"/>
        <v>item</v>
      </c>
      <c r="K8" s="490">
        <f ca="1">IFERROR(
INDEX(INDIRECT("'"&amp;INDEX($H:$H,MATCH(ROUNDDOWN($G8,0),$G:$G))&amp;"'!$B:$T"),
MATCH($G8,INDIRECT("'"&amp;INDEX($H:$H,MATCH(ROUNDDOWN($G8,0),$G:$G))&amp;"'!$A:$A"),0),
MATCH(K$3,INDIRECT("'"&amp;INDEX($H:$H,MATCH(ROUNDDOWN($G8,0),$G:$G))&amp;"'!$B$1:$T$1"),0)),0)
*INDEX('Labour Rates'!F$4:F$35,MATCH(ROUNDDOWN(BREAKDOWN!G8,0),'Labour Rates'!A$4:A$35))</f>
        <v>0</v>
      </c>
      <c r="L8" s="490">
        <f t="shared" ca="1" si="2"/>
        <v>0</v>
      </c>
      <c r="M8" s="490">
        <f t="shared" ca="1" si="2"/>
        <v>0</v>
      </c>
      <c r="N8" s="490">
        <f t="shared" ca="1" si="2"/>
        <v>0</v>
      </c>
      <c r="O8" s="490">
        <f t="shared" ca="1" si="3"/>
        <v>0</v>
      </c>
      <c r="P8" s="491">
        <f t="shared" ca="1" si="4"/>
        <v>0</v>
      </c>
      <c r="Q8" s="492">
        <f t="shared" ca="1" si="5"/>
        <v>0</v>
      </c>
      <c r="R8" s="493" t="str">
        <f t="shared" ca="1" si="6"/>
        <v/>
      </c>
      <c r="S8" s="494">
        <f t="shared" ca="1" si="17"/>
        <v>0</v>
      </c>
      <c r="T8" s="499">
        <f ca="1">IF(I8=0,0,INDEX('Labour Rates'!E$4:E$35,MATCH(ROUNDDOWN(BREAKDOWN!G8,0),'Labour Rates'!A$4:A$35)))</f>
        <v>80.84</v>
      </c>
      <c r="U8" s="496">
        <f t="shared" ca="1" si="16"/>
        <v>0</v>
      </c>
      <c r="V8" s="496">
        <f t="shared" ca="1" si="7"/>
        <v>0</v>
      </c>
      <c r="W8" s="496">
        <f t="shared" ca="1" si="8"/>
        <v>0</v>
      </c>
      <c r="X8" s="496">
        <f t="shared" ca="1" si="9"/>
        <v>0</v>
      </c>
      <c r="Y8" s="497">
        <f t="shared" ca="1" si="10"/>
        <v>0</v>
      </c>
      <c r="Z8" s="497">
        <f t="shared" ca="1" si="11"/>
        <v>0</v>
      </c>
      <c r="AA8" s="497">
        <f t="shared" ca="1" si="12"/>
        <v>0</v>
      </c>
      <c r="AB8" s="497">
        <f t="shared" ca="1" si="13"/>
        <v>0</v>
      </c>
      <c r="AC8" s="498">
        <f t="shared" ca="1" si="14"/>
        <v>0</v>
      </c>
    </row>
    <row r="9" spans="1:30" s="500" customFormat="1" ht="15.75" x14ac:dyDescent="0.25">
      <c r="A9" s="484"/>
      <c r="B9" s="484"/>
      <c r="C9" s="484"/>
      <c r="D9" s="484"/>
      <c r="E9" s="484"/>
      <c r="F9" s="485"/>
      <c r="G9" s="486">
        <f t="shared" ca="1" si="15"/>
        <v>1.05</v>
      </c>
      <c r="H9" s="487" t="str">
        <f t="shared" ca="1" si="0"/>
        <v>Temporary Services</v>
      </c>
      <c r="I9" s="488">
        <f t="shared" ca="1" si="1"/>
        <v>1</v>
      </c>
      <c r="J9" s="489" t="str">
        <f t="shared" ca="1" si="1"/>
        <v>item</v>
      </c>
      <c r="K9" s="490">
        <f ca="1">IFERROR(
INDEX(INDIRECT("'"&amp;INDEX($H:$H,MATCH(ROUNDDOWN($G9,0),$G:$G))&amp;"'!$B:$T"),
MATCH($G9,INDIRECT("'"&amp;INDEX($H:$H,MATCH(ROUNDDOWN($G9,0),$G:$G))&amp;"'!$A:$A"),0),
MATCH(K$3,INDIRECT("'"&amp;INDEX($H:$H,MATCH(ROUNDDOWN($G9,0),$G:$G))&amp;"'!$B$1:$T$1"),0)),0)
*INDEX('Labour Rates'!F$4:F$35,MATCH(ROUNDDOWN(BREAKDOWN!G9,0),'Labour Rates'!A$4:A$35))</f>
        <v>0</v>
      </c>
      <c r="L9" s="490">
        <f t="shared" ca="1" si="2"/>
        <v>0</v>
      </c>
      <c r="M9" s="490">
        <f t="shared" ca="1" si="2"/>
        <v>0</v>
      </c>
      <c r="N9" s="490">
        <f t="shared" ca="1" si="2"/>
        <v>0</v>
      </c>
      <c r="O9" s="490">
        <f t="shared" ca="1" si="3"/>
        <v>0</v>
      </c>
      <c r="P9" s="491">
        <f t="shared" ca="1" si="4"/>
        <v>0</v>
      </c>
      <c r="Q9" s="492">
        <f t="shared" ca="1" si="5"/>
        <v>0</v>
      </c>
      <c r="R9" s="493" t="str">
        <f t="shared" ca="1" si="6"/>
        <v/>
      </c>
      <c r="S9" s="494">
        <f t="shared" ca="1" si="17"/>
        <v>0</v>
      </c>
      <c r="T9" s="499">
        <f ca="1">IF(I9=0,0,INDEX('Labour Rates'!E$4:E$35,MATCH(ROUNDDOWN(BREAKDOWN!G9,0),'Labour Rates'!A$4:A$35)))</f>
        <v>80.84</v>
      </c>
      <c r="U9" s="496">
        <f t="shared" ca="1" si="16"/>
        <v>0</v>
      </c>
      <c r="V9" s="496">
        <f t="shared" ca="1" si="7"/>
        <v>0</v>
      </c>
      <c r="W9" s="496">
        <f t="shared" ca="1" si="8"/>
        <v>0</v>
      </c>
      <c r="X9" s="496">
        <f t="shared" ca="1" si="9"/>
        <v>0</v>
      </c>
      <c r="Y9" s="497">
        <f t="shared" ca="1" si="10"/>
        <v>0</v>
      </c>
      <c r="Z9" s="497">
        <f t="shared" ca="1" si="11"/>
        <v>0</v>
      </c>
      <c r="AA9" s="497">
        <f t="shared" ca="1" si="12"/>
        <v>0</v>
      </c>
      <c r="AB9" s="497">
        <f t="shared" ca="1" si="13"/>
        <v>0</v>
      </c>
      <c r="AC9" s="498">
        <f t="shared" ca="1" si="14"/>
        <v>0</v>
      </c>
    </row>
    <row r="10" spans="1:30" s="500" customFormat="1" ht="15.75" x14ac:dyDescent="0.25">
      <c r="A10" s="484"/>
      <c r="B10" s="484"/>
      <c r="C10" s="484"/>
      <c r="D10" s="484"/>
      <c r="E10" s="484"/>
      <c r="F10" s="485"/>
      <c r="G10" s="486">
        <f t="shared" ca="1" si="15"/>
        <v>1.06</v>
      </c>
      <c r="H10" s="487" t="str">
        <f t="shared" ca="1" si="0"/>
        <v>Waste Removal</v>
      </c>
      <c r="I10" s="488">
        <f t="shared" ca="1" si="1"/>
        <v>1</v>
      </c>
      <c r="J10" s="489" t="str">
        <f t="shared" ca="1" si="1"/>
        <v>item</v>
      </c>
      <c r="K10" s="490">
        <f ca="1">IFERROR(
INDEX(INDIRECT("'"&amp;INDEX($H:$H,MATCH(ROUNDDOWN($G10,0),$G:$G))&amp;"'!$B:$T"),
MATCH($G10,INDIRECT("'"&amp;INDEX($H:$H,MATCH(ROUNDDOWN($G10,0),$G:$G))&amp;"'!$A:$A"),0),
MATCH(K$3,INDIRECT("'"&amp;INDEX($H:$H,MATCH(ROUNDDOWN($G10,0),$G:$G))&amp;"'!$B$1:$T$1"),0)),0)
*INDEX('Labour Rates'!F$4:F$35,MATCH(ROUNDDOWN(BREAKDOWN!G10,0),'Labour Rates'!A$4:A$35))</f>
        <v>0</v>
      </c>
      <c r="L10" s="490">
        <f t="shared" ca="1" si="2"/>
        <v>0</v>
      </c>
      <c r="M10" s="490">
        <f t="shared" ca="1" si="2"/>
        <v>0</v>
      </c>
      <c r="N10" s="490">
        <f t="shared" ca="1" si="2"/>
        <v>0</v>
      </c>
      <c r="O10" s="490">
        <f t="shared" ca="1" si="3"/>
        <v>0</v>
      </c>
      <c r="P10" s="491">
        <f t="shared" ca="1" si="4"/>
        <v>0</v>
      </c>
      <c r="Q10" s="492">
        <f t="shared" ca="1" si="5"/>
        <v>0</v>
      </c>
      <c r="R10" s="493" t="str">
        <f t="shared" ca="1" si="6"/>
        <v/>
      </c>
      <c r="S10" s="494">
        <f t="shared" ca="1" si="17"/>
        <v>0</v>
      </c>
      <c r="T10" s="499">
        <f ca="1">IF(I10=0,0,INDEX('Labour Rates'!E$4:E$35,MATCH(ROUNDDOWN(BREAKDOWN!G10,0),'Labour Rates'!A$4:A$35)))</f>
        <v>80.84</v>
      </c>
      <c r="U10" s="496">
        <f t="shared" ca="1" si="16"/>
        <v>0</v>
      </c>
      <c r="V10" s="496">
        <f t="shared" ca="1" si="7"/>
        <v>0</v>
      </c>
      <c r="W10" s="496">
        <f t="shared" ca="1" si="8"/>
        <v>0</v>
      </c>
      <c r="X10" s="496">
        <f t="shared" ca="1" si="9"/>
        <v>0</v>
      </c>
      <c r="Y10" s="497">
        <f t="shared" ca="1" si="10"/>
        <v>0</v>
      </c>
      <c r="Z10" s="497">
        <f t="shared" ca="1" si="11"/>
        <v>0</v>
      </c>
      <c r="AA10" s="497">
        <f t="shared" ca="1" si="12"/>
        <v>0</v>
      </c>
      <c r="AB10" s="497">
        <f t="shared" ca="1" si="13"/>
        <v>0</v>
      </c>
      <c r="AC10" s="498">
        <f t="shared" ca="1" si="14"/>
        <v>0</v>
      </c>
    </row>
    <row r="11" spans="1:30" s="483" customFormat="1" ht="15.75" x14ac:dyDescent="0.25">
      <c r="A11" s="484"/>
      <c r="B11" s="484"/>
      <c r="C11" s="484"/>
      <c r="D11" s="484"/>
      <c r="E11" s="484"/>
      <c r="F11" s="485"/>
      <c r="G11" s="486">
        <f t="shared" ca="1" si="15"/>
        <v>1.07</v>
      </c>
      <c r="H11" s="487" t="str">
        <f t="shared" ca="1" si="0"/>
        <v>Professional &amp; Consultant Fees</v>
      </c>
      <c r="I11" s="488">
        <f t="shared" ca="1" si="1"/>
        <v>1</v>
      </c>
      <c r="J11" s="489" t="str">
        <f t="shared" ca="1" si="1"/>
        <v>item</v>
      </c>
      <c r="K11" s="490">
        <f ca="1">IFERROR(
INDEX(INDIRECT("'"&amp;INDEX($H:$H,MATCH(ROUNDDOWN($G11,0),$G:$G))&amp;"'!$B:$T"),
MATCH($G11,INDIRECT("'"&amp;INDEX($H:$H,MATCH(ROUNDDOWN($G11,0),$G:$G))&amp;"'!$A:$A"),0),
MATCH(K$3,INDIRECT("'"&amp;INDEX($H:$H,MATCH(ROUNDDOWN($G11,0),$G:$G))&amp;"'!$B$1:$T$1"),0)),0)
*INDEX('Labour Rates'!F$4:F$35,MATCH(ROUNDDOWN(BREAKDOWN!G11,0),'Labour Rates'!A$4:A$35))</f>
        <v>0</v>
      </c>
      <c r="L11" s="490">
        <f t="shared" ca="1" si="2"/>
        <v>0</v>
      </c>
      <c r="M11" s="490">
        <f t="shared" ca="1" si="2"/>
        <v>0</v>
      </c>
      <c r="N11" s="490">
        <f t="shared" ca="1" si="2"/>
        <v>0</v>
      </c>
      <c r="O11" s="490">
        <f t="shared" ca="1" si="3"/>
        <v>0</v>
      </c>
      <c r="P11" s="491">
        <f t="shared" ca="1" si="4"/>
        <v>0</v>
      </c>
      <c r="Q11" s="492">
        <f t="shared" ca="1" si="5"/>
        <v>0</v>
      </c>
      <c r="R11" s="493" t="str">
        <f t="shared" ca="1" si="6"/>
        <v/>
      </c>
      <c r="S11" s="494">
        <f t="shared" ca="1" si="17"/>
        <v>0</v>
      </c>
      <c r="T11" s="499">
        <f ca="1">IF(I11=0,0,INDEX('Labour Rates'!E$4:E$35,MATCH(ROUNDDOWN(BREAKDOWN!G11,0),'Labour Rates'!A$4:A$35)))</f>
        <v>80.84</v>
      </c>
      <c r="U11" s="496">
        <f t="shared" ca="1" si="16"/>
        <v>0</v>
      </c>
      <c r="V11" s="496">
        <f t="shared" ca="1" si="7"/>
        <v>0</v>
      </c>
      <c r="W11" s="496">
        <f t="shared" ca="1" si="8"/>
        <v>0</v>
      </c>
      <c r="X11" s="496">
        <f t="shared" ca="1" si="9"/>
        <v>0</v>
      </c>
      <c r="Y11" s="497">
        <f t="shared" ca="1" si="10"/>
        <v>0</v>
      </c>
      <c r="Z11" s="497">
        <f t="shared" ca="1" si="11"/>
        <v>0</v>
      </c>
      <c r="AA11" s="497">
        <f t="shared" ca="1" si="12"/>
        <v>0</v>
      </c>
      <c r="AB11" s="497">
        <f t="shared" ca="1" si="13"/>
        <v>0</v>
      </c>
      <c r="AC11" s="498">
        <f t="shared" ca="1" si="14"/>
        <v>0</v>
      </c>
    </row>
    <row r="12" spans="1:30" s="500" customFormat="1" ht="15.75" x14ac:dyDescent="0.25">
      <c r="A12" s="484"/>
      <c r="B12" s="484"/>
      <c r="C12" s="484"/>
      <c r="D12" s="484"/>
      <c r="E12" s="484"/>
      <c r="F12" s="485"/>
      <c r="G12" s="486">
        <f t="shared" ca="1" si="15"/>
        <v>1.08</v>
      </c>
      <c r="H12" s="487" t="str">
        <f t="shared" ca="1" si="0"/>
        <v>Estimating Cost</v>
      </c>
      <c r="I12" s="488">
        <f t="shared" ca="1" si="1"/>
        <v>1</v>
      </c>
      <c r="J12" s="489" t="str">
        <f t="shared" ca="1" si="1"/>
        <v>item</v>
      </c>
      <c r="K12" s="490">
        <f ca="1">IFERROR(
INDEX(INDIRECT("'"&amp;INDEX($H:$H,MATCH(ROUNDDOWN($G12,0),$G:$G))&amp;"'!$B:$T"),
MATCH($G12,INDIRECT("'"&amp;INDEX($H:$H,MATCH(ROUNDDOWN($G12,0),$G:$G))&amp;"'!$A:$A"),0),
MATCH(K$3,INDIRECT("'"&amp;INDEX($H:$H,MATCH(ROUNDDOWN($G12,0),$G:$G))&amp;"'!$B$1:$T$1"),0)),0)
*INDEX('Labour Rates'!F$4:F$35,MATCH(ROUNDDOWN(BREAKDOWN!G12,0),'Labour Rates'!A$4:A$35))</f>
        <v>0</v>
      </c>
      <c r="L12" s="490">
        <f t="shared" ca="1" si="2"/>
        <v>0</v>
      </c>
      <c r="M12" s="490">
        <f t="shared" ca="1" si="2"/>
        <v>0</v>
      </c>
      <c r="N12" s="490">
        <f t="shared" ca="1" si="2"/>
        <v>0</v>
      </c>
      <c r="O12" s="490">
        <f t="shared" ca="1" si="3"/>
        <v>0</v>
      </c>
      <c r="P12" s="491">
        <f t="shared" ca="1" si="4"/>
        <v>0</v>
      </c>
      <c r="Q12" s="492">
        <f t="shared" ca="1" si="5"/>
        <v>0</v>
      </c>
      <c r="R12" s="493" t="str">
        <f t="shared" ca="1" si="6"/>
        <v/>
      </c>
      <c r="S12" s="494">
        <f t="shared" ca="1" si="17"/>
        <v>0</v>
      </c>
      <c r="T12" s="499">
        <f ca="1">IF(I12=0,0,INDEX('Labour Rates'!E$4:E$35,MATCH(ROUNDDOWN(BREAKDOWN!G12,0),'Labour Rates'!A$4:A$35)))</f>
        <v>80.84</v>
      </c>
      <c r="U12" s="496">
        <f t="shared" ca="1" si="16"/>
        <v>0</v>
      </c>
      <c r="V12" s="496">
        <f t="shared" ca="1" si="7"/>
        <v>0</v>
      </c>
      <c r="W12" s="496">
        <f t="shared" ca="1" si="8"/>
        <v>0</v>
      </c>
      <c r="X12" s="496">
        <f t="shared" ca="1" si="9"/>
        <v>0</v>
      </c>
      <c r="Y12" s="497">
        <f t="shared" ca="1" si="10"/>
        <v>0</v>
      </c>
      <c r="Z12" s="497">
        <f t="shared" ca="1" si="11"/>
        <v>0</v>
      </c>
      <c r="AA12" s="497">
        <f t="shared" ca="1" si="12"/>
        <v>0</v>
      </c>
      <c r="AB12" s="497">
        <f t="shared" ca="1" si="13"/>
        <v>0</v>
      </c>
      <c r="AC12" s="498">
        <f t="shared" ca="1" si="14"/>
        <v>0</v>
      </c>
    </row>
    <row r="13" spans="1:30" s="483" customFormat="1" ht="15.75" x14ac:dyDescent="0.25">
      <c r="A13" s="484"/>
      <c r="B13" s="484"/>
      <c r="C13" s="484"/>
      <c r="D13" s="484"/>
      <c r="E13" s="484"/>
      <c r="F13" s="485"/>
      <c r="G13" s="486">
        <f t="shared" ca="1" si="15"/>
        <v>1.0900000000000001</v>
      </c>
      <c r="H13" s="487" t="str">
        <f t="shared" ca="1" si="0"/>
        <v>General Expenses</v>
      </c>
      <c r="I13" s="488">
        <f t="shared" ca="1" si="1"/>
        <v>1</v>
      </c>
      <c r="J13" s="489" t="str">
        <f t="shared" ca="1" si="1"/>
        <v>item</v>
      </c>
      <c r="K13" s="490">
        <f ca="1">IFERROR(
INDEX(INDIRECT("'"&amp;INDEX($H:$H,MATCH(ROUNDDOWN($G13,0),$G:$G))&amp;"'!$B:$T"),
MATCH($G13,INDIRECT("'"&amp;INDEX($H:$H,MATCH(ROUNDDOWN($G13,0),$G:$G))&amp;"'!$A:$A"),0),
MATCH(K$3,INDIRECT("'"&amp;INDEX($H:$H,MATCH(ROUNDDOWN($G13,0),$G:$G))&amp;"'!$B$1:$T$1"),0)),0)
*INDEX('Labour Rates'!F$4:F$35,MATCH(ROUNDDOWN(BREAKDOWN!G13,0),'Labour Rates'!A$4:A$35))</f>
        <v>0</v>
      </c>
      <c r="L13" s="490">
        <f t="shared" ca="1" si="2"/>
        <v>0</v>
      </c>
      <c r="M13" s="490">
        <f t="shared" ca="1" si="2"/>
        <v>0</v>
      </c>
      <c r="N13" s="490">
        <f t="shared" ca="1" si="2"/>
        <v>0</v>
      </c>
      <c r="O13" s="490">
        <f t="shared" ca="1" si="3"/>
        <v>0</v>
      </c>
      <c r="P13" s="491">
        <f t="shared" ca="1" si="4"/>
        <v>0</v>
      </c>
      <c r="Q13" s="492">
        <f t="shared" ca="1" si="5"/>
        <v>0</v>
      </c>
      <c r="R13" s="493" t="str">
        <f t="shared" ca="1" si="6"/>
        <v/>
      </c>
      <c r="S13" s="494">
        <f t="shared" ca="1" si="17"/>
        <v>0</v>
      </c>
      <c r="T13" s="499">
        <f ca="1">IF(I13=0,0,INDEX('Labour Rates'!E$4:E$35,MATCH(ROUNDDOWN(BREAKDOWN!G13,0),'Labour Rates'!A$4:A$35)))</f>
        <v>80.84</v>
      </c>
      <c r="U13" s="496">
        <f t="shared" ca="1" si="16"/>
        <v>0</v>
      </c>
      <c r="V13" s="496">
        <f t="shared" ca="1" si="7"/>
        <v>0</v>
      </c>
      <c r="W13" s="496">
        <f t="shared" ca="1" si="8"/>
        <v>0</v>
      </c>
      <c r="X13" s="496">
        <f t="shared" ca="1" si="9"/>
        <v>0</v>
      </c>
      <c r="Y13" s="497">
        <f t="shared" ca="1" si="10"/>
        <v>0</v>
      </c>
      <c r="Z13" s="497">
        <f t="shared" ca="1" si="11"/>
        <v>0</v>
      </c>
      <c r="AA13" s="497">
        <f t="shared" ca="1" si="12"/>
        <v>0</v>
      </c>
      <c r="AB13" s="497">
        <f t="shared" ca="1" si="13"/>
        <v>0</v>
      </c>
      <c r="AC13" s="498">
        <f t="shared" ca="1" si="14"/>
        <v>0</v>
      </c>
    </row>
    <row r="14" spans="1:30" s="500" customFormat="1" ht="15.75" x14ac:dyDescent="0.25">
      <c r="A14" s="484"/>
      <c r="B14" s="484"/>
      <c r="C14" s="484"/>
      <c r="D14" s="484"/>
      <c r="E14" s="484"/>
      <c r="F14" s="501"/>
      <c r="G14" s="486">
        <f t="shared" ca="1" si="15"/>
        <v>1.1000000000000001</v>
      </c>
      <c r="H14" s="487" t="str">
        <f t="shared" ca="1" si="0"/>
        <v>Long Services Leave Payment</v>
      </c>
      <c r="I14" s="488">
        <f t="shared" ca="1" si="1"/>
        <v>1</v>
      </c>
      <c r="J14" s="489" t="str">
        <f t="shared" ca="1" si="1"/>
        <v>item</v>
      </c>
      <c r="K14" s="490">
        <f ca="1">IFERROR(
INDEX(INDIRECT("'"&amp;INDEX($H:$H,MATCH(ROUNDDOWN($G14,0),$G:$G))&amp;"'!$B:$T"),
MATCH($G14,INDIRECT("'"&amp;INDEX($H:$H,MATCH(ROUNDDOWN($G14,0),$G:$G))&amp;"'!$A:$A"),0),
MATCH(K$3,INDIRECT("'"&amp;INDEX($H:$H,MATCH(ROUNDDOWN($G14,0),$G:$G))&amp;"'!$B$1:$T$1"),0)),0)
*INDEX('Labour Rates'!F$4:F$35,MATCH(ROUNDDOWN(BREAKDOWN!G14,0),'Labour Rates'!A$4:A$35))</f>
        <v>0</v>
      </c>
      <c r="L14" s="490">
        <f t="shared" ca="1" si="2"/>
        <v>0</v>
      </c>
      <c r="M14" s="490">
        <f t="shared" ca="1" si="2"/>
        <v>0</v>
      </c>
      <c r="N14" s="490">
        <f t="shared" ca="1" si="2"/>
        <v>0</v>
      </c>
      <c r="O14" s="490">
        <f t="shared" ca="1" si="3"/>
        <v>0</v>
      </c>
      <c r="P14" s="491">
        <f t="shared" ca="1" si="4"/>
        <v>0</v>
      </c>
      <c r="Q14" s="492">
        <f t="shared" ca="1" si="5"/>
        <v>0</v>
      </c>
      <c r="R14" s="493" t="str">
        <f t="shared" ca="1" si="6"/>
        <v/>
      </c>
      <c r="S14" s="494">
        <f t="shared" ca="1" si="17"/>
        <v>0</v>
      </c>
      <c r="T14" s="499">
        <f ca="1">IF(I14=0,0,INDEX('Labour Rates'!E$4:E$35,MATCH(ROUNDDOWN(BREAKDOWN!G14,0),'Labour Rates'!A$4:A$35)))</f>
        <v>80.84</v>
      </c>
      <c r="U14" s="496">
        <f t="shared" ca="1" si="16"/>
        <v>0</v>
      </c>
      <c r="V14" s="496">
        <f t="shared" ca="1" si="7"/>
        <v>0</v>
      </c>
      <c r="W14" s="496">
        <f t="shared" ca="1" si="8"/>
        <v>0</v>
      </c>
      <c r="X14" s="496">
        <f t="shared" ca="1" si="9"/>
        <v>0</v>
      </c>
      <c r="Y14" s="497">
        <f t="shared" ca="1" si="10"/>
        <v>0</v>
      </c>
      <c r="Z14" s="497">
        <f t="shared" ca="1" si="11"/>
        <v>0</v>
      </c>
      <c r="AA14" s="497">
        <f t="shared" ca="1" si="12"/>
        <v>0</v>
      </c>
      <c r="AB14" s="497">
        <f t="shared" ca="1" si="13"/>
        <v>0</v>
      </c>
      <c r="AC14" s="498">
        <f t="shared" ca="1" si="14"/>
        <v>0</v>
      </c>
    </row>
    <row r="15" spans="1:30" s="483" customFormat="1" ht="15.75" x14ac:dyDescent="0.25">
      <c r="A15" s="484"/>
      <c r="B15" s="484"/>
      <c r="C15" s="484"/>
      <c r="D15" s="484"/>
      <c r="E15" s="484"/>
      <c r="F15" s="485"/>
      <c r="G15" s="502">
        <f ca="1">G4+1</f>
        <v>2</v>
      </c>
      <c r="H15" s="473" t="str">
        <f ca="1">INDEX(Scaffolding!B:B,MATCH(BREAKDOWN!G15,Scaffolding!A:A))</f>
        <v>SCAFFOLDING</v>
      </c>
      <c r="I15" s="474"/>
      <c r="J15" s="475"/>
      <c r="K15" s="476"/>
      <c r="L15" s="475"/>
      <c r="M15" s="475"/>
      <c r="N15" s="475"/>
      <c r="O15" s="475"/>
      <c r="P15" s="475"/>
      <c r="Q15" s="477">
        <f ca="1">SUMIFS(Q:Q,$G:$G,"&gt;"&amp;$G15,$G:$G,"&lt;"&amp;($G15+1))</f>
        <v>0</v>
      </c>
      <c r="R15" s="478">
        <f ca="1">Q15
-INDEX(INDIRECT("'"&amp;H15&amp;"'!B:T"),MATCH($Q$3,INDIRECT("'"&amp;H15&amp;"'!B:B"),0),MATCH($Q$3,INDIRECT("'"&amp;H15&amp;"'!B$1:T$1"),0))
-(SUMIFS(U:U,$G:$G,"&gt;"&amp;$G15,$G:$G,"&lt;"&amp;($G15+1))-SUMIFS(U:U,$G:$G,"&gt;"&amp;$G15,$G:$G,"&lt;"&amp;($G15+1))/INDEX('Labour Rates'!F$4:F$35,MATCH(ROUNDDOWN(BREAKDOWN!G15,0),'Labour Rates'!A$4:A$35)))</f>
        <v>0</v>
      </c>
      <c r="S15" s="503"/>
      <c r="T15" s="503"/>
      <c r="U15" s="503"/>
      <c r="V15" s="503"/>
      <c r="W15" s="503"/>
      <c r="X15" s="503"/>
      <c r="Y15" s="503"/>
      <c r="Z15" s="503"/>
      <c r="AA15" s="503"/>
      <c r="AB15" s="477">
        <f ca="1">SUM(AB16:AB16)</f>
        <v>0</v>
      </c>
      <c r="AC15" s="498"/>
    </row>
    <row r="16" spans="1:30" s="500" customFormat="1" ht="15.75" x14ac:dyDescent="0.25">
      <c r="A16" s="504"/>
      <c r="B16" s="504"/>
      <c r="C16" s="504"/>
      <c r="D16" s="504"/>
      <c r="E16" s="504"/>
      <c r="F16" s="501"/>
      <c r="G16" s="486">
        <f ca="1">G15+0.01</f>
        <v>2.0099999999999998</v>
      </c>
      <c r="H16" s="487" t="str">
        <f ca="1">IF($I16&lt;&gt;0,
INDEX(INDIRECT("'"&amp;INDEX($H:$H,MATCH(ROUNDDOWN($G16,0),$G:$G))&amp;"'!$B:$T"),
MATCH($G16,INDIRECT("'"&amp;INDEX($H:$H,MATCH(ROUNDDOWN($G16,0),$G:$G))&amp;"'!$A:$A"),0),
MATCH(H$3,INDIRECT("'"&amp;INDEX($H:$H,MATCH(ROUNDDOWN($G16,0),$G:$G))&amp;"'!$B$1:$T$1"),0)),0)</f>
        <v>Temporary Roof Edge Protection</v>
      </c>
      <c r="I16" s="488">
        <f ca="1">IFERROR(
INDEX(INDIRECT("'"&amp;INDEX($H:$H,MATCH(ROUNDDOWN($G16,0),$G:$G))&amp;"'!$B:$T"),
MATCH($G16,INDIRECT("'"&amp;INDEX($H:$H,MATCH(ROUNDDOWN($G16,0),$G:$G))&amp;"'!$A:$A"),0),
MATCH(I$3,INDIRECT("'"&amp;INDEX($H:$H,MATCH(ROUNDDOWN($G16,0),$G:$G))&amp;"'!$B$1:$T$1"),0)),0)</f>
        <v>33.17</v>
      </c>
      <c r="J16" s="489" t="str">
        <f ca="1">IFERROR(
INDEX(INDIRECT("'"&amp;INDEX($H:$H,MATCH(ROUNDDOWN($G16,0),$G:$G))&amp;"'!$B:$T"),
MATCH($G16,INDIRECT("'"&amp;INDEX($H:$H,MATCH(ROUNDDOWN($G16,0),$G:$G))&amp;"'!$A:$A"),0),
MATCH(J$3,INDIRECT("'"&amp;INDEX($H:$H,MATCH(ROUNDDOWN($G16,0),$G:$G))&amp;"'!$B$1:$T$1"),0)),0)</f>
        <v>Lm</v>
      </c>
      <c r="K16" s="490">
        <f ca="1">IFERROR(
INDEX(INDIRECT("'"&amp;INDEX($H:$H,MATCH(ROUNDDOWN($G16,0),$G:$G))&amp;"'!$B:$T"),
MATCH($G16,INDIRECT("'"&amp;INDEX($H:$H,MATCH(ROUNDDOWN($G16,0),$G:$G))&amp;"'!$A:$A"),0),
MATCH(K$3,INDIRECT("'"&amp;INDEX($H:$H,MATCH(ROUNDDOWN($G16,0),$G:$G))&amp;"'!$B$1:$T$1"),0)),0)
*INDEX('Labour Rates'!F$4:F$35,MATCH(ROUNDDOWN(BREAKDOWN!G16,0),'Labour Rates'!A$4:A$35))</f>
        <v>0</v>
      </c>
      <c r="L16" s="490">
        <f ca="1">IFERROR(
INDEX(INDIRECT("'"&amp;INDEX($H:$H,MATCH(ROUNDDOWN($G16,0),$G:$G))&amp;"'!$B:$T"),
MATCH($G16,INDIRECT("'"&amp;INDEX($H:$H,MATCH(ROUNDDOWN($G16,0),$G:$G))&amp;"'!$A:$A"),0),
MATCH(L$3,INDIRECT("'"&amp;INDEX($H:$H,MATCH(ROUNDDOWN($G16,0),$G:$G))&amp;"'!$B$1:$T$1"),0)),0)</f>
        <v>0</v>
      </c>
      <c r="M16" s="490">
        <f ca="1">IFERROR(
INDEX(INDIRECT("'"&amp;INDEX($H:$H,MATCH(ROUNDDOWN($G16,0),$G:$G))&amp;"'!$B:$T"),
MATCH($G16,INDIRECT("'"&amp;INDEX($H:$H,MATCH(ROUNDDOWN($G16,0),$G:$G))&amp;"'!$A:$A"),0),
MATCH(M$3,INDIRECT("'"&amp;INDEX($H:$H,MATCH(ROUNDDOWN($G16,0),$G:$G))&amp;"'!$B$1:$T$1"),0)),0)</f>
        <v>0</v>
      </c>
      <c r="N16" s="490">
        <f ca="1">IFERROR(
INDEX(INDIRECT("'"&amp;INDEX($H:$H,MATCH(ROUNDDOWN($G16,0),$G:$G))&amp;"'!$B:$T"),
MATCH($G16,INDIRECT("'"&amp;INDEX($H:$H,MATCH(ROUNDDOWN($G16,0),$G:$G))&amp;"'!$A:$A"),0),
MATCH(N$3,INDIRECT("'"&amp;INDEX($H:$H,MATCH(ROUNDDOWN($G16,0),$G:$G))&amp;"'!$B$1:$T$1"),0)),0)</f>
        <v>0</v>
      </c>
      <c r="O16" s="490">
        <f ca="1">IFERROR(
INDEX(INDIRECT("'"&amp;INDEX($H:$H,MATCH(ROUNDDOWN($G16,0),$G:$G))&amp;"'!$V:$Z"),
MATCH($G16,INDIRECT("'"&amp;INDEX($H:$H,MATCH(ROUNDDOWN($G16,0),$G:$G))&amp;"'!$A:$A"),0),
MATCH(O$3,INDIRECT("'"&amp;INDEX($H:$H,MATCH(ROUNDDOWN($G16,0),$G:$G))&amp;"'!$V$2:$Z$2"),0)),0)</f>
        <v>0</v>
      </c>
      <c r="P16" s="491">
        <f t="shared" ref="P16" ca="1" si="18">IFERROR(IF(O16="inc","inc",IF(AND(O16&gt;0,I16&gt;0),O16/I16,IF(SUM(K16:N16)&gt;0,SUM(K16:N16),0))),0)</f>
        <v>0</v>
      </c>
      <c r="Q16" s="492">
        <f t="shared" ref="Q16" ca="1" si="19">IFERROR(IF(P16="",0,I16*P16),0)</f>
        <v>0</v>
      </c>
      <c r="R16" s="493" t="str">
        <f ca="1">IFERROR(
INDEX(INDIRECT("'"&amp;INDEX($H:$H,MATCH(ROUNDDOWN($G16,0),$G:$G))&amp;"'!$W:$AA"),
MATCH($G16,INDIRECT("'"&amp;INDEX($H:$H,MATCH(ROUNDDOWN($G16,0),$G:$G))&amp;"'!$A:$A"),0),
MATCH(R$3,INDIRECT("'"&amp;INDEX($H:$H,MATCH(ROUNDDOWN($G16,0),$G:$G))&amp;"'!$W$1:$AA$1"),0)),"")</f>
        <v/>
      </c>
      <c r="S16" s="494">
        <f t="shared" ca="1" si="17"/>
        <v>0</v>
      </c>
      <c r="T16" s="499">
        <f ca="1">IF(I16=0,0,INDEX('Labour Rates'!E$4:E$35,MATCH(ROUNDDOWN(BREAKDOWN!G16,0),'Labour Rates'!A$4:A$35)))</f>
        <v>80.84</v>
      </c>
      <c r="U16" s="496">
        <f t="shared" ref="U16" ca="1" si="20">IF($Y16&gt;0, 0, IFERROR($I16*K16,0))</f>
        <v>0</v>
      </c>
      <c r="V16" s="496">
        <f t="shared" ref="V16" ca="1" si="21">IF($Y16&gt;0, 0, IFERROR($I16*L16,0))</f>
        <v>0</v>
      </c>
      <c r="W16" s="496">
        <f t="shared" ref="W16" ca="1" si="22">IF($Y16&gt;0, 0, IFERROR($I16*M16,0))</f>
        <v>0</v>
      </c>
      <c r="X16" s="496">
        <f t="shared" ref="X16" ca="1" si="23">IF($Y16&gt;0, 0, IFERROR($I16*N16,0))</f>
        <v>0</v>
      </c>
      <c r="Y16" s="497">
        <f t="shared" ref="Y16" ca="1" si="24">IF(I16&gt;0,O16,0)</f>
        <v>0</v>
      </c>
      <c r="Z16" s="497">
        <f ca="1">Q16*$I$158</f>
        <v>0</v>
      </c>
      <c r="AA16" s="497">
        <f ca="1">Q16*$I$159</f>
        <v>0</v>
      </c>
      <c r="AB16" s="497">
        <f t="shared" ref="AB16" ca="1" si="25">SUM(U16:AA16)</f>
        <v>0</v>
      </c>
      <c r="AC16" s="498">
        <f t="shared" ref="AC16" ca="1" si="26">SUM(U16:Y16)-Q16</f>
        <v>0</v>
      </c>
      <c r="AD16" s="505">
        <f ca="1">INDEX('Labour Rates'!F$4:F$35,MATCH(ROUNDDOWN(BREAKDOWN!G16,0),'Labour Rates'!A$4:A$35))</f>
        <v>1</v>
      </c>
    </row>
    <row r="17" spans="1:29" s="483" customFormat="1" ht="15.75" x14ac:dyDescent="0.25">
      <c r="A17" s="484"/>
      <c r="B17" s="484"/>
      <c r="C17" s="484"/>
      <c r="D17" s="484"/>
      <c r="E17" s="484"/>
      <c r="F17" s="485"/>
      <c r="G17" s="502">
        <f ca="1">G15+1</f>
        <v>3</v>
      </c>
      <c r="H17" s="473" t="str">
        <f ca="1">INDEX(Demolition!B:B,MATCH(BREAKDOWN!G17,Demolition!A:A))</f>
        <v>DEMOLITION</v>
      </c>
      <c r="I17" s="474"/>
      <c r="J17" s="475"/>
      <c r="K17" s="476"/>
      <c r="L17" s="475"/>
      <c r="M17" s="475"/>
      <c r="N17" s="475"/>
      <c r="O17" s="475"/>
      <c r="P17" s="475"/>
      <c r="Q17" s="477">
        <f ca="1">SUMIFS(Q:Q,$G:$G,"&gt;"&amp;$G17,$G:$G,"&lt;"&amp;($G17+1))</f>
        <v>0</v>
      </c>
      <c r="R17" s="478">
        <f ca="1">Q17
-INDEX(INDIRECT("'"&amp;H17&amp;"'!B:T"),MATCH($Q$3,INDIRECT("'"&amp;H17&amp;"'!B:B"),0),MATCH($Q$3,INDIRECT("'"&amp;H17&amp;"'!B$1:T$1"),0))
-(SUMIFS(U:U,$G:$G,"&gt;"&amp;$G17,$G:$G,"&lt;"&amp;($G17+1))-SUMIFS(U:U,$G:$G,"&gt;"&amp;$G17,$G:$G,"&lt;"&amp;($G17+1))/INDEX('Labour Rates'!F$4:F$35,MATCH(ROUNDDOWN(BREAKDOWN!G17,0),'Labour Rates'!A$4:A$35)))</f>
        <v>0</v>
      </c>
      <c r="S17" s="503"/>
      <c r="T17" s="503"/>
      <c r="U17" s="503"/>
      <c r="V17" s="503"/>
      <c r="W17" s="503"/>
      <c r="X17" s="503"/>
      <c r="Y17" s="503"/>
      <c r="Z17" s="503"/>
      <c r="AA17" s="503"/>
      <c r="AB17" s="477">
        <f ca="1">SUM(AB18:AB32)</f>
        <v>0</v>
      </c>
      <c r="AC17" s="498"/>
    </row>
    <row r="18" spans="1:29" s="500" customFormat="1" ht="15.75" x14ac:dyDescent="0.25">
      <c r="A18" s="504"/>
      <c r="B18" s="504"/>
      <c r="C18" s="504"/>
      <c r="D18" s="504"/>
      <c r="E18" s="504"/>
      <c r="F18" s="501"/>
      <c r="G18" s="486">
        <f ca="1">G17+0.01</f>
        <v>3.01</v>
      </c>
      <c r="H18" s="487" t="str">
        <f t="shared" ref="H18:H32" ca="1" si="27">IF($I18&lt;&gt;0,
INDEX(INDIRECT("'"&amp;INDEX($H:$H,MATCH(ROUNDDOWN($G18,0),$G:$G))&amp;"'!$B:$T"),
MATCH($G18,INDIRECT("'"&amp;INDEX($H:$H,MATCH(ROUNDDOWN($G18,0),$G:$G))&amp;"'!$A:$A"),0),
MATCH(H$3,INDIRECT("'"&amp;INDEX($H:$H,MATCH(ROUNDDOWN($G18,0),$G:$G))&amp;"'!$B$1:$T$1"),0)),0)</f>
        <v>Terminate Services</v>
      </c>
      <c r="I18" s="488">
        <f t="shared" ref="I18:J32" ca="1" si="28">IFERROR(
INDEX(INDIRECT("'"&amp;INDEX($H:$H,MATCH(ROUNDDOWN($G18,0),$G:$G))&amp;"'!$B:$T"),
MATCH($G18,INDIRECT("'"&amp;INDEX($H:$H,MATCH(ROUNDDOWN($G18,0),$G:$G))&amp;"'!$A:$A"),0),
MATCH(I$3,INDIRECT("'"&amp;INDEX($H:$H,MATCH(ROUNDDOWN($G18,0),$G:$G))&amp;"'!$B$1:$T$1"),0)),0)</f>
        <v>1</v>
      </c>
      <c r="J18" s="489" t="str">
        <f t="shared" ca="1" si="28"/>
        <v>item</v>
      </c>
      <c r="K18" s="490">
        <f ca="1">IFERROR(
INDEX(INDIRECT("'"&amp;INDEX($H:$H,MATCH(ROUNDDOWN($G18,0),$G:$G))&amp;"'!$B:$T"),
MATCH($G18,INDIRECT("'"&amp;INDEX($H:$H,MATCH(ROUNDDOWN($G18,0),$G:$G))&amp;"'!$A:$A"),0),
MATCH(K$3,INDIRECT("'"&amp;INDEX($H:$H,MATCH(ROUNDDOWN($G18,0),$G:$G))&amp;"'!$B$1:$T$1"),0)),0)
*INDEX('Labour Rates'!F$4:F$35,MATCH(ROUNDDOWN(BREAKDOWN!G18,0),'Labour Rates'!A$4:A$35))</f>
        <v>0</v>
      </c>
      <c r="L18" s="490">
        <f t="shared" ref="L18:N32" ca="1" si="29">IFERROR(
INDEX(INDIRECT("'"&amp;INDEX($H:$H,MATCH(ROUNDDOWN($G18,0),$G:$G))&amp;"'!$B:$T"),
MATCH($G18,INDIRECT("'"&amp;INDEX($H:$H,MATCH(ROUNDDOWN($G18,0),$G:$G))&amp;"'!$A:$A"),0),
MATCH(L$3,INDIRECT("'"&amp;INDEX($H:$H,MATCH(ROUNDDOWN($G18,0),$G:$G))&amp;"'!$B$1:$T$1"),0)),0)</f>
        <v>0</v>
      </c>
      <c r="M18" s="490">
        <f t="shared" ca="1" si="29"/>
        <v>0</v>
      </c>
      <c r="N18" s="490">
        <f t="shared" ca="1" si="29"/>
        <v>0</v>
      </c>
      <c r="O18" s="490">
        <f t="shared" ref="O18:O32" ca="1" si="30">IFERROR(
INDEX(INDIRECT("'"&amp;INDEX($H:$H,MATCH(ROUNDDOWN($G18,0),$G:$G))&amp;"'!$V:$Z"),
MATCH($G18,INDIRECT("'"&amp;INDEX($H:$H,MATCH(ROUNDDOWN($G18,0),$G:$G))&amp;"'!$A:$A"),0),
MATCH(O$3,INDIRECT("'"&amp;INDEX($H:$H,MATCH(ROUNDDOWN($G18,0),$G:$G))&amp;"'!$V$2:$Z$2"),0)),0)</f>
        <v>0</v>
      </c>
      <c r="P18" s="491">
        <f t="shared" ref="P18:P32" ca="1" si="31">IFERROR(IF(O18="inc","inc",IF(AND(O18&gt;0,I18&gt;0),O18/I18,IF(SUM(K18:N18)&gt;0,SUM(K18:N18),0))),0)</f>
        <v>0</v>
      </c>
      <c r="Q18" s="492">
        <f t="shared" ref="Q18:Q32" ca="1" si="32">IFERROR(IF(P18="",0,I18*P18),0)</f>
        <v>0</v>
      </c>
      <c r="R18" s="493" t="str">
        <f t="shared" ref="R18:R32" ca="1" si="33">IFERROR(
INDEX(INDIRECT("'"&amp;INDEX($H:$H,MATCH(ROUNDDOWN($G18,0),$G:$G))&amp;"'!$W:$AA"),
MATCH($G18,INDIRECT("'"&amp;INDEX($H:$H,MATCH(ROUNDDOWN($G18,0),$G:$G))&amp;"'!$A:$A"),0),
MATCH(R$3,INDIRECT("'"&amp;INDEX($H:$H,MATCH(ROUNDDOWN($G18,0),$G:$G))&amp;"'!$W$1:$AA$1"),0)),"")</f>
        <v/>
      </c>
      <c r="S18" s="494">
        <f t="shared" ref="S18:S34" ca="1" si="34">IFERROR(U18/T18,"")</f>
        <v>0</v>
      </c>
      <c r="T18" s="499">
        <f ca="1">IF(I18=0,0,INDEX('Labour Rates'!E$4:E$35,MATCH(ROUNDDOWN(BREAKDOWN!G18,0),'Labour Rates'!A$4:A$35)))</f>
        <v>70.55</v>
      </c>
      <c r="U18" s="496">
        <f t="shared" ref="U18:U32" ca="1" si="35">IF($Y18&gt;0, 0, IFERROR($I18*K18,0))</f>
        <v>0</v>
      </c>
      <c r="V18" s="496">
        <f t="shared" ref="V18:V32" ca="1" si="36">IF($Y18&gt;0, 0, IFERROR($I18*L18,0))</f>
        <v>0</v>
      </c>
      <c r="W18" s="496">
        <f t="shared" ref="W18:W32" ca="1" si="37">IF($Y18&gt;0, 0, IFERROR($I18*M18,0))</f>
        <v>0</v>
      </c>
      <c r="X18" s="496">
        <f t="shared" ref="X18:X32" ca="1" si="38">IF($Y18&gt;0, 0, IFERROR($I18*N18,0))</f>
        <v>0</v>
      </c>
      <c r="Y18" s="497">
        <f t="shared" ref="Y18:Y32" ca="1" si="39">IF(I18&gt;0,O18,0)</f>
        <v>0</v>
      </c>
      <c r="Z18" s="497">
        <f t="shared" ref="Z18:Z32" ca="1" si="40">Q18*$I$158</f>
        <v>0</v>
      </c>
      <c r="AA18" s="497">
        <f t="shared" ref="AA18:AA32" ca="1" si="41">Q18*$I$159</f>
        <v>0</v>
      </c>
      <c r="AB18" s="497">
        <f t="shared" ref="AB18:AB32" ca="1" si="42">SUM(U18:AA18)</f>
        <v>0</v>
      </c>
      <c r="AC18" s="498">
        <f t="shared" ref="AC18:AC32" ca="1" si="43">SUM(U18:Y18)-Q18</f>
        <v>0</v>
      </c>
    </row>
    <row r="19" spans="1:29" s="500" customFormat="1" ht="15.75" x14ac:dyDescent="0.25">
      <c r="A19" s="504"/>
      <c r="B19" s="504"/>
      <c r="C19" s="504"/>
      <c r="D19" s="504"/>
      <c r="E19" s="504"/>
      <c r="F19" s="501"/>
      <c r="G19" s="486">
        <f t="shared" ref="G19:G32" ca="1" si="44">G18+0.01</f>
        <v>3.0199999999999996</v>
      </c>
      <c r="H19" s="487" t="str">
        <f t="shared" ca="1" si="27"/>
        <v>Demolish Solid Walls</v>
      </c>
      <c r="I19" s="488">
        <f t="shared" ca="1" si="28"/>
        <v>7.3499999999999988</v>
      </c>
      <c r="J19" s="489" t="str">
        <f t="shared" ca="1" si="28"/>
        <v>m2</v>
      </c>
      <c r="K19" s="490">
        <f ca="1">IFERROR(
INDEX(INDIRECT("'"&amp;INDEX($H:$H,MATCH(ROUNDDOWN($G19,0),$G:$G))&amp;"'!$B:$T"),
MATCH($G19,INDIRECT("'"&amp;INDEX($H:$H,MATCH(ROUNDDOWN($G19,0),$G:$G))&amp;"'!$A:$A"),0),
MATCH(K$3,INDIRECT("'"&amp;INDEX($H:$H,MATCH(ROUNDDOWN($G19,0),$G:$G))&amp;"'!$B$1:$T$1"),0)),0)
*INDEX('Labour Rates'!F$4:F$35,MATCH(ROUNDDOWN(BREAKDOWN!G19,0),'Labour Rates'!A$4:A$35))</f>
        <v>0</v>
      </c>
      <c r="L19" s="490">
        <f t="shared" ca="1" si="29"/>
        <v>0</v>
      </c>
      <c r="M19" s="490">
        <f t="shared" ca="1" si="29"/>
        <v>0</v>
      </c>
      <c r="N19" s="490">
        <f t="shared" ca="1" si="29"/>
        <v>0</v>
      </c>
      <c r="O19" s="490">
        <f t="shared" ca="1" si="30"/>
        <v>0</v>
      </c>
      <c r="P19" s="491">
        <f t="shared" ca="1" si="31"/>
        <v>0</v>
      </c>
      <c r="Q19" s="492">
        <f t="shared" ca="1" si="32"/>
        <v>0</v>
      </c>
      <c r="R19" s="493" t="str">
        <f t="shared" ca="1" si="33"/>
        <v/>
      </c>
      <c r="S19" s="494">
        <f t="shared" ca="1" si="34"/>
        <v>0</v>
      </c>
      <c r="T19" s="499">
        <f ca="1">IF(I19=0,0,INDEX('Labour Rates'!E$4:E$35,MATCH(ROUNDDOWN(BREAKDOWN!G19,0),'Labour Rates'!A$4:A$35)))</f>
        <v>70.55</v>
      </c>
      <c r="U19" s="496">
        <f t="shared" ca="1" si="35"/>
        <v>0</v>
      </c>
      <c r="V19" s="496">
        <f t="shared" ca="1" si="36"/>
        <v>0</v>
      </c>
      <c r="W19" s="496">
        <f t="shared" ca="1" si="37"/>
        <v>0</v>
      </c>
      <c r="X19" s="496">
        <f t="shared" ca="1" si="38"/>
        <v>0</v>
      </c>
      <c r="Y19" s="497">
        <f t="shared" ca="1" si="39"/>
        <v>0</v>
      </c>
      <c r="Z19" s="497">
        <f t="shared" ca="1" si="40"/>
        <v>0</v>
      </c>
      <c r="AA19" s="497">
        <f t="shared" ca="1" si="41"/>
        <v>0</v>
      </c>
      <c r="AB19" s="497">
        <f t="shared" ca="1" si="42"/>
        <v>0</v>
      </c>
      <c r="AC19" s="498">
        <f t="shared" ca="1" si="43"/>
        <v>0</v>
      </c>
    </row>
    <row r="20" spans="1:29" s="483" customFormat="1" ht="15.75" x14ac:dyDescent="0.25">
      <c r="A20" s="484"/>
      <c r="B20" s="484"/>
      <c r="C20" s="484"/>
      <c r="D20" s="484"/>
      <c r="E20" s="484"/>
      <c r="F20" s="485"/>
      <c r="G20" s="486">
        <f t="shared" ca="1" si="44"/>
        <v>3.0299999999999994</v>
      </c>
      <c r="H20" s="487" t="str">
        <f t="shared" ca="1" si="27"/>
        <v>Demolish Columns</v>
      </c>
      <c r="I20" s="488">
        <f t="shared" ca="1" si="28"/>
        <v>1</v>
      </c>
      <c r="J20" s="489" t="str">
        <f t="shared" ca="1" si="28"/>
        <v>item</v>
      </c>
      <c r="K20" s="490">
        <f ca="1">IFERROR(
INDEX(INDIRECT("'"&amp;INDEX($H:$H,MATCH(ROUNDDOWN($G20,0),$G:$G))&amp;"'!$B:$T"),
MATCH($G20,INDIRECT("'"&amp;INDEX($H:$H,MATCH(ROUNDDOWN($G20,0),$G:$G))&amp;"'!$A:$A"),0),
MATCH(K$3,INDIRECT("'"&amp;INDEX($H:$H,MATCH(ROUNDDOWN($G20,0),$G:$G))&amp;"'!$B$1:$T$1"),0)),0)
*INDEX('Labour Rates'!F$4:F$35,MATCH(ROUNDDOWN(BREAKDOWN!G20,0),'Labour Rates'!A$4:A$35))</f>
        <v>0</v>
      </c>
      <c r="L20" s="490">
        <f t="shared" ca="1" si="29"/>
        <v>0</v>
      </c>
      <c r="M20" s="490">
        <f t="shared" ca="1" si="29"/>
        <v>0</v>
      </c>
      <c r="N20" s="490">
        <f t="shared" ca="1" si="29"/>
        <v>0</v>
      </c>
      <c r="O20" s="490">
        <f t="shared" ca="1" si="30"/>
        <v>0</v>
      </c>
      <c r="P20" s="491">
        <f t="shared" ca="1" si="31"/>
        <v>0</v>
      </c>
      <c r="Q20" s="492">
        <f t="shared" ca="1" si="32"/>
        <v>0</v>
      </c>
      <c r="R20" s="493" t="str">
        <f t="shared" ca="1" si="33"/>
        <v/>
      </c>
      <c r="S20" s="494">
        <f t="shared" ca="1" si="34"/>
        <v>0</v>
      </c>
      <c r="T20" s="499">
        <f ca="1">IF(I20=0,0,INDEX('Labour Rates'!E$4:E$35,MATCH(ROUNDDOWN(BREAKDOWN!G20,0),'Labour Rates'!A$4:A$35)))</f>
        <v>70.55</v>
      </c>
      <c r="U20" s="496">
        <f t="shared" ca="1" si="35"/>
        <v>0</v>
      </c>
      <c r="V20" s="496">
        <f t="shared" ca="1" si="36"/>
        <v>0</v>
      </c>
      <c r="W20" s="496">
        <f t="shared" ca="1" si="37"/>
        <v>0</v>
      </c>
      <c r="X20" s="496">
        <f t="shared" ca="1" si="38"/>
        <v>0</v>
      </c>
      <c r="Y20" s="497">
        <f t="shared" ca="1" si="39"/>
        <v>0</v>
      </c>
      <c r="Z20" s="497">
        <f t="shared" ca="1" si="40"/>
        <v>0</v>
      </c>
      <c r="AA20" s="497">
        <f t="shared" ca="1" si="41"/>
        <v>0</v>
      </c>
      <c r="AB20" s="497">
        <f t="shared" ca="1" si="42"/>
        <v>0</v>
      </c>
      <c r="AC20" s="498">
        <f t="shared" ca="1" si="43"/>
        <v>0</v>
      </c>
    </row>
    <row r="21" spans="1:29" s="483" customFormat="1" ht="15.75" x14ac:dyDescent="0.25">
      <c r="A21" s="484"/>
      <c r="B21" s="484"/>
      <c r="C21" s="484"/>
      <c r="D21" s="484"/>
      <c r="E21" s="484"/>
      <c r="F21" s="485"/>
      <c r="G21" s="486">
        <f t="shared" ca="1" si="44"/>
        <v>3.0399999999999991</v>
      </c>
      <c r="H21" s="487" t="str">
        <f t="shared" ca="1" si="27"/>
        <v>Demolish External Timber/Steel Wall Framing</v>
      </c>
      <c r="I21" s="488">
        <f t="shared" ca="1" si="28"/>
        <v>7.03</v>
      </c>
      <c r="J21" s="489" t="str">
        <f t="shared" ca="1" si="28"/>
        <v>Lm</v>
      </c>
      <c r="K21" s="490">
        <f ca="1">IFERROR(
INDEX(INDIRECT("'"&amp;INDEX($H:$H,MATCH(ROUNDDOWN($G21,0),$G:$G))&amp;"'!$B:$T"),
MATCH($G21,INDIRECT("'"&amp;INDEX($H:$H,MATCH(ROUNDDOWN($G21,0),$G:$G))&amp;"'!$A:$A"),0),
MATCH(K$3,INDIRECT("'"&amp;INDEX($H:$H,MATCH(ROUNDDOWN($G21,0),$G:$G))&amp;"'!$B$1:$T$1"),0)),0)
*INDEX('Labour Rates'!F$4:F$35,MATCH(ROUNDDOWN(BREAKDOWN!G21,0),'Labour Rates'!A$4:A$35))</f>
        <v>0</v>
      </c>
      <c r="L21" s="490">
        <f t="shared" ca="1" si="29"/>
        <v>0</v>
      </c>
      <c r="M21" s="490">
        <f t="shared" ca="1" si="29"/>
        <v>0</v>
      </c>
      <c r="N21" s="490">
        <f t="shared" ca="1" si="29"/>
        <v>0</v>
      </c>
      <c r="O21" s="490">
        <f t="shared" ca="1" si="30"/>
        <v>0</v>
      </c>
      <c r="P21" s="491">
        <f t="shared" ca="1" si="31"/>
        <v>0</v>
      </c>
      <c r="Q21" s="492">
        <f t="shared" ca="1" si="32"/>
        <v>0</v>
      </c>
      <c r="R21" s="493" t="str">
        <f t="shared" ca="1" si="33"/>
        <v/>
      </c>
      <c r="S21" s="494">
        <f t="shared" ca="1" si="34"/>
        <v>0</v>
      </c>
      <c r="T21" s="499">
        <f ca="1">IF(I21=0,0,INDEX('Labour Rates'!E$4:E$35,MATCH(ROUNDDOWN(BREAKDOWN!G21,0),'Labour Rates'!A$4:A$35)))</f>
        <v>70.55</v>
      </c>
      <c r="U21" s="496">
        <f t="shared" ca="1" si="35"/>
        <v>0</v>
      </c>
      <c r="V21" s="496">
        <f t="shared" ca="1" si="36"/>
        <v>0</v>
      </c>
      <c r="W21" s="496">
        <f t="shared" ca="1" si="37"/>
        <v>0</v>
      </c>
      <c r="X21" s="496">
        <f t="shared" ca="1" si="38"/>
        <v>0</v>
      </c>
      <c r="Y21" s="497">
        <f t="shared" ca="1" si="39"/>
        <v>0</v>
      </c>
      <c r="Z21" s="497">
        <f t="shared" ca="1" si="40"/>
        <v>0</v>
      </c>
      <c r="AA21" s="497">
        <f t="shared" ca="1" si="41"/>
        <v>0</v>
      </c>
      <c r="AB21" s="497">
        <f t="shared" ca="1" si="42"/>
        <v>0</v>
      </c>
      <c r="AC21" s="498">
        <f t="shared" ca="1" si="43"/>
        <v>0</v>
      </c>
    </row>
    <row r="22" spans="1:29" s="500" customFormat="1" ht="15.75" x14ac:dyDescent="0.25">
      <c r="A22" s="504"/>
      <c r="B22" s="504"/>
      <c r="C22" s="504"/>
      <c r="D22" s="504"/>
      <c r="E22" s="504"/>
      <c r="F22" s="501"/>
      <c r="G22" s="486">
        <f t="shared" ca="1" si="44"/>
        <v>3.0499999999999989</v>
      </c>
      <c r="H22" s="487" t="str">
        <f t="shared" ca="1" si="27"/>
        <v>Demolish Internal Timber/Steel Wall Framing</v>
      </c>
      <c r="I22" s="488">
        <f t="shared" ca="1" si="28"/>
        <v>51.41</v>
      </c>
      <c r="J22" s="489" t="str">
        <f t="shared" ca="1" si="28"/>
        <v>Lm</v>
      </c>
      <c r="K22" s="490">
        <f ca="1">IFERROR(
INDEX(INDIRECT("'"&amp;INDEX($H:$H,MATCH(ROUNDDOWN($G22,0),$G:$G))&amp;"'!$B:$T"),
MATCH($G22,INDIRECT("'"&amp;INDEX($H:$H,MATCH(ROUNDDOWN($G22,0),$G:$G))&amp;"'!$A:$A"),0),
MATCH(K$3,INDIRECT("'"&amp;INDEX($H:$H,MATCH(ROUNDDOWN($G22,0),$G:$G))&amp;"'!$B$1:$T$1"),0)),0)
*INDEX('Labour Rates'!F$4:F$35,MATCH(ROUNDDOWN(BREAKDOWN!G22,0),'Labour Rates'!A$4:A$35))</f>
        <v>0</v>
      </c>
      <c r="L22" s="490">
        <f t="shared" ca="1" si="29"/>
        <v>0</v>
      </c>
      <c r="M22" s="490">
        <f t="shared" ca="1" si="29"/>
        <v>0</v>
      </c>
      <c r="N22" s="490">
        <f t="shared" ca="1" si="29"/>
        <v>0</v>
      </c>
      <c r="O22" s="490">
        <f t="shared" ca="1" si="30"/>
        <v>0</v>
      </c>
      <c r="P22" s="491">
        <f t="shared" ca="1" si="31"/>
        <v>0</v>
      </c>
      <c r="Q22" s="492">
        <f t="shared" ca="1" si="32"/>
        <v>0</v>
      </c>
      <c r="R22" s="493" t="str">
        <f t="shared" ca="1" si="33"/>
        <v/>
      </c>
      <c r="S22" s="494">
        <f t="shared" ca="1" si="34"/>
        <v>0</v>
      </c>
      <c r="T22" s="499">
        <f ca="1">IF(I22=0,0,INDEX('Labour Rates'!E$4:E$35,MATCH(ROUNDDOWN(BREAKDOWN!G22,0),'Labour Rates'!A$4:A$35)))</f>
        <v>70.55</v>
      </c>
      <c r="U22" s="496">
        <f t="shared" ca="1" si="35"/>
        <v>0</v>
      </c>
      <c r="V22" s="496">
        <f t="shared" ca="1" si="36"/>
        <v>0</v>
      </c>
      <c r="W22" s="496">
        <f t="shared" ca="1" si="37"/>
        <v>0</v>
      </c>
      <c r="X22" s="496">
        <f t="shared" ca="1" si="38"/>
        <v>0</v>
      </c>
      <c r="Y22" s="497">
        <f t="shared" ca="1" si="39"/>
        <v>0</v>
      </c>
      <c r="Z22" s="497">
        <f t="shared" ca="1" si="40"/>
        <v>0</v>
      </c>
      <c r="AA22" s="497">
        <f t="shared" ca="1" si="41"/>
        <v>0</v>
      </c>
      <c r="AB22" s="497">
        <f t="shared" ca="1" si="42"/>
        <v>0</v>
      </c>
      <c r="AC22" s="498">
        <f t="shared" ca="1" si="43"/>
        <v>0</v>
      </c>
    </row>
    <row r="23" spans="1:29" s="500" customFormat="1" ht="15.75" x14ac:dyDescent="0.25">
      <c r="A23" s="504"/>
      <c r="B23" s="504"/>
      <c r="C23" s="504"/>
      <c r="D23" s="504"/>
      <c r="E23" s="504"/>
      <c r="F23" s="501"/>
      <c r="G23" s="486">
        <f t="shared" ca="1" si="44"/>
        <v>3.0599999999999987</v>
      </c>
      <c r="H23" s="487" t="str">
        <f t="shared" ca="1" si="27"/>
        <v>Demolish Wall Lining</v>
      </c>
      <c r="I23" s="488">
        <f t="shared" ca="1" si="28"/>
        <v>263.89</v>
      </c>
      <c r="J23" s="489" t="str">
        <f t="shared" ca="1" si="28"/>
        <v>m2</v>
      </c>
      <c r="K23" s="490">
        <f ca="1">IFERROR(
INDEX(INDIRECT("'"&amp;INDEX($H:$H,MATCH(ROUNDDOWN($G23,0),$G:$G))&amp;"'!$B:$T"),
MATCH($G23,INDIRECT("'"&amp;INDEX($H:$H,MATCH(ROUNDDOWN($G23,0),$G:$G))&amp;"'!$A:$A"),0),
MATCH(K$3,INDIRECT("'"&amp;INDEX($H:$H,MATCH(ROUNDDOWN($G23,0),$G:$G))&amp;"'!$B$1:$T$1"),0)),0)
*INDEX('Labour Rates'!F$4:F$35,MATCH(ROUNDDOWN(BREAKDOWN!G23,0),'Labour Rates'!A$4:A$35))</f>
        <v>0</v>
      </c>
      <c r="L23" s="490">
        <f t="shared" ca="1" si="29"/>
        <v>0</v>
      </c>
      <c r="M23" s="490">
        <f t="shared" ca="1" si="29"/>
        <v>0</v>
      </c>
      <c r="N23" s="490">
        <f t="shared" ca="1" si="29"/>
        <v>0</v>
      </c>
      <c r="O23" s="490">
        <f t="shared" ca="1" si="30"/>
        <v>0</v>
      </c>
      <c r="P23" s="491">
        <f t="shared" ca="1" si="31"/>
        <v>0</v>
      </c>
      <c r="Q23" s="492">
        <f t="shared" ca="1" si="32"/>
        <v>0</v>
      </c>
      <c r="R23" s="493" t="str">
        <f t="shared" ca="1" si="33"/>
        <v/>
      </c>
      <c r="S23" s="494">
        <f t="shared" ca="1" si="34"/>
        <v>0</v>
      </c>
      <c r="T23" s="499">
        <f ca="1">IF(I23=0,0,INDEX('Labour Rates'!E$4:E$35,MATCH(ROUNDDOWN(BREAKDOWN!G23,0),'Labour Rates'!A$4:A$35)))</f>
        <v>70.55</v>
      </c>
      <c r="U23" s="496">
        <f t="shared" ca="1" si="35"/>
        <v>0</v>
      </c>
      <c r="V23" s="496">
        <f t="shared" ca="1" si="36"/>
        <v>0</v>
      </c>
      <c r="W23" s="496">
        <f t="shared" ca="1" si="37"/>
        <v>0</v>
      </c>
      <c r="X23" s="496">
        <f t="shared" ca="1" si="38"/>
        <v>0</v>
      </c>
      <c r="Y23" s="497">
        <f t="shared" ca="1" si="39"/>
        <v>0</v>
      </c>
      <c r="Z23" s="497">
        <f t="shared" ca="1" si="40"/>
        <v>0</v>
      </c>
      <c r="AA23" s="497">
        <f t="shared" ca="1" si="41"/>
        <v>0</v>
      </c>
      <c r="AB23" s="497">
        <f t="shared" ca="1" si="42"/>
        <v>0</v>
      </c>
      <c r="AC23" s="498">
        <f t="shared" ca="1" si="43"/>
        <v>0</v>
      </c>
    </row>
    <row r="24" spans="1:29" s="483" customFormat="1" ht="15.75" x14ac:dyDescent="0.25">
      <c r="A24" s="484"/>
      <c r="B24" s="484"/>
      <c r="C24" s="484"/>
      <c r="D24" s="484"/>
      <c r="E24" s="484"/>
      <c r="F24" s="485"/>
      <c r="G24" s="486">
        <f t="shared" ca="1" si="44"/>
        <v>3.0699999999999985</v>
      </c>
      <c r="H24" s="487" t="str">
        <f t="shared" ca="1" si="27"/>
        <v>Demolish Skirting</v>
      </c>
      <c r="I24" s="488">
        <f t="shared" ca="1" si="28"/>
        <v>75</v>
      </c>
      <c r="J24" s="489" t="str">
        <f t="shared" ca="1" si="28"/>
        <v>Lm</v>
      </c>
      <c r="K24" s="490">
        <f ca="1">IFERROR(
INDEX(INDIRECT("'"&amp;INDEX($H:$H,MATCH(ROUNDDOWN($G24,0),$G:$G))&amp;"'!$B:$T"),
MATCH($G24,INDIRECT("'"&amp;INDEX($H:$H,MATCH(ROUNDDOWN($G24,0),$G:$G))&amp;"'!$A:$A"),0),
MATCH(K$3,INDIRECT("'"&amp;INDEX($H:$H,MATCH(ROUNDDOWN($G24,0),$G:$G))&amp;"'!$B$1:$T$1"),0)),0)
*INDEX('Labour Rates'!F$4:F$35,MATCH(ROUNDDOWN(BREAKDOWN!G24,0),'Labour Rates'!A$4:A$35))</f>
        <v>0</v>
      </c>
      <c r="L24" s="490">
        <f t="shared" ca="1" si="29"/>
        <v>0</v>
      </c>
      <c r="M24" s="490">
        <f t="shared" ca="1" si="29"/>
        <v>0</v>
      </c>
      <c r="N24" s="490">
        <f t="shared" ca="1" si="29"/>
        <v>0</v>
      </c>
      <c r="O24" s="490">
        <f t="shared" ca="1" si="30"/>
        <v>0</v>
      </c>
      <c r="P24" s="491">
        <f t="shared" ca="1" si="31"/>
        <v>0</v>
      </c>
      <c r="Q24" s="492">
        <f t="shared" ca="1" si="32"/>
        <v>0</v>
      </c>
      <c r="R24" s="493" t="str">
        <f t="shared" ca="1" si="33"/>
        <v/>
      </c>
      <c r="S24" s="494">
        <f t="shared" ca="1" si="34"/>
        <v>0</v>
      </c>
      <c r="T24" s="499">
        <f ca="1">IF(I24=0,0,INDEX('Labour Rates'!E$4:E$35,MATCH(ROUNDDOWN(BREAKDOWN!G24,0),'Labour Rates'!A$4:A$35)))</f>
        <v>70.55</v>
      </c>
      <c r="U24" s="496">
        <f t="shared" ca="1" si="35"/>
        <v>0</v>
      </c>
      <c r="V24" s="496">
        <f t="shared" ca="1" si="36"/>
        <v>0</v>
      </c>
      <c r="W24" s="496">
        <f t="shared" ca="1" si="37"/>
        <v>0</v>
      </c>
      <c r="X24" s="496">
        <f t="shared" ca="1" si="38"/>
        <v>0</v>
      </c>
      <c r="Y24" s="497">
        <f t="shared" ca="1" si="39"/>
        <v>0</v>
      </c>
      <c r="Z24" s="497">
        <f t="shared" ca="1" si="40"/>
        <v>0</v>
      </c>
      <c r="AA24" s="497">
        <f t="shared" ca="1" si="41"/>
        <v>0</v>
      </c>
      <c r="AB24" s="497">
        <f t="shared" ca="1" si="42"/>
        <v>0</v>
      </c>
      <c r="AC24" s="498">
        <f t="shared" ca="1" si="43"/>
        <v>0</v>
      </c>
    </row>
    <row r="25" spans="1:29" s="500" customFormat="1" ht="31.5" x14ac:dyDescent="0.25">
      <c r="A25" s="504"/>
      <c r="B25" s="504"/>
      <c r="C25" s="504"/>
      <c r="D25" s="504"/>
      <c r="E25" s="504"/>
      <c r="F25" s="501"/>
      <c r="G25" s="486">
        <f t="shared" ca="1" si="44"/>
        <v>3.0799999999999983</v>
      </c>
      <c r="H25" s="487" t="str">
        <f t="shared" ca="1" si="27"/>
        <v>Demolish Roof (Including Framing, Sheeting &amp; Associated Fixtures)</v>
      </c>
      <c r="I25" s="488">
        <f t="shared" ca="1" si="28"/>
        <v>79.55</v>
      </c>
      <c r="J25" s="489" t="str">
        <f t="shared" ca="1" si="28"/>
        <v>m2</v>
      </c>
      <c r="K25" s="490">
        <f ca="1">IFERROR(
INDEX(INDIRECT("'"&amp;INDEX($H:$H,MATCH(ROUNDDOWN($G25,0),$G:$G))&amp;"'!$B:$T"),
MATCH($G25,INDIRECT("'"&amp;INDEX($H:$H,MATCH(ROUNDDOWN($G25,0),$G:$G))&amp;"'!$A:$A"),0),
MATCH(K$3,INDIRECT("'"&amp;INDEX($H:$H,MATCH(ROUNDDOWN($G25,0),$G:$G))&amp;"'!$B$1:$T$1"),0)),0)
*INDEX('Labour Rates'!F$4:F$35,MATCH(ROUNDDOWN(BREAKDOWN!G25,0),'Labour Rates'!A$4:A$35))</f>
        <v>0</v>
      </c>
      <c r="L25" s="490">
        <f t="shared" ca="1" si="29"/>
        <v>0</v>
      </c>
      <c r="M25" s="490">
        <f t="shared" ca="1" si="29"/>
        <v>0</v>
      </c>
      <c r="N25" s="490">
        <f t="shared" ca="1" si="29"/>
        <v>0</v>
      </c>
      <c r="O25" s="490">
        <f t="shared" ca="1" si="30"/>
        <v>0</v>
      </c>
      <c r="P25" s="491">
        <f t="shared" ca="1" si="31"/>
        <v>0</v>
      </c>
      <c r="Q25" s="492">
        <f t="shared" ca="1" si="32"/>
        <v>0</v>
      </c>
      <c r="R25" s="493" t="str">
        <f t="shared" ca="1" si="33"/>
        <v/>
      </c>
      <c r="S25" s="494">
        <f t="shared" ca="1" si="34"/>
        <v>0</v>
      </c>
      <c r="T25" s="499">
        <f ca="1">IF(I25=0,0,INDEX('Labour Rates'!E$4:E$35,MATCH(ROUNDDOWN(BREAKDOWN!G25,0),'Labour Rates'!A$4:A$35)))</f>
        <v>70.55</v>
      </c>
      <c r="U25" s="496">
        <f t="shared" ca="1" si="35"/>
        <v>0</v>
      </c>
      <c r="V25" s="496">
        <f t="shared" ca="1" si="36"/>
        <v>0</v>
      </c>
      <c r="W25" s="496">
        <f t="shared" ca="1" si="37"/>
        <v>0</v>
      </c>
      <c r="X25" s="496">
        <f t="shared" ca="1" si="38"/>
        <v>0</v>
      </c>
      <c r="Y25" s="497">
        <f t="shared" ca="1" si="39"/>
        <v>0</v>
      </c>
      <c r="Z25" s="497">
        <f t="shared" ca="1" si="40"/>
        <v>0</v>
      </c>
      <c r="AA25" s="497">
        <f t="shared" ca="1" si="41"/>
        <v>0</v>
      </c>
      <c r="AB25" s="497">
        <f t="shared" ca="1" si="42"/>
        <v>0</v>
      </c>
      <c r="AC25" s="498">
        <f t="shared" ca="1" si="43"/>
        <v>0</v>
      </c>
    </row>
    <row r="26" spans="1:29" s="500" customFormat="1" ht="15.75" x14ac:dyDescent="0.25">
      <c r="A26" s="504"/>
      <c r="B26" s="504"/>
      <c r="C26" s="504"/>
      <c r="D26" s="504"/>
      <c r="E26" s="504"/>
      <c r="F26" s="501"/>
      <c r="G26" s="486">
        <f t="shared" ca="1" si="44"/>
        <v>3.0899999999999981</v>
      </c>
      <c r="H26" s="487" t="str">
        <f t="shared" ca="1" si="27"/>
        <v>Demolish Ceiling</v>
      </c>
      <c r="I26" s="488">
        <f t="shared" ca="1" si="28"/>
        <v>226.64</v>
      </c>
      <c r="J26" s="489" t="str">
        <f t="shared" ca="1" si="28"/>
        <v>m2</v>
      </c>
      <c r="K26" s="490">
        <f ca="1">IFERROR(
INDEX(INDIRECT("'"&amp;INDEX($H:$H,MATCH(ROUNDDOWN($G26,0),$G:$G))&amp;"'!$B:$T"),
MATCH($G26,INDIRECT("'"&amp;INDEX($H:$H,MATCH(ROUNDDOWN($G26,0),$G:$G))&amp;"'!$A:$A"),0),
MATCH(K$3,INDIRECT("'"&amp;INDEX($H:$H,MATCH(ROUNDDOWN($G26,0),$G:$G))&amp;"'!$B$1:$T$1"),0)),0)
*INDEX('Labour Rates'!F$4:F$35,MATCH(ROUNDDOWN(BREAKDOWN!G26,0),'Labour Rates'!A$4:A$35))</f>
        <v>0</v>
      </c>
      <c r="L26" s="490">
        <f t="shared" ca="1" si="29"/>
        <v>0</v>
      </c>
      <c r="M26" s="490">
        <f t="shared" ca="1" si="29"/>
        <v>0</v>
      </c>
      <c r="N26" s="490">
        <f t="shared" ca="1" si="29"/>
        <v>0</v>
      </c>
      <c r="O26" s="490">
        <f t="shared" ca="1" si="30"/>
        <v>0</v>
      </c>
      <c r="P26" s="491">
        <f t="shared" ca="1" si="31"/>
        <v>0</v>
      </c>
      <c r="Q26" s="492">
        <f t="shared" ca="1" si="32"/>
        <v>0</v>
      </c>
      <c r="R26" s="493" t="str">
        <f t="shared" ca="1" si="33"/>
        <v/>
      </c>
      <c r="S26" s="494">
        <f t="shared" ca="1" si="34"/>
        <v>0</v>
      </c>
      <c r="T26" s="499">
        <f ca="1">IF(I26=0,0,INDEX('Labour Rates'!E$4:E$35,MATCH(ROUNDDOWN(BREAKDOWN!G26,0),'Labour Rates'!A$4:A$35)))</f>
        <v>70.55</v>
      </c>
      <c r="U26" s="496">
        <f t="shared" ca="1" si="35"/>
        <v>0</v>
      </c>
      <c r="V26" s="496">
        <f t="shared" ca="1" si="36"/>
        <v>0</v>
      </c>
      <c r="W26" s="496">
        <f t="shared" ca="1" si="37"/>
        <v>0</v>
      </c>
      <c r="X26" s="496">
        <f t="shared" ca="1" si="38"/>
        <v>0</v>
      </c>
      <c r="Y26" s="497">
        <f t="shared" ca="1" si="39"/>
        <v>0</v>
      </c>
      <c r="Z26" s="497">
        <f t="shared" ca="1" si="40"/>
        <v>0</v>
      </c>
      <c r="AA26" s="497">
        <f t="shared" ca="1" si="41"/>
        <v>0</v>
      </c>
      <c r="AB26" s="497">
        <f t="shared" ca="1" si="42"/>
        <v>0</v>
      </c>
      <c r="AC26" s="498">
        <f t="shared" ca="1" si="43"/>
        <v>0</v>
      </c>
    </row>
    <row r="27" spans="1:29" s="483" customFormat="1" ht="15.75" x14ac:dyDescent="0.25">
      <c r="A27" s="484"/>
      <c r="B27" s="484"/>
      <c r="C27" s="484"/>
      <c r="D27" s="484"/>
      <c r="E27" s="484"/>
      <c r="F27" s="485"/>
      <c r="G27" s="486">
        <f t="shared" ca="1" si="44"/>
        <v>3.0999999999999979</v>
      </c>
      <c r="H27" s="487" t="str">
        <f t="shared" ca="1" si="27"/>
        <v>Demolish Windows/Sliding Doors</v>
      </c>
      <c r="I27" s="488">
        <f t="shared" ca="1" si="28"/>
        <v>11</v>
      </c>
      <c r="J27" s="489" t="str">
        <f t="shared" ca="1" si="28"/>
        <v>No.</v>
      </c>
      <c r="K27" s="490">
        <f ca="1">IFERROR(
INDEX(INDIRECT("'"&amp;INDEX($H:$H,MATCH(ROUNDDOWN($G27,0),$G:$G))&amp;"'!$B:$T"),
MATCH($G27,INDIRECT("'"&amp;INDEX($H:$H,MATCH(ROUNDDOWN($G27,0),$G:$G))&amp;"'!$A:$A"),0),
MATCH(K$3,INDIRECT("'"&amp;INDEX($H:$H,MATCH(ROUNDDOWN($G27,0),$G:$G))&amp;"'!$B$1:$T$1"),0)),0)
*INDEX('Labour Rates'!F$4:F$35,MATCH(ROUNDDOWN(BREAKDOWN!G27,0),'Labour Rates'!A$4:A$35))</f>
        <v>0</v>
      </c>
      <c r="L27" s="490">
        <f t="shared" ca="1" si="29"/>
        <v>0</v>
      </c>
      <c r="M27" s="490">
        <f t="shared" ca="1" si="29"/>
        <v>0</v>
      </c>
      <c r="N27" s="490">
        <f t="shared" ca="1" si="29"/>
        <v>0</v>
      </c>
      <c r="O27" s="490">
        <f t="shared" ca="1" si="30"/>
        <v>0</v>
      </c>
      <c r="P27" s="491">
        <f t="shared" ca="1" si="31"/>
        <v>0</v>
      </c>
      <c r="Q27" s="492">
        <f t="shared" ca="1" si="32"/>
        <v>0</v>
      </c>
      <c r="R27" s="493" t="str">
        <f t="shared" ca="1" si="33"/>
        <v/>
      </c>
      <c r="S27" s="494">
        <f t="shared" ca="1" si="34"/>
        <v>0</v>
      </c>
      <c r="T27" s="499">
        <f ca="1">IF(I27=0,0,INDEX('Labour Rates'!E$4:E$35,MATCH(ROUNDDOWN(BREAKDOWN!G27,0),'Labour Rates'!A$4:A$35)))</f>
        <v>70.55</v>
      </c>
      <c r="U27" s="496">
        <f t="shared" ca="1" si="35"/>
        <v>0</v>
      </c>
      <c r="V27" s="496">
        <f t="shared" ca="1" si="36"/>
        <v>0</v>
      </c>
      <c r="W27" s="496">
        <f t="shared" ca="1" si="37"/>
        <v>0</v>
      </c>
      <c r="X27" s="496">
        <f t="shared" ca="1" si="38"/>
        <v>0</v>
      </c>
      <c r="Y27" s="497">
        <f t="shared" ca="1" si="39"/>
        <v>0</v>
      </c>
      <c r="Z27" s="497">
        <f t="shared" ca="1" si="40"/>
        <v>0</v>
      </c>
      <c r="AA27" s="497">
        <f t="shared" ca="1" si="41"/>
        <v>0</v>
      </c>
      <c r="AB27" s="497">
        <f t="shared" ca="1" si="42"/>
        <v>0</v>
      </c>
      <c r="AC27" s="498">
        <f t="shared" ca="1" si="43"/>
        <v>0</v>
      </c>
    </row>
    <row r="28" spans="1:29" s="500" customFormat="1" ht="15.75" x14ac:dyDescent="0.25">
      <c r="A28" s="504"/>
      <c r="B28" s="504"/>
      <c r="C28" s="504"/>
      <c r="D28" s="504"/>
      <c r="E28" s="504"/>
      <c r="F28" s="501"/>
      <c r="G28" s="486">
        <f t="shared" ca="1" si="44"/>
        <v>3.1099999999999977</v>
      </c>
      <c r="H28" s="487" t="str">
        <f t="shared" ca="1" si="27"/>
        <v>Demolish Doors &amp; Jamb</v>
      </c>
      <c r="I28" s="488">
        <f t="shared" ca="1" si="28"/>
        <v>8</v>
      </c>
      <c r="J28" s="489" t="str">
        <f t="shared" ca="1" si="28"/>
        <v>No.</v>
      </c>
      <c r="K28" s="490">
        <f ca="1">IFERROR(
INDEX(INDIRECT("'"&amp;INDEX($H:$H,MATCH(ROUNDDOWN($G28,0),$G:$G))&amp;"'!$B:$T"),
MATCH($G28,INDIRECT("'"&amp;INDEX($H:$H,MATCH(ROUNDDOWN($G28,0),$G:$G))&amp;"'!$A:$A"),0),
MATCH(K$3,INDIRECT("'"&amp;INDEX($H:$H,MATCH(ROUNDDOWN($G28,0),$G:$G))&amp;"'!$B$1:$T$1"),0)),0)
*INDEX('Labour Rates'!F$4:F$35,MATCH(ROUNDDOWN(BREAKDOWN!G28,0),'Labour Rates'!A$4:A$35))</f>
        <v>0</v>
      </c>
      <c r="L28" s="490">
        <f t="shared" ca="1" si="29"/>
        <v>0</v>
      </c>
      <c r="M28" s="490">
        <f t="shared" ca="1" si="29"/>
        <v>0</v>
      </c>
      <c r="N28" s="490">
        <f t="shared" ca="1" si="29"/>
        <v>0</v>
      </c>
      <c r="O28" s="490">
        <f t="shared" ca="1" si="30"/>
        <v>0</v>
      </c>
      <c r="P28" s="491">
        <f t="shared" ca="1" si="31"/>
        <v>0</v>
      </c>
      <c r="Q28" s="492">
        <f t="shared" ca="1" si="32"/>
        <v>0</v>
      </c>
      <c r="R28" s="493" t="str">
        <f t="shared" ca="1" si="33"/>
        <v/>
      </c>
      <c r="S28" s="494">
        <f t="shared" ca="1" si="34"/>
        <v>0</v>
      </c>
      <c r="T28" s="499">
        <f ca="1">IF(I28=0,0,INDEX('Labour Rates'!E$4:E$35,MATCH(ROUNDDOWN(BREAKDOWN!G28,0),'Labour Rates'!A$4:A$35)))</f>
        <v>70.55</v>
      </c>
      <c r="U28" s="496">
        <f t="shared" ca="1" si="35"/>
        <v>0</v>
      </c>
      <c r="V28" s="496">
        <f t="shared" ca="1" si="36"/>
        <v>0</v>
      </c>
      <c r="W28" s="496">
        <f t="shared" ca="1" si="37"/>
        <v>0</v>
      </c>
      <c r="X28" s="496">
        <f t="shared" ca="1" si="38"/>
        <v>0</v>
      </c>
      <c r="Y28" s="497">
        <f t="shared" ca="1" si="39"/>
        <v>0</v>
      </c>
      <c r="Z28" s="497">
        <f t="shared" ca="1" si="40"/>
        <v>0</v>
      </c>
      <c r="AA28" s="497">
        <f t="shared" ca="1" si="41"/>
        <v>0</v>
      </c>
      <c r="AB28" s="497">
        <f t="shared" ca="1" si="42"/>
        <v>0</v>
      </c>
      <c r="AC28" s="498">
        <f t="shared" ca="1" si="43"/>
        <v>0</v>
      </c>
    </row>
    <row r="29" spans="1:29" s="500" customFormat="1" ht="15.75" x14ac:dyDescent="0.25">
      <c r="A29" s="504"/>
      <c r="B29" s="504"/>
      <c r="C29" s="504"/>
      <c r="D29" s="504"/>
      <c r="E29" s="504"/>
      <c r="F29" s="501"/>
      <c r="G29" s="486">
        <f t="shared" ca="1" si="44"/>
        <v>3.1199999999999974</v>
      </c>
      <c r="H29" s="487" t="str">
        <f t="shared" ca="1" si="27"/>
        <v>Demolish Cupboards</v>
      </c>
      <c r="I29" s="488">
        <f t="shared" ca="1" si="28"/>
        <v>1</v>
      </c>
      <c r="J29" s="489" t="str">
        <f t="shared" ca="1" si="28"/>
        <v>item</v>
      </c>
      <c r="K29" s="490">
        <f ca="1">IFERROR(
INDEX(INDIRECT("'"&amp;INDEX($H:$H,MATCH(ROUNDDOWN($G29,0),$G:$G))&amp;"'!$B:$T"),
MATCH($G29,INDIRECT("'"&amp;INDEX($H:$H,MATCH(ROUNDDOWN($G29,0),$G:$G))&amp;"'!$A:$A"),0),
MATCH(K$3,INDIRECT("'"&amp;INDEX($H:$H,MATCH(ROUNDDOWN($G29,0),$G:$G))&amp;"'!$B$1:$T$1"),0)),0)
*INDEX('Labour Rates'!F$4:F$35,MATCH(ROUNDDOWN(BREAKDOWN!G29,0),'Labour Rates'!A$4:A$35))</f>
        <v>0</v>
      </c>
      <c r="L29" s="490">
        <f t="shared" ca="1" si="29"/>
        <v>0</v>
      </c>
      <c r="M29" s="490">
        <f t="shared" ca="1" si="29"/>
        <v>0</v>
      </c>
      <c r="N29" s="490">
        <f t="shared" ca="1" si="29"/>
        <v>0</v>
      </c>
      <c r="O29" s="490">
        <f t="shared" ca="1" si="30"/>
        <v>0</v>
      </c>
      <c r="P29" s="491">
        <f t="shared" ca="1" si="31"/>
        <v>0</v>
      </c>
      <c r="Q29" s="492">
        <f t="shared" ca="1" si="32"/>
        <v>0</v>
      </c>
      <c r="R29" s="493" t="str">
        <f t="shared" ca="1" si="33"/>
        <v/>
      </c>
      <c r="S29" s="494">
        <f t="shared" ca="1" si="34"/>
        <v>0</v>
      </c>
      <c r="T29" s="499">
        <f ca="1">IF(I29=0,0,INDEX('Labour Rates'!E$4:E$35,MATCH(ROUNDDOWN(BREAKDOWN!G29,0),'Labour Rates'!A$4:A$35)))</f>
        <v>70.55</v>
      </c>
      <c r="U29" s="496">
        <f t="shared" ca="1" si="35"/>
        <v>0</v>
      </c>
      <c r="V29" s="496">
        <f t="shared" ca="1" si="36"/>
        <v>0</v>
      </c>
      <c r="W29" s="496">
        <f t="shared" ca="1" si="37"/>
        <v>0</v>
      </c>
      <c r="X29" s="496">
        <f t="shared" ca="1" si="38"/>
        <v>0</v>
      </c>
      <c r="Y29" s="497">
        <f t="shared" ca="1" si="39"/>
        <v>0</v>
      </c>
      <c r="Z29" s="497">
        <f t="shared" ca="1" si="40"/>
        <v>0</v>
      </c>
      <c r="AA29" s="497">
        <f t="shared" ca="1" si="41"/>
        <v>0</v>
      </c>
      <c r="AB29" s="497">
        <f t="shared" ca="1" si="42"/>
        <v>0</v>
      </c>
      <c r="AC29" s="498">
        <f t="shared" ca="1" si="43"/>
        <v>0</v>
      </c>
    </row>
    <row r="30" spans="1:29" s="483" customFormat="1" ht="15.75" x14ac:dyDescent="0.25">
      <c r="A30" s="484"/>
      <c r="B30" s="484"/>
      <c r="C30" s="484"/>
      <c r="D30" s="484"/>
      <c r="E30" s="484"/>
      <c r="F30" s="485"/>
      <c r="G30" s="486">
        <f t="shared" ca="1" si="44"/>
        <v>3.1299999999999972</v>
      </c>
      <c r="H30" s="487" t="str">
        <f t="shared" ca="1" si="27"/>
        <v>Demolish Existing Gutter</v>
      </c>
      <c r="I30" s="488">
        <f t="shared" ca="1" si="28"/>
        <v>59.97</v>
      </c>
      <c r="J30" s="489" t="str">
        <f t="shared" ca="1" si="28"/>
        <v>Lm</v>
      </c>
      <c r="K30" s="490">
        <f ca="1">IFERROR(
INDEX(INDIRECT("'"&amp;INDEX($H:$H,MATCH(ROUNDDOWN($G30,0),$G:$G))&amp;"'!$B:$T"),
MATCH($G30,INDIRECT("'"&amp;INDEX($H:$H,MATCH(ROUNDDOWN($G30,0),$G:$G))&amp;"'!$A:$A"),0),
MATCH(K$3,INDIRECT("'"&amp;INDEX($H:$H,MATCH(ROUNDDOWN($G30,0),$G:$G))&amp;"'!$B$1:$T$1"),0)),0)
*INDEX('Labour Rates'!F$4:F$35,MATCH(ROUNDDOWN(BREAKDOWN!G30,0),'Labour Rates'!A$4:A$35))</f>
        <v>0</v>
      </c>
      <c r="L30" s="490">
        <f t="shared" ca="1" si="29"/>
        <v>0</v>
      </c>
      <c r="M30" s="490">
        <f t="shared" ca="1" si="29"/>
        <v>0</v>
      </c>
      <c r="N30" s="490">
        <f t="shared" ca="1" si="29"/>
        <v>0</v>
      </c>
      <c r="O30" s="490">
        <f t="shared" ca="1" si="30"/>
        <v>0</v>
      </c>
      <c r="P30" s="491">
        <f t="shared" ca="1" si="31"/>
        <v>0</v>
      </c>
      <c r="Q30" s="492">
        <f t="shared" ca="1" si="32"/>
        <v>0</v>
      </c>
      <c r="R30" s="493" t="str">
        <f t="shared" ca="1" si="33"/>
        <v/>
      </c>
      <c r="S30" s="494">
        <f t="shared" ca="1" si="34"/>
        <v>0</v>
      </c>
      <c r="T30" s="499">
        <f ca="1">IF(I30=0,0,INDEX('Labour Rates'!E$4:E$35,MATCH(ROUNDDOWN(BREAKDOWN!G30,0),'Labour Rates'!A$4:A$35)))</f>
        <v>70.55</v>
      </c>
      <c r="U30" s="496">
        <f t="shared" ca="1" si="35"/>
        <v>0</v>
      </c>
      <c r="V30" s="496">
        <f t="shared" ca="1" si="36"/>
        <v>0</v>
      </c>
      <c r="W30" s="496">
        <f t="shared" ca="1" si="37"/>
        <v>0</v>
      </c>
      <c r="X30" s="496">
        <f t="shared" ca="1" si="38"/>
        <v>0</v>
      </c>
      <c r="Y30" s="497">
        <f t="shared" ca="1" si="39"/>
        <v>0</v>
      </c>
      <c r="Z30" s="497">
        <f t="shared" ca="1" si="40"/>
        <v>0</v>
      </c>
      <c r="AA30" s="497">
        <f t="shared" ca="1" si="41"/>
        <v>0</v>
      </c>
      <c r="AB30" s="497">
        <f t="shared" ca="1" si="42"/>
        <v>0</v>
      </c>
      <c r="AC30" s="498">
        <f t="shared" ca="1" si="43"/>
        <v>0</v>
      </c>
    </row>
    <row r="31" spans="1:29" s="500" customFormat="1" ht="15.75" x14ac:dyDescent="0.25">
      <c r="A31" s="504"/>
      <c r="B31" s="504"/>
      <c r="C31" s="504"/>
      <c r="D31" s="504"/>
      <c r="E31" s="504"/>
      <c r="F31" s="501"/>
      <c r="G31" s="486">
        <f t="shared" ca="1" si="44"/>
        <v>3.139999999999997</v>
      </c>
      <c r="H31" s="487" t="str">
        <f t="shared" ca="1" si="27"/>
        <v>Demolish Existing Downpipes</v>
      </c>
      <c r="I31" s="488">
        <f t="shared" ca="1" si="28"/>
        <v>52.65</v>
      </c>
      <c r="J31" s="489" t="str">
        <f t="shared" ca="1" si="28"/>
        <v>Lm</v>
      </c>
      <c r="K31" s="490">
        <f ca="1">IFERROR(
INDEX(INDIRECT("'"&amp;INDEX($H:$H,MATCH(ROUNDDOWN($G31,0),$G:$G))&amp;"'!$B:$T"),
MATCH($G31,INDIRECT("'"&amp;INDEX($H:$H,MATCH(ROUNDDOWN($G31,0),$G:$G))&amp;"'!$A:$A"),0),
MATCH(K$3,INDIRECT("'"&amp;INDEX($H:$H,MATCH(ROUNDDOWN($G31,0),$G:$G))&amp;"'!$B$1:$T$1"),0)),0)
*INDEX('Labour Rates'!F$4:F$35,MATCH(ROUNDDOWN(BREAKDOWN!G31,0),'Labour Rates'!A$4:A$35))</f>
        <v>0</v>
      </c>
      <c r="L31" s="490">
        <f t="shared" ca="1" si="29"/>
        <v>0</v>
      </c>
      <c r="M31" s="490">
        <f t="shared" ca="1" si="29"/>
        <v>0</v>
      </c>
      <c r="N31" s="490">
        <f t="shared" ca="1" si="29"/>
        <v>0</v>
      </c>
      <c r="O31" s="490">
        <f t="shared" ca="1" si="30"/>
        <v>0</v>
      </c>
      <c r="P31" s="491">
        <f t="shared" ca="1" si="31"/>
        <v>0</v>
      </c>
      <c r="Q31" s="492">
        <f t="shared" ca="1" si="32"/>
        <v>0</v>
      </c>
      <c r="R31" s="493" t="str">
        <f t="shared" ca="1" si="33"/>
        <v/>
      </c>
      <c r="S31" s="494">
        <f t="shared" ca="1" si="34"/>
        <v>0</v>
      </c>
      <c r="T31" s="499">
        <f ca="1">IF(I31=0,0,INDEX('Labour Rates'!E$4:E$35,MATCH(ROUNDDOWN(BREAKDOWN!G31,0),'Labour Rates'!A$4:A$35)))</f>
        <v>70.55</v>
      </c>
      <c r="U31" s="496">
        <f t="shared" ca="1" si="35"/>
        <v>0</v>
      </c>
      <c r="V31" s="496">
        <f t="shared" ca="1" si="36"/>
        <v>0</v>
      </c>
      <c r="W31" s="496">
        <f t="shared" ca="1" si="37"/>
        <v>0</v>
      </c>
      <c r="X31" s="496">
        <f t="shared" ca="1" si="38"/>
        <v>0</v>
      </c>
      <c r="Y31" s="497">
        <f t="shared" ca="1" si="39"/>
        <v>0</v>
      </c>
      <c r="Z31" s="497">
        <f t="shared" ca="1" si="40"/>
        <v>0</v>
      </c>
      <c r="AA31" s="497">
        <f t="shared" ca="1" si="41"/>
        <v>0</v>
      </c>
      <c r="AB31" s="497">
        <f t="shared" ca="1" si="42"/>
        <v>0</v>
      </c>
      <c r="AC31" s="498">
        <f t="shared" ca="1" si="43"/>
        <v>0</v>
      </c>
    </row>
    <row r="32" spans="1:29" s="500" customFormat="1" ht="15.75" x14ac:dyDescent="0.25">
      <c r="A32" s="504"/>
      <c r="B32" s="504"/>
      <c r="C32" s="504"/>
      <c r="D32" s="504"/>
      <c r="E32" s="504"/>
      <c r="F32" s="501"/>
      <c r="G32" s="486">
        <f t="shared" ca="1" si="44"/>
        <v>3.1499999999999968</v>
      </c>
      <c r="H32" s="487" t="str">
        <f t="shared" ca="1" si="27"/>
        <v>MS-Demolish Metal Screen</v>
      </c>
      <c r="I32" s="488">
        <f t="shared" ca="1" si="28"/>
        <v>12.07</v>
      </c>
      <c r="J32" s="489" t="str">
        <f t="shared" ca="1" si="28"/>
        <v>m2</v>
      </c>
      <c r="K32" s="490">
        <f ca="1">IFERROR(
INDEX(INDIRECT("'"&amp;INDEX($H:$H,MATCH(ROUNDDOWN($G32,0),$G:$G))&amp;"'!$B:$T"),
MATCH($G32,INDIRECT("'"&amp;INDEX($H:$H,MATCH(ROUNDDOWN($G32,0),$G:$G))&amp;"'!$A:$A"),0),
MATCH(K$3,INDIRECT("'"&amp;INDEX($H:$H,MATCH(ROUNDDOWN($G32,0),$G:$G))&amp;"'!$B$1:$T$1"),0)),0)
*INDEX('Labour Rates'!F$4:F$35,MATCH(ROUNDDOWN(BREAKDOWN!G32,0),'Labour Rates'!A$4:A$35))</f>
        <v>0</v>
      </c>
      <c r="L32" s="490">
        <f t="shared" ca="1" si="29"/>
        <v>0</v>
      </c>
      <c r="M32" s="490">
        <f t="shared" ca="1" si="29"/>
        <v>0</v>
      </c>
      <c r="N32" s="490">
        <f t="shared" ca="1" si="29"/>
        <v>0</v>
      </c>
      <c r="O32" s="490">
        <f t="shared" ca="1" si="30"/>
        <v>0</v>
      </c>
      <c r="P32" s="491">
        <f t="shared" ca="1" si="31"/>
        <v>0</v>
      </c>
      <c r="Q32" s="492">
        <f t="shared" ca="1" si="32"/>
        <v>0</v>
      </c>
      <c r="R32" s="493" t="str">
        <f t="shared" ca="1" si="33"/>
        <v/>
      </c>
      <c r="S32" s="494">
        <f t="shared" ca="1" si="34"/>
        <v>0</v>
      </c>
      <c r="T32" s="499">
        <f ca="1">IF(I32=0,0,INDEX('Labour Rates'!E$4:E$35,MATCH(ROUNDDOWN(BREAKDOWN!G32,0),'Labour Rates'!A$4:A$35)))</f>
        <v>70.55</v>
      </c>
      <c r="U32" s="496">
        <f t="shared" ca="1" si="35"/>
        <v>0</v>
      </c>
      <c r="V32" s="496">
        <f t="shared" ca="1" si="36"/>
        <v>0</v>
      </c>
      <c r="W32" s="496">
        <f t="shared" ca="1" si="37"/>
        <v>0</v>
      </c>
      <c r="X32" s="496">
        <f t="shared" ca="1" si="38"/>
        <v>0</v>
      </c>
      <c r="Y32" s="497">
        <f t="shared" ca="1" si="39"/>
        <v>0</v>
      </c>
      <c r="Z32" s="497">
        <f t="shared" ca="1" si="40"/>
        <v>0</v>
      </c>
      <c r="AA32" s="497">
        <f t="shared" ca="1" si="41"/>
        <v>0</v>
      </c>
      <c r="AB32" s="497">
        <f t="shared" ca="1" si="42"/>
        <v>0</v>
      </c>
      <c r="AC32" s="498">
        <f t="shared" ca="1" si="43"/>
        <v>0</v>
      </c>
    </row>
    <row r="33" spans="1:29" s="483" customFormat="1" ht="15.75" x14ac:dyDescent="0.25">
      <c r="A33" s="484"/>
      <c r="B33" s="484"/>
      <c r="C33" s="484"/>
      <c r="D33" s="484"/>
      <c r="E33" s="484"/>
      <c r="F33" s="485"/>
      <c r="G33" s="502">
        <f ca="1">G17+1</f>
        <v>4</v>
      </c>
      <c r="H33" s="473" t="str">
        <f ca="1">INDEX(Civil!B:B,MATCH(BREAKDOWN!G33,Civil!A:A))</f>
        <v>CIVIL</v>
      </c>
      <c r="I33" s="474"/>
      <c r="J33" s="475"/>
      <c r="K33" s="476"/>
      <c r="L33" s="476"/>
      <c r="M33" s="476"/>
      <c r="N33" s="476"/>
      <c r="O33" s="476"/>
      <c r="P33" s="475"/>
      <c r="Q33" s="477">
        <f ca="1">SUMIFS(Q:Q,$G:$G,"&gt;"&amp;$G33,$G:$G,"&lt;"&amp;($G33+1))</f>
        <v>0</v>
      </c>
      <c r="R33" s="478">
        <f ca="1">Q33
-INDEX(INDIRECT("'"&amp;H33&amp;"'!B:T"),MATCH($Q$3,INDIRECT("'"&amp;H33&amp;"'!B:B"),0),MATCH($Q$3,INDIRECT("'"&amp;H33&amp;"'!B$1:T$1"),0))
-(SUMIFS(U:U,$G:$G,"&gt;"&amp;$G33,$G:$G,"&lt;"&amp;($G33+1))-SUMIFS(U:U,$G:$G,"&gt;"&amp;$G33,$G:$G,"&lt;"&amp;($G33+1))/INDEX('Labour Rates'!F$4:F$35,MATCH(ROUNDDOWN(BREAKDOWN!G33,0),'Labour Rates'!A$4:A$35)))</f>
        <v>0</v>
      </c>
      <c r="S33" s="503"/>
      <c r="T33" s="499"/>
      <c r="U33" s="503"/>
      <c r="V33" s="503"/>
      <c r="W33" s="503"/>
      <c r="X33" s="503"/>
      <c r="Y33" s="503"/>
      <c r="Z33" s="503"/>
      <c r="AA33" s="503"/>
      <c r="AB33" s="477">
        <f ca="1">SUM(AB34:AB34)</f>
        <v>0</v>
      </c>
      <c r="AC33" s="498"/>
    </row>
    <row r="34" spans="1:29" s="500" customFormat="1" ht="31.5" x14ac:dyDescent="0.25">
      <c r="A34" s="504"/>
      <c r="B34" s="504"/>
      <c r="C34" s="504"/>
      <c r="D34" s="504"/>
      <c r="E34" s="504"/>
      <c r="F34" s="501"/>
      <c r="G34" s="486">
        <f ca="1">G33+0.01</f>
        <v>4.01</v>
      </c>
      <c r="H34" s="487" t="str">
        <f ca="1">IF($I34&lt;&gt;0,
INDEX(INDIRECT("'"&amp;INDEX($H:$H,MATCH(ROUNDDOWN($G34,0),$G:$G))&amp;"'!$B:$T"),
MATCH($G34,INDIRECT("'"&amp;INDEX($H:$H,MATCH(ROUNDDOWN($G34,0),$G:$G))&amp;"'!$A:$A"),0),
MATCH(H$3,INDIRECT("'"&amp;INDEX($H:$H,MATCH(ROUNDDOWN($G34,0),$G:$G))&amp;"'!$B$1:$T$1"),0)),0)</f>
        <v>Stormwater Drains (PVC) (Including Excvation, Backfill, Pipes &amp; Fittings)</v>
      </c>
      <c r="I34" s="488">
        <f ca="1">IFERROR(
INDEX(INDIRECT("'"&amp;INDEX($H:$H,MATCH(ROUNDDOWN($G34,0),$G:$G))&amp;"'!$B:$T"),
MATCH($G34,INDIRECT("'"&amp;INDEX($H:$H,MATCH(ROUNDDOWN($G34,0),$G:$G))&amp;"'!$A:$A"),0),
MATCH(I$3,INDIRECT("'"&amp;INDEX($H:$H,MATCH(ROUNDDOWN($G34,0),$G:$G))&amp;"'!$B$1:$T$1"),0)),0)</f>
        <v>59.699999999999996</v>
      </c>
      <c r="J34" s="489" t="str">
        <f ca="1">IFERROR(
INDEX(INDIRECT("'"&amp;INDEX($H:$H,MATCH(ROUNDDOWN($G34,0),$G:$G))&amp;"'!$B:$T"),
MATCH($G34,INDIRECT("'"&amp;INDEX($H:$H,MATCH(ROUNDDOWN($G34,0),$G:$G))&amp;"'!$A:$A"),0),
MATCH(J$3,INDIRECT("'"&amp;INDEX($H:$H,MATCH(ROUNDDOWN($G34,0),$G:$G))&amp;"'!$B$1:$T$1"),0)),0)</f>
        <v>Lm</v>
      </c>
      <c r="K34" s="490">
        <f ca="1">IFERROR(
INDEX(INDIRECT("'"&amp;INDEX($H:$H,MATCH(ROUNDDOWN($G34,0),$G:$G))&amp;"'!$B:$T"),
MATCH($G34,INDIRECT("'"&amp;INDEX($H:$H,MATCH(ROUNDDOWN($G34,0),$G:$G))&amp;"'!$A:$A"),0),
MATCH(K$3,INDIRECT("'"&amp;INDEX($H:$H,MATCH(ROUNDDOWN($G34,0),$G:$G))&amp;"'!$B$1:$T$1"),0)),0)
*INDEX('Labour Rates'!F$4:F$35,MATCH(ROUNDDOWN(BREAKDOWN!G34,0),'Labour Rates'!A$4:A$35))</f>
        <v>0</v>
      </c>
      <c r="L34" s="490">
        <f ca="1">IFERROR(
INDEX(INDIRECT("'"&amp;INDEX($H:$H,MATCH(ROUNDDOWN($G34,0),$G:$G))&amp;"'!$B:$T"),
MATCH($G34,INDIRECT("'"&amp;INDEX($H:$H,MATCH(ROUNDDOWN($G34,0),$G:$G))&amp;"'!$A:$A"),0),
MATCH(L$3,INDIRECT("'"&amp;INDEX($H:$H,MATCH(ROUNDDOWN($G34,0),$G:$G))&amp;"'!$B$1:$T$1"),0)),0)</f>
        <v>0</v>
      </c>
      <c r="M34" s="490">
        <f ca="1">IFERROR(
INDEX(INDIRECT("'"&amp;INDEX($H:$H,MATCH(ROUNDDOWN($G34,0),$G:$G))&amp;"'!$B:$T"),
MATCH($G34,INDIRECT("'"&amp;INDEX($H:$H,MATCH(ROUNDDOWN($G34,0),$G:$G))&amp;"'!$A:$A"),0),
MATCH(M$3,INDIRECT("'"&amp;INDEX($H:$H,MATCH(ROUNDDOWN($G34,0),$G:$G))&amp;"'!$B$1:$T$1"),0)),0)</f>
        <v>0</v>
      </c>
      <c r="N34" s="490">
        <f ca="1">IFERROR(
INDEX(INDIRECT("'"&amp;INDEX($H:$H,MATCH(ROUNDDOWN($G34,0),$G:$G))&amp;"'!$B:$T"),
MATCH($G34,INDIRECT("'"&amp;INDEX($H:$H,MATCH(ROUNDDOWN($G34,0),$G:$G))&amp;"'!$A:$A"),0),
MATCH(N$3,INDIRECT("'"&amp;INDEX($H:$H,MATCH(ROUNDDOWN($G34,0),$G:$G))&amp;"'!$B$1:$T$1"),0)),0)</f>
        <v>0</v>
      </c>
      <c r="O34" s="490">
        <f ca="1">IFERROR(
INDEX(INDIRECT("'"&amp;INDEX($H:$H,MATCH(ROUNDDOWN($G34,0),$G:$G))&amp;"'!$V:$Z"),
MATCH($G34,INDIRECT("'"&amp;INDEX($H:$H,MATCH(ROUNDDOWN($G34,0),$G:$G))&amp;"'!$A:$A"),0),
MATCH(O$3,INDIRECT("'"&amp;INDEX($H:$H,MATCH(ROUNDDOWN($G34,0),$G:$G))&amp;"'!$V$2:$Z$2"),0)),0)</f>
        <v>0</v>
      </c>
      <c r="P34" s="491">
        <f t="shared" ref="P34" ca="1" si="45">IFERROR(IF(O34="inc","inc",IF(AND(O34&gt;0,I34&gt;0),O34/I34,IF(SUM(K34:N34)&gt;0,SUM(K34:N34),0))),0)</f>
        <v>0</v>
      </c>
      <c r="Q34" s="492">
        <f t="shared" ref="Q34" ca="1" si="46">IFERROR(IF(P34="",0,I34*P34),0)</f>
        <v>0</v>
      </c>
      <c r="R34" s="493" t="str">
        <f ca="1">IFERROR(
INDEX(INDIRECT("'"&amp;INDEX($H:$H,MATCH(ROUNDDOWN($G34,0),$G:$G))&amp;"'!$W:$AA"),
MATCH($G34,INDIRECT("'"&amp;INDEX($H:$H,MATCH(ROUNDDOWN($G34,0),$G:$G))&amp;"'!$A:$A"),0),
MATCH(R$3,INDIRECT("'"&amp;INDEX($H:$H,MATCH(ROUNDDOWN($G34,0),$G:$G))&amp;"'!$W$1:$AA$1"),0)),"")</f>
        <v/>
      </c>
      <c r="S34" s="494">
        <f t="shared" ca="1" si="34"/>
        <v>0</v>
      </c>
      <c r="T34" s="499">
        <f ca="1">IF(I34=0,0,INDEX('Labour Rates'!E$4:E$35,MATCH(ROUNDDOWN(BREAKDOWN!G34,0),'Labour Rates'!A$4:A$35)))</f>
        <v>80.84</v>
      </c>
      <c r="U34" s="496">
        <f t="shared" ref="U34" ca="1" si="47">IF($Y34&gt;0, 0, IFERROR($I34*K34,0))</f>
        <v>0</v>
      </c>
      <c r="V34" s="496">
        <f t="shared" ref="V34" ca="1" si="48">IF($Y34&gt;0, 0, IFERROR($I34*L34,0))</f>
        <v>0</v>
      </c>
      <c r="W34" s="496">
        <f t="shared" ref="W34" ca="1" si="49">IF($Y34&gt;0, 0, IFERROR($I34*M34,0))</f>
        <v>0</v>
      </c>
      <c r="X34" s="496">
        <f t="shared" ref="X34" ca="1" si="50">IF($Y34&gt;0, 0, IFERROR($I34*N34,0))</f>
        <v>0</v>
      </c>
      <c r="Y34" s="497">
        <f t="shared" ref="Y34" ca="1" si="51">IF(I34&gt;0,O34,0)</f>
        <v>0</v>
      </c>
      <c r="Z34" s="497">
        <f ca="1">Q34*$I$158</f>
        <v>0</v>
      </c>
      <c r="AA34" s="497">
        <f ca="1">Q34*$I$159</f>
        <v>0</v>
      </c>
      <c r="AB34" s="497">
        <f t="shared" ref="AB34" ca="1" si="52">SUM(U34:AA34)</f>
        <v>0</v>
      </c>
      <c r="AC34" s="498">
        <f t="shared" ref="AC34" ca="1" si="53">SUM(U34:Y34)-Q34</f>
        <v>0</v>
      </c>
    </row>
    <row r="35" spans="1:29" s="483" customFormat="1" ht="15.75" x14ac:dyDescent="0.25">
      <c r="A35" s="484"/>
      <c r="B35" s="484"/>
      <c r="C35" s="484"/>
      <c r="D35" s="484"/>
      <c r="E35" s="484"/>
      <c r="F35" s="485"/>
      <c r="G35" s="506">
        <f ca="1">G33+1</f>
        <v>5</v>
      </c>
      <c r="H35" s="473" t="str">
        <f ca="1">INDEX('Detailed Excavation'!B:B,MATCH(BREAKDOWN!G35,'Detailed Excavation'!A:A))</f>
        <v>DETAILED EXCAVATION</v>
      </c>
      <c r="I35" s="474"/>
      <c r="J35" s="475"/>
      <c r="K35" s="476"/>
      <c r="L35" s="476"/>
      <c r="M35" s="476"/>
      <c r="N35" s="476"/>
      <c r="O35" s="476"/>
      <c r="P35" s="475"/>
      <c r="Q35" s="477">
        <f t="shared" ref="Q35:Q40" ca="1" si="54">SUMIFS(Q:Q,$G:$G,"&gt;"&amp;$G35,$G:$G,"&lt;"&amp;($G35+1))</f>
        <v>0</v>
      </c>
      <c r="R35" s="478">
        <f ca="1">Q35
-INDEX(INDIRECT("'"&amp;H35&amp;"'!B:T"),MATCH($Q$3,INDIRECT("'"&amp;H35&amp;"'!B:B"),0),MATCH($Q$3,INDIRECT("'"&amp;H35&amp;"'!B$1:T$1"),0))
-(SUMIFS(U:U,$G:$G,"&gt;"&amp;$G35,$G:$G,"&lt;"&amp;($G35+1))-SUMIFS(U:U,$G:$G,"&gt;"&amp;$G35,$G:$G,"&lt;"&amp;($G35+1))/INDEX('Labour Rates'!F$4:F$35,MATCH(ROUNDDOWN(BREAKDOWN!G35,0),'Labour Rates'!A$4:A$35)))</f>
        <v>0</v>
      </c>
      <c r="S35" s="503"/>
      <c r="T35" s="499"/>
      <c r="U35" s="503"/>
      <c r="V35" s="503"/>
      <c r="W35" s="503"/>
      <c r="X35" s="503"/>
      <c r="Y35" s="503"/>
      <c r="Z35" s="503"/>
      <c r="AA35" s="503"/>
      <c r="AB35" s="477"/>
      <c r="AC35" s="498"/>
    </row>
    <row r="36" spans="1:29" s="483" customFormat="1" ht="15.75" x14ac:dyDescent="0.25">
      <c r="A36" s="484"/>
      <c r="B36" s="484"/>
      <c r="C36" s="484"/>
      <c r="D36" s="484"/>
      <c r="E36" s="484"/>
      <c r="F36" s="485"/>
      <c r="G36" s="506">
        <f ca="1">G35+1</f>
        <v>6</v>
      </c>
      <c r="H36" s="473" t="str">
        <f ca="1">INDEX(Concrete!B:B,MATCH(BREAKDOWN!G36,Concrete!A:A))</f>
        <v>CONCRETE</v>
      </c>
      <c r="I36" s="474"/>
      <c r="J36" s="475"/>
      <c r="K36" s="476"/>
      <c r="L36" s="476"/>
      <c r="M36" s="476"/>
      <c r="N36" s="476"/>
      <c r="O36" s="476"/>
      <c r="P36" s="475"/>
      <c r="Q36" s="477">
        <f t="shared" ca="1" si="54"/>
        <v>0</v>
      </c>
      <c r="R36" s="478">
        <f ca="1">Q36
-INDEX(INDIRECT("'"&amp;H36&amp;"'!B:T"),MATCH($Q$3,INDIRECT("'"&amp;H36&amp;"'!B:B"),0),MATCH($Q$3,INDIRECT("'"&amp;H36&amp;"'!B$1:T$1"),0))
-(SUMIFS(U:U,$G:$G,"&gt;"&amp;$G36,$G:$G,"&lt;"&amp;($G36+1))-SUMIFS(U:U,$G:$G,"&gt;"&amp;$G36,$G:$G,"&lt;"&amp;($G36+1))/INDEX('Labour Rates'!F$4:F$35,MATCH(ROUNDDOWN(BREAKDOWN!G36,0),'Labour Rates'!A$4:A$35)))</f>
        <v>0</v>
      </c>
      <c r="S36" s="503"/>
      <c r="T36" s="499"/>
      <c r="U36" s="503"/>
      <c r="V36" s="503"/>
      <c r="W36" s="503"/>
      <c r="X36" s="503"/>
      <c r="Y36" s="503"/>
      <c r="Z36" s="503"/>
      <c r="AA36" s="503"/>
      <c r="AB36" s="477"/>
      <c r="AC36" s="498"/>
    </row>
    <row r="37" spans="1:29" s="483" customFormat="1" ht="15.75" x14ac:dyDescent="0.25">
      <c r="A37" s="484"/>
      <c r="B37" s="484"/>
      <c r="C37" s="484"/>
      <c r="D37" s="484"/>
      <c r="E37" s="484"/>
      <c r="F37" s="485"/>
      <c r="G37" s="506">
        <f ca="1">G36+1</f>
        <v>7</v>
      </c>
      <c r="H37" s="473" t="str">
        <f ca="1">INDEX(Formwork!B:B,MATCH(BREAKDOWN!G37,Formwork!A:A))</f>
        <v>FORMWORK</v>
      </c>
      <c r="I37" s="474"/>
      <c r="J37" s="475"/>
      <c r="K37" s="476"/>
      <c r="L37" s="476"/>
      <c r="M37" s="476"/>
      <c r="N37" s="476"/>
      <c r="O37" s="476"/>
      <c r="P37" s="475"/>
      <c r="Q37" s="477">
        <f t="shared" ca="1" si="54"/>
        <v>0</v>
      </c>
      <c r="R37" s="478">
        <f ca="1">Q37
-INDEX(INDIRECT("'"&amp;H37&amp;"'!B:T"),MATCH($Q$3,INDIRECT("'"&amp;H37&amp;"'!B:B"),0),MATCH($Q$3,INDIRECT("'"&amp;H37&amp;"'!B$1:T$1"),0))
-(SUMIFS(U:U,$G:$G,"&gt;"&amp;$G37,$G:$G,"&lt;"&amp;($G37+1))-SUMIFS(U:U,$G:$G,"&gt;"&amp;$G37,$G:$G,"&lt;"&amp;($G37+1))/INDEX('Labour Rates'!F$4:F$35,MATCH(ROUNDDOWN(BREAKDOWN!G37,0),'Labour Rates'!A$4:A$35)))</f>
        <v>0</v>
      </c>
      <c r="S37" s="503"/>
      <c r="T37" s="499"/>
      <c r="U37" s="503"/>
      <c r="V37" s="503"/>
      <c r="W37" s="503"/>
      <c r="X37" s="503"/>
      <c r="Y37" s="503"/>
      <c r="Z37" s="503"/>
      <c r="AA37" s="503"/>
      <c r="AB37" s="477"/>
      <c r="AC37" s="498"/>
    </row>
    <row r="38" spans="1:29" s="483" customFormat="1" ht="15.75" x14ac:dyDescent="0.25">
      <c r="A38" s="484"/>
      <c r="B38" s="484"/>
      <c r="C38" s="484"/>
      <c r="D38" s="484"/>
      <c r="E38" s="484"/>
      <c r="F38" s="485"/>
      <c r="G38" s="502">
        <f ca="1">G37+1</f>
        <v>8</v>
      </c>
      <c r="H38" s="473" t="str">
        <f ca="1">INDEX(Reinforcement!B:B,MATCH(BREAKDOWN!G38,Reinforcement!A:A))</f>
        <v>REINFORCEMENT</v>
      </c>
      <c r="I38" s="474"/>
      <c r="J38" s="475"/>
      <c r="K38" s="476"/>
      <c r="L38" s="476"/>
      <c r="M38" s="476"/>
      <c r="N38" s="476"/>
      <c r="O38" s="476"/>
      <c r="P38" s="476"/>
      <c r="Q38" s="477">
        <f t="shared" ca="1" si="54"/>
        <v>0</v>
      </c>
      <c r="R38" s="478">
        <f ca="1">Q38
-INDEX(INDIRECT("'"&amp;H38&amp;"'!B:T"),MATCH($Q$3,INDIRECT("'"&amp;H38&amp;"'!B:B"),0),MATCH($Q$3,INDIRECT("'"&amp;H38&amp;"'!B$1:T$1"),0))
-(SUMIFS(U:U,$G:$G,"&gt;"&amp;$G38,$G:$G,"&lt;"&amp;($G38+1))-SUMIFS(U:U,$G:$G,"&gt;"&amp;$G38,$G:$G,"&lt;"&amp;($G38+1))/INDEX('Labour Rates'!F$4:F$35,MATCH(ROUNDDOWN(BREAKDOWN!G38,0),'Labour Rates'!A$4:A$35)))</f>
        <v>0</v>
      </c>
      <c r="S38" s="503"/>
      <c r="T38" s="499"/>
      <c r="U38" s="503"/>
      <c r="V38" s="503"/>
      <c r="W38" s="503"/>
      <c r="X38" s="503"/>
      <c r="Y38" s="503"/>
      <c r="Z38" s="503"/>
      <c r="AA38" s="503"/>
      <c r="AB38" s="477"/>
      <c r="AC38" s="498"/>
    </row>
    <row r="39" spans="1:29" s="483" customFormat="1" ht="15.75" x14ac:dyDescent="0.25">
      <c r="A39" s="484"/>
      <c r="B39" s="484"/>
      <c r="C39" s="484"/>
      <c r="D39" s="484"/>
      <c r="E39" s="484"/>
      <c r="F39" s="485"/>
      <c r="G39" s="502">
        <f ca="1">G38+1</f>
        <v>9</v>
      </c>
      <c r="H39" s="473" t="str">
        <f ca="1">INDEX('Termite Protection'!B:B,MATCH(BREAKDOWN!G39,'Termite Protection'!A:A))</f>
        <v>TERMITE PROTECTION</v>
      </c>
      <c r="I39" s="474"/>
      <c r="J39" s="475"/>
      <c r="K39" s="476"/>
      <c r="L39" s="476"/>
      <c r="M39" s="476"/>
      <c r="N39" s="476"/>
      <c r="O39" s="476"/>
      <c r="P39" s="476"/>
      <c r="Q39" s="477">
        <f t="shared" ca="1" si="54"/>
        <v>0</v>
      </c>
      <c r="R39" s="478">
        <f ca="1">Q39
-INDEX(INDIRECT("'"&amp;H39&amp;"'!B:T"),MATCH($Q$3,INDIRECT("'"&amp;H39&amp;"'!B:B"),0),MATCH($Q$3,INDIRECT("'"&amp;H39&amp;"'!B$1:T$1"),0))
-(SUMIFS(U:U,$G:$G,"&gt;"&amp;$G39,$G:$G,"&lt;"&amp;($G39+1))-SUMIFS(U:U,$G:$G,"&gt;"&amp;$G39,$G:$G,"&lt;"&amp;($G39+1))/INDEX('Labour Rates'!F$4:F$35,MATCH(ROUNDDOWN(BREAKDOWN!G39,0),'Labour Rates'!A$4:A$35)))</f>
        <v>0</v>
      </c>
      <c r="S39" s="503"/>
      <c r="T39" s="499"/>
      <c r="U39" s="503"/>
      <c r="V39" s="503"/>
      <c r="W39" s="503"/>
      <c r="X39" s="503"/>
      <c r="Y39" s="503"/>
      <c r="Z39" s="503"/>
      <c r="AA39" s="503"/>
      <c r="AB39" s="477"/>
      <c r="AC39" s="498"/>
    </row>
    <row r="40" spans="1:29" s="483" customFormat="1" ht="15.75" x14ac:dyDescent="0.25">
      <c r="A40" s="484"/>
      <c r="B40" s="484"/>
      <c r="C40" s="484"/>
      <c r="D40" s="484"/>
      <c r="E40" s="484"/>
      <c r="F40" s="485"/>
      <c r="G40" s="502">
        <f ca="1">G39+1</f>
        <v>10</v>
      </c>
      <c r="H40" s="473" t="str">
        <f ca="1">INDEX('Roofing &amp; Metal Cladding'!B:B,MATCH(BREAKDOWN!G40,'Roofing &amp; Metal Cladding'!A:A))</f>
        <v>ROOFING &amp; METAL CLADDING</v>
      </c>
      <c r="I40" s="474"/>
      <c r="J40" s="475"/>
      <c r="K40" s="476"/>
      <c r="L40" s="476"/>
      <c r="M40" s="476"/>
      <c r="N40" s="476"/>
      <c r="O40" s="476"/>
      <c r="P40" s="476"/>
      <c r="Q40" s="477">
        <f t="shared" ca="1" si="54"/>
        <v>0</v>
      </c>
      <c r="R40" s="478">
        <f ca="1">Q40
-INDEX(INDIRECT("'"&amp;H40&amp;"'!B:T"),MATCH($Q$3,INDIRECT("'"&amp;H40&amp;"'!B:B"),0),MATCH($Q$3,INDIRECT("'"&amp;H40&amp;"'!B$1:T$1"),0))
-(SUMIFS(U:U,$G:$G,"&gt;"&amp;$G40,$G:$G,"&lt;"&amp;($G40+1))-SUMIFS(U:U,$G:$G,"&gt;"&amp;$G40,$G:$G,"&lt;"&amp;($G40+1))/INDEX('Labour Rates'!F$4:F$35,MATCH(ROUNDDOWN(BREAKDOWN!G40,0),'Labour Rates'!A$4:A$35)))</f>
        <v>0</v>
      </c>
      <c r="S40" s="503"/>
      <c r="T40" s="499"/>
      <c r="U40" s="503"/>
      <c r="V40" s="503"/>
      <c r="W40" s="503"/>
      <c r="X40" s="503"/>
      <c r="Y40" s="503"/>
      <c r="Z40" s="503"/>
      <c r="AA40" s="503"/>
      <c r="AB40" s="477">
        <f ca="1">SUM(AB41:AB51)</f>
        <v>0</v>
      </c>
      <c r="AC40" s="498"/>
    </row>
    <row r="41" spans="1:29" s="500" customFormat="1" ht="31.5" x14ac:dyDescent="0.25">
      <c r="A41" s="504"/>
      <c r="B41" s="504"/>
      <c r="C41" s="504"/>
      <c r="D41" s="504"/>
      <c r="E41" s="504"/>
      <c r="F41" s="501"/>
      <c r="G41" s="486">
        <f ca="1">G40+0.01</f>
        <v>10.01</v>
      </c>
      <c r="H41" s="487" t="str">
        <f t="shared" ref="H41:H51" ca="1" si="55">IF($I41&lt;&gt;0,
INDEX(INDIRECT("'"&amp;INDEX($H:$H,MATCH(ROUNDDOWN($G41,0),$G:$G))&amp;"'!$B:$T"),
MATCH($G41,INDIRECT("'"&amp;INDEX($H:$H,MATCH(ROUNDDOWN($G41,0),$G:$G))&amp;"'!$A:$A"),0),
MATCH(H$3,INDIRECT("'"&amp;INDEX($H:$H,MATCH(ROUNDDOWN($G41,0),$G:$G))&amp;"'!$B$1:$T$1"),0)),0)</f>
        <v>Metal Roofing - Colorbond 'Trimdeck' (Including Sheeting, Capping, Flashing &amp; Fixing)</v>
      </c>
      <c r="I41" s="488">
        <f t="shared" ref="I41:J51" ca="1" si="56">IFERROR(
INDEX(INDIRECT("'"&amp;INDEX($H:$H,MATCH(ROUNDDOWN($G41,0),$G:$G))&amp;"'!$B:$T"),
MATCH($G41,INDIRECT("'"&amp;INDEX($H:$H,MATCH(ROUNDDOWN($G41,0),$G:$G))&amp;"'!$A:$A"),0),
MATCH(I$3,INDIRECT("'"&amp;INDEX($H:$H,MATCH(ROUNDDOWN($G41,0),$G:$G))&amp;"'!$B$1:$T$1"),0)),0)</f>
        <v>121.13</v>
      </c>
      <c r="J41" s="489" t="str">
        <f t="shared" ca="1" si="56"/>
        <v>m2</v>
      </c>
      <c r="K41" s="490">
        <f ca="1">IFERROR(
INDEX(INDIRECT("'"&amp;INDEX($H:$H,MATCH(ROUNDDOWN($G41,0),$G:$G))&amp;"'!$B:$T"),
MATCH($G41,INDIRECT("'"&amp;INDEX($H:$H,MATCH(ROUNDDOWN($G41,0),$G:$G))&amp;"'!$A:$A"),0),
MATCH(K$3,INDIRECT("'"&amp;INDEX($H:$H,MATCH(ROUNDDOWN($G41,0),$G:$G))&amp;"'!$B$1:$T$1"),0)),0)
*INDEX('Labour Rates'!F$4:F$35,MATCH(ROUNDDOWN(BREAKDOWN!G41,0),'Labour Rates'!A$4:A$35))</f>
        <v>0</v>
      </c>
      <c r="L41" s="490">
        <f t="shared" ref="L41:N51" ca="1" si="57">IFERROR(
INDEX(INDIRECT("'"&amp;INDEX($H:$H,MATCH(ROUNDDOWN($G41,0),$G:$G))&amp;"'!$B:$T"),
MATCH($G41,INDIRECT("'"&amp;INDEX($H:$H,MATCH(ROUNDDOWN($G41,0),$G:$G))&amp;"'!$A:$A"),0),
MATCH(L$3,INDIRECT("'"&amp;INDEX($H:$H,MATCH(ROUNDDOWN($G41,0),$G:$G))&amp;"'!$B$1:$T$1"),0)),0)</f>
        <v>0</v>
      </c>
      <c r="M41" s="490">
        <f t="shared" ca="1" si="57"/>
        <v>0</v>
      </c>
      <c r="N41" s="490">
        <f t="shared" ca="1" si="57"/>
        <v>0</v>
      </c>
      <c r="O41" s="490">
        <f t="shared" ref="O41:O51" ca="1" si="58">IFERROR(
INDEX(INDIRECT("'"&amp;INDEX($H:$H,MATCH(ROUNDDOWN($G41,0),$G:$G))&amp;"'!$V:$Z"),
MATCH($G41,INDIRECT("'"&amp;INDEX($H:$H,MATCH(ROUNDDOWN($G41,0),$G:$G))&amp;"'!$A:$A"),0),
MATCH(O$3,INDIRECT("'"&amp;INDEX($H:$H,MATCH(ROUNDDOWN($G41,0),$G:$G))&amp;"'!$V$2:$Z$2"),0)),0)</f>
        <v>0</v>
      </c>
      <c r="P41" s="491">
        <f t="shared" ref="P41:P51" ca="1" si="59">IFERROR(IF(O41="inc","inc",IF(AND(O41&gt;0,I41&gt;0),O41/I41,IF(SUM(K41:N41)&gt;0,SUM(K41:N41),0))),0)</f>
        <v>0</v>
      </c>
      <c r="Q41" s="492">
        <f t="shared" ref="Q41:Q51" ca="1" si="60">IFERROR(IF(P41="",0,I41*P41),0)</f>
        <v>0</v>
      </c>
      <c r="R41" s="493" t="str">
        <f t="shared" ref="R41:R51" ca="1" si="61">IFERROR(
INDEX(INDIRECT("'"&amp;INDEX($H:$H,MATCH(ROUNDDOWN($G41,0),$G:$G))&amp;"'!$W:$AA"),
MATCH($G41,INDIRECT("'"&amp;INDEX($H:$H,MATCH(ROUNDDOWN($G41,0),$G:$G))&amp;"'!$A:$A"),0),
MATCH(R$3,INDIRECT("'"&amp;INDEX($H:$H,MATCH(ROUNDDOWN($G41,0),$G:$G))&amp;"'!$W$1:$AA$1"),0)),"")</f>
        <v/>
      </c>
      <c r="S41" s="494">
        <f t="shared" ref="S41:S43" ca="1" si="62">IFERROR(U41/T41,"")</f>
        <v>0</v>
      </c>
      <c r="T41" s="499">
        <f ca="1">IF(I41=0,0,INDEX('Labour Rates'!E$4:E$35,MATCH(ROUNDDOWN(BREAKDOWN!G41,0),'Labour Rates'!A$4:A$35)))</f>
        <v>97.75</v>
      </c>
      <c r="U41" s="496">
        <f t="shared" ref="U41:U51" ca="1" si="63">IF($Y41&gt;0, 0, IFERROR($I41*K41,0))</f>
        <v>0</v>
      </c>
      <c r="V41" s="496">
        <f t="shared" ref="V41:V51" ca="1" si="64">IF($Y41&gt;0, 0, IFERROR($I41*L41,0))</f>
        <v>0</v>
      </c>
      <c r="W41" s="496">
        <f t="shared" ref="W41:W51" ca="1" si="65">IF($Y41&gt;0, 0, IFERROR($I41*M41,0))</f>
        <v>0</v>
      </c>
      <c r="X41" s="496">
        <f t="shared" ref="X41:X51" ca="1" si="66">IF($Y41&gt;0, 0, IFERROR($I41*N41,0))</f>
        <v>0</v>
      </c>
      <c r="Y41" s="497">
        <f t="shared" ref="Y41:Y51" ca="1" si="67">IF(I41&gt;0,O41,0)</f>
        <v>0</v>
      </c>
      <c r="Z41" s="497">
        <f t="shared" ref="Z41:Z51" ca="1" si="68">Q41*$I$158</f>
        <v>0</v>
      </c>
      <c r="AA41" s="497">
        <f t="shared" ref="AA41:AA51" ca="1" si="69">Q41*$I$159</f>
        <v>0</v>
      </c>
      <c r="AB41" s="497">
        <f t="shared" ref="AB41:AB51" ca="1" si="70">SUM(U41:AA41)</f>
        <v>0</v>
      </c>
      <c r="AC41" s="498">
        <f t="shared" ref="AC41:AC51" ca="1" si="71">SUM(U41:Y41)-Q41</f>
        <v>0</v>
      </c>
    </row>
    <row r="42" spans="1:29" s="500" customFormat="1" ht="15.75" x14ac:dyDescent="0.25">
      <c r="A42" s="504"/>
      <c r="B42" s="504"/>
      <c r="C42" s="504"/>
      <c r="D42" s="504"/>
      <c r="E42" s="504"/>
      <c r="F42" s="501"/>
      <c r="G42" s="486">
        <f t="shared" ref="G42:G51" ca="1" si="72">G41+0.01</f>
        <v>10.02</v>
      </c>
      <c r="H42" s="487" t="str">
        <f t="shared" ca="1" si="55"/>
        <v>Roof Batten</v>
      </c>
      <c r="I42" s="488">
        <f t="shared" ca="1" si="56"/>
        <v>121.13</v>
      </c>
      <c r="J42" s="489" t="str">
        <f t="shared" ca="1" si="56"/>
        <v>m2</v>
      </c>
      <c r="K42" s="490">
        <f ca="1">IFERROR(
INDEX(INDIRECT("'"&amp;INDEX($H:$H,MATCH(ROUNDDOWN($G42,0),$G:$G))&amp;"'!$B:$T"),
MATCH($G42,INDIRECT("'"&amp;INDEX($H:$H,MATCH(ROUNDDOWN($G42,0),$G:$G))&amp;"'!$A:$A"),0),
MATCH(K$3,INDIRECT("'"&amp;INDEX($H:$H,MATCH(ROUNDDOWN($G42,0),$G:$G))&amp;"'!$B$1:$T$1"),0)),0)
*INDEX('Labour Rates'!F$4:F$35,MATCH(ROUNDDOWN(BREAKDOWN!G42,0),'Labour Rates'!A$4:A$35))</f>
        <v>0</v>
      </c>
      <c r="L42" s="490">
        <f t="shared" ca="1" si="57"/>
        <v>0</v>
      </c>
      <c r="M42" s="490">
        <f t="shared" ca="1" si="57"/>
        <v>0</v>
      </c>
      <c r="N42" s="490">
        <f t="shared" ca="1" si="57"/>
        <v>0</v>
      </c>
      <c r="O42" s="490">
        <f t="shared" ca="1" si="58"/>
        <v>0</v>
      </c>
      <c r="P42" s="491">
        <f t="shared" ca="1" si="59"/>
        <v>0</v>
      </c>
      <c r="Q42" s="492">
        <f t="shared" ca="1" si="60"/>
        <v>0</v>
      </c>
      <c r="R42" s="493" t="str">
        <f t="shared" ca="1" si="61"/>
        <v/>
      </c>
      <c r="S42" s="494">
        <f t="shared" ca="1" si="62"/>
        <v>0</v>
      </c>
      <c r="T42" s="499">
        <f ca="1">IF(I42=0,0,INDEX('Labour Rates'!E$4:E$35,MATCH(ROUNDDOWN(BREAKDOWN!G42,0),'Labour Rates'!A$4:A$35)))</f>
        <v>97.75</v>
      </c>
      <c r="U42" s="496">
        <f t="shared" ca="1" si="63"/>
        <v>0</v>
      </c>
      <c r="V42" s="496">
        <f t="shared" ca="1" si="64"/>
        <v>0</v>
      </c>
      <c r="W42" s="496">
        <f t="shared" ca="1" si="65"/>
        <v>0</v>
      </c>
      <c r="X42" s="496">
        <f t="shared" ca="1" si="66"/>
        <v>0</v>
      </c>
      <c r="Y42" s="497">
        <f t="shared" ca="1" si="67"/>
        <v>0</v>
      </c>
      <c r="Z42" s="497">
        <f t="shared" ca="1" si="68"/>
        <v>0</v>
      </c>
      <c r="AA42" s="497">
        <f t="shared" ca="1" si="69"/>
        <v>0</v>
      </c>
      <c r="AB42" s="497">
        <f t="shared" ca="1" si="70"/>
        <v>0</v>
      </c>
      <c r="AC42" s="498">
        <f t="shared" ca="1" si="71"/>
        <v>0</v>
      </c>
    </row>
    <row r="43" spans="1:29" s="483" customFormat="1" ht="15.75" x14ac:dyDescent="0.25">
      <c r="A43" s="484"/>
      <c r="B43" s="484"/>
      <c r="C43" s="484"/>
      <c r="D43" s="484"/>
      <c r="E43" s="484"/>
      <c r="F43" s="485"/>
      <c r="G43" s="486">
        <f t="shared" ca="1" si="72"/>
        <v>10.029999999999999</v>
      </c>
      <c r="H43" s="487" t="str">
        <f t="shared" ca="1" si="55"/>
        <v>Roof Sarking</v>
      </c>
      <c r="I43" s="488">
        <f t="shared" ca="1" si="56"/>
        <v>121.13</v>
      </c>
      <c r="J43" s="489" t="str">
        <f t="shared" ca="1" si="56"/>
        <v>m2</v>
      </c>
      <c r="K43" s="490">
        <f ca="1">IFERROR(
INDEX(INDIRECT("'"&amp;INDEX($H:$H,MATCH(ROUNDDOWN($G43,0),$G:$G))&amp;"'!$B:$T"),
MATCH($G43,INDIRECT("'"&amp;INDEX($H:$H,MATCH(ROUNDDOWN($G43,0),$G:$G))&amp;"'!$A:$A"),0),
MATCH(K$3,INDIRECT("'"&amp;INDEX($H:$H,MATCH(ROUNDDOWN($G43,0),$G:$G))&amp;"'!$B$1:$T$1"),0)),0)
*INDEX('Labour Rates'!F$4:F$35,MATCH(ROUNDDOWN(BREAKDOWN!G43,0),'Labour Rates'!A$4:A$35))</f>
        <v>0</v>
      </c>
      <c r="L43" s="490">
        <f t="shared" ca="1" si="57"/>
        <v>0</v>
      </c>
      <c r="M43" s="490">
        <f t="shared" ca="1" si="57"/>
        <v>0</v>
      </c>
      <c r="N43" s="490">
        <f t="shared" ca="1" si="57"/>
        <v>0</v>
      </c>
      <c r="O43" s="490">
        <f t="shared" ca="1" si="58"/>
        <v>0</v>
      </c>
      <c r="P43" s="491">
        <f t="shared" ca="1" si="59"/>
        <v>0</v>
      </c>
      <c r="Q43" s="492">
        <f t="shared" ca="1" si="60"/>
        <v>0</v>
      </c>
      <c r="R43" s="493" t="str">
        <f t="shared" ca="1" si="61"/>
        <v/>
      </c>
      <c r="S43" s="494">
        <f t="shared" ca="1" si="62"/>
        <v>0</v>
      </c>
      <c r="T43" s="499">
        <f ca="1">IF(I43=0,0,INDEX('Labour Rates'!E$4:E$35,MATCH(ROUNDDOWN(BREAKDOWN!G43,0),'Labour Rates'!A$4:A$35)))</f>
        <v>97.75</v>
      </c>
      <c r="U43" s="496">
        <f t="shared" ca="1" si="63"/>
        <v>0</v>
      </c>
      <c r="V43" s="496">
        <f t="shared" ca="1" si="64"/>
        <v>0</v>
      </c>
      <c r="W43" s="496">
        <f t="shared" ca="1" si="65"/>
        <v>0</v>
      </c>
      <c r="X43" s="496">
        <f t="shared" ca="1" si="66"/>
        <v>0</v>
      </c>
      <c r="Y43" s="497">
        <f t="shared" ca="1" si="67"/>
        <v>0</v>
      </c>
      <c r="Z43" s="497">
        <f t="shared" ca="1" si="68"/>
        <v>0</v>
      </c>
      <c r="AA43" s="497">
        <f t="shared" ca="1" si="69"/>
        <v>0</v>
      </c>
      <c r="AB43" s="497">
        <f t="shared" ca="1" si="70"/>
        <v>0</v>
      </c>
      <c r="AC43" s="498">
        <f t="shared" ca="1" si="71"/>
        <v>0</v>
      </c>
    </row>
    <row r="44" spans="1:29" s="483" customFormat="1" ht="15.75" x14ac:dyDescent="0.25">
      <c r="A44" s="484"/>
      <c r="B44" s="484"/>
      <c r="C44" s="484"/>
      <c r="D44" s="484"/>
      <c r="E44" s="484"/>
      <c r="F44" s="485"/>
      <c r="G44" s="486">
        <f t="shared" ca="1" si="72"/>
        <v>10.039999999999999</v>
      </c>
      <c r="H44" s="487" t="str">
        <f t="shared" ca="1" si="55"/>
        <v>Roof Insulation</v>
      </c>
      <c r="I44" s="488">
        <f t="shared" ca="1" si="56"/>
        <v>121.13</v>
      </c>
      <c r="J44" s="489" t="str">
        <f t="shared" ca="1" si="56"/>
        <v>m2</v>
      </c>
      <c r="K44" s="490">
        <f ca="1">IFERROR(
INDEX(INDIRECT("'"&amp;INDEX($H:$H,MATCH(ROUNDDOWN($G44,0),$G:$G))&amp;"'!$B:$T"),
MATCH($G44,INDIRECT("'"&amp;INDEX($H:$H,MATCH(ROUNDDOWN($G44,0),$G:$G))&amp;"'!$A:$A"),0),
MATCH(K$3,INDIRECT("'"&amp;INDEX($H:$H,MATCH(ROUNDDOWN($G44,0),$G:$G))&amp;"'!$B$1:$T$1"),0)),0)
*INDEX('Labour Rates'!F$4:F$35,MATCH(ROUNDDOWN(BREAKDOWN!G44,0),'Labour Rates'!A$4:A$35))</f>
        <v>0</v>
      </c>
      <c r="L44" s="490">
        <f t="shared" ca="1" si="57"/>
        <v>0</v>
      </c>
      <c r="M44" s="490">
        <f t="shared" ca="1" si="57"/>
        <v>0</v>
      </c>
      <c r="N44" s="490">
        <f t="shared" ca="1" si="57"/>
        <v>0</v>
      </c>
      <c r="O44" s="490">
        <f t="shared" ca="1" si="58"/>
        <v>0</v>
      </c>
      <c r="P44" s="491">
        <f t="shared" ca="1" si="59"/>
        <v>0</v>
      </c>
      <c r="Q44" s="492">
        <f t="shared" ca="1" si="60"/>
        <v>0</v>
      </c>
      <c r="R44" s="493" t="str">
        <f t="shared" ca="1" si="61"/>
        <v/>
      </c>
      <c r="S44" s="494">
        <f t="shared" ref="S44:S67" ca="1" si="73">IFERROR(U44/T44,"")</f>
        <v>0</v>
      </c>
      <c r="T44" s="499">
        <f ca="1">IF(I44=0,0,INDEX('Labour Rates'!E$4:E$35,MATCH(ROUNDDOWN(BREAKDOWN!G44,0),'Labour Rates'!A$4:A$35)))</f>
        <v>97.75</v>
      </c>
      <c r="U44" s="496">
        <f t="shared" ca="1" si="63"/>
        <v>0</v>
      </c>
      <c r="V44" s="496">
        <f t="shared" ca="1" si="64"/>
        <v>0</v>
      </c>
      <c r="W44" s="496">
        <f t="shared" ca="1" si="65"/>
        <v>0</v>
      </c>
      <c r="X44" s="496">
        <f t="shared" ca="1" si="66"/>
        <v>0</v>
      </c>
      <c r="Y44" s="497">
        <f t="shared" ca="1" si="67"/>
        <v>0</v>
      </c>
      <c r="Z44" s="497">
        <f t="shared" ca="1" si="68"/>
        <v>0</v>
      </c>
      <c r="AA44" s="497">
        <f t="shared" ca="1" si="69"/>
        <v>0</v>
      </c>
      <c r="AB44" s="497">
        <f t="shared" ca="1" si="70"/>
        <v>0</v>
      </c>
      <c r="AC44" s="498">
        <f t="shared" ca="1" si="71"/>
        <v>0</v>
      </c>
    </row>
    <row r="45" spans="1:29" s="500" customFormat="1" ht="15.75" x14ac:dyDescent="0.25">
      <c r="A45" s="504"/>
      <c r="B45" s="504"/>
      <c r="C45" s="504"/>
      <c r="D45" s="504"/>
      <c r="E45" s="504"/>
      <c r="F45" s="501"/>
      <c r="G45" s="486">
        <f t="shared" ca="1" si="72"/>
        <v>10.049999999999999</v>
      </c>
      <c r="H45" s="487" t="str">
        <f t="shared" ca="1" si="55"/>
        <v>Metal Parapet Capping</v>
      </c>
      <c r="I45" s="488">
        <f t="shared" ca="1" si="56"/>
        <v>32.96</v>
      </c>
      <c r="J45" s="489" t="str">
        <f t="shared" ca="1" si="56"/>
        <v>Lm</v>
      </c>
      <c r="K45" s="490">
        <f ca="1">IFERROR(
INDEX(INDIRECT("'"&amp;INDEX($H:$H,MATCH(ROUNDDOWN($G45,0),$G:$G))&amp;"'!$B:$T"),
MATCH($G45,INDIRECT("'"&amp;INDEX($H:$H,MATCH(ROUNDDOWN($G45,0),$G:$G))&amp;"'!$A:$A"),0),
MATCH(K$3,INDIRECT("'"&amp;INDEX($H:$H,MATCH(ROUNDDOWN($G45,0),$G:$G))&amp;"'!$B$1:$T$1"),0)),0)
*INDEX('Labour Rates'!F$4:F$35,MATCH(ROUNDDOWN(BREAKDOWN!G45,0),'Labour Rates'!A$4:A$35))</f>
        <v>0</v>
      </c>
      <c r="L45" s="490">
        <f t="shared" ca="1" si="57"/>
        <v>0</v>
      </c>
      <c r="M45" s="490">
        <f t="shared" ca="1" si="57"/>
        <v>0</v>
      </c>
      <c r="N45" s="490">
        <f t="shared" ca="1" si="57"/>
        <v>0</v>
      </c>
      <c r="O45" s="490">
        <f t="shared" ca="1" si="58"/>
        <v>0</v>
      </c>
      <c r="P45" s="491">
        <f t="shared" ca="1" si="59"/>
        <v>0</v>
      </c>
      <c r="Q45" s="492">
        <f t="shared" ca="1" si="60"/>
        <v>0</v>
      </c>
      <c r="R45" s="493" t="str">
        <f t="shared" ca="1" si="61"/>
        <v/>
      </c>
      <c r="S45" s="494">
        <f t="shared" ca="1" si="73"/>
        <v>0</v>
      </c>
      <c r="T45" s="499">
        <f ca="1">IF(I45=0,0,INDEX('Labour Rates'!E$4:E$35,MATCH(ROUNDDOWN(BREAKDOWN!G45,0),'Labour Rates'!A$4:A$35)))</f>
        <v>97.75</v>
      </c>
      <c r="U45" s="496">
        <f t="shared" ca="1" si="63"/>
        <v>0</v>
      </c>
      <c r="V45" s="496">
        <f t="shared" ca="1" si="64"/>
        <v>0</v>
      </c>
      <c r="W45" s="496">
        <f t="shared" ca="1" si="65"/>
        <v>0</v>
      </c>
      <c r="X45" s="496">
        <f t="shared" ca="1" si="66"/>
        <v>0</v>
      </c>
      <c r="Y45" s="497">
        <f t="shared" ca="1" si="67"/>
        <v>0</v>
      </c>
      <c r="Z45" s="497">
        <f t="shared" ca="1" si="68"/>
        <v>0</v>
      </c>
      <c r="AA45" s="497">
        <f t="shared" ca="1" si="69"/>
        <v>0</v>
      </c>
      <c r="AB45" s="497">
        <f t="shared" ca="1" si="70"/>
        <v>0</v>
      </c>
      <c r="AC45" s="498">
        <f t="shared" ca="1" si="71"/>
        <v>0</v>
      </c>
    </row>
    <row r="46" spans="1:29" s="500" customFormat="1" ht="15.75" x14ac:dyDescent="0.25">
      <c r="A46" s="504"/>
      <c r="B46" s="504"/>
      <c r="C46" s="504"/>
      <c r="D46" s="504"/>
      <c r="E46" s="504"/>
      <c r="F46" s="501"/>
      <c r="G46" s="486">
        <f t="shared" ca="1" si="72"/>
        <v>10.059999999999999</v>
      </c>
      <c r="H46" s="487" t="str">
        <f t="shared" ca="1" si="55"/>
        <v>Gutter</v>
      </c>
      <c r="I46" s="488">
        <f t="shared" ca="1" si="56"/>
        <v>60.177999999999997</v>
      </c>
      <c r="J46" s="489" t="str">
        <f t="shared" ca="1" si="56"/>
        <v>Lm</v>
      </c>
      <c r="K46" s="490">
        <f ca="1">IFERROR(
INDEX(INDIRECT("'"&amp;INDEX($H:$H,MATCH(ROUNDDOWN($G46,0),$G:$G))&amp;"'!$B:$T"),
MATCH($G46,INDIRECT("'"&amp;INDEX($H:$H,MATCH(ROUNDDOWN($G46,0),$G:$G))&amp;"'!$A:$A"),0),
MATCH(K$3,INDIRECT("'"&amp;INDEX($H:$H,MATCH(ROUNDDOWN($G46,0),$G:$G))&amp;"'!$B$1:$T$1"),0)),0)
*INDEX('Labour Rates'!F$4:F$35,MATCH(ROUNDDOWN(BREAKDOWN!G46,0),'Labour Rates'!A$4:A$35))</f>
        <v>0</v>
      </c>
      <c r="L46" s="490">
        <f t="shared" ca="1" si="57"/>
        <v>0</v>
      </c>
      <c r="M46" s="490">
        <f t="shared" ca="1" si="57"/>
        <v>0</v>
      </c>
      <c r="N46" s="490">
        <f t="shared" ca="1" si="57"/>
        <v>0</v>
      </c>
      <c r="O46" s="490">
        <f t="shared" ca="1" si="58"/>
        <v>0</v>
      </c>
      <c r="P46" s="491">
        <f t="shared" ca="1" si="59"/>
        <v>0</v>
      </c>
      <c r="Q46" s="492">
        <f t="shared" ca="1" si="60"/>
        <v>0</v>
      </c>
      <c r="R46" s="493" t="str">
        <f t="shared" ca="1" si="61"/>
        <v/>
      </c>
      <c r="S46" s="494">
        <f t="shared" ca="1" si="73"/>
        <v>0</v>
      </c>
      <c r="T46" s="499">
        <f ca="1">IF(I46=0,0,INDEX('Labour Rates'!E$4:E$35,MATCH(ROUNDDOWN(BREAKDOWN!G46,0),'Labour Rates'!A$4:A$35)))</f>
        <v>97.75</v>
      </c>
      <c r="U46" s="496">
        <f t="shared" ca="1" si="63"/>
        <v>0</v>
      </c>
      <c r="V46" s="496">
        <f t="shared" ca="1" si="64"/>
        <v>0</v>
      </c>
      <c r="W46" s="496">
        <f t="shared" ca="1" si="65"/>
        <v>0</v>
      </c>
      <c r="X46" s="496">
        <f t="shared" ca="1" si="66"/>
        <v>0</v>
      </c>
      <c r="Y46" s="497">
        <f t="shared" ca="1" si="67"/>
        <v>0</v>
      </c>
      <c r="Z46" s="497">
        <f t="shared" ca="1" si="68"/>
        <v>0</v>
      </c>
      <c r="AA46" s="497">
        <f t="shared" ca="1" si="69"/>
        <v>0</v>
      </c>
      <c r="AB46" s="497">
        <f t="shared" ca="1" si="70"/>
        <v>0</v>
      </c>
      <c r="AC46" s="498">
        <f t="shared" ca="1" si="71"/>
        <v>0</v>
      </c>
    </row>
    <row r="47" spans="1:29" s="483" customFormat="1" ht="15.75" x14ac:dyDescent="0.25">
      <c r="A47" s="484"/>
      <c r="B47" s="484"/>
      <c r="C47" s="484"/>
      <c r="D47" s="484"/>
      <c r="E47" s="484"/>
      <c r="F47" s="485"/>
      <c r="G47" s="486">
        <f t="shared" ca="1" si="72"/>
        <v>10.069999999999999</v>
      </c>
      <c r="H47" s="487" t="str">
        <f t="shared" ca="1" si="55"/>
        <v>Box Gutter</v>
      </c>
      <c r="I47" s="488">
        <f t="shared" ca="1" si="56"/>
        <v>11.92</v>
      </c>
      <c r="J47" s="489" t="str">
        <f t="shared" ca="1" si="56"/>
        <v>Lm</v>
      </c>
      <c r="K47" s="490">
        <f ca="1">IFERROR(
INDEX(INDIRECT("'"&amp;INDEX($H:$H,MATCH(ROUNDDOWN($G47,0),$G:$G))&amp;"'!$B:$T"),
MATCH($G47,INDIRECT("'"&amp;INDEX($H:$H,MATCH(ROUNDDOWN($G47,0),$G:$G))&amp;"'!$A:$A"),0),
MATCH(K$3,INDIRECT("'"&amp;INDEX($H:$H,MATCH(ROUNDDOWN($G47,0),$G:$G))&amp;"'!$B$1:$T$1"),0)),0)
*INDEX('Labour Rates'!F$4:F$35,MATCH(ROUNDDOWN(BREAKDOWN!G47,0),'Labour Rates'!A$4:A$35))</f>
        <v>0</v>
      </c>
      <c r="L47" s="490">
        <f t="shared" ca="1" si="57"/>
        <v>0</v>
      </c>
      <c r="M47" s="490">
        <f t="shared" ca="1" si="57"/>
        <v>0</v>
      </c>
      <c r="N47" s="490">
        <f t="shared" ca="1" si="57"/>
        <v>0</v>
      </c>
      <c r="O47" s="490">
        <f t="shared" ca="1" si="58"/>
        <v>0</v>
      </c>
      <c r="P47" s="491">
        <f t="shared" ca="1" si="59"/>
        <v>0</v>
      </c>
      <c r="Q47" s="492">
        <f t="shared" ca="1" si="60"/>
        <v>0</v>
      </c>
      <c r="R47" s="493" t="str">
        <f t="shared" ca="1" si="61"/>
        <v/>
      </c>
      <c r="S47" s="494">
        <f t="shared" ca="1" si="73"/>
        <v>0</v>
      </c>
      <c r="T47" s="499">
        <f ca="1">IF(I47=0,0,INDEX('Labour Rates'!E$4:E$35,MATCH(ROUNDDOWN(BREAKDOWN!G47,0),'Labour Rates'!A$4:A$35)))</f>
        <v>97.75</v>
      </c>
      <c r="U47" s="496">
        <f t="shared" ca="1" si="63"/>
        <v>0</v>
      </c>
      <c r="V47" s="496">
        <f t="shared" ca="1" si="64"/>
        <v>0</v>
      </c>
      <c r="W47" s="496">
        <f t="shared" ca="1" si="65"/>
        <v>0</v>
      </c>
      <c r="X47" s="496">
        <f t="shared" ca="1" si="66"/>
        <v>0</v>
      </c>
      <c r="Y47" s="497">
        <f t="shared" ca="1" si="67"/>
        <v>0</v>
      </c>
      <c r="Z47" s="497">
        <f t="shared" ca="1" si="68"/>
        <v>0</v>
      </c>
      <c r="AA47" s="497">
        <f t="shared" ca="1" si="69"/>
        <v>0</v>
      </c>
      <c r="AB47" s="497">
        <f t="shared" ca="1" si="70"/>
        <v>0</v>
      </c>
      <c r="AC47" s="498">
        <f t="shared" ca="1" si="71"/>
        <v>0</v>
      </c>
    </row>
    <row r="48" spans="1:29" s="500" customFormat="1" ht="15.75" x14ac:dyDescent="0.25">
      <c r="A48" s="504"/>
      <c r="B48" s="504"/>
      <c r="C48" s="504"/>
      <c r="D48" s="504"/>
      <c r="E48" s="504"/>
      <c r="F48" s="501"/>
      <c r="G48" s="486">
        <f t="shared" ca="1" si="72"/>
        <v>10.079999999999998</v>
      </c>
      <c r="H48" s="487" t="str">
        <f t="shared" ca="1" si="55"/>
        <v>Metal Downpipes</v>
      </c>
      <c r="I48" s="488">
        <f t="shared" ca="1" si="56"/>
        <v>82.29</v>
      </c>
      <c r="J48" s="489" t="str">
        <f t="shared" ca="1" si="56"/>
        <v>Lm</v>
      </c>
      <c r="K48" s="490">
        <f ca="1">IFERROR(
INDEX(INDIRECT("'"&amp;INDEX($H:$H,MATCH(ROUNDDOWN($G48,0),$G:$G))&amp;"'!$B:$T"),
MATCH($G48,INDIRECT("'"&amp;INDEX($H:$H,MATCH(ROUNDDOWN($G48,0),$G:$G))&amp;"'!$A:$A"),0),
MATCH(K$3,INDIRECT("'"&amp;INDEX($H:$H,MATCH(ROUNDDOWN($G48,0),$G:$G))&amp;"'!$B$1:$T$1"),0)),0)
*INDEX('Labour Rates'!F$4:F$35,MATCH(ROUNDDOWN(BREAKDOWN!G48,0),'Labour Rates'!A$4:A$35))</f>
        <v>0</v>
      </c>
      <c r="L48" s="490">
        <f t="shared" ca="1" si="57"/>
        <v>0</v>
      </c>
      <c r="M48" s="490">
        <f t="shared" ca="1" si="57"/>
        <v>0</v>
      </c>
      <c r="N48" s="490">
        <f t="shared" ca="1" si="57"/>
        <v>0</v>
      </c>
      <c r="O48" s="490">
        <f t="shared" ca="1" si="58"/>
        <v>0</v>
      </c>
      <c r="P48" s="491">
        <f t="shared" ca="1" si="59"/>
        <v>0</v>
      </c>
      <c r="Q48" s="492">
        <f t="shared" ca="1" si="60"/>
        <v>0</v>
      </c>
      <c r="R48" s="493" t="str">
        <f t="shared" ca="1" si="61"/>
        <v/>
      </c>
      <c r="S48" s="494">
        <f t="shared" ca="1" si="73"/>
        <v>0</v>
      </c>
      <c r="T48" s="499">
        <f ca="1">IF(I48=0,0,INDEX('Labour Rates'!E$4:E$35,MATCH(ROUNDDOWN(BREAKDOWN!G48,0),'Labour Rates'!A$4:A$35)))</f>
        <v>97.75</v>
      </c>
      <c r="U48" s="496">
        <f t="shared" ca="1" si="63"/>
        <v>0</v>
      </c>
      <c r="V48" s="496">
        <f t="shared" ca="1" si="64"/>
        <v>0</v>
      </c>
      <c r="W48" s="496">
        <f t="shared" ca="1" si="65"/>
        <v>0</v>
      </c>
      <c r="X48" s="496">
        <f t="shared" ca="1" si="66"/>
        <v>0</v>
      </c>
      <c r="Y48" s="497">
        <f t="shared" ca="1" si="67"/>
        <v>0</v>
      </c>
      <c r="Z48" s="497">
        <f t="shared" ca="1" si="68"/>
        <v>0</v>
      </c>
      <c r="AA48" s="497">
        <f t="shared" ca="1" si="69"/>
        <v>0</v>
      </c>
      <c r="AB48" s="497">
        <f t="shared" ca="1" si="70"/>
        <v>0</v>
      </c>
      <c r="AC48" s="498">
        <f t="shared" ca="1" si="71"/>
        <v>0</v>
      </c>
    </row>
    <row r="49" spans="1:29" s="500" customFormat="1" ht="15.75" x14ac:dyDescent="0.25">
      <c r="A49" s="504"/>
      <c r="B49" s="504"/>
      <c r="C49" s="504"/>
      <c r="D49" s="504"/>
      <c r="E49" s="504"/>
      <c r="F49" s="501"/>
      <c r="G49" s="486">
        <f t="shared" ca="1" si="72"/>
        <v>10.089999999999998</v>
      </c>
      <c r="H49" s="487" t="str">
        <f t="shared" ca="1" si="55"/>
        <v>Roof Safety System (Provisional Sum)</v>
      </c>
      <c r="I49" s="488">
        <f t="shared" ca="1" si="56"/>
        <v>121.13</v>
      </c>
      <c r="J49" s="489" t="str">
        <f t="shared" ca="1" si="56"/>
        <v>m2</v>
      </c>
      <c r="K49" s="490">
        <f ca="1">IFERROR(
INDEX(INDIRECT("'"&amp;INDEX($H:$H,MATCH(ROUNDDOWN($G49,0),$G:$G))&amp;"'!$B:$T"),
MATCH($G49,INDIRECT("'"&amp;INDEX($H:$H,MATCH(ROUNDDOWN($G49,0),$G:$G))&amp;"'!$A:$A"),0),
MATCH(K$3,INDIRECT("'"&amp;INDEX($H:$H,MATCH(ROUNDDOWN($G49,0),$G:$G))&amp;"'!$B$1:$T$1"),0)),0)
*INDEX('Labour Rates'!F$4:F$35,MATCH(ROUNDDOWN(BREAKDOWN!G49,0),'Labour Rates'!A$4:A$35))</f>
        <v>0</v>
      </c>
      <c r="L49" s="490">
        <f t="shared" ca="1" si="57"/>
        <v>0</v>
      </c>
      <c r="M49" s="490">
        <f t="shared" ca="1" si="57"/>
        <v>0</v>
      </c>
      <c r="N49" s="490">
        <f t="shared" ca="1" si="57"/>
        <v>0</v>
      </c>
      <c r="O49" s="490">
        <f t="shared" ca="1" si="58"/>
        <v>0</v>
      </c>
      <c r="P49" s="491">
        <f t="shared" ca="1" si="59"/>
        <v>0</v>
      </c>
      <c r="Q49" s="492">
        <f t="shared" ca="1" si="60"/>
        <v>0</v>
      </c>
      <c r="R49" s="493" t="str">
        <f t="shared" ca="1" si="61"/>
        <v/>
      </c>
      <c r="S49" s="494">
        <f t="shared" ca="1" si="73"/>
        <v>0</v>
      </c>
      <c r="T49" s="499">
        <f ca="1">IF(I49=0,0,INDEX('Labour Rates'!E$4:E$35,MATCH(ROUNDDOWN(BREAKDOWN!G49,0),'Labour Rates'!A$4:A$35)))</f>
        <v>97.75</v>
      </c>
      <c r="U49" s="496">
        <f t="shared" ca="1" si="63"/>
        <v>0</v>
      </c>
      <c r="V49" s="496">
        <f t="shared" ca="1" si="64"/>
        <v>0</v>
      </c>
      <c r="W49" s="496">
        <f t="shared" ca="1" si="65"/>
        <v>0</v>
      </c>
      <c r="X49" s="496">
        <f t="shared" ca="1" si="66"/>
        <v>0</v>
      </c>
      <c r="Y49" s="497">
        <f t="shared" ca="1" si="67"/>
        <v>0</v>
      </c>
      <c r="Z49" s="497">
        <f t="shared" ca="1" si="68"/>
        <v>0</v>
      </c>
      <c r="AA49" s="497">
        <f t="shared" ca="1" si="69"/>
        <v>0</v>
      </c>
      <c r="AB49" s="497">
        <f t="shared" ca="1" si="70"/>
        <v>0</v>
      </c>
      <c r="AC49" s="498">
        <f t="shared" ca="1" si="71"/>
        <v>0</v>
      </c>
    </row>
    <row r="50" spans="1:29" s="483" customFormat="1" ht="15.75" x14ac:dyDescent="0.25">
      <c r="A50" s="484"/>
      <c r="B50" s="484"/>
      <c r="C50" s="484"/>
      <c r="D50" s="484"/>
      <c r="E50" s="484"/>
      <c r="F50" s="485"/>
      <c r="G50" s="486">
        <f t="shared" ca="1" si="72"/>
        <v>10.099999999999998</v>
      </c>
      <c r="H50" s="487" t="str">
        <f t="shared" ca="1" si="55"/>
        <v>Colorbond Cladding - Custom Orb</v>
      </c>
      <c r="I50" s="488">
        <f t="shared" ca="1" si="56"/>
        <v>101.02</v>
      </c>
      <c r="J50" s="489" t="str">
        <f t="shared" ca="1" si="56"/>
        <v>m2</v>
      </c>
      <c r="K50" s="490">
        <f ca="1">IFERROR(
INDEX(INDIRECT("'"&amp;INDEX($H:$H,MATCH(ROUNDDOWN($G50,0),$G:$G))&amp;"'!$B:$T"),
MATCH($G50,INDIRECT("'"&amp;INDEX($H:$H,MATCH(ROUNDDOWN($G50,0),$G:$G))&amp;"'!$A:$A"),0),
MATCH(K$3,INDIRECT("'"&amp;INDEX($H:$H,MATCH(ROUNDDOWN($G50,0),$G:$G))&amp;"'!$B$1:$T$1"),0)),0)
*INDEX('Labour Rates'!F$4:F$35,MATCH(ROUNDDOWN(BREAKDOWN!G50,0),'Labour Rates'!A$4:A$35))</f>
        <v>0</v>
      </c>
      <c r="L50" s="490">
        <f t="shared" ca="1" si="57"/>
        <v>0</v>
      </c>
      <c r="M50" s="490">
        <f t="shared" ca="1" si="57"/>
        <v>0</v>
      </c>
      <c r="N50" s="490">
        <f t="shared" ca="1" si="57"/>
        <v>0</v>
      </c>
      <c r="O50" s="490">
        <f t="shared" ca="1" si="58"/>
        <v>0</v>
      </c>
      <c r="P50" s="491">
        <f t="shared" ca="1" si="59"/>
        <v>0</v>
      </c>
      <c r="Q50" s="492">
        <f t="shared" ca="1" si="60"/>
        <v>0</v>
      </c>
      <c r="R50" s="493" t="str">
        <f t="shared" ca="1" si="61"/>
        <v/>
      </c>
      <c r="S50" s="494">
        <f t="shared" ca="1" si="73"/>
        <v>0</v>
      </c>
      <c r="T50" s="499">
        <f ca="1">IF(I50=0,0,INDEX('Labour Rates'!E$4:E$35,MATCH(ROUNDDOWN(BREAKDOWN!G50,0),'Labour Rates'!A$4:A$35)))</f>
        <v>97.75</v>
      </c>
      <c r="U50" s="496">
        <f t="shared" ca="1" si="63"/>
        <v>0</v>
      </c>
      <c r="V50" s="496">
        <f t="shared" ca="1" si="64"/>
        <v>0</v>
      </c>
      <c r="W50" s="496">
        <f t="shared" ca="1" si="65"/>
        <v>0</v>
      </c>
      <c r="X50" s="496">
        <f t="shared" ca="1" si="66"/>
        <v>0</v>
      </c>
      <c r="Y50" s="497">
        <f t="shared" ca="1" si="67"/>
        <v>0</v>
      </c>
      <c r="Z50" s="497">
        <f t="shared" ca="1" si="68"/>
        <v>0</v>
      </c>
      <c r="AA50" s="497">
        <f t="shared" ca="1" si="69"/>
        <v>0</v>
      </c>
      <c r="AB50" s="497">
        <f t="shared" ca="1" si="70"/>
        <v>0</v>
      </c>
      <c r="AC50" s="498">
        <f t="shared" ca="1" si="71"/>
        <v>0</v>
      </c>
    </row>
    <row r="51" spans="1:29" s="500" customFormat="1" ht="15.75" x14ac:dyDescent="0.25">
      <c r="A51" s="504"/>
      <c r="B51" s="504"/>
      <c r="C51" s="504"/>
      <c r="D51" s="504"/>
      <c r="E51" s="504"/>
      <c r="F51" s="501"/>
      <c r="G51" s="486">
        <f t="shared" ca="1" si="72"/>
        <v>10.109999999999998</v>
      </c>
      <c r="H51" s="487" t="str">
        <f t="shared" ca="1" si="55"/>
        <v xml:space="preserve">Spitter </v>
      </c>
      <c r="I51" s="488">
        <f t="shared" ca="1" si="56"/>
        <v>4</v>
      </c>
      <c r="J51" s="489" t="str">
        <f t="shared" ca="1" si="56"/>
        <v>No.</v>
      </c>
      <c r="K51" s="490">
        <f ca="1">IFERROR(
INDEX(INDIRECT("'"&amp;INDEX($H:$H,MATCH(ROUNDDOWN($G51,0),$G:$G))&amp;"'!$B:$T"),
MATCH($G51,INDIRECT("'"&amp;INDEX($H:$H,MATCH(ROUNDDOWN($G51,0),$G:$G))&amp;"'!$A:$A"),0),
MATCH(K$3,INDIRECT("'"&amp;INDEX($H:$H,MATCH(ROUNDDOWN($G51,0),$G:$G))&amp;"'!$B$1:$T$1"),0)),0)
*INDEX('Labour Rates'!F$4:F$35,MATCH(ROUNDDOWN(BREAKDOWN!G51,0),'Labour Rates'!A$4:A$35))</f>
        <v>0</v>
      </c>
      <c r="L51" s="490">
        <f t="shared" ca="1" si="57"/>
        <v>0</v>
      </c>
      <c r="M51" s="490">
        <f t="shared" ca="1" si="57"/>
        <v>0</v>
      </c>
      <c r="N51" s="490">
        <f t="shared" ca="1" si="57"/>
        <v>0</v>
      </c>
      <c r="O51" s="490">
        <f t="shared" ca="1" si="58"/>
        <v>0</v>
      </c>
      <c r="P51" s="491">
        <f t="shared" ca="1" si="59"/>
        <v>0</v>
      </c>
      <c r="Q51" s="492">
        <f t="shared" ca="1" si="60"/>
        <v>0</v>
      </c>
      <c r="R51" s="493" t="str">
        <f t="shared" ca="1" si="61"/>
        <v/>
      </c>
      <c r="S51" s="494">
        <f t="shared" ca="1" si="73"/>
        <v>0</v>
      </c>
      <c r="T51" s="499">
        <f ca="1">IF(I51=0,0,INDEX('Labour Rates'!E$4:E$35,MATCH(ROUNDDOWN(BREAKDOWN!G51,0),'Labour Rates'!A$4:A$35)))</f>
        <v>97.75</v>
      </c>
      <c r="U51" s="496">
        <f t="shared" ca="1" si="63"/>
        <v>0</v>
      </c>
      <c r="V51" s="496">
        <f t="shared" ca="1" si="64"/>
        <v>0</v>
      </c>
      <c r="W51" s="496">
        <f t="shared" ca="1" si="65"/>
        <v>0</v>
      </c>
      <c r="X51" s="496">
        <f t="shared" ca="1" si="66"/>
        <v>0</v>
      </c>
      <c r="Y51" s="497">
        <f t="shared" ca="1" si="67"/>
        <v>0</v>
      </c>
      <c r="Z51" s="497">
        <f t="shared" ca="1" si="68"/>
        <v>0</v>
      </c>
      <c r="AA51" s="497">
        <f t="shared" ca="1" si="69"/>
        <v>0</v>
      </c>
      <c r="AB51" s="497">
        <f t="shared" ca="1" si="70"/>
        <v>0</v>
      </c>
      <c r="AC51" s="498">
        <f t="shared" ca="1" si="71"/>
        <v>0</v>
      </c>
    </row>
    <row r="52" spans="1:29" s="483" customFormat="1" ht="15.75" x14ac:dyDescent="0.25">
      <c r="A52" s="484"/>
      <c r="B52" s="484"/>
      <c r="C52" s="484"/>
      <c r="D52" s="484"/>
      <c r="E52" s="484"/>
      <c r="F52" s="485"/>
      <c r="G52" s="502">
        <f ca="1">G40+1</f>
        <v>11</v>
      </c>
      <c r="H52" s="473" t="str">
        <f ca="1">INDEX('External Cladding'!B:B,MATCH(BREAKDOWN!G52,'External Cladding'!A:A))</f>
        <v>EXTERNAL CLADDING</v>
      </c>
      <c r="I52" s="474"/>
      <c r="J52" s="475"/>
      <c r="K52" s="476"/>
      <c r="L52" s="476"/>
      <c r="M52" s="476"/>
      <c r="N52" s="476"/>
      <c r="O52" s="476"/>
      <c r="P52" s="476"/>
      <c r="Q52" s="477">
        <f ca="1">SUMIFS(Q:Q,$G:$G,"&gt;"&amp;$G52,$G:$G,"&lt;"&amp;($G52+1))</f>
        <v>0</v>
      </c>
      <c r="R52" s="478">
        <f ca="1">Q52
-INDEX(INDIRECT("'"&amp;H52&amp;"'!B:T"),MATCH($Q$3,INDIRECT("'"&amp;H52&amp;"'!B:B"),0),MATCH($Q$3,INDIRECT("'"&amp;H52&amp;"'!B$1:T$1"),0))
-(SUMIFS(U:U,$G:$G,"&gt;"&amp;$G52,$G:$G,"&lt;"&amp;($G52+1))-SUMIFS(U:U,$G:$G,"&gt;"&amp;$G52,$G:$G,"&lt;"&amp;($G52+1))/INDEX('Labour Rates'!F$4:F$35,MATCH(ROUNDDOWN(BREAKDOWN!G52,0),'Labour Rates'!A$4:A$35)))</f>
        <v>0</v>
      </c>
      <c r="S52" s="503"/>
      <c r="T52" s="499"/>
      <c r="U52" s="503"/>
      <c r="V52" s="503"/>
      <c r="W52" s="503"/>
      <c r="X52" s="503"/>
      <c r="Y52" s="503"/>
      <c r="Z52" s="503"/>
      <c r="AA52" s="503"/>
      <c r="AB52" s="477">
        <f ca="1">SUM(AB53:AB54)</f>
        <v>0</v>
      </c>
      <c r="AC52" s="498"/>
    </row>
    <row r="53" spans="1:29" s="500" customFormat="1" ht="31.5" x14ac:dyDescent="0.25">
      <c r="A53" s="504"/>
      <c r="B53" s="504"/>
      <c r="C53" s="504"/>
      <c r="D53" s="504"/>
      <c r="E53" s="504"/>
      <c r="F53" s="501"/>
      <c r="G53" s="486">
        <f ca="1">G52+0.01</f>
        <v>11.01</v>
      </c>
      <c r="H53" s="487" t="str">
        <f ca="1">IF($I53&lt;&gt;0,
INDEX(INDIRECT("'"&amp;INDEX($H:$H,MATCH(ROUNDDOWN($G53,0),$G:$G))&amp;"'!$B:$T"),
MATCH($G53,INDIRECT("'"&amp;INDEX($H:$H,MATCH(ROUNDDOWN($G53,0),$G:$G))&amp;"'!$A:$A"),0),
MATCH(H$3,INDIRECT("'"&amp;INDEX($H:$H,MATCH(ROUNDDOWN($G53,0),$G:$G))&amp;"'!$B$1:$T$1"),0)),0)</f>
        <v>Fibre Cement (FC) Weatherboard Cladding (Including Cladding, Wall Wrap, Batten &amp; Fixing)</v>
      </c>
      <c r="I53" s="488">
        <f ca="1">IFERROR(
INDEX(INDIRECT("'"&amp;INDEX($H:$H,MATCH(ROUNDDOWN($G53,0),$G:$G))&amp;"'!$B:$T"),
MATCH($G53,INDIRECT("'"&amp;INDEX($H:$H,MATCH(ROUNDDOWN($G53,0),$G:$G))&amp;"'!$A:$A"),0),
MATCH(I$3,INDIRECT("'"&amp;INDEX($H:$H,MATCH(ROUNDDOWN($G53,0),$G:$G))&amp;"'!$B$1:$T$1"),0)),0)</f>
        <v>36.4</v>
      </c>
      <c r="J53" s="489" t="str">
        <f ca="1">IFERROR(
INDEX(INDIRECT("'"&amp;INDEX($H:$H,MATCH(ROUNDDOWN($G53,0),$G:$G))&amp;"'!$B:$T"),
MATCH($G53,INDIRECT("'"&amp;INDEX($H:$H,MATCH(ROUNDDOWN($G53,0),$G:$G))&amp;"'!$A:$A"),0),
MATCH(J$3,INDIRECT("'"&amp;INDEX($H:$H,MATCH(ROUNDDOWN($G53,0),$G:$G))&amp;"'!$B$1:$T$1"),0)),0)</f>
        <v>m2</v>
      </c>
      <c r="K53" s="490">
        <f ca="1">IFERROR(
INDEX(INDIRECT("'"&amp;INDEX($H:$H,MATCH(ROUNDDOWN($G53,0),$G:$G))&amp;"'!$B:$T"),
MATCH($G53,INDIRECT("'"&amp;INDEX($H:$H,MATCH(ROUNDDOWN($G53,0),$G:$G))&amp;"'!$A:$A"),0),
MATCH(K$3,INDIRECT("'"&amp;INDEX($H:$H,MATCH(ROUNDDOWN($G53,0),$G:$G))&amp;"'!$B$1:$T$1"),0)),0)
*INDEX('Labour Rates'!F$4:F$35,MATCH(ROUNDDOWN(BREAKDOWN!G53,0),'Labour Rates'!A$4:A$35))</f>
        <v>0</v>
      </c>
      <c r="L53" s="490">
        <f t="shared" ref="L53:N54" ca="1" si="74">IFERROR(
INDEX(INDIRECT("'"&amp;INDEX($H:$H,MATCH(ROUNDDOWN($G53,0),$G:$G))&amp;"'!$B:$T"),
MATCH($G53,INDIRECT("'"&amp;INDEX($H:$H,MATCH(ROUNDDOWN($G53,0),$G:$G))&amp;"'!$A:$A"),0),
MATCH(L$3,INDIRECT("'"&amp;INDEX($H:$H,MATCH(ROUNDDOWN($G53,0),$G:$G))&amp;"'!$B$1:$T$1"),0)),0)</f>
        <v>0</v>
      </c>
      <c r="M53" s="490">
        <f t="shared" ca="1" si="74"/>
        <v>0</v>
      </c>
      <c r="N53" s="490">
        <f t="shared" ca="1" si="74"/>
        <v>0</v>
      </c>
      <c r="O53" s="490">
        <f ca="1">IFERROR(
INDEX(INDIRECT("'"&amp;INDEX($H:$H,MATCH(ROUNDDOWN($G53,0),$G:$G))&amp;"'!$V:$Z"),
MATCH($G53,INDIRECT("'"&amp;INDEX($H:$H,MATCH(ROUNDDOWN($G53,0),$G:$G))&amp;"'!$A:$A"),0),
MATCH(O$3,INDIRECT("'"&amp;INDEX($H:$H,MATCH(ROUNDDOWN($G53,0),$G:$G))&amp;"'!$V$2:$Z$2"),0)),0)</f>
        <v>0</v>
      </c>
      <c r="P53" s="491">
        <f t="shared" ref="P53:P54" ca="1" si="75">IFERROR(IF(O53="inc","inc",IF(AND(O53&gt;0,I53&gt;0),O53/I53,IF(SUM(K53:N53)&gt;0,SUM(K53:N53),0))),0)</f>
        <v>0</v>
      </c>
      <c r="Q53" s="492">
        <f t="shared" ref="Q53:Q54" ca="1" si="76">IFERROR(IF(P53="",0,I53*P53),0)</f>
        <v>0</v>
      </c>
      <c r="R53" s="493" t="str">
        <f ca="1">IFERROR(
INDEX(INDIRECT("'"&amp;INDEX($H:$H,MATCH(ROUNDDOWN($G53,0),$G:$G))&amp;"'!$W:$AA"),
MATCH($G53,INDIRECT("'"&amp;INDEX($H:$H,MATCH(ROUNDDOWN($G53,0),$G:$G))&amp;"'!$A:$A"),0),
MATCH(R$3,INDIRECT("'"&amp;INDEX($H:$H,MATCH(ROUNDDOWN($G53,0),$G:$G))&amp;"'!$W$1:$AA$1"),0)),"")</f>
        <v/>
      </c>
      <c r="S53" s="494">
        <f t="shared" ca="1" si="73"/>
        <v>0</v>
      </c>
      <c r="T53" s="499">
        <f ca="1">IF(I53=0,0,INDEX('Labour Rates'!E$4:E$35,MATCH(ROUNDDOWN(BREAKDOWN!G53,0),'Labour Rates'!A$4:A$35)))</f>
        <v>91.43</v>
      </c>
      <c r="U53" s="496">
        <f t="shared" ref="U53:U54" ca="1" si="77">IF($Y53&gt;0, 0, IFERROR($I53*K53,0))</f>
        <v>0</v>
      </c>
      <c r="V53" s="496">
        <f t="shared" ref="V53:V54" ca="1" si="78">IF($Y53&gt;0, 0, IFERROR($I53*L53,0))</f>
        <v>0</v>
      </c>
      <c r="W53" s="496">
        <f t="shared" ref="W53:W54" ca="1" si="79">IF($Y53&gt;0, 0, IFERROR($I53*M53,0))</f>
        <v>0</v>
      </c>
      <c r="X53" s="496">
        <f t="shared" ref="X53:X54" ca="1" si="80">IF($Y53&gt;0, 0, IFERROR($I53*N53,0))</f>
        <v>0</v>
      </c>
      <c r="Y53" s="497">
        <f t="shared" ref="Y53:Y54" ca="1" si="81">IF(I53&gt;0,O53,0)</f>
        <v>0</v>
      </c>
      <c r="Z53" s="497">
        <f ca="1">Q53*$I$158</f>
        <v>0</v>
      </c>
      <c r="AA53" s="497">
        <f ca="1">Q53*$I$159</f>
        <v>0</v>
      </c>
      <c r="AB53" s="497">
        <f t="shared" ref="AB53:AB54" ca="1" si="82">SUM(U53:AA53)</f>
        <v>0</v>
      </c>
      <c r="AC53" s="498">
        <f t="shared" ref="AC53:AC54" ca="1" si="83">SUM(U53:Y53)-Q53</f>
        <v>0</v>
      </c>
    </row>
    <row r="54" spans="1:29" s="500" customFormat="1" ht="15.75" x14ac:dyDescent="0.25">
      <c r="A54" s="504"/>
      <c r="B54" s="504"/>
      <c r="C54" s="504"/>
      <c r="D54" s="504"/>
      <c r="E54" s="504"/>
      <c r="F54" s="501"/>
      <c r="G54" s="486">
        <f t="shared" ref="G54" ca="1" si="84">G53+0.01</f>
        <v>11.02</v>
      </c>
      <c r="H54" s="487" t="str">
        <f ca="1">IF($I54&lt;&gt;0,
INDEX(INDIRECT("'"&amp;INDEX($H:$H,MATCH(ROUNDDOWN($G54,0),$G:$G))&amp;"'!$B:$T"),
MATCH($G54,INDIRECT("'"&amp;INDEX($H:$H,MATCH(ROUNDDOWN($G54,0),$G:$G))&amp;"'!$A:$A"),0),
MATCH(H$3,INDIRECT("'"&amp;INDEX($H:$H,MATCH(ROUNDDOWN($G54,0),$G:$G))&amp;"'!$B$1:$T$1"),0)),0)</f>
        <v>4.5mm thick FC Internal Lining To Fascia</v>
      </c>
      <c r="I54" s="488">
        <f ca="1">IFERROR(
INDEX(INDIRECT("'"&amp;INDEX($H:$H,MATCH(ROUNDDOWN($G54,0),$G:$G))&amp;"'!$B:$T"),
MATCH($G54,INDIRECT("'"&amp;INDEX($H:$H,MATCH(ROUNDDOWN($G54,0),$G:$G))&amp;"'!$A:$A"),0),
MATCH(I$3,INDIRECT("'"&amp;INDEX($H:$H,MATCH(ROUNDDOWN($G54,0),$G:$G))&amp;"'!$B$1:$T$1"),0)),0)</f>
        <v>24.87</v>
      </c>
      <c r="J54" s="489" t="str">
        <f ca="1">IFERROR(
INDEX(INDIRECT("'"&amp;INDEX($H:$H,MATCH(ROUNDDOWN($G54,0),$G:$G))&amp;"'!$B:$T"),
MATCH($G54,INDIRECT("'"&amp;INDEX($H:$H,MATCH(ROUNDDOWN($G54,0),$G:$G))&amp;"'!$A:$A"),0),
MATCH(J$3,INDIRECT("'"&amp;INDEX($H:$H,MATCH(ROUNDDOWN($G54,0),$G:$G))&amp;"'!$B$1:$T$1"),0)),0)</f>
        <v>m2</v>
      </c>
      <c r="K54" s="490">
        <f ca="1">IFERROR(
INDEX(INDIRECT("'"&amp;INDEX($H:$H,MATCH(ROUNDDOWN($G54,0),$G:$G))&amp;"'!$B:$T"),
MATCH($G54,INDIRECT("'"&amp;INDEX($H:$H,MATCH(ROUNDDOWN($G54,0),$G:$G))&amp;"'!$A:$A"),0),
MATCH(K$3,INDIRECT("'"&amp;INDEX($H:$H,MATCH(ROUNDDOWN($G54,0),$G:$G))&amp;"'!$B$1:$T$1"),0)),0)
*INDEX('Labour Rates'!F$4:F$35,MATCH(ROUNDDOWN(BREAKDOWN!G54,0),'Labour Rates'!A$4:A$35))</f>
        <v>0</v>
      </c>
      <c r="L54" s="490">
        <f t="shared" ca="1" si="74"/>
        <v>0</v>
      </c>
      <c r="M54" s="490">
        <f t="shared" ca="1" si="74"/>
        <v>0</v>
      </c>
      <c r="N54" s="490">
        <f t="shared" ca="1" si="74"/>
        <v>0</v>
      </c>
      <c r="O54" s="490">
        <f ca="1">IFERROR(
INDEX(INDIRECT("'"&amp;INDEX($H:$H,MATCH(ROUNDDOWN($G54,0),$G:$G))&amp;"'!$V:$Z"),
MATCH($G54,INDIRECT("'"&amp;INDEX($H:$H,MATCH(ROUNDDOWN($G54,0),$G:$G))&amp;"'!$A:$A"),0),
MATCH(O$3,INDIRECT("'"&amp;INDEX($H:$H,MATCH(ROUNDDOWN($G54,0),$G:$G))&amp;"'!$V$2:$Z$2"),0)),0)</f>
        <v>0</v>
      </c>
      <c r="P54" s="491">
        <f t="shared" ca="1" si="75"/>
        <v>0</v>
      </c>
      <c r="Q54" s="492">
        <f t="shared" ca="1" si="76"/>
        <v>0</v>
      </c>
      <c r="R54" s="493" t="str">
        <f ca="1">IFERROR(
INDEX(INDIRECT("'"&amp;INDEX($H:$H,MATCH(ROUNDDOWN($G54,0),$G:$G))&amp;"'!$W:$AA"),
MATCH($G54,INDIRECT("'"&amp;INDEX($H:$H,MATCH(ROUNDDOWN($G54,0),$G:$G))&amp;"'!$A:$A"),0),
MATCH(R$3,INDIRECT("'"&amp;INDEX($H:$H,MATCH(ROUNDDOWN($G54,0),$G:$G))&amp;"'!$W$1:$AA$1"),0)),"")</f>
        <v/>
      </c>
      <c r="S54" s="494">
        <f t="shared" ca="1" si="73"/>
        <v>0</v>
      </c>
      <c r="T54" s="499">
        <f ca="1">IF(I54=0,0,INDEX('Labour Rates'!E$4:E$35,MATCH(ROUNDDOWN(BREAKDOWN!G54,0),'Labour Rates'!A$4:A$35)))</f>
        <v>91.43</v>
      </c>
      <c r="U54" s="496">
        <f t="shared" ca="1" si="77"/>
        <v>0</v>
      </c>
      <c r="V54" s="496">
        <f t="shared" ca="1" si="78"/>
        <v>0</v>
      </c>
      <c r="W54" s="496">
        <f t="shared" ca="1" si="79"/>
        <v>0</v>
      </c>
      <c r="X54" s="496">
        <f t="shared" ca="1" si="80"/>
        <v>0</v>
      </c>
      <c r="Y54" s="497">
        <f t="shared" ca="1" si="81"/>
        <v>0</v>
      </c>
      <c r="Z54" s="497">
        <f ca="1">Q54*$I$158</f>
        <v>0</v>
      </c>
      <c r="AA54" s="497">
        <f ca="1">Q54*$I$159</f>
        <v>0</v>
      </c>
      <c r="AB54" s="497">
        <f t="shared" ca="1" si="82"/>
        <v>0</v>
      </c>
      <c r="AC54" s="498">
        <f t="shared" ca="1" si="83"/>
        <v>0</v>
      </c>
    </row>
    <row r="55" spans="1:29" s="483" customFormat="1" ht="15.75" x14ac:dyDescent="0.25">
      <c r="A55" s="484"/>
      <c r="B55" s="484"/>
      <c r="C55" s="484"/>
      <c r="D55" s="484"/>
      <c r="E55" s="484"/>
      <c r="F55" s="485"/>
      <c r="G55" s="502">
        <f ca="1">G52+1</f>
        <v>12</v>
      </c>
      <c r="H55" s="473" t="str">
        <f ca="1">INDEX('Ceilings &amp; Partitions'!B:B,MATCH(BREAKDOWN!G55,'Ceilings &amp; Partitions'!A:A))</f>
        <v>CEILINGS &amp; PARTITIONS</v>
      </c>
      <c r="I55" s="474"/>
      <c r="J55" s="475"/>
      <c r="K55" s="476"/>
      <c r="L55" s="476"/>
      <c r="M55" s="476"/>
      <c r="N55" s="476"/>
      <c r="O55" s="476"/>
      <c r="P55" s="476"/>
      <c r="Q55" s="477">
        <f ca="1">SUMIFS(Q:Q,$G:$G,"&gt;"&amp;$G55,$G:$G,"&lt;"&amp;($G55+1))</f>
        <v>0</v>
      </c>
      <c r="R55" s="478">
        <f ca="1">Q55
-INDEX(INDIRECT("'"&amp;H55&amp;"'!B:T"),MATCH($Q$3,INDIRECT("'"&amp;H55&amp;"'!B:B"),0),MATCH($Q$3,INDIRECT("'"&amp;H55&amp;"'!B$1:T$1"),0))
-(SUMIFS(U:U,$G:$G,"&gt;"&amp;$G55,$G:$G,"&lt;"&amp;($G55+1))-SUMIFS(U:U,$G:$G,"&gt;"&amp;$G55,$G:$G,"&lt;"&amp;($G55+1))/INDEX('Labour Rates'!F$4:F$35,MATCH(ROUNDDOWN(BREAKDOWN!G55,0),'Labour Rates'!A$4:A$35)))</f>
        <v>0</v>
      </c>
      <c r="S55" s="503"/>
      <c r="T55" s="499"/>
      <c r="U55" s="503"/>
      <c r="V55" s="503"/>
      <c r="W55" s="503"/>
      <c r="X55" s="503"/>
      <c r="Y55" s="503"/>
      <c r="Z55" s="503"/>
      <c r="AA55" s="503"/>
      <c r="AB55" s="477">
        <f ca="1">SUM(AB56:AB67)</f>
        <v>0</v>
      </c>
      <c r="AC55" s="498"/>
    </row>
    <row r="56" spans="1:29" s="500" customFormat="1" ht="15.75" x14ac:dyDescent="0.25">
      <c r="A56" s="504"/>
      <c r="B56" s="504"/>
      <c r="C56" s="504"/>
      <c r="D56" s="504"/>
      <c r="E56" s="504"/>
      <c r="F56" s="501"/>
      <c r="G56" s="486">
        <f ca="1">G55+0.01</f>
        <v>12.01</v>
      </c>
      <c r="H56" s="487" t="str">
        <f t="shared" ref="H56:H67" ca="1" si="85">IF($I56&lt;&gt;0,
INDEX(INDIRECT("'"&amp;INDEX($H:$H,MATCH(ROUNDDOWN($G56,0),$G:$G))&amp;"'!$B:$T"),
MATCH($G56,INDIRECT("'"&amp;INDEX($H:$H,MATCH(ROUNDDOWN($G56,0),$G:$G))&amp;"'!$A:$A"),0),
MATCH(H$3,INDIRECT("'"&amp;INDEX($H:$H,MATCH(ROUNDDOWN($G56,0),$G:$G))&amp;"'!$B$1:$T$1"),0)),0)</f>
        <v>10mm thick Plasterboard Sheeting to Wall</v>
      </c>
      <c r="I56" s="488">
        <f t="shared" ref="I56:J67" ca="1" si="86">IFERROR(
INDEX(INDIRECT("'"&amp;INDEX($H:$H,MATCH(ROUNDDOWN($G56,0),$G:$G))&amp;"'!$B:$T"),
MATCH($G56,INDIRECT("'"&amp;INDEX($H:$H,MATCH(ROUNDDOWN($G56,0),$G:$G))&amp;"'!$A:$A"),0),
MATCH(I$3,INDIRECT("'"&amp;INDEX($H:$H,MATCH(ROUNDDOWN($G56,0),$G:$G))&amp;"'!$B$1:$T$1"),0)),0)</f>
        <v>270.99400000000003</v>
      </c>
      <c r="J56" s="489" t="str">
        <f t="shared" ca="1" si="86"/>
        <v>m2</v>
      </c>
      <c r="K56" s="490">
        <f ca="1">IFERROR(
INDEX(INDIRECT("'"&amp;INDEX($H:$H,MATCH(ROUNDDOWN($G56,0),$G:$G))&amp;"'!$B:$T"),
MATCH($G56,INDIRECT("'"&amp;INDEX($H:$H,MATCH(ROUNDDOWN($G56,0),$G:$G))&amp;"'!$A:$A"),0),
MATCH(K$3,INDIRECT("'"&amp;INDEX($H:$H,MATCH(ROUNDDOWN($G56,0),$G:$G))&amp;"'!$B$1:$T$1"),0)),0)
*INDEX('Labour Rates'!F$4:F$35,MATCH(ROUNDDOWN(BREAKDOWN!G56,0),'Labour Rates'!A$4:A$35))</f>
        <v>0</v>
      </c>
      <c r="L56" s="490">
        <f t="shared" ref="L56:N67" ca="1" si="87">IFERROR(
INDEX(INDIRECT("'"&amp;INDEX($H:$H,MATCH(ROUNDDOWN($G56,0),$G:$G))&amp;"'!$B:$T"),
MATCH($G56,INDIRECT("'"&amp;INDEX($H:$H,MATCH(ROUNDDOWN($G56,0),$G:$G))&amp;"'!$A:$A"),0),
MATCH(L$3,INDIRECT("'"&amp;INDEX($H:$H,MATCH(ROUNDDOWN($G56,0),$G:$G))&amp;"'!$B$1:$T$1"),0)),0)</f>
        <v>0</v>
      </c>
      <c r="M56" s="490">
        <f t="shared" ca="1" si="87"/>
        <v>0</v>
      </c>
      <c r="N56" s="490">
        <f t="shared" ca="1" si="87"/>
        <v>0</v>
      </c>
      <c r="O56" s="490">
        <f t="shared" ref="O56:O67" ca="1" si="88">IFERROR(
INDEX(INDIRECT("'"&amp;INDEX($H:$H,MATCH(ROUNDDOWN($G56,0),$G:$G))&amp;"'!$V:$Z"),
MATCH($G56,INDIRECT("'"&amp;INDEX($H:$H,MATCH(ROUNDDOWN($G56,0),$G:$G))&amp;"'!$A:$A"),0),
MATCH(O$3,INDIRECT("'"&amp;INDEX($H:$H,MATCH(ROUNDDOWN($G56,0),$G:$G))&amp;"'!$V$2:$Z$2"),0)),0)</f>
        <v>0</v>
      </c>
      <c r="P56" s="491">
        <f t="shared" ref="P56:P67" ca="1" si="89">IFERROR(IF(O56="inc","inc",IF(AND(O56&gt;0,I56&gt;0),O56/I56,IF(SUM(K56:N56)&gt;0,SUM(K56:N56),0))),0)</f>
        <v>0</v>
      </c>
      <c r="Q56" s="492">
        <f t="shared" ref="Q56:Q67" ca="1" si="90">IFERROR(IF(P56="",0,I56*P56),0)</f>
        <v>0</v>
      </c>
      <c r="R56" s="493" t="str">
        <f t="shared" ref="R56:R67" ca="1" si="91">IFERROR(
INDEX(INDIRECT("'"&amp;INDEX($H:$H,MATCH(ROUNDDOWN($G56,0),$G:$G))&amp;"'!$W:$AA"),
MATCH($G56,INDIRECT("'"&amp;INDEX($H:$H,MATCH(ROUNDDOWN($G56,0),$G:$G))&amp;"'!$A:$A"),0),
MATCH(R$3,INDIRECT("'"&amp;INDEX($H:$H,MATCH(ROUNDDOWN($G56,0),$G:$G))&amp;"'!$W$1:$AA$1"),0)),"")</f>
        <v/>
      </c>
      <c r="S56" s="494">
        <f t="shared" ca="1" si="73"/>
        <v>0</v>
      </c>
      <c r="T56" s="499">
        <f ca="1">IF(I56=0,0,INDEX('Labour Rates'!E$4:E$35,MATCH(ROUNDDOWN(BREAKDOWN!G56,0),'Labour Rates'!A$4:A$35)))</f>
        <v>86.05</v>
      </c>
      <c r="U56" s="496">
        <f t="shared" ref="U56:U67" ca="1" si="92">IF($Y56&gt;0, 0, IFERROR($I56*K56,0))</f>
        <v>0</v>
      </c>
      <c r="V56" s="496">
        <f t="shared" ref="V56:V67" ca="1" si="93">IF($Y56&gt;0, 0, IFERROR($I56*L56,0))</f>
        <v>0</v>
      </c>
      <c r="W56" s="496">
        <f t="shared" ref="W56:W67" ca="1" si="94">IF($Y56&gt;0, 0, IFERROR($I56*M56,0))</f>
        <v>0</v>
      </c>
      <c r="X56" s="496">
        <f t="shared" ref="X56:X67" ca="1" si="95">IF($Y56&gt;0, 0, IFERROR($I56*N56,0))</f>
        <v>0</v>
      </c>
      <c r="Y56" s="497">
        <f t="shared" ref="Y56:Y67" ca="1" si="96">IF(I56&gt;0,O56,0)</f>
        <v>0</v>
      </c>
      <c r="Z56" s="497">
        <f t="shared" ref="Z56:Z67" ca="1" si="97">Q56*$I$158</f>
        <v>0</v>
      </c>
      <c r="AA56" s="497">
        <f t="shared" ref="AA56:AA67" ca="1" si="98">Q56*$I$159</f>
        <v>0</v>
      </c>
      <c r="AB56" s="497">
        <f t="shared" ref="AB56:AB67" ca="1" si="99">SUM(U56:AA56)</f>
        <v>0</v>
      </c>
      <c r="AC56" s="498">
        <f t="shared" ref="AC56:AC67" ca="1" si="100">SUM(U56:Y56)-Q56</f>
        <v>0</v>
      </c>
    </row>
    <row r="57" spans="1:29" s="500" customFormat="1" ht="15.75" x14ac:dyDescent="0.25">
      <c r="A57" s="504"/>
      <c r="B57" s="504"/>
      <c r="C57" s="504"/>
      <c r="D57" s="504"/>
      <c r="E57" s="504"/>
      <c r="F57" s="501"/>
      <c r="G57" s="486">
        <f t="shared" ref="G57:G67" ca="1" si="101">G56+0.01</f>
        <v>12.02</v>
      </c>
      <c r="H57" s="487" t="str">
        <f t="shared" ca="1" si="85"/>
        <v>6mm thick Villaboard Sheeting to Wall</v>
      </c>
      <c r="I57" s="488">
        <f t="shared" ca="1" si="86"/>
        <v>68.649000000000001</v>
      </c>
      <c r="J57" s="489" t="str">
        <f t="shared" ca="1" si="86"/>
        <v>m2</v>
      </c>
      <c r="K57" s="490">
        <f ca="1">IFERROR(
INDEX(INDIRECT("'"&amp;INDEX($H:$H,MATCH(ROUNDDOWN($G57,0),$G:$G))&amp;"'!$B:$T"),
MATCH($G57,INDIRECT("'"&amp;INDEX($H:$H,MATCH(ROUNDDOWN($G57,0),$G:$G))&amp;"'!$A:$A"),0),
MATCH(K$3,INDIRECT("'"&amp;INDEX($H:$H,MATCH(ROUNDDOWN($G57,0),$G:$G))&amp;"'!$B$1:$T$1"),0)),0)
*INDEX('Labour Rates'!F$4:F$35,MATCH(ROUNDDOWN(BREAKDOWN!G57,0),'Labour Rates'!A$4:A$35))</f>
        <v>0</v>
      </c>
      <c r="L57" s="490">
        <f t="shared" ca="1" si="87"/>
        <v>0</v>
      </c>
      <c r="M57" s="490">
        <f t="shared" ca="1" si="87"/>
        <v>0</v>
      </c>
      <c r="N57" s="490">
        <f t="shared" ca="1" si="87"/>
        <v>0</v>
      </c>
      <c r="O57" s="490">
        <f t="shared" ca="1" si="88"/>
        <v>0</v>
      </c>
      <c r="P57" s="491">
        <f t="shared" ca="1" si="89"/>
        <v>0</v>
      </c>
      <c r="Q57" s="492">
        <f t="shared" ca="1" si="90"/>
        <v>0</v>
      </c>
      <c r="R57" s="493" t="str">
        <f t="shared" ca="1" si="91"/>
        <v/>
      </c>
      <c r="S57" s="494">
        <f t="shared" ca="1" si="73"/>
        <v>0</v>
      </c>
      <c r="T57" s="499">
        <f ca="1">IF(I57=0,0,INDEX('Labour Rates'!E$4:E$35,MATCH(ROUNDDOWN(BREAKDOWN!G57,0),'Labour Rates'!A$4:A$35)))</f>
        <v>86.05</v>
      </c>
      <c r="U57" s="496">
        <f t="shared" ca="1" si="92"/>
        <v>0</v>
      </c>
      <c r="V57" s="496">
        <f t="shared" ca="1" si="93"/>
        <v>0</v>
      </c>
      <c r="W57" s="496">
        <f t="shared" ca="1" si="94"/>
        <v>0</v>
      </c>
      <c r="X57" s="496">
        <f t="shared" ca="1" si="95"/>
        <v>0</v>
      </c>
      <c r="Y57" s="497">
        <f t="shared" ca="1" si="96"/>
        <v>0</v>
      </c>
      <c r="Z57" s="497">
        <f t="shared" ca="1" si="97"/>
        <v>0</v>
      </c>
      <c r="AA57" s="497">
        <f t="shared" ca="1" si="98"/>
        <v>0</v>
      </c>
      <c r="AB57" s="497">
        <f t="shared" ca="1" si="99"/>
        <v>0</v>
      </c>
      <c r="AC57" s="498">
        <f t="shared" ca="1" si="100"/>
        <v>0</v>
      </c>
    </row>
    <row r="58" spans="1:29" s="483" customFormat="1" ht="15.75" x14ac:dyDescent="0.25">
      <c r="A58" s="484"/>
      <c r="B58" s="484"/>
      <c r="C58" s="484"/>
      <c r="D58" s="484"/>
      <c r="E58" s="484"/>
      <c r="F58" s="485"/>
      <c r="G58" s="486">
        <f t="shared" ca="1" si="101"/>
        <v>12.03</v>
      </c>
      <c r="H58" s="487" t="str">
        <f t="shared" ca="1" si="85"/>
        <v>10mm thick Plasterboard Sheeting to Ceiling</v>
      </c>
      <c r="I58" s="488">
        <f t="shared" ca="1" si="86"/>
        <v>104.291</v>
      </c>
      <c r="J58" s="489" t="str">
        <f t="shared" ca="1" si="86"/>
        <v>m2</v>
      </c>
      <c r="K58" s="490">
        <f ca="1">IFERROR(
INDEX(INDIRECT("'"&amp;INDEX($H:$H,MATCH(ROUNDDOWN($G58,0),$G:$G))&amp;"'!$B:$T"),
MATCH($G58,INDIRECT("'"&amp;INDEX($H:$H,MATCH(ROUNDDOWN($G58,0),$G:$G))&amp;"'!$A:$A"),0),
MATCH(K$3,INDIRECT("'"&amp;INDEX($H:$H,MATCH(ROUNDDOWN($G58,0),$G:$G))&amp;"'!$B$1:$T$1"),0)),0)
*INDEX('Labour Rates'!F$4:F$35,MATCH(ROUNDDOWN(BREAKDOWN!G58,0),'Labour Rates'!A$4:A$35))</f>
        <v>0</v>
      </c>
      <c r="L58" s="490">
        <f t="shared" ca="1" si="87"/>
        <v>0</v>
      </c>
      <c r="M58" s="490">
        <f t="shared" ca="1" si="87"/>
        <v>0</v>
      </c>
      <c r="N58" s="490">
        <f t="shared" ca="1" si="87"/>
        <v>0</v>
      </c>
      <c r="O58" s="490">
        <f t="shared" ca="1" si="88"/>
        <v>0</v>
      </c>
      <c r="P58" s="491">
        <f t="shared" ca="1" si="89"/>
        <v>0</v>
      </c>
      <c r="Q58" s="492">
        <f t="shared" ca="1" si="90"/>
        <v>0</v>
      </c>
      <c r="R58" s="493" t="str">
        <f t="shared" ca="1" si="91"/>
        <v/>
      </c>
      <c r="S58" s="494">
        <f t="shared" ca="1" si="73"/>
        <v>0</v>
      </c>
      <c r="T58" s="499">
        <f ca="1">IF(I58=0,0,INDEX('Labour Rates'!E$4:E$35,MATCH(ROUNDDOWN(BREAKDOWN!G58,0),'Labour Rates'!A$4:A$35)))</f>
        <v>86.05</v>
      </c>
      <c r="U58" s="496">
        <f t="shared" ca="1" si="92"/>
        <v>0</v>
      </c>
      <c r="V58" s="496">
        <f t="shared" ca="1" si="93"/>
        <v>0</v>
      </c>
      <c r="W58" s="496">
        <f t="shared" ca="1" si="94"/>
        <v>0</v>
      </c>
      <c r="X58" s="496">
        <f t="shared" ca="1" si="95"/>
        <v>0</v>
      </c>
      <c r="Y58" s="497">
        <f t="shared" ca="1" si="96"/>
        <v>0</v>
      </c>
      <c r="Z58" s="497">
        <f t="shared" ca="1" si="97"/>
        <v>0</v>
      </c>
      <c r="AA58" s="497">
        <f t="shared" ca="1" si="98"/>
        <v>0</v>
      </c>
      <c r="AB58" s="497">
        <f t="shared" ca="1" si="99"/>
        <v>0</v>
      </c>
      <c r="AC58" s="498">
        <f t="shared" ca="1" si="100"/>
        <v>0</v>
      </c>
    </row>
    <row r="59" spans="1:29" s="483" customFormat="1" ht="15.75" x14ac:dyDescent="0.25">
      <c r="A59" s="484"/>
      <c r="B59" s="484"/>
      <c r="C59" s="484"/>
      <c r="D59" s="484"/>
      <c r="E59" s="484"/>
      <c r="F59" s="485"/>
      <c r="G59" s="486">
        <f t="shared" ca="1" si="101"/>
        <v>12.04</v>
      </c>
      <c r="H59" s="487" t="str">
        <f t="shared" ca="1" si="85"/>
        <v>10mm thick Water Resistant Plasterboard Sheeting to Ceiling</v>
      </c>
      <c r="I59" s="488">
        <f t="shared" ca="1" si="86"/>
        <v>13.327</v>
      </c>
      <c r="J59" s="489" t="str">
        <f t="shared" ca="1" si="86"/>
        <v>m2</v>
      </c>
      <c r="K59" s="490">
        <f ca="1">IFERROR(
INDEX(INDIRECT("'"&amp;INDEX($H:$H,MATCH(ROUNDDOWN($G59,0),$G:$G))&amp;"'!$B:$T"),
MATCH($G59,INDIRECT("'"&amp;INDEX($H:$H,MATCH(ROUNDDOWN($G59,0),$G:$G))&amp;"'!$A:$A"),0),
MATCH(K$3,INDIRECT("'"&amp;INDEX($H:$H,MATCH(ROUNDDOWN($G59,0),$G:$G))&amp;"'!$B$1:$T$1"),0)),0)
*INDEX('Labour Rates'!F$4:F$35,MATCH(ROUNDDOWN(BREAKDOWN!G59,0),'Labour Rates'!A$4:A$35))</f>
        <v>0</v>
      </c>
      <c r="L59" s="490">
        <f t="shared" ca="1" si="87"/>
        <v>0</v>
      </c>
      <c r="M59" s="490">
        <f t="shared" ca="1" si="87"/>
        <v>0</v>
      </c>
      <c r="N59" s="490">
        <f t="shared" ca="1" si="87"/>
        <v>0</v>
      </c>
      <c r="O59" s="490">
        <f t="shared" ca="1" si="88"/>
        <v>0</v>
      </c>
      <c r="P59" s="491">
        <f t="shared" ca="1" si="89"/>
        <v>0</v>
      </c>
      <c r="Q59" s="492">
        <f t="shared" ca="1" si="90"/>
        <v>0</v>
      </c>
      <c r="R59" s="493" t="str">
        <f t="shared" ca="1" si="91"/>
        <v/>
      </c>
      <c r="S59" s="494">
        <f t="shared" ca="1" si="73"/>
        <v>0</v>
      </c>
      <c r="T59" s="499">
        <f ca="1">IF(I59=0,0,INDEX('Labour Rates'!E$4:E$35,MATCH(ROUNDDOWN(BREAKDOWN!G59,0),'Labour Rates'!A$4:A$35)))</f>
        <v>86.05</v>
      </c>
      <c r="U59" s="496">
        <f t="shared" ca="1" si="92"/>
        <v>0</v>
      </c>
      <c r="V59" s="496">
        <f t="shared" ca="1" si="93"/>
        <v>0</v>
      </c>
      <c r="W59" s="496">
        <f t="shared" ca="1" si="94"/>
        <v>0</v>
      </c>
      <c r="X59" s="496">
        <f t="shared" ca="1" si="95"/>
        <v>0</v>
      </c>
      <c r="Y59" s="497">
        <f t="shared" ca="1" si="96"/>
        <v>0</v>
      </c>
      <c r="Z59" s="497">
        <f t="shared" ca="1" si="97"/>
        <v>0</v>
      </c>
      <c r="AA59" s="497">
        <f t="shared" ca="1" si="98"/>
        <v>0</v>
      </c>
      <c r="AB59" s="497">
        <f t="shared" ca="1" si="99"/>
        <v>0</v>
      </c>
      <c r="AC59" s="498">
        <f t="shared" ca="1" si="100"/>
        <v>0</v>
      </c>
    </row>
    <row r="60" spans="1:29" s="500" customFormat="1" ht="15.75" x14ac:dyDescent="0.25">
      <c r="A60" s="504"/>
      <c r="B60" s="504"/>
      <c r="C60" s="504"/>
      <c r="D60" s="504"/>
      <c r="E60" s="504"/>
      <c r="F60" s="501"/>
      <c r="G60" s="486">
        <f t="shared" ca="1" si="101"/>
        <v>12.049999999999999</v>
      </c>
      <c r="H60" s="487" t="str">
        <f t="shared" ca="1" si="85"/>
        <v>Cornice - 90mm</v>
      </c>
      <c r="I60" s="488">
        <f t="shared" ca="1" si="86"/>
        <v>109.499</v>
      </c>
      <c r="J60" s="489" t="str">
        <f t="shared" ca="1" si="86"/>
        <v>Lm</v>
      </c>
      <c r="K60" s="490">
        <f ca="1">IFERROR(
INDEX(INDIRECT("'"&amp;INDEX($H:$H,MATCH(ROUNDDOWN($G60,0),$G:$G))&amp;"'!$B:$T"),
MATCH($G60,INDIRECT("'"&amp;INDEX($H:$H,MATCH(ROUNDDOWN($G60,0),$G:$G))&amp;"'!$A:$A"),0),
MATCH(K$3,INDIRECT("'"&amp;INDEX($H:$H,MATCH(ROUNDDOWN($G60,0),$G:$G))&amp;"'!$B$1:$T$1"),0)),0)
*INDEX('Labour Rates'!F$4:F$35,MATCH(ROUNDDOWN(BREAKDOWN!G60,0),'Labour Rates'!A$4:A$35))</f>
        <v>0</v>
      </c>
      <c r="L60" s="490">
        <f t="shared" ca="1" si="87"/>
        <v>0</v>
      </c>
      <c r="M60" s="490">
        <f t="shared" ca="1" si="87"/>
        <v>0</v>
      </c>
      <c r="N60" s="490">
        <f t="shared" ca="1" si="87"/>
        <v>0</v>
      </c>
      <c r="O60" s="490">
        <f t="shared" ca="1" si="88"/>
        <v>0</v>
      </c>
      <c r="P60" s="491">
        <f t="shared" ca="1" si="89"/>
        <v>0</v>
      </c>
      <c r="Q60" s="492">
        <f t="shared" ca="1" si="90"/>
        <v>0</v>
      </c>
      <c r="R60" s="493" t="str">
        <f t="shared" ca="1" si="91"/>
        <v/>
      </c>
      <c r="S60" s="494">
        <f t="shared" ca="1" si="73"/>
        <v>0</v>
      </c>
      <c r="T60" s="499">
        <f ca="1">IF(I60=0,0,INDEX('Labour Rates'!E$4:E$35,MATCH(ROUNDDOWN(BREAKDOWN!G60,0),'Labour Rates'!A$4:A$35)))</f>
        <v>86.05</v>
      </c>
      <c r="U60" s="496">
        <f t="shared" ca="1" si="92"/>
        <v>0</v>
      </c>
      <c r="V60" s="496">
        <f t="shared" ca="1" si="93"/>
        <v>0</v>
      </c>
      <c r="W60" s="496">
        <f t="shared" ca="1" si="94"/>
        <v>0</v>
      </c>
      <c r="X60" s="496">
        <f t="shared" ca="1" si="95"/>
        <v>0</v>
      </c>
      <c r="Y60" s="497">
        <f t="shared" ca="1" si="96"/>
        <v>0</v>
      </c>
      <c r="Z60" s="497">
        <f t="shared" ca="1" si="97"/>
        <v>0</v>
      </c>
      <c r="AA60" s="497">
        <f t="shared" ca="1" si="98"/>
        <v>0</v>
      </c>
      <c r="AB60" s="497">
        <f t="shared" ca="1" si="99"/>
        <v>0</v>
      </c>
      <c r="AC60" s="498">
        <f t="shared" ca="1" si="100"/>
        <v>0</v>
      </c>
    </row>
    <row r="61" spans="1:29" s="500" customFormat="1" ht="15.75" x14ac:dyDescent="0.25">
      <c r="A61" s="504"/>
      <c r="B61" s="504"/>
      <c r="C61" s="504"/>
      <c r="D61" s="504"/>
      <c r="E61" s="504"/>
      <c r="F61" s="501"/>
      <c r="G61" s="486">
        <f t="shared" ca="1" si="101"/>
        <v>12.059999999999999</v>
      </c>
      <c r="H61" s="487" t="str">
        <f t="shared" ca="1" si="85"/>
        <v>Wall Insulation</v>
      </c>
      <c r="I61" s="488">
        <f t="shared" ca="1" si="86"/>
        <v>169.28299999999999</v>
      </c>
      <c r="J61" s="489" t="str">
        <f t="shared" ca="1" si="86"/>
        <v>m2</v>
      </c>
      <c r="K61" s="490">
        <f ca="1">IFERROR(
INDEX(INDIRECT("'"&amp;INDEX($H:$H,MATCH(ROUNDDOWN($G61,0),$G:$G))&amp;"'!$B:$T"),
MATCH($G61,INDIRECT("'"&amp;INDEX($H:$H,MATCH(ROUNDDOWN($G61,0),$G:$G))&amp;"'!$A:$A"),0),
MATCH(K$3,INDIRECT("'"&amp;INDEX($H:$H,MATCH(ROUNDDOWN($G61,0),$G:$G))&amp;"'!$B$1:$T$1"),0)),0)
*INDEX('Labour Rates'!F$4:F$35,MATCH(ROUNDDOWN(BREAKDOWN!G61,0),'Labour Rates'!A$4:A$35))</f>
        <v>0</v>
      </c>
      <c r="L61" s="490">
        <f t="shared" ca="1" si="87"/>
        <v>0</v>
      </c>
      <c r="M61" s="490">
        <f t="shared" ca="1" si="87"/>
        <v>0</v>
      </c>
      <c r="N61" s="490">
        <f t="shared" ca="1" si="87"/>
        <v>0</v>
      </c>
      <c r="O61" s="490">
        <f t="shared" ca="1" si="88"/>
        <v>0</v>
      </c>
      <c r="P61" s="491">
        <f t="shared" ca="1" si="89"/>
        <v>0</v>
      </c>
      <c r="Q61" s="492">
        <f t="shared" ca="1" si="90"/>
        <v>0</v>
      </c>
      <c r="R61" s="493" t="str">
        <f t="shared" ca="1" si="91"/>
        <v/>
      </c>
      <c r="S61" s="494">
        <f t="shared" ca="1" si="73"/>
        <v>0</v>
      </c>
      <c r="T61" s="499">
        <f ca="1">IF(I61=0,0,INDEX('Labour Rates'!E$4:E$35,MATCH(ROUNDDOWN(BREAKDOWN!G61,0),'Labour Rates'!A$4:A$35)))</f>
        <v>86.05</v>
      </c>
      <c r="U61" s="496">
        <f t="shared" ca="1" si="92"/>
        <v>0</v>
      </c>
      <c r="V61" s="496">
        <f t="shared" ca="1" si="93"/>
        <v>0</v>
      </c>
      <c r="W61" s="496">
        <f t="shared" ca="1" si="94"/>
        <v>0</v>
      </c>
      <c r="X61" s="496">
        <f t="shared" ca="1" si="95"/>
        <v>0</v>
      </c>
      <c r="Y61" s="497">
        <f t="shared" ca="1" si="96"/>
        <v>0</v>
      </c>
      <c r="Z61" s="497">
        <f t="shared" ca="1" si="97"/>
        <v>0</v>
      </c>
      <c r="AA61" s="497">
        <f t="shared" ca="1" si="98"/>
        <v>0</v>
      </c>
      <c r="AB61" s="497">
        <f t="shared" ca="1" si="99"/>
        <v>0</v>
      </c>
      <c r="AC61" s="498">
        <f t="shared" ca="1" si="100"/>
        <v>0</v>
      </c>
    </row>
    <row r="62" spans="1:29" s="483" customFormat="1" ht="15.75" x14ac:dyDescent="0.25">
      <c r="A62" s="484"/>
      <c r="B62" s="484"/>
      <c r="C62" s="484"/>
      <c r="D62" s="484"/>
      <c r="E62" s="484"/>
      <c r="F62" s="485"/>
      <c r="G62" s="486">
        <f t="shared" ca="1" si="101"/>
        <v>12.069999999999999</v>
      </c>
      <c r="H62" s="487" t="str">
        <f t="shared" ca="1" si="85"/>
        <v>Ceiling Insulation</v>
      </c>
      <c r="I62" s="488">
        <f t="shared" ca="1" si="86"/>
        <v>117.61799999999999</v>
      </c>
      <c r="J62" s="489" t="str">
        <f t="shared" ca="1" si="86"/>
        <v>m2</v>
      </c>
      <c r="K62" s="490">
        <f ca="1">IFERROR(
INDEX(INDIRECT("'"&amp;INDEX($H:$H,MATCH(ROUNDDOWN($G62,0),$G:$G))&amp;"'!$B:$T"),
MATCH($G62,INDIRECT("'"&amp;INDEX($H:$H,MATCH(ROUNDDOWN($G62,0),$G:$G))&amp;"'!$A:$A"),0),
MATCH(K$3,INDIRECT("'"&amp;INDEX($H:$H,MATCH(ROUNDDOWN($G62,0),$G:$G))&amp;"'!$B$1:$T$1"),0)),0)
*INDEX('Labour Rates'!F$4:F$35,MATCH(ROUNDDOWN(BREAKDOWN!G62,0),'Labour Rates'!A$4:A$35))</f>
        <v>0</v>
      </c>
      <c r="L62" s="490">
        <f t="shared" ca="1" si="87"/>
        <v>0</v>
      </c>
      <c r="M62" s="490">
        <f t="shared" ca="1" si="87"/>
        <v>0</v>
      </c>
      <c r="N62" s="490">
        <f t="shared" ca="1" si="87"/>
        <v>0</v>
      </c>
      <c r="O62" s="490">
        <f t="shared" ca="1" si="88"/>
        <v>0</v>
      </c>
      <c r="P62" s="491">
        <f t="shared" ca="1" si="89"/>
        <v>0</v>
      </c>
      <c r="Q62" s="492">
        <f t="shared" ca="1" si="90"/>
        <v>0</v>
      </c>
      <c r="R62" s="493" t="str">
        <f t="shared" ca="1" si="91"/>
        <v/>
      </c>
      <c r="S62" s="494">
        <f t="shared" ca="1" si="73"/>
        <v>0</v>
      </c>
      <c r="T62" s="499">
        <f ca="1">IF(I62=0,0,INDEX('Labour Rates'!E$4:E$35,MATCH(ROUNDDOWN(BREAKDOWN!G62,0),'Labour Rates'!A$4:A$35)))</f>
        <v>86.05</v>
      </c>
      <c r="U62" s="496">
        <f t="shared" ca="1" si="92"/>
        <v>0</v>
      </c>
      <c r="V62" s="496">
        <f t="shared" ca="1" si="93"/>
        <v>0</v>
      </c>
      <c r="W62" s="496">
        <f t="shared" ca="1" si="94"/>
        <v>0</v>
      </c>
      <c r="X62" s="496">
        <f t="shared" ca="1" si="95"/>
        <v>0</v>
      </c>
      <c r="Y62" s="497">
        <f t="shared" ca="1" si="96"/>
        <v>0</v>
      </c>
      <c r="Z62" s="497">
        <f t="shared" ca="1" si="97"/>
        <v>0</v>
      </c>
      <c r="AA62" s="497">
        <f t="shared" ca="1" si="98"/>
        <v>0</v>
      </c>
      <c r="AB62" s="497">
        <f t="shared" ca="1" si="99"/>
        <v>0</v>
      </c>
      <c r="AC62" s="498">
        <f t="shared" ca="1" si="100"/>
        <v>0</v>
      </c>
    </row>
    <row r="63" spans="1:29" s="500" customFormat="1" ht="31.5" x14ac:dyDescent="0.25">
      <c r="A63" s="504"/>
      <c r="B63" s="504"/>
      <c r="C63" s="504"/>
      <c r="D63" s="504"/>
      <c r="E63" s="504"/>
      <c r="F63" s="501"/>
      <c r="G63" s="486">
        <f t="shared" ca="1" si="101"/>
        <v>12.079999999999998</v>
      </c>
      <c r="H63" s="487" t="str">
        <f t="shared" ca="1" si="85"/>
        <v>28mm Furring Channel @ 450mm Centres with Direct Fix Bracket to Masonry Walls</v>
      </c>
      <c r="I63" s="488">
        <f t="shared" ca="1" si="86"/>
        <v>12.231999999999999</v>
      </c>
      <c r="J63" s="489" t="str">
        <f t="shared" ca="1" si="86"/>
        <v>m2</v>
      </c>
      <c r="K63" s="490">
        <f ca="1">IFERROR(
INDEX(INDIRECT("'"&amp;INDEX($H:$H,MATCH(ROUNDDOWN($G63,0),$G:$G))&amp;"'!$B:$T"),
MATCH($G63,INDIRECT("'"&amp;INDEX($H:$H,MATCH(ROUNDDOWN($G63,0),$G:$G))&amp;"'!$A:$A"),0),
MATCH(K$3,INDIRECT("'"&amp;INDEX($H:$H,MATCH(ROUNDDOWN($G63,0),$G:$G))&amp;"'!$B$1:$T$1"),0)),0)
*INDEX('Labour Rates'!F$4:F$35,MATCH(ROUNDDOWN(BREAKDOWN!G63,0),'Labour Rates'!A$4:A$35))</f>
        <v>0</v>
      </c>
      <c r="L63" s="490">
        <f t="shared" ca="1" si="87"/>
        <v>0</v>
      </c>
      <c r="M63" s="490">
        <f t="shared" ca="1" si="87"/>
        <v>0</v>
      </c>
      <c r="N63" s="490">
        <f t="shared" ca="1" si="87"/>
        <v>0</v>
      </c>
      <c r="O63" s="490">
        <f t="shared" ca="1" si="88"/>
        <v>0</v>
      </c>
      <c r="P63" s="491">
        <f t="shared" ca="1" si="89"/>
        <v>0</v>
      </c>
      <c r="Q63" s="492">
        <f t="shared" ca="1" si="90"/>
        <v>0</v>
      </c>
      <c r="R63" s="493" t="str">
        <f t="shared" ca="1" si="91"/>
        <v/>
      </c>
      <c r="S63" s="494">
        <f t="shared" ca="1" si="73"/>
        <v>0</v>
      </c>
      <c r="T63" s="499">
        <f ca="1">IF(I63=0,0,INDEX('Labour Rates'!E$4:E$35,MATCH(ROUNDDOWN(BREAKDOWN!G63,0),'Labour Rates'!A$4:A$35)))</f>
        <v>86.05</v>
      </c>
      <c r="U63" s="496">
        <f t="shared" ca="1" si="92"/>
        <v>0</v>
      </c>
      <c r="V63" s="496">
        <f t="shared" ca="1" si="93"/>
        <v>0</v>
      </c>
      <c r="W63" s="496">
        <f t="shared" ca="1" si="94"/>
        <v>0</v>
      </c>
      <c r="X63" s="496">
        <f t="shared" ca="1" si="95"/>
        <v>0</v>
      </c>
      <c r="Y63" s="497">
        <f t="shared" ca="1" si="96"/>
        <v>0</v>
      </c>
      <c r="Z63" s="497">
        <f t="shared" ca="1" si="97"/>
        <v>0</v>
      </c>
      <c r="AA63" s="497">
        <f t="shared" ca="1" si="98"/>
        <v>0</v>
      </c>
      <c r="AB63" s="497">
        <f t="shared" ca="1" si="99"/>
        <v>0</v>
      </c>
      <c r="AC63" s="498">
        <f t="shared" ca="1" si="100"/>
        <v>0</v>
      </c>
    </row>
    <row r="64" spans="1:29" s="500" customFormat="1" ht="15.75" x14ac:dyDescent="0.25">
      <c r="A64" s="504"/>
      <c r="B64" s="504"/>
      <c r="C64" s="504"/>
      <c r="D64" s="504"/>
      <c r="E64" s="504"/>
      <c r="F64" s="501"/>
      <c r="G64" s="486">
        <f t="shared" ca="1" si="101"/>
        <v>12.089999999999998</v>
      </c>
      <c r="H64" s="487" t="str">
        <f t="shared" ca="1" si="85"/>
        <v>Metal Ceiling Framing</v>
      </c>
      <c r="I64" s="488">
        <f t="shared" ca="1" si="86"/>
        <v>117.61799999999999</v>
      </c>
      <c r="J64" s="489" t="str">
        <f t="shared" ca="1" si="86"/>
        <v>m2</v>
      </c>
      <c r="K64" s="490">
        <f ca="1">IFERROR(
INDEX(INDIRECT("'"&amp;INDEX($H:$H,MATCH(ROUNDDOWN($G64,0),$G:$G))&amp;"'!$B:$T"),
MATCH($G64,INDIRECT("'"&amp;INDEX($H:$H,MATCH(ROUNDDOWN($G64,0),$G:$G))&amp;"'!$A:$A"),0),
MATCH(K$3,INDIRECT("'"&amp;INDEX($H:$H,MATCH(ROUNDDOWN($G64,0),$G:$G))&amp;"'!$B$1:$T$1"),0)),0)
*INDEX('Labour Rates'!F$4:F$35,MATCH(ROUNDDOWN(BREAKDOWN!G64,0),'Labour Rates'!A$4:A$35))</f>
        <v>0</v>
      </c>
      <c r="L64" s="490">
        <f t="shared" ca="1" si="87"/>
        <v>0</v>
      </c>
      <c r="M64" s="490">
        <f t="shared" ca="1" si="87"/>
        <v>0</v>
      </c>
      <c r="N64" s="490">
        <f t="shared" ca="1" si="87"/>
        <v>0</v>
      </c>
      <c r="O64" s="490">
        <f t="shared" ca="1" si="88"/>
        <v>0</v>
      </c>
      <c r="P64" s="491">
        <f t="shared" ca="1" si="89"/>
        <v>0</v>
      </c>
      <c r="Q64" s="492">
        <f t="shared" ca="1" si="90"/>
        <v>0</v>
      </c>
      <c r="R64" s="493" t="str">
        <f t="shared" ca="1" si="91"/>
        <v/>
      </c>
      <c r="S64" s="494">
        <f t="shared" ca="1" si="73"/>
        <v>0</v>
      </c>
      <c r="T64" s="499">
        <f ca="1">IF(I64=0,0,INDEX('Labour Rates'!E$4:E$35,MATCH(ROUNDDOWN(BREAKDOWN!G64,0),'Labour Rates'!A$4:A$35)))</f>
        <v>86.05</v>
      </c>
      <c r="U64" s="496">
        <f t="shared" ca="1" si="92"/>
        <v>0</v>
      </c>
      <c r="V64" s="496">
        <f t="shared" ca="1" si="93"/>
        <v>0</v>
      </c>
      <c r="W64" s="496">
        <f t="shared" ca="1" si="94"/>
        <v>0</v>
      </c>
      <c r="X64" s="496">
        <f t="shared" ca="1" si="95"/>
        <v>0</v>
      </c>
      <c r="Y64" s="497">
        <f t="shared" ca="1" si="96"/>
        <v>0</v>
      </c>
      <c r="Z64" s="497">
        <f t="shared" ca="1" si="97"/>
        <v>0</v>
      </c>
      <c r="AA64" s="497">
        <f t="shared" ca="1" si="98"/>
        <v>0</v>
      </c>
      <c r="AB64" s="497">
        <f t="shared" ca="1" si="99"/>
        <v>0</v>
      </c>
      <c r="AC64" s="498">
        <f t="shared" ca="1" si="100"/>
        <v>0</v>
      </c>
    </row>
    <row r="65" spans="1:29" s="483" customFormat="1" ht="15.75" x14ac:dyDescent="0.25">
      <c r="A65" s="484"/>
      <c r="B65" s="484"/>
      <c r="C65" s="484"/>
      <c r="D65" s="484"/>
      <c r="E65" s="484"/>
      <c r="F65" s="485"/>
      <c r="G65" s="486">
        <f t="shared" ca="1" si="101"/>
        <v>12.099999999999998</v>
      </c>
      <c r="H65" s="487" t="str">
        <f t="shared" ca="1" si="85"/>
        <v>External Angle</v>
      </c>
      <c r="I65" s="488">
        <f t="shared" ca="1" si="86"/>
        <v>12</v>
      </c>
      <c r="J65" s="489" t="str">
        <f t="shared" ca="1" si="86"/>
        <v>Lm</v>
      </c>
      <c r="K65" s="490">
        <f ca="1">IFERROR(
INDEX(INDIRECT("'"&amp;INDEX($H:$H,MATCH(ROUNDDOWN($G65,0),$G:$G))&amp;"'!$B:$T"),
MATCH($G65,INDIRECT("'"&amp;INDEX($H:$H,MATCH(ROUNDDOWN($G65,0),$G:$G))&amp;"'!$A:$A"),0),
MATCH(K$3,INDIRECT("'"&amp;INDEX($H:$H,MATCH(ROUNDDOWN($G65,0),$G:$G))&amp;"'!$B$1:$T$1"),0)),0)
*INDEX('Labour Rates'!F$4:F$35,MATCH(ROUNDDOWN(BREAKDOWN!G65,0),'Labour Rates'!A$4:A$35))</f>
        <v>0</v>
      </c>
      <c r="L65" s="490">
        <f t="shared" ca="1" si="87"/>
        <v>0</v>
      </c>
      <c r="M65" s="490">
        <f t="shared" ca="1" si="87"/>
        <v>0</v>
      </c>
      <c r="N65" s="490">
        <f t="shared" ca="1" si="87"/>
        <v>0</v>
      </c>
      <c r="O65" s="490">
        <f t="shared" ca="1" si="88"/>
        <v>0</v>
      </c>
      <c r="P65" s="491">
        <f t="shared" ca="1" si="89"/>
        <v>0</v>
      </c>
      <c r="Q65" s="492">
        <f t="shared" ca="1" si="90"/>
        <v>0</v>
      </c>
      <c r="R65" s="493" t="str">
        <f t="shared" ca="1" si="91"/>
        <v/>
      </c>
      <c r="S65" s="494">
        <f t="shared" ca="1" si="73"/>
        <v>0</v>
      </c>
      <c r="T65" s="499">
        <f ca="1">IF(I65=0,0,INDEX('Labour Rates'!E$4:E$35,MATCH(ROUNDDOWN(BREAKDOWN!G65,0),'Labour Rates'!A$4:A$35)))</f>
        <v>86.05</v>
      </c>
      <c r="U65" s="496">
        <f t="shared" ca="1" si="92"/>
        <v>0</v>
      </c>
      <c r="V65" s="496">
        <f t="shared" ca="1" si="93"/>
        <v>0</v>
      </c>
      <c r="W65" s="496">
        <f t="shared" ca="1" si="94"/>
        <v>0</v>
      </c>
      <c r="X65" s="496">
        <f t="shared" ca="1" si="95"/>
        <v>0</v>
      </c>
      <c r="Y65" s="497">
        <f t="shared" ca="1" si="96"/>
        <v>0</v>
      </c>
      <c r="Z65" s="497">
        <f t="shared" ca="1" si="97"/>
        <v>0</v>
      </c>
      <c r="AA65" s="497">
        <f t="shared" ca="1" si="98"/>
        <v>0</v>
      </c>
      <c r="AB65" s="497">
        <f t="shared" ca="1" si="99"/>
        <v>0</v>
      </c>
      <c r="AC65" s="498">
        <f t="shared" ca="1" si="100"/>
        <v>0</v>
      </c>
    </row>
    <row r="66" spans="1:29" s="500" customFormat="1" ht="15.75" x14ac:dyDescent="0.25">
      <c r="A66" s="504"/>
      <c r="B66" s="504"/>
      <c r="C66" s="504"/>
      <c r="D66" s="504"/>
      <c r="E66" s="504"/>
      <c r="F66" s="501"/>
      <c r="G66" s="486">
        <f t="shared" ca="1" si="101"/>
        <v>12.109999999999998</v>
      </c>
      <c r="H66" s="487" t="str">
        <f t="shared" ca="1" si="85"/>
        <v>Access Panel</v>
      </c>
      <c r="I66" s="488">
        <f t="shared" ca="1" si="86"/>
        <v>1</v>
      </c>
      <c r="J66" s="489" t="str">
        <f t="shared" ca="1" si="86"/>
        <v>No.</v>
      </c>
      <c r="K66" s="490">
        <f ca="1">IFERROR(
INDEX(INDIRECT("'"&amp;INDEX($H:$H,MATCH(ROUNDDOWN($G66,0),$G:$G))&amp;"'!$B:$T"),
MATCH($G66,INDIRECT("'"&amp;INDEX($H:$H,MATCH(ROUNDDOWN($G66,0),$G:$G))&amp;"'!$A:$A"),0),
MATCH(K$3,INDIRECT("'"&amp;INDEX($H:$H,MATCH(ROUNDDOWN($G66,0),$G:$G))&amp;"'!$B$1:$T$1"),0)),0)
*INDEX('Labour Rates'!F$4:F$35,MATCH(ROUNDDOWN(BREAKDOWN!G66,0),'Labour Rates'!A$4:A$35))</f>
        <v>0</v>
      </c>
      <c r="L66" s="490">
        <f t="shared" ca="1" si="87"/>
        <v>0</v>
      </c>
      <c r="M66" s="490">
        <f t="shared" ca="1" si="87"/>
        <v>0</v>
      </c>
      <c r="N66" s="490">
        <f t="shared" ca="1" si="87"/>
        <v>0</v>
      </c>
      <c r="O66" s="490">
        <f t="shared" ca="1" si="88"/>
        <v>0</v>
      </c>
      <c r="P66" s="491">
        <f t="shared" ca="1" si="89"/>
        <v>0</v>
      </c>
      <c r="Q66" s="492">
        <f t="shared" ca="1" si="90"/>
        <v>0</v>
      </c>
      <c r="R66" s="493" t="str">
        <f t="shared" ca="1" si="91"/>
        <v/>
      </c>
      <c r="S66" s="494">
        <f t="shared" ca="1" si="73"/>
        <v>0</v>
      </c>
      <c r="T66" s="499">
        <f ca="1">IF(I66=0,0,INDEX('Labour Rates'!E$4:E$35,MATCH(ROUNDDOWN(BREAKDOWN!G66,0),'Labour Rates'!A$4:A$35)))</f>
        <v>86.05</v>
      </c>
      <c r="U66" s="496">
        <f t="shared" ca="1" si="92"/>
        <v>0</v>
      </c>
      <c r="V66" s="496">
        <f t="shared" ca="1" si="93"/>
        <v>0</v>
      </c>
      <c r="W66" s="496">
        <f t="shared" ca="1" si="94"/>
        <v>0</v>
      </c>
      <c r="X66" s="496">
        <f t="shared" ca="1" si="95"/>
        <v>0</v>
      </c>
      <c r="Y66" s="497">
        <f t="shared" ca="1" si="96"/>
        <v>0</v>
      </c>
      <c r="Z66" s="497">
        <f t="shared" ca="1" si="97"/>
        <v>0</v>
      </c>
      <c r="AA66" s="497">
        <f t="shared" ca="1" si="98"/>
        <v>0</v>
      </c>
      <c r="AB66" s="497">
        <f t="shared" ca="1" si="99"/>
        <v>0</v>
      </c>
      <c r="AC66" s="498">
        <f t="shared" ca="1" si="100"/>
        <v>0</v>
      </c>
    </row>
    <row r="67" spans="1:29" s="500" customFormat="1" ht="15.75" x14ac:dyDescent="0.25">
      <c r="A67" s="504"/>
      <c r="B67" s="504"/>
      <c r="C67" s="504"/>
      <c r="D67" s="504"/>
      <c r="E67" s="504"/>
      <c r="F67" s="501"/>
      <c r="G67" s="486">
        <f t="shared" ca="1" si="101"/>
        <v>12.119999999999997</v>
      </c>
      <c r="H67" s="487" t="str">
        <f t="shared" ca="1" si="85"/>
        <v>Aluminium Skirting</v>
      </c>
      <c r="I67" s="488">
        <f t="shared" ca="1" si="86"/>
        <v>124.104</v>
      </c>
      <c r="J67" s="489" t="str">
        <f t="shared" ca="1" si="86"/>
        <v>Lm</v>
      </c>
      <c r="K67" s="490">
        <f ca="1">IFERROR(
INDEX(INDIRECT("'"&amp;INDEX($H:$H,MATCH(ROUNDDOWN($G67,0),$G:$G))&amp;"'!$B:$T"),
MATCH($G67,INDIRECT("'"&amp;INDEX($H:$H,MATCH(ROUNDDOWN($G67,0),$G:$G))&amp;"'!$A:$A"),0),
MATCH(K$3,INDIRECT("'"&amp;INDEX($H:$H,MATCH(ROUNDDOWN($G67,0),$G:$G))&amp;"'!$B$1:$T$1"),0)),0)
*INDEX('Labour Rates'!F$4:F$35,MATCH(ROUNDDOWN(BREAKDOWN!G67,0),'Labour Rates'!A$4:A$35))</f>
        <v>0</v>
      </c>
      <c r="L67" s="490">
        <f t="shared" ca="1" si="87"/>
        <v>0</v>
      </c>
      <c r="M67" s="490">
        <f t="shared" ca="1" si="87"/>
        <v>0</v>
      </c>
      <c r="N67" s="490">
        <f t="shared" ca="1" si="87"/>
        <v>0</v>
      </c>
      <c r="O67" s="490">
        <f t="shared" ca="1" si="88"/>
        <v>0</v>
      </c>
      <c r="P67" s="491">
        <f t="shared" ca="1" si="89"/>
        <v>0</v>
      </c>
      <c r="Q67" s="492">
        <f t="shared" ca="1" si="90"/>
        <v>0</v>
      </c>
      <c r="R67" s="493" t="str">
        <f t="shared" ca="1" si="91"/>
        <v/>
      </c>
      <c r="S67" s="494">
        <f t="shared" ca="1" si="73"/>
        <v>0</v>
      </c>
      <c r="T67" s="499">
        <f ca="1">IF(I67=0,0,INDEX('Labour Rates'!E$4:E$35,MATCH(ROUNDDOWN(BREAKDOWN!G67,0),'Labour Rates'!A$4:A$35)))</f>
        <v>86.05</v>
      </c>
      <c r="U67" s="496">
        <f t="shared" ca="1" si="92"/>
        <v>0</v>
      </c>
      <c r="V67" s="496">
        <f t="shared" ca="1" si="93"/>
        <v>0</v>
      </c>
      <c r="W67" s="496">
        <f t="shared" ca="1" si="94"/>
        <v>0</v>
      </c>
      <c r="X67" s="496">
        <f t="shared" ca="1" si="95"/>
        <v>0</v>
      </c>
      <c r="Y67" s="497">
        <f t="shared" ca="1" si="96"/>
        <v>0</v>
      </c>
      <c r="Z67" s="497">
        <f t="shared" ca="1" si="97"/>
        <v>0</v>
      </c>
      <c r="AA67" s="497">
        <f t="shared" ca="1" si="98"/>
        <v>0</v>
      </c>
      <c r="AB67" s="497">
        <f t="shared" ca="1" si="99"/>
        <v>0</v>
      </c>
      <c r="AC67" s="498">
        <f t="shared" ca="1" si="100"/>
        <v>0</v>
      </c>
    </row>
    <row r="68" spans="1:29" s="483" customFormat="1" ht="15.75" x14ac:dyDescent="0.25">
      <c r="A68" s="484"/>
      <c r="B68" s="484"/>
      <c r="C68" s="484"/>
      <c r="D68" s="484"/>
      <c r="E68" s="484"/>
      <c r="F68" s="485"/>
      <c r="G68" s="502">
        <f ca="1">G55+1</f>
        <v>13</v>
      </c>
      <c r="H68" s="473" t="str">
        <f ca="1">INDEX(Carpentry!B:B,MATCH(BREAKDOWN!G68,Carpentry!A:A))</f>
        <v>CARPENTRY</v>
      </c>
      <c r="I68" s="474"/>
      <c r="J68" s="475"/>
      <c r="K68" s="476"/>
      <c r="L68" s="476"/>
      <c r="M68" s="476"/>
      <c r="N68" s="476"/>
      <c r="O68" s="476"/>
      <c r="P68" s="476"/>
      <c r="Q68" s="477">
        <f ca="1">SUMIFS(Q:Q,$G:$G,"&gt;"&amp;$G68,$G:$G,"&lt;"&amp;($G68+1))</f>
        <v>0</v>
      </c>
      <c r="R68" s="478">
        <f ca="1">Q68
-INDEX(INDIRECT("'"&amp;H68&amp;"'!B:T"),MATCH($Q$3,INDIRECT("'"&amp;H68&amp;"'!B:B"),0),MATCH($Q$3,INDIRECT("'"&amp;H68&amp;"'!B$1:T$1"),0))
-(SUMIFS(U:U,$G:$G,"&gt;"&amp;$G68,$G:$G,"&lt;"&amp;($G68+1))-SUMIFS(U:U,$G:$G,"&gt;"&amp;$G68,$G:$G,"&lt;"&amp;($G68+1))/INDEX('Labour Rates'!F$4:F$35,MATCH(ROUNDDOWN(BREAKDOWN!G68,0),'Labour Rates'!A$4:A$35)))</f>
        <v>0</v>
      </c>
      <c r="S68" s="503"/>
      <c r="T68" s="499"/>
      <c r="U68" s="503"/>
      <c r="V68" s="503"/>
      <c r="W68" s="503"/>
      <c r="X68" s="503"/>
      <c r="Y68" s="503"/>
      <c r="Z68" s="503"/>
      <c r="AA68" s="503"/>
      <c r="AB68" s="477">
        <f ca="1">SUM(AB69:AB85)</f>
        <v>0</v>
      </c>
      <c r="AC68" s="498"/>
    </row>
    <row r="69" spans="1:29" s="500" customFormat="1" ht="15.75" x14ac:dyDescent="0.25">
      <c r="A69" s="504"/>
      <c r="B69" s="504"/>
      <c r="C69" s="504"/>
      <c r="D69" s="504"/>
      <c r="E69" s="504"/>
      <c r="F69" s="501"/>
      <c r="G69" s="486">
        <f ca="1">G68+0.01</f>
        <v>13.01</v>
      </c>
      <c r="H69" s="487" t="str">
        <f t="shared" ref="H69:H85" ca="1" si="102">IF($I69&lt;&gt;0,
INDEX(INDIRECT("'"&amp;INDEX($H:$H,MATCH(ROUNDDOWN($G69,0),$G:$G))&amp;"'!$B:$T"),
MATCH($G69,INDIRECT("'"&amp;INDEX($H:$H,MATCH(ROUNDDOWN($G69,0),$G:$G))&amp;"'!$A:$A"),0),
MATCH(H$3,INDIRECT("'"&amp;INDEX($H:$H,MATCH(ROUNDDOWN($G69,0),$G:$G))&amp;"'!$B$1:$T$1"),0)),0)</f>
        <v>Roof Trusses - Half (As Per Design)</v>
      </c>
      <c r="I69" s="488">
        <f t="shared" ref="I69:J85" ca="1" si="103">IFERROR(
INDEX(INDIRECT("'"&amp;INDEX($H:$H,MATCH(ROUNDDOWN($G69,0),$G:$G))&amp;"'!$B:$T"),
MATCH($G69,INDIRECT("'"&amp;INDEX($H:$H,MATCH(ROUNDDOWN($G69,0),$G:$G))&amp;"'!$A:$A"),0),
MATCH(I$3,INDIRECT("'"&amp;INDEX($H:$H,MATCH(ROUNDDOWN($G69,0),$G:$G))&amp;"'!$B$1:$T$1"),0)),0)</f>
        <v>15</v>
      </c>
      <c r="J69" s="489" t="str">
        <f t="shared" ca="1" si="103"/>
        <v>No.</v>
      </c>
      <c r="K69" s="490">
        <f ca="1">IFERROR(
INDEX(INDIRECT("'"&amp;INDEX($H:$H,MATCH(ROUNDDOWN($G69,0),$G:$G))&amp;"'!$B:$T"),
MATCH($G69,INDIRECT("'"&amp;INDEX($H:$H,MATCH(ROUNDDOWN($G69,0),$G:$G))&amp;"'!$A:$A"),0),
MATCH(K$3,INDIRECT("'"&amp;INDEX($H:$H,MATCH(ROUNDDOWN($G69,0),$G:$G))&amp;"'!$B$1:$T$1"),0)),0)
*INDEX('Labour Rates'!F$4:F$35,MATCH(ROUNDDOWN(BREAKDOWN!G69,0),'Labour Rates'!A$4:A$35))</f>
        <v>0</v>
      </c>
      <c r="L69" s="490">
        <f t="shared" ref="L69:N85" ca="1" si="104">IFERROR(
INDEX(INDIRECT("'"&amp;INDEX($H:$H,MATCH(ROUNDDOWN($G69,0),$G:$G))&amp;"'!$B:$T"),
MATCH($G69,INDIRECT("'"&amp;INDEX($H:$H,MATCH(ROUNDDOWN($G69,0),$G:$G))&amp;"'!$A:$A"),0),
MATCH(L$3,INDIRECT("'"&amp;INDEX($H:$H,MATCH(ROUNDDOWN($G69,0),$G:$G))&amp;"'!$B$1:$T$1"),0)),0)</f>
        <v>0</v>
      </c>
      <c r="M69" s="490">
        <f t="shared" ca="1" si="104"/>
        <v>0</v>
      </c>
      <c r="N69" s="490">
        <f t="shared" ca="1" si="104"/>
        <v>0</v>
      </c>
      <c r="O69" s="490">
        <f t="shared" ref="O69:O85" ca="1" si="105">IFERROR(
INDEX(INDIRECT("'"&amp;INDEX($H:$H,MATCH(ROUNDDOWN($G69,0),$G:$G))&amp;"'!$V:$Z"),
MATCH($G69,INDIRECT("'"&amp;INDEX($H:$H,MATCH(ROUNDDOWN($G69,0),$G:$G))&amp;"'!$A:$A"),0),
MATCH(O$3,INDIRECT("'"&amp;INDEX($H:$H,MATCH(ROUNDDOWN($G69,0),$G:$G))&amp;"'!$V$2:$Z$2"),0)),0)</f>
        <v>0</v>
      </c>
      <c r="P69" s="491">
        <f t="shared" ref="P69:P85" ca="1" si="106">IFERROR(IF(O69="inc","inc",IF(AND(O69&gt;0,I69&gt;0),O69/I69,IF(SUM(K69:N69)&gt;0,SUM(K69:N69),0))),0)</f>
        <v>0</v>
      </c>
      <c r="Q69" s="492">
        <f t="shared" ref="Q69:Q85" ca="1" si="107">IFERROR(IF(P69="",0,I69*P69),0)</f>
        <v>0</v>
      </c>
      <c r="R69" s="493" t="str">
        <f t="shared" ref="R69:R85" ca="1" si="108">IFERROR(
INDEX(INDIRECT("'"&amp;INDEX($H:$H,MATCH(ROUNDDOWN($G69,0),$G:$G))&amp;"'!$W:$AA"),
MATCH($G69,INDIRECT("'"&amp;INDEX($H:$H,MATCH(ROUNDDOWN($G69,0),$G:$G))&amp;"'!$A:$A"),0),
MATCH(R$3,INDIRECT("'"&amp;INDEX($H:$H,MATCH(ROUNDDOWN($G69,0),$G:$G))&amp;"'!$W$1:$AA$1"),0)),"")</f>
        <v/>
      </c>
      <c r="S69" s="494">
        <f t="shared" ref="S69:S90" ca="1" si="109">IFERROR(U69/T69,"")</f>
        <v>0</v>
      </c>
      <c r="T69" s="499">
        <f ca="1">IF(I69=0,0,INDEX('Labour Rates'!E$4:E$35,MATCH(ROUNDDOWN(BREAKDOWN!G69,0),'Labour Rates'!A$4:A$35)))</f>
        <v>91.43</v>
      </c>
      <c r="U69" s="496">
        <f t="shared" ref="U69:U85" ca="1" si="110">IF($Y69&gt;0, 0, IFERROR($I69*K69,0))</f>
        <v>0</v>
      </c>
      <c r="V69" s="496">
        <f t="shared" ref="V69:V85" ca="1" si="111">IF($Y69&gt;0, 0, IFERROR($I69*L69,0))</f>
        <v>0</v>
      </c>
      <c r="W69" s="496">
        <f t="shared" ref="W69:W85" ca="1" si="112">IF($Y69&gt;0, 0, IFERROR($I69*M69,0))</f>
        <v>0</v>
      </c>
      <c r="X69" s="496">
        <f t="shared" ref="X69:X85" ca="1" si="113">IF($Y69&gt;0, 0, IFERROR($I69*N69,0))</f>
        <v>0</v>
      </c>
      <c r="Y69" s="497">
        <f t="shared" ref="Y69:Y85" ca="1" si="114">IF(I69&gt;0,O69,0)</f>
        <v>0</v>
      </c>
      <c r="Z69" s="497">
        <f t="shared" ref="Z69:Z85" ca="1" si="115">Q69*$I$158</f>
        <v>0</v>
      </c>
      <c r="AA69" s="497">
        <f t="shared" ref="AA69:AA85" ca="1" si="116">Q69*$I$159</f>
        <v>0</v>
      </c>
      <c r="AB69" s="497">
        <f t="shared" ref="AB69:AB85" ca="1" si="117">SUM(U69:AA69)</f>
        <v>0</v>
      </c>
      <c r="AC69" s="498">
        <f t="shared" ref="AC69:AC85" ca="1" si="118">SUM(U69:Y69)-Q69</f>
        <v>0</v>
      </c>
    </row>
    <row r="70" spans="1:29" s="500" customFormat="1" ht="15.75" x14ac:dyDescent="0.25">
      <c r="A70" s="504"/>
      <c r="B70" s="504"/>
      <c r="C70" s="504"/>
      <c r="D70" s="504"/>
      <c r="E70" s="504"/>
      <c r="F70" s="501"/>
      <c r="G70" s="486">
        <f t="shared" ref="G70:G85" ca="1" si="119">G69+0.01</f>
        <v>13.02</v>
      </c>
      <c r="H70" s="487" t="str">
        <f t="shared" ca="1" si="102"/>
        <v>Lintels (No Design Available)</v>
      </c>
      <c r="I70" s="488">
        <f t="shared" ca="1" si="103"/>
        <v>1</v>
      </c>
      <c r="J70" s="489" t="str">
        <f t="shared" ca="1" si="103"/>
        <v>item</v>
      </c>
      <c r="K70" s="490">
        <f ca="1">IFERROR(
INDEX(INDIRECT("'"&amp;INDEX($H:$H,MATCH(ROUNDDOWN($G70,0),$G:$G))&amp;"'!$B:$T"),
MATCH($G70,INDIRECT("'"&amp;INDEX($H:$H,MATCH(ROUNDDOWN($G70,0),$G:$G))&amp;"'!$A:$A"),0),
MATCH(K$3,INDIRECT("'"&amp;INDEX($H:$H,MATCH(ROUNDDOWN($G70,0),$G:$G))&amp;"'!$B$1:$T$1"),0)),0)
*INDEX('Labour Rates'!F$4:F$35,MATCH(ROUNDDOWN(BREAKDOWN!G70,0),'Labour Rates'!A$4:A$35))</f>
        <v>0</v>
      </c>
      <c r="L70" s="490">
        <f t="shared" ca="1" si="104"/>
        <v>0</v>
      </c>
      <c r="M70" s="490">
        <f t="shared" ca="1" si="104"/>
        <v>0</v>
      </c>
      <c r="N70" s="490">
        <f t="shared" ca="1" si="104"/>
        <v>0</v>
      </c>
      <c r="O70" s="490">
        <f t="shared" ca="1" si="105"/>
        <v>0</v>
      </c>
      <c r="P70" s="491">
        <f t="shared" ca="1" si="106"/>
        <v>0</v>
      </c>
      <c r="Q70" s="492">
        <f t="shared" ca="1" si="107"/>
        <v>0</v>
      </c>
      <c r="R70" s="493" t="str">
        <f t="shared" ca="1" si="108"/>
        <v/>
      </c>
      <c r="S70" s="494">
        <f t="shared" ca="1" si="109"/>
        <v>0</v>
      </c>
      <c r="T70" s="499">
        <f ca="1">IF(I70=0,0,INDEX('Labour Rates'!E$4:E$35,MATCH(ROUNDDOWN(BREAKDOWN!G70,0),'Labour Rates'!A$4:A$35)))</f>
        <v>91.43</v>
      </c>
      <c r="U70" s="496">
        <f t="shared" ca="1" si="110"/>
        <v>0</v>
      </c>
      <c r="V70" s="496">
        <f t="shared" ca="1" si="111"/>
        <v>0</v>
      </c>
      <c r="W70" s="496">
        <f t="shared" ca="1" si="112"/>
        <v>0</v>
      </c>
      <c r="X70" s="496">
        <f t="shared" ca="1" si="113"/>
        <v>0</v>
      </c>
      <c r="Y70" s="497">
        <f t="shared" ca="1" si="114"/>
        <v>0</v>
      </c>
      <c r="Z70" s="497">
        <f t="shared" ca="1" si="115"/>
        <v>0</v>
      </c>
      <c r="AA70" s="497">
        <f t="shared" ca="1" si="116"/>
        <v>0</v>
      </c>
      <c r="AB70" s="497">
        <f t="shared" ca="1" si="117"/>
        <v>0</v>
      </c>
      <c r="AC70" s="498">
        <f t="shared" ca="1" si="118"/>
        <v>0</v>
      </c>
    </row>
    <row r="71" spans="1:29" s="483" customFormat="1" ht="15.75" x14ac:dyDescent="0.25">
      <c r="A71" s="484"/>
      <c r="B71" s="484"/>
      <c r="C71" s="484"/>
      <c r="D71" s="484"/>
      <c r="E71" s="484"/>
      <c r="F71" s="485"/>
      <c r="G71" s="486">
        <f t="shared" ca="1" si="119"/>
        <v>13.03</v>
      </c>
      <c r="H71" s="487" t="str">
        <f t="shared" ca="1" si="102"/>
        <v>Lintels (As Per Design)</v>
      </c>
      <c r="I71" s="488">
        <f t="shared" ca="1" si="103"/>
        <v>1</v>
      </c>
      <c r="J71" s="489" t="str">
        <f t="shared" ca="1" si="103"/>
        <v>item</v>
      </c>
      <c r="K71" s="490">
        <f ca="1">IFERROR(
INDEX(INDIRECT("'"&amp;INDEX($H:$H,MATCH(ROUNDDOWN($G71,0),$G:$G))&amp;"'!$B:$T"),
MATCH($G71,INDIRECT("'"&amp;INDEX($H:$H,MATCH(ROUNDDOWN($G71,0),$G:$G))&amp;"'!$A:$A"),0),
MATCH(K$3,INDIRECT("'"&amp;INDEX($H:$H,MATCH(ROUNDDOWN($G71,0),$G:$G))&amp;"'!$B$1:$T$1"),0)),0)
*INDEX('Labour Rates'!F$4:F$35,MATCH(ROUNDDOWN(BREAKDOWN!G71,0),'Labour Rates'!A$4:A$35))</f>
        <v>0</v>
      </c>
      <c r="L71" s="490">
        <f t="shared" ca="1" si="104"/>
        <v>0</v>
      </c>
      <c r="M71" s="490">
        <f t="shared" ca="1" si="104"/>
        <v>0</v>
      </c>
      <c r="N71" s="490">
        <f t="shared" ca="1" si="104"/>
        <v>0</v>
      </c>
      <c r="O71" s="490">
        <f t="shared" ca="1" si="105"/>
        <v>0</v>
      </c>
      <c r="P71" s="491">
        <f t="shared" ca="1" si="106"/>
        <v>0</v>
      </c>
      <c r="Q71" s="492">
        <f t="shared" ca="1" si="107"/>
        <v>0</v>
      </c>
      <c r="R71" s="493" t="str">
        <f t="shared" ca="1" si="108"/>
        <v/>
      </c>
      <c r="S71" s="494">
        <f t="shared" ca="1" si="109"/>
        <v>0</v>
      </c>
      <c r="T71" s="499">
        <f ca="1">IF(I71=0,0,INDEX('Labour Rates'!E$4:E$35,MATCH(ROUNDDOWN(BREAKDOWN!G71,0),'Labour Rates'!A$4:A$35)))</f>
        <v>91.43</v>
      </c>
      <c r="U71" s="496">
        <f t="shared" ca="1" si="110"/>
        <v>0</v>
      </c>
      <c r="V71" s="496">
        <f t="shared" ca="1" si="111"/>
        <v>0</v>
      </c>
      <c r="W71" s="496">
        <f t="shared" ca="1" si="112"/>
        <v>0</v>
      </c>
      <c r="X71" s="496">
        <f t="shared" ca="1" si="113"/>
        <v>0</v>
      </c>
      <c r="Y71" s="497">
        <f t="shared" ca="1" si="114"/>
        <v>0</v>
      </c>
      <c r="Z71" s="497">
        <f t="shared" ca="1" si="115"/>
        <v>0</v>
      </c>
      <c r="AA71" s="497">
        <f t="shared" ca="1" si="116"/>
        <v>0</v>
      </c>
      <c r="AB71" s="497">
        <f t="shared" ca="1" si="117"/>
        <v>0</v>
      </c>
      <c r="AC71" s="498">
        <f t="shared" ca="1" si="118"/>
        <v>0</v>
      </c>
    </row>
    <row r="72" spans="1:29" s="483" customFormat="1" ht="15.75" x14ac:dyDescent="0.25">
      <c r="A72" s="484"/>
      <c r="B72" s="484"/>
      <c r="C72" s="484"/>
      <c r="D72" s="484"/>
      <c r="E72" s="484"/>
      <c r="F72" s="485"/>
      <c r="G72" s="486">
        <f t="shared" ca="1" si="119"/>
        <v>13.04</v>
      </c>
      <c r="H72" s="487" t="str">
        <f t="shared" ca="1" si="102"/>
        <v>Internal Timber Wall Framing</v>
      </c>
      <c r="I72" s="488">
        <f t="shared" ca="1" si="103"/>
        <v>189.67500000000001</v>
      </c>
      <c r="J72" s="489" t="str">
        <f t="shared" ca="1" si="103"/>
        <v>m2</v>
      </c>
      <c r="K72" s="490">
        <f ca="1">IFERROR(
INDEX(INDIRECT("'"&amp;INDEX($H:$H,MATCH(ROUNDDOWN($G72,0),$G:$G))&amp;"'!$B:$T"),
MATCH($G72,INDIRECT("'"&amp;INDEX($H:$H,MATCH(ROUNDDOWN($G72,0),$G:$G))&amp;"'!$A:$A"),0),
MATCH(K$3,INDIRECT("'"&amp;INDEX($H:$H,MATCH(ROUNDDOWN($G72,0),$G:$G))&amp;"'!$B$1:$T$1"),0)),0)
*INDEX('Labour Rates'!F$4:F$35,MATCH(ROUNDDOWN(BREAKDOWN!G72,0),'Labour Rates'!A$4:A$35))</f>
        <v>0</v>
      </c>
      <c r="L72" s="490">
        <f t="shared" ca="1" si="104"/>
        <v>0</v>
      </c>
      <c r="M72" s="490">
        <f t="shared" ca="1" si="104"/>
        <v>0</v>
      </c>
      <c r="N72" s="490">
        <f t="shared" ca="1" si="104"/>
        <v>0</v>
      </c>
      <c r="O72" s="490">
        <f t="shared" ca="1" si="105"/>
        <v>0</v>
      </c>
      <c r="P72" s="491">
        <f t="shared" ca="1" si="106"/>
        <v>0</v>
      </c>
      <c r="Q72" s="492">
        <f t="shared" ca="1" si="107"/>
        <v>0</v>
      </c>
      <c r="R72" s="493" t="str">
        <f t="shared" ca="1" si="108"/>
        <v/>
      </c>
      <c r="S72" s="494">
        <f t="shared" ca="1" si="109"/>
        <v>0</v>
      </c>
      <c r="T72" s="499">
        <f ca="1">IF(I72=0,0,INDEX('Labour Rates'!E$4:E$35,MATCH(ROUNDDOWN(BREAKDOWN!G72,0),'Labour Rates'!A$4:A$35)))</f>
        <v>91.43</v>
      </c>
      <c r="U72" s="496">
        <f t="shared" ca="1" si="110"/>
        <v>0</v>
      </c>
      <c r="V72" s="496">
        <f t="shared" ca="1" si="111"/>
        <v>0</v>
      </c>
      <c r="W72" s="496">
        <f t="shared" ca="1" si="112"/>
        <v>0</v>
      </c>
      <c r="X72" s="496">
        <f t="shared" ca="1" si="113"/>
        <v>0</v>
      </c>
      <c r="Y72" s="497">
        <f t="shared" ca="1" si="114"/>
        <v>0</v>
      </c>
      <c r="Z72" s="497">
        <f t="shared" ca="1" si="115"/>
        <v>0</v>
      </c>
      <c r="AA72" s="497">
        <f t="shared" ca="1" si="116"/>
        <v>0</v>
      </c>
      <c r="AB72" s="497">
        <f t="shared" ca="1" si="117"/>
        <v>0</v>
      </c>
      <c r="AC72" s="498">
        <f t="shared" ca="1" si="118"/>
        <v>0</v>
      </c>
    </row>
    <row r="73" spans="1:29" s="500" customFormat="1" ht="15.75" x14ac:dyDescent="0.25">
      <c r="A73" s="504"/>
      <c r="B73" s="504"/>
      <c r="C73" s="504"/>
      <c r="D73" s="504"/>
      <c r="E73" s="504"/>
      <c r="F73" s="501"/>
      <c r="G73" s="486">
        <f t="shared" ca="1" si="119"/>
        <v>13.049999999999999</v>
      </c>
      <c r="H73" s="487" t="str">
        <f t="shared" ca="1" si="102"/>
        <v>External Timber Wall Framing</v>
      </c>
      <c r="I73" s="488">
        <f t="shared" ca="1" si="103"/>
        <v>70.781000000000006</v>
      </c>
      <c r="J73" s="489" t="str">
        <f t="shared" ca="1" si="103"/>
        <v>m2</v>
      </c>
      <c r="K73" s="490">
        <f ca="1">IFERROR(
INDEX(INDIRECT("'"&amp;INDEX($H:$H,MATCH(ROUNDDOWN($G73,0),$G:$G))&amp;"'!$B:$T"),
MATCH($G73,INDIRECT("'"&amp;INDEX($H:$H,MATCH(ROUNDDOWN($G73,0),$G:$G))&amp;"'!$A:$A"),0),
MATCH(K$3,INDIRECT("'"&amp;INDEX($H:$H,MATCH(ROUNDDOWN($G73,0),$G:$G))&amp;"'!$B$1:$T$1"),0)),0)
*INDEX('Labour Rates'!F$4:F$35,MATCH(ROUNDDOWN(BREAKDOWN!G73,0),'Labour Rates'!A$4:A$35))</f>
        <v>0</v>
      </c>
      <c r="L73" s="490">
        <f t="shared" ca="1" si="104"/>
        <v>0</v>
      </c>
      <c r="M73" s="490">
        <f t="shared" ca="1" si="104"/>
        <v>0</v>
      </c>
      <c r="N73" s="490">
        <f t="shared" ca="1" si="104"/>
        <v>0</v>
      </c>
      <c r="O73" s="490">
        <f t="shared" ca="1" si="105"/>
        <v>0</v>
      </c>
      <c r="P73" s="491">
        <f t="shared" ca="1" si="106"/>
        <v>0</v>
      </c>
      <c r="Q73" s="492">
        <f t="shared" ca="1" si="107"/>
        <v>0</v>
      </c>
      <c r="R73" s="493" t="str">
        <f t="shared" ca="1" si="108"/>
        <v/>
      </c>
      <c r="S73" s="494">
        <f t="shared" ca="1" si="109"/>
        <v>0</v>
      </c>
      <c r="T73" s="499">
        <f ca="1">IF(I73=0,0,INDEX('Labour Rates'!E$4:E$35,MATCH(ROUNDDOWN(BREAKDOWN!G73,0),'Labour Rates'!A$4:A$35)))</f>
        <v>91.43</v>
      </c>
      <c r="U73" s="496">
        <f t="shared" ca="1" si="110"/>
        <v>0</v>
      </c>
      <c r="V73" s="496">
        <f t="shared" ca="1" si="111"/>
        <v>0</v>
      </c>
      <c r="W73" s="496">
        <f t="shared" ca="1" si="112"/>
        <v>0</v>
      </c>
      <c r="X73" s="496">
        <f t="shared" ca="1" si="113"/>
        <v>0</v>
      </c>
      <c r="Y73" s="497">
        <f t="shared" ca="1" si="114"/>
        <v>0</v>
      </c>
      <c r="Z73" s="497">
        <f t="shared" ca="1" si="115"/>
        <v>0</v>
      </c>
      <c r="AA73" s="497">
        <f t="shared" ca="1" si="116"/>
        <v>0</v>
      </c>
      <c r="AB73" s="497">
        <f t="shared" ca="1" si="117"/>
        <v>0</v>
      </c>
      <c r="AC73" s="498">
        <f t="shared" ca="1" si="118"/>
        <v>0</v>
      </c>
    </row>
    <row r="74" spans="1:29" s="500" customFormat="1" ht="15.75" x14ac:dyDescent="0.25">
      <c r="A74" s="504"/>
      <c r="B74" s="504"/>
      <c r="C74" s="504"/>
      <c r="D74" s="504"/>
      <c r="E74" s="504"/>
      <c r="F74" s="501"/>
      <c r="G74" s="486">
        <f t="shared" ca="1" si="119"/>
        <v>13.059999999999999</v>
      </c>
      <c r="H74" s="487" t="str">
        <f t="shared" ca="1" si="102"/>
        <v>Tie Down to External Wall Framing</v>
      </c>
      <c r="I74" s="488">
        <f t="shared" ca="1" si="103"/>
        <v>77.400999999999996</v>
      </c>
      <c r="J74" s="489" t="str">
        <f t="shared" ca="1" si="103"/>
        <v>Lm</v>
      </c>
      <c r="K74" s="490">
        <f ca="1">IFERROR(
INDEX(INDIRECT("'"&amp;INDEX($H:$H,MATCH(ROUNDDOWN($G74,0),$G:$G))&amp;"'!$B:$T"),
MATCH($G74,INDIRECT("'"&amp;INDEX($H:$H,MATCH(ROUNDDOWN($G74,0),$G:$G))&amp;"'!$A:$A"),0),
MATCH(K$3,INDIRECT("'"&amp;INDEX($H:$H,MATCH(ROUNDDOWN($G74,0),$G:$G))&amp;"'!$B$1:$T$1"),0)),0)
*INDEX('Labour Rates'!F$4:F$35,MATCH(ROUNDDOWN(BREAKDOWN!G74,0),'Labour Rates'!A$4:A$35))</f>
        <v>0</v>
      </c>
      <c r="L74" s="490">
        <f t="shared" ca="1" si="104"/>
        <v>0</v>
      </c>
      <c r="M74" s="490">
        <f t="shared" ca="1" si="104"/>
        <v>0</v>
      </c>
      <c r="N74" s="490">
        <f t="shared" ca="1" si="104"/>
        <v>0</v>
      </c>
      <c r="O74" s="490">
        <f t="shared" ca="1" si="105"/>
        <v>0</v>
      </c>
      <c r="P74" s="491">
        <f t="shared" ca="1" si="106"/>
        <v>0</v>
      </c>
      <c r="Q74" s="492">
        <f t="shared" ca="1" si="107"/>
        <v>0</v>
      </c>
      <c r="R74" s="493" t="str">
        <f t="shared" ca="1" si="108"/>
        <v/>
      </c>
      <c r="S74" s="494">
        <f t="shared" ca="1" si="109"/>
        <v>0</v>
      </c>
      <c r="T74" s="499">
        <f ca="1">IF(I74=0,0,INDEX('Labour Rates'!E$4:E$35,MATCH(ROUNDDOWN(BREAKDOWN!G74,0),'Labour Rates'!A$4:A$35)))</f>
        <v>91.43</v>
      </c>
      <c r="U74" s="496">
        <f t="shared" ca="1" si="110"/>
        <v>0</v>
      </c>
      <c r="V74" s="496">
        <f t="shared" ca="1" si="111"/>
        <v>0</v>
      </c>
      <c r="W74" s="496">
        <f t="shared" ca="1" si="112"/>
        <v>0</v>
      </c>
      <c r="X74" s="496">
        <f t="shared" ca="1" si="113"/>
        <v>0</v>
      </c>
      <c r="Y74" s="497">
        <f t="shared" ca="1" si="114"/>
        <v>0</v>
      </c>
      <c r="Z74" s="497">
        <f t="shared" ca="1" si="115"/>
        <v>0</v>
      </c>
      <c r="AA74" s="497">
        <f t="shared" ca="1" si="116"/>
        <v>0</v>
      </c>
      <c r="AB74" s="497">
        <f t="shared" ca="1" si="117"/>
        <v>0</v>
      </c>
      <c r="AC74" s="498">
        <f t="shared" ca="1" si="118"/>
        <v>0</v>
      </c>
    </row>
    <row r="75" spans="1:29" s="483" customFormat="1" ht="15.75" x14ac:dyDescent="0.25">
      <c r="A75" s="484"/>
      <c r="B75" s="484"/>
      <c r="C75" s="484"/>
      <c r="D75" s="484"/>
      <c r="E75" s="484"/>
      <c r="F75" s="485"/>
      <c r="G75" s="486">
        <f t="shared" ca="1" si="119"/>
        <v>13.069999999999999</v>
      </c>
      <c r="H75" s="487" t="str">
        <f t="shared" ca="1" si="102"/>
        <v>Plywood Bracing</v>
      </c>
      <c r="I75" s="488">
        <f t="shared" ca="1" si="103"/>
        <v>45.05</v>
      </c>
      <c r="J75" s="489">
        <f t="shared" ca="1" si="103"/>
        <v>0</v>
      </c>
      <c r="K75" s="490">
        <f ca="1">IFERROR(
INDEX(INDIRECT("'"&amp;INDEX($H:$H,MATCH(ROUNDDOWN($G75,0),$G:$G))&amp;"'!$B:$T"),
MATCH($G75,INDIRECT("'"&amp;INDEX($H:$H,MATCH(ROUNDDOWN($G75,0),$G:$G))&amp;"'!$A:$A"),0),
MATCH(K$3,INDIRECT("'"&amp;INDEX($H:$H,MATCH(ROUNDDOWN($G75,0),$G:$G))&amp;"'!$B$1:$T$1"),0)),0)
*INDEX('Labour Rates'!F$4:F$35,MATCH(ROUNDDOWN(BREAKDOWN!G75,0),'Labour Rates'!A$4:A$35))</f>
        <v>0</v>
      </c>
      <c r="L75" s="490">
        <f t="shared" ca="1" si="104"/>
        <v>0</v>
      </c>
      <c r="M75" s="490">
        <f t="shared" ca="1" si="104"/>
        <v>0</v>
      </c>
      <c r="N75" s="490">
        <f t="shared" ca="1" si="104"/>
        <v>0</v>
      </c>
      <c r="O75" s="490">
        <f t="shared" ca="1" si="105"/>
        <v>0</v>
      </c>
      <c r="P75" s="491">
        <f t="shared" ca="1" si="106"/>
        <v>0</v>
      </c>
      <c r="Q75" s="492">
        <f t="shared" ca="1" si="107"/>
        <v>0</v>
      </c>
      <c r="R75" s="493" t="str">
        <f t="shared" ca="1" si="108"/>
        <v/>
      </c>
      <c r="S75" s="494">
        <f t="shared" ca="1" si="109"/>
        <v>0</v>
      </c>
      <c r="T75" s="499">
        <f ca="1">IF(I75=0,0,INDEX('Labour Rates'!E$4:E$35,MATCH(ROUNDDOWN(BREAKDOWN!G75,0),'Labour Rates'!A$4:A$35)))</f>
        <v>91.43</v>
      </c>
      <c r="U75" s="496">
        <f t="shared" ca="1" si="110"/>
        <v>0</v>
      </c>
      <c r="V75" s="496">
        <f t="shared" ca="1" si="111"/>
        <v>0</v>
      </c>
      <c r="W75" s="496">
        <f t="shared" ca="1" si="112"/>
        <v>0</v>
      </c>
      <c r="X75" s="496">
        <f t="shared" ca="1" si="113"/>
        <v>0</v>
      </c>
      <c r="Y75" s="497">
        <f t="shared" ca="1" si="114"/>
        <v>0</v>
      </c>
      <c r="Z75" s="497">
        <f t="shared" ca="1" si="115"/>
        <v>0</v>
      </c>
      <c r="AA75" s="497">
        <f t="shared" ca="1" si="116"/>
        <v>0</v>
      </c>
      <c r="AB75" s="497">
        <f t="shared" ca="1" si="117"/>
        <v>0</v>
      </c>
      <c r="AC75" s="498">
        <f t="shared" ca="1" si="118"/>
        <v>0</v>
      </c>
    </row>
    <row r="76" spans="1:29" s="500" customFormat="1" ht="15.75" x14ac:dyDescent="0.25">
      <c r="A76" s="504"/>
      <c r="B76" s="504"/>
      <c r="C76" s="504"/>
      <c r="D76" s="504"/>
      <c r="E76" s="504"/>
      <c r="F76" s="501"/>
      <c r="G76" s="486">
        <f t="shared" ca="1" si="119"/>
        <v>13.079999999999998</v>
      </c>
      <c r="H76" s="487" t="str">
        <f t="shared" ca="1" si="102"/>
        <v>Strap Bracing</v>
      </c>
      <c r="I76" s="488">
        <f t="shared" ca="1" si="103"/>
        <v>1</v>
      </c>
      <c r="J76" s="489" t="str">
        <f t="shared" ca="1" si="103"/>
        <v>item</v>
      </c>
      <c r="K76" s="490">
        <f ca="1">IFERROR(
INDEX(INDIRECT("'"&amp;INDEX($H:$H,MATCH(ROUNDDOWN($G76,0),$G:$G))&amp;"'!$B:$T"),
MATCH($G76,INDIRECT("'"&amp;INDEX($H:$H,MATCH(ROUNDDOWN($G76,0),$G:$G))&amp;"'!$A:$A"),0),
MATCH(K$3,INDIRECT("'"&amp;INDEX($H:$H,MATCH(ROUNDDOWN($G76,0),$G:$G))&amp;"'!$B$1:$T$1"),0)),0)
*INDEX('Labour Rates'!F$4:F$35,MATCH(ROUNDDOWN(BREAKDOWN!G76,0),'Labour Rates'!A$4:A$35))</f>
        <v>0</v>
      </c>
      <c r="L76" s="490">
        <f t="shared" ca="1" si="104"/>
        <v>0</v>
      </c>
      <c r="M76" s="490">
        <f t="shared" ca="1" si="104"/>
        <v>0</v>
      </c>
      <c r="N76" s="490">
        <f t="shared" ca="1" si="104"/>
        <v>0</v>
      </c>
      <c r="O76" s="490">
        <f t="shared" ca="1" si="105"/>
        <v>0</v>
      </c>
      <c r="P76" s="491">
        <f t="shared" ca="1" si="106"/>
        <v>0</v>
      </c>
      <c r="Q76" s="492">
        <f t="shared" ca="1" si="107"/>
        <v>0</v>
      </c>
      <c r="R76" s="493" t="str">
        <f t="shared" ca="1" si="108"/>
        <v/>
      </c>
      <c r="S76" s="494">
        <f t="shared" ca="1" si="109"/>
        <v>0</v>
      </c>
      <c r="T76" s="499">
        <f ca="1">IF(I76=0,0,INDEX('Labour Rates'!E$4:E$35,MATCH(ROUNDDOWN(BREAKDOWN!G76,0),'Labour Rates'!A$4:A$35)))</f>
        <v>91.43</v>
      </c>
      <c r="U76" s="496">
        <f t="shared" ca="1" si="110"/>
        <v>0</v>
      </c>
      <c r="V76" s="496">
        <f t="shared" ca="1" si="111"/>
        <v>0</v>
      </c>
      <c r="W76" s="496">
        <f t="shared" ca="1" si="112"/>
        <v>0</v>
      </c>
      <c r="X76" s="496">
        <f t="shared" ca="1" si="113"/>
        <v>0</v>
      </c>
      <c r="Y76" s="497">
        <f t="shared" ca="1" si="114"/>
        <v>0</v>
      </c>
      <c r="Z76" s="497">
        <f t="shared" ca="1" si="115"/>
        <v>0</v>
      </c>
      <c r="AA76" s="497">
        <f t="shared" ca="1" si="116"/>
        <v>0</v>
      </c>
      <c r="AB76" s="497">
        <f t="shared" ca="1" si="117"/>
        <v>0</v>
      </c>
      <c r="AC76" s="498">
        <f t="shared" ca="1" si="118"/>
        <v>0</v>
      </c>
    </row>
    <row r="77" spans="1:29" s="500" customFormat="1" ht="15.75" x14ac:dyDescent="0.25">
      <c r="A77" s="504"/>
      <c r="B77" s="504"/>
      <c r="C77" s="504"/>
      <c r="D77" s="504"/>
      <c r="E77" s="504"/>
      <c r="F77" s="501"/>
      <c r="G77" s="486">
        <f t="shared" ca="1" si="119"/>
        <v>13.089999999999998</v>
      </c>
      <c r="H77" s="487" t="str">
        <f t="shared" ca="1" si="102"/>
        <v>Fixings &amp; Hardware</v>
      </c>
      <c r="I77" s="488">
        <f t="shared" ca="1" si="103"/>
        <v>1</v>
      </c>
      <c r="J77" s="489" t="str">
        <f t="shared" ca="1" si="103"/>
        <v>item</v>
      </c>
      <c r="K77" s="490">
        <f ca="1">IFERROR(
INDEX(INDIRECT("'"&amp;INDEX($H:$H,MATCH(ROUNDDOWN($G77,0),$G:$G))&amp;"'!$B:$T"),
MATCH($G77,INDIRECT("'"&amp;INDEX($H:$H,MATCH(ROUNDDOWN($G77,0),$G:$G))&amp;"'!$A:$A"),0),
MATCH(K$3,INDIRECT("'"&amp;INDEX($H:$H,MATCH(ROUNDDOWN($G77,0),$G:$G))&amp;"'!$B$1:$T$1"),0)),0)
*INDEX('Labour Rates'!F$4:F$35,MATCH(ROUNDDOWN(BREAKDOWN!G77,0),'Labour Rates'!A$4:A$35))</f>
        <v>0</v>
      </c>
      <c r="L77" s="490">
        <f t="shared" ca="1" si="104"/>
        <v>0</v>
      </c>
      <c r="M77" s="490">
        <f t="shared" ca="1" si="104"/>
        <v>0</v>
      </c>
      <c r="N77" s="490">
        <f t="shared" ca="1" si="104"/>
        <v>0</v>
      </c>
      <c r="O77" s="490">
        <f t="shared" ca="1" si="105"/>
        <v>0</v>
      </c>
      <c r="P77" s="491">
        <f t="shared" ca="1" si="106"/>
        <v>0</v>
      </c>
      <c r="Q77" s="492">
        <f t="shared" ca="1" si="107"/>
        <v>0</v>
      </c>
      <c r="R77" s="493" t="str">
        <f t="shared" ca="1" si="108"/>
        <v/>
      </c>
      <c r="S77" s="494">
        <f t="shared" ca="1" si="109"/>
        <v>0</v>
      </c>
      <c r="T77" s="499">
        <f ca="1">IF(I77=0,0,INDEX('Labour Rates'!E$4:E$35,MATCH(ROUNDDOWN(BREAKDOWN!G77,0),'Labour Rates'!A$4:A$35)))</f>
        <v>91.43</v>
      </c>
      <c r="U77" s="496">
        <f t="shared" ca="1" si="110"/>
        <v>0</v>
      </c>
      <c r="V77" s="496">
        <f t="shared" ca="1" si="111"/>
        <v>0</v>
      </c>
      <c r="W77" s="496">
        <f t="shared" ca="1" si="112"/>
        <v>0</v>
      </c>
      <c r="X77" s="496">
        <f t="shared" ca="1" si="113"/>
        <v>0</v>
      </c>
      <c r="Y77" s="497">
        <f t="shared" ca="1" si="114"/>
        <v>0</v>
      </c>
      <c r="Z77" s="497">
        <f t="shared" ca="1" si="115"/>
        <v>0</v>
      </c>
      <c r="AA77" s="497">
        <f t="shared" ca="1" si="116"/>
        <v>0</v>
      </c>
      <c r="AB77" s="497">
        <f t="shared" ca="1" si="117"/>
        <v>0</v>
      </c>
      <c r="AC77" s="498">
        <f t="shared" ca="1" si="118"/>
        <v>0</v>
      </c>
    </row>
    <row r="78" spans="1:29" s="483" customFormat="1" ht="15.75" x14ac:dyDescent="0.25">
      <c r="A78" s="484"/>
      <c r="B78" s="484"/>
      <c r="C78" s="484"/>
      <c r="D78" s="484"/>
      <c r="E78" s="484"/>
      <c r="F78" s="485"/>
      <c r="G78" s="486">
        <f t="shared" ca="1" si="119"/>
        <v>13.099999999999998</v>
      </c>
      <c r="H78" s="487" t="str">
        <f t="shared" ca="1" si="102"/>
        <v>Timber Architrave</v>
      </c>
      <c r="I78" s="488">
        <f t="shared" ca="1" si="103"/>
        <v>51.6</v>
      </c>
      <c r="J78" s="489" t="str">
        <f t="shared" ca="1" si="103"/>
        <v>Lm</v>
      </c>
      <c r="K78" s="490">
        <f ca="1">IFERROR(
INDEX(INDIRECT("'"&amp;INDEX($H:$H,MATCH(ROUNDDOWN($G78,0),$G:$G))&amp;"'!$B:$T"),
MATCH($G78,INDIRECT("'"&amp;INDEX($H:$H,MATCH(ROUNDDOWN($G78,0),$G:$G))&amp;"'!$A:$A"),0),
MATCH(K$3,INDIRECT("'"&amp;INDEX($H:$H,MATCH(ROUNDDOWN($G78,0),$G:$G))&amp;"'!$B$1:$T$1"),0)),0)
*INDEX('Labour Rates'!F$4:F$35,MATCH(ROUNDDOWN(BREAKDOWN!G78,0),'Labour Rates'!A$4:A$35))</f>
        <v>0</v>
      </c>
      <c r="L78" s="490">
        <f t="shared" ca="1" si="104"/>
        <v>0</v>
      </c>
      <c r="M78" s="490">
        <f t="shared" ca="1" si="104"/>
        <v>0</v>
      </c>
      <c r="N78" s="490">
        <f t="shared" ca="1" si="104"/>
        <v>0</v>
      </c>
      <c r="O78" s="490">
        <f t="shared" ca="1" si="105"/>
        <v>0</v>
      </c>
      <c r="P78" s="491">
        <f t="shared" ca="1" si="106"/>
        <v>0</v>
      </c>
      <c r="Q78" s="492">
        <f t="shared" ca="1" si="107"/>
        <v>0</v>
      </c>
      <c r="R78" s="493" t="str">
        <f t="shared" ca="1" si="108"/>
        <v/>
      </c>
      <c r="S78" s="494">
        <f t="shared" ca="1" si="109"/>
        <v>0</v>
      </c>
      <c r="T78" s="499">
        <f ca="1">IF(I78=0,0,INDEX('Labour Rates'!E$4:E$35,MATCH(ROUNDDOWN(BREAKDOWN!G78,0),'Labour Rates'!A$4:A$35)))</f>
        <v>91.43</v>
      </c>
      <c r="U78" s="496">
        <f t="shared" ca="1" si="110"/>
        <v>0</v>
      </c>
      <c r="V78" s="496">
        <f t="shared" ca="1" si="111"/>
        <v>0</v>
      </c>
      <c r="W78" s="496">
        <f t="shared" ca="1" si="112"/>
        <v>0</v>
      </c>
      <c r="X78" s="496">
        <f t="shared" ca="1" si="113"/>
        <v>0</v>
      </c>
      <c r="Y78" s="497">
        <f t="shared" ca="1" si="114"/>
        <v>0</v>
      </c>
      <c r="Z78" s="497">
        <f t="shared" ca="1" si="115"/>
        <v>0</v>
      </c>
      <c r="AA78" s="497">
        <f t="shared" ca="1" si="116"/>
        <v>0</v>
      </c>
      <c r="AB78" s="497">
        <f t="shared" ca="1" si="117"/>
        <v>0</v>
      </c>
      <c r="AC78" s="498">
        <f t="shared" ca="1" si="118"/>
        <v>0</v>
      </c>
    </row>
    <row r="79" spans="1:29" s="500" customFormat="1" ht="15.75" x14ac:dyDescent="0.25">
      <c r="A79" s="504"/>
      <c r="B79" s="504"/>
      <c r="C79" s="504"/>
      <c r="D79" s="504"/>
      <c r="E79" s="504"/>
      <c r="F79" s="501"/>
      <c r="G79" s="486">
        <f t="shared" ca="1" si="119"/>
        <v>13.109999999999998</v>
      </c>
      <c r="H79" s="487" t="str">
        <f t="shared" ca="1" si="102"/>
        <v>Single Hinged Door Leaf - Hollowcore</v>
      </c>
      <c r="I79" s="488">
        <f t="shared" ca="1" si="103"/>
        <v>5</v>
      </c>
      <c r="J79" s="489" t="str">
        <f t="shared" ca="1" si="103"/>
        <v>No.</v>
      </c>
      <c r="K79" s="490">
        <f ca="1">IFERROR(
INDEX(INDIRECT("'"&amp;INDEX($H:$H,MATCH(ROUNDDOWN($G79,0),$G:$G))&amp;"'!$B:$T"),
MATCH($G79,INDIRECT("'"&amp;INDEX($H:$H,MATCH(ROUNDDOWN($G79,0),$G:$G))&amp;"'!$A:$A"),0),
MATCH(K$3,INDIRECT("'"&amp;INDEX($H:$H,MATCH(ROUNDDOWN($G79,0),$G:$G))&amp;"'!$B$1:$T$1"),0)),0)
*INDEX('Labour Rates'!F$4:F$35,MATCH(ROUNDDOWN(BREAKDOWN!G79,0),'Labour Rates'!A$4:A$35))</f>
        <v>0</v>
      </c>
      <c r="L79" s="490">
        <f t="shared" ca="1" si="104"/>
        <v>0</v>
      </c>
      <c r="M79" s="490">
        <f t="shared" ca="1" si="104"/>
        <v>0</v>
      </c>
      <c r="N79" s="490">
        <f t="shared" ca="1" si="104"/>
        <v>0</v>
      </c>
      <c r="O79" s="490">
        <f t="shared" ca="1" si="105"/>
        <v>0</v>
      </c>
      <c r="P79" s="491">
        <f t="shared" ca="1" si="106"/>
        <v>0</v>
      </c>
      <c r="Q79" s="492">
        <f t="shared" ca="1" si="107"/>
        <v>0</v>
      </c>
      <c r="R79" s="493" t="str">
        <f t="shared" ca="1" si="108"/>
        <v/>
      </c>
      <c r="S79" s="494">
        <f t="shared" ca="1" si="109"/>
        <v>0</v>
      </c>
      <c r="T79" s="499">
        <f ca="1">IF(I79=0,0,INDEX('Labour Rates'!E$4:E$35,MATCH(ROUNDDOWN(BREAKDOWN!G79,0),'Labour Rates'!A$4:A$35)))</f>
        <v>91.43</v>
      </c>
      <c r="U79" s="496">
        <f t="shared" ca="1" si="110"/>
        <v>0</v>
      </c>
      <c r="V79" s="496">
        <f t="shared" ca="1" si="111"/>
        <v>0</v>
      </c>
      <c r="W79" s="496">
        <f t="shared" ca="1" si="112"/>
        <v>0</v>
      </c>
      <c r="X79" s="496">
        <f t="shared" ca="1" si="113"/>
        <v>0</v>
      </c>
      <c r="Y79" s="497">
        <f t="shared" ca="1" si="114"/>
        <v>0</v>
      </c>
      <c r="Z79" s="497">
        <f t="shared" ca="1" si="115"/>
        <v>0</v>
      </c>
      <c r="AA79" s="497">
        <f t="shared" ca="1" si="116"/>
        <v>0</v>
      </c>
      <c r="AB79" s="497">
        <f t="shared" ca="1" si="117"/>
        <v>0</v>
      </c>
      <c r="AC79" s="498">
        <f t="shared" ca="1" si="118"/>
        <v>0</v>
      </c>
    </row>
    <row r="80" spans="1:29" s="500" customFormat="1" ht="15.75" x14ac:dyDescent="0.25">
      <c r="A80" s="504"/>
      <c r="B80" s="504"/>
      <c r="C80" s="504"/>
      <c r="D80" s="504"/>
      <c r="E80" s="504"/>
      <c r="F80" s="501"/>
      <c r="G80" s="486">
        <f t="shared" ca="1" si="119"/>
        <v>13.119999999999997</v>
      </c>
      <c r="H80" s="487" t="str">
        <f t="shared" ca="1" si="102"/>
        <v>Single Hinged Door Leaf - Solidcore</v>
      </c>
      <c r="I80" s="488">
        <f t="shared" ca="1" si="103"/>
        <v>1</v>
      </c>
      <c r="J80" s="489" t="str">
        <f t="shared" ca="1" si="103"/>
        <v>No.</v>
      </c>
      <c r="K80" s="490">
        <f ca="1">IFERROR(
INDEX(INDIRECT("'"&amp;INDEX($H:$H,MATCH(ROUNDDOWN($G80,0),$G:$G))&amp;"'!$B:$T"),
MATCH($G80,INDIRECT("'"&amp;INDEX($H:$H,MATCH(ROUNDDOWN($G80,0),$G:$G))&amp;"'!$A:$A"),0),
MATCH(K$3,INDIRECT("'"&amp;INDEX($H:$H,MATCH(ROUNDDOWN($G80,0),$G:$G))&amp;"'!$B$1:$T$1"),0)),0)
*INDEX('Labour Rates'!F$4:F$35,MATCH(ROUNDDOWN(BREAKDOWN!G80,0),'Labour Rates'!A$4:A$35))</f>
        <v>0</v>
      </c>
      <c r="L80" s="490">
        <f t="shared" ca="1" si="104"/>
        <v>0</v>
      </c>
      <c r="M80" s="490">
        <f t="shared" ca="1" si="104"/>
        <v>0</v>
      </c>
      <c r="N80" s="490">
        <f t="shared" ca="1" si="104"/>
        <v>0</v>
      </c>
      <c r="O80" s="490">
        <f t="shared" ca="1" si="105"/>
        <v>0</v>
      </c>
      <c r="P80" s="491">
        <f t="shared" ca="1" si="106"/>
        <v>0</v>
      </c>
      <c r="Q80" s="492">
        <f t="shared" ca="1" si="107"/>
        <v>0</v>
      </c>
      <c r="R80" s="493" t="str">
        <f t="shared" ca="1" si="108"/>
        <v/>
      </c>
      <c r="S80" s="494">
        <f t="shared" ca="1" si="109"/>
        <v>0</v>
      </c>
      <c r="T80" s="499">
        <f ca="1">IF(I80=0,0,INDEX('Labour Rates'!E$4:E$35,MATCH(ROUNDDOWN(BREAKDOWN!G80,0),'Labour Rates'!A$4:A$35)))</f>
        <v>91.43</v>
      </c>
      <c r="U80" s="496">
        <f t="shared" ca="1" si="110"/>
        <v>0</v>
      </c>
      <c r="V80" s="496">
        <f t="shared" ca="1" si="111"/>
        <v>0</v>
      </c>
      <c r="W80" s="496">
        <f t="shared" ca="1" si="112"/>
        <v>0</v>
      </c>
      <c r="X80" s="496">
        <f t="shared" ca="1" si="113"/>
        <v>0</v>
      </c>
      <c r="Y80" s="497">
        <f t="shared" ca="1" si="114"/>
        <v>0</v>
      </c>
      <c r="Z80" s="497">
        <f t="shared" ca="1" si="115"/>
        <v>0</v>
      </c>
      <c r="AA80" s="497">
        <f t="shared" ca="1" si="116"/>
        <v>0</v>
      </c>
      <c r="AB80" s="497">
        <f t="shared" ca="1" si="117"/>
        <v>0</v>
      </c>
      <c r="AC80" s="498">
        <f t="shared" ca="1" si="118"/>
        <v>0</v>
      </c>
    </row>
    <row r="81" spans="1:29" s="500" customFormat="1" ht="15.75" x14ac:dyDescent="0.25">
      <c r="A81" s="504"/>
      <c r="B81" s="504"/>
      <c r="C81" s="504"/>
      <c r="D81" s="504"/>
      <c r="E81" s="504"/>
      <c r="F81" s="501"/>
      <c r="G81" s="486">
        <f t="shared" ca="1" si="119"/>
        <v>13.129999999999997</v>
      </c>
      <c r="H81" s="487" t="str">
        <f t="shared" ca="1" si="102"/>
        <v>Single Hinged Door Frame</v>
      </c>
      <c r="I81" s="488">
        <f t="shared" ca="1" si="103"/>
        <v>6</v>
      </c>
      <c r="J81" s="489" t="str">
        <f t="shared" ca="1" si="103"/>
        <v>No.</v>
      </c>
      <c r="K81" s="490">
        <f ca="1">IFERROR(
INDEX(INDIRECT("'"&amp;INDEX($H:$H,MATCH(ROUNDDOWN($G81,0),$G:$G))&amp;"'!$B:$T"),
MATCH($G81,INDIRECT("'"&amp;INDEX($H:$H,MATCH(ROUNDDOWN($G81,0),$G:$G))&amp;"'!$A:$A"),0),
MATCH(K$3,INDIRECT("'"&amp;INDEX($H:$H,MATCH(ROUNDDOWN($G81,0),$G:$G))&amp;"'!$B$1:$T$1"),0)),0)
*INDEX('Labour Rates'!F$4:F$35,MATCH(ROUNDDOWN(BREAKDOWN!G81,0),'Labour Rates'!A$4:A$35))</f>
        <v>0</v>
      </c>
      <c r="L81" s="490">
        <f t="shared" ca="1" si="104"/>
        <v>0</v>
      </c>
      <c r="M81" s="490">
        <f t="shared" ca="1" si="104"/>
        <v>0</v>
      </c>
      <c r="N81" s="490">
        <f t="shared" ca="1" si="104"/>
        <v>0</v>
      </c>
      <c r="O81" s="490">
        <f t="shared" ca="1" si="105"/>
        <v>0</v>
      </c>
      <c r="P81" s="491">
        <f t="shared" ca="1" si="106"/>
        <v>0</v>
      </c>
      <c r="Q81" s="492">
        <f t="shared" ca="1" si="107"/>
        <v>0</v>
      </c>
      <c r="R81" s="493" t="str">
        <f t="shared" ca="1" si="108"/>
        <v/>
      </c>
      <c r="S81" s="494">
        <f t="shared" ca="1" si="109"/>
        <v>0</v>
      </c>
      <c r="T81" s="499">
        <f ca="1">IF(I81=0,0,INDEX('Labour Rates'!E$4:E$35,MATCH(ROUNDDOWN(BREAKDOWN!G81,0),'Labour Rates'!A$4:A$35)))</f>
        <v>91.43</v>
      </c>
      <c r="U81" s="496">
        <f t="shared" ca="1" si="110"/>
        <v>0</v>
      </c>
      <c r="V81" s="496">
        <f t="shared" ca="1" si="111"/>
        <v>0</v>
      </c>
      <c r="W81" s="496">
        <f t="shared" ca="1" si="112"/>
        <v>0</v>
      </c>
      <c r="X81" s="496">
        <f t="shared" ca="1" si="113"/>
        <v>0</v>
      </c>
      <c r="Y81" s="497">
        <f t="shared" ca="1" si="114"/>
        <v>0</v>
      </c>
      <c r="Z81" s="497">
        <f t="shared" ca="1" si="115"/>
        <v>0</v>
      </c>
      <c r="AA81" s="497">
        <f t="shared" ca="1" si="116"/>
        <v>0</v>
      </c>
      <c r="AB81" s="497">
        <f t="shared" ca="1" si="117"/>
        <v>0</v>
      </c>
      <c r="AC81" s="498">
        <f t="shared" ca="1" si="118"/>
        <v>0</v>
      </c>
    </row>
    <row r="82" spans="1:29" s="500" customFormat="1" ht="15.75" x14ac:dyDescent="0.25">
      <c r="A82" s="504"/>
      <c r="B82" s="504"/>
      <c r="C82" s="504"/>
      <c r="D82" s="504"/>
      <c r="E82" s="504"/>
      <c r="F82" s="501"/>
      <c r="G82" s="486">
        <f t="shared" ca="1" si="119"/>
        <v>13.139999999999997</v>
      </c>
      <c r="H82" s="487" t="str">
        <f t="shared" ca="1" si="102"/>
        <v>Passage Door Latch</v>
      </c>
      <c r="I82" s="488">
        <f t="shared" ca="1" si="103"/>
        <v>3</v>
      </c>
      <c r="J82" s="489" t="str">
        <f t="shared" ca="1" si="103"/>
        <v>No.</v>
      </c>
      <c r="K82" s="490">
        <f ca="1">IFERROR(
INDEX(INDIRECT("'"&amp;INDEX($H:$H,MATCH(ROUNDDOWN($G82,0),$G:$G))&amp;"'!$B:$T"),
MATCH($G82,INDIRECT("'"&amp;INDEX($H:$H,MATCH(ROUNDDOWN($G82,0),$G:$G))&amp;"'!$A:$A"),0),
MATCH(K$3,INDIRECT("'"&amp;INDEX($H:$H,MATCH(ROUNDDOWN($G82,0),$G:$G))&amp;"'!$B$1:$T$1"),0)),0)
*INDEX('Labour Rates'!F$4:F$35,MATCH(ROUNDDOWN(BREAKDOWN!G82,0),'Labour Rates'!A$4:A$35))</f>
        <v>0</v>
      </c>
      <c r="L82" s="490">
        <f t="shared" ca="1" si="104"/>
        <v>0</v>
      </c>
      <c r="M82" s="490">
        <f t="shared" ca="1" si="104"/>
        <v>0</v>
      </c>
      <c r="N82" s="490">
        <f t="shared" ca="1" si="104"/>
        <v>0</v>
      </c>
      <c r="O82" s="490">
        <f t="shared" ca="1" si="105"/>
        <v>0</v>
      </c>
      <c r="P82" s="491">
        <f t="shared" ca="1" si="106"/>
        <v>0</v>
      </c>
      <c r="Q82" s="492">
        <f t="shared" ca="1" si="107"/>
        <v>0</v>
      </c>
      <c r="R82" s="493" t="str">
        <f t="shared" ca="1" si="108"/>
        <v/>
      </c>
      <c r="S82" s="494">
        <f t="shared" ca="1" si="109"/>
        <v>0</v>
      </c>
      <c r="T82" s="499">
        <f ca="1">IF(I82=0,0,INDEX('Labour Rates'!E$4:E$35,MATCH(ROUNDDOWN(BREAKDOWN!G82,0),'Labour Rates'!A$4:A$35)))</f>
        <v>91.43</v>
      </c>
      <c r="U82" s="496">
        <f t="shared" ca="1" si="110"/>
        <v>0</v>
      </c>
      <c r="V82" s="496">
        <f t="shared" ca="1" si="111"/>
        <v>0</v>
      </c>
      <c r="W82" s="496">
        <f t="shared" ca="1" si="112"/>
        <v>0</v>
      </c>
      <c r="X82" s="496">
        <f t="shared" ca="1" si="113"/>
        <v>0</v>
      </c>
      <c r="Y82" s="497">
        <f t="shared" ca="1" si="114"/>
        <v>0</v>
      </c>
      <c r="Z82" s="497">
        <f t="shared" ca="1" si="115"/>
        <v>0</v>
      </c>
      <c r="AA82" s="497">
        <f t="shared" ca="1" si="116"/>
        <v>0</v>
      </c>
      <c r="AB82" s="497">
        <f t="shared" ca="1" si="117"/>
        <v>0</v>
      </c>
      <c r="AC82" s="498">
        <f t="shared" ca="1" si="118"/>
        <v>0</v>
      </c>
    </row>
    <row r="83" spans="1:29" s="500" customFormat="1" ht="15.75" x14ac:dyDescent="0.25">
      <c r="A83" s="504"/>
      <c r="B83" s="504"/>
      <c r="C83" s="504"/>
      <c r="D83" s="504"/>
      <c r="E83" s="504"/>
      <c r="F83" s="501"/>
      <c r="G83" s="486">
        <f t="shared" ca="1" si="119"/>
        <v>13.149999999999997</v>
      </c>
      <c r="H83" s="487" t="str">
        <f t="shared" ca="1" si="102"/>
        <v>Privacy Door Latch</v>
      </c>
      <c r="I83" s="488">
        <f t="shared" ca="1" si="103"/>
        <v>3</v>
      </c>
      <c r="J83" s="489" t="str">
        <f t="shared" ca="1" si="103"/>
        <v>No.</v>
      </c>
      <c r="K83" s="490">
        <f ca="1">IFERROR(
INDEX(INDIRECT("'"&amp;INDEX($H:$H,MATCH(ROUNDDOWN($G83,0),$G:$G))&amp;"'!$B:$T"),
MATCH($G83,INDIRECT("'"&amp;INDEX($H:$H,MATCH(ROUNDDOWN($G83,0),$G:$G))&amp;"'!$A:$A"),0),
MATCH(K$3,INDIRECT("'"&amp;INDEX($H:$H,MATCH(ROUNDDOWN($G83,0),$G:$G))&amp;"'!$B$1:$T$1"),0)),0)
*INDEX('Labour Rates'!F$4:F$35,MATCH(ROUNDDOWN(BREAKDOWN!G83,0),'Labour Rates'!A$4:A$35))</f>
        <v>0</v>
      </c>
      <c r="L83" s="490">
        <f t="shared" ca="1" si="104"/>
        <v>0</v>
      </c>
      <c r="M83" s="490">
        <f t="shared" ca="1" si="104"/>
        <v>0</v>
      </c>
      <c r="N83" s="490">
        <f t="shared" ca="1" si="104"/>
        <v>0</v>
      </c>
      <c r="O83" s="490">
        <f t="shared" ca="1" si="105"/>
        <v>0</v>
      </c>
      <c r="P83" s="491">
        <f t="shared" ca="1" si="106"/>
        <v>0</v>
      </c>
      <c r="Q83" s="492">
        <f t="shared" ca="1" si="107"/>
        <v>0</v>
      </c>
      <c r="R83" s="493" t="str">
        <f t="shared" ca="1" si="108"/>
        <v/>
      </c>
      <c r="S83" s="494">
        <f t="shared" ca="1" si="109"/>
        <v>0</v>
      </c>
      <c r="T83" s="499">
        <f ca="1">IF(I83=0,0,INDEX('Labour Rates'!E$4:E$35,MATCH(ROUNDDOWN(BREAKDOWN!G83,0),'Labour Rates'!A$4:A$35)))</f>
        <v>91.43</v>
      </c>
      <c r="U83" s="496">
        <f t="shared" ca="1" si="110"/>
        <v>0</v>
      </c>
      <c r="V83" s="496">
        <f t="shared" ca="1" si="111"/>
        <v>0</v>
      </c>
      <c r="W83" s="496">
        <f t="shared" ca="1" si="112"/>
        <v>0</v>
      </c>
      <c r="X83" s="496">
        <f t="shared" ca="1" si="113"/>
        <v>0</v>
      </c>
      <c r="Y83" s="497">
        <f t="shared" ca="1" si="114"/>
        <v>0</v>
      </c>
      <c r="Z83" s="497">
        <f t="shared" ca="1" si="115"/>
        <v>0</v>
      </c>
      <c r="AA83" s="497">
        <f t="shared" ca="1" si="116"/>
        <v>0</v>
      </c>
      <c r="AB83" s="497">
        <f t="shared" ca="1" si="117"/>
        <v>0</v>
      </c>
      <c r="AC83" s="498">
        <f t="shared" ca="1" si="118"/>
        <v>0</v>
      </c>
    </row>
    <row r="84" spans="1:29" s="500" customFormat="1" ht="15.75" x14ac:dyDescent="0.25">
      <c r="A84" s="504"/>
      <c r="B84" s="504"/>
      <c r="C84" s="504"/>
      <c r="D84" s="504"/>
      <c r="E84" s="504"/>
      <c r="F84" s="501"/>
      <c r="G84" s="486">
        <f t="shared" ca="1" si="119"/>
        <v>13.159999999999997</v>
      </c>
      <c r="H84" s="487" t="str">
        <f t="shared" ca="1" si="102"/>
        <v>Door Stop &amp; Catch</v>
      </c>
      <c r="I84" s="488">
        <f t="shared" ca="1" si="103"/>
        <v>6</v>
      </c>
      <c r="J84" s="489" t="str">
        <f t="shared" ca="1" si="103"/>
        <v>No.</v>
      </c>
      <c r="K84" s="490">
        <f ca="1">IFERROR(
INDEX(INDIRECT("'"&amp;INDEX($H:$H,MATCH(ROUNDDOWN($G84,0),$G:$G))&amp;"'!$B:$T"),
MATCH($G84,INDIRECT("'"&amp;INDEX($H:$H,MATCH(ROUNDDOWN($G84,0),$G:$G))&amp;"'!$A:$A"),0),
MATCH(K$3,INDIRECT("'"&amp;INDEX($H:$H,MATCH(ROUNDDOWN($G84,0),$G:$G))&amp;"'!$B$1:$T$1"),0)),0)
*INDEX('Labour Rates'!F$4:F$35,MATCH(ROUNDDOWN(BREAKDOWN!G84,0),'Labour Rates'!A$4:A$35))</f>
        <v>0</v>
      </c>
      <c r="L84" s="490">
        <f t="shared" ca="1" si="104"/>
        <v>0</v>
      </c>
      <c r="M84" s="490">
        <f t="shared" ca="1" si="104"/>
        <v>0</v>
      </c>
      <c r="N84" s="490">
        <f t="shared" ca="1" si="104"/>
        <v>0</v>
      </c>
      <c r="O84" s="490">
        <f t="shared" ca="1" si="105"/>
        <v>0</v>
      </c>
      <c r="P84" s="491">
        <f t="shared" ca="1" si="106"/>
        <v>0</v>
      </c>
      <c r="Q84" s="492">
        <f t="shared" ca="1" si="107"/>
        <v>0</v>
      </c>
      <c r="R84" s="493" t="str">
        <f t="shared" ca="1" si="108"/>
        <v/>
      </c>
      <c r="S84" s="494">
        <f t="shared" ca="1" si="109"/>
        <v>0</v>
      </c>
      <c r="T84" s="499">
        <f ca="1">IF(I84=0,0,INDEX('Labour Rates'!E$4:E$35,MATCH(ROUNDDOWN(BREAKDOWN!G84,0),'Labour Rates'!A$4:A$35)))</f>
        <v>91.43</v>
      </c>
      <c r="U84" s="496">
        <f t="shared" ca="1" si="110"/>
        <v>0</v>
      </c>
      <c r="V84" s="496">
        <f t="shared" ca="1" si="111"/>
        <v>0</v>
      </c>
      <c r="W84" s="496">
        <f t="shared" ca="1" si="112"/>
        <v>0</v>
      </c>
      <c r="X84" s="496">
        <f t="shared" ca="1" si="113"/>
        <v>0</v>
      </c>
      <c r="Y84" s="497">
        <f t="shared" ca="1" si="114"/>
        <v>0</v>
      </c>
      <c r="Z84" s="497">
        <f t="shared" ca="1" si="115"/>
        <v>0</v>
      </c>
      <c r="AA84" s="497">
        <f t="shared" ca="1" si="116"/>
        <v>0</v>
      </c>
      <c r="AB84" s="497">
        <f t="shared" ca="1" si="117"/>
        <v>0</v>
      </c>
      <c r="AC84" s="498">
        <f t="shared" ca="1" si="118"/>
        <v>0</v>
      </c>
    </row>
    <row r="85" spans="1:29" s="500" customFormat="1" ht="15.75" x14ac:dyDescent="0.25">
      <c r="A85" s="504"/>
      <c r="B85" s="504"/>
      <c r="C85" s="504"/>
      <c r="D85" s="504"/>
      <c r="E85" s="504"/>
      <c r="F85" s="501"/>
      <c r="G85" s="486">
        <f t="shared" ca="1" si="119"/>
        <v>13.169999999999996</v>
      </c>
      <c r="H85" s="487" t="str">
        <f t="shared" ca="1" si="102"/>
        <v>Bathroom Accessories</v>
      </c>
      <c r="I85" s="488">
        <f t="shared" ca="1" si="103"/>
        <v>1</v>
      </c>
      <c r="J85" s="489" t="str">
        <f t="shared" ca="1" si="103"/>
        <v>item</v>
      </c>
      <c r="K85" s="490">
        <f ca="1">IFERROR(
INDEX(INDIRECT("'"&amp;INDEX($H:$H,MATCH(ROUNDDOWN($G85,0),$G:$G))&amp;"'!$B:$T"),
MATCH($G85,INDIRECT("'"&amp;INDEX($H:$H,MATCH(ROUNDDOWN($G85,0),$G:$G))&amp;"'!$A:$A"),0),
MATCH(K$3,INDIRECT("'"&amp;INDEX($H:$H,MATCH(ROUNDDOWN($G85,0),$G:$G))&amp;"'!$B$1:$T$1"),0)),0)
*INDEX('Labour Rates'!F$4:F$35,MATCH(ROUNDDOWN(BREAKDOWN!G85,0),'Labour Rates'!A$4:A$35))</f>
        <v>0</v>
      </c>
      <c r="L85" s="490">
        <f t="shared" ca="1" si="104"/>
        <v>0</v>
      </c>
      <c r="M85" s="490">
        <f t="shared" ca="1" si="104"/>
        <v>0</v>
      </c>
      <c r="N85" s="490">
        <f t="shared" ca="1" si="104"/>
        <v>0</v>
      </c>
      <c r="O85" s="490">
        <f t="shared" ca="1" si="105"/>
        <v>0</v>
      </c>
      <c r="P85" s="491">
        <f t="shared" ca="1" si="106"/>
        <v>0</v>
      </c>
      <c r="Q85" s="492">
        <f t="shared" ca="1" si="107"/>
        <v>0</v>
      </c>
      <c r="R85" s="493" t="str">
        <f t="shared" ca="1" si="108"/>
        <v/>
      </c>
      <c r="S85" s="494">
        <f t="shared" ca="1" si="109"/>
        <v>0</v>
      </c>
      <c r="T85" s="499">
        <f ca="1">IF(I85=0,0,INDEX('Labour Rates'!E$4:E$35,MATCH(ROUNDDOWN(BREAKDOWN!G85,0),'Labour Rates'!A$4:A$35)))</f>
        <v>91.43</v>
      </c>
      <c r="U85" s="496">
        <f t="shared" ca="1" si="110"/>
        <v>0</v>
      </c>
      <c r="V85" s="496">
        <f t="shared" ca="1" si="111"/>
        <v>0</v>
      </c>
      <c r="W85" s="496">
        <f t="shared" ca="1" si="112"/>
        <v>0</v>
      </c>
      <c r="X85" s="496">
        <f t="shared" ca="1" si="113"/>
        <v>0</v>
      </c>
      <c r="Y85" s="497">
        <f t="shared" ca="1" si="114"/>
        <v>0</v>
      </c>
      <c r="Z85" s="497">
        <f t="shared" ca="1" si="115"/>
        <v>0</v>
      </c>
      <c r="AA85" s="497">
        <f t="shared" ca="1" si="116"/>
        <v>0</v>
      </c>
      <c r="AB85" s="497">
        <f t="shared" ca="1" si="117"/>
        <v>0</v>
      </c>
      <c r="AC85" s="498">
        <f t="shared" ca="1" si="118"/>
        <v>0</v>
      </c>
    </row>
    <row r="86" spans="1:29" s="483" customFormat="1" ht="15.75" x14ac:dyDescent="0.25">
      <c r="A86" s="484"/>
      <c r="B86" s="484"/>
      <c r="C86" s="484"/>
      <c r="D86" s="484"/>
      <c r="E86" s="484"/>
      <c r="F86" s="485"/>
      <c r="G86" s="502">
        <f ca="1">G68+1</f>
        <v>14</v>
      </c>
      <c r="H86" s="473" t="str">
        <f ca="1">INDEX('Structural Steel'!B:B,MATCH(BREAKDOWN!G86,'Structural Steel'!A:A))</f>
        <v>STRUCTURAL STEEL</v>
      </c>
      <c r="I86" s="474"/>
      <c r="J86" s="475"/>
      <c r="K86" s="476"/>
      <c r="L86" s="476"/>
      <c r="M86" s="476"/>
      <c r="N86" s="476"/>
      <c r="O86" s="476"/>
      <c r="P86" s="476"/>
      <c r="Q86" s="477">
        <f ca="1">SUMIFS(Q:Q,$G:$G,"&gt;"&amp;$G86,$G:$G,"&lt;"&amp;($G86+1))</f>
        <v>0</v>
      </c>
      <c r="R86" s="478">
        <f ca="1">Q86
-INDEX(INDIRECT("'"&amp;H86&amp;"'!B:T"),MATCH($Q$3,INDIRECT("'"&amp;H86&amp;"'!B:B"),0),MATCH($Q$3,INDIRECT("'"&amp;H86&amp;"'!B$1:T$1"),0))
-(SUMIFS(U:U,$G:$G,"&gt;"&amp;$G86,$G:$G,"&lt;"&amp;($G86+1))-SUMIFS(U:U,$G:$G,"&gt;"&amp;$G86,$G:$G,"&lt;"&amp;($G86+1))/INDEX('Labour Rates'!F$4:F$35,MATCH(ROUNDDOWN(BREAKDOWN!G86,0),'Labour Rates'!A$4:A$35)))</f>
        <v>0</v>
      </c>
      <c r="S86" s="503"/>
      <c r="T86" s="499"/>
      <c r="U86" s="503"/>
      <c r="V86" s="503"/>
      <c r="W86" s="503"/>
      <c r="X86" s="503"/>
      <c r="Y86" s="503"/>
      <c r="Z86" s="503"/>
      <c r="AA86" s="503"/>
      <c r="AB86" s="477">
        <f ca="1">SUM(AB87:AB87)</f>
        <v>0</v>
      </c>
      <c r="AC86" s="498"/>
    </row>
    <row r="87" spans="1:29" s="500" customFormat="1" ht="31.5" x14ac:dyDescent="0.25">
      <c r="A87" s="504"/>
      <c r="B87" s="504"/>
      <c r="C87" s="504"/>
      <c r="D87" s="504"/>
      <c r="E87" s="504"/>
      <c r="F87" s="501"/>
      <c r="G87" s="486">
        <f ca="1">G86+0.01</f>
        <v>14.01</v>
      </c>
      <c r="H87" s="487" t="str">
        <f ca="1">IF($I87&lt;&gt;0,
INDEX(INDIRECT("'"&amp;INDEX($H:$H,MATCH(ROUNDDOWN($G87,0),$G:$G))&amp;"'!$B:$T"),
MATCH($G87,INDIRECT("'"&amp;INDEX($H:$H,MATCH(ROUNDDOWN($G87,0),$G:$G))&amp;"'!$A:$A"),0),
MATCH(H$3,INDIRECT("'"&amp;INDEX($H:$H,MATCH(ROUNDDOWN($G87,0),$G:$G))&amp;"'!$B$1:$T$1"),0)),0)</f>
        <v>Structural Steel Framing (No Design Available) (Provisional Sum)</v>
      </c>
      <c r="I87" s="488">
        <f ca="1">IFERROR(
INDEX(INDIRECT("'"&amp;INDEX($H:$H,MATCH(ROUNDDOWN($G87,0),$G:$G))&amp;"'!$B:$T"),
MATCH($G87,INDIRECT("'"&amp;INDEX($H:$H,MATCH(ROUNDDOWN($G87,0),$G:$G))&amp;"'!$A:$A"),0),
MATCH(I$3,INDIRECT("'"&amp;INDEX($H:$H,MATCH(ROUNDDOWN($G87,0),$G:$G))&amp;"'!$B$1:$T$1"),0)),0)</f>
        <v>1</v>
      </c>
      <c r="J87" s="489" t="str">
        <f ca="1">IFERROR(
INDEX(INDIRECT("'"&amp;INDEX($H:$H,MATCH(ROUNDDOWN($G87,0),$G:$G))&amp;"'!$B:$T"),
MATCH($G87,INDIRECT("'"&amp;INDEX($H:$H,MATCH(ROUNDDOWN($G87,0),$G:$G))&amp;"'!$A:$A"),0),
MATCH(J$3,INDIRECT("'"&amp;INDEX($H:$H,MATCH(ROUNDDOWN($G87,0),$G:$G))&amp;"'!$B$1:$T$1"),0)),0)</f>
        <v>item</v>
      </c>
      <c r="K87" s="490">
        <f ca="1">IFERROR(
INDEX(INDIRECT("'"&amp;INDEX($H:$H,MATCH(ROUNDDOWN($G87,0),$G:$G))&amp;"'!$B:$T"),
MATCH($G87,INDIRECT("'"&amp;INDEX($H:$H,MATCH(ROUNDDOWN($G87,0),$G:$G))&amp;"'!$A:$A"),0),
MATCH(K$3,INDIRECT("'"&amp;INDEX($H:$H,MATCH(ROUNDDOWN($G87,0),$G:$G))&amp;"'!$B$1:$T$1"),0)),0)
*INDEX('Labour Rates'!F$4:F$35,MATCH(ROUNDDOWN(BREAKDOWN!G87,0),'Labour Rates'!A$4:A$35))</f>
        <v>0</v>
      </c>
      <c r="L87" s="490">
        <f ca="1">IFERROR(
INDEX(INDIRECT("'"&amp;INDEX($H:$H,MATCH(ROUNDDOWN($G87,0),$G:$G))&amp;"'!$B:$T"),
MATCH($G87,INDIRECT("'"&amp;INDEX($H:$H,MATCH(ROUNDDOWN($G87,0),$G:$G))&amp;"'!$A:$A"),0),
MATCH(L$3,INDIRECT("'"&amp;INDEX($H:$H,MATCH(ROUNDDOWN($G87,0),$G:$G))&amp;"'!$B$1:$T$1"),0)),0)</f>
        <v>0</v>
      </c>
      <c r="M87" s="490">
        <f ca="1">IFERROR(
INDEX(INDIRECT("'"&amp;INDEX($H:$H,MATCH(ROUNDDOWN($G87,0),$G:$G))&amp;"'!$B:$T"),
MATCH($G87,INDIRECT("'"&amp;INDEX($H:$H,MATCH(ROUNDDOWN($G87,0),$G:$G))&amp;"'!$A:$A"),0),
MATCH(M$3,INDIRECT("'"&amp;INDEX($H:$H,MATCH(ROUNDDOWN($G87,0),$G:$G))&amp;"'!$B$1:$T$1"),0)),0)</f>
        <v>0</v>
      </c>
      <c r="N87" s="490">
        <f ca="1">IFERROR(
INDEX(INDIRECT("'"&amp;INDEX($H:$H,MATCH(ROUNDDOWN($G87,0),$G:$G))&amp;"'!$B:$T"),
MATCH($G87,INDIRECT("'"&amp;INDEX($H:$H,MATCH(ROUNDDOWN($G87,0),$G:$G))&amp;"'!$A:$A"),0),
MATCH(N$3,INDIRECT("'"&amp;INDEX($H:$H,MATCH(ROUNDDOWN($G87,0),$G:$G))&amp;"'!$B$1:$T$1"),0)),0)</f>
        <v>0</v>
      </c>
      <c r="O87" s="490">
        <f ca="1">IFERROR(
INDEX(INDIRECT("'"&amp;INDEX($H:$H,MATCH(ROUNDDOWN($G87,0),$G:$G))&amp;"'!$V:$Z"),
MATCH($G87,INDIRECT("'"&amp;INDEX($H:$H,MATCH(ROUNDDOWN($G87,0),$G:$G))&amp;"'!$A:$A"),0),
MATCH(O$3,INDIRECT("'"&amp;INDEX($H:$H,MATCH(ROUNDDOWN($G87,0),$G:$G))&amp;"'!$V$2:$Z$2"),0)),0)</f>
        <v>0</v>
      </c>
      <c r="P87" s="491">
        <f t="shared" ref="P87" ca="1" si="120">IFERROR(IF(O87="inc","inc",IF(AND(O87&gt;0,I87&gt;0),O87/I87,IF(SUM(K87:N87)&gt;0,SUM(K87:N87),0))),0)</f>
        <v>0</v>
      </c>
      <c r="Q87" s="492">
        <f t="shared" ref="Q87" ca="1" si="121">IFERROR(IF(P87="",0,I87*P87),0)</f>
        <v>0</v>
      </c>
      <c r="R87" s="493" t="str">
        <f ca="1">IFERROR(
INDEX(INDIRECT("'"&amp;INDEX($H:$H,MATCH(ROUNDDOWN($G87,0),$G:$G))&amp;"'!$W:$AA"),
MATCH($G87,INDIRECT("'"&amp;INDEX($H:$H,MATCH(ROUNDDOWN($G87,0),$G:$G))&amp;"'!$A:$A"),0),
MATCH(R$3,INDIRECT("'"&amp;INDEX($H:$H,MATCH(ROUNDDOWN($G87,0),$G:$G))&amp;"'!$W$1:$AA$1"),0)),"")</f>
        <v/>
      </c>
      <c r="S87" s="494">
        <f t="shared" ca="1" si="109"/>
        <v>0</v>
      </c>
      <c r="T87" s="499">
        <f ca="1">IF(I87=0,0,INDEX('Labour Rates'!E$4:E$35,MATCH(ROUNDDOWN(BREAKDOWN!G87,0),'Labour Rates'!A$4:A$35)))</f>
        <v>91.43</v>
      </c>
      <c r="U87" s="496">
        <f t="shared" ref="U87" ca="1" si="122">IF($Y87&gt;0, 0, IFERROR($I87*K87,0))</f>
        <v>0</v>
      </c>
      <c r="V87" s="496">
        <f t="shared" ref="V87" ca="1" si="123">IF($Y87&gt;0, 0, IFERROR($I87*L87,0))</f>
        <v>0</v>
      </c>
      <c r="W87" s="496">
        <f t="shared" ref="W87" ca="1" si="124">IF($Y87&gt;0, 0, IFERROR($I87*M87,0))</f>
        <v>0</v>
      </c>
      <c r="X87" s="496">
        <f t="shared" ref="X87" ca="1" si="125">IF($Y87&gt;0, 0, IFERROR($I87*N87,0))</f>
        <v>0</v>
      </c>
      <c r="Y87" s="497">
        <f t="shared" ref="Y87" ca="1" si="126">IF(I87&gt;0,O87,0)</f>
        <v>0</v>
      </c>
      <c r="Z87" s="497">
        <f ca="1">Q87*$I$158</f>
        <v>0</v>
      </c>
      <c r="AA87" s="497">
        <f ca="1">Q87*$I$159</f>
        <v>0</v>
      </c>
      <c r="AB87" s="497">
        <f t="shared" ref="AB87" ca="1" si="127">SUM(U87:AA87)</f>
        <v>0</v>
      </c>
      <c r="AC87" s="498">
        <f t="shared" ref="AC87" ca="1" si="128">SUM(U87:Y87)-Q87</f>
        <v>0</v>
      </c>
    </row>
    <row r="88" spans="1:29" s="483" customFormat="1" ht="15.75" x14ac:dyDescent="0.25">
      <c r="A88" s="484"/>
      <c r="B88" s="484"/>
      <c r="C88" s="484"/>
      <c r="D88" s="484"/>
      <c r="E88" s="484"/>
      <c r="F88" s="485"/>
      <c r="G88" s="502">
        <f ca="1">G86+1</f>
        <v>15</v>
      </c>
      <c r="H88" s="473" t="str">
        <f ca="1">INDEX(Metalwork!B:B,MATCH(BREAKDOWN!G88,Metalwork!A:A))</f>
        <v>METALWORK</v>
      </c>
      <c r="I88" s="474"/>
      <c r="J88" s="475"/>
      <c r="K88" s="476"/>
      <c r="L88" s="476"/>
      <c r="M88" s="476"/>
      <c r="N88" s="476"/>
      <c r="O88" s="476"/>
      <c r="P88" s="476"/>
      <c r="Q88" s="477">
        <f ca="1">SUMIFS(Q:Q,$G:$G,"&gt;"&amp;$G88,$G:$G,"&lt;"&amp;($G88+1))</f>
        <v>0</v>
      </c>
      <c r="R88" s="478">
        <f ca="1">Q88
-INDEX(INDIRECT("'"&amp;H88&amp;"'!B:T"),MATCH($Q$3,INDIRECT("'"&amp;H88&amp;"'!B:B"),0),MATCH($Q$3,INDIRECT("'"&amp;H88&amp;"'!B$1:T$1"),0))
-(SUMIFS(U:U,$G:$G,"&gt;"&amp;$G88,$G:$G,"&lt;"&amp;($G88+1))-SUMIFS(U:U,$G:$G,"&gt;"&amp;$G88,$G:$G,"&lt;"&amp;($G88+1))/INDEX('Labour Rates'!F$4:F$35,MATCH(ROUNDDOWN(BREAKDOWN!G88,0),'Labour Rates'!A$4:A$35)))</f>
        <v>0</v>
      </c>
      <c r="S88" s="503"/>
      <c r="T88" s="499"/>
      <c r="U88" s="503"/>
      <c r="V88" s="503"/>
      <c r="W88" s="503"/>
      <c r="X88" s="503"/>
      <c r="Y88" s="503"/>
      <c r="Z88" s="503"/>
      <c r="AA88" s="503"/>
      <c r="AB88" s="477">
        <f ca="1">SUM(AB89:AB90)</f>
        <v>0</v>
      </c>
      <c r="AC88" s="498"/>
    </row>
    <row r="89" spans="1:29" s="500" customFormat="1" ht="15.75" x14ac:dyDescent="0.25">
      <c r="A89" s="504"/>
      <c r="B89" s="504"/>
      <c r="C89" s="504"/>
      <c r="D89" s="504"/>
      <c r="E89" s="504"/>
      <c r="F89" s="501"/>
      <c r="G89" s="486">
        <f ca="1">G88+0.01</f>
        <v>15.01</v>
      </c>
      <c r="H89" s="487" t="str">
        <f ca="1">IF($I89&lt;&gt;0,
INDEX(INDIRECT("'"&amp;INDEX($H:$H,MATCH(ROUNDDOWN($G89,0),$G:$G))&amp;"'!$B:$T"),
MATCH($G89,INDIRECT("'"&amp;INDEX($H:$H,MATCH(ROUNDDOWN($G89,0),$G:$G))&amp;"'!$A:$A"),0),
MATCH(H$3,INDIRECT("'"&amp;INDEX($H:$H,MATCH(ROUNDDOWN($G89,0),$G:$G))&amp;"'!$B$1:$T$1"),0)),0)</f>
        <v>Balustrade</v>
      </c>
      <c r="I89" s="488">
        <f ca="1">IFERROR(
INDEX(INDIRECT("'"&amp;INDEX($H:$H,MATCH(ROUNDDOWN($G89,0),$G:$G))&amp;"'!$B:$T"),
MATCH($G89,INDIRECT("'"&amp;INDEX($H:$H,MATCH(ROUNDDOWN($G89,0),$G:$G))&amp;"'!$A:$A"),0),
MATCH(I$3,INDIRECT("'"&amp;INDEX($H:$H,MATCH(ROUNDDOWN($G89,0),$G:$G))&amp;"'!$B$1:$T$1"),0)),0)</f>
        <v>3.2600000000000016</v>
      </c>
      <c r="J89" s="489" t="str">
        <f ca="1">IFERROR(
INDEX(INDIRECT("'"&amp;INDEX($H:$H,MATCH(ROUNDDOWN($G89,0),$G:$G))&amp;"'!$B:$T"),
MATCH($G89,INDIRECT("'"&amp;INDEX($H:$H,MATCH(ROUNDDOWN($G89,0),$G:$G))&amp;"'!$A:$A"),0),
MATCH(J$3,INDIRECT("'"&amp;INDEX($H:$H,MATCH(ROUNDDOWN($G89,0),$G:$G))&amp;"'!$B$1:$T$1"),0)),0)</f>
        <v>Lm</v>
      </c>
      <c r="K89" s="490">
        <f ca="1">IFERROR(
INDEX(INDIRECT("'"&amp;INDEX($H:$H,MATCH(ROUNDDOWN($G89,0),$G:$G))&amp;"'!$B:$T"),
MATCH($G89,INDIRECT("'"&amp;INDEX($H:$H,MATCH(ROUNDDOWN($G89,0),$G:$G))&amp;"'!$A:$A"),0),
MATCH(K$3,INDIRECT("'"&amp;INDEX($H:$H,MATCH(ROUNDDOWN($G89,0),$G:$G))&amp;"'!$B$1:$T$1"),0)),0)
*INDEX('Labour Rates'!F$4:F$35,MATCH(ROUNDDOWN(BREAKDOWN!G89,0),'Labour Rates'!A$4:A$35))</f>
        <v>0</v>
      </c>
      <c r="L89" s="490">
        <f t="shared" ref="L89:N90" ca="1" si="129">IFERROR(
INDEX(INDIRECT("'"&amp;INDEX($H:$H,MATCH(ROUNDDOWN($G89,0),$G:$G))&amp;"'!$B:$T"),
MATCH($G89,INDIRECT("'"&amp;INDEX($H:$H,MATCH(ROUNDDOWN($G89,0),$G:$G))&amp;"'!$A:$A"),0),
MATCH(L$3,INDIRECT("'"&amp;INDEX($H:$H,MATCH(ROUNDDOWN($G89,0),$G:$G))&amp;"'!$B$1:$T$1"),0)),0)</f>
        <v>0</v>
      </c>
      <c r="M89" s="490">
        <f t="shared" ca="1" si="129"/>
        <v>0</v>
      </c>
      <c r="N89" s="490">
        <f t="shared" ca="1" si="129"/>
        <v>0</v>
      </c>
      <c r="O89" s="490">
        <f ca="1">IFERROR(
INDEX(INDIRECT("'"&amp;INDEX($H:$H,MATCH(ROUNDDOWN($G89,0),$G:$G))&amp;"'!$V:$Z"),
MATCH($G89,INDIRECT("'"&amp;INDEX($H:$H,MATCH(ROUNDDOWN($G89,0),$G:$G))&amp;"'!$A:$A"),0),
MATCH(O$3,INDIRECT("'"&amp;INDEX($H:$H,MATCH(ROUNDDOWN($G89,0),$G:$G))&amp;"'!$V$2:$Z$2"),0)),0)</f>
        <v>0</v>
      </c>
      <c r="P89" s="491">
        <f t="shared" ref="P89:P90" ca="1" si="130">IFERROR(IF(O89="inc","inc",IF(AND(O89&gt;0,I89&gt;0),O89/I89,IF(SUM(K89:N89)&gt;0,SUM(K89:N89),0))),0)</f>
        <v>0</v>
      </c>
      <c r="Q89" s="492">
        <f t="shared" ref="Q89:Q90" ca="1" si="131">IFERROR(IF(P89="",0,I89*P89),0)</f>
        <v>0</v>
      </c>
      <c r="R89" s="493" t="str">
        <f ca="1">IFERROR(
INDEX(INDIRECT("'"&amp;INDEX($H:$H,MATCH(ROUNDDOWN($G89,0),$G:$G))&amp;"'!$W:$AA"),
MATCH($G89,INDIRECT("'"&amp;INDEX($H:$H,MATCH(ROUNDDOWN($G89,0),$G:$G))&amp;"'!$A:$A"),0),
MATCH(R$3,INDIRECT("'"&amp;INDEX($H:$H,MATCH(ROUNDDOWN($G89,0),$G:$G))&amp;"'!$W$1:$AA$1"),0)),"")</f>
        <v/>
      </c>
      <c r="S89" s="494">
        <f t="shared" ca="1" si="109"/>
        <v>0</v>
      </c>
      <c r="T89" s="499">
        <f ca="1">IF(I89=0,0,INDEX('Labour Rates'!E$4:E$35,MATCH(ROUNDDOWN(BREAKDOWN!G89,0),'Labour Rates'!A$4:A$35)))</f>
        <v>80.84</v>
      </c>
      <c r="U89" s="496">
        <f t="shared" ref="U89:U90" ca="1" si="132">IF($Y89&gt;0, 0, IFERROR($I89*K89,0))</f>
        <v>0</v>
      </c>
      <c r="V89" s="496">
        <f t="shared" ref="V89:V90" ca="1" si="133">IF($Y89&gt;0, 0, IFERROR($I89*L89,0))</f>
        <v>0</v>
      </c>
      <c r="W89" s="496">
        <f t="shared" ref="W89:W90" ca="1" si="134">IF($Y89&gt;0, 0, IFERROR($I89*M89,0))</f>
        <v>0</v>
      </c>
      <c r="X89" s="496">
        <f t="shared" ref="X89:X90" ca="1" si="135">IF($Y89&gt;0, 0, IFERROR($I89*N89,0))</f>
        <v>0</v>
      </c>
      <c r="Y89" s="497">
        <f t="shared" ref="Y89:Y90" ca="1" si="136">IF(I89&gt;0,O89,0)</f>
        <v>0</v>
      </c>
      <c r="Z89" s="497">
        <f ca="1">Q89*$I$158</f>
        <v>0</v>
      </c>
      <c r="AA89" s="497">
        <f ca="1">Q89*$I$159</f>
        <v>0</v>
      </c>
      <c r="AB89" s="497">
        <f t="shared" ref="AB89:AB90" ca="1" si="137">SUM(U89:AA89)</f>
        <v>0</v>
      </c>
      <c r="AC89" s="498">
        <f t="shared" ref="AC89:AC90" ca="1" si="138">SUM(U89:Y89)-Q89</f>
        <v>0</v>
      </c>
    </row>
    <row r="90" spans="1:29" s="500" customFormat="1" ht="15.75" x14ac:dyDescent="0.25">
      <c r="A90" s="504"/>
      <c r="B90" s="504"/>
      <c r="C90" s="504"/>
      <c r="D90" s="504"/>
      <c r="E90" s="504"/>
      <c r="F90" s="501"/>
      <c r="G90" s="486">
        <f t="shared" ref="G90" ca="1" si="139">G89+0.01</f>
        <v>15.02</v>
      </c>
      <c r="H90" s="487" t="str">
        <f ca="1">IF($I90&lt;&gt;0,
INDEX(INDIRECT("'"&amp;INDEX($H:$H,MATCH(ROUNDDOWN($G90,0),$G:$G))&amp;"'!$B:$T"),
MATCH($G90,INDIRECT("'"&amp;INDEX($H:$H,MATCH(ROUNDDOWN($G90,0),$G:$G))&amp;"'!$A:$A"),0),
MATCH(H$3,INDIRECT("'"&amp;INDEX($H:$H,MATCH(ROUNDDOWN($G90,0),$G:$G))&amp;"'!$B$1:$T$1"),0)),0)</f>
        <v>Relocate Existing Rail</v>
      </c>
      <c r="I90" s="488">
        <f ca="1">IFERROR(
INDEX(INDIRECT("'"&amp;INDEX($H:$H,MATCH(ROUNDDOWN($G90,0),$G:$G))&amp;"'!$B:$T"),
MATCH($G90,INDIRECT("'"&amp;INDEX($H:$H,MATCH(ROUNDDOWN($G90,0),$G:$G))&amp;"'!$A:$A"),0),
MATCH(I$3,INDIRECT("'"&amp;INDEX($H:$H,MATCH(ROUNDDOWN($G90,0),$G:$G))&amp;"'!$B$1:$T$1"),0)),0)</f>
        <v>21.815999999999999</v>
      </c>
      <c r="J90" s="489" t="str">
        <f ca="1">IFERROR(
INDEX(INDIRECT("'"&amp;INDEX($H:$H,MATCH(ROUNDDOWN($G90,0),$G:$G))&amp;"'!$B:$T"),
MATCH($G90,INDIRECT("'"&amp;INDEX($H:$H,MATCH(ROUNDDOWN($G90,0),$G:$G))&amp;"'!$A:$A"),0),
MATCH(J$3,INDIRECT("'"&amp;INDEX($H:$H,MATCH(ROUNDDOWN($G90,0),$G:$G))&amp;"'!$B$1:$T$1"),0)),0)</f>
        <v>Lm</v>
      </c>
      <c r="K90" s="490">
        <f ca="1">IFERROR(
INDEX(INDIRECT("'"&amp;INDEX($H:$H,MATCH(ROUNDDOWN($G90,0),$G:$G))&amp;"'!$B:$T"),
MATCH($G90,INDIRECT("'"&amp;INDEX($H:$H,MATCH(ROUNDDOWN($G90,0),$G:$G))&amp;"'!$A:$A"),0),
MATCH(K$3,INDIRECT("'"&amp;INDEX($H:$H,MATCH(ROUNDDOWN($G90,0),$G:$G))&amp;"'!$B$1:$T$1"),0)),0)
*INDEX('Labour Rates'!F$4:F$35,MATCH(ROUNDDOWN(BREAKDOWN!G90,0),'Labour Rates'!A$4:A$35))</f>
        <v>0</v>
      </c>
      <c r="L90" s="490">
        <f t="shared" ca="1" si="129"/>
        <v>0</v>
      </c>
      <c r="M90" s="490">
        <f t="shared" ca="1" si="129"/>
        <v>0</v>
      </c>
      <c r="N90" s="490">
        <f t="shared" ca="1" si="129"/>
        <v>0</v>
      </c>
      <c r="O90" s="490">
        <f ca="1">IFERROR(
INDEX(INDIRECT("'"&amp;INDEX($H:$H,MATCH(ROUNDDOWN($G90,0),$G:$G))&amp;"'!$V:$Z"),
MATCH($G90,INDIRECT("'"&amp;INDEX($H:$H,MATCH(ROUNDDOWN($G90,0),$G:$G))&amp;"'!$A:$A"),0),
MATCH(O$3,INDIRECT("'"&amp;INDEX($H:$H,MATCH(ROUNDDOWN($G90,0),$G:$G))&amp;"'!$V$2:$Z$2"),0)),0)</f>
        <v>0</v>
      </c>
      <c r="P90" s="491">
        <f t="shared" ca="1" si="130"/>
        <v>0</v>
      </c>
      <c r="Q90" s="492">
        <f t="shared" ca="1" si="131"/>
        <v>0</v>
      </c>
      <c r="R90" s="493" t="str">
        <f ca="1">IFERROR(
INDEX(INDIRECT("'"&amp;INDEX($H:$H,MATCH(ROUNDDOWN($G90,0),$G:$G))&amp;"'!$W:$AA"),
MATCH($G90,INDIRECT("'"&amp;INDEX($H:$H,MATCH(ROUNDDOWN($G90,0),$G:$G))&amp;"'!$A:$A"),0),
MATCH(R$3,INDIRECT("'"&amp;INDEX($H:$H,MATCH(ROUNDDOWN($G90,0),$G:$G))&amp;"'!$W$1:$AA$1"),0)),"")</f>
        <v/>
      </c>
      <c r="S90" s="494">
        <f t="shared" ca="1" si="109"/>
        <v>0</v>
      </c>
      <c r="T90" s="499">
        <f ca="1">IF(I90=0,0,INDEX('Labour Rates'!E$4:E$35,MATCH(ROUNDDOWN(BREAKDOWN!G90,0),'Labour Rates'!A$4:A$35)))</f>
        <v>80.84</v>
      </c>
      <c r="U90" s="496">
        <f t="shared" ca="1" si="132"/>
        <v>0</v>
      </c>
      <c r="V90" s="496">
        <f t="shared" ca="1" si="133"/>
        <v>0</v>
      </c>
      <c r="W90" s="496">
        <f t="shared" ca="1" si="134"/>
        <v>0</v>
      </c>
      <c r="X90" s="496">
        <f t="shared" ca="1" si="135"/>
        <v>0</v>
      </c>
      <c r="Y90" s="497">
        <f t="shared" ca="1" si="136"/>
        <v>0</v>
      </c>
      <c r="Z90" s="497">
        <f ca="1">Q90*$I$158</f>
        <v>0</v>
      </c>
      <c r="AA90" s="497">
        <f ca="1">Q90*$I$159</f>
        <v>0</v>
      </c>
      <c r="AB90" s="497">
        <f t="shared" ca="1" si="137"/>
        <v>0</v>
      </c>
      <c r="AC90" s="498">
        <f t="shared" ca="1" si="138"/>
        <v>0</v>
      </c>
    </row>
    <row r="91" spans="1:29" s="483" customFormat="1" ht="15.75" x14ac:dyDescent="0.25">
      <c r="A91" s="484"/>
      <c r="B91" s="484"/>
      <c r="C91" s="484"/>
      <c r="D91" s="484"/>
      <c r="E91" s="484"/>
      <c r="F91" s="485"/>
      <c r="G91" s="502">
        <f ca="1">G88+1</f>
        <v>16</v>
      </c>
      <c r="H91" s="473" t="str">
        <f ca="1">INDEX(Plumbing!B:B,MATCH(BREAKDOWN!G91,Plumbing!A:A))</f>
        <v>PLUMBING</v>
      </c>
      <c r="I91" s="474"/>
      <c r="J91" s="475"/>
      <c r="K91" s="476"/>
      <c r="L91" s="476"/>
      <c r="M91" s="476"/>
      <c r="N91" s="476"/>
      <c r="O91" s="476"/>
      <c r="P91" s="476"/>
      <c r="Q91" s="477">
        <f ca="1">SUMIFS(Q:Q,$G:$G,"&gt;"&amp;$G91,$G:$G,"&lt;"&amp;($G91+1))</f>
        <v>0</v>
      </c>
      <c r="R91" s="478">
        <f ca="1">Q91
-INDEX(INDIRECT("'"&amp;H91&amp;"'!B:T"),MATCH($Q$3,INDIRECT("'"&amp;H91&amp;"'!B:B"),0),MATCH($Q$3,INDIRECT("'"&amp;H91&amp;"'!B$1:T$1"),0))
-(SUMIFS(U:U,$G:$G,"&gt;"&amp;$G91,$G:$G,"&lt;"&amp;($G91+1))-SUMIFS(U:U,$G:$G,"&gt;"&amp;$G91,$G:$G,"&lt;"&amp;($G91+1))/INDEX('Labour Rates'!F$4:F$35,MATCH(ROUNDDOWN(BREAKDOWN!G91,0),'Labour Rates'!A$4:A$35)))</f>
        <v>0</v>
      </c>
      <c r="S91" s="503"/>
      <c r="T91" s="499"/>
      <c r="U91" s="503"/>
      <c r="V91" s="503"/>
      <c r="W91" s="503"/>
      <c r="X91" s="503"/>
      <c r="Y91" s="503"/>
      <c r="Z91" s="503"/>
      <c r="AA91" s="503"/>
      <c r="AB91" s="477">
        <f ca="1">SUM(AB92:AB93)</f>
        <v>0</v>
      </c>
      <c r="AC91" s="498"/>
    </row>
    <row r="92" spans="1:29" s="500" customFormat="1" ht="15.75" x14ac:dyDescent="0.25">
      <c r="A92" s="504"/>
      <c r="B92" s="504"/>
      <c r="C92" s="504"/>
      <c r="D92" s="504"/>
      <c r="E92" s="504"/>
      <c r="F92" s="501"/>
      <c r="G92" s="486">
        <f ca="1">G91+0.01</f>
        <v>16.010000000000002</v>
      </c>
      <c r="H92" s="487" t="str">
        <f ca="1">IF($I92&lt;&gt;0,
INDEX(INDIRECT("'"&amp;INDEX($H:$H,MATCH(ROUNDDOWN($G92,0),$G:$G))&amp;"'!$B:$T"),
MATCH($G92,INDIRECT("'"&amp;INDEX($H:$H,MATCH(ROUNDDOWN($G92,0),$G:$G))&amp;"'!$A:$A"),0),
MATCH(H$3,INDIRECT("'"&amp;INDEX($H:$H,MATCH(ROUNDDOWN($G92,0),$G:$G))&amp;"'!$B$1:$T$1"),0)),0)</f>
        <v>Plumbing &amp; Drainage (Provisional Sum)</v>
      </c>
      <c r="I92" s="488">
        <f ca="1">IFERROR(
INDEX(INDIRECT("'"&amp;INDEX($H:$H,MATCH(ROUNDDOWN($G92,0),$G:$G))&amp;"'!$B:$T"),
MATCH($G92,INDIRECT("'"&amp;INDEX($H:$H,MATCH(ROUNDDOWN($G92,0),$G:$G))&amp;"'!$A:$A"),0),
MATCH(I$3,INDIRECT("'"&amp;INDEX($H:$H,MATCH(ROUNDDOWN($G92,0),$G:$G))&amp;"'!$B$1:$T$1"),0)),0)</f>
        <v>1</v>
      </c>
      <c r="J92" s="489" t="str">
        <f ca="1">IFERROR(
INDEX(INDIRECT("'"&amp;INDEX($H:$H,MATCH(ROUNDDOWN($G92,0),$G:$G))&amp;"'!$B:$T"),
MATCH($G92,INDIRECT("'"&amp;INDEX($H:$H,MATCH(ROUNDDOWN($G92,0),$G:$G))&amp;"'!$A:$A"),0),
MATCH(J$3,INDIRECT("'"&amp;INDEX($H:$H,MATCH(ROUNDDOWN($G92,0),$G:$G))&amp;"'!$B$1:$T$1"),0)),0)</f>
        <v>item</v>
      </c>
      <c r="K92" s="490">
        <f ca="1">IFERROR(
INDEX(INDIRECT("'"&amp;INDEX($H:$H,MATCH(ROUNDDOWN($G92,0),$G:$G))&amp;"'!$B:$T"),
MATCH($G92,INDIRECT("'"&amp;INDEX($H:$H,MATCH(ROUNDDOWN($G92,0),$G:$G))&amp;"'!$A:$A"),0),
MATCH(K$3,INDIRECT("'"&amp;INDEX($H:$H,MATCH(ROUNDDOWN($G92,0),$G:$G))&amp;"'!$B$1:$T$1"),0)),0)
*INDEX('Labour Rates'!F$4:F$35,MATCH(ROUNDDOWN(BREAKDOWN!G92,0),'Labour Rates'!A$4:A$35))</f>
        <v>0</v>
      </c>
      <c r="L92" s="490">
        <f t="shared" ref="L92:N93" ca="1" si="140">IFERROR(
INDEX(INDIRECT("'"&amp;INDEX($H:$H,MATCH(ROUNDDOWN($G92,0),$G:$G))&amp;"'!$B:$T"),
MATCH($G92,INDIRECT("'"&amp;INDEX($H:$H,MATCH(ROUNDDOWN($G92,0),$G:$G))&amp;"'!$A:$A"),0),
MATCH(L$3,INDIRECT("'"&amp;INDEX($H:$H,MATCH(ROUNDDOWN($G92,0),$G:$G))&amp;"'!$B$1:$T$1"),0)),0)</f>
        <v>0</v>
      </c>
      <c r="M92" s="490">
        <f t="shared" ca="1" si="140"/>
        <v>0</v>
      </c>
      <c r="N92" s="490">
        <f t="shared" ca="1" si="140"/>
        <v>0</v>
      </c>
      <c r="O92" s="490">
        <f ca="1">IFERROR(
INDEX(INDIRECT("'"&amp;INDEX($H:$H,MATCH(ROUNDDOWN($G92,0),$G:$G))&amp;"'!$V:$Z"),
MATCH($G92,INDIRECT("'"&amp;INDEX($H:$H,MATCH(ROUNDDOWN($G92,0),$G:$G))&amp;"'!$A:$A"),0),
MATCH(O$3,INDIRECT("'"&amp;INDEX($H:$H,MATCH(ROUNDDOWN($G92,0),$G:$G))&amp;"'!$V$2:$Z$2"),0)),0)</f>
        <v>0</v>
      </c>
      <c r="P92" s="491">
        <f t="shared" ref="P92:P93" ca="1" si="141">IFERROR(IF(O92="inc","inc",IF(AND(O92&gt;0,I92&gt;0),O92/I92,IF(SUM(K92:N92)&gt;0,SUM(K92:N92),0))),0)</f>
        <v>0</v>
      </c>
      <c r="Q92" s="492">
        <f t="shared" ref="Q92:Q93" ca="1" si="142">IFERROR(IF(P92="",0,I92*P92),0)</f>
        <v>0</v>
      </c>
      <c r="R92" s="493" t="str">
        <f ca="1">IFERROR(
INDEX(INDIRECT("'"&amp;INDEX($H:$H,MATCH(ROUNDDOWN($G92,0),$G:$G))&amp;"'!$W:$AA"),
MATCH($G92,INDIRECT("'"&amp;INDEX($H:$H,MATCH(ROUNDDOWN($G92,0),$G:$G))&amp;"'!$A:$A"),0),
MATCH(R$3,INDIRECT("'"&amp;INDEX($H:$H,MATCH(ROUNDDOWN($G92,0),$G:$G))&amp;"'!$W$1:$AA$1"),0)),"")</f>
        <v/>
      </c>
      <c r="S92" s="494">
        <f t="shared" ref="S92:S110" ca="1" si="143">IFERROR(U92/T92,"")</f>
        <v>0</v>
      </c>
      <c r="T92" s="499">
        <f ca="1">IF(I92=0,0,INDEX('Labour Rates'!E$4:E$35,MATCH(ROUNDDOWN(BREAKDOWN!G92,0),'Labour Rates'!A$4:A$35)))</f>
        <v>100.05</v>
      </c>
      <c r="U92" s="496">
        <f t="shared" ref="U92:U93" ca="1" si="144">IF($Y92&gt;0, 0, IFERROR($I92*K92,0))</f>
        <v>0</v>
      </c>
      <c r="V92" s="496">
        <f t="shared" ref="V92:V93" ca="1" si="145">IF($Y92&gt;0, 0, IFERROR($I92*L92,0))</f>
        <v>0</v>
      </c>
      <c r="W92" s="496">
        <f t="shared" ref="W92:W93" ca="1" si="146">IF($Y92&gt;0, 0, IFERROR($I92*M92,0))</f>
        <v>0</v>
      </c>
      <c r="X92" s="496">
        <f t="shared" ref="X92:X93" ca="1" si="147">IF($Y92&gt;0, 0, IFERROR($I92*N92,0))</f>
        <v>0</v>
      </c>
      <c r="Y92" s="497">
        <f t="shared" ref="Y92:Y93" ca="1" si="148">IF(I92&gt;0,O92,0)</f>
        <v>0</v>
      </c>
      <c r="Z92" s="497">
        <f ca="1">Q92*$I$158</f>
        <v>0</v>
      </c>
      <c r="AA92" s="497">
        <f ca="1">Q92*$I$159</f>
        <v>0</v>
      </c>
      <c r="AB92" s="497">
        <f t="shared" ref="AB92:AB93" ca="1" si="149">SUM(U92:AA92)</f>
        <v>0</v>
      </c>
      <c r="AC92" s="498">
        <f t="shared" ref="AC92:AC93" ca="1" si="150">SUM(U92:Y92)-Q92</f>
        <v>0</v>
      </c>
    </row>
    <row r="93" spans="1:29" s="500" customFormat="1" ht="15.75" x14ac:dyDescent="0.25">
      <c r="A93" s="504"/>
      <c r="B93" s="504"/>
      <c r="C93" s="504"/>
      <c r="D93" s="504"/>
      <c r="E93" s="504"/>
      <c r="F93" s="501"/>
      <c r="G93" s="486">
        <f t="shared" ref="G93" ca="1" si="151">G92+0.01</f>
        <v>16.020000000000003</v>
      </c>
      <c r="H93" s="487" t="str">
        <f ca="1">IF($I93&lt;&gt;0,
INDEX(INDIRECT("'"&amp;INDEX($H:$H,MATCH(ROUNDDOWN($G93,0),$G:$G))&amp;"'!$B:$T"),
MATCH($G93,INDIRECT("'"&amp;INDEX($H:$H,MATCH(ROUNDDOWN($G93,0),$G:$G))&amp;"'!$A:$A"),0),
MATCH(H$3,INDIRECT("'"&amp;INDEX($H:$H,MATCH(ROUNDDOWN($G93,0),$G:$G))&amp;"'!$B$1:$T$1"),0)),0)</f>
        <v>Demolition of Existing Plumbing Services (Provisional Sum)</v>
      </c>
      <c r="I93" s="488">
        <f ca="1">IFERROR(
INDEX(INDIRECT("'"&amp;INDEX($H:$H,MATCH(ROUNDDOWN($G93,0),$G:$G))&amp;"'!$B:$T"),
MATCH($G93,INDIRECT("'"&amp;INDEX($H:$H,MATCH(ROUNDDOWN($G93,0),$G:$G))&amp;"'!$A:$A"),0),
MATCH(I$3,INDIRECT("'"&amp;INDEX($H:$H,MATCH(ROUNDDOWN($G93,0),$G:$G))&amp;"'!$B$1:$T$1"),0)),0)</f>
        <v>1</v>
      </c>
      <c r="J93" s="489" t="str">
        <f ca="1">IFERROR(
INDEX(INDIRECT("'"&amp;INDEX($H:$H,MATCH(ROUNDDOWN($G93,0),$G:$G))&amp;"'!$B:$T"),
MATCH($G93,INDIRECT("'"&amp;INDEX($H:$H,MATCH(ROUNDDOWN($G93,0),$G:$G))&amp;"'!$A:$A"),0),
MATCH(J$3,INDIRECT("'"&amp;INDEX($H:$H,MATCH(ROUNDDOWN($G93,0),$G:$G))&amp;"'!$B$1:$T$1"),0)),0)</f>
        <v>No.</v>
      </c>
      <c r="K93" s="490">
        <f ca="1">IFERROR(
INDEX(INDIRECT("'"&amp;INDEX($H:$H,MATCH(ROUNDDOWN($G93,0),$G:$G))&amp;"'!$B:$T"),
MATCH($G93,INDIRECT("'"&amp;INDEX($H:$H,MATCH(ROUNDDOWN($G93,0),$G:$G))&amp;"'!$A:$A"),0),
MATCH(K$3,INDIRECT("'"&amp;INDEX($H:$H,MATCH(ROUNDDOWN($G93,0),$G:$G))&amp;"'!$B$1:$T$1"),0)),0)
*INDEX('Labour Rates'!F$4:F$35,MATCH(ROUNDDOWN(BREAKDOWN!G93,0),'Labour Rates'!A$4:A$35))</f>
        <v>0</v>
      </c>
      <c r="L93" s="490">
        <f t="shared" ca="1" si="140"/>
        <v>0</v>
      </c>
      <c r="M93" s="490">
        <f t="shared" ca="1" si="140"/>
        <v>0</v>
      </c>
      <c r="N93" s="490">
        <f t="shared" ca="1" si="140"/>
        <v>0</v>
      </c>
      <c r="O93" s="490">
        <f ca="1">IFERROR(
INDEX(INDIRECT("'"&amp;INDEX($H:$H,MATCH(ROUNDDOWN($G93,0),$G:$G))&amp;"'!$V:$Z"),
MATCH($G93,INDIRECT("'"&amp;INDEX($H:$H,MATCH(ROUNDDOWN($G93,0),$G:$G))&amp;"'!$A:$A"),0),
MATCH(O$3,INDIRECT("'"&amp;INDEX($H:$H,MATCH(ROUNDDOWN($G93,0),$G:$G))&amp;"'!$V$2:$Z$2"),0)),0)</f>
        <v>0</v>
      </c>
      <c r="P93" s="491">
        <f t="shared" ca="1" si="141"/>
        <v>0</v>
      </c>
      <c r="Q93" s="492">
        <f t="shared" ca="1" si="142"/>
        <v>0</v>
      </c>
      <c r="R93" s="493" t="str">
        <f ca="1">IFERROR(
INDEX(INDIRECT("'"&amp;INDEX($H:$H,MATCH(ROUNDDOWN($G93,0),$G:$G))&amp;"'!$W:$AA"),
MATCH($G93,INDIRECT("'"&amp;INDEX($H:$H,MATCH(ROUNDDOWN($G93,0),$G:$G))&amp;"'!$A:$A"),0),
MATCH(R$3,INDIRECT("'"&amp;INDEX($H:$H,MATCH(ROUNDDOWN($G93,0),$G:$G))&amp;"'!$W$1:$AA$1"),0)),"")</f>
        <v/>
      </c>
      <c r="S93" s="494">
        <f t="shared" ca="1" si="143"/>
        <v>0</v>
      </c>
      <c r="T93" s="499">
        <f ca="1">IF(I93=0,0,INDEX('Labour Rates'!E$4:E$35,MATCH(ROUNDDOWN(BREAKDOWN!G93,0),'Labour Rates'!A$4:A$35)))</f>
        <v>100.05</v>
      </c>
      <c r="U93" s="496">
        <f t="shared" ca="1" si="144"/>
        <v>0</v>
      </c>
      <c r="V93" s="496">
        <f t="shared" ca="1" si="145"/>
        <v>0</v>
      </c>
      <c r="W93" s="496">
        <f t="shared" ca="1" si="146"/>
        <v>0</v>
      </c>
      <c r="X93" s="496">
        <f t="shared" ca="1" si="147"/>
        <v>0</v>
      </c>
      <c r="Y93" s="497">
        <f t="shared" ca="1" si="148"/>
        <v>0</v>
      </c>
      <c r="Z93" s="497">
        <f ca="1">Q93*$I$158</f>
        <v>0</v>
      </c>
      <c r="AA93" s="497">
        <f ca="1">Q93*$I$159</f>
        <v>0</v>
      </c>
      <c r="AB93" s="497">
        <f t="shared" ca="1" si="149"/>
        <v>0</v>
      </c>
      <c r="AC93" s="498">
        <f t="shared" ca="1" si="150"/>
        <v>0</v>
      </c>
    </row>
    <row r="94" spans="1:29" s="483" customFormat="1" ht="15.75" x14ac:dyDescent="0.25">
      <c r="A94" s="484"/>
      <c r="B94" s="484"/>
      <c r="C94" s="484"/>
      <c r="D94" s="484"/>
      <c r="E94" s="484"/>
      <c r="F94" s="485"/>
      <c r="G94" s="502">
        <f ca="1">G91+1</f>
        <v>17</v>
      </c>
      <c r="H94" s="473" t="str">
        <f ca="1">INDEX('Plumbing PC Item'!B:B,MATCH(BREAKDOWN!G94,'Plumbing PC Item'!A:A))</f>
        <v>PLUMBING PC ITEM</v>
      </c>
      <c r="I94" s="474"/>
      <c r="J94" s="475"/>
      <c r="K94" s="476"/>
      <c r="L94" s="476"/>
      <c r="M94" s="476"/>
      <c r="N94" s="476"/>
      <c r="O94" s="476"/>
      <c r="P94" s="476"/>
      <c r="Q94" s="477">
        <f ca="1">SUMIFS(Q:Q,$G:$G,"&gt;"&amp;$G94,$G:$G,"&lt;"&amp;($G94+1))</f>
        <v>0</v>
      </c>
      <c r="R94" s="478">
        <f ca="1">Q94
-INDEX(INDIRECT("'"&amp;H94&amp;"'!B:T"),MATCH($Q$3,INDIRECT("'"&amp;H94&amp;"'!B:B"),0),MATCH($Q$3,INDIRECT("'"&amp;H94&amp;"'!B$1:T$1"),0))
-(SUMIFS(U:U,$G:$G,"&gt;"&amp;$G94,$G:$G,"&lt;"&amp;($G94+1))-SUMIFS(U:U,$G:$G,"&gt;"&amp;$G94,$G:$G,"&lt;"&amp;($G94+1))/INDEX('Labour Rates'!F$4:F$35,MATCH(ROUNDDOWN(BREAKDOWN!G94,0),'Labour Rates'!A$4:A$35)))</f>
        <v>0</v>
      </c>
      <c r="S94" s="503"/>
      <c r="T94" s="499"/>
      <c r="U94" s="503"/>
      <c r="V94" s="503"/>
      <c r="W94" s="503"/>
      <c r="X94" s="503"/>
      <c r="Y94" s="503"/>
      <c r="Z94" s="503"/>
      <c r="AA94" s="503"/>
      <c r="AB94" s="477">
        <f ca="1">SUM(AB95:AB95)</f>
        <v>0</v>
      </c>
      <c r="AC94" s="498"/>
    </row>
    <row r="95" spans="1:29" s="500" customFormat="1" ht="15.75" x14ac:dyDescent="0.25">
      <c r="A95" s="504"/>
      <c r="B95" s="504"/>
      <c r="C95" s="504"/>
      <c r="D95" s="504"/>
      <c r="E95" s="504"/>
      <c r="F95" s="501"/>
      <c r="G95" s="486">
        <f ca="1">G94+0.01</f>
        <v>17.010000000000002</v>
      </c>
      <c r="H95" s="487" t="str">
        <f ca="1">IF($I95&lt;&gt;0,
INDEX(INDIRECT("'"&amp;INDEX($H:$H,MATCH(ROUNDDOWN($G95,0),$G:$G))&amp;"'!$B:$T"),
MATCH($G95,INDIRECT("'"&amp;INDEX($H:$H,MATCH(ROUNDDOWN($G95,0),$G:$G))&amp;"'!$A:$A"),0),
MATCH(H$3,INDIRECT("'"&amp;INDEX($H:$H,MATCH(ROUNDDOWN($G95,0),$G:$G))&amp;"'!$B$1:$T$1"),0)),0)</f>
        <v>Sanitary Fixtures &amp; Tapware (PC item)</v>
      </c>
      <c r="I95" s="488">
        <f ca="1">IFERROR(
INDEX(INDIRECT("'"&amp;INDEX($H:$H,MATCH(ROUNDDOWN($G95,0),$G:$G))&amp;"'!$B:$T"),
MATCH($G95,INDIRECT("'"&amp;INDEX($H:$H,MATCH(ROUNDDOWN($G95,0),$G:$G))&amp;"'!$A:$A"),0),
MATCH(I$3,INDIRECT("'"&amp;INDEX($H:$H,MATCH(ROUNDDOWN($G95,0),$G:$G))&amp;"'!$B$1:$T$1"),0)),0)</f>
        <v>1</v>
      </c>
      <c r="J95" s="489" t="str">
        <f ca="1">IFERROR(
INDEX(INDIRECT("'"&amp;INDEX($H:$H,MATCH(ROUNDDOWN($G95,0),$G:$G))&amp;"'!$B:$T"),
MATCH($G95,INDIRECT("'"&amp;INDEX($H:$H,MATCH(ROUNDDOWN($G95,0),$G:$G))&amp;"'!$A:$A"),0),
MATCH(J$3,INDIRECT("'"&amp;INDEX($H:$H,MATCH(ROUNDDOWN($G95,0),$G:$G))&amp;"'!$B$1:$T$1"),0)),0)</f>
        <v>item</v>
      </c>
      <c r="K95" s="490">
        <f ca="1">IFERROR(
INDEX(INDIRECT("'"&amp;INDEX($H:$H,MATCH(ROUNDDOWN($G95,0),$G:$G))&amp;"'!$B:$T"),
MATCH($G95,INDIRECT("'"&amp;INDEX($H:$H,MATCH(ROUNDDOWN($G95,0),$G:$G))&amp;"'!$A:$A"),0),
MATCH(K$3,INDIRECT("'"&amp;INDEX($H:$H,MATCH(ROUNDDOWN($G95,0),$G:$G))&amp;"'!$B$1:$T$1"),0)),0)
*INDEX('Labour Rates'!F$4:F$35,MATCH(ROUNDDOWN(BREAKDOWN!G95,0),'Labour Rates'!A$4:A$35))</f>
        <v>0</v>
      </c>
      <c r="L95" s="490">
        <f ca="1">IFERROR(
INDEX(INDIRECT("'"&amp;INDEX($H:$H,MATCH(ROUNDDOWN($G95,0),$G:$G))&amp;"'!$B:$T"),
MATCH($G95,INDIRECT("'"&amp;INDEX($H:$H,MATCH(ROUNDDOWN($G95,0),$G:$G))&amp;"'!$A:$A"),0),
MATCH(L$3,INDIRECT("'"&amp;INDEX($H:$H,MATCH(ROUNDDOWN($G95,0),$G:$G))&amp;"'!$B$1:$T$1"),0)),0)</f>
        <v>0</v>
      </c>
      <c r="M95" s="490">
        <f ca="1">IFERROR(
INDEX(INDIRECT("'"&amp;INDEX($H:$H,MATCH(ROUNDDOWN($G95,0),$G:$G))&amp;"'!$B:$T"),
MATCH($G95,INDIRECT("'"&amp;INDEX($H:$H,MATCH(ROUNDDOWN($G95,0),$G:$G))&amp;"'!$A:$A"),0),
MATCH(M$3,INDIRECT("'"&amp;INDEX($H:$H,MATCH(ROUNDDOWN($G95,0),$G:$G))&amp;"'!$B$1:$T$1"),0)),0)</f>
        <v>0</v>
      </c>
      <c r="N95" s="490">
        <f ca="1">IFERROR(
INDEX(INDIRECT("'"&amp;INDEX($H:$H,MATCH(ROUNDDOWN($G95,0),$G:$G))&amp;"'!$B:$T"),
MATCH($G95,INDIRECT("'"&amp;INDEX($H:$H,MATCH(ROUNDDOWN($G95,0),$G:$G))&amp;"'!$A:$A"),0),
MATCH(N$3,INDIRECT("'"&amp;INDEX($H:$H,MATCH(ROUNDDOWN($G95,0),$G:$G))&amp;"'!$B$1:$T$1"),0)),0)</f>
        <v>0</v>
      </c>
      <c r="O95" s="490">
        <f ca="1">IFERROR(
INDEX(INDIRECT("'"&amp;INDEX($H:$H,MATCH(ROUNDDOWN($G95,0),$G:$G))&amp;"'!$V:$Z"),
MATCH($G95,INDIRECT("'"&amp;INDEX($H:$H,MATCH(ROUNDDOWN($G95,0),$G:$G))&amp;"'!$A:$A"),0),
MATCH(O$3,INDIRECT("'"&amp;INDEX($H:$H,MATCH(ROUNDDOWN($G95,0),$G:$G))&amp;"'!$V$2:$Z$2"),0)),0)</f>
        <v>0</v>
      </c>
      <c r="P95" s="491">
        <f t="shared" ref="P95" ca="1" si="152">IFERROR(IF(O95="inc","inc",IF(AND(O95&gt;0,I95&gt;0),O95/I95,IF(SUM(K95:N95)&gt;0,SUM(K95:N95),0))),0)</f>
        <v>0</v>
      </c>
      <c r="Q95" s="492">
        <f t="shared" ref="Q95" ca="1" si="153">IFERROR(IF(P95="",0,I95*P95),0)</f>
        <v>0</v>
      </c>
      <c r="R95" s="493" t="str">
        <f ca="1">IFERROR(
INDEX(INDIRECT("'"&amp;INDEX($H:$H,MATCH(ROUNDDOWN($G95,0),$G:$G))&amp;"'!$W:$AA"),
MATCH($G95,INDIRECT("'"&amp;INDEX($H:$H,MATCH(ROUNDDOWN($G95,0),$G:$G))&amp;"'!$A:$A"),0),
MATCH(R$3,INDIRECT("'"&amp;INDEX($H:$H,MATCH(ROUNDDOWN($G95,0),$G:$G))&amp;"'!$W$1:$AA$1"),0)),"")</f>
        <v/>
      </c>
      <c r="S95" s="494" t="str">
        <f t="shared" ref="S95" ca="1" si="154">IFERROR(U95/T95,"")</f>
        <v/>
      </c>
      <c r="T95" s="499">
        <f ca="1">IF(I95=0,0,INDEX('Labour Rates'!E$4:E$35,MATCH(ROUNDDOWN(BREAKDOWN!G95,0),'Labour Rates'!A$4:A$35)))</f>
        <v>0</v>
      </c>
      <c r="U95" s="496">
        <f t="shared" ref="U95" ca="1" si="155">IF($Y95&gt;0, 0, IFERROR($I95*K95,0))</f>
        <v>0</v>
      </c>
      <c r="V95" s="496">
        <f t="shared" ref="V95" ca="1" si="156">IF($Y95&gt;0, 0, IFERROR($I95*L95,0))</f>
        <v>0</v>
      </c>
      <c r="W95" s="496">
        <f t="shared" ref="W95" ca="1" si="157">IF($Y95&gt;0, 0, IFERROR($I95*M95,0))</f>
        <v>0</v>
      </c>
      <c r="X95" s="496">
        <f t="shared" ref="X95" ca="1" si="158">IF($Y95&gt;0, 0, IFERROR($I95*N95,0))</f>
        <v>0</v>
      </c>
      <c r="Y95" s="497">
        <f t="shared" ref="Y95" ca="1" si="159">IF(I95&gt;0,O95,0)</f>
        <v>0</v>
      </c>
      <c r="Z95" s="497">
        <f ca="1">Q95*$I$158</f>
        <v>0</v>
      </c>
      <c r="AA95" s="497">
        <f ca="1">Q95*$I$159</f>
        <v>0</v>
      </c>
      <c r="AB95" s="497">
        <f t="shared" ref="AB95" ca="1" si="160">SUM(U95:AA95)</f>
        <v>0</v>
      </c>
      <c r="AC95" s="498">
        <f t="shared" ref="AC95" ca="1" si="161">SUM(U95:Y95)-Q95</f>
        <v>0</v>
      </c>
    </row>
    <row r="96" spans="1:29" s="483" customFormat="1" ht="15.75" x14ac:dyDescent="0.25">
      <c r="A96" s="484"/>
      <c r="B96" s="484"/>
      <c r="C96" s="484"/>
      <c r="D96" s="484"/>
      <c r="E96" s="484"/>
      <c r="F96" s="485"/>
      <c r="G96" s="502">
        <f ca="1">G94+1</f>
        <v>18</v>
      </c>
      <c r="H96" s="473" t="str">
        <f ca="1">INDEX(Electrical!B:B,MATCH(BREAKDOWN!G96,Electrical!A:A))</f>
        <v>ELECTRICAL</v>
      </c>
      <c r="I96" s="474"/>
      <c r="J96" s="475"/>
      <c r="K96" s="476"/>
      <c r="L96" s="476"/>
      <c r="M96" s="476"/>
      <c r="N96" s="476"/>
      <c r="O96" s="476"/>
      <c r="P96" s="476"/>
      <c r="Q96" s="477">
        <f ca="1">SUMIFS(Q:Q,$G:$G,"&gt;"&amp;$G96,$G:$G,"&lt;"&amp;($G96+1))</f>
        <v>0</v>
      </c>
      <c r="R96" s="478">
        <f ca="1">Q96
-INDEX(INDIRECT("'"&amp;H96&amp;"'!B:T"),MATCH($Q$3,INDIRECT("'"&amp;H96&amp;"'!B:B"),0),MATCH($Q$3,INDIRECT("'"&amp;H96&amp;"'!B$1:T$1"),0))
-(SUMIFS(U:U,$G:$G,"&gt;"&amp;$G96,$G:$G,"&lt;"&amp;($G96+1))-SUMIFS(U:U,$G:$G,"&gt;"&amp;$G96,$G:$G,"&lt;"&amp;($G96+1))/INDEX('Labour Rates'!F$4:F$35,MATCH(ROUNDDOWN(BREAKDOWN!G96,0),'Labour Rates'!A$4:A$35)))</f>
        <v>0</v>
      </c>
      <c r="S96" s="503"/>
      <c r="T96" s="499"/>
      <c r="U96" s="503"/>
      <c r="V96" s="503"/>
      <c r="W96" s="503"/>
      <c r="X96" s="503"/>
      <c r="Y96" s="503"/>
      <c r="Z96" s="503"/>
      <c r="AA96" s="503"/>
      <c r="AB96" s="477">
        <f ca="1">SUM(AB97:AB98)</f>
        <v>0</v>
      </c>
      <c r="AC96" s="498"/>
    </row>
    <row r="97" spans="1:29" s="500" customFormat="1" ht="15.75" x14ac:dyDescent="0.25">
      <c r="A97" s="504"/>
      <c r="B97" s="504"/>
      <c r="C97" s="504"/>
      <c r="D97" s="504"/>
      <c r="E97" s="504"/>
      <c r="F97" s="501"/>
      <c r="G97" s="486">
        <f ca="1">G96+0.01</f>
        <v>18.010000000000002</v>
      </c>
      <c r="H97" s="487" t="str">
        <f ca="1">IF($I97&lt;&gt;0,
INDEX(INDIRECT("'"&amp;INDEX($H:$H,MATCH(ROUNDDOWN($G97,0),$G:$G))&amp;"'!$B:$T"),
MATCH($G97,INDIRECT("'"&amp;INDEX($H:$H,MATCH(ROUNDDOWN($G97,0),$G:$G))&amp;"'!$A:$A"),0),
MATCH(H$3,INDIRECT("'"&amp;INDEX($H:$H,MATCH(ROUNDDOWN($G97,0),$G:$G))&amp;"'!$B$1:$T$1"),0)),0)</f>
        <v>Electrical &amp; Communication (Provisional Sum)</v>
      </c>
      <c r="I97" s="488">
        <f ca="1">IFERROR(
INDEX(INDIRECT("'"&amp;INDEX($H:$H,MATCH(ROUNDDOWN($G97,0),$G:$G))&amp;"'!$B:$T"),
MATCH($G97,INDIRECT("'"&amp;INDEX($H:$H,MATCH(ROUNDDOWN($G97,0),$G:$G))&amp;"'!$A:$A"),0),
MATCH(I$3,INDIRECT("'"&amp;INDEX($H:$H,MATCH(ROUNDDOWN($G97,0),$G:$G))&amp;"'!$B$1:$T$1"),0)),0)</f>
        <v>1</v>
      </c>
      <c r="J97" s="489" t="str">
        <f ca="1">IFERROR(
INDEX(INDIRECT("'"&amp;INDEX($H:$H,MATCH(ROUNDDOWN($G97,0),$G:$G))&amp;"'!$B:$T"),
MATCH($G97,INDIRECT("'"&amp;INDEX($H:$H,MATCH(ROUNDDOWN($G97,0),$G:$G))&amp;"'!$A:$A"),0),
MATCH(J$3,INDIRECT("'"&amp;INDEX($H:$H,MATCH(ROUNDDOWN($G97,0),$G:$G))&amp;"'!$B$1:$T$1"),0)),0)</f>
        <v>item</v>
      </c>
      <c r="K97" s="490">
        <f ca="1">IFERROR(
INDEX(INDIRECT("'"&amp;INDEX($H:$H,MATCH(ROUNDDOWN($G97,0),$G:$G))&amp;"'!$B:$T"),
MATCH($G97,INDIRECT("'"&amp;INDEX($H:$H,MATCH(ROUNDDOWN($G97,0),$G:$G))&amp;"'!$A:$A"),0),
MATCH(K$3,INDIRECT("'"&amp;INDEX($H:$H,MATCH(ROUNDDOWN($G97,0),$G:$G))&amp;"'!$B$1:$T$1"),0)),0)
*INDEX('Labour Rates'!F$4:F$35,MATCH(ROUNDDOWN(BREAKDOWN!G97,0),'Labour Rates'!A$4:A$35))</f>
        <v>0</v>
      </c>
      <c r="L97" s="490">
        <f t="shared" ref="L97:N98" ca="1" si="162">IFERROR(
INDEX(INDIRECT("'"&amp;INDEX($H:$H,MATCH(ROUNDDOWN($G97,0),$G:$G))&amp;"'!$B:$T"),
MATCH($G97,INDIRECT("'"&amp;INDEX($H:$H,MATCH(ROUNDDOWN($G97,0),$G:$G))&amp;"'!$A:$A"),0),
MATCH(L$3,INDIRECT("'"&amp;INDEX($H:$H,MATCH(ROUNDDOWN($G97,0),$G:$G))&amp;"'!$B$1:$T$1"),0)),0)</f>
        <v>0</v>
      </c>
      <c r="M97" s="490">
        <f t="shared" ca="1" si="162"/>
        <v>0</v>
      </c>
      <c r="N97" s="490">
        <f t="shared" ca="1" si="162"/>
        <v>0</v>
      </c>
      <c r="O97" s="490">
        <f ca="1">IFERROR(
INDEX(INDIRECT("'"&amp;INDEX($H:$H,MATCH(ROUNDDOWN($G97,0),$G:$G))&amp;"'!$V:$Z"),
MATCH($G97,INDIRECT("'"&amp;INDEX($H:$H,MATCH(ROUNDDOWN($G97,0),$G:$G))&amp;"'!$A:$A"),0),
MATCH(O$3,INDIRECT("'"&amp;INDEX($H:$H,MATCH(ROUNDDOWN($G97,0),$G:$G))&amp;"'!$V$2:$Z$2"),0)),0)</f>
        <v>0</v>
      </c>
      <c r="P97" s="491">
        <f t="shared" ref="P97:P98" ca="1" si="163">IFERROR(IF(O97="inc","inc",IF(AND(O97&gt;0,I97&gt;0),O97/I97,IF(SUM(K97:N97)&gt;0,SUM(K97:N97),0))),0)</f>
        <v>0</v>
      </c>
      <c r="Q97" s="492">
        <f t="shared" ref="Q97:Q98" ca="1" si="164">IFERROR(IF(P97="",0,I97*P97),0)</f>
        <v>0</v>
      </c>
      <c r="R97" s="493" t="str">
        <f ca="1">IFERROR(
INDEX(INDIRECT("'"&amp;INDEX($H:$H,MATCH(ROUNDDOWN($G97,0),$G:$G))&amp;"'!$W:$AA"),
MATCH($G97,INDIRECT("'"&amp;INDEX($H:$H,MATCH(ROUNDDOWN($G97,0),$G:$G))&amp;"'!$A:$A"),0),
MATCH(R$3,INDIRECT("'"&amp;INDEX($H:$H,MATCH(ROUNDDOWN($G97,0),$G:$G))&amp;"'!$W$1:$AA$1"),0)),"")</f>
        <v/>
      </c>
      <c r="S97" s="494">
        <f t="shared" ca="1" si="143"/>
        <v>0</v>
      </c>
      <c r="T97" s="499">
        <f ca="1">IF(I97=0,0,INDEX('Labour Rates'!E$4:E$35,MATCH(ROUNDDOWN(BREAKDOWN!G97,0),'Labour Rates'!A$4:A$35)))</f>
        <v>98.49</v>
      </c>
      <c r="U97" s="496">
        <f t="shared" ref="U97:U98" ca="1" si="165">IF($Y97&gt;0, 0, IFERROR($I97*K97,0))</f>
        <v>0</v>
      </c>
      <c r="V97" s="496">
        <f t="shared" ref="V97:V98" ca="1" si="166">IF($Y97&gt;0, 0, IFERROR($I97*L97,0))</f>
        <v>0</v>
      </c>
      <c r="W97" s="496">
        <f t="shared" ref="W97:W98" ca="1" si="167">IF($Y97&gt;0, 0, IFERROR($I97*M97,0))</f>
        <v>0</v>
      </c>
      <c r="X97" s="496">
        <f t="shared" ref="X97:X98" ca="1" si="168">IF($Y97&gt;0, 0, IFERROR($I97*N97,0))</f>
        <v>0</v>
      </c>
      <c r="Y97" s="497">
        <f t="shared" ref="Y97:Y98" ca="1" si="169">IF(I97&gt;0,O97,0)</f>
        <v>0</v>
      </c>
      <c r="Z97" s="497">
        <f ca="1">Q97*$I$158</f>
        <v>0</v>
      </c>
      <c r="AA97" s="497">
        <f ca="1">Q97*$I$159</f>
        <v>0</v>
      </c>
      <c r="AB97" s="497">
        <f t="shared" ref="AB97:AB98" ca="1" si="170">SUM(U97:AA97)</f>
        <v>0</v>
      </c>
      <c r="AC97" s="498">
        <f t="shared" ref="AC97:AC98" ca="1" si="171">SUM(U97:Y97)-Q97</f>
        <v>0</v>
      </c>
    </row>
    <row r="98" spans="1:29" s="500" customFormat="1" ht="15.75" x14ac:dyDescent="0.25">
      <c r="A98" s="504"/>
      <c r="B98" s="504"/>
      <c r="C98" s="504"/>
      <c r="D98" s="504"/>
      <c r="E98" s="504"/>
      <c r="F98" s="501"/>
      <c r="G98" s="486">
        <f t="shared" ref="G98" ca="1" si="172">G97+0.01</f>
        <v>18.020000000000003</v>
      </c>
      <c r="H98" s="487" t="str">
        <f ca="1">IF($I98&lt;&gt;0,
INDEX(INDIRECT("'"&amp;INDEX($H:$H,MATCH(ROUNDDOWN($G98,0),$G:$G))&amp;"'!$B:$T"),
MATCH($G98,INDIRECT("'"&amp;INDEX($H:$H,MATCH(ROUNDDOWN($G98,0),$G:$G))&amp;"'!$A:$A"),0),
MATCH(H$3,INDIRECT("'"&amp;INDEX($H:$H,MATCH(ROUNDDOWN($G98,0),$G:$G))&amp;"'!$B$1:$T$1"),0)),0)</f>
        <v>Demolition of Existing Electrical Services (Provisional Sum)</v>
      </c>
      <c r="I98" s="488">
        <f ca="1">IFERROR(
INDEX(INDIRECT("'"&amp;INDEX($H:$H,MATCH(ROUNDDOWN($G98,0),$G:$G))&amp;"'!$B:$T"),
MATCH($G98,INDIRECT("'"&amp;INDEX($H:$H,MATCH(ROUNDDOWN($G98,0),$G:$G))&amp;"'!$A:$A"),0),
MATCH(I$3,INDIRECT("'"&amp;INDEX($H:$H,MATCH(ROUNDDOWN($G98,0),$G:$G))&amp;"'!$B$1:$T$1"),0)),0)</f>
        <v>1</v>
      </c>
      <c r="J98" s="489" t="str">
        <f ca="1">IFERROR(
INDEX(INDIRECT("'"&amp;INDEX($H:$H,MATCH(ROUNDDOWN($G98,0),$G:$G))&amp;"'!$B:$T"),
MATCH($G98,INDIRECT("'"&amp;INDEX($H:$H,MATCH(ROUNDDOWN($G98,0),$G:$G))&amp;"'!$A:$A"),0),
MATCH(J$3,INDIRECT("'"&amp;INDEX($H:$H,MATCH(ROUNDDOWN($G98,0),$G:$G))&amp;"'!$B$1:$T$1"),0)),0)</f>
        <v>item</v>
      </c>
      <c r="K98" s="490">
        <f ca="1">IFERROR(
INDEX(INDIRECT("'"&amp;INDEX($H:$H,MATCH(ROUNDDOWN($G98,0),$G:$G))&amp;"'!$B:$T"),
MATCH($G98,INDIRECT("'"&amp;INDEX($H:$H,MATCH(ROUNDDOWN($G98,0),$G:$G))&amp;"'!$A:$A"),0),
MATCH(K$3,INDIRECT("'"&amp;INDEX($H:$H,MATCH(ROUNDDOWN($G98,0),$G:$G))&amp;"'!$B$1:$T$1"),0)),0)
*INDEX('Labour Rates'!F$4:F$35,MATCH(ROUNDDOWN(BREAKDOWN!G98,0),'Labour Rates'!A$4:A$35))</f>
        <v>0</v>
      </c>
      <c r="L98" s="490">
        <f t="shared" ca="1" si="162"/>
        <v>0</v>
      </c>
      <c r="M98" s="490">
        <f t="shared" ca="1" si="162"/>
        <v>0</v>
      </c>
      <c r="N98" s="490">
        <f t="shared" ca="1" si="162"/>
        <v>0</v>
      </c>
      <c r="O98" s="490">
        <f ca="1">IFERROR(
INDEX(INDIRECT("'"&amp;INDEX($H:$H,MATCH(ROUNDDOWN($G98,0),$G:$G))&amp;"'!$V:$Z"),
MATCH($G98,INDIRECT("'"&amp;INDEX($H:$H,MATCH(ROUNDDOWN($G98,0),$G:$G))&amp;"'!$A:$A"),0),
MATCH(O$3,INDIRECT("'"&amp;INDEX($H:$H,MATCH(ROUNDDOWN($G98,0),$G:$G))&amp;"'!$V$2:$Z$2"),0)),0)</f>
        <v>0</v>
      </c>
      <c r="P98" s="491">
        <f t="shared" ca="1" si="163"/>
        <v>0</v>
      </c>
      <c r="Q98" s="492">
        <f t="shared" ca="1" si="164"/>
        <v>0</v>
      </c>
      <c r="R98" s="493" t="str">
        <f ca="1">IFERROR(
INDEX(INDIRECT("'"&amp;INDEX($H:$H,MATCH(ROUNDDOWN($G98,0),$G:$G))&amp;"'!$W:$AA"),
MATCH($G98,INDIRECT("'"&amp;INDEX($H:$H,MATCH(ROUNDDOWN($G98,0),$G:$G))&amp;"'!$A:$A"),0),
MATCH(R$3,INDIRECT("'"&amp;INDEX($H:$H,MATCH(ROUNDDOWN($G98,0),$G:$G))&amp;"'!$W$1:$AA$1"),0)),"")</f>
        <v/>
      </c>
      <c r="S98" s="494">
        <f t="shared" ca="1" si="143"/>
        <v>0</v>
      </c>
      <c r="T98" s="499">
        <f ca="1">IF(I98=0,0,INDEX('Labour Rates'!E$4:E$35,MATCH(ROUNDDOWN(BREAKDOWN!G98,0),'Labour Rates'!A$4:A$35)))</f>
        <v>98.49</v>
      </c>
      <c r="U98" s="496">
        <f t="shared" ca="1" si="165"/>
        <v>0</v>
      </c>
      <c r="V98" s="496">
        <f t="shared" ca="1" si="166"/>
        <v>0</v>
      </c>
      <c r="W98" s="496">
        <f t="shared" ca="1" si="167"/>
        <v>0</v>
      </c>
      <c r="X98" s="496">
        <f t="shared" ca="1" si="168"/>
        <v>0</v>
      </c>
      <c r="Y98" s="497">
        <f t="shared" ca="1" si="169"/>
        <v>0</v>
      </c>
      <c r="Z98" s="497">
        <f ca="1">Q98*$I$158</f>
        <v>0</v>
      </c>
      <c r="AA98" s="497">
        <f ca="1">Q98*$I$159</f>
        <v>0</v>
      </c>
      <c r="AB98" s="497">
        <f t="shared" ca="1" si="170"/>
        <v>0</v>
      </c>
      <c r="AC98" s="498">
        <f t="shared" ca="1" si="171"/>
        <v>0</v>
      </c>
    </row>
    <row r="99" spans="1:29" s="483" customFormat="1" ht="15.75" x14ac:dyDescent="0.25">
      <c r="A99" s="484"/>
      <c r="B99" s="484"/>
      <c r="C99" s="484"/>
      <c r="D99" s="484"/>
      <c r="E99" s="484"/>
      <c r="F99" s="485"/>
      <c r="G99" s="502">
        <f ca="1">G96+1</f>
        <v>19</v>
      </c>
      <c r="H99" s="473" t="str">
        <f ca="1">INDEX('Electrical PC Item'!B:B,MATCH(BREAKDOWN!G99,'Electrical PC Item'!A:A))</f>
        <v>ELECTRICAL PC ITEM</v>
      </c>
      <c r="I99" s="474"/>
      <c r="J99" s="475"/>
      <c r="K99" s="476"/>
      <c r="L99" s="476"/>
      <c r="M99" s="476"/>
      <c r="N99" s="476"/>
      <c r="O99" s="476"/>
      <c r="P99" s="476"/>
      <c r="Q99" s="477">
        <f ca="1">SUMIFS(Q:Q,$G:$G,"&gt;"&amp;$G99,$G:$G,"&lt;"&amp;($G99+1))</f>
        <v>0</v>
      </c>
      <c r="R99" s="478">
        <f ca="1">Q99
-INDEX(INDIRECT("'"&amp;H99&amp;"'!B:T"),MATCH($Q$3,INDIRECT("'"&amp;H99&amp;"'!B:B"),0),MATCH($Q$3,INDIRECT("'"&amp;H99&amp;"'!B$1:T$1"),0))
-(SUMIFS(U:U,$G:$G,"&gt;"&amp;$G99,$G:$G,"&lt;"&amp;($G99+1))-SUMIFS(U:U,$G:$G,"&gt;"&amp;$G99,$G:$G,"&lt;"&amp;($G99+1))/INDEX('Labour Rates'!F$4:F$35,MATCH(ROUNDDOWN(BREAKDOWN!G99,0),'Labour Rates'!A$4:A$35)))</f>
        <v>0</v>
      </c>
      <c r="S99" s="503"/>
      <c r="T99" s="499"/>
      <c r="U99" s="503"/>
      <c r="V99" s="503"/>
      <c r="W99" s="503"/>
      <c r="X99" s="503"/>
      <c r="Y99" s="503"/>
      <c r="Z99" s="503"/>
      <c r="AA99" s="503"/>
      <c r="AB99" s="477">
        <f ca="1">SUM(AB100:AB100)</f>
        <v>0</v>
      </c>
      <c r="AC99" s="498"/>
    </row>
    <row r="100" spans="1:29" s="500" customFormat="1" ht="15.75" x14ac:dyDescent="0.25">
      <c r="A100" s="504"/>
      <c r="B100" s="504"/>
      <c r="C100" s="504"/>
      <c r="D100" s="504"/>
      <c r="E100" s="504"/>
      <c r="F100" s="501"/>
      <c r="G100" s="486">
        <f ca="1">G99+0.01</f>
        <v>19.010000000000002</v>
      </c>
      <c r="H100" s="487" t="str">
        <f ca="1">IF($I100&lt;&gt;0,
INDEX(INDIRECT("'"&amp;INDEX($H:$H,MATCH(ROUNDDOWN($G100,0),$G:$G))&amp;"'!$B:$T"),
MATCH($G100,INDIRECT("'"&amp;INDEX($H:$H,MATCH(ROUNDDOWN($G100,0),$G:$G))&amp;"'!$A:$A"),0),
MATCH(H$3,INDIRECT("'"&amp;INDEX($H:$H,MATCH(ROUNDDOWN($G100,0),$G:$G))&amp;"'!$B$1:$T$1"),0)),0)</f>
        <v>Light Fittings &amp; Fans (PC item)</v>
      </c>
      <c r="I100" s="488">
        <f ca="1">IFERROR(
INDEX(INDIRECT("'"&amp;INDEX($H:$H,MATCH(ROUNDDOWN($G100,0),$G:$G))&amp;"'!$B:$T"),
MATCH($G100,INDIRECT("'"&amp;INDEX($H:$H,MATCH(ROUNDDOWN($G100,0),$G:$G))&amp;"'!$A:$A"),0),
MATCH(I$3,INDIRECT("'"&amp;INDEX($H:$H,MATCH(ROUNDDOWN($G100,0),$G:$G))&amp;"'!$B$1:$T$1"),0)),0)</f>
        <v>1</v>
      </c>
      <c r="J100" s="489" t="str">
        <f ca="1">IFERROR(
INDEX(INDIRECT("'"&amp;INDEX($H:$H,MATCH(ROUNDDOWN($G100,0),$G:$G))&amp;"'!$B:$T"),
MATCH($G100,INDIRECT("'"&amp;INDEX($H:$H,MATCH(ROUNDDOWN($G100,0),$G:$G))&amp;"'!$A:$A"),0),
MATCH(J$3,INDIRECT("'"&amp;INDEX($H:$H,MATCH(ROUNDDOWN($G100,0),$G:$G))&amp;"'!$B$1:$T$1"),0)),0)</f>
        <v>item</v>
      </c>
      <c r="K100" s="490">
        <f ca="1">IFERROR(
INDEX(INDIRECT("'"&amp;INDEX($H:$H,MATCH(ROUNDDOWN($G100,0),$G:$G))&amp;"'!$B:$T"),
MATCH($G100,INDIRECT("'"&amp;INDEX($H:$H,MATCH(ROUNDDOWN($G100,0),$G:$G))&amp;"'!$A:$A"),0),
MATCH(K$3,INDIRECT("'"&amp;INDEX($H:$H,MATCH(ROUNDDOWN($G100,0),$G:$G))&amp;"'!$B$1:$T$1"),0)),0)
*INDEX('Labour Rates'!F$4:F$35,MATCH(ROUNDDOWN(BREAKDOWN!G100,0),'Labour Rates'!A$4:A$35))</f>
        <v>0</v>
      </c>
      <c r="L100" s="490">
        <f ca="1">IFERROR(
INDEX(INDIRECT("'"&amp;INDEX($H:$H,MATCH(ROUNDDOWN($G100,0),$G:$G))&amp;"'!$B:$T"),
MATCH($G100,INDIRECT("'"&amp;INDEX($H:$H,MATCH(ROUNDDOWN($G100,0),$G:$G))&amp;"'!$A:$A"),0),
MATCH(L$3,INDIRECT("'"&amp;INDEX($H:$H,MATCH(ROUNDDOWN($G100,0),$G:$G))&amp;"'!$B$1:$T$1"),0)),0)</f>
        <v>0</v>
      </c>
      <c r="M100" s="490">
        <f ca="1">IFERROR(
INDEX(INDIRECT("'"&amp;INDEX($H:$H,MATCH(ROUNDDOWN($G100,0),$G:$G))&amp;"'!$B:$T"),
MATCH($G100,INDIRECT("'"&amp;INDEX($H:$H,MATCH(ROUNDDOWN($G100,0),$G:$G))&amp;"'!$A:$A"),0),
MATCH(M$3,INDIRECT("'"&amp;INDEX($H:$H,MATCH(ROUNDDOWN($G100,0),$G:$G))&amp;"'!$B$1:$T$1"),0)),0)</f>
        <v>0</v>
      </c>
      <c r="N100" s="490">
        <f ca="1">IFERROR(
INDEX(INDIRECT("'"&amp;INDEX($H:$H,MATCH(ROUNDDOWN($G100,0),$G:$G))&amp;"'!$B:$T"),
MATCH($G100,INDIRECT("'"&amp;INDEX($H:$H,MATCH(ROUNDDOWN($G100,0),$G:$G))&amp;"'!$A:$A"),0),
MATCH(N$3,INDIRECT("'"&amp;INDEX($H:$H,MATCH(ROUNDDOWN($G100,0),$G:$G))&amp;"'!$B$1:$T$1"),0)),0)</f>
        <v>0</v>
      </c>
      <c r="O100" s="490">
        <f ca="1">IFERROR(
INDEX(INDIRECT("'"&amp;INDEX($H:$H,MATCH(ROUNDDOWN($G100,0),$G:$G))&amp;"'!$V:$Z"),
MATCH($G100,INDIRECT("'"&amp;INDEX($H:$H,MATCH(ROUNDDOWN($G100,0),$G:$G))&amp;"'!$A:$A"),0),
MATCH(O$3,INDIRECT("'"&amp;INDEX($H:$H,MATCH(ROUNDDOWN($G100,0),$G:$G))&amp;"'!$V$2:$Z$2"),0)),0)</f>
        <v>0</v>
      </c>
      <c r="P100" s="491">
        <f t="shared" ref="P100" ca="1" si="173">IFERROR(IF(O100="inc","inc",IF(AND(O100&gt;0,I100&gt;0),O100/I100,IF(SUM(K100:N100)&gt;0,SUM(K100:N100),0))),0)</f>
        <v>0</v>
      </c>
      <c r="Q100" s="492">
        <f t="shared" ref="Q100" ca="1" si="174">IFERROR(IF(P100="",0,I100*P100),0)</f>
        <v>0</v>
      </c>
      <c r="R100" s="493" t="str">
        <f ca="1">IFERROR(
INDEX(INDIRECT("'"&amp;INDEX($H:$H,MATCH(ROUNDDOWN($G100,0),$G:$G))&amp;"'!$W:$AA"),
MATCH($G100,INDIRECT("'"&amp;INDEX($H:$H,MATCH(ROUNDDOWN($G100,0),$G:$G))&amp;"'!$A:$A"),0),
MATCH(R$3,INDIRECT("'"&amp;INDEX($H:$H,MATCH(ROUNDDOWN($G100,0),$G:$G))&amp;"'!$W$1:$AA$1"),0)),"")</f>
        <v/>
      </c>
      <c r="S100" s="494" t="str">
        <f t="shared" ref="S100" ca="1" si="175">IFERROR(U100/T100,"")</f>
        <v/>
      </c>
      <c r="T100" s="499">
        <f ca="1">IF(I100=0,0,INDEX('Labour Rates'!E$4:E$35,MATCH(ROUNDDOWN(BREAKDOWN!G100,0),'Labour Rates'!A$4:A$35)))</f>
        <v>0</v>
      </c>
      <c r="U100" s="496">
        <f t="shared" ref="U100" ca="1" si="176">IF($Y100&gt;0, 0, IFERROR($I100*K100,0))</f>
        <v>0</v>
      </c>
      <c r="V100" s="496">
        <f t="shared" ref="V100" ca="1" si="177">IF($Y100&gt;0, 0, IFERROR($I100*L100,0))</f>
        <v>0</v>
      </c>
      <c r="W100" s="496">
        <f t="shared" ref="W100" ca="1" si="178">IF($Y100&gt;0, 0, IFERROR($I100*M100,0))</f>
        <v>0</v>
      </c>
      <c r="X100" s="496">
        <f t="shared" ref="X100" ca="1" si="179">IF($Y100&gt;0, 0, IFERROR($I100*N100,0))</f>
        <v>0</v>
      </c>
      <c r="Y100" s="497">
        <f t="shared" ref="Y100" ca="1" si="180">IF(I100&gt;0,O100,0)</f>
        <v>0</v>
      </c>
      <c r="Z100" s="497">
        <f ca="1">Q100*$I$158</f>
        <v>0</v>
      </c>
      <c r="AA100" s="497">
        <f ca="1">Q100*$I$159</f>
        <v>0</v>
      </c>
      <c r="AB100" s="497">
        <f t="shared" ref="AB100" ca="1" si="181">SUM(U100:AA100)</f>
        <v>0</v>
      </c>
      <c r="AC100" s="498">
        <f t="shared" ref="AC100" ca="1" si="182">SUM(U100:Y100)-Q100</f>
        <v>0</v>
      </c>
    </row>
    <row r="101" spans="1:29" s="483" customFormat="1" ht="15.75" x14ac:dyDescent="0.25">
      <c r="A101" s="484"/>
      <c r="B101" s="484"/>
      <c r="C101" s="484"/>
      <c r="D101" s="484"/>
      <c r="E101" s="484"/>
      <c r="F101" s="485"/>
      <c r="G101" s="502">
        <f ca="1">G99+1</f>
        <v>20</v>
      </c>
      <c r="H101" s="473" t="str">
        <f ca="1">INDEX(Mechanical!B:B,MATCH(BREAKDOWN!G101,Mechanical!A:A))</f>
        <v>MECHANICAL</v>
      </c>
      <c r="I101" s="474"/>
      <c r="J101" s="475"/>
      <c r="K101" s="476"/>
      <c r="L101" s="476"/>
      <c r="M101" s="476"/>
      <c r="N101" s="476"/>
      <c r="O101" s="476"/>
      <c r="P101" s="476"/>
      <c r="Q101" s="477">
        <f ca="1">SUMIFS(Q:Q,$G:$G,"&gt;"&amp;$G101,$G:$G,"&lt;"&amp;($G101+1))</f>
        <v>0</v>
      </c>
      <c r="R101" s="478">
        <f ca="1">Q101
-INDEX(INDIRECT("'"&amp;H101&amp;"'!B:T"),MATCH($Q$3,INDIRECT("'"&amp;H101&amp;"'!B:B"),0),MATCH($Q$3,INDIRECT("'"&amp;H101&amp;"'!B$1:T$1"),0))
-(SUMIFS(U:U,$G:$G,"&gt;"&amp;$G101,$G:$G,"&lt;"&amp;($G101+1))-SUMIFS(U:U,$G:$G,"&gt;"&amp;$G101,$G:$G,"&lt;"&amp;($G101+1))/INDEX('Labour Rates'!F$4:F$35,MATCH(ROUNDDOWN(BREAKDOWN!G101,0),'Labour Rates'!A$4:A$35)))</f>
        <v>0</v>
      </c>
      <c r="S101" s="503"/>
      <c r="T101" s="499"/>
      <c r="U101" s="503"/>
      <c r="V101" s="503"/>
      <c r="W101" s="503"/>
      <c r="X101" s="503"/>
      <c r="Y101" s="503"/>
      <c r="Z101" s="503"/>
      <c r="AA101" s="503"/>
      <c r="AB101" s="477">
        <f ca="1">SUM(AB102:AB102)</f>
        <v>0</v>
      </c>
      <c r="AC101" s="498"/>
    </row>
    <row r="102" spans="1:29" s="500" customFormat="1" ht="15.75" x14ac:dyDescent="0.25">
      <c r="A102" s="504"/>
      <c r="B102" s="504"/>
      <c r="C102" s="504"/>
      <c r="D102" s="504"/>
      <c r="E102" s="504"/>
      <c r="F102" s="501"/>
      <c r="G102" s="486">
        <f ca="1">G101+0.01</f>
        <v>20.010000000000002</v>
      </c>
      <c r="H102" s="487" t="str">
        <f ca="1">IF($I102&lt;&gt;0,
INDEX(INDIRECT("'"&amp;INDEX($H:$H,MATCH(ROUNDDOWN($G102,0),$G:$G))&amp;"'!$B:$T"),
MATCH($G102,INDIRECT("'"&amp;INDEX($H:$H,MATCH(ROUNDDOWN($G102,0),$G:$G))&amp;"'!$A:$A"),0),
MATCH(H$3,INDIRECT("'"&amp;INDEX($H:$H,MATCH(ROUNDDOWN($G102,0),$G:$G))&amp;"'!$B$1:$T$1"),0)),0)</f>
        <v>Mechanical - HVAC (Elemental Estimating) (Provisional Sum)</v>
      </c>
      <c r="I102" s="488">
        <f ca="1">IFERROR(
INDEX(INDIRECT("'"&amp;INDEX($H:$H,MATCH(ROUNDDOWN($G102,0),$G:$G))&amp;"'!$B:$T"),
MATCH($G102,INDIRECT("'"&amp;INDEX($H:$H,MATCH(ROUNDDOWN($G102,0),$G:$G))&amp;"'!$A:$A"),0),
MATCH(I$3,INDIRECT("'"&amp;INDEX($H:$H,MATCH(ROUNDDOWN($G102,0),$G:$G))&amp;"'!$B$1:$T$1"),0)),0)</f>
        <v>1</v>
      </c>
      <c r="J102" s="489" t="str">
        <f ca="1">IFERROR(
INDEX(INDIRECT("'"&amp;INDEX($H:$H,MATCH(ROUNDDOWN($G102,0),$G:$G))&amp;"'!$B:$T"),
MATCH($G102,INDIRECT("'"&amp;INDEX($H:$H,MATCH(ROUNDDOWN($G102,0),$G:$G))&amp;"'!$A:$A"),0),
MATCH(J$3,INDIRECT("'"&amp;INDEX($H:$H,MATCH(ROUNDDOWN($G102,0),$G:$G))&amp;"'!$B$1:$T$1"),0)),0)</f>
        <v>item</v>
      </c>
      <c r="K102" s="490">
        <f ca="1">IFERROR(
INDEX(INDIRECT("'"&amp;INDEX($H:$H,MATCH(ROUNDDOWN($G102,0),$G:$G))&amp;"'!$B:$T"),
MATCH($G102,INDIRECT("'"&amp;INDEX($H:$H,MATCH(ROUNDDOWN($G102,0),$G:$G))&amp;"'!$A:$A"),0),
MATCH(K$3,INDIRECT("'"&amp;INDEX($H:$H,MATCH(ROUNDDOWN($G102,0),$G:$G))&amp;"'!$B$1:$T$1"),0)),0)
*INDEX('Labour Rates'!F$4:F$35,MATCH(ROUNDDOWN(BREAKDOWN!G102,0),'Labour Rates'!A$4:A$35))</f>
        <v>0</v>
      </c>
      <c r="L102" s="490">
        <f ca="1">IFERROR(
INDEX(INDIRECT("'"&amp;INDEX($H:$H,MATCH(ROUNDDOWN($G102,0),$G:$G))&amp;"'!$B:$T"),
MATCH($G102,INDIRECT("'"&amp;INDEX($H:$H,MATCH(ROUNDDOWN($G102,0),$G:$G))&amp;"'!$A:$A"),0),
MATCH(L$3,INDIRECT("'"&amp;INDEX($H:$H,MATCH(ROUNDDOWN($G102,0),$G:$G))&amp;"'!$B$1:$T$1"),0)),0)</f>
        <v>0</v>
      </c>
      <c r="M102" s="490">
        <f ca="1">IFERROR(
INDEX(INDIRECT("'"&amp;INDEX($H:$H,MATCH(ROUNDDOWN($G102,0),$G:$G))&amp;"'!$B:$T"),
MATCH($G102,INDIRECT("'"&amp;INDEX($H:$H,MATCH(ROUNDDOWN($G102,0),$G:$G))&amp;"'!$A:$A"),0),
MATCH(M$3,INDIRECT("'"&amp;INDEX($H:$H,MATCH(ROUNDDOWN($G102,0),$G:$G))&amp;"'!$B$1:$T$1"),0)),0)</f>
        <v>0</v>
      </c>
      <c r="N102" s="490">
        <f ca="1">IFERROR(
INDEX(INDIRECT("'"&amp;INDEX($H:$H,MATCH(ROUNDDOWN($G102,0),$G:$G))&amp;"'!$B:$T"),
MATCH($G102,INDIRECT("'"&amp;INDEX($H:$H,MATCH(ROUNDDOWN($G102,0),$G:$G))&amp;"'!$A:$A"),0),
MATCH(N$3,INDIRECT("'"&amp;INDEX($H:$H,MATCH(ROUNDDOWN($G102,0),$G:$G))&amp;"'!$B$1:$T$1"),0)),0)</f>
        <v>0</v>
      </c>
      <c r="O102" s="490">
        <f ca="1">IFERROR(
INDEX(INDIRECT("'"&amp;INDEX($H:$H,MATCH(ROUNDDOWN($G102,0),$G:$G))&amp;"'!$V:$Z"),
MATCH($G102,INDIRECT("'"&amp;INDEX($H:$H,MATCH(ROUNDDOWN($G102,0),$G:$G))&amp;"'!$A:$A"),0),
MATCH(O$3,INDIRECT("'"&amp;INDEX($H:$H,MATCH(ROUNDDOWN($G102,0),$G:$G))&amp;"'!$V$2:$Z$2"),0)),0)</f>
        <v>0</v>
      </c>
      <c r="P102" s="491">
        <f t="shared" ref="P102" ca="1" si="183">IFERROR(IF(O102="inc","inc",IF(AND(O102&gt;0,I102&gt;0),O102/I102,IF(SUM(K102:N102)&gt;0,SUM(K102:N102),0))),0)</f>
        <v>0</v>
      </c>
      <c r="Q102" s="492">
        <f t="shared" ref="Q102" ca="1" si="184">IFERROR(IF(P102="",0,I102*P102),0)</f>
        <v>0</v>
      </c>
      <c r="R102" s="493" t="str">
        <f ca="1">IFERROR(
INDEX(INDIRECT("'"&amp;INDEX($H:$H,MATCH(ROUNDDOWN($G102,0),$G:$G))&amp;"'!$W:$AA"),
MATCH($G102,INDIRECT("'"&amp;INDEX($H:$H,MATCH(ROUNDDOWN($G102,0),$G:$G))&amp;"'!$A:$A"),0),
MATCH(R$3,INDIRECT("'"&amp;INDEX($H:$H,MATCH(ROUNDDOWN($G102,0),$G:$G))&amp;"'!$W$1:$AA$1"),0)),"")</f>
        <v/>
      </c>
      <c r="S102" s="494">
        <f t="shared" ca="1" si="143"/>
        <v>0</v>
      </c>
      <c r="T102" s="499">
        <f ca="1">IF(I102=0,0,INDEX('Labour Rates'!E$4:E$35,MATCH(ROUNDDOWN(BREAKDOWN!G102,0),'Labour Rates'!A$4:A$35)))</f>
        <v>108.1</v>
      </c>
      <c r="U102" s="496">
        <f t="shared" ref="U102" ca="1" si="185">IF($Y102&gt;0, 0, IFERROR($I102*K102,0))</f>
        <v>0</v>
      </c>
      <c r="V102" s="496">
        <f t="shared" ref="V102" ca="1" si="186">IF($Y102&gt;0, 0, IFERROR($I102*L102,0))</f>
        <v>0</v>
      </c>
      <c r="W102" s="496">
        <f t="shared" ref="W102" ca="1" si="187">IF($Y102&gt;0, 0, IFERROR($I102*M102,0))</f>
        <v>0</v>
      </c>
      <c r="X102" s="496">
        <f t="shared" ref="X102" ca="1" si="188">IF($Y102&gt;0, 0, IFERROR($I102*N102,0))</f>
        <v>0</v>
      </c>
      <c r="Y102" s="497">
        <f t="shared" ref="Y102" ca="1" si="189">IF(I102&gt;0,O102,0)</f>
        <v>0</v>
      </c>
      <c r="Z102" s="497">
        <f ca="1">Q102*$I$158</f>
        <v>0</v>
      </c>
      <c r="AA102" s="497">
        <f ca="1">Q102*$I$159</f>
        <v>0</v>
      </c>
      <c r="AB102" s="497">
        <f t="shared" ref="AB102" ca="1" si="190">SUM(U102:AA102)</f>
        <v>0</v>
      </c>
      <c r="AC102" s="498">
        <f t="shared" ref="AC102" ca="1" si="191">SUM(U102:Y102)-Q102</f>
        <v>0</v>
      </c>
    </row>
    <row r="103" spans="1:29" s="483" customFormat="1" ht="15.75" x14ac:dyDescent="0.25">
      <c r="A103" s="484"/>
      <c r="B103" s="484"/>
      <c r="C103" s="484"/>
      <c r="D103" s="484"/>
      <c r="E103" s="484"/>
      <c r="F103" s="485"/>
      <c r="G103" s="502">
        <f ca="1">G101+1</f>
        <v>21</v>
      </c>
      <c r="H103" s="473" t="str">
        <f ca="1">INDEX(Fire!B:B,MATCH(BREAKDOWN!G103,Fire!A:A))</f>
        <v>FIRE</v>
      </c>
      <c r="I103" s="474"/>
      <c r="J103" s="475"/>
      <c r="K103" s="476"/>
      <c r="L103" s="476"/>
      <c r="M103" s="476"/>
      <c r="N103" s="476"/>
      <c r="O103" s="476"/>
      <c r="P103" s="476"/>
      <c r="Q103" s="477">
        <f ca="1">SUMIFS(Q:Q,$G:$G,"&gt;"&amp;$G103,$G:$G,"&lt;"&amp;($G103+1))</f>
        <v>0</v>
      </c>
      <c r="R103" s="478">
        <f ca="1">Q103
-INDEX(INDIRECT("'"&amp;H103&amp;"'!B:T"),MATCH($Q$3,INDIRECT("'"&amp;H103&amp;"'!B:B"),0),MATCH($Q$3,INDIRECT("'"&amp;H103&amp;"'!B$1:T$1"),0))
-(SUMIFS(U:U,$G:$G,"&gt;"&amp;$G103,$G:$G,"&lt;"&amp;($G103+1))-SUMIFS(U:U,$G:$G,"&gt;"&amp;$G103,$G:$G,"&lt;"&amp;($G103+1))/INDEX('Labour Rates'!F$4:F$35,MATCH(ROUNDDOWN(BREAKDOWN!G103,0),'Labour Rates'!A$4:A$35)))</f>
        <v>0</v>
      </c>
      <c r="S103" s="503"/>
      <c r="T103" s="499"/>
      <c r="U103" s="503"/>
      <c r="V103" s="503"/>
      <c r="W103" s="503"/>
      <c r="X103" s="503"/>
      <c r="Y103" s="503"/>
      <c r="Z103" s="503"/>
      <c r="AA103" s="503"/>
      <c r="AB103" s="477">
        <f ca="1">SUM(AB104:AB104)</f>
        <v>0</v>
      </c>
      <c r="AC103" s="498"/>
    </row>
    <row r="104" spans="1:29" s="500" customFormat="1" ht="31.5" x14ac:dyDescent="0.25">
      <c r="A104" s="504"/>
      <c r="B104" s="504"/>
      <c r="C104" s="504"/>
      <c r="D104" s="504"/>
      <c r="E104" s="504"/>
      <c r="F104" s="501"/>
      <c r="G104" s="486">
        <f ca="1">G103+0.01</f>
        <v>21.01</v>
      </c>
      <c r="H104" s="487" t="str">
        <f ca="1">IF($I104&lt;&gt;0,
INDEX(INDIRECT("'"&amp;INDEX($H:$H,MATCH(ROUNDDOWN($G104,0),$G:$G))&amp;"'!$B:$T"),
MATCH($G104,INDIRECT("'"&amp;INDEX($H:$H,MATCH(ROUNDDOWN($G104,0),$G:$G))&amp;"'!$A:$A"),0),
MATCH(H$3,INDIRECT("'"&amp;INDEX($H:$H,MATCH(ROUNDDOWN($G104,0),$G:$G))&amp;"'!$B$1:$T$1"),0)),0)</f>
        <v>Fire Protection (Elemental Estimating) (Including Relocation of FHR) (Provisional Sum)</v>
      </c>
      <c r="I104" s="488">
        <f ca="1">IFERROR(
INDEX(INDIRECT("'"&amp;INDEX($H:$H,MATCH(ROUNDDOWN($G104,0),$G:$G))&amp;"'!$B:$T"),
MATCH($G104,INDIRECT("'"&amp;INDEX($H:$H,MATCH(ROUNDDOWN($G104,0),$G:$G))&amp;"'!$A:$A"),0),
MATCH(I$3,INDIRECT("'"&amp;INDEX($H:$H,MATCH(ROUNDDOWN($G104,0),$G:$G))&amp;"'!$B$1:$T$1"),0)),0)</f>
        <v>1</v>
      </c>
      <c r="J104" s="489" t="str">
        <f ca="1">IFERROR(
INDEX(INDIRECT("'"&amp;INDEX($H:$H,MATCH(ROUNDDOWN($G104,0),$G:$G))&amp;"'!$B:$T"),
MATCH($G104,INDIRECT("'"&amp;INDEX($H:$H,MATCH(ROUNDDOWN($G104,0),$G:$G))&amp;"'!$A:$A"),0),
MATCH(J$3,INDIRECT("'"&amp;INDEX($H:$H,MATCH(ROUNDDOWN($G104,0),$G:$G))&amp;"'!$B$1:$T$1"),0)),0)</f>
        <v>item</v>
      </c>
      <c r="K104" s="490">
        <f ca="1">IFERROR(
INDEX(INDIRECT("'"&amp;INDEX($H:$H,MATCH(ROUNDDOWN($G104,0),$G:$G))&amp;"'!$B:$T"),
MATCH($G104,INDIRECT("'"&amp;INDEX($H:$H,MATCH(ROUNDDOWN($G104,0),$G:$G))&amp;"'!$A:$A"),0),
MATCH(K$3,INDIRECT("'"&amp;INDEX($H:$H,MATCH(ROUNDDOWN($G104,0),$G:$G))&amp;"'!$B$1:$T$1"),0)),0)
*INDEX('Labour Rates'!F$4:F$35,MATCH(ROUNDDOWN(BREAKDOWN!G104,0),'Labour Rates'!A$4:A$35))</f>
        <v>0</v>
      </c>
      <c r="L104" s="490">
        <f ca="1">IFERROR(
INDEX(INDIRECT("'"&amp;INDEX($H:$H,MATCH(ROUNDDOWN($G104,0),$G:$G))&amp;"'!$B:$T"),
MATCH($G104,INDIRECT("'"&amp;INDEX($H:$H,MATCH(ROUNDDOWN($G104,0),$G:$G))&amp;"'!$A:$A"),0),
MATCH(L$3,INDIRECT("'"&amp;INDEX($H:$H,MATCH(ROUNDDOWN($G104,0),$G:$G))&amp;"'!$B$1:$T$1"),0)),0)</f>
        <v>0</v>
      </c>
      <c r="M104" s="490">
        <f ca="1">IFERROR(
INDEX(INDIRECT("'"&amp;INDEX($H:$H,MATCH(ROUNDDOWN($G104,0),$G:$G))&amp;"'!$B:$T"),
MATCH($G104,INDIRECT("'"&amp;INDEX($H:$H,MATCH(ROUNDDOWN($G104,0),$G:$G))&amp;"'!$A:$A"),0),
MATCH(M$3,INDIRECT("'"&amp;INDEX($H:$H,MATCH(ROUNDDOWN($G104,0),$G:$G))&amp;"'!$B$1:$T$1"),0)),0)</f>
        <v>0</v>
      </c>
      <c r="N104" s="490">
        <f ca="1">IFERROR(
INDEX(INDIRECT("'"&amp;INDEX($H:$H,MATCH(ROUNDDOWN($G104,0),$G:$G))&amp;"'!$B:$T"),
MATCH($G104,INDIRECT("'"&amp;INDEX($H:$H,MATCH(ROUNDDOWN($G104,0),$G:$G))&amp;"'!$A:$A"),0),
MATCH(N$3,INDIRECT("'"&amp;INDEX($H:$H,MATCH(ROUNDDOWN($G104,0),$G:$G))&amp;"'!$B$1:$T$1"),0)),0)</f>
        <v>0</v>
      </c>
      <c r="O104" s="490">
        <f ca="1">IFERROR(
INDEX(INDIRECT("'"&amp;INDEX($H:$H,MATCH(ROUNDDOWN($G104,0),$G:$G))&amp;"'!$V:$Z"),
MATCH($G104,INDIRECT("'"&amp;INDEX($H:$H,MATCH(ROUNDDOWN($G104,0),$G:$G))&amp;"'!$A:$A"),0),
MATCH(O$3,INDIRECT("'"&amp;INDEX($H:$H,MATCH(ROUNDDOWN($G104,0),$G:$G))&amp;"'!$V$2:$Z$2"),0)),0)</f>
        <v>0</v>
      </c>
      <c r="P104" s="491">
        <f t="shared" ref="P104" ca="1" si="192">IFERROR(IF(O104="inc","inc",IF(AND(O104&gt;0,I104&gt;0),O104/I104,IF(SUM(K104:N104)&gt;0,SUM(K104:N104),0))),0)</f>
        <v>0</v>
      </c>
      <c r="Q104" s="492">
        <f t="shared" ref="Q104" ca="1" si="193">IFERROR(IF(P104="",0,I104*P104),0)</f>
        <v>0</v>
      </c>
      <c r="R104" s="493" t="str">
        <f ca="1">IFERROR(
INDEX(INDIRECT("'"&amp;INDEX($H:$H,MATCH(ROUNDDOWN($G104,0),$G:$G))&amp;"'!$W:$AA"),
MATCH($G104,INDIRECT("'"&amp;INDEX($H:$H,MATCH(ROUNDDOWN($G104,0),$G:$G))&amp;"'!$A:$A"),0),
MATCH(R$3,INDIRECT("'"&amp;INDEX($H:$H,MATCH(ROUNDDOWN($G104,0),$G:$G))&amp;"'!$W$1:$AA$1"),0)),"")</f>
        <v/>
      </c>
      <c r="S104" s="494">
        <f t="shared" ca="1" si="143"/>
        <v>0</v>
      </c>
      <c r="T104" s="499">
        <f ca="1">IF(I104=0,0,INDEX('Labour Rates'!E$4:E$35,MATCH(ROUNDDOWN(BREAKDOWN!G104,0),'Labour Rates'!A$4:A$35)))</f>
        <v>100.05</v>
      </c>
      <c r="U104" s="496">
        <f t="shared" ref="U104" ca="1" si="194">IF($Y104&gt;0, 0, IFERROR($I104*K104,0))</f>
        <v>0</v>
      </c>
      <c r="V104" s="496">
        <f t="shared" ref="V104" ca="1" si="195">IF($Y104&gt;0, 0, IFERROR($I104*L104,0))</f>
        <v>0</v>
      </c>
      <c r="W104" s="496">
        <f t="shared" ref="W104" ca="1" si="196">IF($Y104&gt;0, 0, IFERROR($I104*M104,0))</f>
        <v>0</v>
      </c>
      <c r="X104" s="496">
        <f t="shared" ref="X104" ca="1" si="197">IF($Y104&gt;0, 0, IFERROR($I104*N104,0))</f>
        <v>0</v>
      </c>
      <c r="Y104" s="497">
        <f t="shared" ref="Y104" ca="1" si="198">IF(I104&gt;0,O104,0)</f>
        <v>0</v>
      </c>
      <c r="Z104" s="497">
        <f ca="1">Q104*$I$158</f>
        <v>0</v>
      </c>
      <c r="AA104" s="497">
        <f ca="1">Q104*$I$159</f>
        <v>0</v>
      </c>
      <c r="AB104" s="497">
        <f t="shared" ref="AB104" ca="1" si="199">SUM(U104:AA104)</f>
        <v>0</v>
      </c>
      <c r="AC104" s="498">
        <f t="shared" ref="AC104" ca="1" si="200">SUM(U104:Y104)-Q104</f>
        <v>0</v>
      </c>
    </row>
    <row r="105" spans="1:29" s="483" customFormat="1" ht="15.75" x14ac:dyDescent="0.25">
      <c r="A105" s="484"/>
      <c r="B105" s="484"/>
      <c r="C105" s="484"/>
      <c r="D105" s="484"/>
      <c r="E105" s="484"/>
      <c r="F105" s="485"/>
      <c r="G105" s="502">
        <f ca="1">G103+1</f>
        <v>22</v>
      </c>
      <c r="H105" s="473" t="str">
        <f ca="1">INDEX(Blockwork!B:B,MATCH(BREAKDOWN!G105,Blockwork!A:A))</f>
        <v>BLOCKWORK</v>
      </c>
      <c r="I105" s="474"/>
      <c r="J105" s="475"/>
      <c r="K105" s="476"/>
      <c r="L105" s="476"/>
      <c r="M105" s="476"/>
      <c r="N105" s="476"/>
      <c r="O105" s="476"/>
      <c r="P105" s="476"/>
      <c r="Q105" s="477">
        <f ca="1">SUMIFS(Q:Q,$G:$G,"&gt;"&amp;$G105,$G:$G,"&lt;"&amp;($G105+1))</f>
        <v>0</v>
      </c>
      <c r="R105" s="478">
        <f ca="1">Q105
-INDEX(INDIRECT("'"&amp;H105&amp;"'!B:T"),MATCH($Q$3,INDIRECT("'"&amp;H105&amp;"'!B:B"),0),MATCH($Q$3,INDIRECT("'"&amp;H105&amp;"'!B$1:T$1"),0))
-(SUMIFS(U:U,$G:$G,"&gt;"&amp;$G105,$G:$G,"&lt;"&amp;($G105+1))-SUMIFS(U:U,$G:$G,"&gt;"&amp;$G105,$G:$G,"&lt;"&amp;($G105+1))/INDEX('Labour Rates'!F$4:F$35,MATCH(ROUNDDOWN(BREAKDOWN!G105,0),'Labour Rates'!A$4:A$35)))</f>
        <v>0</v>
      </c>
      <c r="S105" s="503"/>
      <c r="T105" s="499"/>
      <c r="U105" s="503"/>
      <c r="V105" s="503"/>
      <c r="W105" s="503"/>
      <c r="X105" s="503"/>
      <c r="Y105" s="503"/>
      <c r="Z105" s="503"/>
      <c r="AA105" s="503"/>
      <c r="AB105" s="477">
        <f ca="1">SUM(AB106:AB118)</f>
        <v>0</v>
      </c>
      <c r="AC105" s="498"/>
    </row>
    <row r="106" spans="1:29" s="500" customFormat="1" ht="15.75" x14ac:dyDescent="0.25">
      <c r="A106" s="504"/>
      <c r="B106" s="504"/>
      <c r="C106" s="504"/>
      <c r="D106" s="504"/>
      <c r="E106" s="504"/>
      <c r="F106" s="501"/>
      <c r="G106" s="486">
        <f ca="1">G105+0.01</f>
        <v>22.01</v>
      </c>
      <c r="H106" s="487" t="str">
        <f t="shared" ref="H106:H118" ca="1" si="201">IF($I106&lt;&gt;0,
INDEX(INDIRECT("'"&amp;INDEX($H:$H,MATCH(ROUNDDOWN($G106,0),$G:$G))&amp;"'!$B:$T"),
MATCH($G106,INDIRECT("'"&amp;INDEX($H:$H,MATCH(ROUNDDOWN($G106,0),$G:$G))&amp;"'!$A:$A"),0),
MATCH(H$3,INDIRECT("'"&amp;INDEX($H:$H,MATCH(ROUNDDOWN($G106,0),$G:$G))&amp;"'!$B$1:$T$1"),0)),0)</f>
        <v>Blockwork (See Below Items for Detailed Prices)</v>
      </c>
      <c r="I106" s="488">
        <f t="shared" ref="I106:J118" ca="1" si="202">IFERROR(
INDEX(INDIRECT("'"&amp;INDEX($H:$H,MATCH(ROUNDDOWN($G106,0),$G:$G))&amp;"'!$B:$T"),
MATCH($G106,INDIRECT("'"&amp;INDEX($H:$H,MATCH(ROUNDDOWN($G106,0),$G:$G))&amp;"'!$A:$A"),0),
MATCH(I$3,INDIRECT("'"&amp;INDEX($H:$H,MATCH(ROUNDDOWN($G106,0),$G:$G))&amp;"'!$B$1:$T$1"),0)),0)</f>
        <v>7.34</v>
      </c>
      <c r="J106" s="489" t="str">
        <f t="shared" ca="1" si="202"/>
        <v>m2</v>
      </c>
      <c r="K106" s="490">
        <f ca="1">IFERROR(
INDEX(INDIRECT("'"&amp;INDEX($H:$H,MATCH(ROUNDDOWN($G106,0),$G:$G))&amp;"'!$B:$T"),
MATCH($G106,INDIRECT("'"&amp;INDEX($H:$H,MATCH(ROUNDDOWN($G106,0),$G:$G))&amp;"'!$A:$A"),0),
MATCH(K$3,INDIRECT("'"&amp;INDEX($H:$H,MATCH(ROUNDDOWN($G106,0),$G:$G))&amp;"'!$B$1:$T$1"),0)),0)
*INDEX('Labour Rates'!F$4:F$35,MATCH(ROUNDDOWN(BREAKDOWN!G106,0),'Labour Rates'!A$4:A$35))</f>
        <v>0</v>
      </c>
      <c r="L106" s="490">
        <f t="shared" ref="L106:N118" ca="1" si="203">IFERROR(
INDEX(INDIRECT("'"&amp;INDEX($H:$H,MATCH(ROUNDDOWN($G106,0),$G:$G))&amp;"'!$B:$T"),
MATCH($G106,INDIRECT("'"&amp;INDEX($H:$H,MATCH(ROUNDDOWN($G106,0),$G:$G))&amp;"'!$A:$A"),0),
MATCH(L$3,INDIRECT("'"&amp;INDEX($H:$H,MATCH(ROUNDDOWN($G106,0),$G:$G))&amp;"'!$B$1:$T$1"),0)),0)</f>
        <v>0</v>
      </c>
      <c r="M106" s="490">
        <f t="shared" ca="1" si="203"/>
        <v>0</v>
      </c>
      <c r="N106" s="490">
        <f t="shared" ca="1" si="203"/>
        <v>0</v>
      </c>
      <c r="O106" s="490">
        <f t="shared" ref="O106:O118" ca="1" si="204">IFERROR(
INDEX(INDIRECT("'"&amp;INDEX($H:$H,MATCH(ROUNDDOWN($G106,0),$G:$G))&amp;"'!$V:$Z"),
MATCH($G106,INDIRECT("'"&amp;INDEX($H:$H,MATCH(ROUNDDOWN($G106,0),$G:$G))&amp;"'!$A:$A"),0),
MATCH(O$3,INDIRECT("'"&amp;INDEX($H:$H,MATCH(ROUNDDOWN($G106,0),$G:$G))&amp;"'!$V$2:$Z$2"),0)),0)</f>
        <v>0</v>
      </c>
      <c r="P106" s="491">
        <f t="shared" ref="P106:P118" ca="1" si="205">IFERROR(IF(O106="inc","inc",IF(AND(O106&gt;0,I106&gt;0),O106/I106,IF(SUM(K106:N106)&gt;0,SUM(K106:N106),0))),0)</f>
        <v>0</v>
      </c>
      <c r="Q106" s="492">
        <f t="shared" ref="Q106:Q118" ca="1" si="206">IFERROR(IF(P106="",0,I106*P106),0)</f>
        <v>0</v>
      </c>
      <c r="R106" s="493" t="str">
        <f t="shared" ref="R106:R118" ca="1" si="207">IFERROR(
INDEX(INDIRECT("'"&amp;INDEX($H:$H,MATCH(ROUNDDOWN($G106,0),$G:$G))&amp;"'!$W:$AA"),
MATCH($G106,INDIRECT("'"&amp;INDEX($H:$H,MATCH(ROUNDDOWN($G106,0),$G:$G))&amp;"'!$A:$A"),0),
MATCH(R$3,INDIRECT("'"&amp;INDEX($H:$H,MATCH(ROUNDDOWN($G106,0),$G:$G))&amp;"'!$W$1:$AA$1"),0)),"")</f>
        <v/>
      </c>
      <c r="S106" s="494">
        <f t="shared" ca="1" si="143"/>
        <v>0</v>
      </c>
      <c r="T106" s="499">
        <f ca="1">IF(I106=0,0,INDEX('Labour Rates'!E$4:E$35,MATCH(ROUNDDOWN(BREAKDOWN!G106,0),'Labour Rates'!A$4:A$35)))</f>
        <v>95.58</v>
      </c>
      <c r="U106" s="496">
        <f t="shared" ref="U106:U118" ca="1" si="208">IF($Y106&gt;0, 0, IFERROR($I106*K106,0))</f>
        <v>0</v>
      </c>
      <c r="V106" s="496">
        <f t="shared" ref="V106:V118" ca="1" si="209">IF($Y106&gt;0, 0, IFERROR($I106*L106,0))</f>
        <v>0</v>
      </c>
      <c r="W106" s="496">
        <f t="shared" ref="W106:W118" ca="1" si="210">IF($Y106&gt;0, 0, IFERROR($I106*M106,0))</f>
        <v>0</v>
      </c>
      <c r="X106" s="496">
        <f t="shared" ref="X106:X118" ca="1" si="211">IF($Y106&gt;0, 0, IFERROR($I106*N106,0))</f>
        <v>0</v>
      </c>
      <c r="Y106" s="497">
        <f t="shared" ref="Y106:Y118" ca="1" si="212">IF(I106&gt;0,O106,0)</f>
        <v>0</v>
      </c>
      <c r="Z106" s="497">
        <f t="shared" ref="Z106:Z118" ca="1" si="213">Q106*$I$158</f>
        <v>0</v>
      </c>
      <c r="AA106" s="497">
        <f t="shared" ref="AA106:AA118" ca="1" si="214">Q106*$I$159</f>
        <v>0</v>
      </c>
      <c r="AB106" s="497">
        <f t="shared" ref="AB106:AB118" ca="1" si="215">SUM(U106:AA106)</f>
        <v>0</v>
      </c>
      <c r="AC106" s="498">
        <f t="shared" ref="AC106:AC118" ca="1" si="216">SUM(U106:Y106)-Q106</f>
        <v>0</v>
      </c>
    </row>
    <row r="107" spans="1:29" s="500" customFormat="1" ht="15.75" x14ac:dyDescent="0.25">
      <c r="A107" s="504"/>
      <c r="B107" s="504"/>
      <c r="C107" s="504"/>
      <c r="D107" s="504"/>
      <c r="E107" s="504"/>
      <c r="F107" s="501"/>
      <c r="G107" s="486">
        <f t="shared" ref="G107:G118" ca="1" si="217">G106+0.01</f>
        <v>22.020000000000003</v>
      </c>
      <c r="H107" s="487" t="str">
        <f t="shared" ca="1" si="201"/>
        <v>Blockwork - Blocklaying</v>
      </c>
      <c r="I107" s="488">
        <f t="shared" ca="1" si="202"/>
        <v>97</v>
      </c>
      <c r="J107" s="489" t="str">
        <f t="shared" ca="1" si="202"/>
        <v>No.</v>
      </c>
      <c r="K107" s="490">
        <f ca="1">IFERROR(
INDEX(INDIRECT("'"&amp;INDEX($H:$H,MATCH(ROUNDDOWN($G107,0),$G:$G))&amp;"'!$B:$T"),
MATCH($G107,INDIRECT("'"&amp;INDEX($H:$H,MATCH(ROUNDDOWN($G107,0),$G:$G))&amp;"'!$A:$A"),0),
MATCH(K$3,INDIRECT("'"&amp;INDEX($H:$H,MATCH(ROUNDDOWN($G107,0),$G:$G))&amp;"'!$B$1:$T$1"),0)),0)
*INDEX('Labour Rates'!F$4:F$35,MATCH(ROUNDDOWN(BREAKDOWN!G107,0),'Labour Rates'!A$4:A$35))</f>
        <v>0</v>
      </c>
      <c r="L107" s="490">
        <f t="shared" ca="1" si="203"/>
        <v>0</v>
      </c>
      <c r="M107" s="490">
        <f t="shared" ca="1" si="203"/>
        <v>0</v>
      </c>
      <c r="N107" s="490">
        <f t="shared" ca="1" si="203"/>
        <v>0</v>
      </c>
      <c r="O107" s="490">
        <f t="shared" ca="1" si="204"/>
        <v>0</v>
      </c>
      <c r="P107" s="491">
        <f t="shared" ca="1" si="205"/>
        <v>0</v>
      </c>
      <c r="Q107" s="492">
        <f t="shared" ca="1" si="206"/>
        <v>0</v>
      </c>
      <c r="R107" s="493" t="str">
        <f t="shared" ca="1" si="207"/>
        <v/>
      </c>
      <c r="S107" s="494">
        <f t="shared" ca="1" si="143"/>
        <v>0</v>
      </c>
      <c r="T107" s="499">
        <f ca="1">IF(I107=0,0,INDEX('Labour Rates'!E$4:E$35,MATCH(ROUNDDOWN(BREAKDOWN!G107,0),'Labour Rates'!A$4:A$35)))</f>
        <v>95.58</v>
      </c>
      <c r="U107" s="496">
        <f t="shared" ca="1" si="208"/>
        <v>0</v>
      </c>
      <c r="V107" s="496">
        <f t="shared" ca="1" si="209"/>
        <v>0</v>
      </c>
      <c r="W107" s="496">
        <f t="shared" ca="1" si="210"/>
        <v>0</v>
      </c>
      <c r="X107" s="496">
        <f t="shared" ca="1" si="211"/>
        <v>0</v>
      </c>
      <c r="Y107" s="497">
        <f t="shared" ca="1" si="212"/>
        <v>0</v>
      </c>
      <c r="Z107" s="497">
        <f t="shared" ca="1" si="213"/>
        <v>0</v>
      </c>
      <c r="AA107" s="497">
        <f t="shared" ca="1" si="214"/>
        <v>0</v>
      </c>
      <c r="AB107" s="497">
        <f t="shared" ca="1" si="215"/>
        <v>0</v>
      </c>
      <c r="AC107" s="498">
        <f t="shared" ca="1" si="216"/>
        <v>0</v>
      </c>
    </row>
    <row r="108" spans="1:29" s="483" customFormat="1" ht="15.75" x14ac:dyDescent="0.25">
      <c r="A108" s="484"/>
      <c r="B108" s="484"/>
      <c r="C108" s="484"/>
      <c r="D108" s="484"/>
      <c r="E108" s="484"/>
      <c r="F108" s="485"/>
      <c r="G108" s="486">
        <f t="shared" ca="1" si="217"/>
        <v>22.030000000000005</v>
      </c>
      <c r="H108" s="487" t="str">
        <f t="shared" ca="1" si="201"/>
        <v>Blockwork - Block Supply</v>
      </c>
      <c r="I108" s="488">
        <f t="shared" ca="1" si="202"/>
        <v>97</v>
      </c>
      <c r="J108" s="489" t="str">
        <f t="shared" ca="1" si="202"/>
        <v>No.</v>
      </c>
      <c r="K108" s="490">
        <f ca="1">IFERROR(
INDEX(INDIRECT("'"&amp;INDEX($H:$H,MATCH(ROUNDDOWN($G108,0),$G:$G))&amp;"'!$B:$T"),
MATCH($G108,INDIRECT("'"&amp;INDEX($H:$H,MATCH(ROUNDDOWN($G108,0),$G:$G))&amp;"'!$A:$A"),0),
MATCH(K$3,INDIRECT("'"&amp;INDEX($H:$H,MATCH(ROUNDDOWN($G108,0),$G:$G))&amp;"'!$B$1:$T$1"),0)),0)
*INDEX('Labour Rates'!F$4:F$35,MATCH(ROUNDDOWN(BREAKDOWN!G108,0),'Labour Rates'!A$4:A$35))</f>
        <v>0</v>
      </c>
      <c r="L108" s="490">
        <f t="shared" ca="1" si="203"/>
        <v>0</v>
      </c>
      <c r="M108" s="490">
        <f t="shared" ca="1" si="203"/>
        <v>0</v>
      </c>
      <c r="N108" s="490">
        <f t="shared" ca="1" si="203"/>
        <v>0</v>
      </c>
      <c r="O108" s="490">
        <f t="shared" ca="1" si="204"/>
        <v>0</v>
      </c>
      <c r="P108" s="491">
        <f t="shared" ca="1" si="205"/>
        <v>0</v>
      </c>
      <c r="Q108" s="492">
        <f t="shared" ca="1" si="206"/>
        <v>0</v>
      </c>
      <c r="R108" s="493" t="str">
        <f t="shared" ca="1" si="207"/>
        <v/>
      </c>
      <c r="S108" s="494">
        <f t="shared" ca="1" si="143"/>
        <v>0</v>
      </c>
      <c r="T108" s="499">
        <f ca="1">IF(I108=0,0,INDEX('Labour Rates'!E$4:E$35,MATCH(ROUNDDOWN(BREAKDOWN!G108,0),'Labour Rates'!A$4:A$35)))</f>
        <v>95.58</v>
      </c>
      <c r="U108" s="496">
        <f t="shared" ca="1" si="208"/>
        <v>0</v>
      </c>
      <c r="V108" s="496">
        <f t="shared" ca="1" si="209"/>
        <v>0</v>
      </c>
      <c r="W108" s="496">
        <f t="shared" ca="1" si="210"/>
        <v>0</v>
      </c>
      <c r="X108" s="496">
        <f t="shared" ca="1" si="211"/>
        <v>0</v>
      </c>
      <c r="Y108" s="497">
        <f t="shared" ca="1" si="212"/>
        <v>0</v>
      </c>
      <c r="Z108" s="497">
        <f t="shared" ca="1" si="213"/>
        <v>0</v>
      </c>
      <c r="AA108" s="497">
        <f t="shared" ca="1" si="214"/>
        <v>0</v>
      </c>
      <c r="AB108" s="497">
        <f t="shared" ca="1" si="215"/>
        <v>0</v>
      </c>
      <c r="AC108" s="498">
        <f t="shared" ca="1" si="216"/>
        <v>0</v>
      </c>
    </row>
    <row r="109" spans="1:29" s="483" customFormat="1" ht="15.75" x14ac:dyDescent="0.25">
      <c r="A109" s="484"/>
      <c r="B109" s="484"/>
      <c r="C109" s="484"/>
      <c r="D109" s="484"/>
      <c r="E109" s="484"/>
      <c r="F109" s="485"/>
      <c r="G109" s="486">
        <f t="shared" ca="1" si="217"/>
        <v>22.040000000000006</v>
      </c>
      <c r="H109" s="487" t="str">
        <f t="shared" ca="1" si="201"/>
        <v>Blockwork - Sand Supply</v>
      </c>
      <c r="I109" s="488">
        <f t="shared" ca="1" si="202"/>
        <v>0.16489999999999999</v>
      </c>
      <c r="J109" s="489" t="str">
        <f t="shared" ca="1" si="202"/>
        <v>tonnes</v>
      </c>
      <c r="K109" s="490">
        <f ca="1">IFERROR(
INDEX(INDIRECT("'"&amp;INDEX($H:$H,MATCH(ROUNDDOWN($G109,0),$G:$G))&amp;"'!$B:$T"),
MATCH($G109,INDIRECT("'"&amp;INDEX($H:$H,MATCH(ROUNDDOWN($G109,0),$G:$G))&amp;"'!$A:$A"),0),
MATCH(K$3,INDIRECT("'"&amp;INDEX($H:$H,MATCH(ROUNDDOWN($G109,0),$G:$G))&amp;"'!$B$1:$T$1"),0)),0)
*INDEX('Labour Rates'!F$4:F$35,MATCH(ROUNDDOWN(BREAKDOWN!G109,0),'Labour Rates'!A$4:A$35))</f>
        <v>0</v>
      </c>
      <c r="L109" s="490">
        <f t="shared" ca="1" si="203"/>
        <v>0</v>
      </c>
      <c r="M109" s="490">
        <f t="shared" ca="1" si="203"/>
        <v>0</v>
      </c>
      <c r="N109" s="490">
        <f t="shared" ca="1" si="203"/>
        <v>0</v>
      </c>
      <c r="O109" s="490">
        <f t="shared" ca="1" si="204"/>
        <v>0</v>
      </c>
      <c r="P109" s="491">
        <f t="shared" ca="1" si="205"/>
        <v>0</v>
      </c>
      <c r="Q109" s="492">
        <f t="shared" ca="1" si="206"/>
        <v>0</v>
      </c>
      <c r="R109" s="493" t="str">
        <f t="shared" ca="1" si="207"/>
        <v/>
      </c>
      <c r="S109" s="494">
        <f t="shared" ca="1" si="143"/>
        <v>0</v>
      </c>
      <c r="T109" s="499">
        <f ca="1">IF(I109=0,0,INDEX('Labour Rates'!E$4:E$35,MATCH(ROUNDDOWN(BREAKDOWN!G109,0),'Labour Rates'!A$4:A$35)))</f>
        <v>95.58</v>
      </c>
      <c r="U109" s="496">
        <f t="shared" ca="1" si="208"/>
        <v>0</v>
      </c>
      <c r="V109" s="496">
        <f t="shared" ca="1" si="209"/>
        <v>0</v>
      </c>
      <c r="W109" s="496">
        <f t="shared" ca="1" si="210"/>
        <v>0</v>
      </c>
      <c r="X109" s="496">
        <f t="shared" ca="1" si="211"/>
        <v>0</v>
      </c>
      <c r="Y109" s="497">
        <f t="shared" ca="1" si="212"/>
        <v>0</v>
      </c>
      <c r="Z109" s="497">
        <f t="shared" ca="1" si="213"/>
        <v>0</v>
      </c>
      <c r="AA109" s="497">
        <f t="shared" ca="1" si="214"/>
        <v>0</v>
      </c>
      <c r="AB109" s="497">
        <f t="shared" ca="1" si="215"/>
        <v>0</v>
      </c>
      <c r="AC109" s="498">
        <f t="shared" ca="1" si="216"/>
        <v>0</v>
      </c>
    </row>
    <row r="110" spans="1:29" s="500" customFormat="1" ht="15.75" x14ac:dyDescent="0.25">
      <c r="A110" s="504"/>
      <c r="B110" s="504"/>
      <c r="C110" s="504"/>
      <c r="D110" s="504"/>
      <c r="E110" s="504"/>
      <c r="F110" s="501"/>
      <c r="G110" s="486">
        <f t="shared" ca="1" si="217"/>
        <v>22.050000000000008</v>
      </c>
      <c r="H110" s="487" t="str">
        <f t="shared" ca="1" si="201"/>
        <v>Blockwork - Cement Supply</v>
      </c>
      <c r="I110" s="488">
        <f t="shared" ca="1" si="202"/>
        <v>3</v>
      </c>
      <c r="J110" s="489" t="str">
        <f t="shared" ca="1" si="202"/>
        <v>bags</v>
      </c>
      <c r="K110" s="490">
        <f ca="1">IFERROR(
INDEX(INDIRECT("'"&amp;INDEX($H:$H,MATCH(ROUNDDOWN($G110,0),$G:$G))&amp;"'!$B:$T"),
MATCH($G110,INDIRECT("'"&amp;INDEX($H:$H,MATCH(ROUNDDOWN($G110,0),$G:$G))&amp;"'!$A:$A"),0),
MATCH(K$3,INDIRECT("'"&amp;INDEX($H:$H,MATCH(ROUNDDOWN($G110,0),$G:$G))&amp;"'!$B$1:$T$1"),0)),0)
*INDEX('Labour Rates'!F$4:F$35,MATCH(ROUNDDOWN(BREAKDOWN!G110,0),'Labour Rates'!A$4:A$35))</f>
        <v>0</v>
      </c>
      <c r="L110" s="490">
        <f t="shared" ca="1" si="203"/>
        <v>0</v>
      </c>
      <c r="M110" s="490">
        <f t="shared" ca="1" si="203"/>
        <v>0</v>
      </c>
      <c r="N110" s="490">
        <f t="shared" ca="1" si="203"/>
        <v>0</v>
      </c>
      <c r="O110" s="490">
        <f t="shared" ca="1" si="204"/>
        <v>0</v>
      </c>
      <c r="P110" s="491">
        <f t="shared" ca="1" si="205"/>
        <v>0</v>
      </c>
      <c r="Q110" s="492">
        <f t="shared" ca="1" si="206"/>
        <v>0</v>
      </c>
      <c r="R110" s="493" t="str">
        <f t="shared" ca="1" si="207"/>
        <v/>
      </c>
      <c r="S110" s="494">
        <f t="shared" ca="1" si="143"/>
        <v>0</v>
      </c>
      <c r="T110" s="499">
        <f ca="1">IF(I110=0,0,INDEX('Labour Rates'!E$4:E$35,MATCH(ROUNDDOWN(BREAKDOWN!G110,0),'Labour Rates'!A$4:A$35)))</f>
        <v>95.58</v>
      </c>
      <c r="U110" s="496">
        <f t="shared" ca="1" si="208"/>
        <v>0</v>
      </c>
      <c r="V110" s="496">
        <f t="shared" ca="1" si="209"/>
        <v>0</v>
      </c>
      <c r="W110" s="496">
        <f t="shared" ca="1" si="210"/>
        <v>0</v>
      </c>
      <c r="X110" s="496">
        <f t="shared" ca="1" si="211"/>
        <v>0</v>
      </c>
      <c r="Y110" s="497">
        <f t="shared" ca="1" si="212"/>
        <v>0</v>
      </c>
      <c r="Z110" s="497">
        <f t="shared" ca="1" si="213"/>
        <v>0</v>
      </c>
      <c r="AA110" s="497">
        <f t="shared" ca="1" si="214"/>
        <v>0</v>
      </c>
      <c r="AB110" s="497">
        <f t="shared" ca="1" si="215"/>
        <v>0</v>
      </c>
      <c r="AC110" s="498">
        <f t="shared" ca="1" si="216"/>
        <v>0</v>
      </c>
    </row>
    <row r="111" spans="1:29" s="500" customFormat="1" ht="15.75" x14ac:dyDescent="0.25">
      <c r="A111" s="504"/>
      <c r="B111" s="504"/>
      <c r="C111" s="504"/>
      <c r="D111" s="504"/>
      <c r="E111" s="504"/>
      <c r="F111" s="501"/>
      <c r="G111" s="486">
        <f t="shared" ca="1" si="217"/>
        <v>22.060000000000009</v>
      </c>
      <c r="H111" s="487" t="str">
        <f t="shared" ca="1" si="201"/>
        <v>Blockwork - Lime Supply</v>
      </c>
      <c r="I111" s="488">
        <f t="shared" ca="1" si="202"/>
        <v>3</v>
      </c>
      <c r="J111" s="489" t="str">
        <f t="shared" ca="1" si="202"/>
        <v>bags</v>
      </c>
      <c r="K111" s="490">
        <f ca="1">IFERROR(
INDEX(INDIRECT("'"&amp;INDEX($H:$H,MATCH(ROUNDDOWN($G111,0),$G:$G))&amp;"'!$B:$T"),
MATCH($G111,INDIRECT("'"&amp;INDEX($H:$H,MATCH(ROUNDDOWN($G111,0),$G:$G))&amp;"'!$A:$A"),0),
MATCH(K$3,INDIRECT("'"&amp;INDEX($H:$H,MATCH(ROUNDDOWN($G111,0),$G:$G))&amp;"'!$B$1:$T$1"),0)),0)
*INDEX('Labour Rates'!F$4:F$35,MATCH(ROUNDDOWN(BREAKDOWN!G111,0),'Labour Rates'!A$4:A$35))</f>
        <v>0</v>
      </c>
      <c r="L111" s="490">
        <f t="shared" ca="1" si="203"/>
        <v>0</v>
      </c>
      <c r="M111" s="490">
        <f t="shared" ca="1" si="203"/>
        <v>0</v>
      </c>
      <c r="N111" s="490">
        <f t="shared" ca="1" si="203"/>
        <v>0</v>
      </c>
      <c r="O111" s="490">
        <f t="shared" ca="1" si="204"/>
        <v>0</v>
      </c>
      <c r="P111" s="491">
        <f t="shared" ca="1" si="205"/>
        <v>0</v>
      </c>
      <c r="Q111" s="492">
        <f t="shared" ca="1" si="206"/>
        <v>0</v>
      </c>
      <c r="R111" s="493" t="str">
        <f t="shared" ca="1" si="207"/>
        <v/>
      </c>
      <c r="S111" s="494">
        <f t="shared" ref="S111:S132" ca="1" si="218">IFERROR(U111/T111,"")</f>
        <v>0</v>
      </c>
      <c r="T111" s="499">
        <f ca="1">IF(I111=0,0,INDEX('Labour Rates'!E$4:E$35,MATCH(ROUNDDOWN(BREAKDOWN!G111,0),'Labour Rates'!A$4:A$35)))</f>
        <v>95.58</v>
      </c>
      <c r="U111" s="496">
        <f t="shared" ca="1" si="208"/>
        <v>0</v>
      </c>
      <c r="V111" s="496">
        <f t="shared" ca="1" si="209"/>
        <v>0</v>
      </c>
      <c r="W111" s="496">
        <f t="shared" ca="1" si="210"/>
        <v>0</v>
      </c>
      <c r="X111" s="496">
        <f t="shared" ca="1" si="211"/>
        <v>0</v>
      </c>
      <c r="Y111" s="497">
        <f t="shared" ca="1" si="212"/>
        <v>0</v>
      </c>
      <c r="Z111" s="497">
        <f t="shared" ca="1" si="213"/>
        <v>0</v>
      </c>
      <c r="AA111" s="497">
        <f t="shared" ca="1" si="214"/>
        <v>0</v>
      </c>
      <c r="AB111" s="497">
        <f t="shared" ca="1" si="215"/>
        <v>0</v>
      </c>
      <c r="AC111" s="498">
        <f t="shared" ca="1" si="216"/>
        <v>0</v>
      </c>
    </row>
    <row r="112" spans="1:29" s="483" customFormat="1" ht="15.75" x14ac:dyDescent="0.25">
      <c r="A112" s="484"/>
      <c r="B112" s="484"/>
      <c r="C112" s="484"/>
      <c r="D112" s="484"/>
      <c r="E112" s="484"/>
      <c r="F112" s="485"/>
      <c r="G112" s="486">
        <f t="shared" ca="1" si="217"/>
        <v>22.070000000000011</v>
      </c>
      <c r="H112" s="487" t="str">
        <f t="shared" ca="1" si="201"/>
        <v>Blockwork - Reinforcement Installation</v>
      </c>
      <c r="I112" s="488">
        <f t="shared" ca="1" si="202"/>
        <v>44.04</v>
      </c>
      <c r="J112" s="489" t="str">
        <f t="shared" ca="1" si="202"/>
        <v>Lm</v>
      </c>
      <c r="K112" s="490">
        <f ca="1">IFERROR(
INDEX(INDIRECT("'"&amp;INDEX($H:$H,MATCH(ROUNDDOWN($G112,0),$G:$G))&amp;"'!$B:$T"),
MATCH($G112,INDIRECT("'"&amp;INDEX($H:$H,MATCH(ROUNDDOWN($G112,0),$G:$G))&amp;"'!$A:$A"),0),
MATCH(K$3,INDIRECT("'"&amp;INDEX($H:$H,MATCH(ROUNDDOWN($G112,0),$G:$G))&amp;"'!$B$1:$T$1"),0)),0)
*INDEX('Labour Rates'!F$4:F$35,MATCH(ROUNDDOWN(BREAKDOWN!G112,0),'Labour Rates'!A$4:A$35))</f>
        <v>0</v>
      </c>
      <c r="L112" s="490">
        <f t="shared" ca="1" si="203"/>
        <v>0</v>
      </c>
      <c r="M112" s="490">
        <f t="shared" ca="1" si="203"/>
        <v>0</v>
      </c>
      <c r="N112" s="490">
        <f t="shared" ca="1" si="203"/>
        <v>0</v>
      </c>
      <c r="O112" s="490">
        <f t="shared" ca="1" si="204"/>
        <v>0</v>
      </c>
      <c r="P112" s="491">
        <f t="shared" ca="1" si="205"/>
        <v>0</v>
      </c>
      <c r="Q112" s="492">
        <f t="shared" ca="1" si="206"/>
        <v>0</v>
      </c>
      <c r="R112" s="493" t="str">
        <f t="shared" ca="1" si="207"/>
        <v/>
      </c>
      <c r="S112" s="494">
        <f t="shared" ca="1" si="218"/>
        <v>0</v>
      </c>
      <c r="T112" s="499">
        <f ca="1">IF(I112=0,0,INDEX('Labour Rates'!E$4:E$35,MATCH(ROUNDDOWN(BREAKDOWN!G112,0),'Labour Rates'!A$4:A$35)))</f>
        <v>95.58</v>
      </c>
      <c r="U112" s="496">
        <f t="shared" ca="1" si="208"/>
        <v>0</v>
      </c>
      <c r="V112" s="496">
        <f t="shared" ca="1" si="209"/>
        <v>0</v>
      </c>
      <c r="W112" s="496">
        <f t="shared" ca="1" si="210"/>
        <v>0</v>
      </c>
      <c r="X112" s="496">
        <f t="shared" ca="1" si="211"/>
        <v>0</v>
      </c>
      <c r="Y112" s="497">
        <f t="shared" ca="1" si="212"/>
        <v>0</v>
      </c>
      <c r="Z112" s="497">
        <f t="shared" ca="1" si="213"/>
        <v>0</v>
      </c>
      <c r="AA112" s="497">
        <f t="shared" ca="1" si="214"/>
        <v>0</v>
      </c>
      <c r="AB112" s="497">
        <f t="shared" ca="1" si="215"/>
        <v>0</v>
      </c>
      <c r="AC112" s="498">
        <f t="shared" ca="1" si="216"/>
        <v>0</v>
      </c>
    </row>
    <row r="113" spans="1:29" s="500" customFormat="1" ht="15.75" x14ac:dyDescent="0.25">
      <c r="A113" s="504"/>
      <c r="B113" s="504"/>
      <c r="C113" s="504"/>
      <c r="D113" s="504"/>
      <c r="E113" s="504"/>
      <c r="F113" s="501"/>
      <c r="G113" s="486">
        <f t="shared" ca="1" si="217"/>
        <v>22.080000000000013</v>
      </c>
      <c r="H113" s="487" t="str">
        <f t="shared" ca="1" si="201"/>
        <v>Blockwork - Reinforcement Supply</v>
      </c>
      <c r="I113" s="488">
        <f t="shared" ca="1" si="202"/>
        <v>44.04</v>
      </c>
      <c r="J113" s="489" t="str">
        <f t="shared" ca="1" si="202"/>
        <v>Lm</v>
      </c>
      <c r="K113" s="490">
        <f ca="1">IFERROR(
INDEX(INDIRECT("'"&amp;INDEX($H:$H,MATCH(ROUNDDOWN($G113,0),$G:$G))&amp;"'!$B:$T"),
MATCH($G113,INDIRECT("'"&amp;INDEX($H:$H,MATCH(ROUNDDOWN($G113,0),$G:$G))&amp;"'!$A:$A"),0),
MATCH(K$3,INDIRECT("'"&amp;INDEX($H:$H,MATCH(ROUNDDOWN($G113,0),$G:$G))&amp;"'!$B$1:$T$1"),0)),0)
*INDEX('Labour Rates'!F$4:F$35,MATCH(ROUNDDOWN(BREAKDOWN!G113,0),'Labour Rates'!A$4:A$35))</f>
        <v>0</v>
      </c>
      <c r="L113" s="490">
        <f t="shared" ca="1" si="203"/>
        <v>0</v>
      </c>
      <c r="M113" s="490">
        <f t="shared" ca="1" si="203"/>
        <v>0</v>
      </c>
      <c r="N113" s="490">
        <f t="shared" ca="1" si="203"/>
        <v>0</v>
      </c>
      <c r="O113" s="490">
        <f t="shared" ca="1" si="204"/>
        <v>0</v>
      </c>
      <c r="P113" s="491">
        <f t="shared" ca="1" si="205"/>
        <v>0</v>
      </c>
      <c r="Q113" s="492">
        <f t="shared" ca="1" si="206"/>
        <v>0</v>
      </c>
      <c r="R113" s="493" t="str">
        <f t="shared" ca="1" si="207"/>
        <v/>
      </c>
      <c r="S113" s="494">
        <f t="shared" ca="1" si="218"/>
        <v>0</v>
      </c>
      <c r="T113" s="499">
        <f ca="1">IF(I113=0,0,INDEX('Labour Rates'!E$4:E$35,MATCH(ROUNDDOWN(BREAKDOWN!G113,0),'Labour Rates'!A$4:A$35)))</f>
        <v>95.58</v>
      </c>
      <c r="U113" s="496">
        <f t="shared" ca="1" si="208"/>
        <v>0</v>
      </c>
      <c r="V113" s="496">
        <f t="shared" ca="1" si="209"/>
        <v>0</v>
      </c>
      <c r="W113" s="496">
        <f t="shared" ca="1" si="210"/>
        <v>0</v>
      </c>
      <c r="X113" s="496">
        <f t="shared" ca="1" si="211"/>
        <v>0</v>
      </c>
      <c r="Y113" s="497">
        <f t="shared" ca="1" si="212"/>
        <v>0</v>
      </c>
      <c r="Z113" s="497">
        <f t="shared" ca="1" si="213"/>
        <v>0</v>
      </c>
      <c r="AA113" s="497">
        <f t="shared" ca="1" si="214"/>
        <v>0</v>
      </c>
      <c r="AB113" s="497">
        <f t="shared" ca="1" si="215"/>
        <v>0</v>
      </c>
      <c r="AC113" s="498">
        <f t="shared" ca="1" si="216"/>
        <v>0</v>
      </c>
    </row>
    <row r="114" spans="1:29" s="500" customFormat="1" ht="15.75" x14ac:dyDescent="0.25">
      <c r="A114" s="504"/>
      <c r="B114" s="504"/>
      <c r="C114" s="504"/>
      <c r="D114" s="504"/>
      <c r="E114" s="504"/>
      <c r="F114" s="501"/>
      <c r="G114" s="486">
        <f t="shared" ca="1" si="217"/>
        <v>22.090000000000014</v>
      </c>
      <c r="H114" s="487" t="str">
        <f t="shared" ca="1" si="201"/>
        <v>Blockwork - Starter Bars Installation</v>
      </c>
      <c r="I114" s="488">
        <f t="shared" ca="1" si="202"/>
        <v>13.324999999999999</v>
      </c>
      <c r="J114" s="489" t="str">
        <f t="shared" ca="1" si="202"/>
        <v>No.</v>
      </c>
      <c r="K114" s="490">
        <f ca="1">IFERROR(
INDEX(INDIRECT("'"&amp;INDEX($H:$H,MATCH(ROUNDDOWN($G114,0),$G:$G))&amp;"'!$B:$T"),
MATCH($G114,INDIRECT("'"&amp;INDEX($H:$H,MATCH(ROUNDDOWN($G114,0),$G:$G))&amp;"'!$A:$A"),0),
MATCH(K$3,INDIRECT("'"&amp;INDEX($H:$H,MATCH(ROUNDDOWN($G114,0),$G:$G))&amp;"'!$B$1:$T$1"),0)),0)
*INDEX('Labour Rates'!F$4:F$35,MATCH(ROUNDDOWN(BREAKDOWN!G114,0),'Labour Rates'!A$4:A$35))</f>
        <v>0</v>
      </c>
      <c r="L114" s="490">
        <f t="shared" ca="1" si="203"/>
        <v>0</v>
      </c>
      <c r="M114" s="490">
        <f t="shared" ca="1" si="203"/>
        <v>0</v>
      </c>
      <c r="N114" s="490">
        <f t="shared" ca="1" si="203"/>
        <v>0</v>
      </c>
      <c r="O114" s="490">
        <f t="shared" ca="1" si="204"/>
        <v>0</v>
      </c>
      <c r="P114" s="491">
        <f t="shared" ca="1" si="205"/>
        <v>0</v>
      </c>
      <c r="Q114" s="492">
        <f t="shared" ca="1" si="206"/>
        <v>0</v>
      </c>
      <c r="R114" s="493" t="str">
        <f t="shared" ca="1" si="207"/>
        <v/>
      </c>
      <c r="S114" s="494">
        <f t="shared" ca="1" si="218"/>
        <v>0</v>
      </c>
      <c r="T114" s="499">
        <f ca="1">IF(I114=0,0,INDEX('Labour Rates'!E$4:E$35,MATCH(ROUNDDOWN(BREAKDOWN!G114,0),'Labour Rates'!A$4:A$35)))</f>
        <v>95.58</v>
      </c>
      <c r="U114" s="496">
        <f t="shared" ca="1" si="208"/>
        <v>0</v>
      </c>
      <c r="V114" s="496">
        <f t="shared" ca="1" si="209"/>
        <v>0</v>
      </c>
      <c r="W114" s="496">
        <f t="shared" ca="1" si="210"/>
        <v>0</v>
      </c>
      <c r="X114" s="496">
        <f t="shared" ca="1" si="211"/>
        <v>0</v>
      </c>
      <c r="Y114" s="497">
        <f t="shared" ca="1" si="212"/>
        <v>0</v>
      </c>
      <c r="Z114" s="497">
        <f t="shared" ca="1" si="213"/>
        <v>0</v>
      </c>
      <c r="AA114" s="497">
        <f t="shared" ca="1" si="214"/>
        <v>0</v>
      </c>
      <c r="AB114" s="497">
        <f t="shared" ca="1" si="215"/>
        <v>0</v>
      </c>
      <c r="AC114" s="498">
        <f t="shared" ca="1" si="216"/>
        <v>0</v>
      </c>
    </row>
    <row r="115" spans="1:29" s="483" customFormat="1" ht="15.75" x14ac:dyDescent="0.25">
      <c r="A115" s="484"/>
      <c r="B115" s="484"/>
      <c r="C115" s="484"/>
      <c r="D115" s="484"/>
      <c r="E115" s="484"/>
      <c r="F115" s="485"/>
      <c r="G115" s="486">
        <f t="shared" ca="1" si="217"/>
        <v>22.100000000000016</v>
      </c>
      <c r="H115" s="487" t="str">
        <f t="shared" ca="1" si="201"/>
        <v>Blockwork - Starter Bars Supply</v>
      </c>
      <c r="I115" s="488">
        <f t="shared" ca="1" si="202"/>
        <v>13.324999999999999</v>
      </c>
      <c r="J115" s="489" t="str">
        <f t="shared" ca="1" si="202"/>
        <v>No.</v>
      </c>
      <c r="K115" s="490">
        <f ca="1">IFERROR(
INDEX(INDIRECT("'"&amp;INDEX($H:$H,MATCH(ROUNDDOWN($G115,0),$G:$G))&amp;"'!$B:$T"),
MATCH($G115,INDIRECT("'"&amp;INDEX($H:$H,MATCH(ROUNDDOWN($G115,0),$G:$G))&amp;"'!$A:$A"),0),
MATCH(K$3,INDIRECT("'"&amp;INDEX($H:$H,MATCH(ROUNDDOWN($G115,0),$G:$G))&amp;"'!$B$1:$T$1"),0)),0)
*INDEX('Labour Rates'!F$4:F$35,MATCH(ROUNDDOWN(BREAKDOWN!G115,0),'Labour Rates'!A$4:A$35))</f>
        <v>0</v>
      </c>
      <c r="L115" s="490">
        <f t="shared" ca="1" si="203"/>
        <v>0</v>
      </c>
      <c r="M115" s="490">
        <f t="shared" ca="1" si="203"/>
        <v>0</v>
      </c>
      <c r="N115" s="490">
        <f t="shared" ca="1" si="203"/>
        <v>0</v>
      </c>
      <c r="O115" s="490">
        <f t="shared" ca="1" si="204"/>
        <v>0</v>
      </c>
      <c r="P115" s="491">
        <f t="shared" ca="1" si="205"/>
        <v>0</v>
      </c>
      <c r="Q115" s="492">
        <f t="shared" ca="1" si="206"/>
        <v>0</v>
      </c>
      <c r="R115" s="493" t="str">
        <f t="shared" ca="1" si="207"/>
        <v/>
      </c>
      <c r="S115" s="494">
        <f t="shared" ca="1" si="218"/>
        <v>0</v>
      </c>
      <c r="T115" s="499">
        <f ca="1">IF(I115=0,0,INDEX('Labour Rates'!E$4:E$35,MATCH(ROUNDDOWN(BREAKDOWN!G115,0),'Labour Rates'!A$4:A$35)))</f>
        <v>95.58</v>
      </c>
      <c r="U115" s="496">
        <f t="shared" ca="1" si="208"/>
        <v>0</v>
      </c>
      <c r="V115" s="496">
        <f t="shared" ca="1" si="209"/>
        <v>0</v>
      </c>
      <c r="W115" s="496">
        <f t="shared" ca="1" si="210"/>
        <v>0</v>
      </c>
      <c r="X115" s="496">
        <f t="shared" ca="1" si="211"/>
        <v>0</v>
      </c>
      <c r="Y115" s="497">
        <f t="shared" ca="1" si="212"/>
        <v>0</v>
      </c>
      <c r="Z115" s="497">
        <f t="shared" ca="1" si="213"/>
        <v>0</v>
      </c>
      <c r="AA115" s="497">
        <f t="shared" ca="1" si="214"/>
        <v>0</v>
      </c>
      <c r="AB115" s="497">
        <f t="shared" ca="1" si="215"/>
        <v>0</v>
      </c>
      <c r="AC115" s="498">
        <f t="shared" ca="1" si="216"/>
        <v>0</v>
      </c>
    </row>
    <row r="116" spans="1:29" s="500" customFormat="1" ht="15.75" x14ac:dyDescent="0.25">
      <c r="A116" s="504"/>
      <c r="B116" s="504"/>
      <c r="C116" s="504"/>
      <c r="D116" s="504"/>
      <c r="E116" s="504"/>
      <c r="F116" s="501"/>
      <c r="G116" s="486">
        <f t="shared" ca="1" si="217"/>
        <v>22.110000000000017</v>
      </c>
      <c r="H116" s="487" t="str">
        <f t="shared" ca="1" si="201"/>
        <v>Blockwork - Concrete Core Fill</v>
      </c>
      <c r="I116" s="488">
        <f t="shared" ca="1" si="202"/>
        <v>7.34</v>
      </c>
      <c r="J116" s="489" t="str">
        <f t="shared" ca="1" si="202"/>
        <v>m2</v>
      </c>
      <c r="K116" s="490">
        <f ca="1">IFERROR(
INDEX(INDIRECT("'"&amp;INDEX($H:$H,MATCH(ROUNDDOWN($G116,0),$G:$G))&amp;"'!$B:$T"),
MATCH($G116,INDIRECT("'"&amp;INDEX($H:$H,MATCH(ROUNDDOWN($G116,0),$G:$G))&amp;"'!$A:$A"),0),
MATCH(K$3,INDIRECT("'"&amp;INDEX($H:$H,MATCH(ROUNDDOWN($G116,0),$G:$G))&amp;"'!$B$1:$T$1"),0)),0)
*INDEX('Labour Rates'!F$4:F$35,MATCH(ROUNDDOWN(BREAKDOWN!G116,0),'Labour Rates'!A$4:A$35))</f>
        <v>0</v>
      </c>
      <c r="L116" s="490">
        <f t="shared" ca="1" si="203"/>
        <v>0</v>
      </c>
      <c r="M116" s="490">
        <f t="shared" ca="1" si="203"/>
        <v>0</v>
      </c>
      <c r="N116" s="490">
        <f t="shared" ca="1" si="203"/>
        <v>0</v>
      </c>
      <c r="O116" s="490">
        <f t="shared" ca="1" si="204"/>
        <v>0</v>
      </c>
      <c r="P116" s="491">
        <f t="shared" ca="1" si="205"/>
        <v>0</v>
      </c>
      <c r="Q116" s="492">
        <f t="shared" ca="1" si="206"/>
        <v>0</v>
      </c>
      <c r="R116" s="493" t="str">
        <f t="shared" ca="1" si="207"/>
        <v/>
      </c>
      <c r="S116" s="494">
        <f t="shared" ca="1" si="218"/>
        <v>0</v>
      </c>
      <c r="T116" s="499">
        <f ca="1">IF(I116=0,0,INDEX('Labour Rates'!E$4:E$35,MATCH(ROUNDDOWN(BREAKDOWN!G116,0),'Labour Rates'!A$4:A$35)))</f>
        <v>95.58</v>
      </c>
      <c r="U116" s="496">
        <f t="shared" ca="1" si="208"/>
        <v>0</v>
      </c>
      <c r="V116" s="496">
        <f t="shared" ca="1" si="209"/>
        <v>0</v>
      </c>
      <c r="W116" s="496">
        <f t="shared" ca="1" si="210"/>
        <v>0</v>
      </c>
      <c r="X116" s="496">
        <f t="shared" ca="1" si="211"/>
        <v>0</v>
      </c>
      <c r="Y116" s="497">
        <f t="shared" ca="1" si="212"/>
        <v>0</v>
      </c>
      <c r="Z116" s="497">
        <f t="shared" ca="1" si="213"/>
        <v>0</v>
      </c>
      <c r="AA116" s="497">
        <f t="shared" ca="1" si="214"/>
        <v>0</v>
      </c>
      <c r="AB116" s="497">
        <f t="shared" ca="1" si="215"/>
        <v>0</v>
      </c>
      <c r="AC116" s="498">
        <f t="shared" ca="1" si="216"/>
        <v>0</v>
      </c>
    </row>
    <row r="117" spans="1:29" s="500" customFormat="1" ht="31.5" x14ac:dyDescent="0.25">
      <c r="A117" s="504"/>
      <c r="B117" s="504"/>
      <c r="C117" s="504"/>
      <c r="D117" s="504"/>
      <c r="E117" s="504"/>
      <c r="F117" s="501"/>
      <c r="G117" s="486">
        <f t="shared" ca="1" si="217"/>
        <v>22.120000000000019</v>
      </c>
      <c r="H117" s="487" t="str">
        <f t="shared" ca="1" si="201"/>
        <v>Blockwork - Accessories (Including Control Joints, Damp Proof Course, Flashing, Slip Joints, Strapping Where Required)</v>
      </c>
      <c r="I117" s="488">
        <f t="shared" ca="1" si="202"/>
        <v>1</v>
      </c>
      <c r="J117" s="489" t="str">
        <f t="shared" ca="1" si="202"/>
        <v>item</v>
      </c>
      <c r="K117" s="490">
        <f ca="1">IFERROR(
INDEX(INDIRECT("'"&amp;INDEX($H:$H,MATCH(ROUNDDOWN($G117,0),$G:$G))&amp;"'!$B:$T"),
MATCH($G117,INDIRECT("'"&amp;INDEX($H:$H,MATCH(ROUNDDOWN($G117,0),$G:$G))&amp;"'!$A:$A"),0),
MATCH(K$3,INDIRECT("'"&amp;INDEX($H:$H,MATCH(ROUNDDOWN($G117,0),$G:$G))&amp;"'!$B$1:$T$1"),0)),0)
*INDEX('Labour Rates'!F$4:F$35,MATCH(ROUNDDOWN(BREAKDOWN!G117,0),'Labour Rates'!A$4:A$35))</f>
        <v>0</v>
      </c>
      <c r="L117" s="490">
        <f t="shared" ca="1" si="203"/>
        <v>0</v>
      </c>
      <c r="M117" s="490">
        <f t="shared" ca="1" si="203"/>
        <v>0</v>
      </c>
      <c r="N117" s="490">
        <f t="shared" ca="1" si="203"/>
        <v>0</v>
      </c>
      <c r="O117" s="490">
        <f t="shared" ca="1" si="204"/>
        <v>0</v>
      </c>
      <c r="P117" s="491">
        <f t="shared" ca="1" si="205"/>
        <v>0</v>
      </c>
      <c r="Q117" s="492">
        <f t="shared" ca="1" si="206"/>
        <v>0</v>
      </c>
      <c r="R117" s="493" t="str">
        <f t="shared" ca="1" si="207"/>
        <v/>
      </c>
      <c r="S117" s="494">
        <f t="shared" ca="1" si="218"/>
        <v>0</v>
      </c>
      <c r="T117" s="499">
        <f ca="1">IF(I117=0,0,INDEX('Labour Rates'!E$4:E$35,MATCH(ROUNDDOWN(BREAKDOWN!G117,0),'Labour Rates'!A$4:A$35)))</f>
        <v>95.58</v>
      </c>
      <c r="U117" s="496">
        <f t="shared" ca="1" si="208"/>
        <v>0</v>
      </c>
      <c r="V117" s="496">
        <f t="shared" ca="1" si="209"/>
        <v>0</v>
      </c>
      <c r="W117" s="496">
        <f t="shared" ca="1" si="210"/>
        <v>0</v>
      </c>
      <c r="X117" s="496">
        <f t="shared" ca="1" si="211"/>
        <v>0</v>
      </c>
      <c r="Y117" s="497">
        <f t="shared" ca="1" si="212"/>
        <v>0</v>
      </c>
      <c r="Z117" s="497">
        <f t="shared" ca="1" si="213"/>
        <v>0</v>
      </c>
      <c r="AA117" s="497">
        <f t="shared" ca="1" si="214"/>
        <v>0</v>
      </c>
      <c r="AB117" s="497">
        <f t="shared" ca="1" si="215"/>
        <v>0</v>
      </c>
      <c r="AC117" s="498">
        <f t="shared" ca="1" si="216"/>
        <v>0</v>
      </c>
    </row>
    <row r="118" spans="1:29" s="483" customFormat="1" ht="15.75" x14ac:dyDescent="0.25">
      <c r="A118" s="484"/>
      <c r="B118" s="484"/>
      <c r="C118" s="484"/>
      <c r="D118" s="484"/>
      <c r="E118" s="484"/>
      <c r="F118" s="485"/>
      <c r="G118" s="486">
        <f t="shared" ca="1" si="217"/>
        <v>22.13000000000002</v>
      </c>
      <c r="H118" s="487" t="str">
        <f t="shared" ca="1" si="201"/>
        <v>Blockwork - Pointing &amp; Cleaning</v>
      </c>
      <c r="I118" s="488">
        <f t="shared" ca="1" si="202"/>
        <v>7.34</v>
      </c>
      <c r="J118" s="489" t="str">
        <f t="shared" ca="1" si="202"/>
        <v>m2</v>
      </c>
      <c r="K118" s="490">
        <f ca="1">IFERROR(
INDEX(INDIRECT("'"&amp;INDEX($H:$H,MATCH(ROUNDDOWN($G118,0),$G:$G))&amp;"'!$B:$T"),
MATCH($G118,INDIRECT("'"&amp;INDEX($H:$H,MATCH(ROUNDDOWN($G118,0),$G:$G))&amp;"'!$A:$A"),0),
MATCH(K$3,INDIRECT("'"&amp;INDEX($H:$H,MATCH(ROUNDDOWN($G118,0),$G:$G))&amp;"'!$B$1:$T$1"),0)),0)
*INDEX('Labour Rates'!F$4:F$35,MATCH(ROUNDDOWN(BREAKDOWN!G118,0),'Labour Rates'!A$4:A$35))</f>
        <v>0</v>
      </c>
      <c r="L118" s="490">
        <f t="shared" ca="1" si="203"/>
        <v>0</v>
      </c>
      <c r="M118" s="490">
        <f t="shared" ca="1" si="203"/>
        <v>0</v>
      </c>
      <c r="N118" s="490">
        <f t="shared" ca="1" si="203"/>
        <v>0</v>
      </c>
      <c r="O118" s="490">
        <f t="shared" ca="1" si="204"/>
        <v>0</v>
      </c>
      <c r="P118" s="491">
        <f t="shared" ca="1" si="205"/>
        <v>0</v>
      </c>
      <c r="Q118" s="492">
        <f t="shared" ca="1" si="206"/>
        <v>0</v>
      </c>
      <c r="R118" s="493" t="str">
        <f t="shared" ca="1" si="207"/>
        <v/>
      </c>
      <c r="S118" s="494">
        <f t="shared" ca="1" si="218"/>
        <v>0</v>
      </c>
      <c r="T118" s="499">
        <f ca="1">IF(I118=0,0,INDEX('Labour Rates'!E$4:E$35,MATCH(ROUNDDOWN(BREAKDOWN!G118,0),'Labour Rates'!A$4:A$35)))</f>
        <v>95.58</v>
      </c>
      <c r="U118" s="496">
        <f t="shared" ca="1" si="208"/>
        <v>0</v>
      </c>
      <c r="V118" s="496">
        <f t="shared" ca="1" si="209"/>
        <v>0</v>
      </c>
      <c r="W118" s="496">
        <f t="shared" ca="1" si="210"/>
        <v>0</v>
      </c>
      <c r="X118" s="496">
        <f t="shared" ca="1" si="211"/>
        <v>0</v>
      </c>
      <c r="Y118" s="497">
        <f t="shared" ca="1" si="212"/>
        <v>0</v>
      </c>
      <c r="Z118" s="497">
        <f t="shared" ca="1" si="213"/>
        <v>0</v>
      </c>
      <c r="AA118" s="497">
        <f t="shared" ca="1" si="214"/>
        <v>0</v>
      </c>
      <c r="AB118" s="497">
        <f t="shared" ca="1" si="215"/>
        <v>0</v>
      </c>
      <c r="AC118" s="498">
        <f t="shared" ca="1" si="216"/>
        <v>0</v>
      </c>
    </row>
    <row r="119" spans="1:29" s="483" customFormat="1" ht="15.75" x14ac:dyDescent="0.25">
      <c r="A119" s="484"/>
      <c r="B119" s="484"/>
      <c r="C119" s="484"/>
      <c r="D119" s="484"/>
      <c r="E119" s="484"/>
      <c r="F119" s="485"/>
      <c r="G119" s="502">
        <f ca="1">G105+1</f>
        <v>23</v>
      </c>
      <c r="H119" s="473" t="str">
        <f ca="1">INDEX(Rendering!B:B,MATCH(BREAKDOWN!G119,Rendering!A:A))</f>
        <v>RENDERING</v>
      </c>
      <c r="I119" s="474"/>
      <c r="J119" s="475"/>
      <c r="K119" s="476"/>
      <c r="L119" s="476"/>
      <c r="M119" s="476"/>
      <c r="N119" s="476"/>
      <c r="O119" s="476"/>
      <c r="P119" s="476"/>
      <c r="Q119" s="477">
        <f ca="1">SUMIFS(Q:Q,$G:$G,"&gt;"&amp;$G119,$G:$G,"&lt;"&amp;($G119+1))</f>
        <v>0</v>
      </c>
      <c r="R119" s="478">
        <f ca="1">Q119
-INDEX(INDIRECT("'"&amp;H119&amp;"'!B:T"),MATCH($Q$3,INDIRECT("'"&amp;H119&amp;"'!B:B"),0),MATCH($Q$3,INDIRECT("'"&amp;H119&amp;"'!B$1:T$1"),0))
-(SUMIFS(U:U,$G:$G,"&gt;"&amp;$G119,$G:$G,"&lt;"&amp;($G119+1))-SUMIFS(U:U,$G:$G,"&gt;"&amp;$G119,$G:$G,"&lt;"&amp;($G119+1))/INDEX('Labour Rates'!F$4:F$35,MATCH(ROUNDDOWN(BREAKDOWN!G119,0),'Labour Rates'!A$4:A$35)))</f>
        <v>0</v>
      </c>
      <c r="S119" s="503"/>
      <c r="T119" s="499"/>
      <c r="U119" s="503"/>
      <c r="V119" s="503"/>
      <c r="W119" s="503"/>
      <c r="X119" s="503"/>
      <c r="Y119" s="503"/>
      <c r="Z119" s="503"/>
      <c r="AA119" s="503"/>
      <c r="AB119" s="477">
        <f ca="1">SUM(AB120:AB120)</f>
        <v>0</v>
      </c>
      <c r="AC119" s="498"/>
    </row>
    <row r="120" spans="1:29" s="500" customFormat="1" ht="15.75" x14ac:dyDescent="0.25">
      <c r="A120" s="504"/>
      <c r="B120" s="504"/>
      <c r="C120" s="504"/>
      <c r="D120" s="504"/>
      <c r="E120" s="504"/>
      <c r="F120" s="501"/>
      <c r="G120" s="486">
        <f ca="1">G119+0.01</f>
        <v>23.01</v>
      </c>
      <c r="H120" s="487" t="str">
        <f ca="1">IF($I120&lt;&gt;0,
INDEX(INDIRECT("'"&amp;INDEX($H:$H,MATCH(ROUNDDOWN($G120,0),$G:$G))&amp;"'!$B:$T"),
MATCH($G120,INDIRECT("'"&amp;INDEX($H:$H,MATCH(ROUNDDOWN($G120,0),$G:$G))&amp;"'!$A:$A"),0),
MATCH(H$3,INDIRECT("'"&amp;INDEX($H:$H,MATCH(ROUNDDOWN($G120,0),$G:$G))&amp;"'!$B$1:$T$1"),0)),0)</f>
        <v>Rendering to Blockwork</v>
      </c>
      <c r="I120" s="488">
        <f ca="1">IFERROR(
INDEX(INDIRECT("'"&amp;INDEX($H:$H,MATCH(ROUNDDOWN($G120,0),$G:$G))&amp;"'!$B:$T"),
MATCH($G120,INDIRECT("'"&amp;INDEX($H:$H,MATCH(ROUNDDOWN($G120,0),$G:$G))&amp;"'!$A:$A"),0),
MATCH(I$3,INDIRECT("'"&amp;INDEX($H:$H,MATCH(ROUNDDOWN($G120,0),$G:$G))&amp;"'!$B$1:$T$1"),0)),0)</f>
        <v>7.34</v>
      </c>
      <c r="J120" s="489" t="str">
        <f ca="1">IFERROR(
INDEX(INDIRECT("'"&amp;INDEX($H:$H,MATCH(ROUNDDOWN($G120,0),$G:$G))&amp;"'!$B:$T"),
MATCH($G120,INDIRECT("'"&amp;INDEX($H:$H,MATCH(ROUNDDOWN($G120,0),$G:$G))&amp;"'!$A:$A"),0),
MATCH(J$3,INDIRECT("'"&amp;INDEX($H:$H,MATCH(ROUNDDOWN($G120,0),$G:$G))&amp;"'!$B$1:$T$1"),0)),0)</f>
        <v>m2</v>
      </c>
      <c r="K120" s="490">
        <f ca="1">IFERROR(
INDEX(INDIRECT("'"&amp;INDEX($H:$H,MATCH(ROUNDDOWN($G120,0),$G:$G))&amp;"'!$B:$T"),
MATCH($G120,INDIRECT("'"&amp;INDEX($H:$H,MATCH(ROUNDDOWN($G120,0),$G:$G))&amp;"'!$A:$A"),0),
MATCH(K$3,INDIRECT("'"&amp;INDEX($H:$H,MATCH(ROUNDDOWN($G120,0),$G:$G))&amp;"'!$B$1:$T$1"),0)),0)
*INDEX('Labour Rates'!F$4:F$35,MATCH(ROUNDDOWN(BREAKDOWN!G120,0),'Labour Rates'!A$4:A$35))</f>
        <v>0</v>
      </c>
      <c r="L120" s="490">
        <f ca="1">IFERROR(
INDEX(INDIRECT("'"&amp;INDEX($H:$H,MATCH(ROUNDDOWN($G120,0),$G:$G))&amp;"'!$B:$T"),
MATCH($G120,INDIRECT("'"&amp;INDEX($H:$H,MATCH(ROUNDDOWN($G120,0),$G:$G))&amp;"'!$A:$A"),0),
MATCH(L$3,INDIRECT("'"&amp;INDEX($H:$H,MATCH(ROUNDDOWN($G120,0),$G:$G))&amp;"'!$B$1:$T$1"),0)),0)</f>
        <v>0</v>
      </c>
      <c r="M120" s="490">
        <f ca="1">IFERROR(
INDEX(INDIRECT("'"&amp;INDEX($H:$H,MATCH(ROUNDDOWN($G120,0),$G:$G))&amp;"'!$B:$T"),
MATCH($G120,INDIRECT("'"&amp;INDEX($H:$H,MATCH(ROUNDDOWN($G120,0),$G:$G))&amp;"'!$A:$A"),0),
MATCH(M$3,INDIRECT("'"&amp;INDEX($H:$H,MATCH(ROUNDDOWN($G120,0),$G:$G))&amp;"'!$B$1:$T$1"),0)),0)</f>
        <v>0</v>
      </c>
      <c r="N120" s="490">
        <f ca="1">IFERROR(
INDEX(INDIRECT("'"&amp;INDEX($H:$H,MATCH(ROUNDDOWN($G120,0),$G:$G))&amp;"'!$B:$T"),
MATCH($G120,INDIRECT("'"&amp;INDEX($H:$H,MATCH(ROUNDDOWN($G120,0),$G:$G))&amp;"'!$A:$A"),0),
MATCH(N$3,INDIRECT("'"&amp;INDEX($H:$H,MATCH(ROUNDDOWN($G120,0),$G:$G))&amp;"'!$B$1:$T$1"),0)),0)</f>
        <v>0</v>
      </c>
      <c r="O120" s="490">
        <f ca="1">IFERROR(
INDEX(INDIRECT("'"&amp;INDEX($H:$H,MATCH(ROUNDDOWN($G120,0),$G:$G))&amp;"'!$V:$Z"),
MATCH($G120,INDIRECT("'"&amp;INDEX($H:$H,MATCH(ROUNDDOWN($G120,0),$G:$G))&amp;"'!$A:$A"),0),
MATCH(O$3,INDIRECT("'"&amp;INDEX($H:$H,MATCH(ROUNDDOWN($G120,0),$G:$G))&amp;"'!$V$2:$Z$2"),0)),0)</f>
        <v>0</v>
      </c>
      <c r="P120" s="491">
        <f t="shared" ref="P120" ca="1" si="219">IFERROR(IF(O120="inc","inc",IF(AND(O120&gt;0,I120&gt;0),O120/I120,IF(SUM(K120:N120)&gt;0,SUM(K120:N120),0))),0)</f>
        <v>0</v>
      </c>
      <c r="Q120" s="492">
        <f t="shared" ref="Q120" ca="1" si="220">IFERROR(IF(P120="",0,I120*P120),0)</f>
        <v>0</v>
      </c>
      <c r="R120" s="493" t="str">
        <f ca="1">IFERROR(
INDEX(INDIRECT("'"&amp;INDEX($H:$H,MATCH(ROUNDDOWN($G120,0),$G:$G))&amp;"'!$W:$AA"),
MATCH($G120,INDIRECT("'"&amp;INDEX($H:$H,MATCH(ROUNDDOWN($G120,0),$G:$G))&amp;"'!$A:$A"),0),
MATCH(R$3,INDIRECT("'"&amp;INDEX($H:$H,MATCH(ROUNDDOWN($G120,0),$G:$G))&amp;"'!$W$1:$AA$1"),0)),"")</f>
        <v/>
      </c>
      <c r="S120" s="494">
        <f t="shared" ref="S120" ca="1" si="221">IFERROR(U120/T120,"")</f>
        <v>0</v>
      </c>
      <c r="T120" s="499">
        <f ca="1">IF(I120=0,0,INDEX('Labour Rates'!E$4:E$35,MATCH(ROUNDDOWN(BREAKDOWN!G120,0),'Labour Rates'!A$4:A$35)))</f>
        <v>83.7</v>
      </c>
      <c r="U120" s="496">
        <f t="shared" ref="U120" ca="1" si="222">IF($Y120&gt;0, 0, IFERROR($I120*K120,0))</f>
        <v>0</v>
      </c>
      <c r="V120" s="496">
        <f t="shared" ref="V120" ca="1" si="223">IF($Y120&gt;0, 0, IFERROR($I120*L120,0))</f>
        <v>0</v>
      </c>
      <c r="W120" s="496">
        <f t="shared" ref="W120" ca="1" si="224">IF($Y120&gt;0, 0, IFERROR($I120*M120,0))</f>
        <v>0</v>
      </c>
      <c r="X120" s="496">
        <f t="shared" ref="X120" ca="1" si="225">IF($Y120&gt;0, 0, IFERROR($I120*N120,0))</f>
        <v>0</v>
      </c>
      <c r="Y120" s="497">
        <f t="shared" ref="Y120" ca="1" si="226">IF(I120&gt;0,O120,0)</f>
        <v>0</v>
      </c>
      <c r="Z120" s="497">
        <f ca="1">Q120*$I$158</f>
        <v>0</v>
      </c>
      <c r="AA120" s="497">
        <f ca="1">Q120*$I$159</f>
        <v>0</v>
      </c>
      <c r="AB120" s="497">
        <f t="shared" ref="AB120" ca="1" si="227">SUM(U120:AA120)</f>
        <v>0</v>
      </c>
      <c r="AC120" s="498">
        <f t="shared" ref="AC120" ca="1" si="228">SUM(U120:Y120)-Q120</f>
        <v>0</v>
      </c>
    </row>
    <row r="121" spans="1:29" s="483" customFormat="1" ht="15.75" x14ac:dyDescent="0.25">
      <c r="A121" s="484"/>
      <c r="B121" s="484"/>
      <c r="C121" s="484"/>
      <c r="D121" s="484"/>
      <c r="E121" s="484"/>
      <c r="F121" s="485"/>
      <c r="G121" s="502">
        <f ca="1">G119+1</f>
        <v>24</v>
      </c>
      <c r="H121" s="473" t="str">
        <f ca="1">INDEX(Painting!B:B,MATCH(BREAKDOWN!G121,Painting!A:A))</f>
        <v>PAINTING</v>
      </c>
      <c r="I121" s="474"/>
      <c r="J121" s="475"/>
      <c r="K121" s="476"/>
      <c r="L121" s="476"/>
      <c r="M121" s="476"/>
      <c r="N121" s="476"/>
      <c r="O121" s="476"/>
      <c r="P121" s="476"/>
      <c r="Q121" s="477">
        <f ca="1">SUMIFS(Q:Q,$G:$G,"&gt;"&amp;$G121,$G:$G,"&lt;"&amp;($G121+1))</f>
        <v>0</v>
      </c>
      <c r="R121" s="478">
        <f ca="1">Q121
-INDEX(INDIRECT("'"&amp;H121&amp;"'!B:T"),MATCH($Q$3,INDIRECT("'"&amp;H121&amp;"'!B:B"),0),MATCH($Q$3,INDIRECT("'"&amp;H121&amp;"'!B$1:T$1"),0))
-(SUMIFS(U:U,$G:$G,"&gt;"&amp;$G121,$G:$G,"&lt;"&amp;($G121+1))-SUMIFS(U:U,$G:$G,"&gt;"&amp;$G121,$G:$G,"&lt;"&amp;($G121+1))/INDEX('Labour Rates'!F$4:F$35,MATCH(ROUNDDOWN(BREAKDOWN!G121,0),'Labour Rates'!A$4:A$35)))</f>
        <v>0</v>
      </c>
      <c r="S121" s="503"/>
      <c r="T121" s="499"/>
      <c r="U121" s="503"/>
      <c r="V121" s="503"/>
      <c r="W121" s="503"/>
      <c r="X121" s="503"/>
      <c r="Y121" s="503"/>
      <c r="Z121" s="503"/>
      <c r="AA121" s="503"/>
      <c r="AB121" s="477">
        <f ca="1">SUM(AB122:AB129)</f>
        <v>0</v>
      </c>
      <c r="AC121" s="498"/>
    </row>
    <row r="122" spans="1:29" s="500" customFormat="1" ht="15.75" x14ac:dyDescent="0.25">
      <c r="A122" s="504"/>
      <c r="B122" s="504"/>
      <c r="C122" s="504"/>
      <c r="D122" s="504"/>
      <c r="E122" s="504"/>
      <c r="F122" s="501"/>
      <c r="G122" s="486">
        <f ca="1">G121+0.01</f>
        <v>24.01</v>
      </c>
      <c r="H122" s="487" t="str">
        <f t="shared" ref="H122:H129" ca="1" si="229">IF($I122&lt;&gt;0,
INDEX(INDIRECT("'"&amp;INDEX($H:$H,MATCH(ROUNDDOWN($G122,0),$G:$G))&amp;"'!$B:$T"),
MATCH($G122,INDIRECT("'"&amp;INDEX($H:$H,MATCH(ROUNDDOWN($G122,0),$G:$G))&amp;"'!$A:$A"),0),
MATCH(H$3,INDIRECT("'"&amp;INDEX($H:$H,MATCH(ROUNDDOWN($G122,0),$G:$G))&amp;"'!$B$1:$T$1"),0)),0)</f>
        <v>Painting to Internal Walls</v>
      </c>
      <c r="I122" s="488">
        <f t="shared" ref="I122:J129" ca="1" si="230">IFERROR(
INDEX(INDIRECT("'"&amp;INDEX($H:$H,MATCH(ROUNDDOWN($G122,0),$G:$G))&amp;"'!$B:$T"),
MATCH($G122,INDIRECT("'"&amp;INDEX($H:$H,MATCH(ROUNDDOWN($G122,0),$G:$G))&amp;"'!$A:$A"),0),
MATCH(I$3,INDIRECT("'"&amp;INDEX($H:$H,MATCH(ROUNDDOWN($G122,0),$G:$G))&amp;"'!$B$1:$T$1"),0)),0)</f>
        <v>339.64300000000003</v>
      </c>
      <c r="J122" s="489" t="str">
        <f t="shared" ca="1" si="230"/>
        <v>m2</v>
      </c>
      <c r="K122" s="490">
        <f ca="1">IFERROR(
INDEX(INDIRECT("'"&amp;INDEX($H:$H,MATCH(ROUNDDOWN($G122,0),$G:$G))&amp;"'!$B:$T"),
MATCH($G122,INDIRECT("'"&amp;INDEX($H:$H,MATCH(ROUNDDOWN($G122,0),$G:$G))&amp;"'!$A:$A"),0),
MATCH(K$3,INDIRECT("'"&amp;INDEX($H:$H,MATCH(ROUNDDOWN($G122,0),$G:$G))&amp;"'!$B$1:$T$1"),0)),0)
*INDEX('Labour Rates'!F$4:F$35,MATCH(ROUNDDOWN(BREAKDOWN!G122,0),'Labour Rates'!A$4:A$35))</f>
        <v>0</v>
      </c>
      <c r="L122" s="490">
        <f t="shared" ref="L122:N129" ca="1" si="231">IFERROR(
INDEX(INDIRECT("'"&amp;INDEX($H:$H,MATCH(ROUNDDOWN($G122,0),$G:$G))&amp;"'!$B:$T"),
MATCH($G122,INDIRECT("'"&amp;INDEX($H:$H,MATCH(ROUNDDOWN($G122,0),$G:$G))&amp;"'!$A:$A"),0),
MATCH(L$3,INDIRECT("'"&amp;INDEX($H:$H,MATCH(ROUNDDOWN($G122,0),$G:$G))&amp;"'!$B$1:$T$1"),0)),0)</f>
        <v>0</v>
      </c>
      <c r="M122" s="490">
        <f t="shared" ca="1" si="231"/>
        <v>0</v>
      </c>
      <c r="N122" s="490">
        <f t="shared" ca="1" si="231"/>
        <v>0</v>
      </c>
      <c r="O122" s="490">
        <f t="shared" ref="O122:O129" ca="1" si="232">IFERROR(
INDEX(INDIRECT("'"&amp;INDEX($H:$H,MATCH(ROUNDDOWN($G122,0),$G:$G))&amp;"'!$V:$Z"),
MATCH($G122,INDIRECT("'"&amp;INDEX($H:$H,MATCH(ROUNDDOWN($G122,0),$G:$G))&amp;"'!$A:$A"),0),
MATCH(O$3,INDIRECT("'"&amp;INDEX($H:$H,MATCH(ROUNDDOWN($G122,0),$G:$G))&amp;"'!$V$2:$Z$2"),0)),0)</f>
        <v>0</v>
      </c>
      <c r="P122" s="491">
        <f t="shared" ref="P122:P129" ca="1" si="233">IFERROR(IF(O122="inc","inc",IF(AND(O122&gt;0,I122&gt;0),O122/I122,IF(SUM(K122:N122)&gt;0,SUM(K122:N122),0))),0)</f>
        <v>0</v>
      </c>
      <c r="Q122" s="492">
        <f t="shared" ref="Q122:Q129" ca="1" si="234">IFERROR(IF(P122="",0,I122*P122),0)</f>
        <v>0</v>
      </c>
      <c r="R122" s="493" t="str">
        <f t="shared" ref="R122:R129" ca="1" si="235">IFERROR(
INDEX(INDIRECT("'"&amp;INDEX($H:$H,MATCH(ROUNDDOWN($G122,0),$G:$G))&amp;"'!$W:$AA"),
MATCH($G122,INDIRECT("'"&amp;INDEX($H:$H,MATCH(ROUNDDOWN($G122,0),$G:$G))&amp;"'!$A:$A"),0),
MATCH(R$3,INDIRECT("'"&amp;INDEX($H:$H,MATCH(ROUNDDOWN($G122,0),$G:$G))&amp;"'!$W$1:$AA$1"),0)),"")</f>
        <v/>
      </c>
      <c r="S122" s="494">
        <f t="shared" ca="1" si="218"/>
        <v>0</v>
      </c>
      <c r="T122" s="499">
        <f ca="1">IF(I122=0,0,INDEX('Labour Rates'!E$4:E$35,MATCH(ROUNDDOWN(BREAKDOWN!G122,0),'Labour Rates'!A$4:A$35)))</f>
        <v>79.77</v>
      </c>
      <c r="U122" s="496">
        <f t="shared" ref="U122:U129" ca="1" si="236">IF($Y122&gt;0, 0, IFERROR($I122*K122,0))</f>
        <v>0</v>
      </c>
      <c r="V122" s="496">
        <f t="shared" ref="V122:V129" ca="1" si="237">IF($Y122&gt;0, 0, IFERROR($I122*L122,0))</f>
        <v>0</v>
      </c>
      <c r="W122" s="496">
        <f t="shared" ref="W122:W129" ca="1" si="238">IF($Y122&gt;0, 0, IFERROR($I122*M122,0))</f>
        <v>0</v>
      </c>
      <c r="X122" s="496">
        <f t="shared" ref="X122:X129" ca="1" si="239">IF($Y122&gt;0, 0, IFERROR($I122*N122,0))</f>
        <v>0</v>
      </c>
      <c r="Y122" s="497">
        <f t="shared" ref="Y122:Y129" ca="1" si="240">IF(I122&gt;0,O122,0)</f>
        <v>0</v>
      </c>
      <c r="Z122" s="497">
        <f t="shared" ref="Z122:Z129" ca="1" si="241">Q122*$I$158</f>
        <v>0</v>
      </c>
      <c r="AA122" s="497">
        <f t="shared" ref="AA122:AA129" ca="1" si="242">Q122*$I$159</f>
        <v>0</v>
      </c>
      <c r="AB122" s="497">
        <f t="shared" ref="AB122:AB129" ca="1" si="243">SUM(U122:AA122)</f>
        <v>0</v>
      </c>
      <c r="AC122" s="498">
        <f t="shared" ref="AC122:AC129" ca="1" si="244">SUM(U122:Y122)-Q122</f>
        <v>0</v>
      </c>
    </row>
    <row r="123" spans="1:29" s="500" customFormat="1" ht="15.75" x14ac:dyDescent="0.25">
      <c r="A123" s="504"/>
      <c r="B123" s="504"/>
      <c r="C123" s="504"/>
      <c r="D123" s="504"/>
      <c r="E123" s="504"/>
      <c r="F123" s="501"/>
      <c r="G123" s="486">
        <f t="shared" ref="G123:G129" ca="1" si="245">G122+0.01</f>
        <v>24.020000000000003</v>
      </c>
      <c r="H123" s="487" t="str">
        <f t="shared" ca="1" si="229"/>
        <v>Painting to Internal Ceilings</v>
      </c>
      <c r="I123" s="488">
        <f t="shared" ca="1" si="230"/>
        <v>117.61799999999999</v>
      </c>
      <c r="J123" s="489" t="str">
        <f t="shared" ca="1" si="230"/>
        <v>m2</v>
      </c>
      <c r="K123" s="490">
        <f ca="1">IFERROR(
INDEX(INDIRECT("'"&amp;INDEX($H:$H,MATCH(ROUNDDOWN($G123,0),$G:$G))&amp;"'!$B:$T"),
MATCH($G123,INDIRECT("'"&amp;INDEX($H:$H,MATCH(ROUNDDOWN($G123,0),$G:$G))&amp;"'!$A:$A"),0),
MATCH(K$3,INDIRECT("'"&amp;INDEX($H:$H,MATCH(ROUNDDOWN($G123,0),$G:$G))&amp;"'!$B$1:$T$1"),0)),0)
*INDEX('Labour Rates'!F$4:F$35,MATCH(ROUNDDOWN(BREAKDOWN!G123,0),'Labour Rates'!A$4:A$35))</f>
        <v>0</v>
      </c>
      <c r="L123" s="490">
        <f t="shared" ca="1" si="231"/>
        <v>0</v>
      </c>
      <c r="M123" s="490">
        <f t="shared" ca="1" si="231"/>
        <v>0</v>
      </c>
      <c r="N123" s="490">
        <f t="shared" ca="1" si="231"/>
        <v>0</v>
      </c>
      <c r="O123" s="490">
        <f t="shared" ca="1" si="232"/>
        <v>0</v>
      </c>
      <c r="P123" s="491">
        <f t="shared" ca="1" si="233"/>
        <v>0</v>
      </c>
      <c r="Q123" s="492">
        <f t="shared" ca="1" si="234"/>
        <v>0</v>
      </c>
      <c r="R123" s="493" t="str">
        <f t="shared" ca="1" si="235"/>
        <v/>
      </c>
      <c r="S123" s="494">
        <f t="shared" ca="1" si="218"/>
        <v>0</v>
      </c>
      <c r="T123" s="499">
        <f ca="1">IF(I123=0,0,INDEX('Labour Rates'!E$4:E$35,MATCH(ROUNDDOWN(BREAKDOWN!G123,0),'Labour Rates'!A$4:A$35)))</f>
        <v>79.77</v>
      </c>
      <c r="U123" s="496">
        <f t="shared" ca="1" si="236"/>
        <v>0</v>
      </c>
      <c r="V123" s="496">
        <f t="shared" ca="1" si="237"/>
        <v>0</v>
      </c>
      <c r="W123" s="496">
        <f t="shared" ca="1" si="238"/>
        <v>0</v>
      </c>
      <c r="X123" s="496">
        <f t="shared" ca="1" si="239"/>
        <v>0</v>
      </c>
      <c r="Y123" s="497">
        <f t="shared" ca="1" si="240"/>
        <v>0</v>
      </c>
      <c r="Z123" s="497">
        <f t="shared" ca="1" si="241"/>
        <v>0</v>
      </c>
      <c r="AA123" s="497">
        <f t="shared" ca="1" si="242"/>
        <v>0</v>
      </c>
      <c r="AB123" s="497">
        <f t="shared" ca="1" si="243"/>
        <v>0</v>
      </c>
      <c r="AC123" s="498">
        <f t="shared" ca="1" si="244"/>
        <v>0</v>
      </c>
    </row>
    <row r="124" spans="1:29" s="483" customFormat="1" ht="15.75" x14ac:dyDescent="0.25">
      <c r="A124" s="484"/>
      <c r="B124" s="484"/>
      <c r="C124" s="484"/>
      <c r="D124" s="484"/>
      <c r="E124" s="484"/>
      <c r="F124" s="485"/>
      <c r="G124" s="486">
        <f t="shared" ca="1" si="245"/>
        <v>24.030000000000005</v>
      </c>
      <c r="H124" s="487" t="str">
        <f t="shared" ca="1" si="229"/>
        <v>Painting to External Walls (Other Than Rendered Finish)</v>
      </c>
      <c r="I124" s="488">
        <f t="shared" ca="1" si="230"/>
        <v>36.4</v>
      </c>
      <c r="J124" s="489" t="str">
        <f t="shared" ca="1" si="230"/>
        <v>m2</v>
      </c>
      <c r="K124" s="490">
        <f ca="1">IFERROR(
INDEX(INDIRECT("'"&amp;INDEX($H:$H,MATCH(ROUNDDOWN($G124,0),$G:$G))&amp;"'!$B:$T"),
MATCH($G124,INDIRECT("'"&amp;INDEX($H:$H,MATCH(ROUNDDOWN($G124,0),$G:$G))&amp;"'!$A:$A"),0),
MATCH(K$3,INDIRECT("'"&amp;INDEX($H:$H,MATCH(ROUNDDOWN($G124,0),$G:$G))&amp;"'!$B$1:$T$1"),0)),0)
*INDEX('Labour Rates'!F$4:F$35,MATCH(ROUNDDOWN(BREAKDOWN!G124,0),'Labour Rates'!A$4:A$35))</f>
        <v>0</v>
      </c>
      <c r="L124" s="490">
        <f t="shared" ca="1" si="231"/>
        <v>0</v>
      </c>
      <c r="M124" s="490">
        <f t="shared" ca="1" si="231"/>
        <v>0</v>
      </c>
      <c r="N124" s="490">
        <f t="shared" ca="1" si="231"/>
        <v>0</v>
      </c>
      <c r="O124" s="490">
        <f t="shared" ca="1" si="232"/>
        <v>0</v>
      </c>
      <c r="P124" s="491">
        <f t="shared" ca="1" si="233"/>
        <v>0</v>
      </c>
      <c r="Q124" s="492">
        <f t="shared" ca="1" si="234"/>
        <v>0</v>
      </c>
      <c r="R124" s="493" t="str">
        <f t="shared" ca="1" si="235"/>
        <v/>
      </c>
      <c r="S124" s="494">
        <f t="shared" ca="1" si="218"/>
        <v>0</v>
      </c>
      <c r="T124" s="499">
        <f ca="1">IF(I124=0,0,INDEX('Labour Rates'!E$4:E$35,MATCH(ROUNDDOWN(BREAKDOWN!G124,0),'Labour Rates'!A$4:A$35)))</f>
        <v>79.77</v>
      </c>
      <c r="U124" s="496">
        <f t="shared" ca="1" si="236"/>
        <v>0</v>
      </c>
      <c r="V124" s="496">
        <f t="shared" ca="1" si="237"/>
        <v>0</v>
      </c>
      <c r="W124" s="496">
        <f t="shared" ca="1" si="238"/>
        <v>0</v>
      </c>
      <c r="X124" s="496">
        <f t="shared" ca="1" si="239"/>
        <v>0</v>
      </c>
      <c r="Y124" s="497">
        <f t="shared" ca="1" si="240"/>
        <v>0</v>
      </c>
      <c r="Z124" s="497">
        <f t="shared" ca="1" si="241"/>
        <v>0</v>
      </c>
      <c r="AA124" s="497">
        <f t="shared" ca="1" si="242"/>
        <v>0</v>
      </c>
      <c r="AB124" s="497">
        <f t="shared" ca="1" si="243"/>
        <v>0</v>
      </c>
      <c r="AC124" s="498">
        <f t="shared" ca="1" si="244"/>
        <v>0</v>
      </c>
    </row>
    <row r="125" spans="1:29" s="483" customFormat="1" ht="15.75" x14ac:dyDescent="0.25">
      <c r="A125" s="484"/>
      <c r="B125" s="484"/>
      <c r="C125" s="484"/>
      <c r="D125" s="484"/>
      <c r="E125" s="484"/>
      <c r="F125" s="485"/>
      <c r="G125" s="486">
        <f t="shared" ca="1" si="245"/>
        <v>24.040000000000006</v>
      </c>
      <c r="H125" s="487" t="str">
        <f t="shared" ca="1" si="229"/>
        <v>Painting to External Rendered Walls</v>
      </c>
      <c r="I125" s="488">
        <f t="shared" ca="1" si="230"/>
        <v>7.34</v>
      </c>
      <c r="J125" s="489" t="str">
        <f t="shared" ca="1" si="230"/>
        <v>m2</v>
      </c>
      <c r="K125" s="490">
        <f ca="1">IFERROR(
INDEX(INDIRECT("'"&amp;INDEX($H:$H,MATCH(ROUNDDOWN($G125,0),$G:$G))&amp;"'!$B:$T"),
MATCH($G125,INDIRECT("'"&amp;INDEX($H:$H,MATCH(ROUNDDOWN($G125,0),$G:$G))&amp;"'!$A:$A"),0),
MATCH(K$3,INDIRECT("'"&amp;INDEX($H:$H,MATCH(ROUNDDOWN($G125,0),$G:$G))&amp;"'!$B$1:$T$1"),0)),0)
*INDEX('Labour Rates'!F$4:F$35,MATCH(ROUNDDOWN(BREAKDOWN!G125,0),'Labour Rates'!A$4:A$35))</f>
        <v>0</v>
      </c>
      <c r="L125" s="490">
        <f t="shared" ca="1" si="231"/>
        <v>0</v>
      </c>
      <c r="M125" s="490">
        <f t="shared" ca="1" si="231"/>
        <v>0</v>
      </c>
      <c r="N125" s="490">
        <f t="shared" ca="1" si="231"/>
        <v>0</v>
      </c>
      <c r="O125" s="490">
        <f t="shared" ca="1" si="232"/>
        <v>0</v>
      </c>
      <c r="P125" s="491">
        <f t="shared" ca="1" si="233"/>
        <v>0</v>
      </c>
      <c r="Q125" s="492">
        <f t="shared" ca="1" si="234"/>
        <v>0</v>
      </c>
      <c r="R125" s="493" t="str">
        <f t="shared" ca="1" si="235"/>
        <v/>
      </c>
      <c r="S125" s="494">
        <f t="shared" ca="1" si="218"/>
        <v>0</v>
      </c>
      <c r="T125" s="499">
        <f ca="1">IF(I125=0,0,INDEX('Labour Rates'!E$4:E$35,MATCH(ROUNDDOWN(BREAKDOWN!G125,0),'Labour Rates'!A$4:A$35)))</f>
        <v>79.77</v>
      </c>
      <c r="U125" s="496">
        <f t="shared" ca="1" si="236"/>
        <v>0</v>
      </c>
      <c r="V125" s="496">
        <f t="shared" ca="1" si="237"/>
        <v>0</v>
      </c>
      <c r="W125" s="496">
        <f t="shared" ca="1" si="238"/>
        <v>0</v>
      </c>
      <c r="X125" s="496">
        <f t="shared" ca="1" si="239"/>
        <v>0</v>
      </c>
      <c r="Y125" s="497">
        <f t="shared" ca="1" si="240"/>
        <v>0</v>
      </c>
      <c r="Z125" s="497">
        <f t="shared" ca="1" si="241"/>
        <v>0</v>
      </c>
      <c r="AA125" s="497">
        <f t="shared" ca="1" si="242"/>
        <v>0</v>
      </c>
      <c r="AB125" s="497">
        <f t="shared" ca="1" si="243"/>
        <v>0</v>
      </c>
      <c r="AC125" s="498">
        <f t="shared" ca="1" si="244"/>
        <v>0</v>
      </c>
    </row>
    <row r="126" spans="1:29" s="500" customFormat="1" ht="15.75" x14ac:dyDescent="0.25">
      <c r="A126" s="504"/>
      <c r="B126" s="504"/>
      <c r="C126" s="504"/>
      <c r="D126" s="504"/>
      <c r="E126" s="504"/>
      <c r="F126" s="501"/>
      <c r="G126" s="486">
        <f t="shared" ca="1" si="245"/>
        <v>24.050000000000008</v>
      </c>
      <c r="H126" s="487" t="str">
        <f t="shared" ca="1" si="229"/>
        <v>Painting to Timber Architrave</v>
      </c>
      <c r="I126" s="488">
        <f t="shared" ca="1" si="230"/>
        <v>51.6</v>
      </c>
      <c r="J126" s="489" t="str">
        <f t="shared" ca="1" si="230"/>
        <v>Lm</v>
      </c>
      <c r="K126" s="490">
        <f ca="1">IFERROR(
INDEX(INDIRECT("'"&amp;INDEX($H:$H,MATCH(ROUNDDOWN($G126,0),$G:$G))&amp;"'!$B:$T"),
MATCH($G126,INDIRECT("'"&amp;INDEX($H:$H,MATCH(ROUNDDOWN($G126,0),$G:$G))&amp;"'!$A:$A"),0),
MATCH(K$3,INDIRECT("'"&amp;INDEX($H:$H,MATCH(ROUNDDOWN($G126,0),$G:$G))&amp;"'!$B$1:$T$1"),0)),0)
*INDEX('Labour Rates'!F$4:F$35,MATCH(ROUNDDOWN(BREAKDOWN!G126,0),'Labour Rates'!A$4:A$35))</f>
        <v>0</v>
      </c>
      <c r="L126" s="490">
        <f t="shared" ca="1" si="231"/>
        <v>0</v>
      </c>
      <c r="M126" s="490">
        <f t="shared" ca="1" si="231"/>
        <v>0</v>
      </c>
      <c r="N126" s="490">
        <f t="shared" ca="1" si="231"/>
        <v>0</v>
      </c>
      <c r="O126" s="490">
        <f t="shared" ca="1" si="232"/>
        <v>0</v>
      </c>
      <c r="P126" s="491">
        <f t="shared" ca="1" si="233"/>
        <v>0</v>
      </c>
      <c r="Q126" s="492">
        <f t="shared" ca="1" si="234"/>
        <v>0</v>
      </c>
      <c r="R126" s="493" t="str">
        <f t="shared" ca="1" si="235"/>
        <v/>
      </c>
      <c r="S126" s="494">
        <f t="shared" ca="1" si="218"/>
        <v>0</v>
      </c>
      <c r="T126" s="499">
        <f ca="1">IF(I126=0,0,INDEX('Labour Rates'!E$4:E$35,MATCH(ROUNDDOWN(BREAKDOWN!G126,0),'Labour Rates'!A$4:A$35)))</f>
        <v>79.77</v>
      </c>
      <c r="U126" s="496">
        <f t="shared" ca="1" si="236"/>
        <v>0</v>
      </c>
      <c r="V126" s="496">
        <f t="shared" ca="1" si="237"/>
        <v>0</v>
      </c>
      <c r="W126" s="496">
        <f t="shared" ca="1" si="238"/>
        <v>0</v>
      </c>
      <c r="X126" s="496">
        <f t="shared" ca="1" si="239"/>
        <v>0</v>
      </c>
      <c r="Y126" s="497">
        <f t="shared" ca="1" si="240"/>
        <v>0</v>
      </c>
      <c r="Z126" s="497">
        <f t="shared" ca="1" si="241"/>
        <v>0</v>
      </c>
      <c r="AA126" s="497">
        <f t="shared" ca="1" si="242"/>
        <v>0</v>
      </c>
      <c r="AB126" s="497">
        <f t="shared" ca="1" si="243"/>
        <v>0</v>
      </c>
      <c r="AC126" s="498">
        <f t="shared" ca="1" si="244"/>
        <v>0</v>
      </c>
    </row>
    <row r="127" spans="1:29" s="500" customFormat="1" ht="15.75" x14ac:dyDescent="0.25">
      <c r="A127" s="504"/>
      <c r="B127" s="504"/>
      <c r="C127" s="504"/>
      <c r="D127" s="504"/>
      <c r="E127" s="504"/>
      <c r="F127" s="501"/>
      <c r="G127" s="486">
        <f t="shared" ca="1" si="245"/>
        <v>24.060000000000009</v>
      </c>
      <c r="H127" s="487" t="str">
        <f t="shared" ca="1" si="229"/>
        <v>Painting to Timber Doors</v>
      </c>
      <c r="I127" s="488">
        <f t="shared" ca="1" si="230"/>
        <v>6</v>
      </c>
      <c r="J127" s="489" t="str">
        <f t="shared" ca="1" si="230"/>
        <v>No.</v>
      </c>
      <c r="K127" s="490">
        <f ca="1">IFERROR(
INDEX(INDIRECT("'"&amp;INDEX($H:$H,MATCH(ROUNDDOWN($G127,0),$G:$G))&amp;"'!$B:$T"),
MATCH($G127,INDIRECT("'"&amp;INDEX($H:$H,MATCH(ROUNDDOWN($G127,0),$G:$G))&amp;"'!$A:$A"),0),
MATCH(K$3,INDIRECT("'"&amp;INDEX($H:$H,MATCH(ROUNDDOWN($G127,0),$G:$G))&amp;"'!$B$1:$T$1"),0)),0)
*INDEX('Labour Rates'!F$4:F$35,MATCH(ROUNDDOWN(BREAKDOWN!G127,0),'Labour Rates'!A$4:A$35))</f>
        <v>0</v>
      </c>
      <c r="L127" s="490">
        <f t="shared" ca="1" si="231"/>
        <v>0</v>
      </c>
      <c r="M127" s="490">
        <f t="shared" ca="1" si="231"/>
        <v>0</v>
      </c>
      <c r="N127" s="490">
        <f t="shared" ca="1" si="231"/>
        <v>0</v>
      </c>
      <c r="O127" s="490">
        <f t="shared" ca="1" si="232"/>
        <v>0</v>
      </c>
      <c r="P127" s="491">
        <f t="shared" ca="1" si="233"/>
        <v>0</v>
      </c>
      <c r="Q127" s="492">
        <f t="shared" ca="1" si="234"/>
        <v>0</v>
      </c>
      <c r="R127" s="493" t="str">
        <f t="shared" ca="1" si="235"/>
        <v/>
      </c>
      <c r="S127" s="494">
        <f t="shared" ca="1" si="218"/>
        <v>0</v>
      </c>
      <c r="T127" s="499">
        <f ca="1">IF(I127=0,0,INDEX('Labour Rates'!E$4:E$35,MATCH(ROUNDDOWN(BREAKDOWN!G127,0),'Labour Rates'!A$4:A$35)))</f>
        <v>79.77</v>
      </c>
      <c r="U127" s="496">
        <f t="shared" ca="1" si="236"/>
        <v>0</v>
      </c>
      <c r="V127" s="496">
        <f t="shared" ca="1" si="237"/>
        <v>0</v>
      </c>
      <c r="W127" s="496">
        <f t="shared" ca="1" si="238"/>
        <v>0</v>
      </c>
      <c r="X127" s="496">
        <f t="shared" ca="1" si="239"/>
        <v>0</v>
      </c>
      <c r="Y127" s="497">
        <f t="shared" ca="1" si="240"/>
        <v>0</v>
      </c>
      <c r="Z127" s="497">
        <f t="shared" ca="1" si="241"/>
        <v>0</v>
      </c>
      <c r="AA127" s="497">
        <f t="shared" ca="1" si="242"/>
        <v>0</v>
      </c>
      <c r="AB127" s="497">
        <f t="shared" ca="1" si="243"/>
        <v>0</v>
      </c>
      <c r="AC127" s="498">
        <f t="shared" ca="1" si="244"/>
        <v>0</v>
      </c>
    </row>
    <row r="128" spans="1:29" s="483" customFormat="1" ht="15.75" x14ac:dyDescent="0.25">
      <c r="A128" s="484"/>
      <c r="B128" s="484"/>
      <c r="C128" s="484"/>
      <c r="D128" s="484"/>
      <c r="E128" s="484"/>
      <c r="F128" s="485"/>
      <c r="G128" s="486">
        <f t="shared" ca="1" si="245"/>
        <v>24.070000000000011</v>
      </c>
      <c r="H128" s="487" t="str">
        <f t="shared" ca="1" si="229"/>
        <v>Painting to Existing Doors</v>
      </c>
      <c r="I128" s="488">
        <f t="shared" ca="1" si="230"/>
        <v>1</v>
      </c>
      <c r="J128" s="489" t="str">
        <f t="shared" ca="1" si="230"/>
        <v>No.</v>
      </c>
      <c r="K128" s="490">
        <f ca="1">IFERROR(
INDEX(INDIRECT("'"&amp;INDEX($H:$H,MATCH(ROUNDDOWN($G128,0),$G:$G))&amp;"'!$B:$T"),
MATCH($G128,INDIRECT("'"&amp;INDEX($H:$H,MATCH(ROUNDDOWN($G128,0),$G:$G))&amp;"'!$A:$A"),0),
MATCH(K$3,INDIRECT("'"&amp;INDEX($H:$H,MATCH(ROUNDDOWN($G128,0),$G:$G))&amp;"'!$B$1:$T$1"),0)),0)
*INDEX('Labour Rates'!F$4:F$35,MATCH(ROUNDDOWN(BREAKDOWN!G128,0),'Labour Rates'!A$4:A$35))</f>
        <v>0</v>
      </c>
      <c r="L128" s="490">
        <f t="shared" ca="1" si="231"/>
        <v>0</v>
      </c>
      <c r="M128" s="490">
        <f t="shared" ca="1" si="231"/>
        <v>0</v>
      </c>
      <c r="N128" s="490">
        <f t="shared" ca="1" si="231"/>
        <v>0</v>
      </c>
      <c r="O128" s="490">
        <f t="shared" ca="1" si="232"/>
        <v>0</v>
      </c>
      <c r="P128" s="491">
        <f t="shared" ca="1" si="233"/>
        <v>0</v>
      </c>
      <c r="Q128" s="492">
        <f t="shared" ca="1" si="234"/>
        <v>0</v>
      </c>
      <c r="R128" s="493" t="str">
        <f t="shared" ca="1" si="235"/>
        <v/>
      </c>
      <c r="S128" s="494">
        <f t="shared" ca="1" si="218"/>
        <v>0</v>
      </c>
      <c r="T128" s="499">
        <f ca="1">IF(I128=0,0,INDEX('Labour Rates'!E$4:E$35,MATCH(ROUNDDOWN(BREAKDOWN!G128,0),'Labour Rates'!A$4:A$35)))</f>
        <v>79.77</v>
      </c>
      <c r="U128" s="496">
        <f t="shared" ca="1" si="236"/>
        <v>0</v>
      </c>
      <c r="V128" s="496">
        <f t="shared" ca="1" si="237"/>
        <v>0</v>
      </c>
      <c r="W128" s="496">
        <f t="shared" ca="1" si="238"/>
        <v>0</v>
      </c>
      <c r="X128" s="496">
        <f t="shared" ca="1" si="239"/>
        <v>0</v>
      </c>
      <c r="Y128" s="497">
        <f t="shared" ca="1" si="240"/>
        <v>0</v>
      </c>
      <c r="Z128" s="497">
        <f t="shared" ca="1" si="241"/>
        <v>0</v>
      </c>
      <c r="AA128" s="497">
        <f t="shared" ca="1" si="242"/>
        <v>0</v>
      </c>
      <c r="AB128" s="497">
        <f t="shared" ca="1" si="243"/>
        <v>0</v>
      </c>
      <c r="AC128" s="498">
        <f t="shared" ca="1" si="244"/>
        <v>0</v>
      </c>
    </row>
    <row r="129" spans="1:29" s="500" customFormat="1" ht="15.75" x14ac:dyDescent="0.25">
      <c r="A129" s="504"/>
      <c r="B129" s="504"/>
      <c r="C129" s="504"/>
      <c r="D129" s="504"/>
      <c r="E129" s="504"/>
      <c r="F129" s="501"/>
      <c r="G129" s="486">
        <f t="shared" ca="1" si="245"/>
        <v>24.080000000000013</v>
      </c>
      <c r="H129" s="487" t="str">
        <f t="shared" ca="1" si="229"/>
        <v>Painting to Existing Steel Rail</v>
      </c>
      <c r="I129" s="488">
        <f t="shared" ca="1" si="230"/>
        <v>21.74</v>
      </c>
      <c r="J129" s="489" t="str">
        <f t="shared" ca="1" si="230"/>
        <v>Lm</v>
      </c>
      <c r="K129" s="490">
        <f ca="1">IFERROR(
INDEX(INDIRECT("'"&amp;INDEX($H:$H,MATCH(ROUNDDOWN($G129,0),$G:$G))&amp;"'!$B:$T"),
MATCH($G129,INDIRECT("'"&amp;INDEX($H:$H,MATCH(ROUNDDOWN($G129,0),$G:$G))&amp;"'!$A:$A"),0),
MATCH(K$3,INDIRECT("'"&amp;INDEX($H:$H,MATCH(ROUNDDOWN($G129,0),$G:$G))&amp;"'!$B$1:$T$1"),0)),0)
*INDEX('Labour Rates'!F$4:F$35,MATCH(ROUNDDOWN(BREAKDOWN!G129,0),'Labour Rates'!A$4:A$35))</f>
        <v>0</v>
      </c>
      <c r="L129" s="490">
        <f t="shared" ca="1" si="231"/>
        <v>0</v>
      </c>
      <c r="M129" s="490">
        <f t="shared" ca="1" si="231"/>
        <v>0</v>
      </c>
      <c r="N129" s="490">
        <f t="shared" ca="1" si="231"/>
        <v>0</v>
      </c>
      <c r="O129" s="490">
        <f t="shared" ca="1" si="232"/>
        <v>0</v>
      </c>
      <c r="P129" s="491">
        <f t="shared" ca="1" si="233"/>
        <v>0</v>
      </c>
      <c r="Q129" s="492">
        <f t="shared" ca="1" si="234"/>
        <v>0</v>
      </c>
      <c r="R129" s="493" t="str">
        <f t="shared" ca="1" si="235"/>
        <v/>
      </c>
      <c r="S129" s="494">
        <f t="shared" ca="1" si="218"/>
        <v>0</v>
      </c>
      <c r="T129" s="499">
        <f ca="1">IF(I129=0,0,INDEX('Labour Rates'!E$4:E$35,MATCH(ROUNDDOWN(BREAKDOWN!G129,0),'Labour Rates'!A$4:A$35)))</f>
        <v>79.77</v>
      </c>
      <c r="U129" s="496">
        <f t="shared" ca="1" si="236"/>
        <v>0</v>
      </c>
      <c r="V129" s="496">
        <f t="shared" ca="1" si="237"/>
        <v>0</v>
      </c>
      <c r="W129" s="496">
        <f t="shared" ca="1" si="238"/>
        <v>0</v>
      </c>
      <c r="X129" s="496">
        <f t="shared" ca="1" si="239"/>
        <v>0</v>
      </c>
      <c r="Y129" s="497">
        <f t="shared" ca="1" si="240"/>
        <v>0</v>
      </c>
      <c r="Z129" s="497">
        <f t="shared" ca="1" si="241"/>
        <v>0</v>
      </c>
      <c r="AA129" s="497">
        <f t="shared" ca="1" si="242"/>
        <v>0</v>
      </c>
      <c r="AB129" s="497">
        <f t="shared" ca="1" si="243"/>
        <v>0</v>
      </c>
      <c r="AC129" s="498">
        <f t="shared" ca="1" si="244"/>
        <v>0</v>
      </c>
    </row>
    <row r="130" spans="1:29" s="483" customFormat="1" ht="15.75" x14ac:dyDescent="0.25">
      <c r="A130" s="484"/>
      <c r="B130" s="484"/>
      <c r="C130" s="484"/>
      <c r="D130" s="484"/>
      <c r="E130" s="484"/>
      <c r="F130" s="485"/>
      <c r="G130" s="502">
        <f ca="1">G121+1</f>
        <v>25</v>
      </c>
      <c r="H130" s="473" t="str">
        <f ca="1">INDEX(Joinery!B:B,MATCH(BREAKDOWN!G130,Joinery!A:A))</f>
        <v>JOINERY</v>
      </c>
      <c r="I130" s="474"/>
      <c r="J130" s="475"/>
      <c r="K130" s="476"/>
      <c r="L130" s="476"/>
      <c r="M130" s="476"/>
      <c r="N130" s="476"/>
      <c r="O130" s="476"/>
      <c r="P130" s="476"/>
      <c r="Q130" s="477">
        <f ca="1">SUMIFS(Q:Q,$G:$G,"&gt;"&amp;$G130,$G:$G,"&lt;"&amp;($G130+1))</f>
        <v>0</v>
      </c>
      <c r="R130" s="478">
        <f ca="1">Q130
-INDEX(INDIRECT("'"&amp;H130&amp;"'!B:T"),MATCH($Q$3,INDIRECT("'"&amp;H130&amp;"'!B:B"),0),MATCH($Q$3,INDIRECT("'"&amp;H130&amp;"'!B$1:T$1"),0))
-(SUMIFS(U:U,$G:$G,"&gt;"&amp;$G130,$G:$G,"&lt;"&amp;($G130+1))-SUMIFS(U:U,$G:$G,"&gt;"&amp;$G130,$G:$G,"&lt;"&amp;($G130+1))/INDEX('Labour Rates'!F$4:F$35,MATCH(ROUNDDOWN(BREAKDOWN!G130,0),'Labour Rates'!A$4:A$35)))</f>
        <v>0</v>
      </c>
      <c r="S130" s="503"/>
      <c r="T130" s="499"/>
      <c r="U130" s="503"/>
      <c r="V130" s="503"/>
      <c r="W130" s="503"/>
      <c r="X130" s="503"/>
      <c r="Y130" s="503"/>
      <c r="Z130" s="503"/>
      <c r="AA130" s="503"/>
      <c r="AB130" s="477">
        <f ca="1">SUM(AB131:AB132)</f>
        <v>0</v>
      </c>
      <c r="AC130" s="498"/>
    </row>
    <row r="131" spans="1:29" s="500" customFormat="1" ht="31.5" x14ac:dyDescent="0.25">
      <c r="A131" s="504"/>
      <c r="B131" s="504"/>
      <c r="C131" s="504"/>
      <c r="D131" s="504"/>
      <c r="E131" s="504"/>
      <c r="F131" s="501"/>
      <c r="G131" s="486">
        <f ca="1">G130+0.01</f>
        <v>25.01</v>
      </c>
      <c r="H131" s="487" t="str">
        <f ca="1">IF($I131&lt;&gt;0,
INDEX(INDIRECT("'"&amp;INDEX($H:$H,MATCH(ROUNDDOWN($G131,0),$G:$G))&amp;"'!$B:$T"),
MATCH($G131,INDIRECT("'"&amp;INDEX($H:$H,MATCH(ROUNDDOWN($G131,0),$G:$G))&amp;"'!$A:$A"),0),
MATCH(H$3,INDIRECT("'"&amp;INDEX($H:$H,MATCH(ROUNDDOWN($G131,0),$G:$G))&amp;"'!$B$1:$T$1"),0)),0)</f>
        <v>Lunchroom (Including Benchtop, Cabinets, End Panel &amp; Kickboard)</v>
      </c>
      <c r="I131" s="488">
        <f ca="1">IFERROR(
INDEX(INDIRECT("'"&amp;INDEX($H:$H,MATCH(ROUNDDOWN($G131,0),$G:$G))&amp;"'!$B:$T"),
MATCH($G131,INDIRECT("'"&amp;INDEX($H:$H,MATCH(ROUNDDOWN($G131,0),$G:$G))&amp;"'!$A:$A"),0),
MATCH(I$3,INDIRECT("'"&amp;INDEX($H:$H,MATCH(ROUNDDOWN($G131,0),$G:$G))&amp;"'!$B$1:$T$1"),0)),0)</f>
        <v>1</v>
      </c>
      <c r="J131" s="489" t="str">
        <f ca="1">IFERROR(
INDEX(INDIRECT("'"&amp;INDEX($H:$H,MATCH(ROUNDDOWN($G131,0),$G:$G))&amp;"'!$B:$T"),
MATCH($G131,INDIRECT("'"&amp;INDEX($H:$H,MATCH(ROUNDDOWN($G131,0),$G:$G))&amp;"'!$A:$A"),0),
MATCH(J$3,INDIRECT("'"&amp;INDEX($H:$H,MATCH(ROUNDDOWN($G131,0),$G:$G))&amp;"'!$B$1:$T$1"),0)),0)</f>
        <v>item</v>
      </c>
      <c r="K131" s="490">
        <f ca="1">IFERROR(
INDEX(INDIRECT("'"&amp;INDEX($H:$H,MATCH(ROUNDDOWN($G131,0),$G:$G))&amp;"'!$B:$T"),
MATCH($G131,INDIRECT("'"&amp;INDEX($H:$H,MATCH(ROUNDDOWN($G131,0),$G:$G))&amp;"'!$A:$A"),0),
MATCH(K$3,INDIRECT("'"&amp;INDEX($H:$H,MATCH(ROUNDDOWN($G131,0),$G:$G))&amp;"'!$B$1:$T$1"),0)),0)
*INDEX('Labour Rates'!F$4:F$35,MATCH(ROUNDDOWN(BREAKDOWN!G131,0),'Labour Rates'!A$4:A$35))</f>
        <v>0</v>
      </c>
      <c r="L131" s="490">
        <f t="shared" ref="L131:N132" ca="1" si="246">IFERROR(
INDEX(INDIRECT("'"&amp;INDEX($H:$H,MATCH(ROUNDDOWN($G131,0),$G:$G))&amp;"'!$B:$T"),
MATCH($G131,INDIRECT("'"&amp;INDEX($H:$H,MATCH(ROUNDDOWN($G131,0),$G:$G))&amp;"'!$A:$A"),0),
MATCH(L$3,INDIRECT("'"&amp;INDEX($H:$H,MATCH(ROUNDDOWN($G131,0),$G:$G))&amp;"'!$B$1:$T$1"),0)),0)</f>
        <v>0</v>
      </c>
      <c r="M131" s="490">
        <f t="shared" ca="1" si="246"/>
        <v>0</v>
      </c>
      <c r="N131" s="490">
        <f t="shared" ca="1" si="246"/>
        <v>0</v>
      </c>
      <c r="O131" s="490">
        <f ca="1">IFERROR(
INDEX(INDIRECT("'"&amp;INDEX($H:$H,MATCH(ROUNDDOWN($G131,0),$G:$G))&amp;"'!$V:$Z"),
MATCH($G131,INDIRECT("'"&amp;INDEX($H:$H,MATCH(ROUNDDOWN($G131,0),$G:$G))&amp;"'!$A:$A"),0),
MATCH(O$3,INDIRECT("'"&amp;INDEX($H:$H,MATCH(ROUNDDOWN($G131,0),$G:$G))&amp;"'!$V$2:$Z$2"),0)),0)</f>
        <v>0</v>
      </c>
      <c r="P131" s="491">
        <f t="shared" ref="P131:P132" ca="1" si="247">IFERROR(IF(O131="inc","inc",IF(AND(O131&gt;0,I131&gt;0),O131/I131,IF(SUM(K131:N131)&gt;0,SUM(K131:N131),0))),0)</f>
        <v>0</v>
      </c>
      <c r="Q131" s="492">
        <f t="shared" ref="Q131:Q132" ca="1" si="248">IFERROR(IF(P131="",0,I131*P131),0)</f>
        <v>0</v>
      </c>
      <c r="R131" s="493" t="str">
        <f ca="1">IFERROR(
INDEX(INDIRECT("'"&amp;INDEX($H:$H,MATCH(ROUNDDOWN($G131,0),$G:$G))&amp;"'!$W:$AA"),
MATCH($G131,INDIRECT("'"&amp;INDEX($H:$H,MATCH(ROUNDDOWN($G131,0),$G:$G))&amp;"'!$A:$A"),0),
MATCH(R$3,INDIRECT("'"&amp;INDEX($H:$H,MATCH(ROUNDDOWN($G131,0),$G:$G))&amp;"'!$W$1:$AA$1"),0)),"")</f>
        <v/>
      </c>
      <c r="S131" s="494">
        <f t="shared" ca="1" si="218"/>
        <v>0</v>
      </c>
      <c r="T131" s="499">
        <f ca="1">IF(I131=0,0,INDEX('Labour Rates'!E$4:E$35,MATCH(ROUNDDOWN(BREAKDOWN!G131,0),'Labour Rates'!A$4:A$35)))</f>
        <v>91.43</v>
      </c>
      <c r="U131" s="496">
        <f t="shared" ref="U131:U132" ca="1" si="249">IF($Y131&gt;0, 0, IFERROR($I131*K131,0))</f>
        <v>0</v>
      </c>
      <c r="V131" s="496">
        <f t="shared" ref="V131:V132" ca="1" si="250">IF($Y131&gt;0, 0, IFERROR($I131*L131,0))</f>
        <v>0</v>
      </c>
      <c r="W131" s="496">
        <f t="shared" ref="W131:W132" ca="1" si="251">IF($Y131&gt;0, 0, IFERROR($I131*M131,0))</f>
        <v>0</v>
      </c>
      <c r="X131" s="496">
        <f t="shared" ref="X131:X132" ca="1" si="252">IF($Y131&gt;0, 0, IFERROR($I131*N131,0))</f>
        <v>0</v>
      </c>
      <c r="Y131" s="497">
        <f t="shared" ref="Y131:Y132" ca="1" si="253">IF(I131&gt;0,O131,0)</f>
        <v>0</v>
      </c>
      <c r="Z131" s="497">
        <f ca="1">Q131*$I$158</f>
        <v>0</v>
      </c>
      <c r="AA131" s="497">
        <f ca="1">Q131*$I$159</f>
        <v>0</v>
      </c>
      <c r="AB131" s="497">
        <f t="shared" ref="AB131:AB132" ca="1" si="254">SUM(U131:AA131)</f>
        <v>0</v>
      </c>
      <c r="AC131" s="498">
        <f t="shared" ref="AC131:AC132" ca="1" si="255">SUM(U131:Y131)-Q131</f>
        <v>0</v>
      </c>
    </row>
    <row r="132" spans="1:29" s="500" customFormat="1" ht="31.5" x14ac:dyDescent="0.25">
      <c r="A132" s="504"/>
      <c r="B132" s="504"/>
      <c r="C132" s="504"/>
      <c r="D132" s="504"/>
      <c r="E132" s="504"/>
      <c r="F132" s="501"/>
      <c r="G132" s="486">
        <f t="shared" ref="G132" ca="1" si="256">G131+0.01</f>
        <v>25.020000000000003</v>
      </c>
      <c r="H132" s="487" t="str">
        <f ca="1">IF($I132&lt;&gt;0,
INDEX(INDIRECT("'"&amp;INDEX($H:$H,MATCH(ROUNDDOWN($G132,0),$G:$G))&amp;"'!$B:$T"),
MATCH($G132,INDIRECT("'"&amp;INDEX($H:$H,MATCH(ROUNDDOWN($G132,0),$G:$G))&amp;"'!$A:$A"),0),
MATCH(H$3,INDIRECT("'"&amp;INDEX($H:$H,MATCH(ROUNDDOWN($G132,0),$G:$G))&amp;"'!$B$1:$T$1"),0)),0)</f>
        <v>Entry Counter (Including Benchtop, Cabinets, End Panel &amp; Kickboard)</v>
      </c>
      <c r="I132" s="488">
        <f ca="1">IFERROR(
INDEX(INDIRECT("'"&amp;INDEX($H:$H,MATCH(ROUNDDOWN($G132,0),$G:$G))&amp;"'!$B:$T"),
MATCH($G132,INDIRECT("'"&amp;INDEX($H:$H,MATCH(ROUNDDOWN($G132,0),$G:$G))&amp;"'!$A:$A"),0),
MATCH(I$3,INDIRECT("'"&amp;INDEX($H:$H,MATCH(ROUNDDOWN($G132,0),$G:$G))&amp;"'!$B$1:$T$1"),0)),0)</f>
        <v>1</v>
      </c>
      <c r="J132" s="489" t="str">
        <f ca="1">IFERROR(
INDEX(INDIRECT("'"&amp;INDEX($H:$H,MATCH(ROUNDDOWN($G132,0),$G:$G))&amp;"'!$B:$T"),
MATCH($G132,INDIRECT("'"&amp;INDEX($H:$H,MATCH(ROUNDDOWN($G132,0),$G:$G))&amp;"'!$A:$A"),0),
MATCH(J$3,INDIRECT("'"&amp;INDEX($H:$H,MATCH(ROUNDDOWN($G132,0),$G:$G))&amp;"'!$B$1:$T$1"),0)),0)</f>
        <v>item</v>
      </c>
      <c r="K132" s="490">
        <f ca="1">IFERROR(
INDEX(INDIRECT("'"&amp;INDEX($H:$H,MATCH(ROUNDDOWN($G132,0),$G:$G))&amp;"'!$B:$T"),
MATCH($G132,INDIRECT("'"&amp;INDEX($H:$H,MATCH(ROUNDDOWN($G132,0),$G:$G))&amp;"'!$A:$A"),0),
MATCH(K$3,INDIRECT("'"&amp;INDEX($H:$H,MATCH(ROUNDDOWN($G132,0),$G:$G))&amp;"'!$B$1:$T$1"),0)),0)
*INDEX('Labour Rates'!F$4:F$35,MATCH(ROUNDDOWN(BREAKDOWN!G132,0),'Labour Rates'!A$4:A$35))</f>
        <v>0</v>
      </c>
      <c r="L132" s="490">
        <f t="shared" ca="1" si="246"/>
        <v>0</v>
      </c>
      <c r="M132" s="490">
        <f t="shared" ca="1" si="246"/>
        <v>0</v>
      </c>
      <c r="N132" s="490">
        <f t="shared" ca="1" si="246"/>
        <v>0</v>
      </c>
      <c r="O132" s="490">
        <f ca="1">IFERROR(
INDEX(INDIRECT("'"&amp;INDEX($H:$H,MATCH(ROUNDDOWN($G132,0),$G:$G))&amp;"'!$V:$Z"),
MATCH($G132,INDIRECT("'"&amp;INDEX($H:$H,MATCH(ROUNDDOWN($G132,0),$G:$G))&amp;"'!$A:$A"),0),
MATCH(O$3,INDIRECT("'"&amp;INDEX($H:$H,MATCH(ROUNDDOWN($G132,0),$G:$G))&amp;"'!$V$2:$Z$2"),0)),0)</f>
        <v>0</v>
      </c>
      <c r="P132" s="491">
        <f t="shared" ca="1" si="247"/>
        <v>0</v>
      </c>
      <c r="Q132" s="492">
        <f t="shared" ca="1" si="248"/>
        <v>0</v>
      </c>
      <c r="R132" s="493" t="str">
        <f ca="1">IFERROR(
INDEX(INDIRECT("'"&amp;INDEX($H:$H,MATCH(ROUNDDOWN($G132,0),$G:$G))&amp;"'!$W:$AA"),
MATCH($G132,INDIRECT("'"&amp;INDEX($H:$H,MATCH(ROUNDDOWN($G132,0),$G:$G))&amp;"'!$A:$A"),0),
MATCH(R$3,INDIRECT("'"&amp;INDEX($H:$H,MATCH(ROUNDDOWN($G132,0),$G:$G))&amp;"'!$W$1:$AA$1"),0)),"")</f>
        <v/>
      </c>
      <c r="S132" s="494">
        <f t="shared" ca="1" si="218"/>
        <v>0</v>
      </c>
      <c r="T132" s="499">
        <f ca="1">IF(I132=0,0,INDEX('Labour Rates'!E$4:E$35,MATCH(ROUNDDOWN(BREAKDOWN!G132,0),'Labour Rates'!A$4:A$35)))</f>
        <v>91.43</v>
      </c>
      <c r="U132" s="496">
        <f t="shared" ca="1" si="249"/>
        <v>0</v>
      </c>
      <c r="V132" s="496">
        <f t="shared" ca="1" si="250"/>
        <v>0</v>
      </c>
      <c r="W132" s="496">
        <f t="shared" ca="1" si="251"/>
        <v>0</v>
      </c>
      <c r="X132" s="496">
        <f t="shared" ca="1" si="252"/>
        <v>0</v>
      </c>
      <c r="Y132" s="497">
        <f t="shared" ca="1" si="253"/>
        <v>0</v>
      </c>
      <c r="Z132" s="497">
        <f ca="1">Q132*$I$158</f>
        <v>0</v>
      </c>
      <c r="AA132" s="497">
        <f ca="1">Q132*$I$159</f>
        <v>0</v>
      </c>
      <c r="AB132" s="497">
        <f t="shared" ca="1" si="254"/>
        <v>0</v>
      </c>
      <c r="AC132" s="498">
        <f t="shared" ca="1" si="255"/>
        <v>0</v>
      </c>
    </row>
    <row r="133" spans="1:29" s="483" customFormat="1" ht="15.75" x14ac:dyDescent="0.25">
      <c r="A133" s="484"/>
      <c r="B133" s="484"/>
      <c r="C133" s="484"/>
      <c r="D133" s="484"/>
      <c r="E133" s="484"/>
      <c r="F133" s="485"/>
      <c r="G133" s="502">
        <f ca="1">G130+1</f>
        <v>26</v>
      </c>
      <c r="H133" s="473" t="str">
        <f ca="1">INDEX('Windows &amp; Doors'!B:B,MATCH(BREAKDOWN!G133,'Windows &amp; Doors'!A:A))</f>
        <v>WINDOWS &amp; DOORS</v>
      </c>
      <c r="I133" s="474"/>
      <c r="J133" s="475"/>
      <c r="K133" s="476"/>
      <c r="L133" s="476"/>
      <c r="M133" s="476"/>
      <c r="N133" s="476"/>
      <c r="O133" s="476"/>
      <c r="P133" s="476"/>
      <c r="Q133" s="477">
        <f ca="1">SUMIFS(Q:Q,$G:$G,"&gt;"&amp;$G133,$G:$G,"&lt;"&amp;($G133+1))</f>
        <v>0</v>
      </c>
      <c r="R133" s="478">
        <f ca="1">Q133
-INDEX(INDIRECT("'"&amp;H133&amp;"'!B:T"),MATCH($Q$3,INDIRECT("'"&amp;H133&amp;"'!B:B"),0),MATCH($Q$3,INDIRECT("'"&amp;H133&amp;"'!B$1:T$1"),0))
-(SUMIFS(U:U,$G:$G,"&gt;"&amp;$G133,$G:$G,"&lt;"&amp;($G133+1))-SUMIFS(U:U,$G:$G,"&gt;"&amp;$G133,$G:$G,"&lt;"&amp;($G133+1))/INDEX('Labour Rates'!F$4:F$35,MATCH(ROUNDDOWN(BREAKDOWN!G133,0),'Labour Rates'!A$4:A$35)))</f>
        <v>0</v>
      </c>
      <c r="S133" s="503"/>
      <c r="T133" s="499"/>
      <c r="U133" s="503"/>
      <c r="V133" s="503"/>
      <c r="W133" s="503"/>
      <c r="X133" s="503"/>
      <c r="Y133" s="503"/>
      <c r="Z133" s="503"/>
      <c r="AA133" s="503"/>
      <c r="AB133" s="477">
        <f ca="1">SUM(AB134:AB138)</f>
        <v>0</v>
      </c>
      <c r="AC133" s="498"/>
    </row>
    <row r="134" spans="1:29" s="500" customFormat="1" ht="15.75" x14ac:dyDescent="0.25">
      <c r="A134" s="504"/>
      <c r="B134" s="504"/>
      <c r="C134" s="504"/>
      <c r="D134" s="504"/>
      <c r="E134" s="504"/>
      <c r="F134" s="501"/>
      <c r="G134" s="486">
        <f ca="1">G133+0.01</f>
        <v>26.01</v>
      </c>
      <c r="H134" s="487" t="str">
        <f ca="1">IF($I134&lt;&gt;0,
INDEX(INDIRECT("'"&amp;INDEX($H:$H,MATCH(ROUNDDOWN($G134,0),$G:$G))&amp;"'!$B:$T"),
MATCH($G134,INDIRECT("'"&amp;INDEX($H:$H,MATCH(ROUNDDOWN($G134,0),$G:$G))&amp;"'!$A:$A"),0),
MATCH(H$3,INDIRECT("'"&amp;INDEX($H:$H,MATCH(ROUNDDOWN($G134,0),$G:$G))&amp;"'!$B$1:$T$1"),0)),0)</f>
        <v>Aluminium Sliding Windows</v>
      </c>
      <c r="I134" s="488">
        <f t="shared" ref="I134:J138" ca="1" si="257">IFERROR(
INDEX(INDIRECT("'"&amp;INDEX($H:$H,MATCH(ROUNDDOWN($G134,0),$G:$G))&amp;"'!$B:$T"),
MATCH($G134,INDIRECT("'"&amp;INDEX($H:$H,MATCH(ROUNDDOWN($G134,0),$G:$G))&amp;"'!$A:$A"),0),
MATCH(I$3,INDIRECT("'"&amp;INDEX($H:$H,MATCH(ROUNDDOWN($G134,0),$G:$G))&amp;"'!$B$1:$T$1"),0)),0)</f>
        <v>3</v>
      </c>
      <c r="J134" s="489" t="str">
        <f t="shared" ca="1" si="257"/>
        <v>No.</v>
      </c>
      <c r="K134" s="490">
        <f ca="1">IFERROR(
INDEX(INDIRECT("'"&amp;INDEX($H:$H,MATCH(ROUNDDOWN($G134,0),$G:$G))&amp;"'!$B:$T"),
MATCH($G134,INDIRECT("'"&amp;INDEX($H:$H,MATCH(ROUNDDOWN($G134,0),$G:$G))&amp;"'!$A:$A"),0),
MATCH(K$3,INDIRECT("'"&amp;INDEX($H:$H,MATCH(ROUNDDOWN($G134,0),$G:$G))&amp;"'!$B$1:$T$1"),0)),0)
*INDEX('Labour Rates'!F$4:F$35,MATCH(ROUNDDOWN(BREAKDOWN!G134,0),'Labour Rates'!A$4:A$35))</f>
        <v>0</v>
      </c>
      <c r="L134" s="490">
        <f t="shared" ref="L134:N138" ca="1" si="258">IFERROR(
INDEX(INDIRECT("'"&amp;INDEX($H:$H,MATCH(ROUNDDOWN($G134,0),$G:$G))&amp;"'!$B:$T"),
MATCH($G134,INDIRECT("'"&amp;INDEX($H:$H,MATCH(ROUNDDOWN($G134,0),$G:$G))&amp;"'!$A:$A"),0),
MATCH(L$3,INDIRECT("'"&amp;INDEX($H:$H,MATCH(ROUNDDOWN($G134,0),$G:$G))&amp;"'!$B$1:$T$1"),0)),0)</f>
        <v>0</v>
      </c>
      <c r="M134" s="490">
        <f t="shared" ca="1" si="258"/>
        <v>0</v>
      </c>
      <c r="N134" s="490">
        <f t="shared" ca="1" si="258"/>
        <v>0</v>
      </c>
      <c r="O134" s="490">
        <f ca="1">IFERROR(
INDEX(INDIRECT("'"&amp;INDEX($H:$H,MATCH(ROUNDDOWN($G134,0),$G:$G))&amp;"'!$V:$Z"),
MATCH($G134,INDIRECT("'"&amp;INDEX($H:$H,MATCH(ROUNDDOWN($G134,0),$G:$G))&amp;"'!$A:$A"),0),
MATCH(O$3,INDIRECT("'"&amp;INDEX($H:$H,MATCH(ROUNDDOWN($G134,0),$G:$G))&amp;"'!$V$2:$Z$2"),0)),0)</f>
        <v>0</v>
      </c>
      <c r="P134" s="491">
        <f t="shared" ref="P134:P138" ca="1" si="259">IFERROR(IF(O134="inc","inc",IF(AND(O134&gt;0,I134&gt;0),O134/I134,IF(SUM(K134:N134)&gt;0,SUM(K134:N134),0))),0)</f>
        <v>0</v>
      </c>
      <c r="Q134" s="492">
        <f t="shared" ref="Q134:Q138" ca="1" si="260">IFERROR(IF(P134="",0,I134*P134),0)</f>
        <v>0</v>
      </c>
      <c r="R134" s="493" t="str">
        <f ca="1">IFERROR(
INDEX(INDIRECT("'"&amp;INDEX($H:$H,MATCH(ROUNDDOWN($G134,0),$G:$G))&amp;"'!$W:$AA"),
MATCH($G134,INDIRECT("'"&amp;INDEX($H:$H,MATCH(ROUNDDOWN($G134,0),$G:$G))&amp;"'!$A:$A"),0),
MATCH(R$3,INDIRECT("'"&amp;INDEX($H:$H,MATCH(ROUNDDOWN($G134,0),$G:$G))&amp;"'!$W$1:$AA$1"),0)),"")</f>
        <v/>
      </c>
      <c r="S134" s="494">
        <f t="shared" ref="S134:S148" ca="1" si="261">IFERROR(U134/T134,"")</f>
        <v>0</v>
      </c>
      <c r="T134" s="499">
        <f ca="1">IF(I134=0,0,INDEX('Labour Rates'!E$4:E$35,MATCH(ROUNDDOWN(BREAKDOWN!G134,0),'Labour Rates'!A$4:A$35)))</f>
        <v>91.43</v>
      </c>
      <c r="U134" s="496">
        <f t="shared" ref="U134:U138" ca="1" si="262">IF($Y134&gt;0, 0, IFERROR($I134*K134,0))</f>
        <v>0</v>
      </c>
      <c r="V134" s="496">
        <f t="shared" ref="V134:V138" ca="1" si="263">IF($Y134&gt;0, 0, IFERROR($I134*L134,0))</f>
        <v>0</v>
      </c>
      <c r="W134" s="496">
        <f t="shared" ref="W134:W138" ca="1" si="264">IF($Y134&gt;0, 0, IFERROR($I134*M134,0))</f>
        <v>0</v>
      </c>
      <c r="X134" s="496">
        <f t="shared" ref="X134:X138" ca="1" si="265">IF($Y134&gt;0, 0, IFERROR($I134*N134,0))</f>
        <v>0</v>
      </c>
      <c r="Y134" s="497">
        <f t="shared" ref="Y134:Y138" ca="1" si="266">IF(I134&gt;0,O134,0)</f>
        <v>0</v>
      </c>
      <c r="Z134" s="497">
        <f ca="1">Q134*$I$158</f>
        <v>0</v>
      </c>
      <c r="AA134" s="497">
        <f ca="1">Q134*$I$159</f>
        <v>0</v>
      </c>
      <c r="AB134" s="497">
        <f t="shared" ref="AB134:AB138" ca="1" si="267">SUM(U134:AA134)</f>
        <v>0</v>
      </c>
      <c r="AC134" s="498">
        <f t="shared" ref="AC134:AC138" ca="1" si="268">SUM(U134:Y134)-Q134</f>
        <v>0</v>
      </c>
    </row>
    <row r="135" spans="1:29" s="500" customFormat="1" ht="15.75" x14ac:dyDescent="0.25">
      <c r="A135" s="504"/>
      <c r="B135" s="504"/>
      <c r="C135" s="504"/>
      <c r="D135" s="504"/>
      <c r="E135" s="504"/>
      <c r="F135" s="501"/>
      <c r="G135" s="486">
        <f t="shared" ref="G135:G138" ca="1" si="269">G134+0.01</f>
        <v>26.020000000000003</v>
      </c>
      <c r="H135" s="487" t="str">
        <f ca="1">IF($I135&lt;&gt;0,
INDEX(INDIRECT("'"&amp;INDEX($H:$H,MATCH(ROUNDDOWN($G135,0),$G:$G))&amp;"'!$B:$T"),
MATCH($G135,INDIRECT("'"&amp;INDEX($H:$H,MATCH(ROUNDDOWN($G135,0),$G:$G))&amp;"'!$A:$A"),0),
MATCH(H$3,INDIRECT("'"&amp;INDEX($H:$H,MATCH(ROUNDDOWN($G135,0),$G:$G))&amp;"'!$B$1:$T$1"),0)),0)</f>
        <v>Aluminium Fixed Windows</v>
      </c>
      <c r="I135" s="488">
        <f t="shared" ca="1" si="257"/>
        <v>6</v>
      </c>
      <c r="J135" s="489" t="str">
        <f t="shared" ca="1" si="257"/>
        <v>No.</v>
      </c>
      <c r="K135" s="490">
        <f ca="1">IFERROR(
INDEX(INDIRECT("'"&amp;INDEX($H:$H,MATCH(ROUNDDOWN($G135,0),$G:$G))&amp;"'!$B:$T"),
MATCH($G135,INDIRECT("'"&amp;INDEX($H:$H,MATCH(ROUNDDOWN($G135,0),$G:$G))&amp;"'!$A:$A"),0),
MATCH(K$3,INDIRECT("'"&amp;INDEX($H:$H,MATCH(ROUNDDOWN($G135,0),$G:$G))&amp;"'!$B$1:$T$1"),0)),0)
*INDEX('Labour Rates'!F$4:F$35,MATCH(ROUNDDOWN(BREAKDOWN!G135,0),'Labour Rates'!A$4:A$35))</f>
        <v>0</v>
      </c>
      <c r="L135" s="490">
        <f t="shared" ca="1" si="258"/>
        <v>0</v>
      </c>
      <c r="M135" s="490">
        <f t="shared" ca="1" si="258"/>
        <v>0</v>
      </c>
      <c r="N135" s="490">
        <f t="shared" ca="1" si="258"/>
        <v>0</v>
      </c>
      <c r="O135" s="490">
        <f ca="1">IFERROR(
INDEX(INDIRECT("'"&amp;INDEX($H:$H,MATCH(ROUNDDOWN($G135,0),$G:$G))&amp;"'!$V:$Z"),
MATCH($G135,INDIRECT("'"&amp;INDEX($H:$H,MATCH(ROUNDDOWN($G135,0),$G:$G))&amp;"'!$A:$A"),0),
MATCH(O$3,INDIRECT("'"&amp;INDEX($H:$H,MATCH(ROUNDDOWN($G135,0),$G:$G))&amp;"'!$V$2:$Z$2"),0)),0)</f>
        <v>0</v>
      </c>
      <c r="P135" s="491">
        <f t="shared" ca="1" si="259"/>
        <v>0</v>
      </c>
      <c r="Q135" s="492">
        <f t="shared" ca="1" si="260"/>
        <v>0</v>
      </c>
      <c r="R135" s="493" t="str">
        <f ca="1">IFERROR(
INDEX(INDIRECT("'"&amp;INDEX($H:$H,MATCH(ROUNDDOWN($G135,0),$G:$G))&amp;"'!$W:$AA"),
MATCH($G135,INDIRECT("'"&amp;INDEX($H:$H,MATCH(ROUNDDOWN($G135,0),$G:$G))&amp;"'!$A:$A"),0),
MATCH(R$3,INDIRECT("'"&amp;INDEX($H:$H,MATCH(ROUNDDOWN($G135,0),$G:$G))&amp;"'!$W$1:$AA$1"),0)),"")</f>
        <v/>
      </c>
      <c r="S135" s="494">
        <f t="shared" ca="1" si="261"/>
        <v>0</v>
      </c>
      <c r="T135" s="499">
        <f ca="1">IF(I135=0,0,INDEX('Labour Rates'!E$4:E$35,MATCH(ROUNDDOWN(BREAKDOWN!G135,0),'Labour Rates'!A$4:A$35)))</f>
        <v>91.43</v>
      </c>
      <c r="U135" s="496">
        <f t="shared" ca="1" si="262"/>
        <v>0</v>
      </c>
      <c r="V135" s="496">
        <f t="shared" ca="1" si="263"/>
        <v>0</v>
      </c>
      <c r="W135" s="496">
        <f t="shared" ca="1" si="264"/>
        <v>0</v>
      </c>
      <c r="X135" s="496">
        <f t="shared" ca="1" si="265"/>
        <v>0</v>
      </c>
      <c r="Y135" s="497">
        <f t="shared" ca="1" si="266"/>
        <v>0</v>
      </c>
      <c r="Z135" s="497">
        <f ca="1">Q135*$I$158</f>
        <v>0</v>
      </c>
      <c r="AA135" s="497">
        <f ca="1">Q135*$I$159</f>
        <v>0</v>
      </c>
      <c r="AB135" s="497">
        <f t="shared" ca="1" si="267"/>
        <v>0</v>
      </c>
      <c r="AC135" s="498">
        <f t="shared" ca="1" si="268"/>
        <v>0</v>
      </c>
    </row>
    <row r="136" spans="1:29" s="483" customFormat="1" ht="15.75" x14ac:dyDescent="0.25">
      <c r="A136" s="484"/>
      <c r="B136" s="484"/>
      <c r="C136" s="484"/>
      <c r="D136" s="484"/>
      <c r="E136" s="484"/>
      <c r="F136" s="485"/>
      <c r="G136" s="486">
        <f t="shared" ca="1" si="269"/>
        <v>26.030000000000005</v>
      </c>
      <c r="H136" s="487" t="str">
        <f ca="1">IF($I136&lt;&gt;0,
INDEX(INDIRECT("'"&amp;INDEX($H:$H,MATCH(ROUNDDOWN($G136,0),$G:$G))&amp;"'!$B:$T"),
MATCH($G136,INDIRECT("'"&amp;INDEX($H:$H,MATCH(ROUNDDOWN($G136,0),$G:$G))&amp;"'!$A:$A"),0),
MATCH(H$3,INDIRECT("'"&amp;INDEX($H:$H,MATCH(ROUNDDOWN($G136,0),$G:$G))&amp;"'!$B$1:$T$1"),0)),0)</f>
        <v>Aluminium Single Hinged Doors</v>
      </c>
      <c r="I136" s="488">
        <f t="shared" ca="1" si="257"/>
        <v>1</v>
      </c>
      <c r="J136" s="489" t="str">
        <f t="shared" ca="1" si="257"/>
        <v>No.</v>
      </c>
      <c r="K136" s="490">
        <f ca="1">IFERROR(
INDEX(INDIRECT("'"&amp;INDEX($H:$H,MATCH(ROUNDDOWN($G136,0),$G:$G))&amp;"'!$B:$T"),
MATCH($G136,INDIRECT("'"&amp;INDEX($H:$H,MATCH(ROUNDDOWN($G136,0),$G:$G))&amp;"'!$A:$A"),0),
MATCH(K$3,INDIRECT("'"&amp;INDEX($H:$H,MATCH(ROUNDDOWN($G136,0),$G:$G))&amp;"'!$B$1:$T$1"),0)),0)
*INDEX('Labour Rates'!F$4:F$35,MATCH(ROUNDDOWN(BREAKDOWN!G136,0),'Labour Rates'!A$4:A$35))</f>
        <v>0</v>
      </c>
      <c r="L136" s="490">
        <f t="shared" ca="1" si="258"/>
        <v>0</v>
      </c>
      <c r="M136" s="490">
        <f t="shared" ca="1" si="258"/>
        <v>0</v>
      </c>
      <c r="N136" s="490">
        <f t="shared" ca="1" si="258"/>
        <v>0</v>
      </c>
      <c r="O136" s="490">
        <f ca="1">IFERROR(
INDEX(INDIRECT("'"&amp;INDEX($H:$H,MATCH(ROUNDDOWN($G136,0),$G:$G))&amp;"'!$V:$Z"),
MATCH($G136,INDIRECT("'"&amp;INDEX($H:$H,MATCH(ROUNDDOWN($G136,0),$G:$G))&amp;"'!$A:$A"),0),
MATCH(O$3,INDIRECT("'"&amp;INDEX($H:$H,MATCH(ROUNDDOWN($G136,0),$G:$G))&amp;"'!$V$2:$Z$2"),0)),0)</f>
        <v>0</v>
      </c>
      <c r="P136" s="491">
        <f t="shared" ca="1" si="259"/>
        <v>0</v>
      </c>
      <c r="Q136" s="492">
        <f t="shared" ca="1" si="260"/>
        <v>0</v>
      </c>
      <c r="R136" s="493" t="str">
        <f ca="1">IFERROR(
INDEX(INDIRECT("'"&amp;INDEX($H:$H,MATCH(ROUNDDOWN($G136,0),$G:$G))&amp;"'!$W:$AA"),
MATCH($G136,INDIRECT("'"&amp;INDEX($H:$H,MATCH(ROUNDDOWN($G136,0),$G:$G))&amp;"'!$A:$A"),0),
MATCH(R$3,INDIRECT("'"&amp;INDEX($H:$H,MATCH(ROUNDDOWN($G136,0),$G:$G))&amp;"'!$W$1:$AA$1"),0)),"")</f>
        <v/>
      </c>
      <c r="S136" s="494">
        <f t="shared" ca="1" si="261"/>
        <v>0</v>
      </c>
      <c r="T136" s="499">
        <f ca="1">IF(I136=0,0,INDEX('Labour Rates'!E$4:E$35,MATCH(ROUNDDOWN(BREAKDOWN!G136,0),'Labour Rates'!A$4:A$35)))</f>
        <v>91.43</v>
      </c>
      <c r="U136" s="496">
        <f t="shared" ca="1" si="262"/>
        <v>0</v>
      </c>
      <c r="V136" s="496">
        <f t="shared" ca="1" si="263"/>
        <v>0</v>
      </c>
      <c r="W136" s="496">
        <f t="shared" ca="1" si="264"/>
        <v>0</v>
      </c>
      <c r="X136" s="496">
        <f t="shared" ca="1" si="265"/>
        <v>0</v>
      </c>
      <c r="Y136" s="497">
        <f t="shared" ca="1" si="266"/>
        <v>0</v>
      </c>
      <c r="Z136" s="497">
        <f ca="1">Q136*$I$158</f>
        <v>0</v>
      </c>
      <c r="AA136" s="497">
        <f ca="1">Q136*$I$159</f>
        <v>0</v>
      </c>
      <c r="AB136" s="497">
        <f t="shared" ca="1" si="267"/>
        <v>0</v>
      </c>
      <c r="AC136" s="498">
        <f t="shared" ca="1" si="268"/>
        <v>0</v>
      </c>
    </row>
    <row r="137" spans="1:29" s="483" customFormat="1" ht="15.75" x14ac:dyDescent="0.25">
      <c r="A137" s="484"/>
      <c r="B137" s="484"/>
      <c r="C137" s="484"/>
      <c r="D137" s="484"/>
      <c r="E137" s="484"/>
      <c r="F137" s="485"/>
      <c r="G137" s="486">
        <f t="shared" ca="1" si="269"/>
        <v>26.040000000000006</v>
      </c>
      <c r="H137" s="487" t="str">
        <f ca="1">IF($I137&lt;&gt;0,
INDEX(INDIRECT("'"&amp;INDEX($H:$H,MATCH(ROUNDDOWN($G137,0),$G:$G))&amp;"'!$B:$T"),
MATCH($G137,INDIRECT("'"&amp;INDEX($H:$H,MATCH(ROUNDDOWN($G137,0),$G:$G))&amp;"'!$A:$A"),0),
MATCH(H$3,INDIRECT("'"&amp;INDEX($H:$H,MATCH(ROUNDDOWN($G137,0),$G:$G))&amp;"'!$B$1:$T$1"),0)),0)</f>
        <v>Flyscreens</v>
      </c>
      <c r="I137" s="488">
        <f t="shared" ca="1" si="257"/>
        <v>7.38</v>
      </c>
      <c r="J137" s="489" t="str">
        <f t="shared" ca="1" si="257"/>
        <v>m2</v>
      </c>
      <c r="K137" s="490">
        <f ca="1">IFERROR(
INDEX(INDIRECT("'"&amp;INDEX($H:$H,MATCH(ROUNDDOWN($G137,0),$G:$G))&amp;"'!$B:$T"),
MATCH($G137,INDIRECT("'"&amp;INDEX($H:$H,MATCH(ROUNDDOWN($G137,0),$G:$G))&amp;"'!$A:$A"),0),
MATCH(K$3,INDIRECT("'"&amp;INDEX($H:$H,MATCH(ROUNDDOWN($G137,0),$G:$G))&amp;"'!$B$1:$T$1"),0)),0)
*INDEX('Labour Rates'!F$4:F$35,MATCH(ROUNDDOWN(BREAKDOWN!G137,0),'Labour Rates'!A$4:A$35))</f>
        <v>0</v>
      </c>
      <c r="L137" s="490">
        <f t="shared" ca="1" si="258"/>
        <v>0</v>
      </c>
      <c r="M137" s="490">
        <f t="shared" ca="1" si="258"/>
        <v>0</v>
      </c>
      <c r="N137" s="490">
        <f t="shared" ca="1" si="258"/>
        <v>0</v>
      </c>
      <c r="O137" s="490">
        <f ca="1">IFERROR(
INDEX(INDIRECT("'"&amp;INDEX($H:$H,MATCH(ROUNDDOWN($G137,0),$G:$G))&amp;"'!$V:$Z"),
MATCH($G137,INDIRECT("'"&amp;INDEX($H:$H,MATCH(ROUNDDOWN($G137,0),$G:$G))&amp;"'!$A:$A"),0),
MATCH(O$3,INDIRECT("'"&amp;INDEX($H:$H,MATCH(ROUNDDOWN($G137,0),$G:$G))&amp;"'!$V$2:$Z$2"),0)),0)</f>
        <v>0</v>
      </c>
      <c r="P137" s="491">
        <f t="shared" ca="1" si="259"/>
        <v>0</v>
      </c>
      <c r="Q137" s="492">
        <f t="shared" ca="1" si="260"/>
        <v>0</v>
      </c>
      <c r="R137" s="493" t="str">
        <f ca="1">IFERROR(
INDEX(INDIRECT("'"&amp;INDEX($H:$H,MATCH(ROUNDDOWN($G137,0),$G:$G))&amp;"'!$W:$AA"),
MATCH($G137,INDIRECT("'"&amp;INDEX($H:$H,MATCH(ROUNDDOWN($G137,0),$G:$G))&amp;"'!$A:$A"),0),
MATCH(R$3,INDIRECT("'"&amp;INDEX($H:$H,MATCH(ROUNDDOWN($G137,0),$G:$G))&amp;"'!$W$1:$AA$1"),0)),"")</f>
        <v/>
      </c>
      <c r="S137" s="494">
        <f t="shared" ca="1" si="261"/>
        <v>0</v>
      </c>
      <c r="T137" s="499">
        <f ca="1">IF(I137=0,0,INDEX('Labour Rates'!E$4:E$35,MATCH(ROUNDDOWN(BREAKDOWN!G137,0),'Labour Rates'!A$4:A$35)))</f>
        <v>91.43</v>
      </c>
      <c r="U137" s="496">
        <f t="shared" ca="1" si="262"/>
        <v>0</v>
      </c>
      <c r="V137" s="496">
        <f t="shared" ca="1" si="263"/>
        <v>0</v>
      </c>
      <c r="W137" s="496">
        <f t="shared" ca="1" si="264"/>
        <v>0</v>
      </c>
      <c r="X137" s="496">
        <f t="shared" ca="1" si="265"/>
        <v>0</v>
      </c>
      <c r="Y137" s="497">
        <f t="shared" ca="1" si="266"/>
        <v>0</v>
      </c>
      <c r="Z137" s="497">
        <f ca="1">Q137*$I$158</f>
        <v>0</v>
      </c>
      <c r="AA137" s="497">
        <f ca="1">Q137*$I$159</f>
        <v>0</v>
      </c>
      <c r="AB137" s="497">
        <f t="shared" ca="1" si="267"/>
        <v>0</v>
      </c>
      <c r="AC137" s="498">
        <f t="shared" ca="1" si="268"/>
        <v>0</v>
      </c>
    </row>
    <row r="138" spans="1:29" s="500" customFormat="1" ht="15.75" x14ac:dyDescent="0.25">
      <c r="A138" s="504"/>
      <c r="B138" s="504"/>
      <c r="C138" s="504"/>
      <c r="D138" s="504"/>
      <c r="E138" s="504"/>
      <c r="F138" s="501"/>
      <c r="G138" s="486">
        <f t="shared" ca="1" si="269"/>
        <v>26.050000000000008</v>
      </c>
      <c r="H138" s="487" t="str">
        <f ca="1">IF($I138&lt;&gt;0,
INDEX(INDIRECT("'"&amp;INDEX($H:$H,MATCH(ROUNDDOWN($G138,0),$G:$G))&amp;"'!$B:$T"),
MATCH($G138,INDIRECT("'"&amp;INDEX($H:$H,MATCH(ROUNDDOWN($G138,0),$G:$G))&amp;"'!$A:$A"),0),
MATCH(H$3,INDIRECT("'"&amp;INDEX($H:$H,MATCH(ROUNDDOWN($G138,0),$G:$G))&amp;"'!$B$1:$T$1"),0)),0)</f>
        <v>Security Screens</v>
      </c>
      <c r="I138" s="488">
        <f t="shared" ca="1" si="257"/>
        <v>3.915</v>
      </c>
      <c r="J138" s="489" t="str">
        <f t="shared" ca="1" si="257"/>
        <v>m2</v>
      </c>
      <c r="K138" s="490">
        <f ca="1">IFERROR(
INDEX(INDIRECT("'"&amp;INDEX($H:$H,MATCH(ROUNDDOWN($G138,0),$G:$G))&amp;"'!$B:$T"),
MATCH($G138,INDIRECT("'"&amp;INDEX($H:$H,MATCH(ROUNDDOWN($G138,0),$G:$G))&amp;"'!$A:$A"),0),
MATCH(K$3,INDIRECT("'"&amp;INDEX($H:$H,MATCH(ROUNDDOWN($G138,0),$G:$G))&amp;"'!$B$1:$T$1"),0)),0)
*INDEX('Labour Rates'!F$4:F$35,MATCH(ROUNDDOWN(BREAKDOWN!G138,0),'Labour Rates'!A$4:A$35))</f>
        <v>0</v>
      </c>
      <c r="L138" s="490">
        <f t="shared" ca="1" si="258"/>
        <v>0</v>
      </c>
      <c r="M138" s="490">
        <f t="shared" ca="1" si="258"/>
        <v>0</v>
      </c>
      <c r="N138" s="490">
        <f t="shared" ca="1" si="258"/>
        <v>0</v>
      </c>
      <c r="O138" s="490">
        <f ca="1">IFERROR(
INDEX(INDIRECT("'"&amp;INDEX($H:$H,MATCH(ROUNDDOWN($G138,0),$G:$G))&amp;"'!$V:$Z"),
MATCH($G138,INDIRECT("'"&amp;INDEX($H:$H,MATCH(ROUNDDOWN($G138,0),$G:$G))&amp;"'!$A:$A"),0),
MATCH(O$3,INDIRECT("'"&amp;INDEX($H:$H,MATCH(ROUNDDOWN($G138,0),$G:$G))&amp;"'!$V$2:$Z$2"),0)),0)</f>
        <v>0</v>
      </c>
      <c r="P138" s="491">
        <f t="shared" ca="1" si="259"/>
        <v>0</v>
      </c>
      <c r="Q138" s="492">
        <f t="shared" ca="1" si="260"/>
        <v>0</v>
      </c>
      <c r="R138" s="493" t="str">
        <f ca="1">IFERROR(
INDEX(INDIRECT("'"&amp;INDEX($H:$H,MATCH(ROUNDDOWN($G138,0),$G:$G))&amp;"'!$W:$AA"),
MATCH($G138,INDIRECT("'"&amp;INDEX($H:$H,MATCH(ROUNDDOWN($G138,0),$G:$G))&amp;"'!$A:$A"),0),
MATCH(R$3,INDIRECT("'"&amp;INDEX($H:$H,MATCH(ROUNDDOWN($G138,0),$G:$G))&amp;"'!$W$1:$AA$1"),0)),"")</f>
        <v/>
      </c>
      <c r="S138" s="494">
        <f t="shared" ca="1" si="261"/>
        <v>0</v>
      </c>
      <c r="T138" s="499">
        <f ca="1">IF(I138=0,0,INDEX('Labour Rates'!E$4:E$35,MATCH(ROUNDDOWN(BREAKDOWN!G138,0),'Labour Rates'!A$4:A$35)))</f>
        <v>91.43</v>
      </c>
      <c r="U138" s="496">
        <f t="shared" ca="1" si="262"/>
        <v>0</v>
      </c>
      <c r="V138" s="496">
        <f t="shared" ca="1" si="263"/>
        <v>0</v>
      </c>
      <c r="W138" s="496">
        <f t="shared" ca="1" si="264"/>
        <v>0</v>
      </c>
      <c r="X138" s="496">
        <f t="shared" ca="1" si="265"/>
        <v>0</v>
      </c>
      <c r="Y138" s="497">
        <f t="shared" ca="1" si="266"/>
        <v>0</v>
      </c>
      <c r="Z138" s="497">
        <f ca="1">Q138*$I$158</f>
        <v>0</v>
      </c>
      <c r="AA138" s="497">
        <f ca="1">Q138*$I$159</f>
        <v>0</v>
      </c>
      <c r="AB138" s="497">
        <f t="shared" ca="1" si="267"/>
        <v>0</v>
      </c>
      <c r="AC138" s="498">
        <f t="shared" ca="1" si="268"/>
        <v>0</v>
      </c>
    </row>
    <row r="139" spans="1:29" s="483" customFormat="1" ht="15.75" x14ac:dyDescent="0.25">
      <c r="A139" s="484"/>
      <c r="B139" s="484"/>
      <c r="C139" s="484"/>
      <c r="D139" s="484"/>
      <c r="E139" s="484"/>
      <c r="F139" s="485"/>
      <c r="G139" s="502">
        <f ca="1">G133+1</f>
        <v>27</v>
      </c>
      <c r="H139" s="473" t="str">
        <f ca="1">INDEX(Waterproofing!B:B,MATCH(BREAKDOWN!G139,Waterproofing!A:A))</f>
        <v>WATERPROOFING</v>
      </c>
      <c r="I139" s="474"/>
      <c r="J139" s="475"/>
      <c r="K139" s="476"/>
      <c r="L139" s="476"/>
      <c r="M139" s="476"/>
      <c r="N139" s="476"/>
      <c r="O139" s="476"/>
      <c r="P139" s="476"/>
      <c r="Q139" s="477">
        <f ca="1">SUMIFS(Q:Q,$G:$G,"&gt;"&amp;$G139,$G:$G,"&lt;"&amp;($G139+1))</f>
        <v>0</v>
      </c>
      <c r="R139" s="478">
        <f ca="1">Q139
-INDEX(INDIRECT("'"&amp;H139&amp;"'!B:T"),MATCH($Q$3,INDIRECT("'"&amp;H139&amp;"'!B:B"),0),MATCH($Q$3,INDIRECT("'"&amp;H139&amp;"'!B$1:T$1"),0))
-(SUMIFS(U:U,$G:$G,"&gt;"&amp;$G139,$G:$G,"&lt;"&amp;($G139+1))-SUMIFS(U:U,$G:$G,"&gt;"&amp;$G139,$G:$G,"&lt;"&amp;($G139+1))/INDEX('Labour Rates'!F$4:F$35,MATCH(ROUNDDOWN(BREAKDOWN!G139,0),'Labour Rates'!A$4:A$35)))</f>
        <v>0</v>
      </c>
      <c r="S139" s="503"/>
      <c r="T139" s="499"/>
      <c r="U139" s="503"/>
      <c r="V139" s="503"/>
      <c r="W139" s="503"/>
      <c r="X139" s="503"/>
      <c r="Y139" s="503"/>
      <c r="Z139" s="503"/>
      <c r="AA139" s="503"/>
      <c r="AB139" s="477">
        <f ca="1">SUM(AB140:AB141)</f>
        <v>0</v>
      </c>
      <c r="AC139" s="498"/>
    </row>
    <row r="140" spans="1:29" s="500" customFormat="1" ht="15.75" x14ac:dyDescent="0.25">
      <c r="A140" s="504"/>
      <c r="B140" s="504"/>
      <c r="C140" s="504"/>
      <c r="D140" s="504"/>
      <c r="E140" s="504"/>
      <c r="F140" s="501"/>
      <c r="G140" s="486">
        <f ca="1">G139+0.01</f>
        <v>27.01</v>
      </c>
      <c r="H140" s="487" t="str">
        <f ca="1">IF($I140&lt;&gt;0,
INDEX(INDIRECT("'"&amp;INDEX($H:$H,MATCH(ROUNDDOWN($G140,0),$G:$G))&amp;"'!$B:$T"),
MATCH($G140,INDIRECT("'"&amp;INDEX($H:$H,MATCH(ROUNDDOWN($G140,0),$G:$G))&amp;"'!$A:$A"),0),
MATCH(H$3,INDIRECT("'"&amp;INDEX($H:$H,MATCH(ROUNDDOWN($G140,0),$G:$G))&amp;"'!$B$1:$T$1"),0)),0)</f>
        <v>Waterproofing to Wet Areas</v>
      </c>
      <c r="I140" s="488">
        <f ca="1">IFERROR(
INDEX(INDIRECT("'"&amp;INDEX($H:$H,MATCH(ROUNDDOWN($G140,0),$G:$G))&amp;"'!$B:$T"),
MATCH($G140,INDIRECT("'"&amp;INDEX($H:$H,MATCH(ROUNDDOWN($G140,0),$G:$G))&amp;"'!$A:$A"),0),
MATCH(I$3,INDIRECT("'"&amp;INDEX($H:$H,MATCH(ROUNDDOWN($G140,0),$G:$G))&amp;"'!$B$1:$T$1"),0)),0)</f>
        <v>20.55</v>
      </c>
      <c r="J140" s="489" t="str">
        <f ca="1">IFERROR(
INDEX(INDIRECT("'"&amp;INDEX($H:$H,MATCH(ROUNDDOWN($G140,0),$G:$G))&amp;"'!$B:$T"),
MATCH($G140,INDIRECT("'"&amp;INDEX($H:$H,MATCH(ROUNDDOWN($G140,0),$G:$G))&amp;"'!$A:$A"),0),
MATCH(J$3,INDIRECT("'"&amp;INDEX($H:$H,MATCH(ROUNDDOWN($G140,0),$G:$G))&amp;"'!$B$1:$T$1"),0)),0)</f>
        <v>m2</v>
      </c>
      <c r="K140" s="490">
        <f ca="1">IFERROR(
INDEX(INDIRECT("'"&amp;INDEX($H:$H,MATCH(ROUNDDOWN($G140,0),$G:$G))&amp;"'!$B:$T"),
MATCH($G140,INDIRECT("'"&amp;INDEX($H:$H,MATCH(ROUNDDOWN($G140,0),$G:$G))&amp;"'!$A:$A"),0),
MATCH(K$3,INDIRECT("'"&amp;INDEX($H:$H,MATCH(ROUNDDOWN($G140,0),$G:$G))&amp;"'!$B$1:$T$1"),0)),0)
*INDEX('Labour Rates'!F$4:F$35,MATCH(ROUNDDOWN(BREAKDOWN!G140,0),'Labour Rates'!A$4:A$35))</f>
        <v>0</v>
      </c>
      <c r="L140" s="490">
        <f t="shared" ref="L140:N141" ca="1" si="270">IFERROR(
INDEX(INDIRECT("'"&amp;INDEX($H:$H,MATCH(ROUNDDOWN($G140,0),$G:$G))&amp;"'!$B:$T"),
MATCH($G140,INDIRECT("'"&amp;INDEX($H:$H,MATCH(ROUNDDOWN($G140,0),$G:$G))&amp;"'!$A:$A"),0),
MATCH(L$3,INDIRECT("'"&amp;INDEX($H:$H,MATCH(ROUNDDOWN($G140,0),$G:$G))&amp;"'!$B$1:$T$1"),0)),0)</f>
        <v>0</v>
      </c>
      <c r="M140" s="490">
        <f t="shared" ca="1" si="270"/>
        <v>0</v>
      </c>
      <c r="N140" s="490">
        <f t="shared" ca="1" si="270"/>
        <v>0</v>
      </c>
      <c r="O140" s="490">
        <f ca="1">IFERROR(
INDEX(INDIRECT("'"&amp;INDEX($H:$H,MATCH(ROUNDDOWN($G140,0),$G:$G))&amp;"'!$V:$Z"),
MATCH($G140,INDIRECT("'"&amp;INDEX($H:$H,MATCH(ROUNDDOWN($G140,0),$G:$G))&amp;"'!$A:$A"),0),
MATCH(O$3,INDIRECT("'"&amp;INDEX($H:$H,MATCH(ROUNDDOWN($G140,0),$G:$G))&amp;"'!$V$2:$Z$2"),0)),0)</f>
        <v>0</v>
      </c>
      <c r="P140" s="491">
        <f t="shared" ref="P140:P141" ca="1" si="271">IFERROR(IF(O140="inc","inc",IF(AND(O140&gt;0,I140&gt;0),O140/I140,IF(SUM(K140:N140)&gt;0,SUM(K140:N140),0))),0)</f>
        <v>0</v>
      </c>
      <c r="Q140" s="492">
        <f t="shared" ref="Q140:Q141" ca="1" si="272">IFERROR(IF(P140="",0,I140*P140),0)</f>
        <v>0</v>
      </c>
      <c r="R140" s="493" t="str">
        <f ca="1">IFERROR(
INDEX(INDIRECT("'"&amp;INDEX($H:$H,MATCH(ROUNDDOWN($G140,0),$G:$G))&amp;"'!$W:$AA"),
MATCH($G140,INDIRECT("'"&amp;INDEX($H:$H,MATCH(ROUNDDOWN($G140,0),$G:$G))&amp;"'!$A:$A"),0),
MATCH(R$3,INDIRECT("'"&amp;INDEX($H:$H,MATCH(ROUNDDOWN($G140,0),$G:$G))&amp;"'!$W$1:$AA$1"),0)),"")</f>
        <v/>
      </c>
      <c r="S140" s="494">
        <f t="shared" ca="1" si="261"/>
        <v>0</v>
      </c>
      <c r="T140" s="499">
        <f ca="1">IF(I140=0,0,INDEX('Labour Rates'!E$4:E$35,MATCH(ROUNDDOWN(BREAKDOWN!G140,0),'Labour Rates'!A$4:A$35)))</f>
        <v>83.18</v>
      </c>
      <c r="U140" s="496">
        <f t="shared" ref="U140:U141" ca="1" si="273">IF($Y140&gt;0, 0, IFERROR($I140*K140,0))</f>
        <v>0</v>
      </c>
      <c r="V140" s="496">
        <f t="shared" ref="V140:V141" ca="1" si="274">IF($Y140&gt;0, 0, IFERROR($I140*L140,0))</f>
        <v>0</v>
      </c>
      <c r="W140" s="496">
        <f t="shared" ref="W140:W141" ca="1" si="275">IF($Y140&gt;0, 0, IFERROR($I140*M140,0))</f>
        <v>0</v>
      </c>
      <c r="X140" s="496">
        <f t="shared" ref="X140:X141" ca="1" si="276">IF($Y140&gt;0, 0, IFERROR($I140*N140,0))</f>
        <v>0</v>
      </c>
      <c r="Y140" s="497">
        <f t="shared" ref="Y140:Y141" ca="1" si="277">IF(I140&gt;0,O140,0)</f>
        <v>0</v>
      </c>
      <c r="Z140" s="497">
        <f ca="1">Q140*$I$158</f>
        <v>0</v>
      </c>
      <c r="AA140" s="497">
        <f ca="1">Q140*$I$159</f>
        <v>0</v>
      </c>
      <c r="AB140" s="497">
        <f t="shared" ref="AB140:AB141" ca="1" si="278">SUM(U140:AA140)</f>
        <v>0</v>
      </c>
      <c r="AC140" s="498">
        <f t="shared" ref="AC140:AC141" ca="1" si="279">SUM(U140:Y140)-Q140</f>
        <v>0</v>
      </c>
    </row>
    <row r="141" spans="1:29" s="500" customFormat="1" ht="15.75" x14ac:dyDescent="0.25">
      <c r="A141" s="504"/>
      <c r="B141" s="504"/>
      <c r="C141" s="504"/>
      <c r="D141" s="504"/>
      <c r="E141" s="504"/>
      <c r="F141" s="501"/>
      <c r="G141" s="486">
        <f t="shared" ref="G141" ca="1" si="280">G140+0.01</f>
        <v>27.020000000000003</v>
      </c>
      <c r="H141" s="487" t="str">
        <f ca="1">IF($I141&lt;&gt;0,
INDEX(INDIRECT("'"&amp;INDEX($H:$H,MATCH(ROUNDDOWN($G141,0),$G:$G))&amp;"'!$B:$T"),
MATCH($G141,INDIRECT("'"&amp;INDEX($H:$H,MATCH(ROUNDDOWN($G141,0),$G:$G))&amp;"'!$A:$A"),0),
MATCH(H$3,INDIRECT("'"&amp;INDEX($H:$H,MATCH(ROUNDDOWN($G141,0),$G:$G))&amp;"'!$B$1:$T$1"),0)),0)</f>
        <v xml:space="preserve">50 mm PVC Cover Strip </v>
      </c>
      <c r="I141" s="488">
        <f ca="1">IFERROR(
INDEX(INDIRECT("'"&amp;INDEX($H:$H,MATCH(ROUNDDOWN($G141,0),$G:$G))&amp;"'!$B:$T"),
MATCH($G141,INDIRECT("'"&amp;INDEX($H:$H,MATCH(ROUNDDOWN($G141,0),$G:$G))&amp;"'!$A:$A"),0),
MATCH(I$3,INDIRECT("'"&amp;INDEX($H:$H,MATCH(ROUNDDOWN($G141,0),$G:$G))&amp;"'!$B$1:$T$1"),0)),0)</f>
        <v>47.31</v>
      </c>
      <c r="J141" s="489" t="str">
        <f ca="1">IFERROR(
INDEX(INDIRECT("'"&amp;INDEX($H:$H,MATCH(ROUNDDOWN($G141,0),$G:$G))&amp;"'!$B:$T"),
MATCH($G141,INDIRECT("'"&amp;INDEX($H:$H,MATCH(ROUNDDOWN($G141,0),$G:$G))&amp;"'!$A:$A"),0),
MATCH(J$3,INDIRECT("'"&amp;INDEX($H:$H,MATCH(ROUNDDOWN($G141,0),$G:$G))&amp;"'!$B$1:$T$1"),0)),0)</f>
        <v>Lm</v>
      </c>
      <c r="K141" s="490">
        <f ca="1">IFERROR(
INDEX(INDIRECT("'"&amp;INDEX($H:$H,MATCH(ROUNDDOWN($G141,0),$G:$G))&amp;"'!$B:$T"),
MATCH($G141,INDIRECT("'"&amp;INDEX($H:$H,MATCH(ROUNDDOWN($G141,0),$G:$G))&amp;"'!$A:$A"),0),
MATCH(K$3,INDIRECT("'"&amp;INDEX($H:$H,MATCH(ROUNDDOWN($G141,0),$G:$G))&amp;"'!$B$1:$T$1"),0)),0)
*INDEX('Labour Rates'!F$4:F$35,MATCH(ROUNDDOWN(BREAKDOWN!G141,0),'Labour Rates'!A$4:A$35))</f>
        <v>0</v>
      </c>
      <c r="L141" s="490">
        <f t="shared" ca="1" si="270"/>
        <v>0</v>
      </c>
      <c r="M141" s="490">
        <f t="shared" ca="1" si="270"/>
        <v>0</v>
      </c>
      <c r="N141" s="490">
        <f t="shared" ca="1" si="270"/>
        <v>0</v>
      </c>
      <c r="O141" s="490">
        <f ca="1">IFERROR(
INDEX(INDIRECT("'"&amp;INDEX($H:$H,MATCH(ROUNDDOWN($G141,0),$G:$G))&amp;"'!$V:$Z"),
MATCH($G141,INDIRECT("'"&amp;INDEX($H:$H,MATCH(ROUNDDOWN($G141,0),$G:$G))&amp;"'!$A:$A"),0),
MATCH(O$3,INDIRECT("'"&amp;INDEX($H:$H,MATCH(ROUNDDOWN($G141,0),$G:$G))&amp;"'!$V$2:$Z$2"),0)),0)</f>
        <v>0</v>
      </c>
      <c r="P141" s="491">
        <f t="shared" ca="1" si="271"/>
        <v>0</v>
      </c>
      <c r="Q141" s="492">
        <f t="shared" ca="1" si="272"/>
        <v>0</v>
      </c>
      <c r="R141" s="493" t="str">
        <f ca="1">IFERROR(
INDEX(INDIRECT("'"&amp;INDEX($H:$H,MATCH(ROUNDDOWN($G141,0),$G:$G))&amp;"'!$W:$AA"),
MATCH($G141,INDIRECT("'"&amp;INDEX($H:$H,MATCH(ROUNDDOWN($G141,0),$G:$G))&amp;"'!$A:$A"),0),
MATCH(R$3,INDIRECT("'"&amp;INDEX($H:$H,MATCH(ROUNDDOWN($G141,0),$G:$G))&amp;"'!$W$1:$AA$1"),0)),"")</f>
        <v/>
      </c>
      <c r="S141" s="494">
        <f t="shared" ca="1" si="261"/>
        <v>0</v>
      </c>
      <c r="T141" s="499">
        <f ca="1">IF(I141=0,0,INDEX('Labour Rates'!E$4:E$35,MATCH(ROUNDDOWN(BREAKDOWN!G141,0),'Labour Rates'!A$4:A$35)))</f>
        <v>83.18</v>
      </c>
      <c r="U141" s="496">
        <f t="shared" ca="1" si="273"/>
        <v>0</v>
      </c>
      <c r="V141" s="496">
        <f t="shared" ca="1" si="274"/>
        <v>0</v>
      </c>
      <c r="W141" s="496">
        <f t="shared" ca="1" si="275"/>
        <v>0</v>
      </c>
      <c r="X141" s="496">
        <f t="shared" ca="1" si="276"/>
        <v>0</v>
      </c>
      <c r="Y141" s="497">
        <f t="shared" ca="1" si="277"/>
        <v>0</v>
      </c>
      <c r="Z141" s="497">
        <f ca="1">Q141*$I$158</f>
        <v>0</v>
      </c>
      <c r="AA141" s="497">
        <f ca="1">Q141*$I$159</f>
        <v>0</v>
      </c>
      <c r="AB141" s="497">
        <f t="shared" ca="1" si="278"/>
        <v>0</v>
      </c>
      <c r="AC141" s="498">
        <f t="shared" ca="1" si="279"/>
        <v>0</v>
      </c>
    </row>
    <row r="142" spans="1:29" s="483" customFormat="1" ht="15.75" x14ac:dyDescent="0.25">
      <c r="A142" s="484"/>
      <c r="B142" s="484"/>
      <c r="C142" s="484"/>
      <c r="D142" s="484"/>
      <c r="E142" s="484"/>
      <c r="F142" s="485"/>
      <c r="G142" s="502">
        <f ca="1">G139+1</f>
        <v>28</v>
      </c>
      <c r="H142" s="473" t="str">
        <f ca="1">INDEX(Tiling!B:B,MATCH(BREAKDOWN!G142,Tiling!A:A))</f>
        <v>TILING</v>
      </c>
      <c r="I142" s="474"/>
      <c r="J142" s="475"/>
      <c r="K142" s="476"/>
      <c r="L142" s="476"/>
      <c r="M142" s="476"/>
      <c r="N142" s="476"/>
      <c r="O142" s="476"/>
      <c r="P142" s="476"/>
      <c r="Q142" s="477">
        <f ca="1">SUMIFS(Q:Q,$G:$G,"&gt;"&amp;$G142,$G:$G,"&lt;"&amp;($G142+1))</f>
        <v>0</v>
      </c>
      <c r="R142" s="478">
        <f ca="1">Q142
-INDEX(INDIRECT("'"&amp;H142&amp;"'!B:T"),MATCH($Q$3,INDIRECT("'"&amp;H142&amp;"'!B:B"),0),MATCH($Q$3,INDIRECT("'"&amp;H142&amp;"'!B$1:T$1"),0))
-(SUMIFS(U:U,$G:$G,"&gt;"&amp;$G142,$G:$G,"&lt;"&amp;($G142+1))-SUMIFS(U:U,$G:$G,"&gt;"&amp;$G142,$G:$G,"&lt;"&amp;($G142+1))/INDEX('Labour Rates'!F$4:F$35,MATCH(ROUNDDOWN(BREAKDOWN!G142,0),'Labour Rates'!A$4:A$35)))</f>
        <v>0</v>
      </c>
      <c r="S142" s="503"/>
      <c r="T142" s="499"/>
      <c r="U142" s="503"/>
      <c r="V142" s="503"/>
      <c r="W142" s="503"/>
      <c r="X142" s="503"/>
      <c r="Y142" s="503"/>
      <c r="Z142" s="503"/>
      <c r="AA142" s="503"/>
      <c r="AB142" s="477">
        <f ca="1">SUM(AB143:AB143)</f>
        <v>0</v>
      </c>
      <c r="AC142" s="498"/>
    </row>
    <row r="143" spans="1:29" s="500" customFormat="1" ht="15.75" x14ac:dyDescent="0.25">
      <c r="A143" s="504"/>
      <c r="B143" s="504"/>
      <c r="C143" s="504"/>
      <c r="D143" s="504"/>
      <c r="E143" s="504"/>
      <c r="F143" s="501"/>
      <c r="G143" s="486">
        <f ca="1">G142+0.01</f>
        <v>28.01</v>
      </c>
      <c r="H143" s="487" t="str">
        <f ca="1">IF($I143&lt;&gt;0,
INDEX(INDIRECT("'"&amp;INDEX($H:$H,MATCH(ROUNDDOWN($G143,0),$G:$G))&amp;"'!$B:$T"),
MATCH($G143,INDIRECT("'"&amp;INDEX($H:$H,MATCH(ROUNDDOWN($G143,0),$G:$G))&amp;"'!$A:$A"),0),
MATCH(H$3,INDIRECT("'"&amp;INDEX($H:$H,MATCH(ROUNDDOWN($G143,0),$G:$G))&amp;"'!$B$1:$T$1"),0)),0)</f>
        <v>Wet Area Walls - 150x300 Subway Tile</v>
      </c>
      <c r="I143" s="488">
        <f ca="1">IFERROR(
INDEX(INDIRECT("'"&amp;INDEX($H:$H,MATCH(ROUNDDOWN($G143,0),$G:$G))&amp;"'!$B:$T"),
MATCH($G143,INDIRECT("'"&amp;INDEX($H:$H,MATCH(ROUNDDOWN($G143,0),$G:$G))&amp;"'!$A:$A"),0),
MATCH(I$3,INDIRECT("'"&amp;INDEX($H:$H,MATCH(ROUNDDOWN($G143,0),$G:$G))&amp;"'!$B$1:$T$1"),0)),0)</f>
        <v>6.59</v>
      </c>
      <c r="J143" s="489" t="str">
        <f ca="1">IFERROR(
INDEX(INDIRECT("'"&amp;INDEX($H:$H,MATCH(ROUNDDOWN($G143,0),$G:$G))&amp;"'!$B:$T"),
MATCH($G143,INDIRECT("'"&amp;INDEX($H:$H,MATCH(ROUNDDOWN($G143,0),$G:$G))&amp;"'!$A:$A"),0),
MATCH(J$3,INDIRECT("'"&amp;INDEX($H:$H,MATCH(ROUNDDOWN($G143,0),$G:$G))&amp;"'!$B$1:$T$1"),0)),0)</f>
        <v>m2</v>
      </c>
      <c r="K143" s="490">
        <f ca="1">IFERROR(
INDEX(INDIRECT("'"&amp;INDEX($H:$H,MATCH(ROUNDDOWN($G143,0),$G:$G))&amp;"'!$B:$T"),
MATCH($G143,INDIRECT("'"&amp;INDEX($H:$H,MATCH(ROUNDDOWN($G143,0),$G:$G))&amp;"'!$A:$A"),0),
MATCH(K$3,INDIRECT("'"&amp;INDEX($H:$H,MATCH(ROUNDDOWN($G143,0),$G:$G))&amp;"'!$B$1:$T$1"),0)),0)
*INDEX('Labour Rates'!F$4:F$35,MATCH(ROUNDDOWN(BREAKDOWN!G143,0),'Labour Rates'!A$4:A$35))</f>
        <v>0</v>
      </c>
      <c r="L143" s="490">
        <f ca="1">IFERROR(
INDEX(INDIRECT("'"&amp;INDEX($H:$H,MATCH(ROUNDDOWN($G143,0),$G:$G))&amp;"'!$B:$T"),
MATCH($G143,INDIRECT("'"&amp;INDEX($H:$H,MATCH(ROUNDDOWN($G143,0),$G:$G))&amp;"'!$A:$A"),0),
MATCH(L$3,INDIRECT("'"&amp;INDEX($H:$H,MATCH(ROUNDDOWN($G143,0),$G:$G))&amp;"'!$B$1:$T$1"),0)),0)</f>
        <v>0</v>
      </c>
      <c r="M143" s="490">
        <f ca="1">IFERROR(
INDEX(INDIRECT("'"&amp;INDEX($H:$H,MATCH(ROUNDDOWN($G143,0),$G:$G))&amp;"'!$B:$T"),
MATCH($G143,INDIRECT("'"&amp;INDEX($H:$H,MATCH(ROUNDDOWN($G143,0),$G:$G))&amp;"'!$A:$A"),0),
MATCH(M$3,INDIRECT("'"&amp;INDEX($H:$H,MATCH(ROUNDDOWN($G143,0),$G:$G))&amp;"'!$B$1:$T$1"),0)),0)</f>
        <v>0</v>
      </c>
      <c r="N143" s="490">
        <f ca="1">IFERROR(
INDEX(INDIRECT("'"&amp;INDEX($H:$H,MATCH(ROUNDDOWN($G143,0),$G:$G))&amp;"'!$B:$T"),
MATCH($G143,INDIRECT("'"&amp;INDEX($H:$H,MATCH(ROUNDDOWN($G143,0),$G:$G))&amp;"'!$A:$A"),0),
MATCH(N$3,INDIRECT("'"&amp;INDEX($H:$H,MATCH(ROUNDDOWN($G143,0),$G:$G))&amp;"'!$B$1:$T$1"),0)),0)</f>
        <v>0</v>
      </c>
      <c r="O143" s="490">
        <f ca="1">IFERROR(
INDEX(INDIRECT("'"&amp;INDEX($H:$H,MATCH(ROUNDDOWN($G143,0),$G:$G))&amp;"'!$V:$Z"),
MATCH($G143,INDIRECT("'"&amp;INDEX($H:$H,MATCH(ROUNDDOWN($G143,0),$G:$G))&amp;"'!$A:$A"),0),
MATCH(O$3,INDIRECT("'"&amp;INDEX($H:$H,MATCH(ROUNDDOWN($G143,0),$G:$G))&amp;"'!$V$2:$Z$2"),0)),0)</f>
        <v>0</v>
      </c>
      <c r="P143" s="491">
        <f t="shared" ref="P143" ca="1" si="281">IFERROR(IF(O143="inc","inc",IF(AND(O143&gt;0,I143&gt;0),O143/I143,IF(SUM(K143:N143)&gt;0,SUM(K143:N143),0))),0)</f>
        <v>0</v>
      </c>
      <c r="Q143" s="492">
        <f t="shared" ref="Q143" ca="1" si="282">IFERROR(IF(P143="",0,I143*P143),0)</f>
        <v>0</v>
      </c>
      <c r="R143" s="493" t="str">
        <f ca="1">IFERROR(
INDEX(INDIRECT("'"&amp;INDEX($H:$H,MATCH(ROUNDDOWN($G143,0),$G:$G))&amp;"'!$W:$AA"),
MATCH($G143,INDIRECT("'"&amp;INDEX($H:$H,MATCH(ROUNDDOWN($G143,0),$G:$G))&amp;"'!$A:$A"),0),
MATCH(R$3,INDIRECT("'"&amp;INDEX($H:$H,MATCH(ROUNDDOWN($G143,0),$G:$G))&amp;"'!$W$1:$AA$1"),0)),"")</f>
        <v/>
      </c>
      <c r="S143" s="494">
        <f t="shared" ca="1" si="261"/>
        <v>0</v>
      </c>
      <c r="T143" s="499">
        <f ca="1">IF(I143=0,0,INDEX('Labour Rates'!E$4:E$35,MATCH(ROUNDDOWN(BREAKDOWN!G143,0),'Labour Rates'!A$4:A$35)))</f>
        <v>83.18</v>
      </c>
      <c r="U143" s="496">
        <f t="shared" ref="U143" ca="1" si="283">IF($Y143&gt;0, 0, IFERROR($I143*K143,0))</f>
        <v>0</v>
      </c>
      <c r="V143" s="496">
        <f t="shared" ref="V143" ca="1" si="284">IF($Y143&gt;0, 0, IFERROR($I143*L143,0))</f>
        <v>0</v>
      </c>
      <c r="W143" s="496">
        <f t="shared" ref="W143" ca="1" si="285">IF($Y143&gt;0, 0, IFERROR($I143*M143,0))</f>
        <v>0</v>
      </c>
      <c r="X143" s="496">
        <f t="shared" ref="X143" ca="1" si="286">IF($Y143&gt;0, 0, IFERROR($I143*N143,0))</f>
        <v>0</v>
      </c>
      <c r="Y143" s="497">
        <f t="shared" ref="Y143" ca="1" si="287">IF(I143&gt;0,O143,0)</f>
        <v>0</v>
      </c>
      <c r="Z143" s="497">
        <f ca="1">Q143*$I$158</f>
        <v>0</v>
      </c>
      <c r="AA143" s="497">
        <f ca="1">Q143*$I$159</f>
        <v>0</v>
      </c>
      <c r="AB143" s="497">
        <f t="shared" ref="AB143" ca="1" si="288">SUM(U143:AA143)</f>
        <v>0</v>
      </c>
      <c r="AC143" s="498">
        <f t="shared" ref="AC143" ca="1" si="289">SUM(U143:Y143)-Q143</f>
        <v>0</v>
      </c>
    </row>
    <row r="144" spans="1:29" s="483" customFormat="1" ht="15.75" x14ac:dyDescent="0.25">
      <c r="A144" s="484"/>
      <c r="B144" s="484"/>
      <c r="C144" s="484"/>
      <c r="D144" s="484"/>
      <c r="E144" s="484"/>
      <c r="F144" s="485"/>
      <c r="G144" s="502">
        <f ca="1">G142+1</f>
        <v>29</v>
      </c>
      <c r="H144" s="473" t="str">
        <f ca="1">INDEX('Floor Finishes'!B:B,MATCH(BREAKDOWN!G144,'Floor Finishes'!A:A))</f>
        <v>FLOOR FINISHES</v>
      </c>
      <c r="I144" s="474"/>
      <c r="J144" s="475"/>
      <c r="K144" s="476"/>
      <c r="L144" s="476"/>
      <c r="M144" s="476"/>
      <c r="N144" s="476"/>
      <c r="O144" s="476"/>
      <c r="P144" s="476"/>
      <c r="Q144" s="477">
        <f ca="1">SUMIFS(Q:Q,$G:$G,"&gt;"&amp;$G144,$G:$G,"&lt;"&amp;($G144+1))</f>
        <v>0</v>
      </c>
      <c r="R144" s="478">
        <f ca="1">Q144
-INDEX(INDIRECT("'"&amp;H144&amp;"'!B:T"),MATCH($Q$3,INDIRECT("'"&amp;H144&amp;"'!B:B"),0),MATCH($Q$3,INDIRECT("'"&amp;H144&amp;"'!B$1:T$1"),0))
-(SUMIFS(U:U,$G:$G,"&gt;"&amp;$G144,$G:$G,"&lt;"&amp;($G144+1))-SUMIFS(U:U,$G:$G,"&gt;"&amp;$G144,$G:$G,"&lt;"&amp;($G144+1))/INDEX('Labour Rates'!F$4:F$35,MATCH(ROUNDDOWN(BREAKDOWN!G144,0),'Labour Rates'!A$4:A$35)))</f>
        <v>0</v>
      </c>
      <c r="S144" s="503"/>
      <c r="T144" s="499"/>
      <c r="U144" s="503"/>
      <c r="V144" s="503"/>
      <c r="W144" s="503"/>
      <c r="X144" s="503"/>
      <c r="Y144" s="503"/>
      <c r="Z144" s="503"/>
      <c r="AA144" s="503"/>
      <c r="AB144" s="477">
        <f ca="1">SUM(AB145:AB148)</f>
        <v>0</v>
      </c>
      <c r="AC144" s="498"/>
    </row>
    <row r="145" spans="1:29" s="500" customFormat="1" ht="15.75" x14ac:dyDescent="0.25">
      <c r="A145" s="504"/>
      <c r="B145" s="504"/>
      <c r="C145" s="504"/>
      <c r="D145" s="504"/>
      <c r="E145" s="504"/>
      <c r="F145" s="501"/>
      <c r="G145" s="486">
        <f ca="1">G144+0.01</f>
        <v>29.01</v>
      </c>
      <c r="H145" s="487" t="str">
        <f ca="1">IF($I145&lt;&gt;0,
INDEX(INDIRECT("'"&amp;INDEX($H:$H,MATCH(ROUNDDOWN($G145,0),$G:$G))&amp;"'!$B:$T"),
MATCH($G145,INDIRECT("'"&amp;INDEX($H:$H,MATCH(ROUNDDOWN($G145,0),$G:$G))&amp;"'!$A:$A"),0),
MATCH(H$3,INDIRECT("'"&amp;INDEX($H:$H,MATCH(ROUNDDOWN($G145,0),$G:$G))&amp;"'!$B$1:$T$1"),0)),0)</f>
        <v>Epoxy Concrete Finish</v>
      </c>
      <c r="I145" s="488">
        <f t="shared" ref="I145:J148" ca="1" si="290">IFERROR(
INDEX(INDIRECT("'"&amp;INDEX($H:$H,MATCH(ROUNDDOWN($G145,0),$G:$G))&amp;"'!$B:$T"),
MATCH($G145,INDIRECT("'"&amp;INDEX($H:$H,MATCH(ROUNDDOWN($G145,0),$G:$G))&amp;"'!$A:$A"),0),
MATCH(I$3,INDIRECT("'"&amp;INDEX($H:$H,MATCH(ROUNDDOWN($G145,0),$G:$G))&amp;"'!$B$1:$T$1"),0)),0)</f>
        <v>117.56</v>
      </c>
      <c r="J145" s="489" t="str">
        <f t="shared" ca="1" si="290"/>
        <v>m2</v>
      </c>
      <c r="K145" s="490">
        <f ca="1">IFERROR(
INDEX(INDIRECT("'"&amp;INDEX($H:$H,MATCH(ROUNDDOWN($G145,0),$G:$G))&amp;"'!$B:$T"),
MATCH($G145,INDIRECT("'"&amp;INDEX($H:$H,MATCH(ROUNDDOWN($G145,0),$G:$G))&amp;"'!$A:$A"),0),
MATCH(K$3,INDIRECT("'"&amp;INDEX($H:$H,MATCH(ROUNDDOWN($G145,0),$G:$G))&amp;"'!$B$1:$T$1"),0)),0)
*INDEX('Labour Rates'!F$4:F$35,MATCH(ROUNDDOWN(BREAKDOWN!G145,0),'Labour Rates'!A$4:A$35))</f>
        <v>0</v>
      </c>
      <c r="L145" s="490">
        <f t="shared" ref="L145:N148" ca="1" si="291">IFERROR(
INDEX(INDIRECT("'"&amp;INDEX($H:$H,MATCH(ROUNDDOWN($G145,0),$G:$G))&amp;"'!$B:$T"),
MATCH($G145,INDIRECT("'"&amp;INDEX($H:$H,MATCH(ROUNDDOWN($G145,0),$G:$G))&amp;"'!$A:$A"),0),
MATCH(L$3,INDIRECT("'"&amp;INDEX($H:$H,MATCH(ROUNDDOWN($G145,0),$G:$G))&amp;"'!$B$1:$T$1"),0)),0)</f>
        <v>0</v>
      </c>
      <c r="M145" s="490">
        <f t="shared" ca="1" si="291"/>
        <v>0</v>
      </c>
      <c r="N145" s="490">
        <f t="shared" ca="1" si="291"/>
        <v>0</v>
      </c>
      <c r="O145" s="490">
        <f ca="1">IFERROR(
INDEX(INDIRECT("'"&amp;INDEX($H:$H,MATCH(ROUNDDOWN($G145,0),$G:$G))&amp;"'!$V:$Z"),
MATCH($G145,INDIRECT("'"&amp;INDEX($H:$H,MATCH(ROUNDDOWN($G145,0),$G:$G))&amp;"'!$A:$A"),0),
MATCH(O$3,INDIRECT("'"&amp;INDEX($H:$H,MATCH(ROUNDDOWN($G145,0),$G:$G))&amp;"'!$V$2:$Z$2"),0)),0)</f>
        <v>0</v>
      </c>
      <c r="P145" s="491">
        <f t="shared" ref="P145:P148" ca="1" si="292">IFERROR(IF(O145="inc","inc",IF(AND(O145&gt;0,I145&gt;0),O145/I145,IF(SUM(K145:N145)&gt;0,SUM(K145:N145),0))),0)</f>
        <v>0</v>
      </c>
      <c r="Q145" s="492">
        <f t="shared" ref="Q145:Q148" ca="1" si="293">IFERROR(IF(P145="",0,I145*P145),0)</f>
        <v>0</v>
      </c>
      <c r="R145" s="493" t="str">
        <f ca="1">IFERROR(
INDEX(INDIRECT("'"&amp;INDEX($H:$H,MATCH(ROUNDDOWN($G145,0),$G:$G))&amp;"'!$W:$AA"),
MATCH($G145,INDIRECT("'"&amp;INDEX($H:$H,MATCH(ROUNDDOWN($G145,0),$G:$G))&amp;"'!$A:$A"),0),
MATCH(R$3,INDIRECT("'"&amp;INDEX($H:$H,MATCH(ROUNDDOWN($G145,0),$G:$G))&amp;"'!$W$1:$AA$1"),0)),"")</f>
        <v/>
      </c>
      <c r="S145" s="494">
        <f t="shared" ca="1" si="261"/>
        <v>0</v>
      </c>
      <c r="T145" s="499">
        <f ca="1">IF(I145=0,0,INDEX('Labour Rates'!E$4:E$35,MATCH(ROUNDDOWN(BREAKDOWN!G145,0),'Labour Rates'!A$4:A$35)))</f>
        <v>58.87</v>
      </c>
      <c r="U145" s="496">
        <f t="shared" ref="U145:U148" ca="1" si="294">IF($Y145&gt;0, 0, IFERROR($I145*K145,0))</f>
        <v>0</v>
      </c>
      <c r="V145" s="496">
        <f t="shared" ref="V145:V148" ca="1" si="295">IF($Y145&gt;0, 0, IFERROR($I145*L145,0))</f>
        <v>0</v>
      </c>
      <c r="W145" s="496">
        <f t="shared" ref="W145:W148" ca="1" si="296">IF($Y145&gt;0, 0, IFERROR($I145*M145,0))</f>
        <v>0</v>
      </c>
      <c r="X145" s="496">
        <f t="shared" ref="X145:X148" ca="1" si="297">IF($Y145&gt;0, 0, IFERROR($I145*N145,0))</f>
        <v>0</v>
      </c>
      <c r="Y145" s="497">
        <f t="shared" ref="Y145:Y148" ca="1" si="298">IF(I145&gt;0,O145,0)</f>
        <v>0</v>
      </c>
      <c r="Z145" s="497">
        <f ca="1">Q145*$I$158</f>
        <v>0</v>
      </c>
      <c r="AA145" s="497">
        <f ca="1">Q145*$I$159</f>
        <v>0</v>
      </c>
      <c r="AB145" s="497">
        <f t="shared" ref="AB145:AB148" ca="1" si="299">SUM(U145:AA145)</f>
        <v>0</v>
      </c>
      <c r="AC145" s="498">
        <f t="shared" ref="AC145:AC148" ca="1" si="300">SUM(U145:Y145)-Q145</f>
        <v>0</v>
      </c>
    </row>
    <row r="146" spans="1:29" s="500" customFormat="1" ht="15.75" x14ac:dyDescent="0.25">
      <c r="A146" s="504"/>
      <c r="B146" s="504"/>
      <c r="C146" s="504"/>
      <c r="D146" s="504"/>
      <c r="E146" s="504"/>
      <c r="F146" s="501"/>
      <c r="G146" s="486">
        <f t="shared" ref="G146:G148" ca="1" si="301">G145+0.01</f>
        <v>29.020000000000003</v>
      </c>
      <c r="H146" s="487" t="str">
        <f ca="1">IF($I146&lt;&gt;0,
INDEX(INDIRECT("'"&amp;INDEX($H:$H,MATCH(ROUNDDOWN($G146,0),$G:$G))&amp;"'!$B:$T"),
MATCH($G146,INDIRECT("'"&amp;INDEX($H:$H,MATCH(ROUNDDOWN($G146,0),$G:$G))&amp;"'!$A:$A"),0),
MATCH(H$3,INDIRECT("'"&amp;INDEX($H:$H,MATCH(ROUNDDOWN($G146,0),$G:$G))&amp;"'!$B$1:$T$1"),0)),0)</f>
        <v>Epoxy Coved Skirting, 100mmH</v>
      </c>
      <c r="I146" s="488">
        <f t="shared" ca="1" si="290"/>
        <v>100.45</v>
      </c>
      <c r="J146" s="489" t="str">
        <f t="shared" ca="1" si="290"/>
        <v>Lm</v>
      </c>
      <c r="K146" s="490">
        <f ca="1">IFERROR(
INDEX(INDIRECT("'"&amp;INDEX($H:$H,MATCH(ROUNDDOWN($G146,0),$G:$G))&amp;"'!$B:$T"),
MATCH($G146,INDIRECT("'"&amp;INDEX($H:$H,MATCH(ROUNDDOWN($G146,0),$G:$G))&amp;"'!$A:$A"),0),
MATCH(K$3,INDIRECT("'"&amp;INDEX($H:$H,MATCH(ROUNDDOWN($G146,0),$G:$G))&amp;"'!$B$1:$T$1"),0)),0)
*INDEX('Labour Rates'!F$4:F$35,MATCH(ROUNDDOWN(BREAKDOWN!G146,0),'Labour Rates'!A$4:A$35))</f>
        <v>0</v>
      </c>
      <c r="L146" s="490">
        <f t="shared" ca="1" si="291"/>
        <v>0</v>
      </c>
      <c r="M146" s="490">
        <f t="shared" ca="1" si="291"/>
        <v>0</v>
      </c>
      <c r="N146" s="490">
        <f t="shared" ca="1" si="291"/>
        <v>0</v>
      </c>
      <c r="O146" s="490">
        <f ca="1">IFERROR(
INDEX(INDIRECT("'"&amp;INDEX($H:$H,MATCH(ROUNDDOWN($G146,0),$G:$G))&amp;"'!$V:$Z"),
MATCH($G146,INDIRECT("'"&amp;INDEX($H:$H,MATCH(ROUNDDOWN($G146,0),$G:$G))&amp;"'!$A:$A"),0),
MATCH(O$3,INDIRECT("'"&amp;INDEX($H:$H,MATCH(ROUNDDOWN($G146,0),$G:$G))&amp;"'!$V$2:$Z$2"),0)),0)</f>
        <v>0</v>
      </c>
      <c r="P146" s="491">
        <f t="shared" ca="1" si="292"/>
        <v>0</v>
      </c>
      <c r="Q146" s="492">
        <f t="shared" ca="1" si="293"/>
        <v>0</v>
      </c>
      <c r="R146" s="493" t="str">
        <f ca="1">IFERROR(
INDEX(INDIRECT("'"&amp;INDEX($H:$H,MATCH(ROUNDDOWN($G146,0),$G:$G))&amp;"'!$W:$AA"),
MATCH($G146,INDIRECT("'"&amp;INDEX($H:$H,MATCH(ROUNDDOWN($G146,0),$G:$G))&amp;"'!$A:$A"),0),
MATCH(R$3,INDIRECT("'"&amp;INDEX($H:$H,MATCH(ROUNDDOWN($G146,0),$G:$G))&amp;"'!$W$1:$AA$1"),0)),"")</f>
        <v/>
      </c>
      <c r="S146" s="494">
        <f t="shared" ca="1" si="261"/>
        <v>0</v>
      </c>
      <c r="T146" s="499">
        <f ca="1">IF(I146=0,0,INDEX('Labour Rates'!E$4:E$35,MATCH(ROUNDDOWN(BREAKDOWN!G146,0),'Labour Rates'!A$4:A$35)))</f>
        <v>58.87</v>
      </c>
      <c r="U146" s="496">
        <f t="shared" ca="1" si="294"/>
        <v>0</v>
      </c>
      <c r="V146" s="496">
        <f t="shared" ca="1" si="295"/>
        <v>0</v>
      </c>
      <c r="W146" s="496">
        <f t="shared" ca="1" si="296"/>
        <v>0</v>
      </c>
      <c r="X146" s="496">
        <f t="shared" ca="1" si="297"/>
        <v>0</v>
      </c>
      <c r="Y146" s="497">
        <f t="shared" ca="1" si="298"/>
        <v>0</v>
      </c>
      <c r="Z146" s="497">
        <f ca="1">Q146*$I$158</f>
        <v>0</v>
      </c>
      <c r="AA146" s="497">
        <f ca="1">Q146*$I$159</f>
        <v>0</v>
      </c>
      <c r="AB146" s="497">
        <f t="shared" ca="1" si="299"/>
        <v>0</v>
      </c>
      <c r="AC146" s="498">
        <f t="shared" ca="1" si="300"/>
        <v>0</v>
      </c>
    </row>
    <row r="147" spans="1:29" s="483" customFormat="1" ht="15.75" x14ac:dyDescent="0.25">
      <c r="A147" s="484"/>
      <c r="B147" s="484"/>
      <c r="C147" s="484"/>
      <c r="D147" s="484"/>
      <c r="E147" s="484"/>
      <c r="F147" s="485"/>
      <c r="G147" s="486">
        <f t="shared" ca="1" si="301"/>
        <v>29.030000000000005</v>
      </c>
      <c r="H147" s="487">
        <f ca="1">IF($I147&lt;&gt;0,
INDEX(INDIRECT("'"&amp;INDEX($H:$H,MATCH(ROUNDDOWN($G147,0),$G:$G))&amp;"'!$B:$T"),
MATCH($G147,INDIRECT("'"&amp;INDEX($H:$H,MATCH(ROUNDDOWN($G147,0),$G:$G))&amp;"'!$A:$A"),0),
MATCH(H$3,INDIRECT("'"&amp;INDEX($H:$H,MATCH(ROUNDDOWN($G147,0),$G:$G))&amp;"'!$B$1:$T$1"),0)),0)</f>
        <v>0</v>
      </c>
      <c r="I147" s="488">
        <f t="shared" ca="1" si="290"/>
        <v>0</v>
      </c>
      <c r="J147" s="489">
        <f t="shared" ca="1" si="290"/>
        <v>0</v>
      </c>
      <c r="K147" s="490">
        <f ca="1">IFERROR(
INDEX(INDIRECT("'"&amp;INDEX($H:$H,MATCH(ROUNDDOWN($G147,0),$G:$G))&amp;"'!$B:$T"),
MATCH($G147,INDIRECT("'"&amp;INDEX($H:$H,MATCH(ROUNDDOWN($G147,0),$G:$G))&amp;"'!$A:$A"),0),
MATCH(K$3,INDIRECT("'"&amp;INDEX($H:$H,MATCH(ROUNDDOWN($G147,0),$G:$G))&amp;"'!$B$1:$T$1"),0)),0)
*INDEX('Labour Rates'!F$4:F$35,MATCH(ROUNDDOWN(BREAKDOWN!G147,0),'Labour Rates'!A$4:A$35))</f>
        <v>0</v>
      </c>
      <c r="L147" s="490">
        <f t="shared" ca="1" si="291"/>
        <v>0</v>
      </c>
      <c r="M147" s="490">
        <f t="shared" ca="1" si="291"/>
        <v>0</v>
      </c>
      <c r="N147" s="490">
        <f t="shared" ca="1" si="291"/>
        <v>0</v>
      </c>
      <c r="O147" s="490">
        <f ca="1">IFERROR(
INDEX(INDIRECT("'"&amp;INDEX($H:$H,MATCH(ROUNDDOWN($G147,0),$G:$G))&amp;"'!$V:$Z"),
MATCH($G147,INDIRECT("'"&amp;INDEX($H:$H,MATCH(ROUNDDOWN($G147,0),$G:$G))&amp;"'!$A:$A"),0),
MATCH(O$3,INDIRECT("'"&amp;INDEX($H:$H,MATCH(ROUNDDOWN($G147,0),$G:$G))&amp;"'!$V$2:$Z$2"),0)),0)</f>
        <v>0</v>
      </c>
      <c r="P147" s="491">
        <f t="shared" ca="1" si="292"/>
        <v>0</v>
      </c>
      <c r="Q147" s="492">
        <f t="shared" ca="1" si="293"/>
        <v>0</v>
      </c>
      <c r="R147" s="493" t="str">
        <f ca="1">IFERROR(
INDEX(INDIRECT("'"&amp;INDEX($H:$H,MATCH(ROUNDDOWN($G147,0),$G:$G))&amp;"'!$W:$AA"),
MATCH($G147,INDIRECT("'"&amp;INDEX($H:$H,MATCH(ROUNDDOWN($G147,0),$G:$G))&amp;"'!$A:$A"),0),
MATCH(R$3,INDIRECT("'"&amp;INDEX($H:$H,MATCH(ROUNDDOWN($G147,0),$G:$G))&amp;"'!$W$1:$AA$1"),0)),"")</f>
        <v/>
      </c>
      <c r="S147" s="494" t="str">
        <f t="shared" ca="1" si="261"/>
        <v/>
      </c>
      <c r="T147" s="499">
        <f ca="1">IF(I147=0,0,INDEX('Labour Rates'!E$4:E$35,MATCH(ROUNDDOWN(BREAKDOWN!G147,0),'Labour Rates'!A$4:A$35)))</f>
        <v>0</v>
      </c>
      <c r="U147" s="496">
        <f t="shared" ca="1" si="294"/>
        <v>0</v>
      </c>
      <c r="V147" s="496">
        <f t="shared" ca="1" si="295"/>
        <v>0</v>
      </c>
      <c r="W147" s="496">
        <f t="shared" ca="1" si="296"/>
        <v>0</v>
      </c>
      <c r="X147" s="496">
        <f t="shared" ca="1" si="297"/>
        <v>0</v>
      </c>
      <c r="Y147" s="497">
        <f t="shared" ca="1" si="298"/>
        <v>0</v>
      </c>
      <c r="Z147" s="497">
        <f ca="1">Q147*$I$158</f>
        <v>0</v>
      </c>
      <c r="AA147" s="497">
        <f ca="1">Q147*$I$159</f>
        <v>0</v>
      </c>
      <c r="AB147" s="497">
        <f t="shared" ca="1" si="299"/>
        <v>0</v>
      </c>
      <c r="AC147" s="498">
        <f t="shared" ca="1" si="300"/>
        <v>0</v>
      </c>
    </row>
    <row r="148" spans="1:29" s="483" customFormat="1" ht="15.75" x14ac:dyDescent="0.25">
      <c r="A148" s="484"/>
      <c r="B148" s="484"/>
      <c r="C148" s="484"/>
      <c r="D148" s="484"/>
      <c r="E148" s="484"/>
      <c r="F148" s="485"/>
      <c r="G148" s="486">
        <f t="shared" ca="1" si="301"/>
        <v>29.040000000000006</v>
      </c>
      <c r="H148" s="487">
        <f ca="1">IF($I148&lt;&gt;0,
INDEX(INDIRECT("'"&amp;INDEX($H:$H,MATCH(ROUNDDOWN($G148,0),$G:$G))&amp;"'!$B:$T"),
MATCH($G148,INDIRECT("'"&amp;INDEX($H:$H,MATCH(ROUNDDOWN($G148,0),$G:$G))&amp;"'!$A:$A"),0),
MATCH(H$3,INDIRECT("'"&amp;INDEX($H:$H,MATCH(ROUNDDOWN($G148,0),$G:$G))&amp;"'!$B$1:$T$1"),0)),0)</f>
        <v>0</v>
      </c>
      <c r="I148" s="488">
        <f t="shared" ca="1" si="290"/>
        <v>0</v>
      </c>
      <c r="J148" s="489">
        <f t="shared" ca="1" si="290"/>
        <v>0</v>
      </c>
      <c r="K148" s="490">
        <f ca="1">IFERROR(
INDEX(INDIRECT("'"&amp;INDEX($H:$H,MATCH(ROUNDDOWN($G148,0),$G:$G))&amp;"'!$B:$T"),
MATCH($G148,INDIRECT("'"&amp;INDEX($H:$H,MATCH(ROUNDDOWN($G148,0),$G:$G))&amp;"'!$A:$A"),0),
MATCH(K$3,INDIRECT("'"&amp;INDEX($H:$H,MATCH(ROUNDDOWN($G148,0),$G:$G))&amp;"'!$B$1:$T$1"),0)),0)
*INDEX('Labour Rates'!F$4:F$35,MATCH(ROUNDDOWN(BREAKDOWN!G148,0),'Labour Rates'!A$4:A$35))</f>
        <v>0</v>
      </c>
      <c r="L148" s="490">
        <f t="shared" ca="1" si="291"/>
        <v>0</v>
      </c>
      <c r="M148" s="490">
        <f t="shared" ca="1" si="291"/>
        <v>0</v>
      </c>
      <c r="N148" s="490">
        <f t="shared" ca="1" si="291"/>
        <v>0</v>
      </c>
      <c r="O148" s="490">
        <f ca="1">IFERROR(
INDEX(INDIRECT("'"&amp;INDEX($H:$H,MATCH(ROUNDDOWN($G148,0),$G:$G))&amp;"'!$V:$Z"),
MATCH($G148,INDIRECT("'"&amp;INDEX($H:$H,MATCH(ROUNDDOWN($G148,0),$G:$G))&amp;"'!$A:$A"),0),
MATCH(O$3,INDIRECT("'"&amp;INDEX($H:$H,MATCH(ROUNDDOWN($G148,0),$G:$G))&amp;"'!$V$2:$Z$2"),0)),0)</f>
        <v>0</v>
      </c>
      <c r="P148" s="491">
        <f t="shared" ca="1" si="292"/>
        <v>0</v>
      </c>
      <c r="Q148" s="492">
        <f t="shared" ca="1" si="293"/>
        <v>0</v>
      </c>
      <c r="R148" s="493" t="str">
        <f ca="1">IFERROR(
INDEX(INDIRECT("'"&amp;INDEX($H:$H,MATCH(ROUNDDOWN($G148,0),$G:$G))&amp;"'!$W:$AA"),
MATCH($G148,INDIRECT("'"&amp;INDEX($H:$H,MATCH(ROUNDDOWN($G148,0),$G:$G))&amp;"'!$A:$A"),0),
MATCH(R$3,INDIRECT("'"&amp;INDEX($H:$H,MATCH(ROUNDDOWN($G148,0),$G:$G))&amp;"'!$W$1:$AA$1"),0)),"")</f>
        <v/>
      </c>
      <c r="S148" s="494" t="str">
        <f t="shared" ca="1" si="261"/>
        <v/>
      </c>
      <c r="T148" s="499">
        <f ca="1">IF(I148=0,0,INDEX('Labour Rates'!E$4:E$35,MATCH(ROUNDDOWN(BREAKDOWN!G148,0),'Labour Rates'!A$4:A$35)))</f>
        <v>0</v>
      </c>
      <c r="U148" s="496">
        <f t="shared" ca="1" si="294"/>
        <v>0</v>
      </c>
      <c r="V148" s="496">
        <f t="shared" ca="1" si="295"/>
        <v>0</v>
      </c>
      <c r="W148" s="496">
        <f t="shared" ca="1" si="296"/>
        <v>0</v>
      </c>
      <c r="X148" s="496">
        <f t="shared" ca="1" si="297"/>
        <v>0</v>
      </c>
      <c r="Y148" s="497">
        <f t="shared" ca="1" si="298"/>
        <v>0</v>
      </c>
      <c r="Z148" s="497">
        <f ca="1">Q148*$I$158</f>
        <v>0</v>
      </c>
      <c r="AA148" s="497">
        <f ca="1">Q148*$I$159</f>
        <v>0</v>
      </c>
      <c r="AB148" s="497">
        <f t="shared" ca="1" si="299"/>
        <v>0</v>
      </c>
      <c r="AC148" s="498">
        <f t="shared" ca="1" si="300"/>
        <v>0</v>
      </c>
    </row>
    <row r="149" spans="1:29" s="483" customFormat="1" ht="15.75" x14ac:dyDescent="0.25">
      <c r="A149" s="484"/>
      <c r="B149" s="484"/>
      <c r="C149" s="484"/>
      <c r="D149" s="484"/>
      <c r="E149" s="484"/>
      <c r="F149" s="485"/>
      <c r="G149" s="502">
        <f ca="1">G144+1</f>
        <v>30</v>
      </c>
      <c r="H149" s="473" t="str">
        <f ca="1">INDEX(Lift!B:B,MATCH(BREAKDOWN!G149,Lift!A:A))</f>
        <v>LIFT</v>
      </c>
      <c r="I149" s="474"/>
      <c r="J149" s="475"/>
      <c r="K149" s="476"/>
      <c r="L149" s="476"/>
      <c r="M149" s="476"/>
      <c r="N149" s="476"/>
      <c r="O149" s="476"/>
      <c r="P149" s="476"/>
      <c r="Q149" s="477">
        <f ca="1">SUMIFS(Q:Q,$G:$G,"&gt;"&amp;$G149,$G:$G,"&lt;"&amp;($G149+1))</f>
        <v>0</v>
      </c>
      <c r="R149" s="478">
        <f ca="1">Q149
-INDEX(INDIRECT("'"&amp;H149&amp;"'!B:T"),MATCH($Q$3,INDIRECT("'"&amp;H149&amp;"'!B:B"),0),MATCH($Q$3,INDIRECT("'"&amp;H149&amp;"'!B$1:T$1"),0))
-(SUMIFS(U:U,$G:$G,"&gt;"&amp;$G149,$G:$G,"&lt;"&amp;($G149+1))-SUMIFS(U:U,$G:$G,"&gt;"&amp;$G149,$G:$G,"&lt;"&amp;($G149+1))/INDEX('Labour Rates'!F$4:F$35,MATCH(ROUNDDOWN(BREAKDOWN!G149,0),'Labour Rates'!A$4:A$35)))</f>
        <v>0</v>
      </c>
      <c r="S149" s="503"/>
      <c r="T149" s="499"/>
      <c r="U149" s="503"/>
      <c r="V149" s="503"/>
      <c r="W149" s="503"/>
      <c r="X149" s="503"/>
      <c r="Y149" s="503"/>
      <c r="Z149" s="503"/>
      <c r="AA149" s="503"/>
      <c r="AB149" s="477"/>
      <c r="AC149" s="498"/>
    </row>
    <row r="150" spans="1:29" s="483" customFormat="1" ht="15.75" x14ac:dyDescent="0.25">
      <c r="A150" s="484"/>
      <c r="B150" s="484"/>
      <c r="C150" s="484"/>
      <c r="D150" s="484"/>
      <c r="E150" s="484"/>
      <c r="F150" s="485"/>
      <c r="G150" s="502">
        <f ca="1">G149+1</f>
        <v>31</v>
      </c>
      <c r="H150" s="473" t="str">
        <f ca="1">INDEX(Landscaping!B:B,MATCH(BREAKDOWN!G150,Landscaping!A:A))</f>
        <v>LANDSCAPING</v>
      </c>
      <c r="I150" s="474"/>
      <c r="J150" s="475"/>
      <c r="K150" s="476"/>
      <c r="L150" s="476"/>
      <c r="M150" s="476"/>
      <c r="N150" s="476"/>
      <c r="O150" s="476"/>
      <c r="P150" s="476"/>
      <c r="Q150" s="477">
        <f ca="1">SUMIFS(Q:Q,$G:$G,"&gt;"&amp;$G150,$G:$G,"&lt;"&amp;($G150+1))</f>
        <v>0</v>
      </c>
      <c r="R150" s="478">
        <f ca="1">Q150
-INDEX(INDIRECT("'"&amp;H150&amp;"'!B:T"),MATCH($Q$3,INDIRECT("'"&amp;H150&amp;"'!B:B"),0),MATCH($Q$3,INDIRECT("'"&amp;H150&amp;"'!B$1:T$1"),0))
-(SUMIFS(U:U,$G:$G,"&gt;"&amp;$G150,$G:$G,"&lt;"&amp;($G150+1))-SUMIFS(U:U,$G:$G,"&gt;"&amp;$G150,$G:$G,"&lt;"&amp;($G150+1))/INDEX('Labour Rates'!F$4:F$35,MATCH(ROUNDDOWN(BREAKDOWN!G150,0),'Labour Rates'!A$4:A$35)))</f>
        <v>0</v>
      </c>
      <c r="S150" s="503"/>
      <c r="T150" s="499"/>
      <c r="U150" s="503"/>
      <c r="V150" s="503"/>
      <c r="W150" s="503"/>
      <c r="X150" s="503"/>
      <c r="Y150" s="503"/>
      <c r="Z150" s="503"/>
      <c r="AA150" s="503"/>
      <c r="AB150" s="477"/>
      <c r="AC150" s="498"/>
    </row>
    <row r="151" spans="1:29" s="483" customFormat="1" ht="15.75" x14ac:dyDescent="0.25">
      <c r="A151" s="484"/>
      <c r="B151" s="484"/>
      <c r="C151" s="484"/>
      <c r="D151" s="484"/>
      <c r="E151" s="484"/>
      <c r="F151" s="485"/>
      <c r="G151" s="502">
        <f ca="1">G150+1</f>
        <v>32</v>
      </c>
      <c r="H151" s="473" t="str">
        <f ca="1">INDEX(Fencing!B:B,MATCH(BREAKDOWN!G151,Fencing!A:A))</f>
        <v>FENCING</v>
      </c>
      <c r="I151" s="474"/>
      <c r="J151" s="475"/>
      <c r="K151" s="476"/>
      <c r="L151" s="476"/>
      <c r="M151" s="476"/>
      <c r="N151" s="476"/>
      <c r="O151" s="476"/>
      <c r="P151" s="476"/>
      <c r="Q151" s="477">
        <f ca="1">SUMIFS(Q:Q,$G:$G,"&gt;"&amp;$G151,$G:$G,"&lt;"&amp;($G151+1))</f>
        <v>0</v>
      </c>
      <c r="R151" s="478">
        <f ca="1">Q151
-INDEX(INDIRECT("'"&amp;H151&amp;"'!B:T"),MATCH($Q$3,INDIRECT("'"&amp;H151&amp;"'!B:B"),0),MATCH($Q$3,INDIRECT("'"&amp;H151&amp;"'!B$1:T$1"),0))
-(SUMIFS(U:U,$G:$G,"&gt;"&amp;$G151,$G:$G,"&lt;"&amp;($G151+1))-SUMIFS(U:U,$G:$G,"&gt;"&amp;$G151,$G:$G,"&lt;"&amp;($G151+1))/INDEX('Labour Rates'!F$4:F$35,MATCH(ROUNDDOWN(BREAKDOWN!G151,0),'Labour Rates'!A$4:A$35)))</f>
        <v>0</v>
      </c>
      <c r="S151" s="503"/>
      <c r="T151" s="499"/>
      <c r="U151" s="503"/>
      <c r="V151" s="503"/>
      <c r="W151" s="503"/>
      <c r="X151" s="503"/>
      <c r="Y151" s="503"/>
      <c r="Z151" s="503"/>
      <c r="AA151" s="503"/>
      <c r="AB151" s="477"/>
      <c r="AC151" s="498"/>
    </row>
    <row r="152" spans="1:29" s="483" customFormat="1" ht="15.75" x14ac:dyDescent="0.25">
      <c r="A152" s="484"/>
      <c r="B152" s="484"/>
      <c r="C152" s="484"/>
      <c r="D152" s="484"/>
      <c r="E152" s="484"/>
      <c r="F152" s="485"/>
      <c r="G152" s="502">
        <f ca="1">G151+1</f>
        <v>33</v>
      </c>
      <c r="H152" s="473" t="str">
        <f ca="1">INDEX(Miscellaneous!B:B,MATCH(BREAKDOWN!G152,Miscellaneous!A:A))</f>
        <v>MISCELLANEOUS</v>
      </c>
      <c r="I152" s="474"/>
      <c r="J152" s="475"/>
      <c r="K152" s="476"/>
      <c r="L152" s="476"/>
      <c r="M152" s="476"/>
      <c r="N152" s="476"/>
      <c r="O152" s="476"/>
      <c r="P152" s="476"/>
      <c r="Q152" s="477">
        <f ca="1">SUMIFS(Q:Q,$G:$G,"&gt;"&amp;$G152,$G:$G,"&lt;"&amp;($G152+1))</f>
        <v>0</v>
      </c>
      <c r="R152" s="478">
        <f ca="1">Q152
-INDEX(INDIRECT("'"&amp;H152&amp;"'!B:T"),MATCH($Q$3,INDIRECT("'"&amp;H152&amp;"'!B:B"),0),MATCH($Q$3,INDIRECT("'"&amp;H152&amp;"'!B$1:T$1"),0))
-(SUMIFS(U:U,$G:$G,"&gt;"&amp;$G152,$G:$G,"&lt;"&amp;($G152+1))-SUMIFS(U:U,$G:$G,"&gt;"&amp;$G152,$G:$G,"&lt;"&amp;($G152+1))/INDEX('Labour Rates'!F$4:F$35,MATCH(ROUNDDOWN(BREAKDOWN!G152,0),'Labour Rates'!A$4:A$35)))</f>
        <v>0</v>
      </c>
      <c r="S152" s="503"/>
      <c r="T152" s="499"/>
      <c r="U152" s="503"/>
      <c r="V152" s="503"/>
      <c r="W152" s="503"/>
      <c r="X152" s="503"/>
      <c r="Y152" s="503"/>
      <c r="Z152" s="503"/>
      <c r="AA152" s="503"/>
      <c r="AB152" s="477">
        <f ca="1">SUM(AB153:AB157)</f>
        <v>0</v>
      </c>
      <c r="AC152" s="498"/>
    </row>
    <row r="153" spans="1:29" s="500" customFormat="1" ht="15.75" x14ac:dyDescent="0.25">
      <c r="A153" s="504"/>
      <c r="B153" s="504"/>
      <c r="C153" s="504"/>
      <c r="D153" s="504"/>
      <c r="E153" s="504"/>
      <c r="F153" s="501"/>
      <c r="G153" s="486">
        <f ca="1">G152+0.01</f>
        <v>33.01</v>
      </c>
      <c r="H153" s="487" t="str">
        <f ca="1">IF($I153&lt;&gt;0,
INDEX(INDIRECT("'"&amp;INDEX($H:$H,MATCH(ROUNDDOWN($G153,0),$G:$G))&amp;"'!$B:$T"),
MATCH($G153,INDIRECT("'"&amp;INDEX($H:$H,MATCH(ROUNDDOWN($G153,0),$G:$G))&amp;"'!$A:$A"),0),
MATCH(H$3,INDIRECT("'"&amp;INDEX($H:$H,MATCH(ROUNDDOWN($G153,0),$G:$G))&amp;"'!$B$1:$T$1"),0)),0)</f>
        <v>Make Good Disrupted Areas</v>
      </c>
      <c r="I153" s="488">
        <f t="shared" ref="I153:J157" ca="1" si="302">IFERROR(
INDEX(INDIRECT("'"&amp;INDEX($H:$H,MATCH(ROUNDDOWN($G153,0),$G:$G))&amp;"'!$B:$T"),
MATCH($G153,INDIRECT("'"&amp;INDEX($H:$H,MATCH(ROUNDDOWN($G153,0),$G:$G))&amp;"'!$A:$A"),0),
MATCH(I$3,INDIRECT("'"&amp;INDEX($H:$H,MATCH(ROUNDDOWN($G153,0),$G:$G))&amp;"'!$B$1:$T$1"),0)),0)</f>
        <v>1</v>
      </c>
      <c r="J153" s="489" t="str">
        <f t="shared" ca="1" si="302"/>
        <v>item</v>
      </c>
      <c r="K153" s="490">
        <f ca="1">IFERROR(
INDEX(INDIRECT("'"&amp;INDEX($H:$H,MATCH(ROUNDDOWN($G153,0),$G:$G))&amp;"'!$B:$T"),
MATCH($G153,INDIRECT("'"&amp;INDEX($H:$H,MATCH(ROUNDDOWN($G153,0),$G:$G))&amp;"'!$A:$A"),0),
MATCH(K$3,INDIRECT("'"&amp;INDEX($H:$H,MATCH(ROUNDDOWN($G153,0),$G:$G))&amp;"'!$B$1:$T$1"),0)),0)
*INDEX('Labour Rates'!F$4:F$35,MATCH(ROUNDDOWN(BREAKDOWN!G153,0),'Labour Rates'!A$4:A$35))</f>
        <v>0</v>
      </c>
      <c r="L153" s="490">
        <f t="shared" ref="L153:N157" ca="1" si="303">IFERROR(
INDEX(INDIRECT("'"&amp;INDEX($H:$H,MATCH(ROUNDDOWN($G153,0),$G:$G))&amp;"'!$B:$T"),
MATCH($G153,INDIRECT("'"&amp;INDEX($H:$H,MATCH(ROUNDDOWN($G153,0),$G:$G))&amp;"'!$A:$A"),0),
MATCH(L$3,INDIRECT("'"&amp;INDEX($H:$H,MATCH(ROUNDDOWN($G153,0),$G:$G))&amp;"'!$B$1:$T$1"),0)),0)</f>
        <v>0</v>
      </c>
      <c r="M153" s="490">
        <f t="shared" ca="1" si="303"/>
        <v>0</v>
      </c>
      <c r="N153" s="490">
        <f t="shared" ca="1" si="303"/>
        <v>0</v>
      </c>
      <c r="O153" s="490">
        <f ca="1">IFERROR(
INDEX(INDIRECT("'"&amp;INDEX($H:$H,MATCH(ROUNDDOWN($G153,0),$G:$G))&amp;"'!$V:$Z"),
MATCH($G153,INDIRECT("'"&amp;INDEX($H:$H,MATCH(ROUNDDOWN($G153,0),$G:$G))&amp;"'!$A:$A"),0),
MATCH(O$3,INDIRECT("'"&amp;INDEX($H:$H,MATCH(ROUNDDOWN($G153,0),$G:$G))&amp;"'!$V$2:$Z$2"),0)),0)</f>
        <v>0</v>
      </c>
      <c r="P153" s="491">
        <f t="shared" ref="P153:P157" ca="1" si="304">IFERROR(IF(O153="inc","inc",IF(AND(O153&gt;0,I153&gt;0),O153/I153,IF(SUM(K153:N153)&gt;0,SUM(K153:N153),0))),0)</f>
        <v>0</v>
      </c>
      <c r="Q153" s="492">
        <f t="shared" ref="Q153:Q157" ca="1" si="305">IFERROR(IF(P153="",0,I153*P153),0)</f>
        <v>0</v>
      </c>
      <c r="R153" s="493" t="str">
        <f ca="1">IFERROR(
INDEX(INDIRECT("'"&amp;INDEX($H:$H,MATCH(ROUNDDOWN($G153,0),$G:$G))&amp;"'!$W:$AA"),
MATCH($G153,INDIRECT("'"&amp;INDEX($H:$H,MATCH(ROUNDDOWN($G153,0),$G:$G))&amp;"'!$A:$A"),0),
MATCH(R$3,INDIRECT("'"&amp;INDEX($H:$H,MATCH(ROUNDDOWN($G153,0),$G:$G))&amp;"'!$W$1:$AA$1"),0)),"")</f>
        <v/>
      </c>
      <c r="S153" s="494">
        <f t="shared" ref="S153" ca="1" si="306">IFERROR(U153/T153,"")</f>
        <v>0</v>
      </c>
      <c r="T153" s="499">
        <f ca="1">IF(I153=0,0,INDEX('Labour Rates'!E$4:E$35,MATCH(ROUNDDOWN(BREAKDOWN!G153,0),'Labour Rates'!A$4:A$35)))</f>
        <v>80.84</v>
      </c>
      <c r="U153" s="496">
        <f t="shared" ref="U153:U157" ca="1" si="307">IF($Y153&gt;0, 0, IFERROR($I153*K153,0))</f>
        <v>0</v>
      </c>
      <c r="V153" s="496">
        <f t="shared" ref="V153:V157" ca="1" si="308">IF($Y153&gt;0, 0, IFERROR($I153*L153,0))</f>
        <v>0</v>
      </c>
      <c r="W153" s="496">
        <f t="shared" ref="W153:W157" ca="1" si="309">IF($Y153&gt;0, 0, IFERROR($I153*M153,0))</f>
        <v>0</v>
      </c>
      <c r="X153" s="496">
        <f t="shared" ref="X153:X157" ca="1" si="310">IF($Y153&gt;0, 0, IFERROR($I153*N153,0))</f>
        <v>0</v>
      </c>
      <c r="Y153" s="497">
        <f t="shared" ref="Y153:Y157" ca="1" si="311">IF(I153&gt;0,O153,0)</f>
        <v>0</v>
      </c>
      <c r="Z153" s="497">
        <f ca="1">Q153*$I$158</f>
        <v>0</v>
      </c>
      <c r="AA153" s="497">
        <f ca="1">Q153*$I$159</f>
        <v>0</v>
      </c>
      <c r="AB153" s="497">
        <f t="shared" ref="AB153:AB157" ca="1" si="312">SUM(U153:AA153)</f>
        <v>0</v>
      </c>
      <c r="AC153" s="498">
        <f t="shared" ref="AC153:AC157" ca="1" si="313">SUM(U153:Y153)-Q153</f>
        <v>0</v>
      </c>
    </row>
    <row r="154" spans="1:29" s="500" customFormat="1" ht="15.75" x14ac:dyDescent="0.25">
      <c r="A154" s="504"/>
      <c r="B154" s="504"/>
      <c r="C154" s="504"/>
      <c r="D154" s="504"/>
      <c r="E154" s="504"/>
      <c r="F154" s="501"/>
      <c r="G154" s="486">
        <f t="shared" ref="G154:G157" ca="1" si="314">G153+0.01</f>
        <v>33.019999999999996</v>
      </c>
      <c r="H154" s="487" t="str">
        <f ca="1">IF($I154&lt;&gt;0,
INDEX(INDIRECT("'"&amp;INDEX($H:$H,MATCH(ROUNDDOWN($G154,0),$G:$G))&amp;"'!$B:$T"),
MATCH($G154,INDIRECT("'"&amp;INDEX($H:$H,MATCH(ROUNDDOWN($G154,0),$G:$G))&amp;"'!$A:$A"),0),
MATCH(H$3,INDIRECT("'"&amp;INDEX($H:$H,MATCH(ROUNDDOWN($G154,0),$G:$G))&amp;"'!$B$1:$T$1"),0)),0)</f>
        <v>Mirror</v>
      </c>
      <c r="I154" s="488">
        <f t="shared" ca="1" si="302"/>
        <v>0.9</v>
      </c>
      <c r="J154" s="489" t="str">
        <f t="shared" ca="1" si="302"/>
        <v>m2</v>
      </c>
      <c r="K154" s="490">
        <f ca="1">IFERROR(
INDEX(INDIRECT("'"&amp;INDEX($H:$H,MATCH(ROUNDDOWN($G154,0),$G:$G))&amp;"'!$B:$T"),
MATCH($G154,INDIRECT("'"&amp;INDEX($H:$H,MATCH(ROUNDDOWN($G154,0),$G:$G))&amp;"'!$A:$A"),0),
MATCH(K$3,INDIRECT("'"&amp;INDEX($H:$H,MATCH(ROUNDDOWN($G154,0),$G:$G))&amp;"'!$B$1:$T$1"),0)),0)
*INDEX('Labour Rates'!F$4:F$35,MATCH(ROUNDDOWN(BREAKDOWN!G154,0),'Labour Rates'!A$4:A$35))</f>
        <v>0</v>
      </c>
      <c r="L154" s="490">
        <f t="shared" ca="1" si="303"/>
        <v>0</v>
      </c>
      <c r="M154" s="490">
        <f t="shared" ca="1" si="303"/>
        <v>0</v>
      </c>
      <c r="N154" s="490">
        <f t="shared" ca="1" si="303"/>
        <v>0</v>
      </c>
      <c r="O154" s="490">
        <f ca="1">IFERROR(
INDEX(INDIRECT("'"&amp;INDEX($H:$H,MATCH(ROUNDDOWN($G154,0),$G:$G))&amp;"'!$V:$Z"),
MATCH($G154,INDIRECT("'"&amp;INDEX($H:$H,MATCH(ROUNDDOWN($G154,0),$G:$G))&amp;"'!$A:$A"),0),
MATCH(O$3,INDIRECT("'"&amp;INDEX($H:$H,MATCH(ROUNDDOWN($G154,0),$G:$G))&amp;"'!$V$2:$Z$2"),0)),0)</f>
        <v>0</v>
      </c>
      <c r="P154" s="491">
        <f t="shared" ca="1" si="304"/>
        <v>0</v>
      </c>
      <c r="Q154" s="492">
        <f t="shared" ca="1" si="305"/>
        <v>0</v>
      </c>
      <c r="R154" s="493" t="str">
        <f ca="1">IFERROR(
INDEX(INDIRECT("'"&amp;INDEX($H:$H,MATCH(ROUNDDOWN($G154,0),$G:$G))&amp;"'!$W:$AA"),
MATCH($G154,INDIRECT("'"&amp;INDEX($H:$H,MATCH(ROUNDDOWN($G154,0),$G:$G))&amp;"'!$A:$A"),0),
MATCH(R$3,INDIRECT("'"&amp;INDEX($H:$H,MATCH(ROUNDDOWN($G154,0),$G:$G))&amp;"'!$W$1:$AA$1"),0)),"")</f>
        <v/>
      </c>
      <c r="S154" s="494">
        <f ca="1">IFERROR(U154/T154,"")</f>
        <v>0</v>
      </c>
      <c r="T154" s="499">
        <f ca="1">IF(I154=0,0,INDEX('Labour Rates'!E$4:E$35,MATCH(ROUNDDOWN(BREAKDOWN!G154,0),'Labour Rates'!A$4:A$35)))</f>
        <v>80.84</v>
      </c>
      <c r="U154" s="496">
        <f t="shared" ca="1" si="307"/>
        <v>0</v>
      </c>
      <c r="V154" s="496">
        <f t="shared" ca="1" si="308"/>
        <v>0</v>
      </c>
      <c r="W154" s="496">
        <f t="shared" ca="1" si="309"/>
        <v>0</v>
      </c>
      <c r="X154" s="496">
        <f t="shared" ca="1" si="310"/>
        <v>0</v>
      </c>
      <c r="Y154" s="497">
        <f t="shared" ca="1" si="311"/>
        <v>0</v>
      </c>
      <c r="Z154" s="497">
        <f ca="1">Q154*$I$158</f>
        <v>0</v>
      </c>
      <c r="AA154" s="497">
        <f ca="1">Q154*$I$159</f>
        <v>0</v>
      </c>
      <c r="AB154" s="497">
        <f t="shared" ca="1" si="312"/>
        <v>0</v>
      </c>
      <c r="AC154" s="498">
        <f t="shared" ca="1" si="313"/>
        <v>0</v>
      </c>
    </row>
    <row r="155" spans="1:29" s="483" customFormat="1" ht="15.75" x14ac:dyDescent="0.25">
      <c r="A155" s="484"/>
      <c r="B155" s="484"/>
      <c r="C155" s="484"/>
      <c r="D155" s="484"/>
      <c r="E155" s="484"/>
      <c r="F155" s="485"/>
      <c r="G155" s="486">
        <f t="shared" ca="1" si="314"/>
        <v>33.029999999999994</v>
      </c>
      <c r="H155" s="487" t="str">
        <f ca="1">IF($I155&lt;&gt;0,
INDEX(INDIRECT("'"&amp;INDEX($H:$H,MATCH(ROUNDDOWN($G155,0),$G:$G))&amp;"'!$B:$T"),
MATCH($G155,INDIRECT("'"&amp;INDEX($H:$H,MATCH(ROUNDDOWN($G155,0),$G:$G))&amp;"'!$A:$A"),0),
MATCH(H$3,INDIRECT("'"&amp;INDEX($H:$H,MATCH(ROUNDDOWN($G155,0),$G:$G))&amp;"'!$B$1:$T$1"),0)),0)</f>
        <v>Window Blinds</v>
      </c>
      <c r="I155" s="488">
        <f t="shared" ca="1" si="302"/>
        <v>8</v>
      </c>
      <c r="J155" s="489" t="str">
        <f t="shared" ca="1" si="302"/>
        <v>No.</v>
      </c>
      <c r="K155" s="490">
        <f ca="1">IFERROR(
INDEX(INDIRECT("'"&amp;INDEX($H:$H,MATCH(ROUNDDOWN($G155,0),$G:$G))&amp;"'!$B:$T"),
MATCH($G155,INDIRECT("'"&amp;INDEX($H:$H,MATCH(ROUNDDOWN($G155,0),$G:$G))&amp;"'!$A:$A"),0),
MATCH(K$3,INDIRECT("'"&amp;INDEX($H:$H,MATCH(ROUNDDOWN($G155,0),$G:$G))&amp;"'!$B$1:$T$1"),0)),0)
*INDEX('Labour Rates'!F$4:F$35,MATCH(ROUNDDOWN(BREAKDOWN!G155,0),'Labour Rates'!A$4:A$35))</f>
        <v>0</v>
      </c>
      <c r="L155" s="490">
        <f t="shared" ca="1" si="303"/>
        <v>0</v>
      </c>
      <c r="M155" s="490">
        <f t="shared" ca="1" si="303"/>
        <v>0</v>
      </c>
      <c r="N155" s="490">
        <f t="shared" ca="1" si="303"/>
        <v>0</v>
      </c>
      <c r="O155" s="490">
        <f ca="1">IFERROR(
INDEX(INDIRECT("'"&amp;INDEX($H:$H,MATCH(ROUNDDOWN($G155,0),$G:$G))&amp;"'!$V:$Z"),
MATCH($G155,INDIRECT("'"&amp;INDEX($H:$H,MATCH(ROUNDDOWN($G155,0),$G:$G))&amp;"'!$A:$A"),0),
MATCH(O$3,INDIRECT("'"&amp;INDEX($H:$H,MATCH(ROUNDDOWN($G155,0),$G:$G))&amp;"'!$V$2:$Z$2"),0)),0)</f>
        <v>0</v>
      </c>
      <c r="P155" s="491">
        <f t="shared" ca="1" si="304"/>
        <v>0</v>
      </c>
      <c r="Q155" s="492">
        <f t="shared" ca="1" si="305"/>
        <v>0</v>
      </c>
      <c r="R155" s="493" t="str">
        <f ca="1">IFERROR(
INDEX(INDIRECT("'"&amp;INDEX($H:$H,MATCH(ROUNDDOWN($G155,0),$G:$G))&amp;"'!$W:$AA"),
MATCH($G155,INDIRECT("'"&amp;INDEX($H:$H,MATCH(ROUNDDOWN($G155,0),$G:$G))&amp;"'!$A:$A"),0),
MATCH(R$3,INDIRECT("'"&amp;INDEX($H:$H,MATCH(ROUNDDOWN($G155,0),$G:$G))&amp;"'!$W$1:$AA$1"),0)),"")</f>
        <v/>
      </c>
      <c r="S155" s="494">
        <f t="shared" ref="S155:S157" ca="1" si="315">IFERROR(U155/T155,"")</f>
        <v>0</v>
      </c>
      <c r="T155" s="499">
        <f ca="1">IF(I155=0,0,INDEX('Labour Rates'!E$4:E$35,MATCH(ROUNDDOWN(BREAKDOWN!G155,0),'Labour Rates'!A$4:A$35)))</f>
        <v>80.84</v>
      </c>
      <c r="U155" s="496">
        <f t="shared" ca="1" si="307"/>
        <v>0</v>
      </c>
      <c r="V155" s="496">
        <f t="shared" ca="1" si="308"/>
        <v>0</v>
      </c>
      <c r="W155" s="496">
        <f t="shared" ca="1" si="309"/>
        <v>0</v>
      </c>
      <c r="X155" s="496">
        <f t="shared" ca="1" si="310"/>
        <v>0</v>
      </c>
      <c r="Y155" s="497">
        <f t="shared" ca="1" si="311"/>
        <v>0</v>
      </c>
      <c r="Z155" s="497">
        <f ca="1">Q155*$I$158</f>
        <v>0</v>
      </c>
      <c r="AA155" s="497">
        <f ca="1">Q155*$I$159</f>
        <v>0</v>
      </c>
      <c r="AB155" s="497">
        <f t="shared" ca="1" si="312"/>
        <v>0</v>
      </c>
      <c r="AC155" s="498">
        <f t="shared" ca="1" si="313"/>
        <v>0</v>
      </c>
    </row>
    <row r="156" spans="1:29" s="483" customFormat="1" ht="15.75" x14ac:dyDescent="0.25">
      <c r="A156" s="484"/>
      <c r="B156" s="484"/>
      <c r="C156" s="484"/>
      <c r="D156" s="484"/>
      <c r="E156" s="484"/>
      <c r="F156" s="485"/>
      <c r="G156" s="486">
        <f t="shared" ca="1" si="314"/>
        <v>33.039999999999992</v>
      </c>
      <c r="H156" s="487" t="str">
        <f ca="1">IF($I156&lt;&gt;0,
INDEX(INDIRECT("'"&amp;INDEX($H:$H,MATCH(ROUNDDOWN($G156,0),$G:$G))&amp;"'!$B:$T"),
MATCH($G156,INDIRECT("'"&amp;INDEX($H:$H,MATCH(ROUNDDOWN($G156,0),$G:$G))&amp;"'!$A:$A"),0),
MATCH(H$3,INDIRECT("'"&amp;INDEX($H:$H,MATCH(ROUNDDOWN($G156,0),$G:$G))&amp;"'!$B$1:$T$1"),0)),0)</f>
        <v>Other Misc Items (Install only)</v>
      </c>
      <c r="I156" s="488">
        <f t="shared" ca="1" si="302"/>
        <v>32</v>
      </c>
      <c r="J156" s="489" t="str">
        <f t="shared" ca="1" si="302"/>
        <v>No.</v>
      </c>
      <c r="K156" s="490">
        <f ca="1">IFERROR(
INDEX(INDIRECT("'"&amp;INDEX($H:$H,MATCH(ROUNDDOWN($G156,0),$G:$G))&amp;"'!$B:$T"),
MATCH($G156,INDIRECT("'"&amp;INDEX($H:$H,MATCH(ROUNDDOWN($G156,0),$G:$G))&amp;"'!$A:$A"),0),
MATCH(K$3,INDIRECT("'"&amp;INDEX($H:$H,MATCH(ROUNDDOWN($G156,0),$G:$G))&amp;"'!$B$1:$T$1"),0)),0)
*INDEX('Labour Rates'!F$4:F$35,MATCH(ROUNDDOWN(BREAKDOWN!G156,0),'Labour Rates'!A$4:A$35))</f>
        <v>0</v>
      </c>
      <c r="L156" s="490">
        <f t="shared" ca="1" si="303"/>
        <v>0</v>
      </c>
      <c r="M156" s="490">
        <f t="shared" ca="1" si="303"/>
        <v>0</v>
      </c>
      <c r="N156" s="490">
        <f t="shared" ca="1" si="303"/>
        <v>0</v>
      </c>
      <c r="O156" s="490">
        <f ca="1">IFERROR(
INDEX(INDIRECT("'"&amp;INDEX($H:$H,MATCH(ROUNDDOWN($G156,0),$G:$G))&amp;"'!$V:$Z"),
MATCH($G156,INDIRECT("'"&amp;INDEX($H:$H,MATCH(ROUNDDOWN($G156,0),$G:$G))&amp;"'!$A:$A"),0),
MATCH(O$3,INDIRECT("'"&amp;INDEX($H:$H,MATCH(ROUNDDOWN($G156,0),$G:$G))&amp;"'!$V$2:$Z$2"),0)),0)</f>
        <v>0</v>
      </c>
      <c r="P156" s="491">
        <f t="shared" ca="1" si="304"/>
        <v>0</v>
      </c>
      <c r="Q156" s="492">
        <f t="shared" ca="1" si="305"/>
        <v>0</v>
      </c>
      <c r="R156" s="493" t="str">
        <f ca="1">IFERROR(
INDEX(INDIRECT("'"&amp;INDEX($H:$H,MATCH(ROUNDDOWN($G156,0),$G:$G))&amp;"'!$W:$AA"),
MATCH($G156,INDIRECT("'"&amp;INDEX($H:$H,MATCH(ROUNDDOWN($G156,0),$G:$G))&amp;"'!$A:$A"),0),
MATCH(R$3,INDIRECT("'"&amp;INDEX($H:$H,MATCH(ROUNDDOWN($G156,0),$G:$G))&amp;"'!$W$1:$AA$1"),0)),"")</f>
        <v/>
      </c>
      <c r="S156" s="494">
        <f t="shared" ca="1" si="315"/>
        <v>0</v>
      </c>
      <c r="T156" s="499">
        <f ca="1">IF(I156=0,0,INDEX('Labour Rates'!E$4:E$35,MATCH(ROUNDDOWN(BREAKDOWN!G156,0),'Labour Rates'!A$4:A$35)))</f>
        <v>80.84</v>
      </c>
      <c r="U156" s="496">
        <f t="shared" ca="1" si="307"/>
        <v>0</v>
      </c>
      <c r="V156" s="496">
        <f t="shared" ca="1" si="308"/>
        <v>0</v>
      </c>
      <c r="W156" s="496">
        <f t="shared" ca="1" si="309"/>
        <v>0</v>
      </c>
      <c r="X156" s="496">
        <f t="shared" ca="1" si="310"/>
        <v>0</v>
      </c>
      <c r="Y156" s="497">
        <f t="shared" ca="1" si="311"/>
        <v>0</v>
      </c>
      <c r="Z156" s="497">
        <f ca="1">Q156*$I$158</f>
        <v>0</v>
      </c>
      <c r="AA156" s="497">
        <f ca="1">Q156*$I$159</f>
        <v>0</v>
      </c>
      <c r="AB156" s="497">
        <f t="shared" ca="1" si="312"/>
        <v>0</v>
      </c>
      <c r="AC156" s="498">
        <f t="shared" ca="1" si="313"/>
        <v>0</v>
      </c>
    </row>
    <row r="157" spans="1:29" s="500" customFormat="1" ht="15.75" x14ac:dyDescent="0.25">
      <c r="A157" s="504"/>
      <c r="B157" s="504"/>
      <c r="C157" s="504"/>
      <c r="D157" s="504"/>
      <c r="E157" s="504"/>
      <c r="F157" s="501"/>
      <c r="G157" s="486">
        <f t="shared" ca="1" si="314"/>
        <v>33.04999999999999</v>
      </c>
      <c r="H157" s="487" t="str">
        <f ca="1">IF($I157&lt;&gt;0,
INDEX(INDIRECT("'"&amp;INDEX($H:$H,MATCH(ROUNDDOWN($G157,0),$G:$G))&amp;"'!$B:$T"),
MATCH($G157,INDIRECT("'"&amp;INDEX($H:$H,MATCH(ROUNDDOWN($G157,0),$G:$G))&amp;"'!$A:$A"),0),
MATCH(H$3,INDIRECT("'"&amp;INDEX($H:$H,MATCH(ROUNDDOWN($G157,0),$G:$G))&amp;"'!$B$1:$T$1"),0)),0)</f>
        <v>Other Misc Items (Supply Only)</v>
      </c>
      <c r="I157" s="488">
        <f t="shared" ca="1" si="302"/>
        <v>1</v>
      </c>
      <c r="J157" s="489" t="str">
        <f t="shared" ca="1" si="302"/>
        <v>item</v>
      </c>
      <c r="K157" s="490">
        <f ca="1">IFERROR(
INDEX(INDIRECT("'"&amp;INDEX($H:$H,MATCH(ROUNDDOWN($G157,0),$G:$G))&amp;"'!$B:$T"),
MATCH($G157,INDIRECT("'"&amp;INDEX($H:$H,MATCH(ROUNDDOWN($G157,0),$G:$G))&amp;"'!$A:$A"),0),
MATCH(K$3,INDIRECT("'"&amp;INDEX($H:$H,MATCH(ROUNDDOWN($G157,0),$G:$G))&amp;"'!$B$1:$T$1"),0)),0)
*INDEX('Labour Rates'!F$4:F$35,MATCH(ROUNDDOWN(BREAKDOWN!G157,0),'Labour Rates'!A$4:A$35))</f>
        <v>0</v>
      </c>
      <c r="L157" s="490">
        <f t="shared" ca="1" si="303"/>
        <v>0</v>
      </c>
      <c r="M157" s="490">
        <f t="shared" ca="1" si="303"/>
        <v>0</v>
      </c>
      <c r="N157" s="490">
        <f t="shared" ca="1" si="303"/>
        <v>0</v>
      </c>
      <c r="O157" s="490">
        <f ca="1">IFERROR(
INDEX(INDIRECT("'"&amp;INDEX($H:$H,MATCH(ROUNDDOWN($G157,0),$G:$G))&amp;"'!$V:$Z"),
MATCH($G157,INDIRECT("'"&amp;INDEX($H:$H,MATCH(ROUNDDOWN($G157,0),$G:$G))&amp;"'!$A:$A"),0),
MATCH(O$3,INDIRECT("'"&amp;INDEX($H:$H,MATCH(ROUNDDOWN($G157,0),$G:$G))&amp;"'!$V$2:$Z$2"),0)),0)</f>
        <v>0</v>
      </c>
      <c r="P157" s="491">
        <f t="shared" ca="1" si="304"/>
        <v>0</v>
      </c>
      <c r="Q157" s="492">
        <f t="shared" ca="1" si="305"/>
        <v>0</v>
      </c>
      <c r="R157" s="493" t="str">
        <f ca="1">IFERROR(
INDEX(INDIRECT("'"&amp;INDEX($H:$H,MATCH(ROUNDDOWN($G157,0),$G:$G))&amp;"'!$W:$AA"),
MATCH($G157,INDIRECT("'"&amp;INDEX($H:$H,MATCH(ROUNDDOWN($G157,0),$G:$G))&amp;"'!$A:$A"),0),
MATCH(R$3,INDIRECT("'"&amp;INDEX($H:$H,MATCH(ROUNDDOWN($G157,0),$G:$G))&amp;"'!$W$1:$AA$1"),0)),"")</f>
        <v/>
      </c>
      <c r="S157" s="494">
        <f t="shared" ca="1" si="315"/>
        <v>0</v>
      </c>
      <c r="T157" s="499">
        <f ca="1">IF(I157=0,0,INDEX('Labour Rates'!E$4:E$35,MATCH(ROUNDDOWN(BREAKDOWN!G157,0),'Labour Rates'!A$4:A$35)))</f>
        <v>80.84</v>
      </c>
      <c r="U157" s="496">
        <f t="shared" ca="1" si="307"/>
        <v>0</v>
      </c>
      <c r="V157" s="496">
        <f t="shared" ca="1" si="308"/>
        <v>0</v>
      </c>
      <c r="W157" s="496">
        <f t="shared" ca="1" si="309"/>
        <v>0</v>
      </c>
      <c r="X157" s="496">
        <f t="shared" ca="1" si="310"/>
        <v>0</v>
      </c>
      <c r="Y157" s="497">
        <f t="shared" ca="1" si="311"/>
        <v>0</v>
      </c>
      <c r="Z157" s="497">
        <f ca="1">Q157*$I$158</f>
        <v>0</v>
      </c>
      <c r="AA157" s="497">
        <f ca="1">Q157*$I$159</f>
        <v>0</v>
      </c>
      <c r="AB157" s="497">
        <f t="shared" ca="1" si="312"/>
        <v>0</v>
      </c>
      <c r="AC157" s="498">
        <f t="shared" ca="1" si="313"/>
        <v>0</v>
      </c>
    </row>
    <row r="158" spans="1:29" s="483" customFormat="1" ht="18.75" x14ac:dyDescent="0.25">
      <c r="A158" s="484"/>
      <c r="B158" s="484"/>
      <c r="C158" s="484"/>
      <c r="D158" s="484"/>
      <c r="E158" s="484"/>
      <c r="F158" s="485"/>
      <c r="G158" s="600" t="s">
        <v>18</v>
      </c>
      <c r="H158" s="601"/>
      <c r="I158" s="509">
        <v>0.05</v>
      </c>
      <c r="J158" s="510"/>
      <c r="K158" s="511"/>
      <c r="L158" s="511"/>
      <c r="M158" s="511"/>
      <c r="N158" s="511"/>
      <c r="O158" s="511"/>
      <c r="P158" s="511"/>
      <c r="Q158" s="512">
        <f ca="1">(SUM(Q4:Q157)/2)*I158</f>
        <v>0</v>
      </c>
      <c r="R158" s="513"/>
      <c r="S158" s="514">
        <f ca="1">SUM(S4:S157)</f>
        <v>0</v>
      </c>
      <c r="T158" s="515"/>
      <c r="U158" s="516">
        <f t="shared" ref="U158:AA158" ca="1" si="316">SUM(U4:U157)</f>
        <v>0</v>
      </c>
      <c r="V158" s="516">
        <f t="shared" ca="1" si="316"/>
        <v>0</v>
      </c>
      <c r="W158" s="516">
        <f t="shared" ca="1" si="316"/>
        <v>0</v>
      </c>
      <c r="X158" s="516">
        <f t="shared" ca="1" si="316"/>
        <v>0</v>
      </c>
      <c r="Y158" s="516">
        <f t="shared" ca="1" si="316"/>
        <v>0</v>
      </c>
      <c r="Z158" s="516">
        <f t="shared" ca="1" si="316"/>
        <v>0</v>
      </c>
      <c r="AA158" s="516">
        <f t="shared" ca="1" si="316"/>
        <v>0</v>
      </c>
      <c r="AB158" s="516">
        <f ca="1">SUM(AB4:AB157)/2</f>
        <v>0</v>
      </c>
    </row>
    <row r="159" spans="1:29" ht="18.75" x14ac:dyDescent="0.25">
      <c r="A159" s="517"/>
      <c r="B159" s="517"/>
      <c r="C159" s="517"/>
      <c r="D159" s="517"/>
      <c r="E159" s="517"/>
      <c r="F159" s="518"/>
      <c r="G159" s="507" t="s">
        <v>23</v>
      </c>
      <c r="H159" s="508"/>
      <c r="I159" s="509">
        <v>0.15</v>
      </c>
      <c r="J159" s="510"/>
      <c r="K159" s="511"/>
      <c r="L159" s="511"/>
      <c r="M159" s="511"/>
      <c r="N159" s="511"/>
      <c r="O159" s="511"/>
      <c r="P159" s="511"/>
      <c r="Q159" s="512">
        <f ca="1">(SUM(Q4:Q157)/2)*I159</f>
        <v>0</v>
      </c>
      <c r="R159" s="513"/>
    </row>
    <row r="160" spans="1:29" ht="20.25" thickBot="1" x14ac:dyDescent="0.3">
      <c r="A160" s="520"/>
      <c r="B160" s="520"/>
      <c r="C160" s="520"/>
      <c r="D160" s="520"/>
      <c r="E160" s="520"/>
      <c r="F160" s="520"/>
      <c r="G160" s="521" t="s">
        <v>35</v>
      </c>
      <c r="H160" s="522"/>
      <c r="I160" s="522"/>
      <c r="J160" s="522"/>
      <c r="K160" s="522"/>
      <c r="L160" s="522"/>
      <c r="M160" s="522"/>
      <c r="N160" s="522"/>
      <c r="O160" s="522"/>
      <c r="P160" s="522"/>
      <c r="Q160" s="523">
        <f ca="1">SUM(Q4:Q157)/2+Q158+Q159</f>
        <v>0</v>
      </c>
      <c r="R160" s="513"/>
      <c r="U160" s="524">
        <f ca="1">SUM(U158:Y158)+Q158+Q159-Q160</f>
        <v>0</v>
      </c>
      <c r="V160" s="525" t="s">
        <v>42</v>
      </c>
    </row>
    <row r="161" spans="7:21" ht="15.75" x14ac:dyDescent="0.25">
      <c r="G161" s="19"/>
      <c r="I161" s="19"/>
      <c r="J161" s="19"/>
      <c r="K161" s="19"/>
      <c r="L161" s="19"/>
      <c r="M161" s="19"/>
      <c r="N161" s="19"/>
      <c r="O161" s="19"/>
      <c r="P161" s="19"/>
      <c r="Q161" s="19"/>
      <c r="R161" s="513"/>
      <c r="U161" s="527"/>
    </row>
    <row r="162" spans="7:21" x14ac:dyDescent="0.25">
      <c r="G162" s="19"/>
      <c r="I162" s="19"/>
      <c r="J162" s="19"/>
      <c r="K162" s="19"/>
      <c r="L162" s="19"/>
      <c r="M162" s="19"/>
      <c r="N162" s="19"/>
      <c r="O162" s="19"/>
      <c r="P162" s="19"/>
      <c r="Q162" s="19"/>
    </row>
    <row r="163" spans="7:21" x14ac:dyDescent="0.25">
      <c r="G163" s="528" t="s">
        <v>16</v>
      </c>
    </row>
    <row r="164" spans="7:21" x14ac:dyDescent="0.25">
      <c r="G164" s="528" t="s">
        <v>16</v>
      </c>
    </row>
  </sheetData>
  <sheetProtection algorithmName="SHA-512" hashValue="GG76b8YiockMmKlmKui7lY26sqNYb+MlqWb/gejL0DBx/Wd1w9JheP6YghaVJci4FGN6yZGXOZ8wUI89MybbJQ==" saltValue="/oHNJATFSA5WEz13Ku32mw==" spinCount="100000" sheet="1" objects="1" scenarios="1"/>
  <mergeCells count="4">
    <mergeCell ref="G158:H158"/>
    <mergeCell ref="G2:Q2"/>
    <mergeCell ref="U2:AB2"/>
    <mergeCell ref="A2:F2"/>
  </mergeCells>
  <conditionalFormatting sqref="H1">
    <cfRule type="containsText" dxfId="233" priority="508" operator="containsText" text="Project Name">
      <formula>NOT(ISERROR(SEARCH("Project Name",H1)))</formula>
    </cfRule>
  </conditionalFormatting>
  <conditionalFormatting sqref="R4">
    <cfRule type="cellIs" dxfId="232" priority="97" operator="equal">
      <formula>0</formula>
    </cfRule>
    <cfRule type="cellIs" dxfId="231" priority="96" operator="greaterThan">
      <formula>0</formula>
    </cfRule>
    <cfRule type="cellIs" dxfId="230" priority="95" operator="lessThan">
      <formula>0</formula>
    </cfRule>
  </conditionalFormatting>
  <conditionalFormatting sqref="R5:R14">
    <cfRule type="notContainsBlanks" dxfId="229" priority="510">
      <formula>LEN(TRIM(R5))&gt;0</formula>
    </cfRule>
  </conditionalFormatting>
  <conditionalFormatting sqref="R15">
    <cfRule type="cellIs" dxfId="228" priority="354" operator="equal">
      <formula>0</formula>
    </cfRule>
    <cfRule type="cellIs" dxfId="227" priority="353" operator="greaterThan">
      <formula>0</formula>
    </cfRule>
    <cfRule type="cellIs" dxfId="226" priority="352" operator="lessThan">
      <formula>0</formula>
    </cfRule>
  </conditionalFormatting>
  <conditionalFormatting sqref="R16">
    <cfRule type="notContainsBlanks" dxfId="225" priority="223">
      <formula>LEN(TRIM(R16))&gt;0</formula>
    </cfRule>
  </conditionalFormatting>
  <conditionalFormatting sqref="R17">
    <cfRule type="cellIs" dxfId="224" priority="94" operator="equal">
      <formula>0</formula>
    </cfRule>
    <cfRule type="cellIs" dxfId="223" priority="93" operator="greaterThan">
      <formula>0</formula>
    </cfRule>
    <cfRule type="cellIs" dxfId="222" priority="92" operator="lessThan">
      <formula>0</formula>
    </cfRule>
  </conditionalFormatting>
  <conditionalFormatting sqref="R18:R32">
    <cfRule type="notContainsBlanks" dxfId="221" priority="222">
      <formula>LEN(TRIM(R18))&gt;0</formula>
    </cfRule>
  </conditionalFormatting>
  <conditionalFormatting sqref="R33">
    <cfRule type="cellIs" dxfId="220" priority="90" operator="greaterThan">
      <formula>0</formula>
    </cfRule>
    <cfRule type="cellIs" dxfId="219" priority="91" operator="equal">
      <formula>0</formula>
    </cfRule>
    <cfRule type="cellIs" dxfId="218" priority="89" operator="lessThan">
      <formula>0</formula>
    </cfRule>
  </conditionalFormatting>
  <conditionalFormatting sqref="R34">
    <cfRule type="notContainsBlanks" dxfId="217" priority="221">
      <formula>LEN(TRIM(R34))&gt;0</formula>
    </cfRule>
  </conditionalFormatting>
  <conditionalFormatting sqref="R35:R40">
    <cfRule type="cellIs" dxfId="216" priority="73" operator="equal">
      <formula>0</formula>
    </cfRule>
    <cfRule type="cellIs" dxfId="215" priority="72" operator="greaterThan">
      <formula>0</formula>
    </cfRule>
    <cfRule type="cellIs" dxfId="214" priority="71" operator="lessThan">
      <formula>0</formula>
    </cfRule>
  </conditionalFormatting>
  <conditionalFormatting sqref="R41:R51">
    <cfRule type="notContainsBlanks" dxfId="213" priority="215">
      <formula>LEN(TRIM(R41))&gt;0</formula>
    </cfRule>
  </conditionalFormatting>
  <conditionalFormatting sqref="R52">
    <cfRule type="cellIs" dxfId="212" priority="70" operator="equal">
      <formula>0</formula>
    </cfRule>
    <cfRule type="cellIs" dxfId="211" priority="69" operator="greaterThan">
      <formula>0</formula>
    </cfRule>
    <cfRule type="cellIs" dxfId="210" priority="68" operator="lessThan">
      <formula>0</formula>
    </cfRule>
  </conditionalFormatting>
  <conditionalFormatting sqref="R53:R54">
    <cfRule type="notContainsBlanks" dxfId="209" priority="214">
      <formula>LEN(TRIM(R53))&gt;0</formula>
    </cfRule>
  </conditionalFormatting>
  <conditionalFormatting sqref="R55">
    <cfRule type="cellIs" dxfId="208" priority="67" operator="equal">
      <formula>0</formula>
    </cfRule>
    <cfRule type="cellIs" dxfId="207" priority="66" operator="greaterThan">
      <formula>0</formula>
    </cfRule>
    <cfRule type="cellIs" dxfId="206" priority="65" operator="lessThan">
      <formula>0</formula>
    </cfRule>
  </conditionalFormatting>
  <conditionalFormatting sqref="R56:R67">
    <cfRule type="notContainsBlanks" dxfId="205" priority="213">
      <formula>LEN(TRIM(R56))&gt;0</formula>
    </cfRule>
  </conditionalFormatting>
  <conditionalFormatting sqref="R68">
    <cfRule type="cellIs" dxfId="204" priority="63" operator="greaterThan">
      <formula>0</formula>
    </cfRule>
    <cfRule type="cellIs" dxfId="203" priority="64" operator="equal">
      <formula>0</formula>
    </cfRule>
    <cfRule type="cellIs" dxfId="202" priority="62" operator="lessThan">
      <formula>0</formula>
    </cfRule>
  </conditionalFormatting>
  <conditionalFormatting sqref="R69:R85">
    <cfRule type="notContainsBlanks" dxfId="201" priority="212">
      <formula>LEN(TRIM(R69))&gt;0</formula>
    </cfRule>
  </conditionalFormatting>
  <conditionalFormatting sqref="R86">
    <cfRule type="cellIs" dxfId="200" priority="61" operator="equal">
      <formula>0</formula>
    </cfRule>
    <cfRule type="cellIs" dxfId="199" priority="60" operator="greaterThan">
      <formula>0</formula>
    </cfRule>
    <cfRule type="cellIs" dxfId="198" priority="59" operator="lessThan">
      <formula>0</formula>
    </cfRule>
  </conditionalFormatting>
  <conditionalFormatting sqref="R87">
    <cfRule type="notContainsBlanks" dxfId="197" priority="211">
      <formula>LEN(TRIM(R87))&gt;0</formula>
    </cfRule>
  </conditionalFormatting>
  <conditionalFormatting sqref="R88">
    <cfRule type="cellIs" dxfId="196" priority="58" operator="equal">
      <formula>0</formula>
    </cfRule>
    <cfRule type="cellIs" dxfId="195" priority="57" operator="greaterThan">
      <formula>0</formula>
    </cfRule>
    <cfRule type="cellIs" dxfId="194" priority="56" operator="lessThan">
      <formula>0</formula>
    </cfRule>
  </conditionalFormatting>
  <conditionalFormatting sqref="R89:R90">
    <cfRule type="notContainsBlanks" dxfId="193" priority="210">
      <formula>LEN(TRIM(R89))&gt;0</formula>
    </cfRule>
  </conditionalFormatting>
  <conditionalFormatting sqref="R91">
    <cfRule type="cellIs" dxfId="192" priority="55" operator="equal">
      <formula>0</formula>
    </cfRule>
    <cfRule type="cellIs" dxfId="191" priority="54" operator="greaterThan">
      <formula>0</formula>
    </cfRule>
    <cfRule type="cellIs" dxfId="190" priority="53" operator="lessThan">
      <formula>0</formula>
    </cfRule>
  </conditionalFormatting>
  <conditionalFormatting sqref="R92:R93">
    <cfRule type="notContainsBlanks" dxfId="189" priority="209">
      <formula>LEN(TRIM(R92))&gt;0</formula>
    </cfRule>
  </conditionalFormatting>
  <conditionalFormatting sqref="R94">
    <cfRule type="cellIs" dxfId="188" priority="52" operator="equal">
      <formula>0</formula>
    </cfRule>
    <cfRule type="cellIs" dxfId="187" priority="51" operator="greaterThan">
      <formula>0</formula>
    </cfRule>
    <cfRule type="cellIs" dxfId="186" priority="50" operator="lessThan">
      <formula>0</formula>
    </cfRule>
  </conditionalFormatting>
  <conditionalFormatting sqref="R95">
    <cfRule type="notContainsBlanks" dxfId="185" priority="208">
      <formula>LEN(TRIM(R95))&gt;0</formula>
    </cfRule>
  </conditionalFormatting>
  <conditionalFormatting sqref="R96">
    <cfRule type="cellIs" dxfId="184" priority="49" operator="equal">
      <formula>0</formula>
    </cfRule>
    <cfRule type="cellIs" dxfId="183" priority="48" operator="greaterThan">
      <formula>0</formula>
    </cfRule>
    <cfRule type="cellIs" dxfId="182" priority="47" operator="lessThan">
      <formula>0</formula>
    </cfRule>
  </conditionalFormatting>
  <conditionalFormatting sqref="R97:R98">
    <cfRule type="notContainsBlanks" dxfId="181" priority="207">
      <formula>LEN(TRIM(R97))&gt;0</formula>
    </cfRule>
  </conditionalFormatting>
  <conditionalFormatting sqref="R99">
    <cfRule type="cellIs" dxfId="180" priority="44" operator="lessThan">
      <formula>0</formula>
    </cfRule>
    <cfRule type="cellIs" dxfId="179" priority="45" operator="greaterThan">
      <formula>0</formula>
    </cfRule>
    <cfRule type="cellIs" dxfId="178" priority="46" operator="equal">
      <formula>0</formula>
    </cfRule>
  </conditionalFormatting>
  <conditionalFormatting sqref="R100">
    <cfRule type="notContainsBlanks" dxfId="177" priority="206">
      <formula>LEN(TRIM(R100))&gt;0</formula>
    </cfRule>
  </conditionalFormatting>
  <conditionalFormatting sqref="R101">
    <cfRule type="cellIs" dxfId="176" priority="41" operator="lessThan">
      <formula>0</formula>
    </cfRule>
    <cfRule type="cellIs" dxfId="175" priority="42" operator="greaterThan">
      <formula>0</formula>
    </cfRule>
    <cfRule type="cellIs" dxfId="174" priority="43" operator="equal">
      <formula>0</formula>
    </cfRule>
  </conditionalFormatting>
  <conditionalFormatting sqref="R102">
    <cfRule type="notContainsBlanks" dxfId="173" priority="205">
      <formula>LEN(TRIM(R102))&gt;0</formula>
    </cfRule>
  </conditionalFormatting>
  <conditionalFormatting sqref="R103">
    <cfRule type="cellIs" dxfId="172" priority="38" operator="lessThan">
      <formula>0</formula>
    </cfRule>
    <cfRule type="cellIs" dxfId="171" priority="39" operator="greaterThan">
      <formula>0</formula>
    </cfRule>
    <cfRule type="cellIs" dxfId="170" priority="40" operator="equal">
      <formula>0</formula>
    </cfRule>
  </conditionalFormatting>
  <conditionalFormatting sqref="R104">
    <cfRule type="notContainsBlanks" dxfId="169" priority="204">
      <formula>LEN(TRIM(R104))&gt;0</formula>
    </cfRule>
  </conditionalFormatting>
  <conditionalFormatting sqref="R105">
    <cfRule type="cellIs" dxfId="168" priority="36" operator="greaterThan">
      <formula>0</formula>
    </cfRule>
    <cfRule type="cellIs" dxfId="167" priority="35" operator="lessThan">
      <formula>0</formula>
    </cfRule>
    <cfRule type="cellIs" dxfId="166" priority="37" operator="equal">
      <formula>0</formula>
    </cfRule>
  </conditionalFormatting>
  <conditionalFormatting sqref="R106:R118">
    <cfRule type="notContainsBlanks" dxfId="165" priority="203">
      <formula>LEN(TRIM(R106))&gt;0</formula>
    </cfRule>
  </conditionalFormatting>
  <conditionalFormatting sqref="R119">
    <cfRule type="cellIs" dxfId="164" priority="2" operator="greaterThan">
      <formula>0</formula>
    </cfRule>
    <cfRule type="cellIs" dxfId="163" priority="3" operator="equal">
      <formula>0</formula>
    </cfRule>
    <cfRule type="cellIs" dxfId="162" priority="1" operator="lessThan">
      <formula>0</formula>
    </cfRule>
  </conditionalFormatting>
  <conditionalFormatting sqref="R120">
    <cfRule type="notContainsBlanks" dxfId="161" priority="4">
      <formula>LEN(TRIM(R120))&gt;0</formula>
    </cfRule>
  </conditionalFormatting>
  <conditionalFormatting sqref="R121">
    <cfRule type="cellIs" dxfId="160" priority="34" operator="equal">
      <formula>0</formula>
    </cfRule>
    <cfRule type="cellIs" dxfId="159" priority="32" operator="lessThan">
      <formula>0</formula>
    </cfRule>
    <cfRule type="cellIs" dxfId="158" priority="33" operator="greaterThan">
      <formula>0</formula>
    </cfRule>
  </conditionalFormatting>
  <conditionalFormatting sqref="R122:R129">
    <cfRule type="notContainsBlanks" dxfId="157" priority="202">
      <formula>LEN(TRIM(R122))&gt;0</formula>
    </cfRule>
  </conditionalFormatting>
  <conditionalFormatting sqref="R130">
    <cfRule type="cellIs" dxfId="156" priority="31" operator="equal">
      <formula>0</formula>
    </cfRule>
    <cfRule type="cellIs" dxfId="155" priority="30" operator="greaterThan">
      <formula>0</formula>
    </cfRule>
    <cfRule type="cellIs" dxfId="154" priority="29" operator="lessThan">
      <formula>0</formula>
    </cfRule>
  </conditionalFormatting>
  <conditionalFormatting sqref="R131:R132">
    <cfRule type="notContainsBlanks" dxfId="153" priority="201">
      <formula>LEN(TRIM(R131))&gt;0</formula>
    </cfRule>
  </conditionalFormatting>
  <conditionalFormatting sqref="R133">
    <cfRule type="cellIs" dxfId="152" priority="26" operator="lessThan">
      <formula>0</formula>
    </cfRule>
    <cfRule type="cellIs" dxfId="151" priority="28" operator="equal">
      <formula>0</formula>
    </cfRule>
    <cfRule type="cellIs" dxfId="150" priority="27" operator="greaterThan">
      <formula>0</formula>
    </cfRule>
  </conditionalFormatting>
  <conditionalFormatting sqref="R134:R138">
    <cfRule type="notContainsBlanks" dxfId="149" priority="200">
      <formula>LEN(TRIM(R134))&gt;0</formula>
    </cfRule>
  </conditionalFormatting>
  <conditionalFormatting sqref="R139">
    <cfRule type="cellIs" dxfId="148" priority="25" operator="equal">
      <formula>0</formula>
    </cfRule>
    <cfRule type="cellIs" dxfId="147" priority="24" operator="greaterThan">
      <formula>0</formula>
    </cfRule>
    <cfRule type="cellIs" dxfId="146" priority="23" operator="lessThan">
      <formula>0</formula>
    </cfRule>
  </conditionalFormatting>
  <conditionalFormatting sqref="R140:R141">
    <cfRule type="notContainsBlanks" dxfId="145" priority="199">
      <formula>LEN(TRIM(R140))&gt;0</formula>
    </cfRule>
  </conditionalFormatting>
  <conditionalFormatting sqref="R142">
    <cfRule type="cellIs" dxfId="144" priority="22" operator="equal">
      <formula>0</formula>
    </cfRule>
    <cfRule type="cellIs" dxfId="143" priority="21" operator="greaterThan">
      <formula>0</formula>
    </cfRule>
    <cfRule type="cellIs" dxfId="142" priority="20" operator="lessThan">
      <formula>0</formula>
    </cfRule>
  </conditionalFormatting>
  <conditionalFormatting sqref="R143">
    <cfRule type="notContainsBlanks" dxfId="141" priority="198">
      <formula>LEN(TRIM(R143))&gt;0</formula>
    </cfRule>
  </conditionalFormatting>
  <conditionalFormatting sqref="R144">
    <cfRule type="cellIs" dxfId="140" priority="19" operator="equal">
      <formula>0</formula>
    </cfRule>
    <cfRule type="cellIs" dxfId="139" priority="18" operator="greaterThan">
      <formula>0</formula>
    </cfRule>
    <cfRule type="cellIs" dxfId="138" priority="17" operator="lessThan">
      <formula>0</formula>
    </cfRule>
  </conditionalFormatting>
  <conditionalFormatting sqref="R145:R148">
    <cfRule type="notContainsBlanks" dxfId="137" priority="197">
      <formula>LEN(TRIM(R145))&gt;0</formula>
    </cfRule>
  </conditionalFormatting>
  <conditionalFormatting sqref="R149:R152">
    <cfRule type="cellIs" dxfId="136" priority="5" operator="lessThan">
      <formula>0</formula>
    </cfRule>
    <cfRule type="cellIs" dxfId="135" priority="7" operator="equal">
      <formula>0</formula>
    </cfRule>
    <cfRule type="cellIs" dxfId="134" priority="6" operator="greaterThan">
      <formula>0</formula>
    </cfRule>
  </conditionalFormatting>
  <conditionalFormatting sqref="R153:R157">
    <cfRule type="notContainsBlanks" dxfId="133" priority="192">
      <formula>LEN(TRIM(R153))&gt;0</formula>
    </cfRule>
  </conditionalFormatting>
  <conditionalFormatting sqref="U160">
    <cfRule type="cellIs" dxfId="132" priority="427" operator="lessThan">
      <formula>0</formula>
    </cfRule>
    <cfRule type="cellIs" dxfId="131" priority="428" operator="greaterThan">
      <formula>0</formula>
    </cfRule>
    <cfRule type="cellIs" dxfId="130" priority="429" operator="equal">
      <formula>0</formula>
    </cfRule>
  </conditionalFormatting>
  <pageMargins left="0.70866141732283472" right="0.70866141732283472" top="0.74803149606299213" bottom="0.74803149606299213" header="0.31496062992125984" footer="0.31496062992125984"/>
  <pageSetup scale="35"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G94"/>
  <sheetViews>
    <sheetView workbookViewId="0"/>
  </sheetViews>
  <sheetFormatPr defaultColWidth="8.85546875" defaultRowHeight="15" x14ac:dyDescent="0.25"/>
  <cols>
    <col min="1" max="1" width="7.5703125" style="25" customWidth="1"/>
    <col min="2" max="2" width="32.85546875" style="25" customWidth="1"/>
    <col min="3" max="3" width="45.5703125" style="25" bestFit="1" customWidth="1"/>
    <col min="4" max="4" width="15.85546875" style="179" customWidth="1"/>
    <col min="5" max="5" width="15.5703125" style="177" customWidth="1"/>
    <col min="6" max="6" width="12.5703125" style="177" bestFit="1" customWidth="1"/>
    <col min="7" max="7" width="17.5703125" style="177" bestFit="1" customWidth="1"/>
    <col min="8" max="16384" width="8.85546875" style="177"/>
  </cols>
  <sheetData>
    <row r="2" spans="1:5" ht="15.75" x14ac:dyDescent="0.25">
      <c r="A2" s="171"/>
      <c r="B2" s="171" t="s">
        <v>371</v>
      </c>
      <c r="C2" s="172" t="s">
        <v>372</v>
      </c>
      <c r="D2" s="176" t="s">
        <v>373</v>
      </c>
      <c r="E2" s="306" t="s">
        <v>914</v>
      </c>
    </row>
    <row r="3" spans="1:5" x14ac:dyDescent="0.25">
      <c r="A3" s="173" t="str">
        <f t="shared" ref="A3:A91" si="0">(LEFT(C3,4))</f>
        <v>0100</v>
      </c>
      <c r="B3" s="224" t="s">
        <v>374</v>
      </c>
      <c r="C3" s="216" t="s">
        <v>375</v>
      </c>
      <c r="D3" s="178">
        <f>SUMIF(BREAKDOWN!F$4:F$165,A3,BREAKDOWN!Q$4:Q$165)+SUMIF(BREAKDOWN!A$4:A$165,A3,BREAKDOWN!U$4:U$165)+SUMIF(BREAKDOWN!B$4:B$165,A3,BREAKDOWN!V$4:V$165)+SUMIF(BREAKDOWN!C$4:C$165,A3,BREAKDOWN!W$4:W$165)+SUMIF(BREAKDOWN!D$4:D$165,A3,BREAKDOWN!X$4:X$165)+SUMIF(BREAKDOWN!E$4:E$165,A3,BREAKDOWN!Y$4:Y$165)</f>
        <v>0</v>
      </c>
      <c r="E3" s="178">
        <f>(SUMIF(BREAKDOWN!F$4:F$165,A3,BREAKDOWN!Q$4:Q$165)+SUMIF(BREAKDOWN!A$4:A$165,A3,BREAKDOWN!U$4:U$165)+SUMIF(BREAKDOWN!B$4:B$165,A3,BREAKDOWN!V$4:V$165)+SUMIF(BREAKDOWN!C$4:C$165,A3,BREAKDOWN!W$4:W$165)+SUMIF(BREAKDOWN!D$4:D$165,A3,BREAKDOWN!X$4:X$165)+SUMIF(BREAKDOWN!E$4:E$165,A3,BREAKDOWN!Y$4:Y$165))*(1+SUM(BREAKDOWN!I158:I159))</f>
        <v>0</v>
      </c>
    </row>
    <row r="4" spans="1:5" x14ac:dyDescent="0.25">
      <c r="A4" s="173" t="str">
        <f t="shared" si="0"/>
        <v>0110</v>
      </c>
      <c r="B4" s="224" t="s">
        <v>374</v>
      </c>
      <c r="C4" s="216" t="s">
        <v>376</v>
      </c>
      <c r="D4" s="178">
        <f>SUMIF(BREAKDOWN!F$4:F$165,A4,BREAKDOWN!Q$4:Q$165)+SUMIF(BREAKDOWN!A$4:A$165,A4,BREAKDOWN!U$4:U$165)+SUMIF(BREAKDOWN!B$4:B$165,A4,BREAKDOWN!V$4:V$165)+SUMIF(BREAKDOWN!C$4:C$165,A4,BREAKDOWN!W$4:W$165)+SUMIF(BREAKDOWN!D$4:D$165,A4,BREAKDOWN!X$4:X$165)+SUMIF(BREAKDOWN!E$4:E$165,A4,BREAKDOWN!Y$4:Y$165)</f>
        <v>0</v>
      </c>
      <c r="E4" s="178">
        <f>(SUMIF(BREAKDOWN!F$4:F$165,A4,BREAKDOWN!Q$4:Q$165)+SUMIF(BREAKDOWN!A$4:A$165,A4,BREAKDOWN!U$4:U$165)+SUMIF(BREAKDOWN!B$4:B$165,A4,BREAKDOWN!V$4:V$165)+SUMIF(BREAKDOWN!C$4:C$165,A4,BREAKDOWN!W$4:W$165)+SUMIF(BREAKDOWN!D$4:D$165,A4,BREAKDOWN!X$4:X$165)+SUMIF(BREAKDOWN!E$4:E$165,A4,BREAKDOWN!Y$4:Y$165))*(1+SUM(BREAKDOWN!I159:I160))</f>
        <v>0</v>
      </c>
    </row>
    <row r="5" spans="1:5" x14ac:dyDescent="0.25">
      <c r="A5" s="173" t="str">
        <f t="shared" si="0"/>
        <v>0111</v>
      </c>
      <c r="B5" s="224" t="s">
        <v>374</v>
      </c>
      <c r="C5" s="216" t="s">
        <v>377</v>
      </c>
      <c r="D5" s="178">
        <f>SUMIF(BREAKDOWN!F$4:F$165,A5,BREAKDOWN!Q$4:Q$165)+SUMIF(BREAKDOWN!A$4:A$165,A5,BREAKDOWN!U$4:U$165)+SUMIF(BREAKDOWN!B$4:B$165,A5,BREAKDOWN!V$4:V$165)+SUMIF(BREAKDOWN!C$4:C$165,A5,BREAKDOWN!W$4:W$165)+SUMIF(BREAKDOWN!D$4:D$165,A5,BREAKDOWN!X$4:X$165)+SUMIF(BREAKDOWN!E$4:E$165,A5,BREAKDOWN!Y$4:Y$165)</f>
        <v>0</v>
      </c>
      <c r="E5" s="178">
        <f>(SUMIF(BREAKDOWN!F$4:F$165,A5,BREAKDOWN!Q$4:Q$165)+SUMIF(BREAKDOWN!A$4:A$165,A5,BREAKDOWN!U$4:U$165)+SUMIF(BREAKDOWN!B$4:B$165,A5,BREAKDOWN!V$4:V$165)+SUMIF(BREAKDOWN!C$4:C$165,A5,BREAKDOWN!W$4:W$165)+SUMIF(BREAKDOWN!D$4:D$165,A5,BREAKDOWN!X$4:X$165)+SUMIF(BREAKDOWN!E$4:E$165,A5,BREAKDOWN!Y$4:Y$165))*(1+SUM(BREAKDOWN!I160:I161))</f>
        <v>0</v>
      </c>
    </row>
    <row r="6" spans="1:5" x14ac:dyDescent="0.25">
      <c r="A6" s="173" t="str">
        <f t="shared" si="0"/>
        <v>0112</v>
      </c>
      <c r="B6" s="224" t="s">
        <v>374</v>
      </c>
      <c r="C6" s="216" t="s">
        <v>378</v>
      </c>
      <c r="D6" s="178">
        <f>SUMIF(BREAKDOWN!F$4:F$165,A6,BREAKDOWN!Q$4:Q$165)+SUMIF(BREAKDOWN!A$4:A$165,A6,BREAKDOWN!U$4:U$165)+SUMIF(BREAKDOWN!B$4:B$165,A6,BREAKDOWN!V$4:V$165)+SUMIF(BREAKDOWN!C$4:C$165,A6,BREAKDOWN!W$4:W$165)+SUMIF(BREAKDOWN!D$4:D$165,A6,BREAKDOWN!X$4:X$165)+SUMIF(BREAKDOWN!E$4:E$165,A6,BREAKDOWN!Y$4:Y$165)</f>
        <v>0</v>
      </c>
      <c r="E6" s="178">
        <f>(SUMIF(BREAKDOWN!F$4:F$165,A6,BREAKDOWN!Q$4:Q$165)+SUMIF(BREAKDOWN!A$4:A$165,A6,BREAKDOWN!U$4:U$165)+SUMIF(BREAKDOWN!B$4:B$165,A6,BREAKDOWN!V$4:V$165)+SUMIF(BREAKDOWN!C$4:C$165,A6,BREAKDOWN!W$4:W$165)+SUMIF(BREAKDOWN!D$4:D$165,A6,BREAKDOWN!X$4:X$165)+SUMIF(BREAKDOWN!E$4:E$165,A6,BREAKDOWN!Y$4:Y$165))*(1+SUM(BREAKDOWN!I161:I162))</f>
        <v>0</v>
      </c>
    </row>
    <row r="7" spans="1:5" x14ac:dyDescent="0.25">
      <c r="A7" s="173" t="str">
        <f t="shared" si="0"/>
        <v>0113</v>
      </c>
      <c r="B7" s="224" t="s">
        <v>374</v>
      </c>
      <c r="C7" s="216" t="s">
        <v>379</v>
      </c>
      <c r="D7" s="178">
        <f>SUMIF(BREAKDOWN!F$4:F$165,A7,BREAKDOWN!Q$4:Q$165)+SUMIF(BREAKDOWN!A$4:A$165,A7,BREAKDOWN!U$4:U$165)+SUMIF(BREAKDOWN!B$4:B$165,A7,BREAKDOWN!V$4:V$165)+SUMIF(BREAKDOWN!C$4:C$165,A7,BREAKDOWN!W$4:W$165)+SUMIF(BREAKDOWN!D$4:D$165,A7,BREAKDOWN!X$4:X$165)+SUMIF(BREAKDOWN!E$4:E$165,A7,BREAKDOWN!Y$4:Y$165)</f>
        <v>0</v>
      </c>
      <c r="E7" s="178">
        <f>(SUMIF(BREAKDOWN!F$4:F$165,A7,BREAKDOWN!Q$4:Q$165)+SUMIF(BREAKDOWN!A$4:A$165,A7,BREAKDOWN!U$4:U$165)+SUMIF(BREAKDOWN!B$4:B$165,A7,BREAKDOWN!V$4:V$165)+SUMIF(BREAKDOWN!C$4:C$165,A7,BREAKDOWN!W$4:W$165)+SUMIF(BREAKDOWN!D$4:D$165,A7,BREAKDOWN!X$4:X$165)+SUMIF(BREAKDOWN!E$4:E$165,A7,BREAKDOWN!Y$4:Y$165))*(1+SUM(BREAKDOWN!I162:I163))</f>
        <v>0</v>
      </c>
    </row>
    <row r="8" spans="1:5" x14ac:dyDescent="0.25">
      <c r="A8" s="173" t="str">
        <f t="shared" si="0"/>
        <v>0115</v>
      </c>
      <c r="B8" s="224" t="s">
        <v>374</v>
      </c>
      <c r="C8" s="216" t="s">
        <v>380</v>
      </c>
      <c r="D8" s="178">
        <f>SUMIF(BREAKDOWN!F$4:F$165,A8,BREAKDOWN!Q$4:Q$165)+SUMIF(BREAKDOWN!A$4:A$165,A8,BREAKDOWN!U$4:U$165)+SUMIF(BREAKDOWN!B$4:B$165,A8,BREAKDOWN!V$4:V$165)+SUMIF(BREAKDOWN!C$4:C$165,A8,BREAKDOWN!W$4:W$165)+SUMIF(BREAKDOWN!D$4:D$165,A8,BREAKDOWN!X$4:X$165)+SUMIF(BREAKDOWN!E$4:E$165,A8,BREAKDOWN!Y$4:Y$165)</f>
        <v>0</v>
      </c>
      <c r="E8" s="178">
        <f>(SUMIF(BREAKDOWN!F$4:F$165,A8,BREAKDOWN!Q$4:Q$165)+SUMIF(BREAKDOWN!A$4:A$165,A8,BREAKDOWN!U$4:U$165)+SUMIF(BREAKDOWN!B$4:B$165,A8,BREAKDOWN!V$4:V$165)+SUMIF(BREAKDOWN!C$4:C$165,A8,BREAKDOWN!W$4:W$165)+SUMIF(BREAKDOWN!D$4:D$165,A8,BREAKDOWN!X$4:X$165)+SUMIF(BREAKDOWN!E$4:E$165,A8,BREAKDOWN!Y$4:Y$165))*(1+SUM(BREAKDOWN!I163:I164))</f>
        <v>0</v>
      </c>
    </row>
    <row r="9" spans="1:5" x14ac:dyDescent="0.25">
      <c r="A9" s="173" t="str">
        <f t="shared" si="0"/>
        <v>0116</v>
      </c>
      <c r="B9" s="224" t="s">
        <v>374</v>
      </c>
      <c r="C9" s="216" t="s">
        <v>381</v>
      </c>
      <c r="D9" s="178">
        <f>SUMIF(BREAKDOWN!F$4:F$165,A9,BREAKDOWN!Q$4:Q$165)+SUMIF(BREAKDOWN!A$4:A$165,A9,BREAKDOWN!U$4:U$165)+SUMIF(BREAKDOWN!B$4:B$165,A9,BREAKDOWN!V$4:V$165)+SUMIF(BREAKDOWN!C$4:C$165,A9,BREAKDOWN!W$4:W$165)+SUMIF(BREAKDOWN!D$4:D$165,A9,BREAKDOWN!X$4:X$165)+SUMIF(BREAKDOWN!E$4:E$165,A9,BREAKDOWN!Y$4:Y$165)</f>
        <v>0</v>
      </c>
      <c r="E9" s="178">
        <f>(SUMIF(BREAKDOWN!F$4:F$165,A9,BREAKDOWN!Q$4:Q$165)+SUMIF(BREAKDOWN!A$4:A$165,A9,BREAKDOWN!U$4:U$165)+SUMIF(BREAKDOWN!B$4:B$165,A9,BREAKDOWN!V$4:V$165)+SUMIF(BREAKDOWN!C$4:C$165,A9,BREAKDOWN!W$4:W$165)+SUMIF(BREAKDOWN!D$4:D$165,A9,BREAKDOWN!X$4:X$165)+SUMIF(BREAKDOWN!E$4:E$165,A9,BREAKDOWN!Y$4:Y$165))*(1+SUM(BREAKDOWN!I164:I165))</f>
        <v>0</v>
      </c>
    </row>
    <row r="10" spans="1:5" x14ac:dyDescent="0.25">
      <c r="A10" s="173" t="str">
        <f t="shared" si="0"/>
        <v>0120</v>
      </c>
      <c r="B10" s="224" t="s">
        <v>374</v>
      </c>
      <c r="C10" s="216" t="s">
        <v>382</v>
      </c>
      <c r="D10" s="178">
        <f>SUMIF(BREAKDOWN!F$4:F$165,A10,BREAKDOWN!Q$4:Q$165)+SUMIF(BREAKDOWN!A$4:A$165,A10,BREAKDOWN!U$4:U$165)+SUMIF(BREAKDOWN!B$4:B$165,A10,BREAKDOWN!V$4:V$165)+SUMIF(BREAKDOWN!C$4:C$165,A10,BREAKDOWN!W$4:W$165)+SUMIF(BREAKDOWN!D$4:D$165,A10,BREAKDOWN!X$4:X$165)+SUMIF(BREAKDOWN!E$4:E$165,A10,BREAKDOWN!Y$4:Y$165)</f>
        <v>0</v>
      </c>
      <c r="E10" s="178">
        <f>(SUMIF(BREAKDOWN!F$4:F$165,A10,BREAKDOWN!Q$4:Q$165)+SUMIF(BREAKDOWN!A$4:A$165,A10,BREAKDOWN!U$4:U$165)+SUMIF(BREAKDOWN!B$4:B$165,A10,BREAKDOWN!V$4:V$165)+SUMIF(BREAKDOWN!C$4:C$165,A10,BREAKDOWN!W$4:W$165)+SUMIF(BREAKDOWN!D$4:D$165,A10,BREAKDOWN!X$4:X$165)+SUMIF(BREAKDOWN!E$4:E$165,A10,BREAKDOWN!Y$4:Y$165))*(1+SUM(BREAKDOWN!I165:I166))</f>
        <v>0</v>
      </c>
    </row>
    <row r="11" spans="1:5" x14ac:dyDescent="0.25">
      <c r="A11" s="173" t="str">
        <f t="shared" si="0"/>
        <v>0121</v>
      </c>
      <c r="B11" s="224" t="s">
        <v>374</v>
      </c>
      <c r="C11" s="216" t="s">
        <v>383</v>
      </c>
      <c r="D11" s="178">
        <f>SUMIF(BREAKDOWN!F$4:F$165,A11,BREAKDOWN!Q$4:Q$165)+SUMIF(BREAKDOWN!A$4:A$165,A11,BREAKDOWN!U$4:U$165)+SUMIF(BREAKDOWN!B$4:B$165,A11,BREAKDOWN!V$4:V$165)+SUMIF(BREAKDOWN!C$4:C$165,A11,BREAKDOWN!W$4:W$165)+SUMIF(BREAKDOWN!D$4:D$165,A11,BREAKDOWN!X$4:X$165)+SUMIF(BREAKDOWN!E$4:E$165,A11,BREAKDOWN!Y$4:Y$165)</f>
        <v>0</v>
      </c>
      <c r="E11" s="178">
        <f>(SUMIF(BREAKDOWN!F$4:F$165,A11,BREAKDOWN!Q$4:Q$165)+SUMIF(BREAKDOWN!A$4:A$165,A11,BREAKDOWN!U$4:U$165)+SUMIF(BREAKDOWN!B$4:B$165,A11,BREAKDOWN!V$4:V$165)+SUMIF(BREAKDOWN!C$4:C$165,A11,BREAKDOWN!W$4:W$165)+SUMIF(BREAKDOWN!D$4:D$165,A11,BREAKDOWN!X$4:X$165)+SUMIF(BREAKDOWN!E$4:E$165,A11,BREAKDOWN!Y$4:Y$165))*(1+SUM(BREAKDOWN!I166:I167))</f>
        <v>0</v>
      </c>
    </row>
    <row r="12" spans="1:5" x14ac:dyDescent="0.25">
      <c r="A12" s="173" t="str">
        <f t="shared" si="0"/>
        <v>0122</v>
      </c>
      <c r="B12" s="224" t="s">
        <v>374</v>
      </c>
      <c r="C12" s="216" t="s">
        <v>384</v>
      </c>
      <c r="D12" s="178">
        <f>SUMIF(BREAKDOWN!F$4:F$165,A12,BREAKDOWN!Q$4:Q$165)+SUMIF(BREAKDOWN!A$4:A$165,A12,BREAKDOWN!U$4:U$165)+SUMIF(BREAKDOWN!B$4:B$165,A12,BREAKDOWN!V$4:V$165)+SUMIF(BREAKDOWN!C$4:C$165,A12,BREAKDOWN!W$4:W$165)+SUMIF(BREAKDOWN!D$4:D$165,A12,BREAKDOWN!X$4:X$165)+SUMIF(BREAKDOWN!E$4:E$165,A12,BREAKDOWN!Y$4:Y$165)</f>
        <v>0</v>
      </c>
      <c r="E12" s="178">
        <f>(SUMIF(BREAKDOWN!F$4:F$165,A12,BREAKDOWN!Q$4:Q$165)+SUMIF(BREAKDOWN!A$4:A$165,A12,BREAKDOWN!U$4:U$165)+SUMIF(BREAKDOWN!B$4:B$165,A12,BREAKDOWN!V$4:V$165)+SUMIF(BREAKDOWN!C$4:C$165,A12,BREAKDOWN!W$4:W$165)+SUMIF(BREAKDOWN!D$4:D$165,A12,BREAKDOWN!X$4:X$165)+SUMIF(BREAKDOWN!E$4:E$165,A12,BREAKDOWN!Y$4:Y$165))*(1+SUM(BREAKDOWN!I167:I168))</f>
        <v>0</v>
      </c>
    </row>
    <row r="13" spans="1:5" x14ac:dyDescent="0.25">
      <c r="A13" s="173" t="str">
        <f t="shared" si="0"/>
        <v>0123</v>
      </c>
      <c r="B13" s="224" t="s">
        <v>374</v>
      </c>
      <c r="C13" s="216" t="s">
        <v>385</v>
      </c>
      <c r="D13" s="178">
        <f>SUMIF(BREAKDOWN!F$4:F$165,A13,BREAKDOWN!Q$4:Q$165)+SUMIF(BREAKDOWN!A$4:A$165,A13,BREAKDOWN!U$4:U$165)+SUMIF(BREAKDOWN!B$4:B$165,A13,BREAKDOWN!V$4:V$165)+SUMIF(BREAKDOWN!C$4:C$165,A13,BREAKDOWN!W$4:W$165)+SUMIF(BREAKDOWN!D$4:D$165,A13,BREAKDOWN!X$4:X$165)+SUMIF(BREAKDOWN!E$4:E$165,A13,BREAKDOWN!Y$4:Y$165)</f>
        <v>0</v>
      </c>
      <c r="E13" s="178">
        <f>(SUMIF(BREAKDOWN!F$4:F$165,A13,BREAKDOWN!Q$4:Q$165)+SUMIF(BREAKDOWN!A$4:A$165,A13,BREAKDOWN!U$4:U$165)+SUMIF(BREAKDOWN!B$4:B$165,A13,BREAKDOWN!V$4:V$165)+SUMIF(BREAKDOWN!C$4:C$165,A13,BREAKDOWN!W$4:W$165)+SUMIF(BREAKDOWN!D$4:D$165,A13,BREAKDOWN!X$4:X$165)+SUMIF(BREAKDOWN!E$4:E$165,A13,BREAKDOWN!Y$4:Y$165))*(1+SUM(BREAKDOWN!I168:I169))</f>
        <v>0</v>
      </c>
    </row>
    <row r="14" spans="1:5" x14ac:dyDescent="0.25">
      <c r="A14" s="173" t="str">
        <f t="shared" si="0"/>
        <v>0124</v>
      </c>
      <c r="B14" s="224" t="s">
        <v>374</v>
      </c>
      <c r="C14" s="216" t="s">
        <v>386</v>
      </c>
      <c r="D14" s="178">
        <f>SUMIF(BREAKDOWN!F$4:F$165,A14,BREAKDOWN!Q$4:Q$165)+SUMIF(BREAKDOWN!A$4:A$165,A14,BREAKDOWN!U$4:U$165)+SUMIF(BREAKDOWN!B$4:B$165,A14,BREAKDOWN!V$4:V$165)+SUMIF(BREAKDOWN!C$4:C$165,A14,BREAKDOWN!W$4:W$165)+SUMIF(BREAKDOWN!D$4:D$165,A14,BREAKDOWN!X$4:X$165)+SUMIF(BREAKDOWN!E$4:E$165,A14,BREAKDOWN!Y$4:Y$165)</f>
        <v>0</v>
      </c>
      <c r="E14" s="178">
        <f>(SUMIF(BREAKDOWN!F$4:F$165,A14,BREAKDOWN!Q$4:Q$165)+SUMIF(BREAKDOWN!A$4:A$165,A14,BREAKDOWN!U$4:U$165)+SUMIF(BREAKDOWN!B$4:B$165,A14,BREAKDOWN!V$4:V$165)+SUMIF(BREAKDOWN!C$4:C$165,A14,BREAKDOWN!W$4:W$165)+SUMIF(BREAKDOWN!D$4:D$165,A14,BREAKDOWN!X$4:X$165)+SUMIF(BREAKDOWN!E$4:E$165,A14,BREAKDOWN!Y$4:Y$165))*(1+SUM(BREAKDOWN!I169:I170))</f>
        <v>0</v>
      </c>
    </row>
    <row r="15" spans="1:5" x14ac:dyDescent="0.25">
      <c r="A15" s="173" t="str">
        <f t="shared" si="0"/>
        <v>0125</v>
      </c>
      <c r="B15" s="224" t="s">
        <v>374</v>
      </c>
      <c r="C15" s="216" t="s">
        <v>387</v>
      </c>
      <c r="D15" s="178">
        <f>SUMIF(BREAKDOWN!F$4:F$165,A15,BREAKDOWN!Q$4:Q$165)+SUMIF(BREAKDOWN!A$4:A$165,A15,BREAKDOWN!U$4:U$165)+SUMIF(BREAKDOWN!B$4:B$165,A15,BREAKDOWN!V$4:V$165)+SUMIF(BREAKDOWN!C$4:C$165,A15,BREAKDOWN!W$4:W$165)+SUMIF(BREAKDOWN!D$4:D$165,A15,BREAKDOWN!X$4:X$165)+SUMIF(BREAKDOWN!E$4:E$165,A15,BREAKDOWN!Y$4:Y$165)</f>
        <v>0</v>
      </c>
      <c r="E15" s="178">
        <f>(SUMIF(BREAKDOWN!F$4:F$165,A15,BREAKDOWN!Q$4:Q$165)+SUMIF(BREAKDOWN!A$4:A$165,A15,BREAKDOWN!U$4:U$165)+SUMIF(BREAKDOWN!B$4:B$165,A15,BREAKDOWN!V$4:V$165)+SUMIF(BREAKDOWN!C$4:C$165,A15,BREAKDOWN!W$4:W$165)+SUMIF(BREAKDOWN!D$4:D$165,A15,BREAKDOWN!X$4:X$165)+SUMIF(BREAKDOWN!E$4:E$165,A15,BREAKDOWN!Y$4:Y$165))*(1+SUM(BREAKDOWN!I170:I171))</f>
        <v>0</v>
      </c>
    </row>
    <row r="16" spans="1:5" x14ac:dyDescent="0.25">
      <c r="A16" s="173" t="str">
        <f t="shared" si="0"/>
        <v>0126</v>
      </c>
      <c r="B16" s="224" t="s">
        <v>374</v>
      </c>
      <c r="C16" s="216" t="s">
        <v>388</v>
      </c>
      <c r="D16" s="178">
        <f>SUMIF(BREAKDOWN!F$4:F$165,A16,BREAKDOWN!Q$4:Q$165)+SUMIF(BREAKDOWN!A$4:A$165,A16,BREAKDOWN!U$4:U$165)+SUMIF(BREAKDOWN!B$4:B$165,A16,BREAKDOWN!V$4:V$165)+SUMIF(BREAKDOWN!C$4:C$165,A16,BREAKDOWN!W$4:W$165)+SUMIF(BREAKDOWN!D$4:D$165,A16,BREAKDOWN!X$4:X$165)+SUMIF(BREAKDOWN!E$4:E$165,A16,BREAKDOWN!Y$4:Y$165)</f>
        <v>0</v>
      </c>
      <c r="E16" s="178">
        <f>(SUMIF(BREAKDOWN!F$4:F$165,A16,BREAKDOWN!Q$4:Q$165)+SUMIF(BREAKDOWN!A$4:A$165,A16,BREAKDOWN!U$4:U$165)+SUMIF(BREAKDOWN!B$4:B$165,A16,BREAKDOWN!V$4:V$165)+SUMIF(BREAKDOWN!C$4:C$165,A16,BREAKDOWN!W$4:W$165)+SUMIF(BREAKDOWN!D$4:D$165,A16,BREAKDOWN!X$4:X$165)+SUMIF(BREAKDOWN!E$4:E$165,A16,BREAKDOWN!Y$4:Y$165))*(1+SUM(BREAKDOWN!I171:I172))</f>
        <v>0</v>
      </c>
    </row>
    <row r="17" spans="1:5" x14ac:dyDescent="0.25">
      <c r="A17" s="173" t="str">
        <f t="shared" si="0"/>
        <v>0200</v>
      </c>
      <c r="B17" s="224" t="s">
        <v>389</v>
      </c>
      <c r="C17" s="216" t="s">
        <v>603</v>
      </c>
      <c r="D17" s="178">
        <f>SUMIF(BREAKDOWN!F$4:F$165,A17,BREAKDOWN!Q$4:Q$165)+SUMIF(BREAKDOWN!A$4:A$165,A17,BREAKDOWN!U$4:U$165)+SUMIF(BREAKDOWN!B$4:B$165,A17,BREAKDOWN!V$4:V$165)+SUMIF(BREAKDOWN!C$4:C$165,A17,BREAKDOWN!W$4:W$165)+SUMIF(BREAKDOWN!D$4:D$165,A17,BREAKDOWN!X$4:X$165)+SUMIF(BREAKDOWN!E$4:E$165,A17,BREAKDOWN!Y$4:Y$165)</f>
        <v>0</v>
      </c>
      <c r="E17" s="178">
        <f>(SUMIF(BREAKDOWN!F$4:F$165,A17,BREAKDOWN!Q$4:Q$165)+SUMIF(BREAKDOWN!A$4:A$165,A17,BREAKDOWN!U$4:U$165)+SUMIF(BREAKDOWN!B$4:B$165,A17,BREAKDOWN!V$4:V$165)+SUMIF(BREAKDOWN!C$4:C$165,A17,BREAKDOWN!W$4:W$165)+SUMIF(BREAKDOWN!D$4:D$165,A17,BREAKDOWN!X$4:X$165)+SUMIF(BREAKDOWN!E$4:E$165,A17,BREAKDOWN!Y$4:Y$165))*(1+SUM(BREAKDOWN!I172:I173))</f>
        <v>0</v>
      </c>
    </row>
    <row r="18" spans="1:5" x14ac:dyDescent="0.25">
      <c r="A18" s="173" t="str">
        <f t="shared" si="0"/>
        <v>0201</v>
      </c>
      <c r="B18" s="224" t="s">
        <v>389</v>
      </c>
      <c r="C18" s="216" t="s">
        <v>390</v>
      </c>
      <c r="D18" s="178">
        <f>SUMIF(BREAKDOWN!F$4:F$165,A18,BREAKDOWN!Q$4:Q$165)+SUMIF(BREAKDOWN!A$4:A$165,A18,BREAKDOWN!U$4:U$165)+SUMIF(BREAKDOWN!B$4:B$165,A18,BREAKDOWN!V$4:V$165)+SUMIF(BREAKDOWN!C$4:C$165,A18,BREAKDOWN!W$4:W$165)+SUMIF(BREAKDOWN!D$4:D$165,A18,BREAKDOWN!X$4:X$165)+SUMIF(BREAKDOWN!E$4:E$165,A18,BREAKDOWN!Y$4:Y$165)</f>
        <v>0</v>
      </c>
      <c r="E18" s="178">
        <f>(SUMIF(BREAKDOWN!F$4:F$165,A18,BREAKDOWN!Q$4:Q$165)+SUMIF(BREAKDOWN!A$4:A$165,A18,BREAKDOWN!U$4:U$165)+SUMIF(BREAKDOWN!B$4:B$165,A18,BREAKDOWN!V$4:V$165)+SUMIF(BREAKDOWN!C$4:C$165,A18,BREAKDOWN!W$4:W$165)+SUMIF(BREAKDOWN!D$4:D$165,A18,BREAKDOWN!X$4:X$165)+SUMIF(BREAKDOWN!E$4:E$165,A18,BREAKDOWN!Y$4:Y$165))*(1+SUM(BREAKDOWN!I173:I174))</f>
        <v>0</v>
      </c>
    </row>
    <row r="19" spans="1:5" x14ac:dyDescent="0.25">
      <c r="A19" s="173" t="str">
        <f t="shared" si="0"/>
        <v>0202</v>
      </c>
      <c r="B19" s="224" t="s">
        <v>389</v>
      </c>
      <c r="C19" s="216" t="s">
        <v>391</v>
      </c>
      <c r="D19" s="178">
        <f>SUMIF(BREAKDOWN!F$4:F$165,A19,BREAKDOWN!Q$4:Q$165)+SUMIF(BREAKDOWN!A$4:A$165,A19,BREAKDOWN!U$4:U$165)+SUMIF(BREAKDOWN!B$4:B$165,A19,BREAKDOWN!V$4:V$165)+SUMIF(BREAKDOWN!C$4:C$165,A19,BREAKDOWN!W$4:W$165)+SUMIF(BREAKDOWN!D$4:D$165,A19,BREAKDOWN!X$4:X$165)+SUMIF(BREAKDOWN!E$4:E$165,A19,BREAKDOWN!Y$4:Y$165)</f>
        <v>0</v>
      </c>
      <c r="E19" s="178">
        <f>(SUMIF(BREAKDOWN!F$4:F$165,A19,BREAKDOWN!Q$4:Q$165)+SUMIF(BREAKDOWN!A$4:A$165,A19,BREAKDOWN!U$4:U$165)+SUMIF(BREAKDOWN!B$4:B$165,A19,BREAKDOWN!V$4:V$165)+SUMIF(BREAKDOWN!C$4:C$165,A19,BREAKDOWN!W$4:W$165)+SUMIF(BREAKDOWN!D$4:D$165,A19,BREAKDOWN!X$4:X$165)+SUMIF(BREAKDOWN!E$4:E$165,A19,BREAKDOWN!Y$4:Y$165))*(1+SUM(BREAKDOWN!I174:I175))</f>
        <v>0</v>
      </c>
    </row>
    <row r="20" spans="1:5" x14ac:dyDescent="0.25">
      <c r="A20" s="173" t="str">
        <f t="shared" si="0"/>
        <v>0203</v>
      </c>
      <c r="B20" s="224" t="s">
        <v>389</v>
      </c>
      <c r="C20" s="216" t="s">
        <v>392</v>
      </c>
      <c r="D20" s="178">
        <f>SUMIF(BREAKDOWN!F$4:F$165,A20,BREAKDOWN!Q$4:Q$165)+SUMIF(BREAKDOWN!A$4:A$165,A20,BREAKDOWN!U$4:U$165)+SUMIF(BREAKDOWN!B$4:B$165,A20,BREAKDOWN!V$4:V$165)+SUMIF(BREAKDOWN!C$4:C$165,A20,BREAKDOWN!W$4:W$165)+SUMIF(BREAKDOWN!D$4:D$165,A20,BREAKDOWN!X$4:X$165)+SUMIF(BREAKDOWN!E$4:E$165,A20,BREAKDOWN!Y$4:Y$165)</f>
        <v>0</v>
      </c>
      <c r="E20" s="178">
        <f>(SUMIF(BREAKDOWN!F$4:F$165,A20,BREAKDOWN!Q$4:Q$165)+SUMIF(BREAKDOWN!A$4:A$165,A20,BREAKDOWN!U$4:U$165)+SUMIF(BREAKDOWN!B$4:B$165,A20,BREAKDOWN!V$4:V$165)+SUMIF(BREAKDOWN!C$4:C$165,A20,BREAKDOWN!W$4:W$165)+SUMIF(BREAKDOWN!D$4:D$165,A20,BREAKDOWN!X$4:X$165)+SUMIF(BREAKDOWN!E$4:E$165,A20,BREAKDOWN!Y$4:Y$165))*(1+SUM(BREAKDOWN!I175:I176))</f>
        <v>0</v>
      </c>
    </row>
    <row r="21" spans="1:5" x14ac:dyDescent="0.25">
      <c r="A21" s="173" t="str">
        <f t="shared" si="0"/>
        <v>0204</v>
      </c>
      <c r="B21" s="224" t="s">
        <v>389</v>
      </c>
      <c r="C21" s="216" t="s">
        <v>393</v>
      </c>
      <c r="D21" s="178">
        <f>SUMIF(BREAKDOWN!F$4:F$165,A21,BREAKDOWN!Q$4:Q$165)+SUMIF(BREAKDOWN!A$4:A$165,A21,BREAKDOWN!U$4:U$165)+SUMIF(BREAKDOWN!B$4:B$165,A21,BREAKDOWN!V$4:V$165)+SUMIF(BREAKDOWN!C$4:C$165,A21,BREAKDOWN!W$4:W$165)+SUMIF(BREAKDOWN!D$4:D$165,A21,BREAKDOWN!X$4:X$165)+SUMIF(BREAKDOWN!E$4:E$165,A21,BREAKDOWN!Y$4:Y$165)</f>
        <v>0</v>
      </c>
      <c r="E21" s="178">
        <f>(SUMIF(BREAKDOWN!F$4:F$165,A21,BREAKDOWN!Q$4:Q$165)+SUMIF(BREAKDOWN!A$4:A$165,A21,BREAKDOWN!U$4:U$165)+SUMIF(BREAKDOWN!B$4:B$165,A21,BREAKDOWN!V$4:V$165)+SUMIF(BREAKDOWN!C$4:C$165,A21,BREAKDOWN!W$4:W$165)+SUMIF(BREAKDOWN!D$4:D$165,A21,BREAKDOWN!X$4:X$165)+SUMIF(BREAKDOWN!E$4:E$165,A21,BREAKDOWN!Y$4:Y$165))*(1+SUM(BREAKDOWN!I176:I177))</f>
        <v>0</v>
      </c>
    </row>
    <row r="22" spans="1:5" x14ac:dyDescent="0.25">
      <c r="A22" s="173" t="str">
        <f t="shared" si="0"/>
        <v>0205</v>
      </c>
      <c r="B22" s="224" t="s">
        <v>389</v>
      </c>
      <c r="C22" s="216" t="s">
        <v>394</v>
      </c>
      <c r="D22" s="178">
        <f>SUMIF(BREAKDOWN!F$4:F$165,A22,BREAKDOWN!Q$4:Q$165)+SUMIF(BREAKDOWN!A$4:A$165,A22,BREAKDOWN!U$4:U$165)+SUMIF(BREAKDOWN!B$4:B$165,A22,BREAKDOWN!V$4:V$165)+SUMIF(BREAKDOWN!C$4:C$165,A22,BREAKDOWN!W$4:W$165)+SUMIF(BREAKDOWN!D$4:D$165,A22,BREAKDOWN!X$4:X$165)+SUMIF(BREAKDOWN!E$4:E$165,A22,BREAKDOWN!Y$4:Y$165)</f>
        <v>0</v>
      </c>
      <c r="E22" s="178">
        <f>(SUMIF(BREAKDOWN!F$4:F$165,A22,BREAKDOWN!Q$4:Q$165)+SUMIF(BREAKDOWN!A$4:A$165,A22,BREAKDOWN!U$4:U$165)+SUMIF(BREAKDOWN!B$4:B$165,A22,BREAKDOWN!V$4:V$165)+SUMIF(BREAKDOWN!C$4:C$165,A22,BREAKDOWN!W$4:W$165)+SUMIF(BREAKDOWN!D$4:D$165,A22,BREAKDOWN!X$4:X$165)+SUMIF(BREAKDOWN!E$4:E$165,A22,BREAKDOWN!Y$4:Y$165))*(1+SUM(BREAKDOWN!I177:I178))</f>
        <v>0</v>
      </c>
    </row>
    <row r="23" spans="1:5" x14ac:dyDescent="0.25">
      <c r="A23" s="173" t="str">
        <f t="shared" si="0"/>
        <v>0206</v>
      </c>
      <c r="B23" s="224" t="s">
        <v>389</v>
      </c>
      <c r="C23" s="216" t="s">
        <v>395</v>
      </c>
      <c r="D23" s="178">
        <f>SUMIF(BREAKDOWN!F$4:F$165,A23,BREAKDOWN!Q$4:Q$165)+SUMIF(BREAKDOWN!A$4:A$165,A23,BREAKDOWN!U$4:U$165)+SUMIF(BREAKDOWN!B$4:B$165,A23,BREAKDOWN!V$4:V$165)+SUMIF(BREAKDOWN!C$4:C$165,A23,BREAKDOWN!W$4:W$165)+SUMIF(BREAKDOWN!D$4:D$165,A23,BREAKDOWN!X$4:X$165)+SUMIF(BREAKDOWN!E$4:E$165,A23,BREAKDOWN!Y$4:Y$165)</f>
        <v>0</v>
      </c>
      <c r="E23" s="178">
        <f>(SUMIF(BREAKDOWN!F$4:F$165,A23,BREAKDOWN!Q$4:Q$165)+SUMIF(BREAKDOWN!A$4:A$165,A23,BREAKDOWN!U$4:U$165)+SUMIF(BREAKDOWN!B$4:B$165,A23,BREAKDOWN!V$4:V$165)+SUMIF(BREAKDOWN!C$4:C$165,A23,BREAKDOWN!W$4:W$165)+SUMIF(BREAKDOWN!D$4:D$165,A23,BREAKDOWN!X$4:X$165)+SUMIF(BREAKDOWN!E$4:E$165,A23,BREAKDOWN!Y$4:Y$165))*(1+SUM(BREAKDOWN!I178:I179))</f>
        <v>0</v>
      </c>
    </row>
    <row r="24" spans="1:5" x14ac:dyDescent="0.25">
      <c r="A24" s="173" t="str">
        <f t="shared" si="0"/>
        <v>0207</v>
      </c>
      <c r="B24" s="224" t="s">
        <v>389</v>
      </c>
      <c r="C24" s="216" t="s">
        <v>396</v>
      </c>
      <c r="D24" s="178">
        <f>SUMIF(BREAKDOWN!F$4:F$165,A24,BREAKDOWN!Q$4:Q$165)+SUMIF(BREAKDOWN!A$4:A$165,A24,BREAKDOWN!U$4:U$165)+SUMIF(BREAKDOWN!B$4:B$165,A24,BREAKDOWN!V$4:V$165)+SUMIF(BREAKDOWN!C$4:C$165,A24,BREAKDOWN!W$4:W$165)+SUMIF(BREAKDOWN!D$4:D$165,A24,BREAKDOWN!X$4:X$165)+SUMIF(BREAKDOWN!E$4:E$165,A24,BREAKDOWN!Y$4:Y$165)</f>
        <v>0</v>
      </c>
      <c r="E24" s="178">
        <f>(SUMIF(BREAKDOWN!F$4:F$165,A24,BREAKDOWN!Q$4:Q$165)+SUMIF(BREAKDOWN!A$4:A$165,A24,BREAKDOWN!U$4:U$165)+SUMIF(BREAKDOWN!B$4:B$165,A24,BREAKDOWN!V$4:V$165)+SUMIF(BREAKDOWN!C$4:C$165,A24,BREAKDOWN!W$4:W$165)+SUMIF(BREAKDOWN!D$4:D$165,A24,BREAKDOWN!X$4:X$165)+SUMIF(BREAKDOWN!E$4:E$165,A24,BREAKDOWN!Y$4:Y$165))*(1+SUM(BREAKDOWN!I179:I180))</f>
        <v>0</v>
      </c>
    </row>
    <row r="25" spans="1:5" x14ac:dyDescent="0.25">
      <c r="A25" s="173" t="str">
        <f t="shared" si="0"/>
        <v>0208</v>
      </c>
      <c r="B25" s="224" t="s">
        <v>389</v>
      </c>
      <c r="C25" s="216" t="s">
        <v>397</v>
      </c>
      <c r="D25" s="178">
        <f>SUMIF(BREAKDOWN!F$4:F$165,A25,BREAKDOWN!Q$4:Q$165)+SUMIF(BREAKDOWN!A$4:A$165,A25,BREAKDOWN!U$4:U$165)+SUMIF(BREAKDOWN!B$4:B$165,A25,BREAKDOWN!V$4:V$165)+SUMIF(BREAKDOWN!C$4:C$165,A25,BREAKDOWN!W$4:W$165)+SUMIF(BREAKDOWN!D$4:D$165,A25,BREAKDOWN!X$4:X$165)+SUMIF(BREAKDOWN!E$4:E$165,A25,BREAKDOWN!Y$4:Y$165)</f>
        <v>0</v>
      </c>
      <c r="E25" s="178">
        <f>(SUMIF(BREAKDOWN!F$4:F$165,A25,BREAKDOWN!Q$4:Q$165)+SUMIF(BREAKDOWN!A$4:A$165,A25,BREAKDOWN!U$4:U$165)+SUMIF(BREAKDOWN!B$4:B$165,A25,BREAKDOWN!V$4:V$165)+SUMIF(BREAKDOWN!C$4:C$165,A25,BREAKDOWN!W$4:W$165)+SUMIF(BREAKDOWN!D$4:D$165,A25,BREAKDOWN!X$4:X$165)+SUMIF(BREAKDOWN!E$4:E$165,A25,BREAKDOWN!Y$4:Y$165))*(1+SUM(BREAKDOWN!I180:I181))</f>
        <v>0</v>
      </c>
    </row>
    <row r="26" spans="1:5" x14ac:dyDescent="0.25">
      <c r="A26" s="173" t="str">
        <f t="shared" si="0"/>
        <v>0311</v>
      </c>
      <c r="B26" s="224" t="s">
        <v>398</v>
      </c>
      <c r="C26" s="216" t="s">
        <v>399</v>
      </c>
      <c r="D26" s="178">
        <f>SUMIF(BREAKDOWN!F$4:F$165,A26,BREAKDOWN!Q$4:Q$165)+SUMIF(BREAKDOWN!A$4:A$165,A26,BREAKDOWN!U$4:U$165)+SUMIF(BREAKDOWN!B$4:B$165,A26,BREAKDOWN!V$4:V$165)+SUMIF(BREAKDOWN!C$4:C$165,A26,BREAKDOWN!W$4:W$165)+SUMIF(BREAKDOWN!D$4:D$165,A26,BREAKDOWN!X$4:X$165)+SUMIF(BREAKDOWN!E$4:E$165,A26,BREAKDOWN!Y$4:Y$165)</f>
        <v>0</v>
      </c>
      <c r="E26" s="178">
        <f>(SUMIF(BREAKDOWN!F$4:F$165,A26,BREAKDOWN!Q$4:Q$165)+SUMIF(BREAKDOWN!A$4:A$165,A26,BREAKDOWN!U$4:U$165)+SUMIF(BREAKDOWN!B$4:B$165,A26,BREAKDOWN!V$4:V$165)+SUMIF(BREAKDOWN!C$4:C$165,A26,BREAKDOWN!W$4:W$165)+SUMIF(BREAKDOWN!D$4:D$165,A26,BREAKDOWN!X$4:X$165)+SUMIF(BREAKDOWN!E$4:E$165,A26,BREAKDOWN!Y$4:Y$165))*(1+SUM(BREAKDOWN!I181:I182))</f>
        <v>0</v>
      </c>
    </row>
    <row r="27" spans="1:5" x14ac:dyDescent="0.25">
      <c r="A27" s="173" t="str">
        <f t="shared" si="0"/>
        <v>0312</v>
      </c>
      <c r="B27" s="224" t="s">
        <v>398</v>
      </c>
      <c r="C27" s="216" t="s">
        <v>400</v>
      </c>
      <c r="D27" s="178">
        <f>SUMIF(BREAKDOWN!F$4:F$165,A27,BREAKDOWN!Q$4:Q$165)+SUMIF(BREAKDOWN!A$4:A$165,A27,BREAKDOWN!U$4:U$165)+SUMIF(BREAKDOWN!B$4:B$165,A27,BREAKDOWN!V$4:V$165)+SUMIF(BREAKDOWN!C$4:C$165,A27,BREAKDOWN!W$4:W$165)+SUMIF(BREAKDOWN!D$4:D$165,A27,BREAKDOWN!X$4:X$165)+SUMIF(BREAKDOWN!E$4:E$165,A27,BREAKDOWN!Y$4:Y$165)</f>
        <v>0</v>
      </c>
      <c r="E27" s="178">
        <f>(SUMIF(BREAKDOWN!F$4:F$165,A27,BREAKDOWN!Q$4:Q$165)+SUMIF(BREAKDOWN!A$4:A$165,A27,BREAKDOWN!U$4:U$165)+SUMIF(BREAKDOWN!B$4:B$165,A27,BREAKDOWN!V$4:V$165)+SUMIF(BREAKDOWN!C$4:C$165,A27,BREAKDOWN!W$4:W$165)+SUMIF(BREAKDOWN!D$4:D$165,A27,BREAKDOWN!X$4:X$165)+SUMIF(BREAKDOWN!E$4:E$165,A27,BREAKDOWN!Y$4:Y$165))*(1+SUM(BREAKDOWN!I182:I183))</f>
        <v>0</v>
      </c>
    </row>
    <row r="28" spans="1:5" x14ac:dyDescent="0.25">
      <c r="A28" s="173" t="str">
        <f t="shared" si="0"/>
        <v>0313</v>
      </c>
      <c r="B28" s="224" t="s">
        <v>398</v>
      </c>
      <c r="C28" s="216" t="s">
        <v>401</v>
      </c>
      <c r="D28" s="178">
        <f>SUMIF(BREAKDOWN!F$4:F$165,A28,BREAKDOWN!Q$4:Q$165)+SUMIF(BREAKDOWN!A$4:A$165,A28,BREAKDOWN!U$4:U$165)+SUMIF(BREAKDOWN!B$4:B$165,A28,BREAKDOWN!V$4:V$165)+SUMIF(BREAKDOWN!C$4:C$165,A28,BREAKDOWN!W$4:W$165)+SUMIF(BREAKDOWN!D$4:D$165,A28,BREAKDOWN!X$4:X$165)+SUMIF(BREAKDOWN!E$4:E$165,A28,BREAKDOWN!Y$4:Y$165)</f>
        <v>0</v>
      </c>
      <c r="E28" s="178">
        <f>(SUMIF(BREAKDOWN!F$4:F$165,A28,BREAKDOWN!Q$4:Q$165)+SUMIF(BREAKDOWN!A$4:A$165,A28,BREAKDOWN!U$4:U$165)+SUMIF(BREAKDOWN!B$4:B$165,A28,BREAKDOWN!V$4:V$165)+SUMIF(BREAKDOWN!C$4:C$165,A28,BREAKDOWN!W$4:W$165)+SUMIF(BREAKDOWN!D$4:D$165,A28,BREAKDOWN!X$4:X$165)+SUMIF(BREAKDOWN!E$4:E$165,A28,BREAKDOWN!Y$4:Y$165))*(1+SUM(BREAKDOWN!I183:I184))</f>
        <v>0</v>
      </c>
    </row>
    <row r="29" spans="1:5" x14ac:dyDescent="0.25">
      <c r="A29" s="173" t="str">
        <f t="shared" si="0"/>
        <v>0320</v>
      </c>
      <c r="B29" s="224" t="s">
        <v>398</v>
      </c>
      <c r="C29" s="216" t="s">
        <v>402</v>
      </c>
      <c r="D29" s="178">
        <f>SUMIF(BREAKDOWN!F$4:F$165,A29,BREAKDOWN!Q$4:Q$165)+SUMIF(BREAKDOWN!A$4:A$165,A29,BREAKDOWN!U$4:U$165)+SUMIF(BREAKDOWN!B$4:B$165,A29,BREAKDOWN!V$4:V$165)+SUMIF(BREAKDOWN!C$4:C$165,A29,BREAKDOWN!W$4:W$165)+SUMIF(BREAKDOWN!D$4:D$165,A29,BREAKDOWN!X$4:X$165)+SUMIF(BREAKDOWN!E$4:E$165,A29,BREAKDOWN!Y$4:Y$165)</f>
        <v>0</v>
      </c>
      <c r="E29" s="178">
        <f>(SUMIF(BREAKDOWN!F$4:F$165,A29,BREAKDOWN!Q$4:Q$165)+SUMIF(BREAKDOWN!A$4:A$165,A29,BREAKDOWN!U$4:U$165)+SUMIF(BREAKDOWN!B$4:B$165,A29,BREAKDOWN!V$4:V$165)+SUMIF(BREAKDOWN!C$4:C$165,A29,BREAKDOWN!W$4:W$165)+SUMIF(BREAKDOWN!D$4:D$165,A29,BREAKDOWN!X$4:X$165)+SUMIF(BREAKDOWN!E$4:E$165,A29,BREAKDOWN!Y$4:Y$165))*(1+SUM(BREAKDOWN!I184:I185))</f>
        <v>0</v>
      </c>
    </row>
    <row r="30" spans="1:5" x14ac:dyDescent="0.25">
      <c r="A30" s="173" t="str">
        <f t="shared" si="0"/>
        <v>0321</v>
      </c>
      <c r="B30" s="224" t="s">
        <v>398</v>
      </c>
      <c r="C30" s="216" t="s">
        <v>403</v>
      </c>
      <c r="D30" s="178">
        <f>SUMIF(BREAKDOWN!F$4:F$165,A30,BREAKDOWN!Q$4:Q$165)+SUMIF(BREAKDOWN!A$4:A$165,A30,BREAKDOWN!U$4:U$165)+SUMIF(BREAKDOWN!B$4:B$165,A30,BREAKDOWN!V$4:V$165)+SUMIF(BREAKDOWN!C$4:C$165,A30,BREAKDOWN!W$4:W$165)+SUMIF(BREAKDOWN!D$4:D$165,A30,BREAKDOWN!X$4:X$165)+SUMIF(BREAKDOWN!E$4:E$165,A30,BREAKDOWN!Y$4:Y$165)</f>
        <v>0</v>
      </c>
      <c r="E30" s="178">
        <f>(SUMIF(BREAKDOWN!F$4:F$165,A30,BREAKDOWN!Q$4:Q$165)+SUMIF(BREAKDOWN!A$4:A$165,A30,BREAKDOWN!U$4:U$165)+SUMIF(BREAKDOWN!B$4:B$165,A30,BREAKDOWN!V$4:V$165)+SUMIF(BREAKDOWN!C$4:C$165,A30,BREAKDOWN!W$4:W$165)+SUMIF(BREAKDOWN!D$4:D$165,A30,BREAKDOWN!X$4:X$165)+SUMIF(BREAKDOWN!E$4:E$165,A30,BREAKDOWN!Y$4:Y$165))*(1+SUM(BREAKDOWN!I185:I186))</f>
        <v>0</v>
      </c>
    </row>
    <row r="31" spans="1:5" x14ac:dyDescent="0.25">
      <c r="A31" s="173" t="str">
        <f t="shared" si="0"/>
        <v>0322</v>
      </c>
      <c r="B31" s="224" t="s">
        <v>398</v>
      </c>
      <c r="C31" s="216" t="s">
        <v>404</v>
      </c>
      <c r="D31" s="178">
        <f>SUMIF(BREAKDOWN!F$4:F$165,A31,BREAKDOWN!Q$4:Q$165)+SUMIF(BREAKDOWN!A$4:A$165,A31,BREAKDOWN!U$4:U$165)+SUMIF(BREAKDOWN!B$4:B$165,A31,BREAKDOWN!V$4:V$165)+SUMIF(BREAKDOWN!C$4:C$165,A31,BREAKDOWN!W$4:W$165)+SUMIF(BREAKDOWN!D$4:D$165,A31,BREAKDOWN!X$4:X$165)+SUMIF(BREAKDOWN!E$4:E$165,A31,BREAKDOWN!Y$4:Y$165)</f>
        <v>0</v>
      </c>
      <c r="E31" s="178">
        <f>(SUMIF(BREAKDOWN!F$4:F$165,A31,BREAKDOWN!Q$4:Q$165)+SUMIF(BREAKDOWN!A$4:A$165,A31,BREAKDOWN!U$4:U$165)+SUMIF(BREAKDOWN!B$4:B$165,A31,BREAKDOWN!V$4:V$165)+SUMIF(BREAKDOWN!C$4:C$165,A31,BREAKDOWN!W$4:W$165)+SUMIF(BREAKDOWN!D$4:D$165,A31,BREAKDOWN!X$4:X$165)+SUMIF(BREAKDOWN!E$4:E$165,A31,BREAKDOWN!Y$4:Y$165))*(1+SUM(BREAKDOWN!I186:I187))</f>
        <v>0</v>
      </c>
    </row>
    <row r="32" spans="1:5" x14ac:dyDescent="0.25">
      <c r="A32" s="173" t="str">
        <f t="shared" si="0"/>
        <v>0323</v>
      </c>
      <c r="B32" s="224" t="s">
        <v>398</v>
      </c>
      <c r="C32" s="216" t="s">
        <v>405</v>
      </c>
      <c r="D32" s="178">
        <f>SUMIF(BREAKDOWN!F$4:F$165,A32,BREAKDOWN!Q$4:Q$165)+SUMIF(BREAKDOWN!A$4:A$165,A32,BREAKDOWN!U$4:U$165)+SUMIF(BREAKDOWN!B$4:B$165,A32,BREAKDOWN!V$4:V$165)+SUMIF(BREAKDOWN!C$4:C$165,A32,BREAKDOWN!W$4:W$165)+SUMIF(BREAKDOWN!D$4:D$165,A32,BREAKDOWN!X$4:X$165)+SUMIF(BREAKDOWN!E$4:E$165,A32,BREAKDOWN!Y$4:Y$165)</f>
        <v>0</v>
      </c>
      <c r="E32" s="178">
        <f>(SUMIF(BREAKDOWN!F$4:F$165,A32,BREAKDOWN!Q$4:Q$165)+SUMIF(BREAKDOWN!A$4:A$165,A32,BREAKDOWN!U$4:U$165)+SUMIF(BREAKDOWN!B$4:B$165,A32,BREAKDOWN!V$4:V$165)+SUMIF(BREAKDOWN!C$4:C$165,A32,BREAKDOWN!W$4:W$165)+SUMIF(BREAKDOWN!D$4:D$165,A32,BREAKDOWN!X$4:X$165)+SUMIF(BREAKDOWN!E$4:E$165,A32,BREAKDOWN!Y$4:Y$165))*(1+SUM(BREAKDOWN!I187:I188))</f>
        <v>0</v>
      </c>
    </row>
    <row r="33" spans="1:5" x14ac:dyDescent="0.25">
      <c r="A33" s="173" t="str">
        <f t="shared" si="0"/>
        <v>0400</v>
      </c>
      <c r="B33" s="224" t="s">
        <v>406</v>
      </c>
      <c r="C33" s="216" t="s">
        <v>407</v>
      </c>
      <c r="D33" s="178">
        <f>SUMIF(BREAKDOWN!F$4:F$165,A33,BREAKDOWN!Q$4:Q$165)+SUMIF(BREAKDOWN!A$4:A$165,A33,BREAKDOWN!U$4:U$165)+SUMIF(BREAKDOWN!B$4:B$165,A33,BREAKDOWN!V$4:V$165)+SUMIF(BREAKDOWN!C$4:C$165,A33,BREAKDOWN!W$4:W$165)+SUMIF(BREAKDOWN!D$4:D$165,A33,BREAKDOWN!X$4:X$165)+SUMIF(BREAKDOWN!E$4:E$165,A33,BREAKDOWN!Y$4:Y$165)</f>
        <v>0</v>
      </c>
      <c r="E33" s="178">
        <f>(SUMIF(BREAKDOWN!F$4:F$165,A33,BREAKDOWN!Q$4:Q$165)+SUMIF(BREAKDOWN!A$4:A$165,A33,BREAKDOWN!U$4:U$165)+SUMIF(BREAKDOWN!B$4:B$165,A33,BREAKDOWN!V$4:V$165)+SUMIF(BREAKDOWN!C$4:C$165,A33,BREAKDOWN!W$4:W$165)+SUMIF(BREAKDOWN!D$4:D$165,A33,BREAKDOWN!X$4:X$165)+SUMIF(BREAKDOWN!E$4:E$165,A33,BREAKDOWN!Y$4:Y$165))*(1+SUM(BREAKDOWN!I188:I189))</f>
        <v>0</v>
      </c>
    </row>
    <row r="34" spans="1:5" x14ac:dyDescent="0.25">
      <c r="A34" s="173" t="str">
        <f t="shared" si="0"/>
        <v>0410</v>
      </c>
      <c r="B34" s="224" t="s">
        <v>406</v>
      </c>
      <c r="C34" s="216" t="s">
        <v>408</v>
      </c>
      <c r="D34" s="178">
        <f>SUMIF(BREAKDOWN!F$4:F$165,A34,BREAKDOWN!Q$4:Q$165)+SUMIF(BREAKDOWN!A$4:A$165,A34,BREAKDOWN!U$4:U$165)+SUMIF(BREAKDOWN!B$4:B$165,A34,BREAKDOWN!V$4:V$165)+SUMIF(BREAKDOWN!C$4:C$165,A34,BREAKDOWN!W$4:W$165)+SUMIF(BREAKDOWN!D$4:D$165,A34,BREAKDOWN!X$4:X$165)+SUMIF(BREAKDOWN!E$4:E$165,A34,BREAKDOWN!Y$4:Y$165)</f>
        <v>0</v>
      </c>
      <c r="E34" s="178">
        <f>(SUMIF(BREAKDOWN!F$4:F$165,A34,BREAKDOWN!Q$4:Q$165)+SUMIF(BREAKDOWN!A$4:A$165,A34,BREAKDOWN!U$4:U$165)+SUMIF(BREAKDOWN!B$4:B$165,A34,BREAKDOWN!V$4:V$165)+SUMIF(BREAKDOWN!C$4:C$165,A34,BREAKDOWN!W$4:W$165)+SUMIF(BREAKDOWN!D$4:D$165,A34,BREAKDOWN!X$4:X$165)+SUMIF(BREAKDOWN!E$4:E$165,A34,BREAKDOWN!Y$4:Y$165))*(1+SUM(BREAKDOWN!I189:I190))</f>
        <v>0</v>
      </c>
    </row>
    <row r="35" spans="1:5" x14ac:dyDescent="0.25">
      <c r="A35" s="173" t="str">
        <f t="shared" si="0"/>
        <v>0411</v>
      </c>
      <c r="B35" s="224" t="s">
        <v>406</v>
      </c>
      <c r="C35" s="216" t="s">
        <v>409</v>
      </c>
      <c r="D35" s="178">
        <f>SUMIF(BREAKDOWN!F$4:F$165,A35,BREAKDOWN!Q$4:Q$165)+SUMIF(BREAKDOWN!A$4:A$165,A35,BREAKDOWN!U$4:U$165)+SUMIF(BREAKDOWN!B$4:B$165,A35,BREAKDOWN!V$4:V$165)+SUMIF(BREAKDOWN!C$4:C$165,A35,BREAKDOWN!W$4:W$165)+SUMIF(BREAKDOWN!D$4:D$165,A35,BREAKDOWN!X$4:X$165)+SUMIF(BREAKDOWN!E$4:E$165,A35,BREAKDOWN!Y$4:Y$165)</f>
        <v>0</v>
      </c>
      <c r="E35" s="178">
        <f>(SUMIF(BREAKDOWN!F$4:F$165,A35,BREAKDOWN!Q$4:Q$165)+SUMIF(BREAKDOWN!A$4:A$165,A35,BREAKDOWN!U$4:U$165)+SUMIF(BREAKDOWN!B$4:B$165,A35,BREAKDOWN!V$4:V$165)+SUMIF(BREAKDOWN!C$4:C$165,A35,BREAKDOWN!W$4:W$165)+SUMIF(BREAKDOWN!D$4:D$165,A35,BREAKDOWN!X$4:X$165)+SUMIF(BREAKDOWN!E$4:E$165,A35,BREAKDOWN!Y$4:Y$165))*(1+SUM(BREAKDOWN!I190:I191))</f>
        <v>0</v>
      </c>
    </row>
    <row r="36" spans="1:5" x14ac:dyDescent="0.25">
      <c r="A36" s="173" t="str">
        <f t="shared" si="0"/>
        <v>0412</v>
      </c>
      <c r="B36" s="224" t="s">
        <v>406</v>
      </c>
      <c r="C36" s="216" t="s">
        <v>410</v>
      </c>
      <c r="D36" s="178">
        <f>SUMIF(BREAKDOWN!F$4:F$165,A36,BREAKDOWN!Q$4:Q$165)+SUMIF(BREAKDOWN!A$4:A$165,A36,BREAKDOWN!U$4:U$165)+SUMIF(BREAKDOWN!B$4:B$165,A36,BREAKDOWN!V$4:V$165)+SUMIF(BREAKDOWN!C$4:C$165,A36,BREAKDOWN!W$4:W$165)+SUMIF(BREAKDOWN!D$4:D$165,A36,BREAKDOWN!X$4:X$165)+SUMIF(BREAKDOWN!E$4:E$165,A36,BREAKDOWN!Y$4:Y$165)</f>
        <v>0</v>
      </c>
      <c r="E36" s="178">
        <f>(SUMIF(BREAKDOWN!F$4:F$165,A36,BREAKDOWN!Q$4:Q$165)+SUMIF(BREAKDOWN!A$4:A$165,A36,BREAKDOWN!U$4:U$165)+SUMIF(BREAKDOWN!B$4:B$165,A36,BREAKDOWN!V$4:V$165)+SUMIF(BREAKDOWN!C$4:C$165,A36,BREAKDOWN!W$4:W$165)+SUMIF(BREAKDOWN!D$4:D$165,A36,BREAKDOWN!X$4:X$165)+SUMIF(BREAKDOWN!E$4:E$165,A36,BREAKDOWN!Y$4:Y$165))*(1+SUM(BREAKDOWN!I191:I192))</f>
        <v>0</v>
      </c>
    </row>
    <row r="37" spans="1:5" x14ac:dyDescent="0.25">
      <c r="A37" s="173" t="str">
        <f t="shared" si="0"/>
        <v>0413</v>
      </c>
      <c r="B37" s="224" t="s">
        <v>406</v>
      </c>
      <c r="C37" s="216" t="s">
        <v>411</v>
      </c>
      <c r="D37" s="178">
        <f>SUMIF(BREAKDOWN!F$4:F$165,A37,BREAKDOWN!Q$4:Q$165)+SUMIF(BREAKDOWN!A$4:A$165,A37,BREAKDOWN!U$4:U$165)+SUMIF(BREAKDOWN!B$4:B$165,A37,BREAKDOWN!V$4:V$165)+SUMIF(BREAKDOWN!C$4:C$165,A37,BREAKDOWN!W$4:W$165)+SUMIF(BREAKDOWN!D$4:D$165,A37,BREAKDOWN!X$4:X$165)+SUMIF(BREAKDOWN!E$4:E$165,A37,BREAKDOWN!Y$4:Y$165)</f>
        <v>0</v>
      </c>
      <c r="E37" s="178">
        <f>(SUMIF(BREAKDOWN!F$4:F$165,A37,BREAKDOWN!Q$4:Q$165)+SUMIF(BREAKDOWN!A$4:A$165,A37,BREAKDOWN!U$4:U$165)+SUMIF(BREAKDOWN!B$4:B$165,A37,BREAKDOWN!V$4:V$165)+SUMIF(BREAKDOWN!C$4:C$165,A37,BREAKDOWN!W$4:W$165)+SUMIF(BREAKDOWN!D$4:D$165,A37,BREAKDOWN!X$4:X$165)+SUMIF(BREAKDOWN!E$4:E$165,A37,BREAKDOWN!Y$4:Y$165))*(1+SUM(BREAKDOWN!I192:I193))</f>
        <v>0</v>
      </c>
    </row>
    <row r="38" spans="1:5" x14ac:dyDescent="0.25">
      <c r="A38" s="173" t="str">
        <f t="shared" si="0"/>
        <v>0414</v>
      </c>
      <c r="B38" s="224" t="s">
        <v>406</v>
      </c>
      <c r="C38" s="216" t="s">
        <v>412</v>
      </c>
      <c r="D38" s="178">
        <f>SUMIF(BREAKDOWN!F$4:F$165,A38,BREAKDOWN!Q$4:Q$165)+SUMIF(BREAKDOWN!A$4:A$165,A38,BREAKDOWN!U$4:U$165)+SUMIF(BREAKDOWN!B$4:B$165,A38,BREAKDOWN!V$4:V$165)+SUMIF(BREAKDOWN!C$4:C$165,A38,BREAKDOWN!W$4:W$165)+SUMIF(BREAKDOWN!D$4:D$165,A38,BREAKDOWN!X$4:X$165)+SUMIF(BREAKDOWN!E$4:E$165,A38,BREAKDOWN!Y$4:Y$165)</f>
        <v>0</v>
      </c>
      <c r="E38" s="178">
        <f>(SUMIF(BREAKDOWN!F$4:F$165,A38,BREAKDOWN!Q$4:Q$165)+SUMIF(BREAKDOWN!A$4:A$165,A38,BREAKDOWN!U$4:U$165)+SUMIF(BREAKDOWN!B$4:B$165,A38,BREAKDOWN!V$4:V$165)+SUMIF(BREAKDOWN!C$4:C$165,A38,BREAKDOWN!W$4:W$165)+SUMIF(BREAKDOWN!D$4:D$165,A38,BREAKDOWN!X$4:X$165)+SUMIF(BREAKDOWN!E$4:E$165,A38,BREAKDOWN!Y$4:Y$165))*(1+SUM(BREAKDOWN!I193:I194))</f>
        <v>0</v>
      </c>
    </row>
    <row r="39" spans="1:5" x14ac:dyDescent="0.25">
      <c r="A39" s="173" t="str">
        <f t="shared" si="0"/>
        <v>0420</v>
      </c>
      <c r="B39" s="224" t="s">
        <v>406</v>
      </c>
      <c r="C39" s="216" t="s">
        <v>413</v>
      </c>
      <c r="D39" s="178">
        <f>SUMIF(BREAKDOWN!F$4:F$165,A39,BREAKDOWN!Q$4:Q$165)+SUMIF(BREAKDOWN!A$4:A$165,A39,BREAKDOWN!U$4:U$165)+SUMIF(BREAKDOWN!B$4:B$165,A39,BREAKDOWN!V$4:V$165)+SUMIF(BREAKDOWN!C$4:C$165,A39,BREAKDOWN!W$4:W$165)+SUMIF(BREAKDOWN!D$4:D$165,A39,BREAKDOWN!X$4:X$165)+SUMIF(BREAKDOWN!E$4:E$165,A39,BREAKDOWN!Y$4:Y$165)</f>
        <v>0</v>
      </c>
      <c r="E39" s="178">
        <f>(SUMIF(BREAKDOWN!F$4:F$165,A39,BREAKDOWN!Q$4:Q$165)+SUMIF(BREAKDOWN!A$4:A$165,A39,BREAKDOWN!U$4:U$165)+SUMIF(BREAKDOWN!B$4:B$165,A39,BREAKDOWN!V$4:V$165)+SUMIF(BREAKDOWN!C$4:C$165,A39,BREAKDOWN!W$4:W$165)+SUMIF(BREAKDOWN!D$4:D$165,A39,BREAKDOWN!X$4:X$165)+SUMIF(BREAKDOWN!E$4:E$165,A39,BREAKDOWN!Y$4:Y$165))*(1+SUM(BREAKDOWN!I194:I195))</f>
        <v>0</v>
      </c>
    </row>
    <row r="40" spans="1:5" x14ac:dyDescent="0.25">
      <c r="A40" s="173" t="str">
        <f t="shared" si="0"/>
        <v>0421</v>
      </c>
      <c r="B40" s="224" t="s">
        <v>406</v>
      </c>
      <c r="C40" s="216" t="s">
        <v>414</v>
      </c>
      <c r="D40" s="178">
        <f>SUMIF(BREAKDOWN!F$4:F$165,A40,BREAKDOWN!Q$4:Q$165)+SUMIF(BREAKDOWN!A$4:A$165,A40,BREAKDOWN!U$4:U$165)+SUMIF(BREAKDOWN!B$4:B$165,A40,BREAKDOWN!V$4:V$165)+SUMIF(BREAKDOWN!C$4:C$165,A40,BREAKDOWN!W$4:W$165)+SUMIF(BREAKDOWN!D$4:D$165,A40,BREAKDOWN!X$4:X$165)+SUMIF(BREAKDOWN!E$4:E$165,A40,BREAKDOWN!Y$4:Y$165)</f>
        <v>0</v>
      </c>
      <c r="E40" s="178">
        <f>(SUMIF(BREAKDOWN!F$4:F$165,A40,BREAKDOWN!Q$4:Q$165)+SUMIF(BREAKDOWN!A$4:A$165,A40,BREAKDOWN!U$4:U$165)+SUMIF(BREAKDOWN!B$4:B$165,A40,BREAKDOWN!V$4:V$165)+SUMIF(BREAKDOWN!C$4:C$165,A40,BREAKDOWN!W$4:W$165)+SUMIF(BREAKDOWN!D$4:D$165,A40,BREAKDOWN!X$4:X$165)+SUMIF(BREAKDOWN!E$4:E$165,A40,BREAKDOWN!Y$4:Y$165))*(1+SUM(BREAKDOWN!I195:I196))</f>
        <v>0</v>
      </c>
    </row>
    <row r="41" spans="1:5" x14ac:dyDescent="0.25">
      <c r="A41" s="173" t="str">
        <f t="shared" si="0"/>
        <v>1000</v>
      </c>
      <c r="B41" s="224" t="s">
        <v>415</v>
      </c>
      <c r="C41" s="216" t="s">
        <v>416</v>
      </c>
      <c r="D41" s="178">
        <f>SUMIF(BREAKDOWN!F$4:F$165,A41,BREAKDOWN!Q$4:Q$165)+SUMIF(BREAKDOWN!A$4:A$165,A41,BREAKDOWN!U$4:U$165)+SUMIF(BREAKDOWN!B$4:B$165,A41,BREAKDOWN!V$4:V$165)+SUMIF(BREAKDOWN!C$4:C$165,A41,BREAKDOWN!W$4:W$165)+SUMIF(BREAKDOWN!D$4:D$165,A41,BREAKDOWN!X$4:X$165)+SUMIF(BREAKDOWN!E$4:E$165,A41,BREAKDOWN!Y$4:Y$165)</f>
        <v>0</v>
      </c>
      <c r="E41" s="178">
        <f>(SUMIF(BREAKDOWN!F$4:F$165,A41,BREAKDOWN!Q$4:Q$165)+SUMIF(BREAKDOWN!A$4:A$165,A41,BREAKDOWN!U$4:U$165)+SUMIF(BREAKDOWN!B$4:B$165,A41,BREAKDOWN!V$4:V$165)+SUMIF(BREAKDOWN!C$4:C$165,A41,BREAKDOWN!W$4:W$165)+SUMIF(BREAKDOWN!D$4:D$165,A41,BREAKDOWN!X$4:X$165)+SUMIF(BREAKDOWN!E$4:E$165,A41,BREAKDOWN!Y$4:Y$165))*(1+SUM(BREAKDOWN!I196:I197))</f>
        <v>0</v>
      </c>
    </row>
    <row r="42" spans="1:5" x14ac:dyDescent="0.25">
      <c r="A42" s="173" t="str">
        <f t="shared" si="0"/>
        <v>1012</v>
      </c>
      <c r="B42" s="224" t="s">
        <v>415</v>
      </c>
      <c r="C42" s="216" t="s">
        <v>417</v>
      </c>
      <c r="D42" s="178">
        <f>SUMIF(BREAKDOWN!F$4:F$165,A42,BREAKDOWN!Q$4:Q$165)+SUMIF(BREAKDOWN!A$4:A$165,A42,BREAKDOWN!U$4:U$165)+SUMIF(BREAKDOWN!B$4:B$165,A42,BREAKDOWN!V$4:V$165)+SUMIF(BREAKDOWN!C$4:C$165,A42,BREAKDOWN!W$4:W$165)+SUMIF(BREAKDOWN!D$4:D$165,A42,BREAKDOWN!X$4:X$165)+SUMIF(BREAKDOWN!E$4:E$165,A42,BREAKDOWN!Y$4:Y$165)</f>
        <v>0</v>
      </c>
      <c r="E42" s="178">
        <f>(SUMIF(BREAKDOWN!F$4:F$165,A42,BREAKDOWN!Q$4:Q$165)+SUMIF(BREAKDOWN!A$4:A$165,A42,BREAKDOWN!U$4:U$165)+SUMIF(BREAKDOWN!B$4:B$165,A42,BREAKDOWN!V$4:V$165)+SUMIF(BREAKDOWN!C$4:C$165,A42,BREAKDOWN!W$4:W$165)+SUMIF(BREAKDOWN!D$4:D$165,A42,BREAKDOWN!X$4:X$165)+SUMIF(BREAKDOWN!E$4:E$165,A42,BREAKDOWN!Y$4:Y$165))*(1+SUM(BREAKDOWN!I197:I198))</f>
        <v>0</v>
      </c>
    </row>
    <row r="43" spans="1:5" x14ac:dyDescent="0.25">
      <c r="A43" s="173" t="str">
        <f t="shared" si="0"/>
        <v>1100</v>
      </c>
      <c r="B43" s="224" t="s">
        <v>418</v>
      </c>
      <c r="C43" s="216" t="s">
        <v>419</v>
      </c>
      <c r="D43" s="178">
        <f>SUMIF(BREAKDOWN!F$4:F$165,A43,BREAKDOWN!Q$4:Q$165)+SUMIF(BREAKDOWN!A$4:A$165,A43,BREAKDOWN!U$4:U$165)+SUMIF(BREAKDOWN!B$4:B$165,A43,BREAKDOWN!V$4:V$165)+SUMIF(BREAKDOWN!C$4:C$165,A43,BREAKDOWN!W$4:W$165)+SUMIF(BREAKDOWN!D$4:D$165,A43,BREAKDOWN!X$4:X$165)+SUMIF(BREAKDOWN!E$4:E$165,A43,BREAKDOWN!Y$4:Y$165)</f>
        <v>0</v>
      </c>
      <c r="E43" s="178">
        <f>(SUMIF(BREAKDOWN!F$4:F$165,A43,BREAKDOWN!Q$4:Q$165)+SUMIF(BREAKDOWN!A$4:A$165,A43,BREAKDOWN!U$4:U$165)+SUMIF(BREAKDOWN!B$4:B$165,A43,BREAKDOWN!V$4:V$165)+SUMIF(BREAKDOWN!C$4:C$165,A43,BREAKDOWN!W$4:W$165)+SUMIF(BREAKDOWN!D$4:D$165,A43,BREAKDOWN!X$4:X$165)+SUMIF(BREAKDOWN!E$4:E$165,A43,BREAKDOWN!Y$4:Y$165))*(1+SUM(BREAKDOWN!I198:I199))</f>
        <v>0</v>
      </c>
    </row>
    <row r="44" spans="1:5" x14ac:dyDescent="0.25">
      <c r="A44" s="173" t="str">
        <f t="shared" si="0"/>
        <v>1130</v>
      </c>
      <c r="B44" s="224" t="s">
        <v>418</v>
      </c>
      <c r="C44" s="216" t="s">
        <v>420</v>
      </c>
      <c r="D44" s="178">
        <f>SUMIF(BREAKDOWN!F$4:F$165,A44,BREAKDOWN!Q$4:Q$165)+SUMIF(BREAKDOWN!A$4:A$165,A44,BREAKDOWN!U$4:U$165)+SUMIF(BREAKDOWN!B$4:B$165,A44,BREAKDOWN!V$4:V$165)+SUMIF(BREAKDOWN!C$4:C$165,A44,BREAKDOWN!W$4:W$165)+SUMIF(BREAKDOWN!D$4:D$165,A44,BREAKDOWN!X$4:X$165)+SUMIF(BREAKDOWN!E$4:E$165,A44,BREAKDOWN!Y$4:Y$165)</f>
        <v>0</v>
      </c>
      <c r="E44" s="178">
        <f>(SUMIF(BREAKDOWN!F$4:F$165,A44,BREAKDOWN!Q$4:Q$165)+SUMIF(BREAKDOWN!A$4:A$165,A44,BREAKDOWN!U$4:U$165)+SUMIF(BREAKDOWN!B$4:B$165,A44,BREAKDOWN!V$4:V$165)+SUMIF(BREAKDOWN!C$4:C$165,A44,BREAKDOWN!W$4:W$165)+SUMIF(BREAKDOWN!D$4:D$165,A44,BREAKDOWN!X$4:X$165)+SUMIF(BREAKDOWN!E$4:E$165,A44,BREAKDOWN!Y$4:Y$165))*(1+SUM(BREAKDOWN!I199:I200))</f>
        <v>0</v>
      </c>
    </row>
    <row r="45" spans="1:5" x14ac:dyDescent="0.25">
      <c r="A45" s="173" t="str">
        <f t="shared" si="0"/>
        <v>1200</v>
      </c>
      <c r="B45" s="224" t="s">
        <v>421</v>
      </c>
      <c r="C45" s="216" t="s">
        <v>422</v>
      </c>
      <c r="D45" s="178">
        <f>SUMIF(BREAKDOWN!F$4:F$165,A45,BREAKDOWN!Q$4:Q$165)+SUMIF(BREAKDOWN!A$4:A$165,A45,BREAKDOWN!U$4:U$165)+SUMIF(BREAKDOWN!B$4:B$165,A45,BREAKDOWN!V$4:V$165)+SUMIF(BREAKDOWN!C$4:C$165,A45,BREAKDOWN!W$4:W$165)+SUMIF(BREAKDOWN!D$4:D$165,A45,BREAKDOWN!X$4:X$165)+SUMIF(BREAKDOWN!E$4:E$165,A45,BREAKDOWN!Y$4:Y$165)</f>
        <v>0</v>
      </c>
      <c r="E45" s="178">
        <f>(SUMIF(BREAKDOWN!F$4:F$165,A45,BREAKDOWN!Q$4:Q$165)+SUMIF(BREAKDOWN!A$4:A$165,A45,BREAKDOWN!U$4:U$165)+SUMIF(BREAKDOWN!B$4:B$165,A45,BREAKDOWN!V$4:V$165)+SUMIF(BREAKDOWN!C$4:C$165,A45,BREAKDOWN!W$4:W$165)+SUMIF(BREAKDOWN!D$4:D$165,A45,BREAKDOWN!X$4:X$165)+SUMIF(BREAKDOWN!E$4:E$165,A45,BREAKDOWN!Y$4:Y$165))*(1+SUM(BREAKDOWN!I200:I201))</f>
        <v>0</v>
      </c>
    </row>
    <row r="46" spans="1:5" x14ac:dyDescent="0.25">
      <c r="A46" s="173" t="str">
        <f t="shared" si="0"/>
        <v>2000</v>
      </c>
      <c r="B46" s="224" t="s">
        <v>423</v>
      </c>
      <c r="C46" s="216" t="s">
        <v>424</v>
      </c>
      <c r="D46" s="178">
        <f>SUMIF(BREAKDOWN!F$4:F$165,A46,BREAKDOWN!Q$4:Q$165)+SUMIF(BREAKDOWN!A$4:A$165,A46,BREAKDOWN!U$4:U$165)+SUMIF(BREAKDOWN!B$4:B$165,A46,BREAKDOWN!V$4:V$165)+SUMIF(BREAKDOWN!C$4:C$165,A46,BREAKDOWN!W$4:W$165)+SUMIF(BREAKDOWN!D$4:D$165,A46,BREAKDOWN!X$4:X$165)+SUMIF(BREAKDOWN!E$4:E$165,A46,BREAKDOWN!Y$4:Y$165)</f>
        <v>0</v>
      </c>
      <c r="E46" s="178">
        <f>(SUMIF(BREAKDOWN!F$4:F$165,A46,BREAKDOWN!Q$4:Q$165)+SUMIF(BREAKDOWN!A$4:A$165,A46,BREAKDOWN!U$4:U$165)+SUMIF(BREAKDOWN!B$4:B$165,A46,BREAKDOWN!V$4:V$165)+SUMIF(BREAKDOWN!C$4:C$165,A46,BREAKDOWN!W$4:W$165)+SUMIF(BREAKDOWN!D$4:D$165,A46,BREAKDOWN!X$4:X$165)+SUMIF(BREAKDOWN!E$4:E$165,A46,BREAKDOWN!Y$4:Y$165))*(1+SUM(BREAKDOWN!I201:I202))</f>
        <v>0</v>
      </c>
    </row>
    <row r="47" spans="1:5" x14ac:dyDescent="0.25">
      <c r="A47" s="173" t="str">
        <f t="shared" si="0"/>
        <v>2100</v>
      </c>
      <c r="B47" s="224" t="s">
        <v>425</v>
      </c>
      <c r="C47" s="216" t="s">
        <v>426</v>
      </c>
      <c r="D47" s="178">
        <f>SUMIF(BREAKDOWN!F$4:F$165,A47,BREAKDOWN!Q$4:Q$165)+SUMIF(BREAKDOWN!A$4:A$165,A47,BREAKDOWN!U$4:U$165)+SUMIF(BREAKDOWN!B$4:B$165,A47,BREAKDOWN!V$4:V$165)+SUMIF(BREAKDOWN!C$4:C$165,A47,BREAKDOWN!W$4:W$165)+SUMIF(BREAKDOWN!D$4:D$165,A47,BREAKDOWN!X$4:X$165)+SUMIF(BREAKDOWN!E$4:E$165,A47,BREAKDOWN!Y$4:Y$165)</f>
        <v>0</v>
      </c>
      <c r="E47" s="178">
        <f>(SUMIF(BREAKDOWN!F$4:F$165,A47,BREAKDOWN!Q$4:Q$165)+SUMIF(BREAKDOWN!A$4:A$165,A47,BREAKDOWN!U$4:U$165)+SUMIF(BREAKDOWN!B$4:B$165,A47,BREAKDOWN!V$4:V$165)+SUMIF(BREAKDOWN!C$4:C$165,A47,BREAKDOWN!W$4:W$165)+SUMIF(BREAKDOWN!D$4:D$165,A47,BREAKDOWN!X$4:X$165)+SUMIF(BREAKDOWN!E$4:E$165,A47,BREAKDOWN!Y$4:Y$165))*(1+SUM(BREAKDOWN!I202:I203))</f>
        <v>0</v>
      </c>
    </row>
    <row r="48" spans="1:5" x14ac:dyDescent="0.25">
      <c r="A48" s="173" t="str">
        <f t="shared" si="0"/>
        <v>2200</v>
      </c>
      <c r="B48" s="224" t="s">
        <v>427</v>
      </c>
      <c r="C48" s="216" t="s">
        <v>428</v>
      </c>
      <c r="D48" s="178">
        <f>SUMIF(BREAKDOWN!F$4:F$165,A48,BREAKDOWN!Q$4:Q$165)+SUMIF(BREAKDOWN!A$4:A$165,A48,BREAKDOWN!U$4:U$165)+SUMIF(BREAKDOWN!B$4:B$165,A48,BREAKDOWN!V$4:V$165)+SUMIF(BREAKDOWN!C$4:C$165,A48,BREAKDOWN!W$4:W$165)+SUMIF(BREAKDOWN!D$4:D$165,A48,BREAKDOWN!X$4:X$165)+SUMIF(BREAKDOWN!E$4:E$165,A48,BREAKDOWN!Y$4:Y$165)</f>
        <v>0</v>
      </c>
      <c r="E48" s="178">
        <f>(SUMIF(BREAKDOWN!F$4:F$165,A48,BREAKDOWN!Q$4:Q$165)+SUMIF(BREAKDOWN!A$4:A$165,A48,BREAKDOWN!U$4:U$165)+SUMIF(BREAKDOWN!B$4:B$165,A48,BREAKDOWN!V$4:V$165)+SUMIF(BREAKDOWN!C$4:C$165,A48,BREAKDOWN!W$4:W$165)+SUMIF(BREAKDOWN!D$4:D$165,A48,BREAKDOWN!X$4:X$165)+SUMIF(BREAKDOWN!E$4:E$165,A48,BREAKDOWN!Y$4:Y$165))*(1+SUM(BREAKDOWN!I203:I204))</f>
        <v>0</v>
      </c>
    </row>
    <row r="49" spans="1:5" x14ac:dyDescent="0.25">
      <c r="A49" s="173" t="str">
        <f t="shared" si="0"/>
        <v>2300</v>
      </c>
      <c r="B49" s="224" t="s">
        <v>429</v>
      </c>
      <c r="C49" s="216" t="s">
        <v>430</v>
      </c>
      <c r="D49" s="178">
        <f>SUMIF(BREAKDOWN!F$4:F$165,A49,BREAKDOWN!Q$4:Q$165)+SUMIF(BREAKDOWN!A$4:A$165,A49,BREAKDOWN!U$4:U$165)+SUMIF(BREAKDOWN!B$4:B$165,A49,BREAKDOWN!V$4:V$165)+SUMIF(BREAKDOWN!C$4:C$165,A49,BREAKDOWN!W$4:W$165)+SUMIF(BREAKDOWN!D$4:D$165,A49,BREAKDOWN!X$4:X$165)+SUMIF(BREAKDOWN!E$4:E$165,A49,BREAKDOWN!Y$4:Y$165)</f>
        <v>0</v>
      </c>
      <c r="E49" s="178">
        <f>(SUMIF(BREAKDOWN!F$4:F$165,A49,BREAKDOWN!Q$4:Q$165)+SUMIF(BREAKDOWN!A$4:A$165,A49,BREAKDOWN!U$4:U$165)+SUMIF(BREAKDOWN!B$4:B$165,A49,BREAKDOWN!V$4:V$165)+SUMIF(BREAKDOWN!C$4:C$165,A49,BREAKDOWN!W$4:W$165)+SUMIF(BREAKDOWN!D$4:D$165,A49,BREAKDOWN!X$4:X$165)+SUMIF(BREAKDOWN!E$4:E$165,A49,BREAKDOWN!Y$4:Y$165))*(1+SUM(BREAKDOWN!I204:I205))</f>
        <v>0</v>
      </c>
    </row>
    <row r="50" spans="1:5" x14ac:dyDescent="0.25">
      <c r="A50" s="173" t="str">
        <f t="shared" si="0"/>
        <v>2400</v>
      </c>
      <c r="B50" s="224" t="s">
        <v>431</v>
      </c>
      <c r="C50" s="216" t="s">
        <v>432</v>
      </c>
      <c r="D50" s="178">
        <f>SUMIF(BREAKDOWN!F$4:F$165,A50,BREAKDOWN!Q$4:Q$165)+SUMIF(BREAKDOWN!A$4:A$165,A50,BREAKDOWN!U$4:U$165)+SUMIF(BREAKDOWN!B$4:B$165,A50,BREAKDOWN!V$4:V$165)+SUMIF(BREAKDOWN!C$4:C$165,A50,BREAKDOWN!W$4:W$165)+SUMIF(BREAKDOWN!D$4:D$165,A50,BREAKDOWN!X$4:X$165)+SUMIF(BREAKDOWN!E$4:E$165,A50,BREAKDOWN!Y$4:Y$165)</f>
        <v>0</v>
      </c>
      <c r="E50" s="178">
        <f>(SUMIF(BREAKDOWN!F$4:F$165,A50,BREAKDOWN!Q$4:Q$165)+SUMIF(BREAKDOWN!A$4:A$165,A50,BREAKDOWN!U$4:U$165)+SUMIF(BREAKDOWN!B$4:B$165,A50,BREAKDOWN!V$4:V$165)+SUMIF(BREAKDOWN!C$4:C$165,A50,BREAKDOWN!W$4:W$165)+SUMIF(BREAKDOWN!D$4:D$165,A50,BREAKDOWN!X$4:X$165)+SUMIF(BREAKDOWN!E$4:E$165,A50,BREAKDOWN!Y$4:Y$165))*(1+SUM(BREAKDOWN!I205:I206))</f>
        <v>0</v>
      </c>
    </row>
    <row r="51" spans="1:5" x14ac:dyDescent="0.25">
      <c r="A51" s="173" t="str">
        <f t="shared" si="0"/>
        <v>2500</v>
      </c>
      <c r="B51" s="224" t="s">
        <v>433</v>
      </c>
      <c r="C51" s="216" t="s">
        <v>604</v>
      </c>
      <c r="D51" s="178">
        <f>SUMIF(BREAKDOWN!F$4:F$165,A51,BREAKDOWN!Q$4:Q$165)+SUMIF(BREAKDOWN!A$4:A$165,A51,BREAKDOWN!U$4:U$165)+SUMIF(BREAKDOWN!B$4:B$165,A51,BREAKDOWN!V$4:V$165)+SUMIF(BREAKDOWN!C$4:C$165,A51,BREAKDOWN!W$4:W$165)+SUMIF(BREAKDOWN!D$4:D$165,A51,BREAKDOWN!X$4:X$165)+SUMIF(BREAKDOWN!E$4:E$165,A51,BREAKDOWN!Y$4:Y$165)</f>
        <v>0</v>
      </c>
      <c r="E51" s="178">
        <f>(SUMIF(BREAKDOWN!F$4:F$165,A51,BREAKDOWN!Q$4:Q$165)+SUMIF(BREAKDOWN!A$4:A$165,A51,BREAKDOWN!U$4:U$165)+SUMIF(BREAKDOWN!B$4:B$165,A51,BREAKDOWN!V$4:V$165)+SUMIF(BREAKDOWN!C$4:C$165,A51,BREAKDOWN!W$4:W$165)+SUMIF(BREAKDOWN!D$4:D$165,A51,BREAKDOWN!X$4:X$165)+SUMIF(BREAKDOWN!E$4:E$165,A51,BREAKDOWN!Y$4:Y$165))*(1+SUM(BREAKDOWN!I206:I207))</f>
        <v>0</v>
      </c>
    </row>
    <row r="52" spans="1:5" x14ac:dyDescent="0.25">
      <c r="A52" s="173" t="str">
        <f t="shared" si="0"/>
        <v>2600</v>
      </c>
      <c r="B52" s="224" t="s">
        <v>434</v>
      </c>
      <c r="C52" s="216" t="s">
        <v>435</v>
      </c>
      <c r="D52" s="178">
        <f>SUMIF(BREAKDOWN!F$4:F$165,A52,BREAKDOWN!Q$4:Q$165)+SUMIF(BREAKDOWN!A$4:A$165,A52,BREAKDOWN!U$4:U$165)+SUMIF(BREAKDOWN!B$4:B$165,A52,BREAKDOWN!V$4:V$165)+SUMIF(BREAKDOWN!C$4:C$165,A52,BREAKDOWN!W$4:W$165)+SUMIF(BREAKDOWN!D$4:D$165,A52,BREAKDOWN!X$4:X$165)+SUMIF(BREAKDOWN!E$4:E$165,A52,BREAKDOWN!Y$4:Y$165)</f>
        <v>0</v>
      </c>
      <c r="E52" s="178">
        <f>(SUMIF(BREAKDOWN!F$4:F$165,A52,BREAKDOWN!Q$4:Q$165)+SUMIF(BREAKDOWN!A$4:A$165,A52,BREAKDOWN!U$4:U$165)+SUMIF(BREAKDOWN!B$4:B$165,A52,BREAKDOWN!V$4:V$165)+SUMIF(BREAKDOWN!C$4:C$165,A52,BREAKDOWN!W$4:W$165)+SUMIF(BREAKDOWN!D$4:D$165,A52,BREAKDOWN!X$4:X$165)+SUMIF(BREAKDOWN!E$4:E$165,A52,BREAKDOWN!Y$4:Y$165))*(1+SUM(BREAKDOWN!I207:I208))</f>
        <v>0</v>
      </c>
    </row>
    <row r="53" spans="1:5" x14ac:dyDescent="0.25">
      <c r="A53" s="173" t="str">
        <f t="shared" si="0"/>
        <v>2700</v>
      </c>
      <c r="B53" s="224" t="s">
        <v>436</v>
      </c>
      <c r="C53" s="216" t="s">
        <v>437</v>
      </c>
      <c r="D53" s="178">
        <f>SUMIF(BREAKDOWN!F$4:F$165,A53,BREAKDOWN!Q$4:Q$165)+SUMIF(BREAKDOWN!A$4:A$165,A53,BREAKDOWN!U$4:U$165)+SUMIF(BREAKDOWN!B$4:B$165,A53,BREAKDOWN!V$4:V$165)+SUMIF(BREAKDOWN!C$4:C$165,A53,BREAKDOWN!W$4:W$165)+SUMIF(BREAKDOWN!D$4:D$165,A53,BREAKDOWN!X$4:X$165)+SUMIF(BREAKDOWN!E$4:E$165,A53,BREAKDOWN!Y$4:Y$165)</f>
        <v>0</v>
      </c>
      <c r="E53" s="178">
        <f>(SUMIF(BREAKDOWN!F$4:F$165,A53,BREAKDOWN!Q$4:Q$165)+SUMIF(BREAKDOWN!A$4:A$165,A53,BREAKDOWN!U$4:U$165)+SUMIF(BREAKDOWN!B$4:B$165,A53,BREAKDOWN!V$4:V$165)+SUMIF(BREAKDOWN!C$4:C$165,A53,BREAKDOWN!W$4:W$165)+SUMIF(BREAKDOWN!D$4:D$165,A53,BREAKDOWN!X$4:X$165)+SUMIF(BREAKDOWN!E$4:E$165,A53,BREAKDOWN!Y$4:Y$165))*(1+SUM(BREAKDOWN!I208:I209))</f>
        <v>0</v>
      </c>
    </row>
    <row r="54" spans="1:5" x14ac:dyDescent="0.25">
      <c r="A54" s="173" t="str">
        <f t="shared" si="0"/>
        <v>2800</v>
      </c>
      <c r="B54" s="224" t="s">
        <v>438</v>
      </c>
      <c r="C54" s="216" t="s">
        <v>439</v>
      </c>
      <c r="D54" s="178">
        <f>SUMIF(BREAKDOWN!F$4:F$165,A54,BREAKDOWN!Q$4:Q$165)+SUMIF(BREAKDOWN!A$4:A$165,A54,BREAKDOWN!U$4:U$165)+SUMIF(BREAKDOWN!B$4:B$165,A54,BREAKDOWN!V$4:V$165)+SUMIF(BREAKDOWN!C$4:C$165,A54,BREAKDOWN!W$4:W$165)+SUMIF(BREAKDOWN!D$4:D$165,A54,BREAKDOWN!X$4:X$165)+SUMIF(BREAKDOWN!E$4:E$165,A54,BREAKDOWN!Y$4:Y$165)</f>
        <v>0</v>
      </c>
      <c r="E54" s="178">
        <f>(SUMIF(BREAKDOWN!F$4:F$165,A54,BREAKDOWN!Q$4:Q$165)+SUMIF(BREAKDOWN!A$4:A$165,A54,BREAKDOWN!U$4:U$165)+SUMIF(BREAKDOWN!B$4:B$165,A54,BREAKDOWN!V$4:V$165)+SUMIF(BREAKDOWN!C$4:C$165,A54,BREAKDOWN!W$4:W$165)+SUMIF(BREAKDOWN!D$4:D$165,A54,BREAKDOWN!X$4:X$165)+SUMIF(BREAKDOWN!E$4:E$165,A54,BREAKDOWN!Y$4:Y$165))*(1+SUM(BREAKDOWN!I209:I210))</f>
        <v>0</v>
      </c>
    </row>
    <row r="55" spans="1:5" x14ac:dyDescent="0.25">
      <c r="A55" s="173" t="str">
        <f t="shared" si="0"/>
        <v>2821</v>
      </c>
      <c r="B55" s="224" t="s">
        <v>438</v>
      </c>
      <c r="C55" s="216" t="s">
        <v>440</v>
      </c>
      <c r="D55" s="178">
        <f>SUMIF(BREAKDOWN!F$4:F$165,A55,BREAKDOWN!Q$4:Q$165)+SUMIF(BREAKDOWN!A$4:A$165,A55,BREAKDOWN!U$4:U$165)+SUMIF(BREAKDOWN!B$4:B$165,A55,BREAKDOWN!V$4:V$165)+SUMIF(BREAKDOWN!C$4:C$165,A55,BREAKDOWN!W$4:W$165)+SUMIF(BREAKDOWN!D$4:D$165,A55,BREAKDOWN!X$4:X$165)+SUMIF(BREAKDOWN!E$4:E$165,A55,BREAKDOWN!Y$4:Y$165)</f>
        <v>0</v>
      </c>
      <c r="E55" s="178">
        <f>(SUMIF(BREAKDOWN!F$4:F$165,A55,BREAKDOWN!Q$4:Q$165)+SUMIF(BREAKDOWN!A$4:A$165,A55,BREAKDOWN!U$4:U$165)+SUMIF(BREAKDOWN!B$4:B$165,A55,BREAKDOWN!V$4:V$165)+SUMIF(BREAKDOWN!C$4:C$165,A55,BREAKDOWN!W$4:W$165)+SUMIF(BREAKDOWN!D$4:D$165,A55,BREAKDOWN!X$4:X$165)+SUMIF(BREAKDOWN!E$4:E$165,A55,BREAKDOWN!Y$4:Y$165))*(1+SUM(BREAKDOWN!I210:I211))</f>
        <v>0</v>
      </c>
    </row>
    <row r="56" spans="1:5" x14ac:dyDescent="0.25">
      <c r="A56" s="173" t="str">
        <f t="shared" si="0"/>
        <v>2830</v>
      </c>
      <c r="B56" s="224" t="s">
        <v>438</v>
      </c>
      <c r="C56" s="216" t="s">
        <v>441</v>
      </c>
      <c r="D56" s="178">
        <f>SUMIF(BREAKDOWN!F$4:F$165,A56,BREAKDOWN!Q$4:Q$165)+SUMIF(BREAKDOWN!A$4:A$165,A56,BREAKDOWN!U$4:U$165)+SUMIF(BREAKDOWN!B$4:B$165,A56,BREAKDOWN!V$4:V$165)+SUMIF(BREAKDOWN!C$4:C$165,A56,BREAKDOWN!W$4:W$165)+SUMIF(BREAKDOWN!D$4:D$165,A56,BREAKDOWN!X$4:X$165)+SUMIF(BREAKDOWN!E$4:E$165,A56,BREAKDOWN!Y$4:Y$165)</f>
        <v>0</v>
      </c>
      <c r="E56" s="178">
        <f>(SUMIF(BREAKDOWN!F$4:F$165,A56,BREAKDOWN!Q$4:Q$165)+SUMIF(BREAKDOWN!A$4:A$165,A56,BREAKDOWN!U$4:U$165)+SUMIF(BREAKDOWN!B$4:B$165,A56,BREAKDOWN!V$4:V$165)+SUMIF(BREAKDOWN!C$4:C$165,A56,BREAKDOWN!W$4:W$165)+SUMIF(BREAKDOWN!D$4:D$165,A56,BREAKDOWN!X$4:X$165)+SUMIF(BREAKDOWN!E$4:E$165,A56,BREAKDOWN!Y$4:Y$165))*(1+SUM(BREAKDOWN!I211:I212))</f>
        <v>0</v>
      </c>
    </row>
    <row r="57" spans="1:5" x14ac:dyDescent="0.25">
      <c r="A57" s="173" t="str">
        <f t="shared" si="0"/>
        <v>2900</v>
      </c>
      <c r="B57" s="224" t="s">
        <v>627</v>
      </c>
      <c r="C57" s="216" t="s">
        <v>442</v>
      </c>
      <c r="D57" s="178">
        <f>SUMIF(BREAKDOWN!F$4:F$165,A57,BREAKDOWN!Q$4:Q$165)+SUMIF(BREAKDOWN!A$4:A$165,A57,BREAKDOWN!U$4:U$165)+SUMIF(BREAKDOWN!B$4:B$165,A57,BREAKDOWN!V$4:V$165)+SUMIF(BREAKDOWN!C$4:C$165,A57,BREAKDOWN!W$4:W$165)+SUMIF(BREAKDOWN!D$4:D$165,A57,BREAKDOWN!X$4:X$165)+SUMIF(BREAKDOWN!E$4:E$165,A57,BREAKDOWN!Y$4:Y$165)</f>
        <v>0</v>
      </c>
      <c r="E57" s="178">
        <f>(SUMIF(BREAKDOWN!F$4:F$165,A57,BREAKDOWN!Q$4:Q$165)+SUMIF(BREAKDOWN!A$4:A$165,A57,BREAKDOWN!U$4:U$165)+SUMIF(BREAKDOWN!B$4:B$165,A57,BREAKDOWN!V$4:V$165)+SUMIF(BREAKDOWN!C$4:C$165,A57,BREAKDOWN!W$4:W$165)+SUMIF(BREAKDOWN!D$4:D$165,A57,BREAKDOWN!X$4:X$165)+SUMIF(BREAKDOWN!E$4:E$165,A57,BREAKDOWN!Y$4:Y$165))*(1+SUM(BREAKDOWN!I212:I213))</f>
        <v>0</v>
      </c>
    </row>
    <row r="58" spans="1:5" x14ac:dyDescent="0.25">
      <c r="A58" s="173" t="str">
        <f t="shared" si="0"/>
        <v>2930</v>
      </c>
      <c r="B58" s="224" t="s">
        <v>627</v>
      </c>
      <c r="C58" s="216" t="s">
        <v>443</v>
      </c>
      <c r="D58" s="178">
        <f>SUMIF(BREAKDOWN!F$4:F$165,A58,BREAKDOWN!Q$4:Q$165)+SUMIF(BREAKDOWN!A$4:A$165,A58,BREAKDOWN!U$4:U$165)+SUMIF(BREAKDOWN!B$4:B$165,A58,BREAKDOWN!V$4:V$165)+SUMIF(BREAKDOWN!C$4:C$165,A58,BREAKDOWN!W$4:W$165)+SUMIF(BREAKDOWN!D$4:D$165,A58,BREAKDOWN!X$4:X$165)+SUMIF(BREAKDOWN!E$4:E$165,A58,BREAKDOWN!Y$4:Y$165)</f>
        <v>0</v>
      </c>
      <c r="E58" s="178">
        <f>(SUMIF(BREAKDOWN!F$4:F$165,A58,BREAKDOWN!Q$4:Q$165)+SUMIF(BREAKDOWN!A$4:A$165,A58,BREAKDOWN!U$4:U$165)+SUMIF(BREAKDOWN!B$4:B$165,A58,BREAKDOWN!V$4:V$165)+SUMIF(BREAKDOWN!C$4:C$165,A58,BREAKDOWN!W$4:W$165)+SUMIF(BREAKDOWN!D$4:D$165,A58,BREAKDOWN!X$4:X$165)+SUMIF(BREAKDOWN!E$4:E$165,A58,BREAKDOWN!Y$4:Y$165))*(1+SUM(BREAKDOWN!I213:I214))</f>
        <v>0</v>
      </c>
    </row>
    <row r="59" spans="1:5" x14ac:dyDescent="0.25">
      <c r="A59" s="173" t="str">
        <f t="shared" si="0"/>
        <v>3000</v>
      </c>
      <c r="B59" s="224" t="s">
        <v>628</v>
      </c>
      <c r="C59" s="216" t="s">
        <v>444</v>
      </c>
      <c r="D59" s="178">
        <f>SUMIF(BREAKDOWN!F$4:F$165,A59,BREAKDOWN!Q$4:Q$165)+SUMIF(BREAKDOWN!A$4:A$165,A59,BREAKDOWN!U$4:U$165)+SUMIF(BREAKDOWN!B$4:B$165,A59,BREAKDOWN!V$4:V$165)+SUMIF(BREAKDOWN!C$4:C$165,A59,BREAKDOWN!W$4:W$165)+SUMIF(BREAKDOWN!D$4:D$165,A59,BREAKDOWN!X$4:X$165)+SUMIF(BREAKDOWN!E$4:E$165,A59,BREAKDOWN!Y$4:Y$165)</f>
        <v>0</v>
      </c>
      <c r="E59" s="178">
        <f>(SUMIF(BREAKDOWN!F$4:F$165,A59,BREAKDOWN!Q$4:Q$165)+SUMIF(BREAKDOWN!A$4:A$165,A59,BREAKDOWN!U$4:U$165)+SUMIF(BREAKDOWN!B$4:B$165,A59,BREAKDOWN!V$4:V$165)+SUMIF(BREAKDOWN!C$4:C$165,A59,BREAKDOWN!W$4:W$165)+SUMIF(BREAKDOWN!D$4:D$165,A59,BREAKDOWN!X$4:X$165)+SUMIF(BREAKDOWN!E$4:E$165,A59,BREAKDOWN!Y$4:Y$165))*(1+SUM(BREAKDOWN!I214:I215))</f>
        <v>0</v>
      </c>
    </row>
    <row r="60" spans="1:5" x14ac:dyDescent="0.25">
      <c r="A60" s="173" t="str">
        <f t="shared" si="0"/>
        <v>3200</v>
      </c>
      <c r="B60" s="224" t="s">
        <v>629</v>
      </c>
      <c r="C60" s="216" t="s">
        <v>445</v>
      </c>
      <c r="D60" s="178">
        <f>SUMIF(BREAKDOWN!F$4:F$165,A60,BREAKDOWN!Q$4:Q$165)+SUMIF(BREAKDOWN!A$4:A$165,A60,BREAKDOWN!U$4:U$165)+SUMIF(BREAKDOWN!B$4:B$165,A60,BREAKDOWN!V$4:V$165)+SUMIF(BREAKDOWN!C$4:C$165,A60,BREAKDOWN!W$4:W$165)+SUMIF(BREAKDOWN!D$4:D$165,A60,BREAKDOWN!X$4:X$165)+SUMIF(BREAKDOWN!E$4:E$165,A60,BREAKDOWN!Y$4:Y$165)</f>
        <v>0</v>
      </c>
      <c r="E60" s="178">
        <f>(SUMIF(BREAKDOWN!F$4:F$165,A60,BREAKDOWN!Q$4:Q$165)+SUMIF(BREAKDOWN!A$4:A$165,A60,BREAKDOWN!U$4:U$165)+SUMIF(BREAKDOWN!B$4:B$165,A60,BREAKDOWN!V$4:V$165)+SUMIF(BREAKDOWN!C$4:C$165,A60,BREAKDOWN!W$4:W$165)+SUMIF(BREAKDOWN!D$4:D$165,A60,BREAKDOWN!X$4:X$165)+SUMIF(BREAKDOWN!E$4:E$165,A60,BREAKDOWN!Y$4:Y$165))*(1+SUM(BREAKDOWN!I215:I216))</f>
        <v>0</v>
      </c>
    </row>
    <row r="61" spans="1:5" x14ac:dyDescent="0.25">
      <c r="A61" s="173" t="str">
        <f t="shared" si="0"/>
        <v>3224</v>
      </c>
      <c r="B61" s="224" t="s">
        <v>629</v>
      </c>
      <c r="C61" s="216" t="s">
        <v>446</v>
      </c>
      <c r="D61" s="178">
        <f>SUMIF(BREAKDOWN!F$4:F$165,A61,BREAKDOWN!Q$4:Q$165)+SUMIF(BREAKDOWN!A$4:A$165,A61,BREAKDOWN!U$4:U$165)+SUMIF(BREAKDOWN!B$4:B$165,A61,BREAKDOWN!V$4:V$165)+SUMIF(BREAKDOWN!C$4:C$165,A61,BREAKDOWN!W$4:W$165)+SUMIF(BREAKDOWN!D$4:D$165,A61,BREAKDOWN!X$4:X$165)+SUMIF(BREAKDOWN!E$4:E$165,A61,BREAKDOWN!Y$4:Y$165)</f>
        <v>0</v>
      </c>
      <c r="E61" s="178">
        <f>(SUMIF(BREAKDOWN!F$4:F$165,A61,BREAKDOWN!Q$4:Q$165)+SUMIF(BREAKDOWN!A$4:A$165,A61,BREAKDOWN!U$4:U$165)+SUMIF(BREAKDOWN!B$4:B$165,A61,BREAKDOWN!V$4:V$165)+SUMIF(BREAKDOWN!C$4:C$165,A61,BREAKDOWN!W$4:W$165)+SUMIF(BREAKDOWN!D$4:D$165,A61,BREAKDOWN!X$4:X$165)+SUMIF(BREAKDOWN!E$4:E$165,A61,BREAKDOWN!Y$4:Y$165))*(1+SUM(BREAKDOWN!I216:I217))</f>
        <v>0</v>
      </c>
    </row>
    <row r="62" spans="1:5" x14ac:dyDescent="0.25">
      <c r="A62" s="173" t="str">
        <f t="shared" si="0"/>
        <v>3300</v>
      </c>
      <c r="B62" s="224" t="s">
        <v>630</v>
      </c>
      <c r="C62" s="216" t="s">
        <v>447</v>
      </c>
      <c r="D62" s="178">
        <f>SUMIF(BREAKDOWN!F$4:F$165,A62,BREAKDOWN!Q$4:Q$165)+SUMIF(BREAKDOWN!A$4:A$165,A62,BREAKDOWN!U$4:U$165)+SUMIF(BREAKDOWN!B$4:B$165,A62,BREAKDOWN!V$4:V$165)+SUMIF(BREAKDOWN!C$4:C$165,A62,BREAKDOWN!W$4:W$165)+SUMIF(BREAKDOWN!D$4:D$165,A62,BREAKDOWN!X$4:X$165)+SUMIF(BREAKDOWN!E$4:E$165,A62,BREAKDOWN!Y$4:Y$165)</f>
        <v>0</v>
      </c>
      <c r="E62" s="178">
        <f>(SUMIF(BREAKDOWN!F$4:F$165,A62,BREAKDOWN!Q$4:Q$165)+SUMIF(BREAKDOWN!A$4:A$165,A62,BREAKDOWN!U$4:U$165)+SUMIF(BREAKDOWN!B$4:B$165,A62,BREAKDOWN!V$4:V$165)+SUMIF(BREAKDOWN!C$4:C$165,A62,BREAKDOWN!W$4:W$165)+SUMIF(BREAKDOWN!D$4:D$165,A62,BREAKDOWN!X$4:X$165)+SUMIF(BREAKDOWN!E$4:E$165,A62,BREAKDOWN!Y$4:Y$165))*(1+SUM(BREAKDOWN!I217:I218))</f>
        <v>0</v>
      </c>
    </row>
    <row r="63" spans="1:5" x14ac:dyDescent="0.25">
      <c r="A63" s="173" t="str">
        <f t="shared" si="0"/>
        <v>3421</v>
      </c>
      <c r="B63" s="224" t="s">
        <v>631</v>
      </c>
      <c r="C63" s="216" t="s">
        <v>448</v>
      </c>
      <c r="D63" s="178">
        <f>SUMIF(BREAKDOWN!F$4:F$165,A63,BREAKDOWN!Q$4:Q$165)+SUMIF(BREAKDOWN!A$4:A$165,A63,BREAKDOWN!U$4:U$165)+SUMIF(BREAKDOWN!B$4:B$165,A63,BREAKDOWN!V$4:V$165)+SUMIF(BREAKDOWN!C$4:C$165,A63,BREAKDOWN!W$4:W$165)+SUMIF(BREAKDOWN!D$4:D$165,A63,BREAKDOWN!X$4:X$165)+SUMIF(BREAKDOWN!E$4:E$165,A63,BREAKDOWN!Y$4:Y$165)</f>
        <v>0</v>
      </c>
      <c r="E63" s="178">
        <f>(SUMIF(BREAKDOWN!F$4:F$165,A63,BREAKDOWN!Q$4:Q$165)+SUMIF(BREAKDOWN!A$4:A$165,A63,BREAKDOWN!U$4:U$165)+SUMIF(BREAKDOWN!B$4:B$165,A63,BREAKDOWN!V$4:V$165)+SUMIF(BREAKDOWN!C$4:C$165,A63,BREAKDOWN!W$4:W$165)+SUMIF(BREAKDOWN!D$4:D$165,A63,BREAKDOWN!X$4:X$165)+SUMIF(BREAKDOWN!E$4:E$165,A63,BREAKDOWN!Y$4:Y$165))*(1+SUM(BREAKDOWN!I218:I219))</f>
        <v>0</v>
      </c>
    </row>
    <row r="64" spans="1:5" x14ac:dyDescent="0.25">
      <c r="A64" s="173" t="str">
        <f t="shared" si="0"/>
        <v>3500</v>
      </c>
      <c r="B64" s="224" t="s">
        <v>632</v>
      </c>
      <c r="C64" s="216" t="s">
        <v>449</v>
      </c>
      <c r="D64" s="178">
        <f>SUMIF(BREAKDOWN!F$4:F$165,A64,BREAKDOWN!Q$4:Q$165)+SUMIF(BREAKDOWN!A$4:A$165,A64,BREAKDOWN!U$4:U$165)+SUMIF(BREAKDOWN!B$4:B$165,A64,BREAKDOWN!V$4:V$165)+SUMIF(BREAKDOWN!C$4:C$165,A64,BREAKDOWN!W$4:W$165)+SUMIF(BREAKDOWN!D$4:D$165,A64,BREAKDOWN!X$4:X$165)+SUMIF(BREAKDOWN!E$4:E$165,A64,BREAKDOWN!Y$4:Y$165)</f>
        <v>0</v>
      </c>
      <c r="E64" s="178">
        <f>(SUMIF(BREAKDOWN!F$4:F$165,A64,BREAKDOWN!Q$4:Q$165)+SUMIF(BREAKDOWN!A$4:A$165,A64,BREAKDOWN!U$4:U$165)+SUMIF(BREAKDOWN!B$4:B$165,A64,BREAKDOWN!V$4:V$165)+SUMIF(BREAKDOWN!C$4:C$165,A64,BREAKDOWN!W$4:W$165)+SUMIF(BREAKDOWN!D$4:D$165,A64,BREAKDOWN!X$4:X$165)+SUMIF(BREAKDOWN!E$4:E$165,A64,BREAKDOWN!Y$4:Y$165))*(1+SUM(BREAKDOWN!I219:I220))</f>
        <v>0</v>
      </c>
    </row>
    <row r="65" spans="1:5" x14ac:dyDescent="0.25">
      <c r="A65" s="173" t="str">
        <f t="shared" si="0"/>
        <v>3600</v>
      </c>
      <c r="B65" s="224" t="s">
        <v>633</v>
      </c>
      <c r="C65" s="216" t="s">
        <v>450</v>
      </c>
      <c r="D65" s="178">
        <f>SUMIF(BREAKDOWN!F$4:F$165,A65,BREAKDOWN!Q$4:Q$165)+SUMIF(BREAKDOWN!A$4:A$165,A65,BREAKDOWN!U$4:U$165)+SUMIF(BREAKDOWN!B$4:B$165,A65,BREAKDOWN!V$4:V$165)+SUMIF(BREAKDOWN!C$4:C$165,A65,BREAKDOWN!W$4:W$165)+SUMIF(BREAKDOWN!D$4:D$165,A65,BREAKDOWN!X$4:X$165)+SUMIF(BREAKDOWN!E$4:E$165,A65,BREAKDOWN!Y$4:Y$165)</f>
        <v>0</v>
      </c>
      <c r="E65" s="178">
        <f>(SUMIF(BREAKDOWN!F$4:F$165,A65,BREAKDOWN!Q$4:Q$165)+SUMIF(BREAKDOWN!A$4:A$165,A65,BREAKDOWN!U$4:U$165)+SUMIF(BREAKDOWN!B$4:B$165,A65,BREAKDOWN!V$4:V$165)+SUMIF(BREAKDOWN!C$4:C$165,A65,BREAKDOWN!W$4:W$165)+SUMIF(BREAKDOWN!D$4:D$165,A65,BREAKDOWN!X$4:X$165)+SUMIF(BREAKDOWN!E$4:E$165,A65,BREAKDOWN!Y$4:Y$165))*(1+SUM(BREAKDOWN!I220:I221))</f>
        <v>0</v>
      </c>
    </row>
    <row r="66" spans="1:5" x14ac:dyDescent="0.25">
      <c r="A66" s="173" t="str">
        <f t="shared" si="0"/>
        <v>3700</v>
      </c>
      <c r="B66" s="224" t="s">
        <v>634</v>
      </c>
      <c r="C66" s="216" t="s">
        <v>451</v>
      </c>
      <c r="D66" s="178">
        <f>SUMIF(BREAKDOWN!F$4:F$165,A66,BREAKDOWN!Q$4:Q$165)+SUMIF(BREAKDOWN!A$4:A$165,A66,BREAKDOWN!U$4:U$165)+SUMIF(BREAKDOWN!B$4:B$165,A66,BREAKDOWN!V$4:V$165)+SUMIF(BREAKDOWN!C$4:C$165,A66,BREAKDOWN!W$4:W$165)+SUMIF(BREAKDOWN!D$4:D$165,A66,BREAKDOWN!X$4:X$165)+SUMIF(BREAKDOWN!E$4:E$165,A66,BREAKDOWN!Y$4:Y$165)</f>
        <v>0</v>
      </c>
      <c r="E66" s="178">
        <f>(SUMIF(BREAKDOWN!F$4:F$165,A66,BREAKDOWN!Q$4:Q$165)+SUMIF(BREAKDOWN!A$4:A$165,A66,BREAKDOWN!U$4:U$165)+SUMIF(BREAKDOWN!B$4:B$165,A66,BREAKDOWN!V$4:V$165)+SUMIF(BREAKDOWN!C$4:C$165,A66,BREAKDOWN!W$4:W$165)+SUMIF(BREAKDOWN!D$4:D$165,A66,BREAKDOWN!X$4:X$165)+SUMIF(BREAKDOWN!E$4:E$165,A66,BREAKDOWN!Y$4:Y$165))*(1+SUM(BREAKDOWN!I221:I222))</f>
        <v>0</v>
      </c>
    </row>
    <row r="67" spans="1:5" x14ac:dyDescent="0.25">
      <c r="A67" s="173" t="str">
        <f t="shared" si="0"/>
        <v>4000</v>
      </c>
      <c r="B67" s="224" t="s">
        <v>635</v>
      </c>
      <c r="C67" s="216" t="s">
        <v>452</v>
      </c>
      <c r="D67" s="178">
        <f>SUMIF(BREAKDOWN!F$4:F$165,A67,BREAKDOWN!Q$4:Q$165)+SUMIF(BREAKDOWN!A$4:A$165,A67,BREAKDOWN!U$4:U$165)+SUMIF(BREAKDOWN!B$4:B$165,A67,BREAKDOWN!V$4:V$165)+SUMIF(BREAKDOWN!C$4:C$165,A67,BREAKDOWN!W$4:W$165)+SUMIF(BREAKDOWN!D$4:D$165,A67,BREAKDOWN!X$4:X$165)+SUMIF(BREAKDOWN!E$4:E$165,A67,BREAKDOWN!Y$4:Y$165)</f>
        <v>0</v>
      </c>
      <c r="E67" s="178">
        <f>(SUMIF(BREAKDOWN!F$4:F$165,A67,BREAKDOWN!Q$4:Q$165)+SUMIF(BREAKDOWN!A$4:A$165,A67,BREAKDOWN!U$4:U$165)+SUMIF(BREAKDOWN!B$4:B$165,A67,BREAKDOWN!V$4:V$165)+SUMIF(BREAKDOWN!C$4:C$165,A67,BREAKDOWN!W$4:W$165)+SUMIF(BREAKDOWN!D$4:D$165,A67,BREAKDOWN!X$4:X$165)+SUMIF(BREAKDOWN!E$4:E$165,A67,BREAKDOWN!Y$4:Y$165))*(1+SUM(BREAKDOWN!I222:I223))</f>
        <v>0</v>
      </c>
    </row>
    <row r="68" spans="1:5" x14ac:dyDescent="0.25">
      <c r="A68" s="173" t="str">
        <f t="shared" si="0"/>
        <v>4100</v>
      </c>
      <c r="B68" s="224" t="s">
        <v>636</v>
      </c>
      <c r="C68" s="216" t="s">
        <v>453</v>
      </c>
      <c r="D68" s="178">
        <f>SUMIF(BREAKDOWN!F$4:F$165,A68,BREAKDOWN!Q$4:Q$165)+SUMIF(BREAKDOWN!A$4:A$165,A68,BREAKDOWN!U$4:U$165)+SUMIF(BREAKDOWN!B$4:B$165,A68,BREAKDOWN!V$4:V$165)+SUMIF(BREAKDOWN!C$4:C$165,A68,BREAKDOWN!W$4:W$165)+SUMIF(BREAKDOWN!D$4:D$165,A68,BREAKDOWN!X$4:X$165)+SUMIF(BREAKDOWN!E$4:E$165,A68,BREAKDOWN!Y$4:Y$165)</f>
        <v>0</v>
      </c>
      <c r="E68" s="178">
        <f>(SUMIF(BREAKDOWN!F$4:F$165,A68,BREAKDOWN!Q$4:Q$165)+SUMIF(BREAKDOWN!A$4:A$165,A68,BREAKDOWN!U$4:U$165)+SUMIF(BREAKDOWN!B$4:B$165,A68,BREAKDOWN!V$4:V$165)+SUMIF(BREAKDOWN!C$4:C$165,A68,BREAKDOWN!W$4:W$165)+SUMIF(BREAKDOWN!D$4:D$165,A68,BREAKDOWN!X$4:X$165)+SUMIF(BREAKDOWN!E$4:E$165,A68,BREAKDOWN!Y$4:Y$165))*(1+SUM(BREAKDOWN!I223:I224))</f>
        <v>0</v>
      </c>
    </row>
    <row r="69" spans="1:5" x14ac:dyDescent="0.25">
      <c r="A69" s="173" t="str">
        <f t="shared" si="0"/>
        <v>4200</v>
      </c>
      <c r="B69" s="224" t="s">
        <v>637</v>
      </c>
      <c r="C69" s="216" t="s">
        <v>454</v>
      </c>
      <c r="D69" s="178">
        <f>SUMIF(BREAKDOWN!F$4:F$165,A69,BREAKDOWN!Q$4:Q$165)+SUMIF(BREAKDOWN!A$4:A$165,A69,BREAKDOWN!U$4:U$165)+SUMIF(BREAKDOWN!B$4:B$165,A69,BREAKDOWN!V$4:V$165)+SUMIF(BREAKDOWN!C$4:C$165,A69,BREAKDOWN!W$4:W$165)+SUMIF(BREAKDOWN!D$4:D$165,A69,BREAKDOWN!X$4:X$165)+SUMIF(BREAKDOWN!E$4:E$165,A69,BREAKDOWN!Y$4:Y$165)</f>
        <v>0</v>
      </c>
      <c r="E69" s="178">
        <f>(SUMIF(BREAKDOWN!F$4:F$165,A69,BREAKDOWN!Q$4:Q$165)+SUMIF(BREAKDOWN!A$4:A$165,A69,BREAKDOWN!U$4:U$165)+SUMIF(BREAKDOWN!B$4:B$165,A69,BREAKDOWN!V$4:V$165)+SUMIF(BREAKDOWN!C$4:C$165,A69,BREAKDOWN!W$4:W$165)+SUMIF(BREAKDOWN!D$4:D$165,A69,BREAKDOWN!X$4:X$165)+SUMIF(BREAKDOWN!E$4:E$165,A69,BREAKDOWN!Y$4:Y$165))*(1+SUM(BREAKDOWN!I224:I225))</f>
        <v>0</v>
      </c>
    </row>
    <row r="70" spans="1:5" x14ac:dyDescent="0.25">
      <c r="A70" s="173" t="str">
        <f t="shared" si="0"/>
        <v>4300</v>
      </c>
      <c r="B70" s="224" t="s">
        <v>638</v>
      </c>
      <c r="C70" s="216" t="s">
        <v>455</v>
      </c>
      <c r="D70" s="178">
        <f>SUMIF(BREAKDOWN!F$4:F$165,A70,BREAKDOWN!Q$4:Q$165)+SUMIF(BREAKDOWN!A$4:A$165,A70,BREAKDOWN!U$4:U$165)+SUMIF(BREAKDOWN!B$4:B$165,A70,BREAKDOWN!V$4:V$165)+SUMIF(BREAKDOWN!C$4:C$165,A70,BREAKDOWN!W$4:W$165)+SUMIF(BREAKDOWN!D$4:D$165,A70,BREAKDOWN!X$4:X$165)+SUMIF(BREAKDOWN!E$4:E$165,A70,BREAKDOWN!Y$4:Y$165)</f>
        <v>0</v>
      </c>
      <c r="E70" s="178">
        <f>(SUMIF(BREAKDOWN!F$4:F$165,A70,BREAKDOWN!Q$4:Q$165)+SUMIF(BREAKDOWN!A$4:A$165,A70,BREAKDOWN!U$4:U$165)+SUMIF(BREAKDOWN!B$4:B$165,A70,BREAKDOWN!V$4:V$165)+SUMIF(BREAKDOWN!C$4:C$165,A70,BREAKDOWN!W$4:W$165)+SUMIF(BREAKDOWN!D$4:D$165,A70,BREAKDOWN!X$4:X$165)+SUMIF(BREAKDOWN!E$4:E$165,A70,BREAKDOWN!Y$4:Y$165))*(1+SUM(BREAKDOWN!I225:I226))</f>
        <v>0</v>
      </c>
    </row>
    <row r="71" spans="1:5" x14ac:dyDescent="0.25">
      <c r="A71" s="173" t="str">
        <f t="shared" si="0"/>
        <v>4400</v>
      </c>
      <c r="B71" s="224" t="s">
        <v>639</v>
      </c>
      <c r="C71" s="216" t="s">
        <v>456</v>
      </c>
      <c r="D71" s="178">
        <f>SUMIF(BREAKDOWN!F$4:F$165,A71,BREAKDOWN!Q$4:Q$165)+SUMIF(BREAKDOWN!A$4:A$165,A71,BREAKDOWN!U$4:U$165)+SUMIF(BREAKDOWN!B$4:B$165,A71,BREAKDOWN!V$4:V$165)+SUMIF(BREAKDOWN!C$4:C$165,A71,BREAKDOWN!W$4:W$165)+SUMIF(BREAKDOWN!D$4:D$165,A71,BREAKDOWN!X$4:X$165)+SUMIF(BREAKDOWN!E$4:E$165,A71,BREAKDOWN!Y$4:Y$165)</f>
        <v>0</v>
      </c>
      <c r="E71" s="178">
        <f>(SUMIF(BREAKDOWN!F$4:F$165,A71,BREAKDOWN!Q$4:Q$165)+SUMIF(BREAKDOWN!A$4:A$165,A71,BREAKDOWN!U$4:U$165)+SUMIF(BREAKDOWN!B$4:B$165,A71,BREAKDOWN!V$4:V$165)+SUMIF(BREAKDOWN!C$4:C$165,A71,BREAKDOWN!W$4:W$165)+SUMIF(BREAKDOWN!D$4:D$165,A71,BREAKDOWN!X$4:X$165)+SUMIF(BREAKDOWN!E$4:E$165,A71,BREAKDOWN!Y$4:Y$165))*(1+SUM(BREAKDOWN!I226:I227))</f>
        <v>0</v>
      </c>
    </row>
    <row r="72" spans="1:5" x14ac:dyDescent="0.25">
      <c r="A72" s="173" t="str">
        <f t="shared" si="0"/>
        <v>4521</v>
      </c>
      <c r="B72" s="224" t="s">
        <v>640</v>
      </c>
      <c r="C72" s="216" t="s">
        <v>457</v>
      </c>
      <c r="D72" s="178">
        <f>SUMIF(BREAKDOWN!F$4:F$165,A72,BREAKDOWN!Q$4:Q$165)+SUMIF(BREAKDOWN!A$4:A$165,A72,BREAKDOWN!U$4:U$165)+SUMIF(BREAKDOWN!B$4:B$165,A72,BREAKDOWN!V$4:V$165)+SUMIF(BREAKDOWN!C$4:C$165,A72,BREAKDOWN!W$4:W$165)+SUMIF(BREAKDOWN!D$4:D$165,A72,BREAKDOWN!X$4:X$165)+SUMIF(BREAKDOWN!E$4:E$165,A72,BREAKDOWN!Y$4:Y$165)</f>
        <v>0</v>
      </c>
      <c r="E72" s="178">
        <f>(SUMIF(BREAKDOWN!F$4:F$165,A72,BREAKDOWN!Q$4:Q$165)+SUMIF(BREAKDOWN!A$4:A$165,A72,BREAKDOWN!U$4:U$165)+SUMIF(BREAKDOWN!B$4:B$165,A72,BREAKDOWN!V$4:V$165)+SUMIF(BREAKDOWN!C$4:C$165,A72,BREAKDOWN!W$4:W$165)+SUMIF(BREAKDOWN!D$4:D$165,A72,BREAKDOWN!X$4:X$165)+SUMIF(BREAKDOWN!E$4:E$165,A72,BREAKDOWN!Y$4:Y$165))*(1+SUM(BREAKDOWN!I227:I228))</f>
        <v>0</v>
      </c>
    </row>
    <row r="73" spans="1:5" x14ac:dyDescent="0.25">
      <c r="A73" s="173" t="str">
        <f t="shared" si="0"/>
        <v>4522</v>
      </c>
      <c r="B73" s="224" t="s">
        <v>640</v>
      </c>
      <c r="C73" s="216" t="s">
        <v>458</v>
      </c>
      <c r="D73" s="178">
        <f>SUMIF(BREAKDOWN!F$4:F$165,A73,BREAKDOWN!Q$4:Q$165)+SUMIF(BREAKDOWN!A$4:A$165,A73,BREAKDOWN!U$4:U$165)+SUMIF(BREAKDOWN!B$4:B$165,A73,BREAKDOWN!V$4:V$165)+SUMIF(BREAKDOWN!C$4:C$165,A73,BREAKDOWN!W$4:W$165)+SUMIF(BREAKDOWN!D$4:D$165,A73,BREAKDOWN!X$4:X$165)+SUMIF(BREAKDOWN!E$4:E$165,A73,BREAKDOWN!Y$4:Y$165)</f>
        <v>0</v>
      </c>
      <c r="E73" s="178">
        <f>(SUMIF(BREAKDOWN!F$4:F$165,A73,BREAKDOWN!Q$4:Q$165)+SUMIF(BREAKDOWN!A$4:A$165,A73,BREAKDOWN!U$4:U$165)+SUMIF(BREAKDOWN!B$4:B$165,A73,BREAKDOWN!V$4:V$165)+SUMIF(BREAKDOWN!C$4:C$165,A73,BREAKDOWN!W$4:W$165)+SUMIF(BREAKDOWN!D$4:D$165,A73,BREAKDOWN!X$4:X$165)+SUMIF(BREAKDOWN!E$4:E$165,A73,BREAKDOWN!Y$4:Y$165))*(1+SUM(BREAKDOWN!I228:I229))</f>
        <v>0</v>
      </c>
    </row>
    <row r="74" spans="1:5" x14ac:dyDescent="0.25">
      <c r="A74" s="173" t="str">
        <f t="shared" si="0"/>
        <v>4523</v>
      </c>
      <c r="B74" s="224" t="s">
        <v>640</v>
      </c>
      <c r="C74" s="216" t="s">
        <v>605</v>
      </c>
      <c r="D74" s="178">
        <f>SUMIF(BREAKDOWN!F$4:F$165,A74,BREAKDOWN!Q$4:Q$165)+SUMIF(BREAKDOWN!A$4:A$165,A74,BREAKDOWN!U$4:U$165)+SUMIF(BREAKDOWN!B$4:B$165,A74,BREAKDOWN!V$4:V$165)+SUMIF(BREAKDOWN!C$4:C$165,A74,BREAKDOWN!W$4:W$165)+SUMIF(BREAKDOWN!D$4:D$165,A74,BREAKDOWN!X$4:X$165)+SUMIF(BREAKDOWN!E$4:E$165,A74,BREAKDOWN!Y$4:Y$165)</f>
        <v>0</v>
      </c>
      <c r="E74" s="178">
        <f>(SUMIF(BREAKDOWN!F$4:F$165,A74,BREAKDOWN!Q$4:Q$165)+SUMIF(BREAKDOWN!A$4:A$165,A74,BREAKDOWN!U$4:U$165)+SUMIF(BREAKDOWN!B$4:B$165,A74,BREAKDOWN!V$4:V$165)+SUMIF(BREAKDOWN!C$4:C$165,A74,BREAKDOWN!W$4:W$165)+SUMIF(BREAKDOWN!D$4:D$165,A74,BREAKDOWN!X$4:X$165)+SUMIF(BREAKDOWN!E$4:E$165,A74,BREAKDOWN!Y$4:Y$165))*(1+SUM(BREAKDOWN!I229:I230))</f>
        <v>0</v>
      </c>
    </row>
    <row r="75" spans="1:5" x14ac:dyDescent="0.25">
      <c r="A75" s="173" t="str">
        <f t="shared" si="0"/>
        <v>4524</v>
      </c>
      <c r="B75" s="224" t="s">
        <v>640</v>
      </c>
      <c r="C75" s="216" t="s">
        <v>459</v>
      </c>
      <c r="D75" s="178">
        <f>SUMIF(BREAKDOWN!F$4:F$165,A75,BREAKDOWN!Q$4:Q$165)+SUMIF(BREAKDOWN!A$4:A$165,A75,BREAKDOWN!U$4:U$165)+SUMIF(BREAKDOWN!B$4:B$165,A75,BREAKDOWN!V$4:V$165)+SUMIF(BREAKDOWN!C$4:C$165,A75,BREAKDOWN!W$4:W$165)+SUMIF(BREAKDOWN!D$4:D$165,A75,BREAKDOWN!X$4:X$165)+SUMIF(BREAKDOWN!E$4:E$165,A75,BREAKDOWN!Y$4:Y$165)</f>
        <v>0</v>
      </c>
      <c r="E75" s="178">
        <f>(SUMIF(BREAKDOWN!F$4:F$165,A75,BREAKDOWN!Q$4:Q$165)+SUMIF(BREAKDOWN!A$4:A$165,A75,BREAKDOWN!U$4:U$165)+SUMIF(BREAKDOWN!B$4:B$165,A75,BREAKDOWN!V$4:V$165)+SUMIF(BREAKDOWN!C$4:C$165,A75,BREAKDOWN!W$4:W$165)+SUMIF(BREAKDOWN!D$4:D$165,A75,BREAKDOWN!X$4:X$165)+SUMIF(BREAKDOWN!E$4:E$165,A75,BREAKDOWN!Y$4:Y$165))*(1+SUM(BREAKDOWN!I230:I231))</f>
        <v>0</v>
      </c>
    </row>
    <row r="76" spans="1:5" x14ac:dyDescent="0.25">
      <c r="A76" s="173" t="str">
        <f t="shared" si="0"/>
        <v>4600</v>
      </c>
      <c r="B76" s="224" t="s">
        <v>641</v>
      </c>
      <c r="C76" s="216" t="s">
        <v>460</v>
      </c>
      <c r="D76" s="178">
        <f>SUMIF(BREAKDOWN!F$4:F$165,A76,BREAKDOWN!Q$4:Q$165)+SUMIF(BREAKDOWN!A$4:A$165,A76,BREAKDOWN!U$4:U$165)+SUMIF(BREAKDOWN!B$4:B$165,A76,BREAKDOWN!V$4:V$165)+SUMIF(BREAKDOWN!C$4:C$165,A76,BREAKDOWN!W$4:W$165)+SUMIF(BREAKDOWN!D$4:D$165,A76,BREAKDOWN!X$4:X$165)+SUMIF(BREAKDOWN!E$4:E$165,A76,BREAKDOWN!Y$4:Y$165)</f>
        <v>0</v>
      </c>
      <c r="E76" s="178">
        <f>(SUMIF(BREAKDOWN!F$4:F$165,A76,BREAKDOWN!Q$4:Q$165)+SUMIF(BREAKDOWN!A$4:A$165,A76,BREAKDOWN!U$4:U$165)+SUMIF(BREAKDOWN!B$4:B$165,A76,BREAKDOWN!V$4:V$165)+SUMIF(BREAKDOWN!C$4:C$165,A76,BREAKDOWN!W$4:W$165)+SUMIF(BREAKDOWN!D$4:D$165,A76,BREAKDOWN!X$4:X$165)+SUMIF(BREAKDOWN!E$4:E$165,A76,BREAKDOWN!Y$4:Y$165))*(1+SUM(BREAKDOWN!I231:I232))</f>
        <v>0</v>
      </c>
    </row>
    <row r="77" spans="1:5" x14ac:dyDescent="0.25">
      <c r="A77" s="173" t="str">
        <f t="shared" si="0"/>
        <v>4601</v>
      </c>
      <c r="B77" s="224" t="s">
        <v>641</v>
      </c>
      <c r="C77" s="216" t="s">
        <v>461</v>
      </c>
      <c r="D77" s="178">
        <f>SUMIF(BREAKDOWN!F$4:F$165,A77,BREAKDOWN!Q$4:Q$165)+SUMIF(BREAKDOWN!A$4:A$165,A77,BREAKDOWN!U$4:U$165)+SUMIF(BREAKDOWN!B$4:B$165,A77,BREAKDOWN!V$4:V$165)+SUMIF(BREAKDOWN!C$4:C$165,A77,BREAKDOWN!W$4:W$165)+SUMIF(BREAKDOWN!D$4:D$165,A77,BREAKDOWN!X$4:X$165)+SUMIF(BREAKDOWN!E$4:E$165,A77,BREAKDOWN!Y$4:Y$165)</f>
        <v>0</v>
      </c>
      <c r="E77" s="178">
        <f>(SUMIF(BREAKDOWN!F$4:F$165,A77,BREAKDOWN!Q$4:Q$165)+SUMIF(BREAKDOWN!A$4:A$165,A77,BREAKDOWN!U$4:U$165)+SUMIF(BREAKDOWN!B$4:B$165,A77,BREAKDOWN!V$4:V$165)+SUMIF(BREAKDOWN!C$4:C$165,A77,BREAKDOWN!W$4:W$165)+SUMIF(BREAKDOWN!D$4:D$165,A77,BREAKDOWN!X$4:X$165)+SUMIF(BREAKDOWN!E$4:E$165,A77,BREAKDOWN!Y$4:Y$165))*(1+SUM(BREAKDOWN!I232:I233))</f>
        <v>0</v>
      </c>
    </row>
    <row r="78" spans="1:5" x14ac:dyDescent="0.25">
      <c r="A78" s="173" t="str">
        <f t="shared" si="0"/>
        <v>4602</v>
      </c>
      <c r="B78" s="224" t="s">
        <v>642</v>
      </c>
      <c r="C78" s="216" t="s">
        <v>462</v>
      </c>
      <c r="D78" s="178">
        <f>SUMIF(BREAKDOWN!F$4:F$165,A78,BREAKDOWN!Q$4:Q$165)+SUMIF(BREAKDOWN!A$4:A$165,A78,BREAKDOWN!U$4:U$165)+SUMIF(BREAKDOWN!B$4:B$165,A78,BREAKDOWN!V$4:V$165)+SUMIF(BREAKDOWN!C$4:C$165,A78,BREAKDOWN!W$4:W$165)+SUMIF(BREAKDOWN!D$4:D$165,A78,BREAKDOWN!X$4:X$165)+SUMIF(BREAKDOWN!E$4:E$165,A78,BREAKDOWN!Y$4:Y$165)</f>
        <v>0</v>
      </c>
      <c r="E78" s="178">
        <f>(SUMIF(BREAKDOWN!F$4:F$165,A78,BREAKDOWN!Q$4:Q$165)+SUMIF(BREAKDOWN!A$4:A$165,A78,BREAKDOWN!U$4:U$165)+SUMIF(BREAKDOWN!B$4:B$165,A78,BREAKDOWN!V$4:V$165)+SUMIF(BREAKDOWN!C$4:C$165,A78,BREAKDOWN!W$4:W$165)+SUMIF(BREAKDOWN!D$4:D$165,A78,BREAKDOWN!X$4:X$165)+SUMIF(BREAKDOWN!E$4:E$165,A78,BREAKDOWN!Y$4:Y$165))*(1+SUM(BREAKDOWN!I233:I234))</f>
        <v>0</v>
      </c>
    </row>
    <row r="79" spans="1:5" x14ac:dyDescent="0.25">
      <c r="A79" s="173" t="str">
        <f t="shared" si="0"/>
        <v>4603</v>
      </c>
      <c r="B79" s="224" t="s">
        <v>641</v>
      </c>
      <c r="C79" s="216" t="s">
        <v>463</v>
      </c>
      <c r="D79" s="178">
        <f>SUMIF(BREAKDOWN!F$4:F$165,A79,BREAKDOWN!Q$4:Q$165)+SUMIF(BREAKDOWN!A$4:A$165,A79,BREAKDOWN!U$4:U$165)+SUMIF(BREAKDOWN!B$4:B$165,A79,BREAKDOWN!V$4:V$165)+SUMIF(BREAKDOWN!C$4:C$165,A79,BREAKDOWN!W$4:W$165)+SUMIF(BREAKDOWN!D$4:D$165,A79,BREAKDOWN!X$4:X$165)+SUMIF(BREAKDOWN!E$4:E$165,A79,BREAKDOWN!Y$4:Y$165)</f>
        <v>0</v>
      </c>
      <c r="E79" s="178">
        <f>(SUMIF(BREAKDOWN!F$4:F$165,A79,BREAKDOWN!Q$4:Q$165)+SUMIF(BREAKDOWN!A$4:A$165,A79,BREAKDOWN!U$4:U$165)+SUMIF(BREAKDOWN!B$4:B$165,A79,BREAKDOWN!V$4:V$165)+SUMIF(BREAKDOWN!C$4:C$165,A79,BREAKDOWN!W$4:W$165)+SUMIF(BREAKDOWN!D$4:D$165,A79,BREAKDOWN!X$4:X$165)+SUMIF(BREAKDOWN!E$4:E$165,A79,BREAKDOWN!Y$4:Y$165))*(1+SUM(BREAKDOWN!I234:I235))</f>
        <v>0</v>
      </c>
    </row>
    <row r="80" spans="1:5" x14ac:dyDescent="0.25">
      <c r="A80" s="173" t="str">
        <f t="shared" si="0"/>
        <v>4604</v>
      </c>
      <c r="B80" s="224" t="s">
        <v>641</v>
      </c>
      <c r="C80" s="216" t="s">
        <v>464</v>
      </c>
      <c r="D80" s="178">
        <f>SUMIF(BREAKDOWN!F$4:F$165,A80,BREAKDOWN!Q$4:Q$165)+SUMIF(BREAKDOWN!A$4:A$165,A80,BREAKDOWN!U$4:U$165)+SUMIF(BREAKDOWN!B$4:B$165,A80,BREAKDOWN!V$4:V$165)+SUMIF(BREAKDOWN!C$4:C$165,A80,BREAKDOWN!W$4:W$165)+SUMIF(BREAKDOWN!D$4:D$165,A80,BREAKDOWN!X$4:X$165)+SUMIF(BREAKDOWN!E$4:E$165,A80,BREAKDOWN!Y$4:Y$165)</f>
        <v>0</v>
      </c>
      <c r="E80" s="178">
        <f>(SUMIF(BREAKDOWN!F$4:F$165,A80,BREAKDOWN!Q$4:Q$165)+SUMIF(BREAKDOWN!A$4:A$165,A80,BREAKDOWN!U$4:U$165)+SUMIF(BREAKDOWN!B$4:B$165,A80,BREAKDOWN!V$4:V$165)+SUMIF(BREAKDOWN!C$4:C$165,A80,BREAKDOWN!W$4:W$165)+SUMIF(BREAKDOWN!D$4:D$165,A80,BREAKDOWN!X$4:X$165)+SUMIF(BREAKDOWN!E$4:E$165,A80,BREAKDOWN!Y$4:Y$165))*(1+SUM(BREAKDOWN!I235:I236))</f>
        <v>0</v>
      </c>
    </row>
    <row r="81" spans="1:7" x14ac:dyDescent="0.25">
      <c r="A81" s="173" t="str">
        <f t="shared" si="0"/>
        <v>4605</v>
      </c>
      <c r="B81" s="224" t="s">
        <v>641</v>
      </c>
      <c r="C81" s="216" t="s">
        <v>465</v>
      </c>
      <c r="D81" s="178">
        <f>SUMIF(BREAKDOWN!F$4:F$165,A81,BREAKDOWN!Q$4:Q$165)+SUMIF(BREAKDOWN!A$4:A$165,A81,BREAKDOWN!U$4:U$165)+SUMIF(BREAKDOWN!B$4:B$165,A81,BREAKDOWN!V$4:V$165)+SUMIF(BREAKDOWN!C$4:C$165,A81,BREAKDOWN!W$4:W$165)+SUMIF(BREAKDOWN!D$4:D$165,A81,BREAKDOWN!X$4:X$165)+SUMIF(BREAKDOWN!E$4:E$165,A81,BREAKDOWN!Y$4:Y$165)</f>
        <v>0</v>
      </c>
      <c r="E81" s="178">
        <f>(SUMIF(BREAKDOWN!F$4:F$165,A81,BREAKDOWN!Q$4:Q$165)+SUMIF(BREAKDOWN!A$4:A$165,A81,BREAKDOWN!U$4:U$165)+SUMIF(BREAKDOWN!B$4:B$165,A81,BREAKDOWN!V$4:V$165)+SUMIF(BREAKDOWN!C$4:C$165,A81,BREAKDOWN!W$4:W$165)+SUMIF(BREAKDOWN!D$4:D$165,A81,BREAKDOWN!X$4:X$165)+SUMIF(BREAKDOWN!E$4:E$165,A81,BREAKDOWN!Y$4:Y$165))*(1+SUM(BREAKDOWN!I236:I237))</f>
        <v>0</v>
      </c>
    </row>
    <row r="82" spans="1:7" x14ac:dyDescent="0.25">
      <c r="A82" s="173" t="str">
        <f t="shared" si="0"/>
        <v>4610</v>
      </c>
      <c r="B82" s="224" t="s">
        <v>641</v>
      </c>
      <c r="C82" s="216" t="s">
        <v>466</v>
      </c>
      <c r="D82" s="178">
        <f>SUMIF(BREAKDOWN!F$4:F$165,A82,BREAKDOWN!Q$4:Q$165)+SUMIF(BREAKDOWN!A$4:A$165,A82,BREAKDOWN!U$4:U$165)+SUMIF(BREAKDOWN!B$4:B$165,A82,BREAKDOWN!V$4:V$165)+SUMIF(BREAKDOWN!C$4:C$165,A82,BREAKDOWN!W$4:W$165)+SUMIF(BREAKDOWN!D$4:D$165,A82,BREAKDOWN!X$4:X$165)+SUMIF(BREAKDOWN!E$4:E$165,A82,BREAKDOWN!Y$4:Y$165)</f>
        <v>0</v>
      </c>
      <c r="E82" s="178">
        <f>(SUMIF(BREAKDOWN!F$4:F$165,A82,BREAKDOWN!Q$4:Q$165)+SUMIF(BREAKDOWN!A$4:A$165,A82,BREAKDOWN!U$4:U$165)+SUMIF(BREAKDOWN!B$4:B$165,A82,BREAKDOWN!V$4:V$165)+SUMIF(BREAKDOWN!C$4:C$165,A82,BREAKDOWN!W$4:W$165)+SUMIF(BREAKDOWN!D$4:D$165,A82,BREAKDOWN!X$4:X$165)+SUMIF(BREAKDOWN!E$4:E$165,A82,BREAKDOWN!Y$4:Y$165))*(1+SUM(BREAKDOWN!I237:I238))</f>
        <v>0</v>
      </c>
    </row>
    <row r="83" spans="1:7" x14ac:dyDescent="0.25">
      <c r="A83" s="173" t="str">
        <f t="shared" si="0"/>
        <v>4620</v>
      </c>
      <c r="B83" s="224" t="s">
        <v>642</v>
      </c>
      <c r="C83" s="216" t="s">
        <v>467</v>
      </c>
      <c r="D83" s="178">
        <f>SUMIF(BREAKDOWN!F$4:F$165,A83,BREAKDOWN!Q$4:Q$165)+SUMIF(BREAKDOWN!A$4:A$165,A83,BREAKDOWN!U$4:U$165)+SUMIF(BREAKDOWN!B$4:B$165,A83,BREAKDOWN!V$4:V$165)+SUMIF(BREAKDOWN!C$4:C$165,A83,BREAKDOWN!W$4:W$165)+SUMIF(BREAKDOWN!D$4:D$165,A83,BREAKDOWN!X$4:X$165)+SUMIF(BREAKDOWN!E$4:E$165,A83,BREAKDOWN!Y$4:Y$165)</f>
        <v>0</v>
      </c>
      <c r="E83" s="178">
        <f>(SUMIF(BREAKDOWN!F$4:F$165,A83,BREAKDOWN!Q$4:Q$165)+SUMIF(BREAKDOWN!A$4:A$165,A83,BREAKDOWN!U$4:U$165)+SUMIF(BREAKDOWN!B$4:B$165,A83,BREAKDOWN!V$4:V$165)+SUMIF(BREAKDOWN!C$4:C$165,A83,BREAKDOWN!W$4:W$165)+SUMIF(BREAKDOWN!D$4:D$165,A83,BREAKDOWN!X$4:X$165)+SUMIF(BREAKDOWN!E$4:E$165,A83,BREAKDOWN!Y$4:Y$165))*(1+SUM(BREAKDOWN!I238:I239))</f>
        <v>0</v>
      </c>
    </row>
    <row r="84" spans="1:7" x14ac:dyDescent="0.25">
      <c r="A84" s="173" t="str">
        <f t="shared" si="0"/>
        <v>4650</v>
      </c>
      <c r="B84" s="224" t="s">
        <v>643</v>
      </c>
      <c r="C84" s="216" t="s">
        <v>468</v>
      </c>
      <c r="D84" s="178">
        <f>SUMIF(BREAKDOWN!F$4:F$165,A84,BREAKDOWN!Q$4:Q$165)+SUMIF(BREAKDOWN!A$4:A$165,A84,BREAKDOWN!U$4:U$165)+SUMIF(BREAKDOWN!B$4:B$165,A84,BREAKDOWN!V$4:V$165)+SUMIF(BREAKDOWN!C$4:C$165,A84,BREAKDOWN!W$4:W$165)+SUMIF(BREAKDOWN!D$4:D$165,A84,BREAKDOWN!X$4:X$165)+SUMIF(BREAKDOWN!E$4:E$165,A84,BREAKDOWN!Y$4:Y$165)</f>
        <v>0</v>
      </c>
      <c r="E84" s="178">
        <f>(SUMIF(BREAKDOWN!F$4:F$165,A84,BREAKDOWN!Q$4:Q$165)+SUMIF(BREAKDOWN!A$4:A$165,A84,BREAKDOWN!U$4:U$165)+SUMIF(BREAKDOWN!B$4:B$165,A84,BREAKDOWN!V$4:V$165)+SUMIF(BREAKDOWN!C$4:C$165,A84,BREAKDOWN!W$4:W$165)+SUMIF(BREAKDOWN!D$4:D$165,A84,BREAKDOWN!X$4:X$165)+SUMIF(BREAKDOWN!E$4:E$165,A84,BREAKDOWN!Y$4:Y$165))*(1+SUM(BREAKDOWN!I239:I240))</f>
        <v>0</v>
      </c>
    </row>
    <row r="85" spans="1:7" x14ac:dyDescent="0.25">
      <c r="A85" s="173" t="str">
        <f t="shared" si="0"/>
        <v>4800</v>
      </c>
      <c r="B85" s="224" t="s">
        <v>644</v>
      </c>
      <c r="C85" s="216" t="s">
        <v>469</v>
      </c>
      <c r="D85" s="178">
        <f>SUMIF(BREAKDOWN!F$4:F$165,A85,BREAKDOWN!Q$4:Q$165)+SUMIF(BREAKDOWN!A$4:A$165,A85,BREAKDOWN!U$4:U$165)+SUMIF(BREAKDOWN!B$4:B$165,A85,BREAKDOWN!V$4:V$165)+SUMIF(BREAKDOWN!C$4:C$165,A85,BREAKDOWN!W$4:W$165)+SUMIF(BREAKDOWN!D$4:D$165,A85,BREAKDOWN!X$4:X$165)+SUMIF(BREAKDOWN!E$4:E$165,A85,BREAKDOWN!Y$4:Y$165)</f>
        <v>0</v>
      </c>
      <c r="E85" s="178">
        <f>(SUMIF(BREAKDOWN!F$4:F$165,A85,BREAKDOWN!Q$4:Q$165)+SUMIF(BREAKDOWN!A$4:A$165,A85,BREAKDOWN!U$4:U$165)+SUMIF(BREAKDOWN!B$4:B$165,A85,BREAKDOWN!V$4:V$165)+SUMIF(BREAKDOWN!C$4:C$165,A85,BREAKDOWN!W$4:W$165)+SUMIF(BREAKDOWN!D$4:D$165,A85,BREAKDOWN!X$4:X$165)+SUMIF(BREAKDOWN!E$4:E$165,A85,BREAKDOWN!Y$4:Y$165))*(1+SUM(BREAKDOWN!I240:I241))</f>
        <v>0</v>
      </c>
    </row>
    <row r="86" spans="1:7" x14ac:dyDescent="0.25">
      <c r="A86" s="173" t="str">
        <f t="shared" si="0"/>
        <v>5031</v>
      </c>
      <c r="B86" s="224" t="s">
        <v>645</v>
      </c>
      <c r="C86" s="216" t="s">
        <v>470</v>
      </c>
      <c r="D86" s="178">
        <f>SUMIF(BREAKDOWN!F$4:F$165,A86,BREAKDOWN!Q$4:Q$165)+SUMIF(BREAKDOWN!A$4:A$165,A86,BREAKDOWN!U$4:U$165)+SUMIF(BREAKDOWN!B$4:B$165,A86,BREAKDOWN!V$4:V$165)+SUMIF(BREAKDOWN!C$4:C$165,A86,BREAKDOWN!W$4:W$165)+SUMIF(BREAKDOWN!D$4:D$165,A86,BREAKDOWN!X$4:X$165)+SUMIF(BREAKDOWN!E$4:E$165,A86,BREAKDOWN!Y$4:Y$165)</f>
        <v>0</v>
      </c>
      <c r="E86" s="178">
        <f>(SUMIF(BREAKDOWN!F$4:F$165,A86,BREAKDOWN!Q$4:Q$165)+SUMIF(BREAKDOWN!A$4:A$165,A86,BREAKDOWN!U$4:U$165)+SUMIF(BREAKDOWN!B$4:B$165,A86,BREAKDOWN!V$4:V$165)+SUMIF(BREAKDOWN!C$4:C$165,A86,BREAKDOWN!W$4:W$165)+SUMIF(BREAKDOWN!D$4:D$165,A86,BREAKDOWN!X$4:X$165)+SUMIF(BREAKDOWN!E$4:E$165,A86,BREAKDOWN!Y$4:Y$165))*(1+SUM(BREAKDOWN!I241:I242))</f>
        <v>0</v>
      </c>
    </row>
    <row r="87" spans="1:7" x14ac:dyDescent="0.25">
      <c r="A87" s="173" t="str">
        <f t="shared" si="0"/>
        <v>5032</v>
      </c>
      <c r="B87" s="224" t="s">
        <v>645</v>
      </c>
      <c r="C87" s="216" t="s">
        <v>471</v>
      </c>
      <c r="D87" s="178">
        <f>SUMIF(BREAKDOWN!F$4:F$165,A87,BREAKDOWN!Q$4:Q$165)+SUMIF(BREAKDOWN!A$4:A$165,A87,BREAKDOWN!U$4:U$165)+SUMIF(BREAKDOWN!B$4:B$165,A87,BREAKDOWN!V$4:V$165)+SUMIF(BREAKDOWN!C$4:C$165,A87,BREAKDOWN!W$4:W$165)+SUMIF(BREAKDOWN!D$4:D$165,A87,BREAKDOWN!X$4:X$165)+SUMIF(BREAKDOWN!E$4:E$165,A87,BREAKDOWN!Y$4:Y$165)</f>
        <v>0</v>
      </c>
      <c r="E87" s="178">
        <f>(SUMIF(BREAKDOWN!F$4:F$165,A87,BREAKDOWN!Q$4:Q$165)+SUMIF(BREAKDOWN!A$4:A$165,A87,BREAKDOWN!U$4:U$165)+SUMIF(BREAKDOWN!B$4:B$165,A87,BREAKDOWN!V$4:V$165)+SUMIF(BREAKDOWN!C$4:C$165,A87,BREAKDOWN!W$4:W$165)+SUMIF(BREAKDOWN!D$4:D$165,A87,BREAKDOWN!X$4:X$165)+SUMIF(BREAKDOWN!E$4:E$165,A87,BREAKDOWN!Y$4:Y$165))*(1+SUM(BREAKDOWN!I242:I243))</f>
        <v>0</v>
      </c>
    </row>
    <row r="88" spans="1:7" x14ac:dyDescent="0.25">
      <c r="A88" s="173" t="str">
        <f t="shared" si="0"/>
        <v>5100</v>
      </c>
      <c r="B88" s="224" t="s">
        <v>646</v>
      </c>
      <c r="C88" s="216" t="s">
        <v>472</v>
      </c>
      <c r="D88" s="178">
        <f>SUMIF(BREAKDOWN!F$4:F$165,A88,BREAKDOWN!Q$4:Q$165)+SUMIF(BREAKDOWN!A$4:A$165,A88,BREAKDOWN!U$4:U$165)+SUMIF(BREAKDOWN!B$4:B$165,A88,BREAKDOWN!V$4:V$165)+SUMIF(BREAKDOWN!C$4:C$165,A88,BREAKDOWN!W$4:W$165)+SUMIF(BREAKDOWN!D$4:D$165,A88,BREAKDOWN!X$4:X$165)+SUMIF(BREAKDOWN!E$4:E$165,A88,BREAKDOWN!Y$4:Y$165)</f>
        <v>0</v>
      </c>
      <c r="E88" s="178">
        <f>(SUMIF(BREAKDOWN!F$4:F$165,A88,BREAKDOWN!Q$4:Q$165)+SUMIF(BREAKDOWN!A$4:A$165,A88,BREAKDOWN!U$4:U$165)+SUMIF(BREAKDOWN!B$4:B$165,A88,BREAKDOWN!V$4:V$165)+SUMIF(BREAKDOWN!C$4:C$165,A88,BREAKDOWN!W$4:W$165)+SUMIF(BREAKDOWN!D$4:D$165,A88,BREAKDOWN!X$4:X$165)+SUMIF(BREAKDOWN!E$4:E$165,A88,BREAKDOWN!Y$4:Y$165))*(1+SUM(BREAKDOWN!I243:I244))</f>
        <v>0</v>
      </c>
    </row>
    <row r="89" spans="1:7" x14ac:dyDescent="0.25">
      <c r="A89" s="173" t="str">
        <f t="shared" si="0"/>
        <v>6000</v>
      </c>
      <c r="B89" s="224" t="s">
        <v>647</v>
      </c>
      <c r="C89" s="216" t="s">
        <v>473</v>
      </c>
      <c r="D89" s="178">
        <f>SUMIF(BREAKDOWN!F$4:F$165,A89,BREAKDOWN!Q$4:Q$165)+SUMIF(BREAKDOWN!A$4:A$165,A89,BREAKDOWN!U$4:U$165)+SUMIF(BREAKDOWN!B$4:B$165,A89,BREAKDOWN!V$4:V$165)+SUMIF(BREAKDOWN!C$4:C$165,A89,BREAKDOWN!W$4:W$165)+SUMIF(BREAKDOWN!D$4:D$165,A89,BREAKDOWN!X$4:X$165)+SUMIF(BREAKDOWN!E$4:E$165,A89,BREAKDOWN!Y$4:Y$165)</f>
        <v>0</v>
      </c>
      <c r="E89" s="178">
        <f>(SUMIF(BREAKDOWN!F$4:F$165,A89,BREAKDOWN!Q$4:Q$165)+SUMIF(BREAKDOWN!A$4:A$165,A89,BREAKDOWN!U$4:U$165)+SUMIF(BREAKDOWN!B$4:B$165,A89,BREAKDOWN!V$4:V$165)+SUMIF(BREAKDOWN!C$4:C$165,A89,BREAKDOWN!W$4:W$165)+SUMIF(BREAKDOWN!D$4:D$165,A89,BREAKDOWN!X$4:X$165)+SUMIF(BREAKDOWN!E$4:E$165,A89,BREAKDOWN!Y$4:Y$165))*(1+SUM(BREAKDOWN!I244:I245))</f>
        <v>0</v>
      </c>
    </row>
    <row r="90" spans="1:7" x14ac:dyDescent="0.25">
      <c r="A90" s="173" t="str">
        <f t="shared" si="0"/>
        <v>6010</v>
      </c>
      <c r="B90" s="224" t="s">
        <v>647</v>
      </c>
      <c r="C90" s="216" t="s">
        <v>474</v>
      </c>
      <c r="D90" s="178">
        <f>SUMIF(BREAKDOWN!F$4:F$165,A90,BREAKDOWN!Q$4:Q$165)+SUMIF(BREAKDOWN!A$4:A$165,A90,BREAKDOWN!U$4:U$165)+SUMIF(BREAKDOWN!B$4:B$165,A90,BREAKDOWN!V$4:V$165)+SUMIF(BREAKDOWN!C$4:C$165,A90,BREAKDOWN!W$4:W$165)+SUMIF(BREAKDOWN!D$4:D$165,A90,BREAKDOWN!X$4:X$165)+SUMIF(BREAKDOWN!E$4:E$165,A90,BREAKDOWN!Y$4:Y$165)</f>
        <v>0</v>
      </c>
      <c r="E90" s="178">
        <f>(SUMIF(BREAKDOWN!F$4:F$165,A90,BREAKDOWN!Q$4:Q$165)+SUMIF(BREAKDOWN!A$4:A$165,A90,BREAKDOWN!U$4:U$165)+SUMIF(BREAKDOWN!B$4:B$165,A90,BREAKDOWN!V$4:V$165)+SUMIF(BREAKDOWN!C$4:C$165,A90,BREAKDOWN!W$4:W$165)+SUMIF(BREAKDOWN!D$4:D$165,A90,BREAKDOWN!X$4:X$165)+SUMIF(BREAKDOWN!E$4:E$165,A90,BREAKDOWN!Y$4:Y$165))*(1+SUM(BREAKDOWN!I245:I246))</f>
        <v>0</v>
      </c>
    </row>
    <row r="91" spans="1:7" x14ac:dyDescent="0.25">
      <c r="A91" s="173" t="str">
        <f t="shared" si="0"/>
        <v>6040</v>
      </c>
      <c r="B91" s="224" t="s">
        <v>647</v>
      </c>
      <c r="C91" s="216" t="s">
        <v>475</v>
      </c>
      <c r="D91" s="178">
        <f>SUMIF(BREAKDOWN!F$4:F$165,A91,BREAKDOWN!Q$4:Q$165)+SUMIF(BREAKDOWN!A$4:A$165,A91,BREAKDOWN!U$4:U$165)+SUMIF(BREAKDOWN!B$4:B$165,A91,BREAKDOWN!V$4:V$165)+SUMIF(BREAKDOWN!C$4:C$165,A91,BREAKDOWN!W$4:W$165)+SUMIF(BREAKDOWN!D$4:D$165,A91,BREAKDOWN!X$4:X$165)+SUMIF(BREAKDOWN!E$4:E$165,A91,BREAKDOWN!Y$4:Y$165)</f>
        <v>0</v>
      </c>
      <c r="E91" s="178">
        <f>(SUMIF(BREAKDOWN!F$4:F$165,A91,BREAKDOWN!Q$4:Q$165)+SUMIF(BREAKDOWN!A$4:A$165,A91,BREAKDOWN!U$4:U$165)+SUMIF(BREAKDOWN!B$4:B$165,A91,BREAKDOWN!V$4:V$165)+SUMIF(BREAKDOWN!C$4:C$165,A91,BREAKDOWN!W$4:W$165)+SUMIF(BREAKDOWN!D$4:D$165,A91,BREAKDOWN!X$4:X$165)+SUMIF(BREAKDOWN!E$4:E$165,A91,BREAKDOWN!Y$4:Y$165))*(1+SUM(BREAKDOWN!I246:I247))</f>
        <v>0</v>
      </c>
    </row>
    <row r="92" spans="1:7" x14ac:dyDescent="0.25">
      <c r="A92" s="174"/>
      <c r="B92" s="174"/>
      <c r="C92" s="174"/>
      <c r="F92" s="180">
        <f ca="1">BREAKDOWN!Q160</f>
        <v>0</v>
      </c>
      <c r="G92" s="181" t="s">
        <v>476</v>
      </c>
    </row>
    <row r="93" spans="1:7" ht="18.75" x14ac:dyDescent="0.3">
      <c r="A93" s="174"/>
      <c r="B93" s="174"/>
      <c r="C93" s="175" t="s">
        <v>35</v>
      </c>
      <c r="D93" s="182">
        <f>SUM(D3:D92)</f>
        <v>0</v>
      </c>
      <c r="E93" s="182">
        <f>SUM(E3:E92)</f>
        <v>0</v>
      </c>
      <c r="F93" s="183" t="s">
        <v>87</v>
      </c>
    </row>
    <row r="94" spans="1:7" x14ac:dyDescent="0.25">
      <c r="F94" s="180">
        <f ca="1">F92-E93</f>
        <v>0</v>
      </c>
    </row>
  </sheetData>
  <sheetProtection algorithmName="SHA-512" hashValue="7+0dVrBgAn8fNi6RXgHfLYtc7zsduJsrsVctoMc3IiXwk8AA+3nujdoFDXcRd4hPVVA9O3OpPfxB9e0kZODSHw==" saltValue="IJ7eQCoki56PjVW12ddVeA==" spinCount="100000" sheet="1" objects="1" scenarios="1"/>
  <conditionalFormatting sqref="F94">
    <cfRule type="cellIs" dxfId="129" priority="1" operator="greaterThan">
      <formula>0.01</formula>
    </cfRule>
    <cfRule type="cellIs" dxfId="128" priority="2" operator="lessThan">
      <formula>-0.01</formula>
    </cfRule>
    <cfRule type="cellIs" dxfId="127" priority="3" operator="greaterThan">
      <formula>-0.01</formula>
    </cfRule>
    <cfRule type="cellIs" dxfId="126" priority="4" operator="lessThan">
      <formula>0.01</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S w i f t T o k e n s   x m l n s : x s d = " h t t p : / / w w w . w 3 . o r g / 2 0 0 1 / X M L S c h e m a "   x m l n s : x s i = " h t t p : / / w w w . w 3 . o r g / 2 0 0 1 / X M L S c h e m a - i n s t a n c e " > < T o k e n s / > < / S w i f t T o k e n s > 
</file>

<file path=customXml/itemProps1.xml><?xml version="1.0" encoding="utf-8"?>
<ds:datastoreItem xmlns:ds="http://schemas.openxmlformats.org/officeDocument/2006/customXml" ds:itemID="{730AAC18-593D-435C-8300-A574FEDEC191}">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40</vt:i4>
      </vt:variant>
    </vt:vector>
  </HeadingPairs>
  <TitlesOfParts>
    <vt:vector size="105" baseType="lpstr">
      <vt:lpstr>Quote</vt:lpstr>
      <vt:lpstr>Instructions</vt:lpstr>
      <vt:lpstr>Notes</vt:lpstr>
      <vt:lpstr>Construction Time</vt:lpstr>
      <vt:lpstr>Labour Rates</vt:lpstr>
      <vt:lpstr>SUMMARY</vt:lpstr>
      <vt:lpstr>SUMMARY (inc)</vt:lpstr>
      <vt:lpstr>BREAKDOWN</vt:lpstr>
      <vt:lpstr>COST CODES</vt:lpstr>
      <vt:lpstr>Preliminaries</vt:lpstr>
      <vt:lpstr>Home Warranty Insurance</vt:lpstr>
      <vt:lpstr>Scaffolding</vt:lpstr>
      <vt:lpstr>Demolition</vt:lpstr>
      <vt:lpstr>Demolition Rates</vt:lpstr>
      <vt:lpstr>Civil</vt:lpstr>
      <vt:lpstr>Detailed Excavation</vt:lpstr>
      <vt:lpstr>Concrete</vt:lpstr>
      <vt:lpstr>Concrete Rates</vt:lpstr>
      <vt:lpstr>Formwork</vt:lpstr>
      <vt:lpstr>Formwork Rates</vt:lpstr>
      <vt:lpstr>Reinforcement</vt:lpstr>
      <vt:lpstr>Reinforcement Rates</vt:lpstr>
      <vt:lpstr>Termite Protection</vt:lpstr>
      <vt:lpstr>Roofing &amp; Metal Cladding</vt:lpstr>
      <vt:lpstr>Roofing Rates</vt:lpstr>
      <vt:lpstr>External Cladding</vt:lpstr>
      <vt:lpstr>C&amp;P Calculations</vt:lpstr>
      <vt:lpstr>Ceilings &amp; Partitions</vt:lpstr>
      <vt:lpstr>C&amp;P Rates</vt:lpstr>
      <vt:lpstr>Carpentry</vt:lpstr>
      <vt:lpstr>Carpentry Rates</vt:lpstr>
      <vt:lpstr>Rates Template</vt:lpstr>
      <vt:lpstr>Structural Steel</vt:lpstr>
      <vt:lpstr>Structural Steel Rates</vt:lpstr>
      <vt:lpstr>Metalwork</vt:lpstr>
      <vt:lpstr>Unit</vt:lpstr>
      <vt:lpstr>Plumbing</vt:lpstr>
      <vt:lpstr>Plumbing PC Item</vt:lpstr>
      <vt:lpstr>Electrical</vt:lpstr>
      <vt:lpstr>Electrical PC Item</vt:lpstr>
      <vt:lpstr>Electrical Rates</vt:lpstr>
      <vt:lpstr>Mechanical</vt:lpstr>
      <vt:lpstr>Fire</vt:lpstr>
      <vt:lpstr>Blockwork</vt:lpstr>
      <vt:lpstr>Blockwork Rates</vt:lpstr>
      <vt:lpstr>Rendering</vt:lpstr>
      <vt:lpstr>Rendering Rates</vt:lpstr>
      <vt:lpstr>Painting</vt:lpstr>
      <vt:lpstr>Painting Rates</vt:lpstr>
      <vt:lpstr>Joinery</vt:lpstr>
      <vt:lpstr>Joinery Rates</vt:lpstr>
      <vt:lpstr>Windows &amp; Doors</vt:lpstr>
      <vt:lpstr>Windows&amp;Doors Rates</vt:lpstr>
      <vt:lpstr>Waterproofing</vt:lpstr>
      <vt:lpstr>Waterproofing Rates</vt:lpstr>
      <vt:lpstr>Tiling</vt:lpstr>
      <vt:lpstr>Tiling Rates</vt:lpstr>
      <vt:lpstr>Floor Finishes</vt:lpstr>
      <vt:lpstr>Floor Finishes Rates</vt:lpstr>
      <vt:lpstr>Lift</vt:lpstr>
      <vt:lpstr>Landscaping</vt:lpstr>
      <vt:lpstr>Fencing</vt:lpstr>
      <vt:lpstr>Fencing Rates</vt:lpstr>
      <vt:lpstr>Miscellaneous</vt:lpstr>
      <vt:lpstr>Standard Blank</vt:lpstr>
      <vt:lpstr>Blockwork!Print_Area</vt:lpstr>
      <vt:lpstr>BREAKDOWN!Print_Area</vt:lpstr>
      <vt:lpstr>'C&amp;P Calculations'!Print_Area</vt:lpstr>
      <vt:lpstr>Carpentry!Print_Area</vt:lpstr>
      <vt:lpstr>'Ceilings &amp; Partitions'!Print_Area</vt:lpstr>
      <vt:lpstr>Civil!Print_Area</vt:lpstr>
      <vt:lpstr>Concrete!Print_Area</vt:lpstr>
      <vt:lpstr>Demolition!Print_Area</vt:lpstr>
      <vt:lpstr>'Detailed Excavation'!Print_Area</vt:lpstr>
      <vt:lpstr>Electrical!Print_Area</vt:lpstr>
      <vt:lpstr>'Electrical PC Item'!Print_Area</vt:lpstr>
      <vt:lpstr>'External Cladding'!Print_Area</vt:lpstr>
      <vt:lpstr>Fencing!Print_Area</vt:lpstr>
      <vt:lpstr>Fire!Print_Area</vt:lpstr>
      <vt:lpstr>'Floor Finishes'!Print_Area</vt:lpstr>
      <vt:lpstr>Formwork!Print_Area</vt:lpstr>
      <vt:lpstr>Instructions!Print_Area</vt:lpstr>
      <vt:lpstr>Joinery!Print_Area</vt:lpstr>
      <vt:lpstr>Landscaping!Print_Area</vt:lpstr>
      <vt:lpstr>Lift!Print_Area</vt:lpstr>
      <vt:lpstr>Mechanical!Print_Area</vt:lpstr>
      <vt:lpstr>Metalwork!Print_Area</vt:lpstr>
      <vt:lpstr>Miscellaneous!Print_Area</vt:lpstr>
      <vt:lpstr>Notes!Print_Area</vt:lpstr>
      <vt:lpstr>Painting!Print_Area</vt:lpstr>
      <vt:lpstr>Plumbing!Print_Area</vt:lpstr>
      <vt:lpstr>Preliminaries!Print_Area</vt:lpstr>
      <vt:lpstr>Quote!Print_Area</vt:lpstr>
      <vt:lpstr>Reinforcement!Print_Area</vt:lpstr>
      <vt:lpstr>Rendering!Print_Area</vt:lpstr>
      <vt:lpstr>'Roofing &amp; Metal Cladding'!Print_Area</vt:lpstr>
      <vt:lpstr>Scaffolding!Print_Area</vt:lpstr>
      <vt:lpstr>'Standard Blank'!Print_Area</vt:lpstr>
      <vt:lpstr>'Structural Steel'!Print_Area</vt:lpstr>
      <vt:lpstr>SUMMARY!Print_Area</vt:lpstr>
      <vt:lpstr>'SUMMARY (inc)'!Print_Area</vt:lpstr>
      <vt:lpstr>'Termite Protection'!Print_Area</vt:lpstr>
      <vt:lpstr>Tiling!Print_Area</vt:lpstr>
      <vt:lpstr>Waterproofing!Print_Area</vt:lpstr>
      <vt:lpstr>'Windows &amp; Doors'!Print_Area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 Lucente</dc:creator>
  <cp:lastModifiedBy>Di Corfield</cp:lastModifiedBy>
  <cp:lastPrinted>2022-11-24T04:45:56Z</cp:lastPrinted>
  <dcterms:created xsi:type="dcterms:W3CDTF">2013-07-03T12:28:49Z</dcterms:created>
  <dcterms:modified xsi:type="dcterms:W3CDTF">2023-05-04T02:41:49Z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y fmtid="{D5CDD505-2E9C-101B-9397-08002B2CF9AE}" pid="3" name="PlanSwiftJobName">
    <vt:lpwstr/>
  </property>
  <property fmtid="{D5CDD505-2E9C-101B-9397-08002B2CF9AE}" pid="4" name="PlanSwiftJobGuid">
    <vt:lpwstr/>
  </property>
  <property fmtid="{D5CDD505-2E9C-101B-9397-08002B2CF9AE}" pid="5" name="LinkedDataId">
    <vt:lpwstr>{730AAC18-593D-435C-8300-A574FEDEC191}</vt:lpwstr>
  </property>
</Properties>
</file>